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24226"/>
  <mc:AlternateContent xmlns:mc="http://schemas.openxmlformats.org/markup-compatibility/2006">
    <mc:Choice Requires="x15">
      <x15ac:absPath xmlns:x15ac="http://schemas.microsoft.com/office/spreadsheetml/2010/11/ac" url="https://ofgemcloud.sharepoint.com/sites/PC/Shared Documents/Electricity Distribution/RIIO-ED1/RIIO-ED1 AIP/2022/Annual Report/Final docs published/Post publication/"/>
    </mc:Choice>
  </mc:AlternateContent>
  <xr:revisionPtr revIDLastSave="308" documentId="8_{18EC06B0-201F-4755-BF86-A8829E261C06}" xr6:coauthVersionLast="47" xr6:coauthVersionMax="47" xr10:uidLastSave="{BA049E89-2BCE-4B03-8ED5-D5155CE7C1A9}"/>
  <bookViews>
    <workbookView xWindow="13770" yWindow="-16320" windowWidth="29040" windowHeight="15840" firstSheet="2" activeTab="3" xr2:uid="{A2885D20-8A7A-4DE6-ABBB-0502760C3330}"/>
  </bookViews>
  <sheets>
    <sheet name="Cover" sheetId="36" r:id="rId1"/>
    <sheet name="Contents" sheetId="35" r:id="rId2"/>
    <sheet name="One-pager" sheetId="31" r:id="rId3"/>
    <sheet name="Guide &amp; drivers" sheetId="1" r:id="rId4"/>
    <sheet name="RAG and Ranking" sheetId="23" r:id="rId5"/>
    <sheet name="Ch2 - Incentive payments" sheetId="28" r:id="rId6"/>
    <sheet name="Ch2 outputs - reliability" sheetId="11" r:id="rId7"/>
    <sheet name="Ch2 outputs - connections" sheetId="10" r:id="rId8"/>
    <sheet name="Ch3 financial performance " sheetId="26" r:id="rId9"/>
    <sheet name="Ch2 - Network Asset SDs" sheetId="25" r:id="rId10"/>
    <sheet name="Ch2 - innovation" sheetId="6" r:id="rId11"/>
    <sheet name="Ch2 outputs - environment" sheetId="15" r:id="rId12"/>
    <sheet name="Ch2 outputs - cust sat" sheetId="9" r:id="rId13"/>
    <sheet name="Ch4 expenditure drivers" sheetId="13" r:id="rId14"/>
    <sheet name="Ch4 expenditure drivers 2" sheetId="27" r:id="rId15"/>
    <sheet name="Calculations" sheetId="32" r:id="rId16"/>
    <sheet name="Dataset" sheetId="30" r:id="rId17"/>
    <sheet name="Sheet2" sheetId="33" state="hidden" r:id="rId18"/>
  </sheets>
  <externalReferences>
    <externalReference r:id="rId19"/>
  </externalReferences>
  <definedNames>
    <definedName name="_AtRisk_SimSetting_AutomaticallyGenerateReports" hidden="1">FALSE</definedName>
    <definedName name="_AtRisk_SimSetting_AutomaticResultsDisplayMode" localSheetId="11"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11"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8" hidden="1">'Ch3 financial performance '!$D$53:$R$112</definedName>
    <definedName name="_xlnm._FilterDatabase" localSheetId="13" hidden="1">'Ch4 expenditure drivers'!$BG$150:$BH$929</definedName>
    <definedName name="_xlnm._FilterDatabase" localSheetId="16" hidden="1">Dataset!$A$1:$V$3048</definedName>
    <definedName name="_xlnm._FilterDatabase" localSheetId="2" hidden="1">'One-pager'!$F$1:$F$962</definedName>
    <definedName name="_ftnref1" localSheetId="8">'Ch3 financial performance '!#REF!</definedName>
    <definedName name="_Order1" hidden="1">255</definedName>
    <definedName name="_Order2" hidden="1">0</definedName>
    <definedName name="_Ref470007842" localSheetId="8">'Ch3 financial performance '!$D$156</definedName>
    <definedName name="_Toc469395373" localSheetId="5">'Ch2 - Incentive payments'!#REF!</definedName>
    <definedName name="_Toc469395373" localSheetId="9">'Ch2 - Network Asset SDs'!#REF!</definedName>
    <definedName name="_Toc469395373" localSheetId="6">'Ch2 outputs - reliability'!#REF!</definedName>
    <definedName name="_Toc469559255" localSheetId="5">'Ch2 - Incentive payments'!#REF!</definedName>
    <definedName name="_Toc469559255" localSheetId="9">'Ch2 - Network Asset SDs'!#REF!</definedName>
    <definedName name="_Toc469559255" localSheetId="6">'Ch2 outputs - reliability'!$B$12</definedName>
    <definedName name="aaaaaaaagh" localSheetId="8" hidden="1">{#N/A,#N/A,TRUE,"Reg_Outputs";#N/A,#N/A,TRUE,"Transco_Outputs";#N/A,#N/A,TRUE,"Transco_plc";#N/A,#N/A,TRUE,"Group_Outputs";#N/A,#N/A,TRUE,"Transco_Group"}</definedName>
    <definedName name="aaaaaaaagh" hidden="1">{#N/A,#N/A,TRUE,"Reg_Outputs";#N/A,#N/A,TRUE,"Transco_Outputs";#N/A,#N/A,TRUE,"Transco_plc";#N/A,#N/A,TRUE,"Group_Outputs";#N/A,#N/A,TRUE,"Transco_Group"}</definedName>
    <definedName name="anscount" hidden="1">1</definedName>
    <definedName name="_xlnm.Criteria" localSheetId="2">'One-pager'!$F$61:$F$938</definedName>
    <definedName name="Exit" localSheetId="5">#REF!</definedName>
    <definedName name="Exit" localSheetId="9">#REF!</definedName>
    <definedName name="Exit" localSheetId="8">#REF!</definedName>
    <definedName name="Exit" localSheetId="2">#REF!</definedName>
    <definedName name="Exit">#REF!</definedName>
    <definedName name="fBalances" localSheetId="11">IF('Ch2 outputs - environment'!$D1,'Ch2 outputs - environment'!$G1,"")</definedName>
    <definedName name="fBlanks" localSheetId="11">IF('Ch2 outputs - environment'!$D1,0,'Ch2 outputs - environment'!$G1048576+IF('Ch2 outputs - environment'!$E1&lt;0,'Ch2 outputs - environment'!$E1,0))</definedName>
    <definedName name="fCumulative" localSheetId="11">'Ch2 outputs - environment'!$E1+'Ch2 outputs - environment'!$G1048576</definedName>
    <definedName name="fDecreases" localSheetId="11">ABS(MIN('Ch2 outputs - environment'!$E1*(1-'Ch2 outputs - environment'!$D1),0))</definedName>
    <definedName name="fIncreases" localSheetId="11">MAX('Ch2 outputs - environment'!$E1*(1-'Ch2 outputs - environment'!$D1),0)</definedName>
    <definedName name="It">'[1]R5 Input Page'!$D$50:$N$50</definedName>
    <definedName name="Pal_Workbook_GUID" hidden="1">"LJ9YVKRJVQ1A1KNUG7XIT5A9"</definedName>
    <definedName name="qwerty" localSheetId="8" hidden="1">{"Table 1",#N/A,FALSE,"Table 1";"Table 2",#N/A,FALSE,"Table 2";"Table 3a",#N/A,FALSE,"Table 3";"Table 3b_d",#N/A,FALSE,"Table 3";"Table 5a",#N/A,FALSE,"Table 5";"Table 4",#N/A,FALSE,"Table 4";"Table 5b",#N/A,FALSE,"Table 5";"Table 6",#N/A,FALSE,"Table 6"}</definedName>
    <definedName name="qwerty" hidden="1">{"Table 1",#N/A,FALSE,"Table 1";"Table 2",#N/A,FALSE,"Table 2";"Table 3a",#N/A,FALSE,"Table 3";"Table 3b_d",#N/A,FALSE,"Table 3";"Table 5a",#N/A,FALSE,"Table 5";"Table 4",#N/A,FALSE,"Table 4";"Table 5b",#N/A,FALSE,"Table 5";"Table 6",#N/A,FALSE,"Table 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11" hidden="1">1000</definedName>
    <definedName name="RiskNumIterations" hidden="1">5000</definedName>
    <definedName name="RiskNumSimulations" hidden="1">1</definedName>
    <definedName name="RiskPauseOnError" hidden="1">FALSE</definedName>
    <definedName name="RiskRunAfterRecalcMacro" localSheetId="11" hidden="1">TRUE</definedName>
    <definedName name="RiskRunAfterRecalcMacro" hidden="1">FALSE</definedName>
    <definedName name="RiskRunAfterSimMacro" localSheetId="11"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localSheetId="11" hidden="1">2</definedName>
    <definedName name="RiskStandardRecalc" hidden="1">1</definedName>
    <definedName name="RiskUpdateDisplay" hidden="1">FALSE</definedName>
    <definedName name="RiskUseDifferentSeedForEachSim" hidden="1">FALSE</definedName>
    <definedName name="RiskUseFixedSeed" localSheetId="11" hidden="1">TRUE</definedName>
    <definedName name="RiskUseFixedSeed" hidden="1">FALSE</definedName>
    <definedName name="RiskUseMultipleCPUs" localSheetId="11" hidden="1">FALSE</definedName>
    <definedName name="RiskUseMultipleCPUs" hidden="1">TRUE</definedName>
    <definedName name="SAPBEXhrIndnt" hidden="1">"Wide"</definedName>
    <definedName name="SAPsysID" hidden="1">"708C5W7SBKP804JT78WJ0JNKI"</definedName>
    <definedName name="SAPwbID" hidden="1">"ARS"</definedName>
    <definedName name="wrn.3E9._.Return." localSheetId="8" hidden="1">{"Table 1",#N/A,FALSE,"Table 1";"Table 2",#N/A,FALSE,"Table 2";"Table 3a",#N/A,FALSE,"Table 3";"Table 3b_d",#N/A,FALSE,"Table 3";"Table 5a",#N/A,FALSE,"Table 5";"Table 4",#N/A,FALSE,"Table 4";"Table 5b",#N/A,FALSE,"Table 5";"Table 6",#N/A,FALSE,"Table 6"}</definedName>
    <definedName name="wrn.3E9._.Return." hidden="1">{"Table 1",#N/A,FALSE,"Table 1";"Table 2",#N/A,FALSE,"Table 2";"Table 3a",#N/A,FALSE,"Table 3";"Table 3b_d",#N/A,FALSE,"Table 3";"Table 5a",#N/A,FALSE,"Table 5";"Table 4",#N/A,FALSE,"Table 4";"Table 5b",#N/A,FALSE,"Table 5";"Table 6",#N/A,FALSE,"Table 6"}</definedName>
    <definedName name="wrn.Transco._.Reports._.Pack." localSheetId="8" hidden="1">{#N/A,#N/A,TRUE,"Reg_Outputs";#N/A,#N/A,TRUE,"Transco_Outputs";#N/A,#N/A,TRUE,"Transco_plc";#N/A,#N/A,TRUE,"Group_Outputs";#N/A,#N/A,TRUE,"Transco_Group"}</definedName>
    <definedName name="wrn.Transco._.Reports._.Pack." hidden="1">{#N/A,#N/A,TRUE,"Reg_Outputs";#N/A,#N/A,TRUE,"Transco_Outputs";#N/A,#N/A,TRUE,"Transco_plc";#N/A,#N/A,TRUE,"Group_Outputs";#N/A,#N/A,TRUE,"Transco_Group"}</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09" i="9" l="1"/>
  <c r="R109" i="9"/>
  <c r="W109" i="9"/>
  <c r="AB109" i="9"/>
  <c r="M110" i="9"/>
  <c r="R110" i="9"/>
  <c r="W110" i="9"/>
  <c r="AB110" i="9"/>
  <c r="AL109" i="9" l="1"/>
  <c r="AL110" i="9"/>
  <c r="AG109" i="9"/>
  <c r="AG110" i="9"/>
  <c r="J21" i="23" l="1"/>
  <c r="AB888" i="13" l="1"/>
  <c r="AB889" i="13" s="1"/>
  <c r="M43" i="10" l="1"/>
  <c r="M44" i="10"/>
  <c r="M45" i="10"/>
  <c r="M46" i="10"/>
  <c r="M47" i="10"/>
  <c r="M48" i="10"/>
  <c r="M49" i="10"/>
  <c r="M50" i="10"/>
  <c r="M51" i="10"/>
  <c r="M52" i="10"/>
  <c r="M53" i="10"/>
  <c r="M54" i="10"/>
  <c r="M55" i="10"/>
  <c r="AC53" i="10"/>
  <c r="AC55" i="10"/>
  <c r="AR53" i="10"/>
  <c r="AR55" i="10"/>
  <c r="CK53" i="10" l="1"/>
  <c r="CK42" i="10" l="1"/>
  <c r="CK43" i="10"/>
  <c r="CK44" i="10"/>
  <c r="CK45" i="10"/>
  <c r="CK46" i="10"/>
  <c r="CK47" i="10"/>
  <c r="CK48" i="10"/>
  <c r="CK51" i="10"/>
  <c r="CK52" i="10"/>
  <c r="CK54" i="10"/>
  <c r="CK55" i="10"/>
  <c r="AR54" i="10"/>
  <c r="AR52" i="10"/>
  <c r="AR51" i="10"/>
  <c r="AR50" i="10"/>
  <c r="AR49" i="10"/>
  <c r="AR48" i="10"/>
  <c r="AR47" i="10"/>
  <c r="AR46" i="10"/>
  <c r="AR45" i="10"/>
  <c r="AR44" i="10"/>
  <c r="AR43" i="10"/>
  <c r="AC44" i="10"/>
  <c r="AC43" i="10"/>
  <c r="AC45" i="10"/>
  <c r="AC46" i="10"/>
  <c r="AC47" i="10"/>
  <c r="AC48" i="10"/>
  <c r="AC49" i="10"/>
  <c r="AC50" i="10"/>
  <c r="AC51" i="10"/>
  <c r="AC52" i="10"/>
  <c r="AC54" i="10"/>
  <c r="AC42" i="10"/>
  <c r="M42" i="10"/>
  <c r="AR42" i="10" l="1"/>
  <c r="CK50" i="10"/>
  <c r="CK49" i="10"/>
  <c r="D20" i="23" l="1"/>
  <c r="G372" i="30" l="1"/>
  <c r="O372" i="30"/>
  <c r="M372" i="30"/>
  <c r="N372" i="30"/>
  <c r="T372" i="30"/>
  <c r="L372" i="30"/>
  <c r="S372" i="30"/>
  <c r="K372" i="30"/>
  <c r="R372" i="30"/>
  <c r="J372" i="30"/>
  <c r="Q372" i="30"/>
  <c r="I372" i="30"/>
  <c r="P372" i="30"/>
  <c r="H372" i="30"/>
  <c r="V288" i="15" l="1"/>
  <c r="V287" i="15"/>
  <c r="V286" i="15"/>
  <c r="V285" i="15"/>
  <c r="V284" i="15"/>
  <c r="V283" i="15"/>
  <c r="F34" i="15" l="1"/>
  <c r="F33" i="15"/>
  <c r="F32" i="15"/>
  <c r="F31" i="15"/>
  <c r="F30" i="15"/>
  <c r="F29" i="15"/>
  <c r="F28" i="15"/>
  <c r="D31" i="1"/>
  <c r="D26" i="1"/>
  <c r="D27" i="1"/>
  <c r="W277" i="15" l="1"/>
  <c r="M142" i="26" l="1"/>
  <c r="T928" i="13" l="1"/>
  <c r="T929" i="13" s="1"/>
  <c r="L216" i="26" l="1"/>
  <c r="E216" i="26"/>
  <c r="I128" i="26" l="1" a="1"/>
  <c r="I128" i="26" s="1"/>
  <c r="U905" i="30" l="1"/>
  <c r="V975" i="30"/>
  <c r="U975" i="30"/>
  <c r="V968" i="30"/>
  <c r="U967" i="30"/>
  <c r="V967" i="30"/>
  <c r="U965" i="30"/>
  <c r="V966" i="30"/>
  <c r="U966" i="30"/>
  <c r="U968" i="30" l="1"/>
  <c r="AD12" i="6"/>
  <c r="E128" i="26" l="1" a="1"/>
  <c r="E128" i="26" s="1"/>
  <c r="F128" i="26" l="1" a="1"/>
  <c r="F128" i="26" s="1"/>
  <c r="J110" i="26"/>
  <c r="L110" i="26"/>
  <c r="R110" i="26"/>
  <c r="F110" i="26"/>
  <c r="G110" i="26"/>
  <c r="H110" i="26"/>
  <c r="Q110" i="26"/>
  <c r="K110" i="26"/>
  <c r="M110" i="26"/>
  <c r="N110" i="26"/>
  <c r="O110" i="26"/>
  <c r="P110" i="26"/>
  <c r="I110" i="26"/>
  <c r="E110" i="26" l="1"/>
  <c r="BV43" i="10" l="1"/>
  <c r="BV44" i="10"/>
  <c r="BV45" i="10"/>
  <c r="BV46" i="10"/>
  <c r="BV47" i="10"/>
  <c r="BV48" i="10"/>
  <c r="BV49" i="10"/>
  <c r="BV50" i="10"/>
  <c r="BV51" i="10"/>
  <c r="BV52" i="10"/>
  <c r="BV53" i="10"/>
  <c r="BV54" i="10"/>
  <c r="BV55" i="10"/>
  <c r="BV42" i="10"/>
  <c r="BG55" i="10"/>
  <c r="BG43" i="10"/>
  <c r="BG44" i="10"/>
  <c r="BG45" i="10"/>
  <c r="BG46" i="10"/>
  <c r="BG47" i="10"/>
  <c r="BG48" i="10"/>
  <c r="BG49" i="10"/>
  <c r="BG50" i="10"/>
  <c r="BG51" i="10"/>
  <c r="BG52" i="10"/>
  <c r="BG53" i="10"/>
  <c r="BG54" i="10"/>
  <c r="BG42" i="10"/>
  <c r="I25" i="25" l="1"/>
  <c r="H56" i="6"/>
  <c r="J15" i="25"/>
  <c r="J14" i="25"/>
  <c r="J13" i="25"/>
  <c r="J12" i="25"/>
  <c r="J16" i="25"/>
  <c r="J17" i="25"/>
  <c r="J18" i="25"/>
  <c r="J19" i="25"/>
  <c r="J20" i="25"/>
  <c r="J21" i="25"/>
  <c r="J22" i="25"/>
  <c r="J23" i="25"/>
  <c r="J24" i="25"/>
  <c r="J11" i="25"/>
  <c r="T20" i="23" l="1"/>
  <c r="Q20" i="23"/>
  <c r="O20" i="23"/>
  <c r="L20" i="23"/>
  <c r="J20" i="23"/>
  <c r="C20" i="23"/>
  <c r="J904" i="30"/>
  <c r="K904" i="30"/>
  <c r="L904" i="30"/>
  <c r="M904" i="30"/>
  <c r="T904" i="30"/>
  <c r="S904" i="30"/>
  <c r="R904" i="30"/>
  <c r="Q904" i="30"/>
  <c r="P904" i="30"/>
  <c r="O904" i="30"/>
  <c r="N904" i="30"/>
  <c r="I904" i="30"/>
  <c r="H904" i="30"/>
  <c r="G904" i="30"/>
  <c r="U903" i="30" l="1"/>
  <c r="AC688" i="13" l="1"/>
  <c r="AC689" i="13" s="1"/>
  <c r="W150" i="15" l="1"/>
  <c r="U150" i="15"/>
  <c r="T150" i="15"/>
  <c r="V150" i="15"/>
  <c r="S150" i="15"/>
  <c r="R150" i="15"/>
  <c r="Y150" i="15"/>
  <c r="F155" i="15"/>
  <c r="G155" i="15"/>
  <c r="H155" i="15"/>
  <c r="I155" i="15"/>
  <c r="J155" i="15"/>
  <c r="K155" i="15"/>
  <c r="L155" i="15"/>
  <c r="M155" i="15"/>
  <c r="F156" i="15"/>
  <c r="G156" i="15"/>
  <c r="H156" i="15"/>
  <c r="I156" i="15"/>
  <c r="J156" i="15"/>
  <c r="K156" i="15"/>
  <c r="L156" i="15"/>
  <c r="M156" i="15"/>
  <c r="F157" i="15"/>
  <c r="G157" i="15"/>
  <c r="H157" i="15"/>
  <c r="I157" i="15"/>
  <c r="J157" i="15"/>
  <c r="K157" i="15"/>
  <c r="L157" i="15"/>
  <c r="M157" i="15"/>
  <c r="F158" i="15"/>
  <c r="G158" i="15"/>
  <c r="H158" i="15"/>
  <c r="I158" i="15"/>
  <c r="J158" i="15"/>
  <c r="K158" i="15"/>
  <c r="F159" i="15"/>
  <c r="G159" i="15"/>
  <c r="H159" i="15"/>
  <c r="I159" i="15"/>
  <c r="J159" i="15"/>
  <c r="K159" i="15"/>
  <c r="F160" i="15"/>
  <c r="G160" i="15"/>
  <c r="H160" i="15"/>
  <c r="I160" i="15"/>
  <c r="J160" i="15"/>
  <c r="K160" i="15"/>
  <c r="L160" i="15"/>
  <c r="M160" i="15"/>
  <c r="F161" i="15"/>
  <c r="G161" i="15"/>
  <c r="H161" i="15"/>
  <c r="I161" i="15"/>
  <c r="J161" i="15"/>
  <c r="K161" i="15"/>
  <c r="L161" i="15"/>
  <c r="M161" i="15"/>
  <c r="F162" i="15"/>
  <c r="G162" i="15"/>
  <c r="H162" i="15"/>
  <c r="I162" i="15"/>
  <c r="J162" i="15"/>
  <c r="K162" i="15"/>
  <c r="L162" i="15"/>
  <c r="M162" i="15"/>
  <c r="F163" i="15"/>
  <c r="G163" i="15"/>
  <c r="H163" i="15"/>
  <c r="I163" i="15"/>
  <c r="J163" i="15"/>
  <c r="K163" i="15"/>
  <c r="L163" i="15"/>
  <c r="M163" i="15"/>
  <c r="F164" i="15"/>
  <c r="G164" i="15"/>
  <c r="H164" i="15"/>
  <c r="I164" i="15"/>
  <c r="J164" i="15"/>
  <c r="K164" i="15"/>
  <c r="L164" i="15"/>
  <c r="M164" i="15"/>
  <c r="F165" i="15"/>
  <c r="G165" i="15"/>
  <c r="H165" i="15"/>
  <c r="I165" i="15"/>
  <c r="J165" i="15"/>
  <c r="K165" i="15"/>
  <c r="L165" i="15"/>
  <c r="M165" i="15"/>
  <c r="F166" i="15"/>
  <c r="G166" i="15"/>
  <c r="H166" i="15"/>
  <c r="I166" i="15"/>
  <c r="J166" i="15"/>
  <c r="K166" i="15"/>
  <c r="L166" i="15"/>
  <c r="M166" i="15"/>
  <c r="F167" i="15"/>
  <c r="G167" i="15"/>
  <c r="H167" i="15"/>
  <c r="I167" i="15"/>
  <c r="J167" i="15"/>
  <c r="K167" i="15"/>
  <c r="L167" i="15"/>
  <c r="M167" i="15"/>
  <c r="F168" i="15"/>
  <c r="G168" i="15"/>
  <c r="H168" i="15"/>
  <c r="I168" i="15"/>
  <c r="J168" i="15"/>
  <c r="K168" i="15"/>
  <c r="L168" i="15"/>
  <c r="M168" i="15"/>
  <c r="K150" i="15" l="1"/>
  <c r="K169" i="15" s="1"/>
  <c r="J150" i="15"/>
  <c r="J169" i="15" s="1"/>
  <c r="G150" i="15"/>
  <c r="G169" i="15" s="1"/>
  <c r="F150" i="15"/>
  <c r="F169" i="15" s="1"/>
  <c r="H150" i="15"/>
  <c r="H169" i="15" s="1"/>
  <c r="I150" i="15"/>
  <c r="I169" i="15" s="1"/>
  <c r="Q150" i="15"/>
  <c r="E168" i="15" l="1"/>
  <c r="E167" i="15"/>
  <c r="E166" i="15" l="1"/>
  <c r="E165" i="15"/>
  <c r="E164" i="15"/>
  <c r="E163" i="15"/>
  <c r="E162" i="15"/>
  <c r="E161" i="15" l="1"/>
  <c r="E160" i="15" l="1"/>
  <c r="E159" i="15"/>
  <c r="M159" i="15" l="1"/>
  <c r="L159" i="15" l="1"/>
  <c r="E158" i="15" l="1"/>
  <c r="E155" i="15" l="1"/>
  <c r="M158" i="15" l="1"/>
  <c r="M150" i="15"/>
  <c r="M169" i="15" s="1"/>
  <c r="X150" i="15" l="1"/>
  <c r="G731" i="30" a="1"/>
  <c r="G731" i="30" s="1"/>
  <c r="L158" i="15" l="1"/>
  <c r="L150" i="15"/>
  <c r="L169" i="15" s="1"/>
  <c r="R110" i="15" l="1"/>
  <c r="S110" i="15"/>
  <c r="T110" i="15"/>
  <c r="U110" i="15"/>
  <c r="V110" i="15"/>
  <c r="W110" i="15"/>
  <c r="X110" i="15"/>
  <c r="Y110" i="15"/>
  <c r="F116" i="15"/>
  <c r="G116" i="15"/>
  <c r="H116" i="15"/>
  <c r="I116" i="15"/>
  <c r="J116" i="15"/>
  <c r="K116" i="15"/>
  <c r="L116" i="15"/>
  <c r="M116" i="15"/>
  <c r="F117" i="15"/>
  <c r="G117" i="15"/>
  <c r="H117" i="15"/>
  <c r="I117" i="15"/>
  <c r="J117" i="15"/>
  <c r="K117" i="15"/>
  <c r="L117" i="15"/>
  <c r="M117" i="15"/>
  <c r="F118" i="15"/>
  <c r="G118" i="15"/>
  <c r="H118" i="15"/>
  <c r="I118" i="15"/>
  <c r="J118" i="15"/>
  <c r="K118" i="15"/>
  <c r="L118" i="15"/>
  <c r="M118" i="15"/>
  <c r="F119" i="15"/>
  <c r="G119" i="15"/>
  <c r="H119" i="15"/>
  <c r="I119" i="15"/>
  <c r="J119" i="15"/>
  <c r="K119" i="15"/>
  <c r="L119" i="15"/>
  <c r="M119" i="15"/>
  <c r="F120" i="15"/>
  <c r="G120" i="15"/>
  <c r="H120" i="15"/>
  <c r="I120" i="15"/>
  <c r="J120" i="15"/>
  <c r="K120" i="15"/>
  <c r="L120" i="15"/>
  <c r="M120" i="15"/>
  <c r="F121" i="15"/>
  <c r="G121" i="15"/>
  <c r="H121" i="15"/>
  <c r="I121" i="15"/>
  <c r="J121" i="15"/>
  <c r="K121" i="15"/>
  <c r="L121" i="15"/>
  <c r="M121" i="15"/>
  <c r="F122" i="15"/>
  <c r="G122" i="15"/>
  <c r="H122" i="15"/>
  <c r="I122" i="15"/>
  <c r="J122" i="15"/>
  <c r="K122" i="15"/>
  <c r="L122" i="15"/>
  <c r="M122" i="15"/>
  <c r="F123" i="15"/>
  <c r="G123" i="15"/>
  <c r="H123" i="15"/>
  <c r="I123" i="15"/>
  <c r="J123" i="15"/>
  <c r="K123" i="15"/>
  <c r="L123" i="15"/>
  <c r="M123" i="15"/>
  <c r="F124" i="15"/>
  <c r="G124" i="15"/>
  <c r="H124" i="15"/>
  <c r="I124" i="15"/>
  <c r="J124" i="15"/>
  <c r="K124" i="15"/>
  <c r="L124" i="15"/>
  <c r="M124" i="15"/>
  <c r="F125" i="15"/>
  <c r="G125" i="15"/>
  <c r="H125" i="15"/>
  <c r="I125" i="15"/>
  <c r="J125" i="15"/>
  <c r="K125" i="15"/>
  <c r="L125" i="15"/>
  <c r="M125" i="15"/>
  <c r="F126" i="15"/>
  <c r="G126" i="15"/>
  <c r="H126" i="15"/>
  <c r="I126" i="15"/>
  <c r="J126" i="15"/>
  <c r="K126" i="15"/>
  <c r="L126" i="15"/>
  <c r="M126" i="15"/>
  <c r="F127" i="15"/>
  <c r="G127" i="15"/>
  <c r="H127" i="15"/>
  <c r="I127" i="15"/>
  <c r="J127" i="15"/>
  <c r="K127" i="15"/>
  <c r="L127" i="15"/>
  <c r="M127" i="15"/>
  <c r="F128" i="15"/>
  <c r="G128" i="15"/>
  <c r="H128" i="15"/>
  <c r="I128" i="15"/>
  <c r="J128" i="15"/>
  <c r="K128" i="15"/>
  <c r="L128" i="15"/>
  <c r="M128" i="15"/>
  <c r="F129" i="15"/>
  <c r="G129" i="15"/>
  <c r="H129" i="15"/>
  <c r="I129" i="15"/>
  <c r="J129" i="15"/>
  <c r="K129" i="15"/>
  <c r="L129" i="15"/>
  <c r="M129" i="15"/>
  <c r="Q110" i="15" l="1"/>
  <c r="G688" i="30" a="1"/>
  <c r="Q116" i="15"/>
  <c r="U689" i="30" l="1"/>
  <c r="U690" i="30"/>
  <c r="U696" i="30"/>
  <c r="U695" i="30"/>
  <c r="U694" i="30"/>
  <c r="U693" i="30"/>
  <c r="U692" i="30"/>
  <c r="G688" i="30"/>
  <c r="U688" i="30" s="1"/>
  <c r="U691" i="30"/>
  <c r="E118" i="15"/>
  <c r="E117" i="15"/>
  <c r="E129" i="15" l="1"/>
  <c r="E128" i="15"/>
  <c r="E127" i="15"/>
  <c r="E126" i="15"/>
  <c r="E125" i="15"/>
  <c r="E124" i="15"/>
  <c r="E123" i="15"/>
  <c r="E122" i="15"/>
  <c r="E121" i="15"/>
  <c r="E120" i="15"/>
  <c r="E119" i="15"/>
  <c r="E116" i="15"/>
  <c r="P328" i="15" l="1"/>
  <c r="O328" i="15"/>
  <c r="N328" i="15"/>
  <c r="M328" i="15"/>
  <c r="L328" i="15"/>
  <c r="K328" i="15"/>
  <c r="Q309" i="15" l="1"/>
  <c r="R309" i="15"/>
  <c r="W128" i="15" l="1"/>
  <c r="W116" i="15"/>
  <c r="W119" i="15"/>
  <c r="W121" i="15"/>
  <c r="W122" i="15"/>
  <c r="W123" i="15"/>
  <c r="W124" i="15"/>
  <c r="W125" i="15"/>
  <c r="W127" i="15"/>
  <c r="W129" i="15"/>
  <c r="AG157" i="15"/>
  <c r="AG158" i="15"/>
  <c r="AG159" i="15"/>
  <c r="AG160" i="15"/>
  <c r="AG161" i="15"/>
  <c r="AG162" i="15"/>
  <c r="AG165" i="15"/>
  <c r="AG166" i="15"/>
  <c r="AG167" i="15"/>
  <c r="J328" i="15"/>
  <c r="E157" i="15"/>
  <c r="E156" i="15" l="1"/>
  <c r="E150" i="15"/>
  <c r="E169" i="15" s="1"/>
  <c r="U277" i="15"/>
  <c r="V277" i="15"/>
  <c r="AG163" i="15"/>
  <c r="AG155" i="15"/>
  <c r="X288" i="15"/>
  <c r="W288" i="15"/>
  <c r="Y288" i="15"/>
  <c r="L72" i="15"/>
  <c r="J72" i="15"/>
  <c r="W286" i="15"/>
  <c r="X283" i="15"/>
  <c r="Y285" i="15"/>
  <c r="W283" i="15"/>
  <c r="K72" i="15"/>
  <c r="W190" i="15"/>
  <c r="X285" i="15"/>
  <c r="Y284" i="15"/>
  <c r="Y190" i="15"/>
  <c r="Y287" i="15"/>
  <c r="W285" i="15"/>
  <c r="X284" i="15"/>
  <c r="W126" i="15"/>
  <c r="W120" i="15"/>
  <c r="X287" i="15"/>
  <c r="W284" i="15"/>
  <c r="W287" i="15"/>
  <c r="M72" i="15"/>
  <c r="G72" i="15"/>
  <c r="Y286" i="15"/>
  <c r="H72" i="15"/>
  <c r="F72" i="15"/>
  <c r="AG164" i="15"/>
  <c r="AG156" i="15"/>
  <c r="X286" i="15"/>
  <c r="Y283" i="15"/>
  <c r="Y277" i="15"/>
  <c r="Z277" i="15"/>
  <c r="X277" i="15"/>
  <c r="I72" i="15"/>
  <c r="X190" i="15"/>
  <c r="W118" i="15"/>
  <c r="W117" i="15"/>
  <c r="M110" i="15"/>
  <c r="M130" i="15" s="1"/>
  <c r="W157" i="15" l="1"/>
  <c r="H7" i="23" s="1"/>
  <c r="W164" i="15"/>
  <c r="H14" i="23" s="1"/>
  <c r="W155" i="15"/>
  <c r="W159" i="15"/>
  <c r="H9" i="23" s="1"/>
  <c r="W163" i="15"/>
  <c r="H13" i="23" s="1"/>
  <c r="W160" i="15"/>
  <c r="H10" i="23" s="1"/>
  <c r="W161" i="15"/>
  <c r="H11" i="23" s="1"/>
  <c r="W156" i="15"/>
  <c r="H6" i="23" s="1"/>
  <c r="W162" i="15"/>
  <c r="H12" i="23" s="1"/>
  <c r="W158" i="15"/>
  <c r="H8" i="23" s="1"/>
  <c r="W166" i="15"/>
  <c r="H17" i="23" s="1"/>
  <c r="W167" i="15"/>
  <c r="H18" i="23" s="1"/>
  <c r="W165" i="15"/>
  <c r="H16" i="23" s="1"/>
  <c r="Y289" i="15"/>
  <c r="W289" i="15"/>
  <c r="X289" i="15"/>
  <c r="AL99" i="9"/>
  <c r="G7" i="28" s="1"/>
  <c r="AL107" i="9"/>
  <c r="G15" i="28" s="1"/>
  <c r="AL108" i="9"/>
  <c r="AL105" i="9"/>
  <c r="G13" i="28" s="1"/>
  <c r="AL111" i="9"/>
  <c r="G19" i="28" s="1"/>
  <c r="G17" i="28" l="1"/>
  <c r="AL103" i="9"/>
  <c r="G11" i="28" s="1"/>
  <c r="AL100" i="9"/>
  <c r="G8" i="28" s="1"/>
  <c r="AL101" i="9"/>
  <c r="G9" i="28" s="1"/>
  <c r="AL104" i="9"/>
  <c r="G12" i="28" s="1"/>
  <c r="AL106" i="9"/>
  <c r="G14" i="28" s="1"/>
  <c r="AI113" i="9"/>
  <c r="G16" i="28"/>
  <c r="AL112" i="9"/>
  <c r="G20" i="28" s="1"/>
  <c r="G18" i="28"/>
  <c r="AL102" i="9"/>
  <c r="AJ113" i="9"/>
  <c r="AL113" i="9" l="1"/>
  <c r="G10" i="28"/>
  <c r="K93" i="9" l="1"/>
  <c r="U15" i="23" s="1"/>
  <c r="K92" i="9"/>
  <c r="U12" i="23" s="1"/>
  <c r="K90" i="9"/>
  <c r="U6" i="23" s="1"/>
  <c r="K89" i="9"/>
  <c r="U5" i="23" s="1"/>
  <c r="K94" i="9"/>
  <c r="U17" i="23" s="1"/>
  <c r="K91" i="9"/>
  <c r="U8" i="23" s="1"/>
  <c r="K85" i="9"/>
  <c r="K84" i="9"/>
  <c r="K83" i="9"/>
  <c r="K82" i="9"/>
  <c r="K81" i="9"/>
  <c r="K80" i="9"/>
  <c r="AZ43" i="9" l="1"/>
  <c r="AZ44" i="9"/>
  <c r="AZ47" i="9"/>
  <c r="AZ48" i="9"/>
  <c r="AZ49" i="9"/>
  <c r="AZ52" i="9"/>
  <c r="BA50" i="9" l="1"/>
  <c r="BA55" i="9"/>
  <c r="BA56" i="9"/>
  <c r="AZ55" i="9"/>
  <c r="BA54" i="9"/>
  <c r="BA46" i="9"/>
  <c r="AZ56" i="9"/>
  <c r="BA53" i="9"/>
  <c r="BA49" i="9"/>
  <c r="BA44" i="9"/>
  <c r="BA51" i="9"/>
  <c r="AZ46" i="9"/>
  <c r="AZ53" i="9"/>
  <c r="BA47" i="9"/>
  <c r="AZ45" i="9"/>
  <c r="AZ54" i="9"/>
  <c r="BA48" i="9"/>
  <c r="BA43" i="9"/>
  <c r="BA52" i="9"/>
  <c r="AZ50" i="9"/>
  <c r="AZ51" i="9"/>
  <c r="BA45" i="9"/>
  <c r="AR31" i="9"/>
  <c r="AS31" i="9" s="1"/>
  <c r="AR35" i="9" l="1"/>
  <c r="AS35" i="9" s="1"/>
  <c r="AR23" i="9"/>
  <c r="AS23" i="9" s="1"/>
  <c r="AR29" i="9"/>
  <c r="AS29" i="9" s="1"/>
  <c r="L16" i="9"/>
  <c r="AR34" i="9"/>
  <c r="AR36" i="9"/>
  <c r="AR25" i="9"/>
  <c r="AS25" i="9" s="1"/>
  <c r="AR26" i="9"/>
  <c r="AS26" i="9" s="1"/>
  <c r="AR30" i="9"/>
  <c r="AS30" i="9" s="1"/>
  <c r="AR28" i="9"/>
  <c r="AS28" i="9" s="1"/>
  <c r="L15" i="9"/>
  <c r="AR24" i="9"/>
  <c r="AR32" i="9"/>
  <c r="AS32" i="9" s="1"/>
  <c r="AR33" i="9"/>
  <c r="AS33" i="9" s="1"/>
  <c r="AR27" i="9"/>
  <c r="AS27" i="9" s="1"/>
  <c r="L14" i="9"/>
  <c r="V3048" i="30"/>
  <c r="V3047" i="30"/>
  <c r="V3046" i="30"/>
  <c r="V3045" i="30"/>
  <c r="V3020" i="30"/>
  <c r="V2997" i="30"/>
  <c r="V2996" i="30"/>
  <c r="V2995" i="30"/>
  <c r="V2994" i="30"/>
  <c r="V2969" i="30"/>
  <c r="V2946" i="30"/>
  <c r="V2945" i="30"/>
  <c r="V2944" i="30"/>
  <c r="V2943" i="30"/>
  <c r="V2918" i="30"/>
  <c r="V2895" i="30"/>
  <c r="V2894" i="30"/>
  <c r="V2893" i="30"/>
  <c r="V2892" i="30"/>
  <c r="V2867" i="30"/>
  <c r="V2844" i="30"/>
  <c r="V2843" i="30"/>
  <c r="V2842" i="30"/>
  <c r="V2841" i="30"/>
  <c r="V2816" i="30"/>
  <c r="V2793" i="30"/>
  <c r="V2792" i="30"/>
  <c r="V2791" i="30"/>
  <c r="V2790" i="30"/>
  <c r="V2765" i="30"/>
  <c r="V2742" i="30"/>
  <c r="V2741" i="30"/>
  <c r="V2740" i="30"/>
  <c r="V2739" i="30"/>
  <c r="V2714" i="30"/>
  <c r="V2691" i="30"/>
  <c r="V2690" i="30"/>
  <c r="V2689" i="30"/>
  <c r="V2688" i="30"/>
  <c r="V2663" i="30"/>
  <c r="V2640" i="30"/>
  <c r="V2639" i="30"/>
  <c r="V2638" i="30"/>
  <c r="V2637" i="30"/>
  <c r="V2612" i="30"/>
  <c r="V2589" i="30"/>
  <c r="V2588" i="30"/>
  <c r="V2587" i="30"/>
  <c r="V2586" i="30"/>
  <c r="V2561" i="30"/>
  <c r="V2538" i="30"/>
  <c r="V2537" i="30"/>
  <c r="V2536" i="30"/>
  <c r="V2535" i="30"/>
  <c r="V2510" i="30"/>
  <c r="V2487" i="30"/>
  <c r="V2486" i="30"/>
  <c r="V2485" i="30"/>
  <c r="V2484" i="30"/>
  <c r="V2458" i="30"/>
  <c r="V2459" i="30"/>
  <c r="V2436" i="30"/>
  <c r="V2435" i="30"/>
  <c r="V2434" i="30"/>
  <c r="V2433" i="30"/>
  <c r="V2408" i="30"/>
  <c r="V2385" i="30"/>
  <c r="V2384" i="30"/>
  <c r="V2383" i="30"/>
  <c r="V2382" i="30"/>
  <c r="V2357" i="30"/>
  <c r="V2334" i="30"/>
  <c r="V2333" i="30"/>
  <c r="V2332" i="30"/>
  <c r="V2331" i="30"/>
  <c r="V2306" i="30"/>
  <c r="V2283" i="30"/>
  <c r="V2282" i="30"/>
  <c r="V2281" i="30"/>
  <c r="V2280" i="30"/>
  <c r="V2255" i="30"/>
  <c r="V2232" i="30"/>
  <c r="V2231" i="30"/>
  <c r="V2230" i="30"/>
  <c r="V2229" i="30"/>
  <c r="V2204" i="30"/>
  <c r="V2181" i="30"/>
  <c r="V2180" i="30"/>
  <c r="V2179" i="30"/>
  <c r="V2178" i="30"/>
  <c r="AT27" i="9" l="1"/>
  <c r="AT26" i="9"/>
  <c r="AT25" i="9"/>
  <c r="AS36" i="9"/>
  <c r="AT36" i="9"/>
  <c r="AT24" i="9"/>
  <c r="AS34" i="9"/>
  <c r="AT34" i="9"/>
  <c r="AT33" i="9"/>
  <c r="AT32" i="9"/>
  <c r="AT29" i="9"/>
  <c r="AT23" i="9"/>
  <c r="AT28" i="9"/>
  <c r="AT30" i="9"/>
  <c r="AT35" i="9"/>
  <c r="AS24" i="9"/>
  <c r="AT31" i="9"/>
  <c r="AC12" i="6" l="1"/>
  <c r="AF7" i="6" l="1"/>
  <c r="AF6" i="6"/>
  <c r="AF8" i="6"/>
  <c r="AF9" i="6"/>
  <c r="AF10" i="6"/>
  <c r="AF11" i="6"/>
  <c r="AE12" i="6"/>
  <c r="AF12" i="6" s="1"/>
  <c r="V2153" i="30" l="1"/>
  <c r="V2130" i="30"/>
  <c r="V2129" i="30"/>
  <c r="V2128" i="30"/>
  <c r="V2127" i="30"/>
  <c r="V2102" i="30"/>
  <c r="V2079" i="30"/>
  <c r="V2078" i="30"/>
  <c r="V2077" i="30"/>
  <c r="V2076" i="30"/>
  <c r="V2051" i="30" l="1"/>
  <c r="V2028" i="30"/>
  <c r="V2027" i="30"/>
  <c r="V2026" i="30"/>
  <c r="V2025" i="30"/>
  <c r="V2000" i="30"/>
  <c r="V1977" i="30"/>
  <c r="V1976" i="30"/>
  <c r="V1975" i="30"/>
  <c r="V1974" i="30"/>
  <c r="V1949" i="30"/>
  <c r="V1926" i="30"/>
  <c r="V1925" i="30"/>
  <c r="V1924" i="30"/>
  <c r="V1923" i="30"/>
  <c r="V1898" i="30"/>
  <c r="V1875" i="30"/>
  <c r="V1874" i="30"/>
  <c r="V1873" i="30"/>
  <c r="V1872" i="30"/>
  <c r="V1847" i="30"/>
  <c r="V1824" i="30"/>
  <c r="V1823" i="30"/>
  <c r="V1822" i="30"/>
  <c r="V1821" i="30"/>
  <c r="V1796" i="30"/>
  <c r="V1773" i="30"/>
  <c r="V1772" i="30"/>
  <c r="V1771" i="30"/>
  <c r="V1770" i="30"/>
  <c r="V1745" i="30"/>
  <c r="V1722" i="30"/>
  <c r="V1721" i="30"/>
  <c r="V1720" i="30"/>
  <c r="V1719" i="30"/>
  <c r="V1672" i="30"/>
  <c r="V1671" i="30"/>
  <c r="V1670" i="30"/>
  <c r="V1669" i="30"/>
  <c r="V1644" i="30"/>
  <c r="V1621" i="30"/>
  <c r="V1620" i="30"/>
  <c r="V1619" i="30"/>
  <c r="V1618" i="30"/>
  <c r="V1622" i="30"/>
  <c r="V1593" i="30"/>
  <c r="V1570" i="30"/>
  <c r="V1569" i="30"/>
  <c r="V1568" i="30"/>
  <c r="V1567" i="30"/>
  <c r="V1542" i="30"/>
  <c r="V1519" i="30"/>
  <c r="V1518" i="30"/>
  <c r="V1517" i="30"/>
  <c r="V1516" i="30"/>
  <c r="V1491" i="30"/>
  <c r="V1468" i="30"/>
  <c r="V1467" i="30"/>
  <c r="V1466" i="30"/>
  <c r="V1465" i="30"/>
  <c r="V1440" i="30"/>
  <c r="V1417" i="30"/>
  <c r="V1416" i="30"/>
  <c r="V1415" i="30"/>
  <c r="V1414" i="30"/>
  <c r="V1389" i="30"/>
  <c r="V1287" i="30"/>
  <c r="V1286" i="30"/>
  <c r="V1366" i="30"/>
  <c r="V1365" i="30"/>
  <c r="V1364" i="30"/>
  <c r="V1363" i="30"/>
  <c r="V1338" i="30"/>
  <c r="V1315" i="30"/>
  <c r="V1314" i="30"/>
  <c r="V1313" i="30"/>
  <c r="V1312" i="30"/>
  <c r="V1264" i="30"/>
  <c r="V1263" i="30"/>
  <c r="V1262" i="30"/>
  <c r="V1261" i="30"/>
  <c r="V1236" i="30" l="1"/>
  <c r="V1213" i="30"/>
  <c r="V1212" i="30"/>
  <c r="V1211" i="30"/>
  <c r="V1210" i="30"/>
  <c r="V1185" i="30"/>
  <c r="V1162" i="30"/>
  <c r="V1161" i="30"/>
  <c r="V1160" i="30"/>
  <c r="V1159" i="30"/>
  <c r="V1134" i="30"/>
  <c r="V1064" i="30"/>
  <c r="V1065" i="30"/>
  <c r="V1066" i="30"/>
  <c r="V1067" i="30"/>
  <c r="N1064" i="30"/>
  <c r="H1065" i="30"/>
  <c r="I1065" i="30"/>
  <c r="J1065" i="30"/>
  <c r="K1065" i="30"/>
  <c r="L1065" i="30"/>
  <c r="M1065" i="30"/>
  <c r="N1065" i="30"/>
  <c r="O1065" i="30"/>
  <c r="P1065" i="30"/>
  <c r="Q1065" i="30"/>
  <c r="R1065" i="30"/>
  <c r="S1065" i="30"/>
  <c r="T1065" i="30"/>
  <c r="H1066" i="30"/>
  <c r="I1066" i="30"/>
  <c r="J1066" i="30"/>
  <c r="K1066" i="30"/>
  <c r="L1066" i="30"/>
  <c r="M1066" i="30"/>
  <c r="N1066" i="30"/>
  <c r="O1066" i="30"/>
  <c r="P1066" i="30"/>
  <c r="Q1066" i="30"/>
  <c r="R1066" i="30"/>
  <c r="S1066" i="30"/>
  <c r="T1066" i="30"/>
  <c r="N1067" i="30"/>
  <c r="Q1067" i="30"/>
  <c r="R1067" i="30"/>
  <c r="G1065" i="30"/>
  <c r="G1066" i="30"/>
  <c r="G1067" i="30"/>
  <c r="G1064" i="30"/>
  <c r="R6" i="23"/>
  <c r="R7" i="23"/>
  <c r="R8" i="23"/>
  <c r="R9" i="23"/>
  <c r="R10" i="23"/>
  <c r="R11" i="23"/>
  <c r="R12" i="23"/>
  <c r="R13" i="23"/>
  <c r="R14" i="23"/>
  <c r="R15" i="23"/>
  <c r="R16" i="23"/>
  <c r="R17" i="23"/>
  <c r="R18" i="23"/>
  <c r="R5" i="23"/>
  <c r="P6" i="23"/>
  <c r="P7" i="23"/>
  <c r="P8" i="23"/>
  <c r="P9" i="23"/>
  <c r="P10" i="23"/>
  <c r="P11" i="23"/>
  <c r="P12" i="23"/>
  <c r="P13" i="23"/>
  <c r="P14" i="23"/>
  <c r="P15" i="23"/>
  <c r="P16" i="23"/>
  <c r="P17" i="23"/>
  <c r="P18" i="23"/>
  <c r="P5" i="23"/>
  <c r="H5" i="23"/>
  <c r="G6" i="23"/>
  <c r="G7" i="23"/>
  <c r="G8" i="23"/>
  <c r="G9" i="23"/>
  <c r="G10" i="23"/>
  <c r="G11" i="23"/>
  <c r="G12" i="23"/>
  <c r="G13" i="23"/>
  <c r="G14" i="23"/>
  <c r="G15" i="23"/>
  <c r="G16" i="23"/>
  <c r="G17" i="23"/>
  <c r="G18" i="23"/>
  <c r="G5" i="23"/>
  <c r="U1066" i="30" l="1"/>
  <c r="U1065" i="30"/>
  <c r="V1039" i="30"/>
  <c r="V1028" i="30"/>
  <c r="V1029" i="30"/>
  <c r="V1030" i="30"/>
  <c r="V1031" i="30"/>
  <c r="V1032" i="30"/>
  <c r="H1028" i="30"/>
  <c r="I1028" i="30"/>
  <c r="J1028" i="30"/>
  <c r="K1028" i="30"/>
  <c r="L1028" i="30"/>
  <c r="M1028" i="30"/>
  <c r="N1028" i="30"/>
  <c r="O1028" i="30"/>
  <c r="P1028" i="30"/>
  <c r="Q1028" i="30"/>
  <c r="R1028" i="30"/>
  <c r="S1028" i="30"/>
  <c r="T1028" i="30"/>
  <c r="H1029" i="30"/>
  <c r="I1029" i="30"/>
  <c r="J1029" i="30"/>
  <c r="K1029" i="30"/>
  <c r="L1029" i="30"/>
  <c r="M1029" i="30"/>
  <c r="N1029" i="30"/>
  <c r="O1029" i="30"/>
  <c r="P1029" i="30"/>
  <c r="Q1029" i="30"/>
  <c r="R1029" i="30"/>
  <c r="S1029" i="30"/>
  <c r="T1029" i="30"/>
  <c r="H1030" i="30"/>
  <c r="I1030" i="30"/>
  <c r="J1030" i="30"/>
  <c r="K1030" i="30"/>
  <c r="L1030" i="30"/>
  <c r="M1030" i="30"/>
  <c r="N1030" i="30"/>
  <c r="O1030" i="30"/>
  <c r="P1030" i="30"/>
  <c r="Q1030" i="30"/>
  <c r="R1030" i="30"/>
  <c r="S1030" i="30"/>
  <c r="T1030" i="30"/>
  <c r="G1029" i="30"/>
  <c r="G1030" i="30"/>
  <c r="G1028" i="30"/>
  <c r="V965" i="30"/>
  <c r="V940" i="30"/>
  <c r="V936" i="30"/>
  <c r="V937" i="30"/>
  <c r="V938" i="30"/>
  <c r="V939" i="30"/>
  <c r="G936" i="30" a="1"/>
  <c r="I940" i="30" s="1"/>
  <c r="V903" i="30"/>
  <c r="V904" i="30"/>
  <c r="V905" i="30"/>
  <c r="V878" i="30"/>
  <c r="V879" i="30"/>
  <c r="V880" i="30"/>
  <c r="V881" i="30"/>
  <c r="V882" i="30"/>
  <c r="V883" i="30"/>
  <c r="V884" i="30"/>
  <c r="G878" i="30" a="1"/>
  <c r="G878" i="30" s="1"/>
  <c r="U878" i="30" s="1"/>
  <c r="V830" i="30"/>
  <c r="V831" i="30"/>
  <c r="V832" i="30"/>
  <c r="V833" i="30"/>
  <c r="V834" i="30"/>
  <c r="V835" i="30"/>
  <c r="G830" i="30" a="1"/>
  <c r="U835" i="30" s="1"/>
  <c r="V793" i="30"/>
  <c r="G793" i="30" a="1"/>
  <c r="G793" i="30" s="1"/>
  <c r="U793" i="30" s="1"/>
  <c r="V780" i="30"/>
  <c r="V781" i="30"/>
  <c r="G780" i="30" a="1"/>
  <c r="U781" i="30" s="1"/>
  <c r="G778" i="30" a="1"/>
  <c r="G778" i="30" s="1"/>
  <c r="V765" i="30"/>
  <c r="V766" i="30"/>
  <c r="V767" i="30"/>
  <c r="G765" i="30" a="1"/>
  <c r="G765" i="30" s="1"/>
  <c r="U765" i="30" s="1"/>
  <c r="V746" i="30"/>
  <c r="V739" i="30"/>
  <c r="U739" i="30"/>
  <c r="V730" i="30"/>
  <c r="V721" i="30"/>
  <c r="G713" i="30" a="1"/>
  <c r="U721" i="30" s="1"/>
  <c r="V712" i="30"/>
  <c r="V705" i="30"/>
  <c r="V696" i="30"/>
  <c r="V687" i="30"/>
  <c r="G679" i="30" a="1"/>
  <c r="U687" i="30" s="1"/>
  <c r="V678" i="30"/>
  <c r="V671" i="30"/>
  <c r="V662" i="30"/>
  <c r="V653" i="30"/>
  <c r="G645" i="30"/>
  <c r="V635" i="30"/>
  <c r="V636" i="30"/>
  <c r="V637" i="30"/>
  <c r="V638" i="30"/>
  <c r="V639" i="30"/>
  <c r="V640" i="30"/>
  <c r="V585" i="30"/>
  <c r="V586" i="30"/>
  <c r="V587" i="30"/>
  <c r="V588" i="30"/>
  <c r="V589" i="30"/>
  <c r="V590" i="30"/>
  <c r="V591" i="30"/>
  <c r="V592" i="30"/>
  <c r="V593" i="30"/>
  <c r="V594" i="30"/>
  <c r="V595" i="30"/>
  <c r="V596" i="30"/>
  <c r="V597" i="30"/>
  <c r="V598" i="30"/>
  <c r="V498" i="30"/>
  <c r="V499" i="30"/>
  <c r="V500" i="30"/>
  <c r="G780" i="30" l="1"/>
  <c r="U780" i="30" s="1"/>
  <c r="G679" i="30"/>
  <c r="U884" i="30"/>
  <c r="U1030" i="30"/>
  <c r="U498" i="30"/>
  <c r="U1029" i="30"/>
  <c r="U766" i="30"/>
  <c r="U832" i="30"/>
  <c r="N940" i="30"/>
  <c r="U500" i="30"/>
  <c r="U499" i="30"/>
  <c r="G830" i="30"/>
  <c r="U830" i="30" s="1"/>
  <c r="U880" i="30"/>
  <c r="U1028" i="30"/>
  <c r="U833" i="30"/>
  <c r="U881" i="30"/>
  <c r="P940" i="30"/>
  <c r="H940" i="30"/>
  <c r="U767" i="30"/>
  <c r="O940" i="30"/>
  <c r="G940" i="30"/>
  <c r="M940" i="30"/>
  <c r="G713" i="30"/>
  <c r="U831" i="30"/>
  <c r="U883" i="30"/>
  <c r="U879" i="30"/>
  <c r="G936" i="30"/>
  <c r="T940" i="30"/>
  <c r="L940" i="30"/>
  <c r="S940" i="30"/>
  <c r="K940" i="30"/>
  <c r="U882" i="30"/>
  <c r="R940" i="30"/>
  <c r="J940" i="30"/>
  <c r="Q940" i="30"/>
  <c r="U940" i="30" l="1"/>
  <c r="V479" i="30" l="1"/>
  <c r="V472" i="30"/>
  <c r="V457" i="30"/>
  <c r="V442" i="30"/>
  <c r="V427" i="30"/>
  <c r="V420" i="30"/>
  <c r="V405" i="30"/>
  <c r="V388" i="30"/>
  <c r="V390" i="30"/>
  <c r="V389" i="30"/>
  <c r="U368" i="30"/>
  <c r="U370" i="30"/>
  <c r="V369" i="30"/>
  <c r="V342" i="30"/>
  <c r="V343" i="30"/>
  <c r="V344" i="30"/>
  <c r="V370" i="30"/>
  <c r="V368" i="30"/>
  <c r="V367" i="30"/>
  <c r="V366" i="30"/>
  <c r="V365" i="30"/>
  <c r="V364" i="30"/>
  <c r="V363" i="30"/>
  <c r="V361" i="30"/>
  <c r="V360" i="30"/>
  <c r="V359" i="30"/>
  <c r="V358" i="30"/>
  <c r="V357" i="30"/>
  <c r="V355" i="30"/>
  <c r="V354" i="30"/>
  <c r="V353" i="30"/>
  <c r="V352" i="30"/>
  <c r="V351" i="30"/>
  <c r="V350" i="30"/>
  <c r="V349" i="30"/>
  <c r="V348" i="30"/>
  <c r="V347" i="30"/>
  <c r="V346" i="30"/>
  <c r="V345" i="30"/>
  <c r="V356" i="30"/>
  <c r="V362" i="30"/>
  <c r="V371" i="30"/>
  <c r="V372" i="30"/>
  <c r="V176" i="30" l="1"/>
  <c r="V177" i="30"/>
  <c r="V178" i="30"/>
  <c r="V164" i="30"/>
  <c r="V165" i="30"/>
  <c r="V166" i="30"/>
  <c r="V167" i="30"/>
  <c r="V168" i="30"/>
  <c r="V169" i="30"/>
  <c r="V170" i="30"/>
  <c r="V171" i="30"/>
  <c r="V172" i="30"/>
  <c r="V173" i="30"/>
  <c r="V174" i="30"/>
  <c r="V175" i="30"/>
  <c r="V72" i="30"/>
  <c r="G65" i="30" l="1" a="1"/>
  <c r="G65" i="30" s="1"/>
  <c r="V56" i="30" l="1"/>
  <c r="V63" i="30"/>
  <c r="V62" i="30"/>
  <c r="V61" i="30"/>
  <c r="V60" i="30"/>
  <c r="V59" i="30"/>
  <c r="V58" i="30"/>
  <c r="V57" i="30"/>
  <c r="V50" i="30"/>
  <c r="V55" i="30"/>
  <c r="V54" i="30"/>
  <c r="V53" i="30"/>
  <c r="V52" i="30"/>
  <c r="V51" i="30"/>
  <c r="V49" i="30"/>
  <c r="V37" i="30"/>
  <c r="V25" i="30"/>
  <c r="V13" i="30"/>
  <c r="E23" i="13" l="1"/>
  <c r="BK864" i="13" l="1"/>
  <c r="BK863" i="13"/>
  <c r="BK860" i="13"/>
  <c r="BK856" i="13"/>
  <c r="BK855" i="13"/>
  <c r="BK847" i="13"/>
  <c r="BK846" i="13"/>
  <c r="BK845" i="13"/>
  <c r="BK843" i="13"/>
  <c r="BK842" i="13"/>
  <c r="BK841" i="13"/>
  <c r="BK838" i="13"/>
  <c r="BK837" i="13"/>
  <c r="BK835" i="13"/>
  <c r="AC251" i="13"/>
  <c r="BK251" i="13" s="1"/>
  <c r="W55" i="13" s="1"/>
  <c r="BK827" i="13"/>
  <c r="BK825" i="13"/>
  <c r="BK824" i="13"/>
  <c r="BK823" i="13"/>
  <c r="BK820" i="13"/>
  <c r="BK819" i="13"/>
  <c r="BK817" i="13"/>
  <c r="AC233" i="13"/>
  <c r="BK233" i="13" s="1"/>
  <c r="T57" i="13" s="1"/>
  <c r="BK815" i="13"/>
  <c r="BK807" i="13"/>
  <c r="BK805" i="13"/>
  <c r="BK802" i="13"/>
  <c r="BK801" i="13"/>
  <c r="BK799" i="13"/>
  <c r="BK798" i="13"/>
  <c r="BK797" i="13"/>
  <c r="BK795" i="13"/>
  <c r="BK787" i="13"/>
  <c r="BK784" i="13"/>
  <c r="BK781" i="13"/>
  <c r="BK780" i="13"/>
  <c r="BK779" i="13"/>
  <c r="BK777" i="13"/>
  <c r="BK776" i="13"/>
  <c r="BK767" i="13"/>
  <c r="BK766" i="13"/>
  <c r="BK765" i="13"/>
  <c r="BK763" i="13"/>
  <c r="BK762" i="13"/>
  <c r="BK761" i="13"/>
  <c r="BK758" i="13"/>
  <c r="BK757" i="13"/>
  <c r="BK755" i="13"/>
  <c r="BK747" i="13"/>
  <c r="BK745" i="13"/>
  <c r="BK744" i="13"/>
  <c r="BK743" i="13"/>
  <c r="BK740" i="13"/>
  <c r="BK739" i="13"/>
  <c r="BK737" i="13"/>
  <c r="BK736" i="13"/>
  <c r="BK735" i="13"/>
  <c r="BK727" i="13"/>
  <c r="BK726" i="13"/>
  <c r="BK725" i="13"/>
  <c r="BK721" i="13"/>
  <c r="BK719" i="13"/>
  <c r="BK718" i="13"/>
  <c r="BK717" i="13"/>
  <c r="BK715" i="13"/>
  <c r="BK704" i="13"/>
  <c r="BK703" i="13"/>
  <c r="BK701" i="13"/>
  <c r="BK700" i="13"/>
  <c r="BK695" i="13"/>
  <c r="BK683" i="13"/>
  <c r="BK681" i="13"/>
  <c r="BK675" i="13"/>
  <c r="BK667" i="13"/>
  <c r="AC223" i="13"/>
  <c r="BK223" i="13" s="1"/>
  <c r="L67" i="13" s="1"/>
  <c r="BK665" i="13"/>
  <c r="BK663" i="13"/>
  <c r="BK662" i="13"/>
  <c r="BK659" i="13"/>
  <c r="BK658" i="13"/>
  <c r="BK657" i="13"/>
  <c r="BK655" i="13"/>
  <c r="BK647" i="13"/>
  <c r="BK645" i="13"/>
  <c r="BK644" i="13"/>
  <c r="BK641" i="13"/>
  <c r="BK640" i="13"/>
  <c r="BK639" i="13"/>
  <c r="BK637" i="13"/>
  <c r="BK636" i="13"/>
  <c r="BK635" i="13"/>
  <c r="BK627" i="13"/>
  <c r="BK626" i="13"/>
  <c r="BK623" i="13"/>
  <c r="BK622" i="13"/>
  <c r="BK621" i="13"/>
  <c r="BK619" i="13"/>
  <c r="BK618" i="13"/>
  <c r="BK617" i="13"/>
  <c r="BK615" i="13"/>
  <c r="BK605" i="13"/>
  <c r="BK604" i="13"/>
  <c r="BK603" i="13"/>
  <c r="BK601" i="13"/>
  <c r="BK600" i="13"/>
  <c r="BK597" i="13"/>
  <c r="BK596" i="13"/>
  <c r="BK595" i="13"/>
  <c r="BK585" i="13"/>
  <c r="BK583" i="13"/>
  <c r="BK582" i="13"/>
  <c r="BK577" i="13"/>
  <c r="BK575" i="13"/>
  <c r="BK567" i="13"/>
  <c r="BK565" i="13"/>
  <c r="BK564" i="13"/>
  <c r="BK561" i="13"/>
  <c r="BK560" i="13"/>
  <c r="BK559" i="13"/>
  <c r="BK557" i="13"/>
  <c r="BK556" i="13"/>
  <c r="BK555" i="13"/>
  <c r="BK547" i="13"/>
  <c r="BK546" i="13"/>
  <c r="BK543" i="13"/>
  <c r="BK542" i="13"/>
  <c r="BK541" i="13"/>
  <c r="BK539" i="13"/>
  <c r="BK538" i="13"/>
  <c r="BK537" i="13"/>
  <c r="BK535" i="13"/>
  <c r="BK525" i="13"/>
  <c r="BK524" i="13"/>
  <c r="BK523" i="13"/>
  <c r="BK521" i="13"/>
  <c r="BK520" i="13"/>
  <c r="BK519" i="13"/>
  <c r="BK517" i="13"/>
  <c r="BK516" i="13"/>
  <c r="BK507" i="13"/>
  <c r="BK506" i="13"/>
  <c r="BK505" i="13"/>
  <c r="BK503" i="13"/>
  <c r="BK502" i="13"/>
  <c r="BK499" i="13"/>
  <c r="BK498" i="13"/>
  <c r="BK497" i="13"/>
  <c r="BK495" i="13"/>
  <c r="BK487" i="13"/>
  <c r="BK485" i="13"/>
  <c r="AC281" i="13"/>
  <c r="BK281" i="13" s="1"/>
  <c r="BK481" i="13"/>
  <c r="BK480" i="13"/>
  <c r="BK479" i="13"/>
  <c r="BK477" i="13"/>
  <c r="AC273" i="13"/>
  <c r="BK273" i="13" s="1"/>
  <c r="BK467" i="13"/>
  <c r="BK466" i="13"/>
  <c r="BK465" i="13"/>
  <c r="BK463" i="13"/>
  <c r="BK462" i="13"/>
  <c r="BK461" i="13"/>
  <c r="BK459" i="13"/>
  <c r="BK458" i="13"/>
  <c r="BK455" i="13"/>
  <c r="BK447" i="13"/>
  <c r="BK445" i="13"/>
  <c r="BK444" i="13"/>
  <c r="BK443" i="13"/>
  <c r="BK441" i="13"/>
  <c r="BK440" i="13"/>
  <c r="BK437" i="13"/>
  <c r="BK436" i="13"/>
  <c r="BK435" i="13"/>
  <c r="BK425" i="13"/>
  <c r="BK423" i="13"/>
  <c r="BK422" i="13"/>
  <c r="BK418" i="13"/>
  <c r="BK417" i="13"/>
  <c r="BK415" i="13"/>
  <c r="BK407" i="13"/>
  <c r="BK405" i="13"/>
  <c r="BK404" i="13"/>
  <c r="BK401" i="13"/>
  <c r="BK400" i="13"/>
  <c r="BK399" i="13"/>
  <c r="AC194" i="13"/>
  <c r="BK194" i="13" s="1"/>
  <c r="F58" i="13" s="1"/>
  <c r="BK396" i="13"/>
  <c r="BK395" i="13"/>
  <c r="BK387" i="13"/>
  <c r="BK386" i="13"/>
  <c r="BK385" i="13"/>
  <c r="BK383" i="13"/>
  <c r="BK382" i="13"/>
  <c r="BK381" i="13"/>
  <c r="BK379" i="13"/>
  <c r="BK378" i="13"/>
  <c r="BK377" i="13"/>
  <c r="BK374" i="13"/>
  <c r="BK367" i="13"/>
  <c r="BK365" i="13"/>
  <c r="BK364" i="13"/>
  <c r="BK363" i="13"/>
  <c r="BK361" i="13"/>
  <c r="BK360" i="13"/>
  <c r="BK356" i="13"/>
  <c r="BK355" i="13"/>
  <c r="BK347" i="13"/>
  <c r="BK342" i="13"/>
  <c r="BK341" i="13"/>
  <c r="BK339" i="13"/>
  <c r="BK338" i="13"/>
  <c r="BK335" i="13"/>
  <c r="BK327" i="13"/>
  <c r="BK325" i="13"/>
  <c r="BK324" i="13"/>
  <c r="BK323" i="13"/>
  <c r="BK320" i="13"/>
  <c r="BK319" i="13"/>
  <c r="BK317" i="13"/>
  <c r="BK315" i="13"/>
  <c r="BJ929" i="13"/>
  <c r="BJ928" i="13"/>
  <c r="BJ927" i="13"/>
  <c r="BJ926" i="13"/>
  <c r="BJ925" i="13"/>
  <c r="BJ924" i="13"/>
  <c r="BJ923" i="13"/>
  <c r="BJ922" i="13"/>
  <c r="BJ921" i="13"/>
  <c r="BJ920" i="13"/>
  <c r="BJ919" i="13"/>
  <c r="BJ918" i="13"/>
  <c r="BJ917" i="13"/>
  <c r="BJ916" i="13"/>
  <c r="BJ915" i="13"/>
  <c r="BJ914" i="13"/>
  <c r="BJ889" i="13"/>
  <c r="BJ888" i="13"/>
  <c r="BJ887" i="13"/>
  <c r="BJ886" i="13"/>
  <c r="BJ885" i="13"/>
  <c r="BJ884" i="13"/>
  <c r="BJ883" i="13"/>
  <c r="BJ882" i="13"/>
  <c r="BJ881" i="13"/>
  <c r="BJ880" i="13"/>
  <c r="BJ879" i="13"/>
  <c r="BJ878" i="13"/>
  <c r="BJ877" i="13"/>
  <c r="BJ876" i="13"/>
  <c r="BJ875" i="13"/>
  <c r="BJ874" i="13"/>
  <c r="BK294" i="13"/>
  <c r="BK927" i="13"/>
  <c r="BK926" i="13"/>
  <c r="BL926" i="13" s="1"/>
  <c r="BM926" i="13" s="1"/>
  <c r="BK925" i="13"/>
  <c r="BK924" i="13"/>
  <c r="BL924" i="13" s="1"/>
  <c r="BM924" i="13" s="1"/>
  <c r="BK923" i="13"/>
  <c r="BK922" i="13"/>
  <c r="BK921" i="13"/>
  <c r="BK920" i="13"/>
  <c r="BK919" i="13"/>
  <c r="BK918" i="13"/>
  <c r="BL918" i="13" s="1"/>
  <c r="BM918" i="13" s="1"/>
  <c r="BK917" i="13"/>
  <c r="BK916" i="13"/>
  <c r="BL916" i="13" s="1"/>
  <c r="BM916" i="13" s="1"/>
  <c r="BK915" i="13"/>
  <c r="BK867" i="13"/>
  <c r="BK866" i="13"/>
  <c r="BK865" i="13"/>
  <c r="BK862" i="13"/>
  <c r="BK861" i="13"/>
  <c r="BK859" i="13"/>
  <c r="BK858" i="13"/>
  <c r="BK857" i="13"/>
  <c r="BK844" i="13"/>
  <c r="BK840" i="13"/>
  <c r="BK839" i="13"/>
  <c r="BK836" i="13"/>
  <c r="BK826" i="13"/>
  <c r="BK822" i="13"/>
  <c r="BK821" i="13"/>
  <c r="BK818" i="13"/>
  <c r="BK806" i="13"/>
  <c r="BK804" i="13"/>
  <c r="BK803" i="13"/>
  <c r="BK800" i="13"/>
  <c r="BK796" i="13"/>
  <c r="BK786" i="13"/>
  <c r="BK785" i="13"/>
  <c r="BK783" i="13"/>
  <c r="BK782" i="13"/>
  <c r="BK778" i="13"/>
  <c r="BK775" i="13"/>
  <c r="BK764" i="13"/>
  <c r="BK760" i="13"/>
  <c r="BK759" i="13"/>
  <c r="BK756" i="13"/>
  <c r="BK746" i="13"/>
  <c r="BK742" i="13"/>
  <c r="BK741" i="13"/>
  <c r="BK738" i="13"/>
  <c r="BK724" i="13"/>
  <c r="BK723" i="13"/>
  <c r="BK722" i="13"/>
  <c r="BK720" i="13"/>
  <c r="BK716" i="13"/>
  <c r="BK707" i="13"/>
  <c r="BK706" i="13"/>
  <c r="BK705" i="13"/>
  <c r="BK702" i="13"/>
  <c r="BK699" i="13"/>
  <c r="BK698" i="13"/>
  <c r="BK697" i="13"/>
  <c r="BK687" i="13"/>
  <c r="BK686" i="13"/>
  <c r="BK684" i="13"/>
  <c r="BK682" i="13"/>
  <c r="BK680" i="13"/>
  <c r="BK679" i="13"/>
  <c r="BK678" i="13"/>
  <c r="BK676" i="13"/>
  <c r="BK664" i="13"/>
  <c r="BK661" i="13"/>
  <c r="BK660" i="13"/>
  <c r="BK656" i="13"/>
  <c r="BK646" i="13"/>
  <c r="BK643" i="13"/>
  <c r="BK642" i="13"/>
  <c r="BK638" i="13"/>
  <c r="BK625" i="13"/>
  <c r="BK624" i="13"/>
  <c r="BK620" i="13"/>
  <c r="BK616" i="13"/>
  <c r="BK607" i="13"/>
  <c r="BK606" i="13"/>
  <c r="BK602" i="13"/>
  <c r="BK599" i="13"/>
  <c r="BK598" i="13"/>
  <c r="BK584" i="13"/>
  <c r="BK581" i="13"/>
  <c r="BK580" i="13"/>
  <c r="BK576" i="13"/>
  <c r="BK566" i="13"/>
  <c r="BK563" i="13"/>
  <c r="BK562" i="13"/>
  <c r="BK558" i="13"/>
  <c r="BK545" i="13"/>
  <c r="BK544" i="13"/>
  <c r="BK540" i="13"/>
  <c r="BK536" i="13"/>
  <c r="BK527" i="13"/>
  <c r="BK526" i="13"/>
  <c r="BK522" i="13"/>
  <c r="BK518" i="13"/>
  <c r="BK515" i="13"/>
  <c r="BK504" i="13"/>
  <c r="BK501" i="13"/>
  <c r="BK500" i="13"/>
  <c r="BK496" i="13"/>
  <c r="BK486" i="13"/>
  <c r="BK483" i="13"/>
  <c r="BK482" i="13"/>
  <c r="BK478" i="13"/>
  <c r="BK475" i="13"/>
  <c r="BK464" i="13"/>
  <c r="BK460" i="13"/>
  <c r="BK457" i="13"/>
  <c r="BK456" i="13"/>
  <c r="BK446" i="13"/>
  <c r="BK442" i="13"/>
  <c r="BK439" i="13"/>
  <c r="BK438" i="13"/>
  <c r="BK424" i="13"/>
  <c r="BK421" i="13"/>
  <c r="BK420" i="13"/>
  <c r="BK416" i="13"/>
  <c r="BK406" i="13"/>
  <c r="BK403" i="13"/>
  <c r="BK402" i="13"/>
  <c r="BK398" i="13"/>
  <c r="BK394" i="13"/>
  <c r="BK384" i="13"/>
  <c r="BK380" i="13"/>
  <c r="BK376" i="13"/>
  <c r="BK366" i="13"/>
  <c r="BK362" i="13"/>
  <c r="BK359" i="13"/>
  <c r="BK358" i="13"/>
  <c r="BK354" i="13"/>
  <c r="BK345" i="13"/>
  <c r="BK344" i="13"/>
  <c r="BK340" i="13"/>
  <c r="BK336" i="13"/>
  <c r="BK326" i="13"/>
  <c r="BK322" i="13"/>
  <c r="BK318" i="13"/>
  <c r="BK314" i="13"/>
  <c r="AD328" i="13"/>
  <c r="AD329" i="13"/>
  <c r="BK295" i="13"/>
  <c r="BK296" i="13"/>
  <c r="BK297" i="13"/>
  <c r="BK298" i="13"/>
  <c r="BK299" i="13"/>
  <c r="BK300" i="13"/>
  <c r="BK301" i="13"/>
  <c r="BK302" i="13"/>
  <c r="BK303" i="13"/>
  <c r="BK304" i="13"/>
  <c r="BK305" i="13"/>
  <c r="BK306" i="13"/>
  <c r="BK307" i="13"/>
  <c r="AC252" i="13"/>
  <c r="BK252" i="13" s="1"/>
  <c r="W56" i="13" s="1"/>
  <c r="AC253" i="13"/>
  <c r="BK253" i="13" s="1"/>
  <c r="W57" i="13" s="1"/>
  <c r="AC255" i="13"/>
  <c r="BK255" i="13" s="1"/>
  <c r="W59" i="13" s="1"/>
  <c r="AC256" i="13"/>
  <c r="BK256" i="13" s="1"/>
  <c r="W60" i="13" s="1"/>
  <c r="AC257" i="13"/>
  <c r="BK257" i="13" s="1"/>
  <c r="W61" i="13" s="1"/>
  <c r="AC260" i="13"/>
  <c r="BK260" i="13" s="1"/>
  <c r="W64" i="13" s="1"/>
  <c r="AC261" i="13"/>
  <c r="BK261" i="13" s="1"/>
  <c r="W65" i="13" s="1"/>
  <c r="AC264" i="13"/>
  <c r="BK264" i="13" s="1"/>
  <c r="W68" i="13" s="1"/>
  <c r="AC231" i="13"/>
  <c r="BK231" i="13" s="1"/>
  <c r="T55" i="13" s="1"/>
  <c r="AC234" i="13"/>
  <c r="BK234" i="13" s="1"/>
  <c r="T58" i="13" s="1"/>
  <c r="AC235" i="13"/>
  <c r="BK235" i="13" s="1"/>
  <c r="T59" i="13" s="1"/>
  <c r="AC238" i="13"/>
  <c r="BK238" i="13" s="1"/>
  <c r="T62" i="13" s="1"/>
  <c r="AC239" i="13"/>
  <c r="BK239" i="13" s="1"/>
  <c r="T63" i="13" s="1"/>
  <c r="AC241" i="13"/>
  <c r="BK241" i="13" s="1"/>
  <c r="T65" i="13" s="1"/>
  <c r="AC242" i="13"/>
  <c r="BK242" i="13" s="1"/>
  <c r="T66" i="13" s="1"/>
  <c r="AC243" i="13"/>
  <c r="BK243" i="13" s="1"/>
  <c r="T67" i="13" s="1"/>
  <c r="AC176" i="13" l="1"/>
  <c r="BK176" i="13" s="1"/>
  <c r="I60" i="13" s="1"/>
  <c r="AC202" i="13"/>
  <c r="BK202" i="13" s="1"/>
  <c r="F66" i="13" s="1"/>
  <c r="AC272" i="13"/>
  <c r="BK272" i="13" s="1"/>
  <c r="BL917" i="13"/>
  <c r="BM917" i="13" s="1"/>
  <c r="BL925" i="13"/>
  <c r="BM925" i="13" s="1"/>
  <c r="BL921" i="13"/>
  <c r="BM921" i="13" s="1"/>
  <c r="BL920" i="13"/>
  <c r="BM920" i="13" s="1"/>
  <c r="AC213" i="13"/>
  <c r="BK213" i="13" s="1"/>
  <c r="L57" i="13" s="1"/>
  <c r="AC221" i="13"/>
  <c r="BK221" i="13" s="1"/>
  <c r="L65" i="13" s="1"/>
  <c r="BL915" i="13"/>
  <c r="BM915" i="13" s="1"/>
  <c r="BL923" i="13"/>
  <c r="BM923" i="13" s="1"/>
  <c r="BL922" i="13"/>
  <c r="BM922" i="13" s="1"/>
  <c r="AC263" i="13"/>
  <c r="BK263" i="13" s="1"/>
  <c r="W67" i="13" s="1"/>
  <c r="BK816" i="13"/>
  <c r="BK696" i="13"/>
  <c r="AC237" i="13"/>
  <c r="BK237" i="13" s="1"/>
  <c r="T61" i="13" s="1"/>
  <c r="AC217" i="13"/>
  <c r="BK217" i="13" s="1"/>
  <c r="L61" i="13" s="1"/>
  <c r="AC259" i="13"/>
  <c r="BK259" i="13" s="1"/>
  <c r="W63" i="13" s="1"/>
  <c r="BL919" i="13"/>
  <c r="BM919" i="13" s="1"/>
  <c r="BL927" i="13"/>
  <c r="BM927" i="13" s="1"/>
  <c r="AC181" i="13"/>
  <c r="BK181" i="13" s="1"/>
  <c r="I65" i="13" s="1"/>
  <c r="AC201" i="13"/>
  <c r="BK201" i="13" s="1"/>
  <c r="F65" i="13" s="1"/>
  <c r="AC173" i="13"/>
  <c r="BK173" i="13" s="1"/>
  <c r="I57" i="13" s="1"/>
  <c r="AC171" i="13"/>
  <c r="BK171" i="13" s="1"/>
  <c r="AC183" i="13"/>
  <c r="BK183" i="13" s="1"/>
  <c r="I67" i="13" s="1"/>
  <c r="AC191" i="13"/>
  <c r="BK191" i="13" s="1"/>
  <c r="F55" i="13" s="1"/>
  <c r="AC203" i="13"/>
  <c r="BK203" i="13" s="1"/>
  <c r="F67" i="13" s="1"/>
  <c r="AC275" i="13"/>
  <c r="BK275" i="13" s="1"/>
  <c r="AC283" i="13"/>
  <c r="BK283" i="13" s="1"/>
  <c r="G2453" i="30" a="1"/>
  <c r="U2458" i="30" s="1"/>
  <c r="G2657" i="30" a="1"/>
  <c r="U2663" i="30" s="1"/>
  <c r="G2861" i="30" a="1"/>
  <c r="U2867" i="30" s="1"/>
  <c r="AC179" i="13"/>
  <c r="BK179" i="13" s="1"/>
  <c r="I63" i="13" s="1"/>
  <c r="AC199" i="13"/>
  <c r="BK199" i="13" s="1"/>
  <c r="F63" i="13" s="1"/>
  <c r="AC219" i="13"/>
  <c r="BK219" i="13" s="1"/>
  <c r="L63" i="13" s="1"/>
  <c r="BK346" i="13"/>
  <c r="BK484" i="13"/>
  <c r="BK666" i="13"/>
  <c r="AC197" i="13"/>
  <c r="BK197" i="13" s="1"/>
  <c r="F61" i="13" s="1"/>
  <c r="BK316" i="13"/>
  <c r="BK334" i="13"/>
  <c r="BK586" i="13"/>
  <c r="AC175" i="13"/>
  <c r="BK175" i="13" s="1"/>
  <c r="I59" i="13" s="1"/>
  <c r="AC195" i="13"/>
  <c r="BK195" i="13" s="1"/>
  <c r="F59" i="13" s="1"/>
  <c r="AC215" i="13"/>
  <c r="BK215" i="13" s="1"/>
  <c r="L59" i="13" s="1"/>
  <c r="BK426" i="13"/>
  <c r="BK476" i="13"/>
  <c r="BK414" i="13"/>
  <c r="AC193" i="13"/>
  <c r="BK193" i="13" s="1"/>
  <c r="F57" i="13" s="1"/>
  <c r="AC211" i="13"/>
  <c r="BK211" i="13" s="1"/>
  <c r="L55" i="13" s="1"/>
  <c r="AC277" i="13"/>
  <c r="BK277" i="13" s="1"/>
  <c r="BK578" i="13"/>
  <c r="G2555" i="30" a="1"/>
  <c r="G2759" i="30" a="1"/>
  <c r="G1739" i="30" a="1"/>
  <c r="U1745" i="30" s="1"/>
  <c r="G1943" i="30" a="1"/>
  <c r="G1943" i="30" s="1"/>
  <c r="G2147" i="30" a="1"/>
  <c r="G2147" i="30" s="1"/>
  <c r="G2351" i="30" a="1"/>
  <c r="AA328" i="13"/>
  <c r="AA329" i="13" s="1"/>
  <c r="G2504" i="30" a="1"/>
  <c r="G2708" i="30" a="1"/>
  <c r="G2300" i="30" a="1"/>
  <c r="G2402" i="30" a="1"/>
  <c r="AC348" i="13"/>
  <c r="BK348" i="13" s="1"/>
  <c r="G2249" i="30" a="1"/>
  <c r="G2606" i="30" a="1"/>
  <c r="G2810" i="30" a="1"/>
  <c r="G2198" i="30" a="1"/>
  <c r="X328" i="13"/>
  <c r="X329" i="13" s="1"/>
  <c r="G1587" i="30" a="1"/>
  <c r="G1790" i="30" a="1"/>
  <c r="G1994" i="30" a="1"/>
  <c r="AB328" i="13"/>
  <c r="AB329" i="13" s="1"/>
  <c r="G1485" i="30" a="1"/>
  <c r="G1892" i="30" a="1"/>
  <c r="G2096" i="30" a="1"/>
  <c r="BK337" i="13"/>
  <c r="G1434" i="30" a="1"/>
  <c r="G1638" i="30" a="1"/>
  <c r="G1841" i="30" a="1"/>
  <c r="G2045" i="30" a="1"/>
  <c r="AC368" i="13"/>
  <c r="BK368" i="13" s="1"/>
  <c r="AC388" i="13"/>
  <c r="BK388" i="13" s="1"/>
  <c r="AC408" i="13"/>
  <c r="BK408" i="13" s="1"/>
  <c r="AC196" i="13"/>
  <c r="BK196" i="13" s="1"/>
  <c r="F60" i="13" s="1"/>
  <c r="AC204" i="13"/>
  <c r="BK204" i="13" s="1"/>
  <c r="F68" i="13" s="1"/>
  <c r="AC274" i="13"/>
  <c r="BK274" i="13" s="1"/>
  <c r="AC282" i="13"/>
  <c r="BK282" i="13" s="1"/>
  <c r="AC178" i="13"/>
  <c r="BK178" i="13" s="1"/>
  <c r="I62" i="13" s="1"/>
  <c r="AC180" i="13"/>
  <c r="BK180" i="13" s="1"/>
  <c r="I64" i="13" s="1"/>
  <c r="AC276" i="13"/>
  <c r="BK276" i="13" s="1"/>
  <c r="AC284" i="13"/>
  <c r="BK284" i="13" s="1"/>
  <c r="AC214" i="13"/>
  <c r="BK214" i="13" s="1"/>
  <c r="L58" i="13" s="1"/>
  <c r="AC222" i="13"/>
  <c r="BK222" i="13" s="1"/>
  <c r="L66" i="13" s="1"/>
  <c r="I55" i="13"/>
  <c r="Z328" i="13"/>
  <c r="Z329" i="13" s="1"/>
  <c r="AC177" i="13"/>
  <c r="BK177" i="13" s="1"/>
  <c r="I61" i="13" s="1"/>
  <c r="Y328" i="13"/>
  <c r="Y329" i="13" s="1"/>
  <c r="AC184" i="13"/>
  <c r="AC236" i="13"/>
  <c r="BK236" i="13" s="1"/>
  <c r="T60" i="13" s="1"/>
  <c r="AC262" i="13"/>
  <c r="BK262" i="13" s="1"/>
  <c r="W66" i="13" s="1"/>
  <c r="AC254" i="13"/>
  <c r="AC280" i="13"/>
  <c r="BK280" i="13" s="1"/>
  <c r="AC328" i="13"/>
  <c r="BK328" i="13" s="1"/>
  <c r="BK375" i="13"/>
  <c r="BK397" i="13"/>
  <c r="BK677" i="13"/>
  <c r="BK685" i="13"/>
  <c r="AC200" i="13"/>
  <c r="BK200" i="13" s="1"/>
  <c r="F64" i="13" s="1"/>
  <c r="AC192" i="13"/>
  <c r="AC218" i="13"/>
  <c r="BK218" i="13" s="1"/>
  <c r="L62" i="13" s="1"/>
  <c r="AC244" i="13"/>
  <c r="BK244" i="13" s="1"/>
  <c r="T68" i="13" s="1"/>
  <c r="AC278" i="13"/>
  <c r="BK278" i="13" s="1"/>
  <c r="BK321" i="13"/>
  <c r="BK419" i="13"/>
  <c r="BK427" i="13"/>
  <c r="BK579" i="13"/>
  <c r="BK587" i="13"/>
  <c r="AC172" i="13"/>
  <c r="BK172" i="13" s="1"/>
  <c r="BK343" i="13"/>
  <c r="AC428" i="13"/>
  <c r="BK428" i="13" s="1"/>
  <c r="AC508" i="13"/>
  <c r="BK508" i="13" s="1"/>
  <c r="AC198" i="13"/>
  <c r="BK198" i="13" s="1"/>
  <c r="F62" i="13" s="1"/>
  <c r="AC216" i="13"/>
  <c r="BK216" i="13" s="1"/>
  <c r="L60" i="13" s="1"/>
  <c r="BK357" i="13"/>
  <c r="AC224" i="13"/>
  <c r="BK224" i="13" s="1"/>
  <c r="L68" i="13" s="1"/>
  <c r="AC258" i="13"/>
  <c r="BK258" i="13" s="1"/>
  <c r="W62" i="13" s="1"/>
  <c r="BK474" i="13"/>
  <c r="AC488" i="13"/>
  <c r="BK634" i="13"/>
  <c r="AC648" i="13"/>
  <c r="G17" i="13" s="1"/>
  <c r="BK454" i="13"/>
  <c r="AC468" i="13"/>
  <c r="G13" i="13" s="1"/>
  <c r="BK614" i="13"/>
  <c r="AC628" i="13"/>
  <c r="BK774" i="13"/>
  <c r="AC788" i="13"/>
  <c r="G19" i="13" s="1"/>
  <c r="BK914" i="13"/>
  <c r="BL914" i="13" s="1"/>
  <c r="BM914" i="13" s="1"/>
  <c r="AC928" i="13"/>
  <c r="G23" i="13" s="1"/>
  <c r="BK434" i="13"/>
  <c r="AC448" i="13"/>
  <c r="BK594" i="13"/>
  <c r="AC608" i="13"/>
  <c r="BK754" i="13"/>
  <c r="AC768" i="13"/>
  <c r="G18" i="13" s="1"/>
  <c r="AC182" i="13"/>
  <c r="AC174" i="13"/>
  <c r="BK574" i="13"/>
  <c r="AC588" i="13"/>
  <c r="BK734" i="13"/>
  <c r="AC748" i="13"/>
  <c r="G16" i="13" s="1"/>
  <c r="BK554" i="13"/>
  <c r="AC568" i="13"/>
  <c r="BK714" i="13"/>
  <c r="AC728" i="13"/>
  <c r="BK794" i="13"/>
  <c r="AC808" i="13"/>
  <c r="G21" i="13" s="1"/>
  <c r="AC220" i="13"/>
  <c r="BK220" i="13" s="1"/>
  <c r="L64" i="13" s="1"/>
  <c r="AC212" i="13"/>
  <c r="BK212" i="13" s="1"/>
  <c r="L56" i="13" s="1"/>
  <c r="AC240" i="13"/>
  <c r="BK240" i="13" s="1"/>
  <c r="T64" i="13" s="1"/>
  <c r="AC232" i="13"/>
  <c r="BK232" i="13" s="1"/>
  <c r="T56" i="13" s="1"/>
  <c r="AC308" i="13"/>
  <c r="BK534" i="13"/>
  <c r="AC548" i="13"/>
  <c r="G15" i="13" s="1"/>
  <c r="BK694" i="13"/>
  <c r="AC708" i="13"/>
  <c r="BK854" i="13"/>
  <c r="AC868" i="13"/>
  <c r="BK494" i="13"/>
  <c r="AC279" i="13"/>
  <c r="BK279" i="13" s="1"/>
  <c r="AC271" i="13"/>
  <c r="BK514" i="13"/>
  <c r="AC528" i="13"/>
  <c r="BK674" i="13"/>
  <c r="BK834" i="13"/>
  <c r="AC848" i="13"/>
  <c r="BK654" i="13"/>
  <c r="AC668" i="13"/>
  <c r="BK814" i="13"/>
  <c r="AC828" i="13"/>
  <c r="AC161" i="13" l="1"/>
  <c r="BK161" i="13" s="1"/>
  <c r="U2459" i="30"/>
  <c r="G2453" i="30"/>
  <c r="AC163" i="13"/>
  <c r="BK163" i="13" s="1"/>
  <c r="G2861" i="30"/>
  <c r="AC409" i="13"/>
  <c r="BK409" i="13" s="1"/>
  <c r="AC509" i="13"/>
  <c r="BK509" i="13" s="1"/>
  <c r="AC389" i="13"/>
  <c r="BK389" i="13" s="1"/>
  <c r="G2657" i="30"/>
  <c r="U2153" i="30"/>
  <c r="AC159" i="13"/>
  <c r="BK159" i="13" s="1"/>
  <c r="AC153" i="13"/>
  <c r="BK153" i="13" s="1"/>
  <c r="AC349" i="13"/>
  <c r="BK349" i="13" s="1"/>
  <c r="AC151" i="13"/>
  <c r="BK151" i="13" s="1"/>
  <c r="U1949" i="30"/>
  <c r="AC155" i="13"/>
  <c r="BK155" i="13" s="1"/>
  <c r="G1739" i="30"/>
  <c r="G2504" i="30"/>
  <c r="U2510" i="30"/>
  <c r="G12" i="13"/>
  <c r="U2204" i="30"/>
  <c r="G2198" i="30"/>
  <c r="G2810" i="30"/>
  <c r="U2816" i="30"/>
  <c r="G2351" i="30"/>
  <c r="U2357" i="30"/>
  <c r="G2606" i="30"/>
  <c r="U2612" i="30"/>
  <c r="G2249" i="30"/>
  <c r="U2255" i="30"/>
  <c r="U2408" i="30"/>
  <c r="G2402" i="30"/>
  <c r="AC369" i="13"/>
  <c r="BK369" i="13" s="1"/>
  <c r="G2300" i="30"/>
  <c r="U2306" i="30"/>
  <c r="U2765" i="30"/>
  <c r="G2759" i="30"/>
  <c r="G2708" i="30"/>
  <c r="U2714" i="30"/>
  <c r="U2561" i="30"/>
  <c r="G2555" i="30"/>
  <c r="U1491" i="30"/>
  <c r="G1485" i="30"/>
  <c r="U2102" i="30"/>
  <c r="G2096" i="30"/>
  <c r="U1847" i="30"/>
  <c r="G1841" i="30"/>
  <c r="G1790" i="30"/>
  <c r="U1796" i="30"/>
  <c r="U1644" i="30"/>
  <c r="G1638" i="30"/>
  <c r="U1593" i="30"/>
  <c r="G1587" i="30"/>
  <c r="U1898" i="30"/>
  <c r="G1892" i="30"/>
  <c r="U1440" i="30"/>
  <c r="G1434" i="30"/>
  <c r="U2051" i="30"/>
  <c r="G2045" i="30"/>
  <c r="G14" i="13"/>
  <c r="AC429" i="13"/>
  <c r="BK429" i="13" s="1"/>
  <c r="AC157" i="13"/>
  <c r="BK157" i="13" s="1"/>
  <c r="G1994" i="30"/>
  <c r="U2000" i="30"/>
  <c r="I56" i="13"/>
  <c r="AC329" i="13"/>
  <c r="BK329" i="13" s="1"/>
  <c r="AC160" i="13"/>
  <c r="BK160" i="13" s="1"/>
  <c r="AC245" i="13"/>
  <c r="G7" i="13" s="1"/>
  <c r="AC152" i="13"/>
  <c r="BK152" i="13" s="1"/>
  <c r="AC185" i="13"/>
  <c r="G4" i="13" s="1"/>
  <c r="BK184" i="13"/>
  <c r="I68" i="13" s="1"/>
  <c r="AC164" i="13"/>
  <c r="BK164" i="13" s="1"/>
  <c r="AC156" i="13"/>
  <c r="BK156" i="13" s="1"/>
  <c r="AC225" i="13"/>
  <c r="G6" i="13" s="1"/>
  <c r="BK192" i="13"/>
  <c r="F56" i="13" s="1"/>
  <c r="AC205" i="13"/>
  <c r="G5" i="13" s="1"/>
  <c r="AC158" i="13"/>
  <c r="BK158" i="13" s="1"/>
  <c r="BK254" i="13"/>
  <c r="W58" i="13" s="1"/>
  <c r="AC265" i="13"/>
  <c r="G8" i="13" s="1"/>
  <c r="BK708" i="13"/>
  <c r="AC709" i="13"/>
  <c r="BK709" i="13" s="1"/>
  <c r="BK528" i="13"/>
  <c r="AC529" i="13"/>
  <c r="BK529" i="13" s="1"/>
  <c r="BK688" i="13"/>
  <c r="BK689" i="13"/>
  <c r="BK928" i="13"/>
  <c r="BL928" i="13" s="1"/>
  <c r="BM928" i="13" s="1"/>
  <c r="AC929" i="13"/>
  <c r="BK929" i="13" s="1"/>
  <c r="BL929" i="13" s="1"/>
  <c r="BM929" i="13" s="1"/>
  <c r="BK768" i="13"/>
  <c r="AC769" i="13"/>
  <c r="BK769" i="13" s="1"/>
  <c r="BK848" i="13"/>
  <c r="AC849" i="13"/>
  <c r="BK849" i="13" s="1"/>
  <c r="BK868" i="13"/>
  <c r="AC869" i="13"/>
  <c r="BK869" i="13" s="1"/>
  <c r="BK568" i="13"/>
  <c r="AC569" i="13"/>
  <c r="BK569" i="13" s="1"/>
  <c r="BK174" i="13"/>
  <c r="I58" i="13" s="1"/>
  <c r="AC154" i="13"/>
  <c r="BK448" i="13"/>
  <c r="AC449" i="13"/>
  <c r="BK449" i="13" s="1"/>
  <c r="BK308" i="13"/>
  <c r="AC309" i="13"/>
  <c r="BK309" i="13" s="1"/>
  <c r="BK668" i="13"/>
  <c r="AC669" i="13"/>
  <c r="BK669" i="13" s="1"/>
  <c r="BK182" i="13"/>
  <c r="I66" i="13" s="1"/>
  <c r="AC162" i="13"/>
  <c r="BK162" i="13" s="1"/>
  <c r="BK788" i="13"/>
  <c r="AC789" i="13"/>
  <c r="BK789" i="13" s="1"/>
  <c r="BK628" i="13"/>
  <c r="AC629" i="13"/>
  <c r="BK629" i="13" s="1"/>
  <c r="BK728" i="13"/>
  <c r="AC729" i="13"/>
  <c r="BK729" i="13" s="1"/>
  <c r="BK468" i="13"/>
  <c r="AC469" i="13"/>
  <c r="BK469" i="13" s="1"/>
  <c r="BK271" i="13"/>
  <c r="AC285" i="13"/>
  <c r="G11" i="13" s="1"/>
  <c r="BK608" i="13"/>
  <c r="AC609" i="13"/>
  <c r="BK609" i="13" s="1"/>
  <c r="BK828" i="13"/>
  <c r="AC829" i="13"/>
  <c r="BK829" i="13" s="1"/>
  <c r="BK588" i="13"/>
  <c r="AC589" i="13"/>
  <c r="BK589" i="13" s="1"/>
  <c r="BK488" i="13"/>
  <c r="AC489" i="13"/>
  <c r="BK489" i="13" s="1"/>
  <c r="BK548" i="13"/>
  <c r="AC549" i="13"/>
  <c r="BK549" i="13" s="1"/>
  <c r="BK808" i="13"/>
  <c r="AC809" i="13"/>
  <c r="BK809" i="13" s="1"/>
  <c r="BK748" i="13"/>
  <c r="AC749" i="13"/>
  <c r="BK749" i="13" s="1"/>
  <c r="BK648" i="13"/>
  <c r="AC649" i="13"/>
  <c r="BK649" i="13" s="1"/>
  <c r="G3045" i="30" l="1" a="1"/>
  <c r="G3045" i="30" s="1"/>
  <c r="U3045" i="30" s="1"/>
  <c r="BK225" i="13"/>
  <c r="L69" i="13" s="1"/>
  <c r="AC226" i="13"/>
  <c r="BK226" i="13" s="1"/>
  <c r="BK265" i="13"/>
  <c r="W69" i="13" s="1"/>
  <c r="AC266" i="13"/>
  <c r="BK266" i="13" s="1"/>
  <c r="AC165" i="13"/>
  <c r="BK185" i="13"/>
  <c r="I69" i="13" s="1"/>
  <c r="AC186" i="13"/>
  <c r="BK186" i="13" s="1"/>
  <c r="BK205" i="13"/>
  <c r="F69" i="13" s="1"/>
  <c r="AC206" i="13"/>
  <c r="BK206" i="13" s="1"/>
  <c r="BK245" i="13"/>
  <c r="T69" i="13" s="1"/>
  <c r="AC246" i="13"/>
  <c r="BK246" i="13" s="1"/>
  <c r="BK285" i="13"/>
  <c r="AC286" i="13"/>
  <c r="BK286" i="13" s="1"/>
  <c r="BK154" i="13"/>
  <c r="U3047" i="30" l="1"/>
  <c r="U3048" i="30" s="1"/>
  <c r="U3046" i="30"/>
  <c r="AC166" i="13"/>
  <c r="BK166" i="13" s="1"/>
  <c r="O69" i="13"/>
  <c r="BK165" i="13"/>
  <c r="G9" i="13"/>
  <c r="G421" i="30" l="1" a="1"/>
  <c r="AB454" i="11"/>
  <c r="Z454" i="11"/>
  <c r="AD454" i="11"/>
  <c r="X454" i="11"/>
  <c r="AC454" i="11"/>
  <c r="Y454" i="11"/>
  <c r="AA454" i="11"/>
  <c r="T459" i="11"/>
  <c r="T460" i="11"/>
  <c r="T461" i="11"/>
  <c r="T462" i="11"/>
  <c r="T463" i="11"/>
  <c r="T464" i="11"/>
  <c r="T465" i="11"/>
  <c r="T466" i="11"/>
  <c r="T467" i="11"/>
  <c r="T468" i="11"/>
  <c r="T469" i="11"/>
  <c r="T470" i="11"/>
  <c r="T471" i="11"/>
  <c r="T472" i="11"/>
  <c r="T478" i="11"/>
  <c r="T479" i="11"/>
  <c r="T480" i="11"/>
  <c r="T481" i="11"/>
  <c r="T482" i="11"/>
  <c r="T483" i="11"/>
  <c r="T484" i="11"/>
  <c r="T485" i="11"/>
  <c r="T486" i="11"/>
  <c r="T487" i="11"/>
  <c r="T488" i="11"/>
  <c r="T489" i="11"/>
  <c r="T490" i="11"/>
  <c r="T491" i="11"/>
  <c r="T440" i="11"/>
  <c r="T441" i="11"/>
  <c r="T442" i="11"/>
  <c r="T443" i="11"/>
  <c r="T444" i="11"/>
  <c r="T445" i="11"/>
  <c r="T446" i="11"/>
  <c r="T447" i="11"/>
  <c r="T448" i="11"/>
  <c r="T449" i="11"/>
  <c r="T450" i="11"/>
  <c r="T451" i="11"/>
  <c r="T452" i="11"/>
  <c r="T453" i="11"/>
  <c r="T421" i="11"/>
  <c r="T422" i="11"/>
  <c r="T423" i="11"/>
  <c r="T424" i="11"/>
  <c r="T425" i="11"/>
  <c r="T426" i="11"/>
  <c r="T427" i="11"/>
  <c r="T428" i="11"/>
  <c r="T429" i="11"/>
  <c r="T430" i="11"/>
  <c r="T431" i="11"/>
  <c r="T432" i="11"/>
  <c r="T433" i="11"/>
  <c r="T434" i="11"/>
  <c r="AD395" i="11"/>
  <c r="AD390" i="11"/>
  <c r="AD387" i="11"/>
  <c r="AD386" i="11"/>
  <c r="AD394" i="11"/>
  <c r="AD393" i="11"/>
  <c r="AD391" i="11"/>
  <c r="AD389" i="11"/>
  <c r="AD388" i="11"/>
  <c r="AD385" i="11"/>
  <c r="AD384" i="11"/>
  <c r="AD383" i="11"/>
  <c r="AD382" i="11" l="1"/>
  <c r="T507" i="11"/>
  <c r="T499" i="11"/>
  <c r="T492" i="11"/>
  <c r="T504" i="11"/>
  <c r="T435" i="11"/>
  <c r="T473" i="11"/>
  <c r="T506" i="11"/>
  <c r="T498" i="11"/>
  <c r="T505" i="11"/>
  <c r="T497" i="11"/>
  <c r="T510" i="11"/>
  <c r="T502" i="11"/>
  <c r="T509" i="11"/>
  <c r="T501" i="11"/>
  <c r="T508" i="11"/>
  <c r="T500" i="11"/>
  <c r="U427" i="30"/>
  <c r="G421" i="30"/>
  <c r="T503" i="11"/>
  <c r="T454" i="11"/>
  <c r="T511" i="11" l="1"/>
  <c r="AC396" i="11"/>
  <c r="AD396" i="11" s="1"/>
  <c r="AD392" i="11"/>
  <c r="G389" i="30" s="1" a="1"/>
  <c r="U390" i="30" l="1"/>
  <c r="G389" i="30"/>
  <c r="U389" i="30" s="1"/>
  <c r="G344" i="30" a="1"/>
  <c r="G344" i="30" s="1"/>
  <c r="U344" i="30" l="1"/>
  <c r="U365" i="30"/>
  <c r="U356" i="30"/>
  <c r="U348" i="30"/>
  <c r="U363" i="30"/>
  <c r="U358" i="30"/>
  <c r="U362" i="30"/>
  <c r="U354" i="30"/>
  <c r="U346" i="30"/>
  <c r="U350" i="30"/>
  <c r="U360" i="30"/>
  <c r="U352" i="30"/>
  <c r="M371" i="30" l="1"/>
  <c r="Q371" i="30"/>
  <c r="T371" i="30"/>
  <c r="I371" i="30"/>
  <c r="G371" i="30"/>
  <c r="K371" i="30"/>
  <c r="U367" i="30"/>
  <c r="U372" i="30" s="1"/>
  <c r="S371" i="30"/>
  <c r="J371" i="30"/>
  <c r="H371" i="30"/>
  <c r="P371" i="30"/>
  <c r="R371" i="30"/>
  <c r="L371" i="30"/>
  <c r="N371" i="30"/>
  <c r="O371" i="30"/>
  <c r="F413" i="11"/>
  <c r="F412" i="11"/>
  <c r="F411" i="11"/>
  <c r="F410" i="11"/>
  <c r="F409" i="11"/>
  <c r="F408" i="11"/>
  <c r="F407" i="11"/>
  <c r="F405" i="11"/>
  <c r="F404" i="11"/>
  <c r="F402" i="11"/>
  <c r="F401" i="11"/>
  <c r="G164" i="30" l="1" a="1"/>
  <c r="U369" i="30"/>
  <c r="U371" i="30" s="1"/>
  <c r="U168" i="30" l="1"/>
  <c r="U167" i="30"/>
  <c r="U166" i="30"/>
  <c r="U173" i="30"/>
  <c r="U169" i="30"/>
  <c r="U165" i="30"/>
  <c r="U174" i="30"/>
  <c r="U172" i="30"/>
  <c r="U170" i="30"/>
  <c r="G164" i="30"/>
  <c r="U164" i="30" s="1"/>
  <c r="U175" i="30"/>
  <c r="U171" i="30"/>
  <c r="F183" i="11"/>
  <c r="D13" i="28"/>
  <c r="D12" i="28"/>
  <c r="D11" i="28"/>
  <c r="D9" i="28"/>
  <c r="D8" i="28"/>
  <c r="D20" i="28"/>
  <c r="D19" i="28"/>
  <c r="D18" i="28"/>
  <c r="D17" i="28"/>
  <c r="D10" i="28"/>
  <c r="G164" i="11"/>
  <c r="F164" i="11"/>
  <c r="N38" i="11"/>
  <c r="N36" i="11"/>
  <c r="N34" i="11"/>
  <c r="N33" i="11"/>
  <c r="N32" i="11"/>
  <c r="N45" i="11"/>
  <c r="N44" i="11"/>
  <c r="N43" i="11"/>
  <c r="N42" i="11"/>
  <c r="N41" i="11"/>
  <c r="N40" i="11"/>
  <c r="N39" i="11"/>
  <c r="N37" i="11"/>
  <c r="N35" i="11"/>
  <c r="D14" i="28" l="1"/>
  <c r="D15" i="28"/>
  <c r="D16" i="28"/>
  <c r="D7" i="28"/>
  <c r="G176" i="30" a="1"/>
  <c r="G183" i="11"/>
  <c r="E183" i="11"/>
  <c r="E164" i="11"/>
  <c r="N20" i="11" l="1"/>
  <c r="N27" i="11"/>
  <c r="N19" i="11"/>
  <c r="N26" i="11"/>
  <c r="N18" i="11"/>
  <c r="N17" i="11"/>
  <c r="N16" i="11"/>
  <c r="N24" i="11"/>
  <c r="N23" i="11"/>
  <c r="N15" i="11"/>
  <c r="N21" i="11"/>
  <c r="N25" i="11"/>
  <c r="N22" i="11"/>
  <c r="N14" i="11"/>
  <c r="D21" i="28"/>
  <c r="U177" i="30"/>
  <c r="G176" i="30"/>
  <c r="U176" i="30" s="1"/>
  <c r="U178" i="30"/>
  <c r="G56" i="30" a="1"/>
  <c r="G56" i="30" l="1"/>
  <c r="U56" i="30" s="1"/>
  <c r="U57" i="30"/>
  <c r="U63" i="30"/>
  <c r="U62" i="30"/>
  <c r="U61" i="30"/>
  <c r="U60" i="30"/>
  <c r="U58" i="30"/>
  <c r="U59" i="30"/>
  <c r="AX95" i="10"/>
  <c r="AY95" i="10" s="1"/>
  <c r="AX88" i="10"/>
  <c r="AY88" i="10" s="1"/>
  <c r="AX87" i="10"/>
  <c r="AY87" i="10" s="1"/>
  <c r="AX98" i="10"/>
  <c r="AY98" i="10" s="1"/>
  <c r="AX90" i="10"/>
  <c r="AY90" i="10" s="1"/>
  <c r="AX91" i="10" l="1"/>
  <c r="AY91" i="10" s="1"/>
  <c r="AX86" i="10"/>
  <c r="AY86" i="10" s="1"/>
  <c r="AX94" i="10"/>
  <c r="AY94" i="10" s="1"/>
  <c r="AX93" i="10"/>
  <c r="AY93" i="10" s="1"/>
  <c r="AX89" i="10"/>
  <c r="AY89" i="10" s="1"/>
  <c r="AX97" i="10"/>
  <c r="AY97" i="10" s="1"/>
  <c r="AV99" i="10"/>
  <c r="AU99" i="10"/>
  <c r="AX85" i="10"/>
  <c r="AW99" i="10"/>
  <c r="AX92" i="10"/>
  <c r="AY92" i="10" s="1"/>
  <c r="AX96" i="10"/>
  <c r="AY96" i="10" s="1"/>
  <c r="AZ94" i="10" l="1"/>
  <c r="M14" i="23" s="1"/>
  <c r="AZ86" i="10"/>
  <c r="M6" i="23" s="1"/>
  <c r="AZ85" i="10"/>
  <c r="M5" i="23" s="1"/>
  <c r="AY85" i="10"/>
  <c r="AZ92" i="10"/>
  <c r="M12" i="23" s="1"/>
  <c r="AZ88" i="10"/>
  <c r="M8" i="23" s="1"/>
  <c r="AZ90" i="10"/>
  <c r="M10" i="23" s="1"/>
  <c r="AZ95" i="10"/>
  <c r="M15" i="23" s="1"/>
  <c r="AZ97" i="10"/>
  <c r="M17" i="23" s="1"/>
  <c r="AZ89" i="10"/>
  <c r="M9" i="23" s="1"/>
  <c r="AZ93" i="10"/>
  <c r="M13" i="23" s="1"/>
  <c r="AZ91" i="10"/>
  <c r="M11" i="23" s="1"/>
  <c r="AZ87" i="10"/>
  <c r="M7" i="23" s="1"/>
  <c r="AZ96" i="10"/>
  <c r="M16" i="23" s="1"/>
  <c r="AZ98" i="10"/>
  <c r="M18" i="23" s="1"/>
  <c r="AQ89" i="10"/>
  <c r="AR89" i="10" s="1"/>
  <c r="AQ97" i="10"/>
  <c r="AR97" i="10" s="1"/>
  <c r="AQ98" i="10"/>
  <c r="AQ96" i="10"/>
  <c r="AQ95" i="10"/>
  <c r="AR95" i="10" s="1"/>
  <c r="AQ94" i="10"/>
  <c r="AQ87" i="10"/>
  <c r="AQ86" i="10"/>
  <c r="AO99" i="10"/>
  <c r="AQ92" i="10"/>
  <c r="G635" i="30" l="1" a="1"/>
  <c r="AQ88" i="10"/>
  <c r="AR88" i="10" s="1"/>
  <c r="AN99" i="10"/>
  <c r="AQ90" i="10"/>
  <c r="AQ91" i="10"/>
  <c r="AR91" i="10" s="1"/>
  <c r="AP99" i="10"/>
  <c r="AQ93" i="10"/>
  <c r="AR93" i="10" s="1"/>
  <c r="AR92" i="10"/>
  <c r="AR98" i="10"/>
  <c r="AR87" i="10"/>
  <c r="AR96" i="10"/>
  <c r="AR94" i="10"/>
  <c r="AR86" i="10"/>
  <c r="AQ85" i="10"/>
  <c r="AS86" i="10" l="1"/>
  <c r="U638" i="30"/>
  <c r="G635" i="30"/>
  <c r="U635" i="30" s="1"/>
  <c r="U636" i="30"/>
  <c r="U637" i="30"/>
  <c r="U640" i="30"/>
  <c r="AS94" i="10"/>
  <c r="AS87" i="10"/>
  <c r="AS88" i="10"/>
  <c r="AS96" i="10"/>
  <c r="AS89" i="10"/>
  <c r="AS97" i="10"/>
  <c r="AR90" i="10"/>
  <c r="AS91" i="10"/>
  <c r="AS85" i="10"/>
  <c r="AR85" i="10"/>
  <c r="AS95" i="10"/>
  <c r="AS93" i="10"/>
  <c r="AS98" i="10"/>
  <c r="AS90" i="10"/>
  <c r="AS92" i="10"/>
  <c r="CX59" i="10" l="1"/>
  <c r="CV59" i="10"/>
  <c r="CT59" i="10"/>
  <c r="CR59" i="10"/>
  <c r="F11" i="28"/>
  <c r="F12" i="28"/>
  <c r="F13" i="28"/>
  <c r="F14" i="28"/>
  <c r="F19" i="28"/>
  <c r="F20" i="28"/>
  <c r="F7" i="28"/>
  <c r="CZ49" i="10" l="1"/>
  <c r="CZ42" i="10"/>
  <c r="CZ55" i="10"/>
  <c r="CZ53" i="10"/>
  <c r="F18" i="28"/>
  <c r="CZ45" i="10"/>
  <c r="F10" i="28"/>
  <c r="CZ52" i="10"/>
  <c r="F17" i="28"/>
  <c r="CZ44" i="10"/>
  <c r="F9" i="28"/>
  <c r="CZ54" i="10"/>
  <c r="CZ51" i="10"/>
  <c r="F16" i="28"/>
  <c r="CZ43" i="10"/>
  <c r="F8" i="28"/>
  <c r="CZ48" i="10"/>
  <c r="CZ47" i="10"/>
  <c r="CZ50" i="10"/>
  <c r="F15" i="28"/>
  <c r="CZ46" i="10"/>
  <c r="DA56" i="10"/>
  <c r="CZ56" i="10" l="1"/>
  <c r="F21" i="28"/>
  <c r="CY47" i="10"/>
  <c r="CY55" i="10"/>
  <c r="CY54" i="10"/>
  <c r="CY50" i="10"/>
  <c r="CW53" i="10"/>
  <c r="CY44" i="10"/>
  <c r="CY52" i="10"/>
  <c r="CW47" i="10"/>
  <c r="CY53" i="10"/>
  <c r="CW55" i="10"/>
  <c r="CW52" i="10"/>
  <c r="CW44" i="10"/>
  <c r="CW51" i="10"/>
  <c r="CW43" i="10"/>
  <c r="CY48" i="10"/>
  <c r="CY43" i="10"/>
  <c r="CW49" i="10"/>
  <c r="CY49" i="10"/>
  <c r="CV56" i="10"/>
  <c r="I32" i="10" s="1"/>
  <c r="CY42" i="10"/>
  <c r="CX56" i="10"/>
  <c r="J32" i="10" s="1"/>
  <c r="CW50" i="10"/>
  <c r="CY51" i="10"/>
  <c r="CW54" i="10"/>
  <c r="CW46" i="10"/>
  <c r="CW45" i="10"/>
  <c r="CW42" i="10"/>
  <c r="CY46" i="10"/>
  <c r="CY45" i="10"/>
  <c r="CW48" i="10"/>
  <c r="CU47" i="10"/>
  <c r="CU51" i="10"/>
  <c r="CU43" i="10"/>
  <c r="CU54" i="10"/>
  <c r="CU46" i="10"/>
  <c r="CU53" i="10"/>
  <c r="CU45" i="10"/>
  <c r="CU52" i="10"/>
  <c r="CU44" i="10"/>
  <c r="CU50" i="10"/>
  <c r="CU49" i="10"/>
  <c r="CT56" i="10"/>
  <c r="G32" i="10" s="1"/>
  <c r="CU42" i="10"/>
  <c r="CU48" i="10"/>
  <c r="CU55" i="10"/>
  <c r="DE51" i="10" l="1"/>
  <c r="DB51" i="10"/>
  <c r="CS47" i="10"/>
  <c r="DC47" i="10" s="1"/>
  <c r="DB43" i="10"/>
  <c r="DE43" i="10"/>
  <c r="DB50" i="10"/>
  <c r="DE50" i="10"/>
  <c r="DE49" i="10"/>
  <c r="DB49" i="10"/>
  <c r="DB42" i="10"/>
  <c r="DE42" i="10"/>
  <c r="CR56" i="10"/>
  <c r="F32" i="10" s="1"/>
  <c r="DB46" i="10"/>
  <c r="DE46" i="10"/>
  <c r="DB48" i="10"/>
  <c r="DE48" i="10"/>
  <c r="DE54" i="10"/>
  <c r="DB54" i="10"/>
  <c r="DE45" i="10"/>
  <c r="DB45" i="10"/>
  <c r="DE55" i="10"/>
  <c r="DB55" i="10"/>
  <c r="DB47" i="10"/>
  <c r="DE47" i="10"/>
  <c r="DE53" i="10"/>
  <c r="DB53" i="10"/>
  <c r="DB52" i="10"/>
  <c r="DE52" i="10"/>
  <c r="DB44" i="10"/>
  <c r="DE44" i="10"/>
  <c r="CS54" i="10"/>
  <c r="DC54" i="10" s="1"/>
  <c r="CS46" i="10"/>
  <c r="DC46" i="10" s="1"/>
  <c r="CS53" i="10"/>
  <c r="DC53" i="10" s="1"/>
  <c r="CS45" i="10"/>
  <c r="DC45" i="10" s="1"/>
  <c r="CS52" i="10"/>
  <c r="DC52" i="10" s="1"/>
  <c r="CS44" i="10"/>
  <c r="DC44" i="10" s="1"/>
  <c r="CS51" i="10"/>
  <c r="DC51" i="10" s="1"/>
  <c r="CS43" i="10"/>
  <c r="DC43" i="10" s="1"/>
  <c r="CS50" i="10"/>
  <c r="DC50" i="10" s="1"/>
  <c r="CS42" i="10"/>
  <c r="DC42" i="10" s="1"/>
  <c r="CS55" i="10"/>
  <c r="DC55" i="10" s="1"/>
  <c r="CS49" i="10"/>
  <c r="DC49" i="10" s="1"/>
  <c r="CS48" i="10"/>
  <c r="DC48" i="10" s="1"/>
  <c r="DD51" i="10" l="1"/>
  <c r="K14" i="23" s="1"/>
  <c r="DD45" i="10"/>
  <c r="K8" i="23" s="1"/>
  <c r="DD42" i="10"/>
  <c r="K5" i="23" s="1"/>
  <c r="DD46" i="10"/>
  <c r="K9" i="23" s="1"/>
  <c r="DD50" i="10"/>
  <c r="K13" i="23" s="1"/>
  <c r="DD54" i="10"/>
  <c r="K17" i="23" s="1"/>
  <c r="DD49" i="10"/>
  <c r="K12" i="23" s="1"/>
  <c r="DD43" i="10"/>
  <c r="K6" i="23" s="1"/>
  <c r="DD44" i="10"/>
  <c r="K7" i="23" s="1"/>
  <c r="DD48" i="10"/>
  <c r="K11" i="23" s="1"/>
  <c r="DD52" i="10"/>
  <c r="K15" i="23" s="1"/>
  <c r="DD47" i="10"/>
  <c r="K10" i="23" s="1"/>
  <c r="DD55" i="10"/>
  <c r="K18" i="23" s="1"/>
  <c r="DD53" i="10"/>
  <c r="K16" i="23" s="1"/>
  <c r="G585" i="30" l="1" a="1"/>
  <c r="U597" i="30" l="1"/>
  <c r="U594" i="30"/>
  <c r="U589" i="30"/>
  <c r="U587" i="30"/>
  <c r="U596" i="30"/>
  <c r="U591" i="30"/>
  <c r="U588" i="30"/>
  <c r="U593" i="30"/>
  <c r="U598" i="30"/>
  <c r="G585" i="30"/>
  <c r="U585" i="30" s="1"/>
  <c r="U590" i="30"/>
  <c r="U586" i="30"/>
  <c r="U592" i="30"/>
  <c r="E94" i="1" l="1"/>
  <c r="G113" i="1"/>
  <c r="G14" i="30" a="1"/>
  <c r="H113" i="1"/>
  <c r="G26" i="30" a="1"/>
  <c r="G38" i="30" a="1"/>
  <c r="F113" i="1"/>
  <c r="J113" i="1"/>
  <c r="L113" i="1"/>
  <c r="D113" i="1"/>
  <c r="K113" i="1"/>
  <c r="D94" i="1"/>
  <c r="L94" i="1"/>
  <c r="H94" i="1"/>
  <c r="M113" i="1"/>
  <c r="E113" i="1"/>
  <c r="I113" i="1"/>
  <c r="N113" i="1"/>
  <c r="G94" i="1"/>
  <c r="F94" i="1"/>
  <c r="I94" i="1"/>
  <c r="L75" i="1"/>
  <c r="D75" i="1"/>
  <c r="J75" i="1"/>
  <c r="N94" i="1"/>
  <c r="M75" i="1"/>
  <c r="E75" i="1"/>
  <c r="N75" i="1"/>
  <c r="F75" i="1"/>
  <c r="I75" i="1"/>
  <c r="K75" i="1"/>
  <c r="M94" i="1"/>
  <c r="G75" i="1"/>
  <c r="H75" i="1"/>
  <c r="J94" i="1"/>
  <c r="K94" i="1"/>
  <c r="U25" i="30" l="1"/>
  <c r="G14" i="30"/>
  <c r="G38" i="30"/>
  <c r="U49" i="30"/>
  <c r="U37" i="30"/>
  <c r="G26" i="30"/>
  <c r="M76" i="15"/>
  <c r="M77" i="15"/>
  <c r="M78" i="15"/>
  <c r="M79" i="15"/>
  <c r="M80" i="15"/>
  <c r="M81" i="15"/>
  <c r="M82" i="15"/>
  <c r="M83" i="15"/>
  <c r="M84" i="15"/>
  <c r="M85" i="15"/>
  <c r="M86" i="15"/>
  <c r="M87" i="15"/>
  <c r="M88" i="15"/>
  <c r="M89" i="15"/>
  <c r="W88" i="15" l="1"/>
  <c r="F17" i="23" s="1"/>
  <c r="W87" i="15"/>
  <c r="F16" i="23" s="1"/>
  <c r="W79" i="15"/>
  <c r="F8" i="23" s="1"/>
  <c r="W86" i="15"/>
  <c r="F15" i="23" s="1"/>
  <c r="W78" i="15"/>
  <c r="F7" i="23" s="1"/>
  <c r="W77" i="15"/>
  <c r="F6" i="23" s="1"/>
  <c r="W76" i="15"/>
  <c r="F5" i="23" s="1"/>
  <c r="W85" i="15"/>
  <c r="F14" i="23" s="1"/>
  <c r="W83" i="15"/>
  <c r="F12" i="23" s="1"/>
  <c r="W84" i="15"/>
  <c r="F13" i="23" s="1"/>
  <c r="W82" i="15"/>
  <c r="F11" i="23" s="1"/>
  <c r="W89" i="15"/>
  <c r="F18" i="23" s="1"/>
  <c r="W81" i="15"/>
  <c r="F10" i="23" s="1"/>
  <c r="W80" i="15"/>
  <c r="F9" i="23" s="1"/>
  <c r="N56" i="1"/>
  <c r="M90" i="15" s="1"/>
  <c r="G671" i="30" s="1" a="1"/>
  <c r="G671" i="30" s="1"/>
  <c r="G2" i="30" l="1" a="1"/>
  <c r="C35" i="1"/>
  <c r="J20" i="1"/>
  <c r="J21" i="1"/>
  <c r="J22" i="1"/>
  <c r="J23" i="1"/>
  <c r="J24" i="1"/>
  <c r="J25" i="1"/>
  <c r="J26" i="1"/>
  <c r="J27" i="1"/>
  <c r="J28" i="1"/>
  <c r="J29" i="1"/>
  <c r="J30" i="1"/>
  <c r="J31" i="1"/>
  <c r="J19" i="1"/>
  <c r="U13" i="30" l="1"/>
  <c r="G2" i="30"/>
  <c r="BJ618" i="13" l="1"/>
  <c r="BL618" i="13" s="1"/>
  <c r="BM618" i="13" s="1"/>
  <c r="BJ619" i="13"/>
  <c r="BL619" i="13" s="1"/>
  <c r="BM619" i="13" s="1"/>
  <c r="BJ620" i="13"/>
  <c r="BL620" i="13" s="1"/>
  <c r="BM620" i="13" s="1"/>
  <c r="BJ617" i="13"/>
  <c r="BJ518" i="13"/>
  <c r="BL518" i="13" s="1"/>
  <c r="BM518" i="13" s="1"/>
  <c r="BJ519" i="13"/>
  <c r="BL519" i="13" s="1"/>
  <c r="BM519" i="13" s="1"/>
  <c r="BJ520" i="13"/>
  <c r="BL520" i="13" s="1"/>
  <c r="BM520" i="13" s="1"/>
  <c r="BJ517" i="13"/>
  <c r="BL617" i="13" l="1"/>
  <c r="BM617" i="13" s="1"/>
  <c r="BL517" i="13"/>
  <c r="BM517" i="13" s="1"/>
  <c r="E101" i="26" l="1"/>
  <c r="V2891" i="30" l="1"/>
  <c r="V2890" i="30"/>
  <c r="V2889" i="30"/>
  <c r="V2888" i="30"/>
  <c r="V1133" i="30"/>
  <c r="V1158" i="30"/>
  <c r="V1157" i="30"/>
  <c r="V1156" i="30"/>
  <c r="V1155" i="30"/>
  <c r="V1668" i="30"/>
  <c r="V1667" i="30"/>
  <c r="V1666" i="30"/>
  <c r="V1665" i="30"/>
  <c r="V1617" i="30"/>
  <c r="V1616" i="30"/>
  <c r="V1615" i="30"/>
  <c r="V1614" i="30"/>
  <c r="V1592" i="30"/>
  <c r="V1999" i="30"/>
  <c r="V1744" i="30"/>
  <c r="V1743" i="30"/>
  <c r="V1769" i="30"/>
  <c r="V1768" i="30"/>
  <c r="V1767" i="30"/>
  <c r="V1766" i="30"/>
  <c r="V1871" i="30"/>
  <c r="V1870" i="30"/>
  <c r="V1869" i="30"/>
  <c r="V1868" i="30"/>
  <c r="V3044" i="30"/>
  <c r="V3043" i="30"/>
  <c r="V3042" i="30"/>
  <c r="V3041" i="30"/>
  <c r="V3019" i="30"/>
  <c r="V2993" i="30"/>
  <c r="V2992" i="30"/>
  <c r="V2991" i="30"/>
  <c r="V2990" i="30"/>
  <c r="V2968" i="30"/>
  <c r="V2942" i="30"/>
  <c r="V2941" i="30"/>
  <c r="V2940" i="30"/>
  <c r="V2939" i="30"/>
  <c r="V2917" i="30"/>
  <c r="V2866" i="30"/>
  <c r="V2840" i="30"/>
  <c r="V2839" i="30"/>
  <c r="V2838" i="30"/>
  <c r="V2837" i="30"/>
  <c r="V2815" i="30"/>
  <c r="V2789" i="30"/>
  <c r="V2788" i="30"/>
  <c r="V2787" i="30"/>
  <c r="V2786" i="30"/>
  <c r="V2764" i="30"/>
  <c r="V2738" i="30"/>
  <c r="V2737" i="30"/>
  <c r="V2736" i="30"/>
  <c r="V2735" i="30"/>
  <c r="V2713" i="30"/>
  <c r="V2687" i="30"/>
  <c r="V2686" i="30"/>
  <c r="V2685" i="30"/>
  <c r="V2684" i="30"/>
  <c r="V2662" i="30"/>
  <c r="V2636" i="30"/>
  <c r="V2635" i="30"/>
  <c r="V2634" i="30"/>
  <c r="V2633" i="30"/>
  <c r="V2611" i="30"/>
  <c r="V2585" i="30"/>
  <c r="V2584" i="30"/>
  <c r="V2583" i="30"/>
  <c r="V2582" i="30"/>
  <c r="V2560" i="30"/>
  <c r="V2534" i="30"/>
  <c r="V2533" i="30"/>
  <c r="V2532" i="30"/>
  <c r="V2531" i="30"/>
  <c r="V2509" i="30"/>
  <c r="V2483" i="30"/>
  <c r="V2482" i="30"/>
  <c r="V2481" i="30"/>
  <c r="V2480" i="30"/>
  <c r="V2432" i="30"/>
  <c r="V2431" i="30"/>
  <c r="V2430" i="30"/>
  <c r="V2429" i="30"/>
  <c r="V2407" i="30"/>
  <c r="V2381" i="30"/>
  <c r="V2380" i="30"/>
  <c r="V2379" i="30"/>
  <c r="V2378" i="30"/>
  <c r="V2356" i="30"/>
  <c r="V2330" i="30"/>
  <c r="V2329" i="30"/>
  <c r="V2328" i="30"/>
  <c r="V2327" i="30"/>
  <c r="V2305" i="30"/>
  <c r="V2279" i="30"/>
  <c r="V2278" i="30"/>
  <c r="V2277" i="30"/>
  <c r="V2276" i="30"/>
  <c r="V2254" i="30"/>
  <c r="V2228" i="30"/>
  <c r="V2227" i="30"/>
  <c r="V2226" i="30"/>
  <c r="V2225" i="30"/>
  <c r="V2203" i="30"/>
  <c r="V2177" i="30"/>
  <c r="V2176" i="30"/>
  <c r="V2175" i="30"/>
  <c r="V2174" i="30"/>
  <c r="V2152" i="30"/>
  <c r="V2126" i="30"/>
  <c r="V2125" i="30"/>
  <c r="V2124" i="30"/>
  <c r="V2123" i="30"/>
  <c r="V2101" i="30"/>
  <c r="V2075" i="30"/>
  <c r="V2074" i="30"/>
  <c r="V2073" i="30"/>
  <c r="V2072" i="30"/>
  <c r="V2050" i="30"/>
  <c r="V2024" i="30"/>
  <c r="V2023" i="30"/>
  <c r="V2022" i="30"/>
  <c r="V2021" i="30"/>
  <c r="V1973" i="30"/>
  <c r="V1972" i="30"/>
  <c r="V1971" i="30"/>
  <c r="V1970" i="30"/>
  <c r="V1948" i="30"/>
  <c r="V1922" i="30"/>
  <c r="V1921" i="30"/>
  <c r="V1920" i="30"/>
  <c r="V1919" i="30"/>
  <c r="V1897" i="30"/>
  <c r="V1846" i="30"/>
  <c r="V1820" i="30"/>
  <c r="V1819" i="30"/>
  <c r="V1818" i="30"/>
  <c r="V1817" i="30"/>
  <c r="V1795" i="30"/>
  <c r="V1718" i="30"/>
  <c r="V1717" i="30"/>
  <c r="V1716" i="30"/>
  <c r="V1715" i="30"/>
  <c r="V1694" i="30"/>
  <c r="V1643" i="30"/>
  <c r="V1566" i="30"/>
  <c r="V1565" i="30"/>
  <c r="V1564" i="30"/>
  <c r="V1563" i="30"/>
  <c r="V1541" i="30"/>
  <c r="V1515" i="30"/>
  <c r="V1514" i="30"/>
  <c r="V1513" i="30"/>
  <c r="V1512" i="30"/>
  <c r="V1490" i="30"/>
  <c r="V1464" i="30"/>
  <c r="V1463" i="30"/>
  <c r="V1462" i="30"/>
  <c r="V1461" i="30"/>
  <c r="V1439" i="30"/>
  <c r="V1413" i="30"/>
  <c r="V1412" i="30"/>
  <c r="V1411" i="30"/>
  <c r="V1410" i="30"/>
  <c r="V1388" i="30"/>
  <c r="V1362" i="30"/>
  <c r="V1361" i="30"/>
  <c r="V1360" i="30"/>
  <c r="V1359" i="30"/>
  <c r="V1337" i="30"/>
  <c r="V1311" i="30"/>
  <c r="V1310" i="30"/>
  <c r="V1309" i="30"/>
  <c r="V1308" i="30"/>
  <c r="V1260" i="30"/>
  <c r="V1259" i="30"/>
  <c r="V1258" i="30"/>
  <c r="V1257" i="30"/>
  <c r="V1235" i="30"/>
  <c r="V1209" i="30"/>
  <c r="V1208" i="30"/>
  <c r="V1207" i="30"/>
  <c r="V1206" i="30"/>
  <c r="V1184" i="30"/>
  <c r="V1060" i="30"/>
  <c r="V1061" i="30"/>
  <c r="V1062" i="30"/>
  <c r="V1063" i="30"/>
  <c r="V1023" i="30"/>
  <c r="V1024" i="30"/>
  <c r="V1025" i="30"/>
  <c r="V1026" i="30"/>
  <c r="V1027" i="30"/>
  <c r="V974" i="30" l="1"/>
  <c r="U974" i="30"/>
  <c r="V964" i="30"/>
  <c r="H964" i="30"/>
  <c r="I964" i="30"/>
  <c r="J964" i="30"/>
  <c r="K964" i="30"/>
  <c r="L964" i="30"/>
  <c r="M964" i="30"/>
  <c r="N964" i="30"/>
  <c r="O964" i="30"/>
  <c r="P964" i="30"/>
  <c r="Q964" i="30"/>
  <c r="R964" i="30"/>
  <c r="S964" i="30"/>
  <c r="T964" i="30"/>
  <c r="G964" i="30"/>
  <c r="V963" i="30"/>
  <c r="V962" i="30"/>
  <c r="V961" i="30"/>
  <c r="U963" i="30"/>
  <c r="U962" i="30"/>
  <c r="U961" i="30"/>
  <c r="U964" i="30" l="1"/>
  <c r="V670" i="30" l="1"/>
  <c r="V935" i="30" l="1"/>
  <c r="V934" i="30"/>
  <c r="V933" i="30"/>
  <c r="V932" i="30"/>
  <c r="V931" i="30"/>
  <c r="U902" i="30"/>
  <c r="V902" i="30"/>
  <c r="V901" i="30"/>
  <c r="V900" i="30"/>
  <c r="V877" i="30"/>
  <c r="V876" i="30"/>
  <c r="V875" i="30"/>
  <c r="V874" i="30"/>
  <c r="V873" i="30"/>
  <c r="V872" i="30"/>
  <c r="V871" i="30"/>
  <c r="V829" i="30"/>
  <c r="V828" i="30"/>
  <c r="V827" i="30"/>
  <c r="V826" i="30"/>
  <c r="V825" i="30"/>
  <c r="V824" i="30"/>
  <c r="V792" i="30"/>
  <c r="V779" i="30"/>
  <c r="V778" i="30"/>
  <c r="V777" i="30"/>
  <c r="V764" i="30"/>
  <c r="V763" i="30"/>
  <c r="V762" i="30"/>
  <c r="V745" i="30"/>
  <c r="U900" i="30" l="1"/>
  <c r="V732" i="30" l="1"/>
  <c r="V733" i="30"/>
  <c r="V734" i="30"/>
  <c r="V735" i="30"/>
  <c r="V736" i="30"/>
  <c r="V737" i="30"/>
  <c r="V738" i="30"/>
  <c r="V731" i="30"/>
  <c r="V723" i="30"/>
  <c r="V724" i="30"/>
  <c r="V725" i="30"/>
  <c r="V726" i="30"/>
  <c r="V727" i="30"/>
  <c r="V728" i="30"/>
  <c r="V729" i="30"/>
  <c r="V722" i="30"/>
  <c r="V714" i="30"/>
  <c r="V715" i="30"/>
  <c r="V716" i="30"/>
  <c r="V717" i="30"/>
  <c r="V718" i="30"/>
  <c r="V719" i="30"/>
  <c r="V720" i="30"/>
  <c r="V713" i="30"/>
  <c r="V711" i="30"/>
  <c r="V704" i="30"/>
  <c r="V695" i="30"/>
  <c r="V686" i="30"/>
  <c r="V677" i="30"/>
  <c r="Y12" i="6" l="1"/>
  <c r="AB8" i="6" l="1"/>
  <c r="AB10" i="6" l="1"/>
  <c r="AB9" i="6"/>
  <c r="AB11" i="6"/>
  <c r="AA12" i="6"/>
  <c r="AB6" i="6" l="1"/>
  <c r="AB7" i="6" l="1"/>
  <c r="Z12" i="6"/>
  <c r="AB12" i="6" s="1"/>
  <c r="V661" i="30" l="1"/>
  <c r="V652" i="30"/>
  <c r="V646" i="30"/>
  <c r="V645" i="30"/>
  <c r="T645" i="30"/>
  <c r="S645" i="30"/>
  <c r="R645" i="30"/>
  <c r="Q645" i="30"/>
  <c r="P645" i="30"/>
  <c r="O645" i="30"/>
  <c r="N645" i="30"/>
  <c r="M645" i="30"/>
  <c r="L645" i="30"/>
  <c r="K645" i="30"/>
  <c r="J645" i="30"/>
  <c r="I645" i="30"/>
  <c r="H645" i="30"/>
  <c r="V634" i="30"/>
  <c r="V633" i="30"/>
  <c r="V632" i="30"/>
  <c r="V631" i="30"/>
  <c r="V630" i="30"/>
  <c r="V629" i="30"/>
  <c r="V571" i="30"/>
  <c r="V584" i="30"/>
  <c r="V583" i="30"/>
  <c r="V582" i="30"/>
  <c r="V581" i="30"/>
  <c r="V580" i="30"/>
  <c r="V579" i="30"/>
  <c r="V578" i="30"/>
  <c r="V577" i="30"/>
  <c r="V576" i="30"/>
  <c r="V575" i="30"/>
  <c r="V574" i="30"/>
  <c r="V573" i="30"/>
  <c r="V572" i="30"/>
  <c r="G646" i="30" l="1"/>
  <c r="H646" i="30"/>
  <c r="T646" i="30"/>
  <c r="O646" i="30"/>
  <c r="U645" i="30"/>
  <c r="P646" i="30"/>
  <c r="M646" i="30"/>
  <c r="I646" i="30"/>
  <c r="Q646" i="30"/>
  <c r="J646" i="30"/>
  <c r="R646" i="30"/>
  <c r="N646" i="30"/>
  <c r="L646" i="30"/>
  <c r="S646" i="30"/>
  <c r="K646" i="30"/>
  <c r="V495" i="30"/>
  <c r="V496" i="30"/>
  <c r="V497" i="30"/>
  <c r="U646" i="30" l="1"/>
  <c r="U495" i="30"/>
  <c r="U496" i="30"/>
  <c r="U497" i="30"/>
  <c r="AJ97" i="10" l="1"/>
  <c r="AJ87" i="10" l="1"/>
  <c r="AJ98" i="10"/>
  <c r="AJ88" i="10"/>
  <c r="AJ95" i="10"/>
  <c r="AJ94" i="10"/>
  <c r="AJ89" i="10"/>
  <c r="AJ93" i="10"/>
  <c r="AJ90" i="10"/>
  <c r="AJ86" i="10"/>
  <c r="AJ85" i="10"/>
  <c r="AJ92" i="10"/>
  <c r="AJ96" i="10"/>
  <c r="AJ91" i="10"/>
  <c r="V471" i="30"/>
  <c r="V456" i="30"/>
  <c r="V441" i="30"/>
  <c r="V426" i="30"/>
  <c r="V419" i="30"/>
  <c r="V404" i="30"/>
  <c r="V387" i="30"/>
  <c r="V395" i="11" l="1"/>
  <c r="R395" i="11"/>
  <c r="N395" i="11"/>
  <c r="J395" i="11"/>
  <c r="F395" i="11"/>
  <c r="V394" i="11"/>
  <c r="R394" i="11"/>
  <c r="N394" i="11"/>
  <c r="J394" i="11"/>
  <c r="F394" i="11"/>
  <c r="V393" i="11"/>
  <c r="R393" i="11"/>
  <c r="N393" i="11"/>
  <c r="J393" i="11"/>
  <c r="F393" i="11"/>
  <c r="V392" i="11"/>
  <c r="R392" i="11"/>
  <c r="N392" i="11"/>
  <c r="J392" i="11"/>
  <c r="F392" i="11"/>
  <c r="V391" i="11"/>
  <c r="R391" i="11"/>
  <c r="N391" i="11"/>
  <c r="J391" i="11"/>
  <c r="F391" i="11"/>
  <c r="V390" i="11"/>
  <c r="R390" i="11"/>
  <c r="N390" i="11"/>
  <c r="J390" i="11"/>
  <c r="F390" i="11"/>
  <c r="V389" i="11"/>
  <c r="R389" i="11"/>
  <c r="N389" i="11"/>
  <c r="J389" i="11"/>
  <c r="F389" i="11"/>
  <c r="V388" i="11"/>
  <c r="R388" i="11"/>
  <c r="N388" i="11"/>
  <c r="J388" i="11"/>
  <c r="F388" i="11"/>
  <c r="V387" i="11"/>
  <c r="R387" i="11"/>
  <c r="N387" i="11"/>
  <c r="J387" i="11"/>
  <c r="F387" i="11"/>
  <c r="V386" i="11"/>
  <c r="R386" i="11"/>
  <c r="N386" i="11"/>
  <c r="J386" i="11"/>
  <c r="F386" i="11"/>
  <c r="V385" i="11"/>
  <c r="R385" i="11"/>
  <c r="N385" i="11"/>
  <c r="J385" i="11"/>
  <c r="F385" i="11"/>
  <c r="V384" i="11"/>
  <c r="R384" i="11"/>
  <c r="N384" i="11"/>
  <c r="J384" i="11"/>
  <c r="F384" i="11"/>
  <c r="V383" i="11"/>
  <c r="R383" i="11"/>
  <c r="N383" i="11"/>
  <c r="J383" i="11"/>
  <c r="F383" i="11"/>
  <c r="V382" i="11"/>
  <c r="R382" i="11"/>
  <c r="N382" i="11"/>
  <c r="J382" i="11"/>
  <c r="F382" i="11"/>
  <c r="V341" i="30" l="1"/>
  <c r="V340" i="30"/>
  <c r="V339" i="30"/>
  <c r="V338" i="30"/>
  <c r="V337" i="30"/>
  <c r="V336" i="30"/>
  <c r="V335" i="30"/>
  <c r="V334" i="30"/>
  <c r="V333" i="30"/>
  <c r="V332" i="30"/>
  <c r="V331" i="30"/>
  <c r="V330" i="30"/>
  <c r="V329" i="30"/>
  <c r="V328" i="30"/>
  <c r="V327" i="30"/>
  <c r="V326" i="30"/>
  <c r="V325" i="30"/>
  <c r="V324" i="30"/>
  <c r="V323" i="30"/>
  <c r="V322" i="30"/>
  <c r="V321" i="30"/>
  <c r="V320" i="30"/>
  <c r="V319" i="30"/>
  <c r="V318" i="30"/>
  <c r="V317" i="30"/>
  <c r="V316" i="30"/>
  <c r="V315" i="30"/>
  <c r="U341" i="30"/>
  <c r="G315" i="30" l="1" a="1"/>
  <c r="G315" i="30" s="1"/>
  <c r="G338" i="30" s="1"/>
  <c r="G343" i="30" s="1"/>
  <c r="U339" i="30"/>
  <c r="U331" i="30" l="1"/>
  <c r="U329" i="30"/>
  <c r="L338" i="30"/>
  <c r="L343" i="30" s="1"/>
  <c r="M338" i="30"/>
  <c r="M343" i="30" s="1"/>
  <c r="S338" i="30"/>
  <c r="S343" i="30" s="1"/>
  <c r="U327" i="30"/>
  <c r="U334" i="30"/>
  <c r="I338" i="30"/>
  <c r="I343" i="30" s="1"/>
  <c r="Q338" i="30"/>
  <c r="Q343" i="30" s="1"/>
  <c r="T338" i="30"/>
  <c r="T343" i="30" s="1"/>
  <c r="O338" i="30"/>
  <c r="O343" i="30" s="1"/>
  <c r="U317" i="30"/>
  <c r="G340" i="30"/>
  <c r="G342" i="30" s="1"/>
  <c r="P338" i="30"/>
  <c r="P343" i="30" s="1"/>
  <c r="U319" i="30"/>
  <c r="U333" i="30"/>
  <c r="N338" i="30"/>
  <c r="N343" i="30" s="1"/>
  <c r="U336" i="30"/>
  <c r="J338" i="30"/>
  <c r="J343" i="30" s="1"/>
  <c r="H338" i="30"/>
  <c r="H343" i="30" s="1"/>
  <c r="U315" i="30"/>
  <c r="K338" i="30"/>
  <c r="K343" i="30" s="1"/>
  <c r="U323" i="30"/>
  <c r="U325" i="30"/>
  <c r="U321" i="30"/>
  <c r="R338" i="30"/>
  <c r="R343" i="30" s="1"/>
  <c r="L340" i="30"/>
  <c r="L342" i="30" s="1"/>
  <c r="O340" i="30"/>
  <c r="O342" i="30" s="1"/>
  <c r="V163" i="30"/>
  <c r="V162" i="30"/>
  <c r="V161" i="30"/>
  <c r="V160" i="30"/>
  <c r="V159" i="30"/>
  <c r="V158" i="30"/>
  <c r="V157" i="30"/>
  <c r="V156" i="30"/>
  <c r="V155" i="30"/>
  <c r="V154" i="30"/>
  <c r="V153" i="30"/>
  <c r="V152" i="30"/>
  <c r="V151" i="30"/>
  <c r="V150" i="30"/>
  <c r="V149" i="30"/>
  <c r="V1909" i="30"/>
  <c r="V1908" i="30"/>
  <c r="V1907" i="30"/>
  <c r="V1906" i="30"/>
  <c r="V1905" i="30"/>
  <c r="V1904" i="30"/>
  <c r="V1903" i="30"/>
  <c r="V1902" i="30"/>
  <c r="V1901" i="30"/>
  <c r="V1470" i="30"/>
  <c r="N169" i="15"/>
  <c r="V2709" i="30"/>
  <c r="V1910" i="30"/>
  <c r="V71" i="30"/>
  <c r="H8" i="28"/>
  <c r="H9" i="28"/>
  <c r="H10" i="28"/>
  <c r="H11" i="28"/>
  <c r="H12" i="28"/>
  <c r="H13" i="28"/>
  <c r="H14" i="28"/>
  <c r="H15" i="28"/>
  <c r="H16" i="28"/>
  <c r="H17" i="28"/>
  <c r="H18" i="28"/>
  <c r="H19" i="28"/>
  <c r="H20" i="28"/>
  <c r="H7" i="28"/>
  <c r="T340" i="30" l="1"/>
  <c r="T342" i="30" s="1"/>
  <c r="R340" i="30"/>
  <c r="R342" i="30" s="1"/>
  <c r="S340" i="30"/>
  <c r="S342" i="30" s="1"/>
  <c r="J340" i="30"/>
  <c r="J342" i="30" s="1"/>
  <c r="Q340" i="30"/>
  <c r="Q342" i="30" s="1"/>
  <c r="N340" i="30"/>
  <c r="N342" i="30" s="1"/>
  <c r="M340" i="30"/>
  <c r="M342" i="30" s="1"/>
  <c r="P340" i="30"/>
  <c r="P342" i="30" s="1"/>
  <c r="K340" i="30"/>
  <c r="K342" i="30" s="1"/>
  <c r="I340" i="30"/>
  <c r="I342" i="30" s="1"/>
  <c r="U338" i="30"/>
  <c r="U343" i="30" s="1"/>
  <c r="H340" i="30"/>
  <c r="H342" i="30" s="1"/>
  <c r="U340" i="30" l="1"/>
  <c r="U342" i="30" s="1"/>
  <c r="V48" i="30" l="1"/>
  <c r="V36" i="30"/>
  <c r="V24" i="30"/>
  <c r="BE875" i="13"/>
  <c r="BE876" i="13"/>
  <c r="BE877" i="13"/>
  <c r="BE878" i="13"/>
  <c r="BE879" i="13"/>
  <c r="BE880" i="13"/>
  <c r="BE881" i="13"/>
  <c r="BE882" i="13"/>
  <c r="BE883" i="13"/>
  <c r="BE884" i="13"/>
  <c r="BE885" i="13"/>
  <c r="BE886" i="13"/>
  <c r="BE887" i="13"/>
  <c r="BE888" i="13"/>
  <c r="BE889" i="13"/>
  <c r="BE874" i="13"/>
  <c r="G792" i="30" l="1" a="1"/>
  <c r="G792" i="30" s="1"/>
  <c r="U792" i="30" s="1"/>
  <c r="U778" i="30" l="1"/>
  <c r="O309" i="15"/>
  <c r="P309" i="15"/>
  <c r="U779" i="30" l="1"/>
  <c r="G762" i="30" a="1"/>
  <c r="G762" i="30" s="1"/>
  <c r="U762" i="30" s="1"/>
  <c r="U764" i="30" l="1"/>
  <c r="U763" i="30"/>
  <c r="U288" i="15" l="1"/>
  <c r="T288" i="15"/>
  <c r="U287" i="15"/>
  <c r="T287" i="15"/>
  <c r="U286" i="15"/>
  <c r="T286" i="15"/>
  <c r="U285" i="15"/>
  <c r="T285" i="15"/>
  <c r="U284" i="15"/>
  <c r="T284" i="15"/>
  <c r="U283" i="15"/>
  <c r="T283" i="15"/>
  <c r="U289" i="15" l="1"/>
  <c r="T289" i="15"/>
  <c r="V289" i="15"/>
  <c r="AF156" i="15"/>
  <c r="AF157" i="15"/>
  <c r="AF159" i="15"/>
  <c r="AF160" i="15"/>
  <c r="AF162" i="15"/>
  <c r="AF163" i="15"/>
  <c r="AF164" i="15"/>
  <c r="AF165" i="15"/>
  <c r="AF166" i="15"/>
  <c r="AF167" i="15"/>
  <c r="AF155" i="15"/>
  <c r="AF158" i="15"/>
  <c r="AF161" i="15" l="1"/>
  <c r="V167" i="15" s="1"/>
  <c r="L110" i="15" l="1"/>
  <c r="L130" i="15" s="1"/>
  <c r="V157" i="15"/>
  <c r="V166" i="15"/>
  <c r="V163" i="15"/>
  <c r="V162" i="15"/>
  <c r="V158" i="15"/>
  <c r="V160" i="15"/>
  <c r="V159" i="15"/>
  <c r="V161" i="15"/>
  <c r="V164" i="15"/>
  <c r="V156" i="15"/>
  <c r="V165" i="15"/>
  <c r="V155" i="15"/>
  <c r="V122" i="15" l="1"/>
  <c r="V128" i="15"/>
  <c r="V125" i="15"/>
  <c r="V123" i="15"/>
  <c r="V121" i="15"/>
  <c r="V118" i="15"/>
  <c r="V129" i="15"/>
  <c r="V126" i="15"/>
  <c r="V127" i="15"/>
  <c r="V119" i="15"/>
  <c r="V116" i="15"/>
  <c r="V117" i="15"/>
  <c r="V124" i="15"/>
  <c r="V120" i="15"/>
  <c r="V190" i="15" l="1"/>
  <c r="T190" i="15" l="1"/>
  <c r="U190" i="15" l="1"/>
  <c r="J81" i="9" l="1"/>
  <c r="J89" i="9" l="1"/>
  <c r="J94" i="9"/>
  <c r="J93" i="9"/>
  <c r="J92" i="9"/>
  <c r="J80" i="9"/>
  <c r="J85" i="9"/>
  <c r="J90" i="9"/>
  <c r="J84" i="9"/>
  <c r="J83" i="9"/>
  <c r="G629" i="30" l="1" a="1"/>
  <c r="G629" i="30" l="1"/>
  <c r="U629" i="30" s="1"/>
  <c r="U631" i="30"/>
  <c r="U632" i="30"/>
  <c r="U634" i="30"/>
  <c r="U630" i="30"/>
  <c r="AS52" i="9" l="1"/>
  <c r="AT52" i="9"/>
  <c r="AT44" i="9"/>
  <c r="AS44" i="9"/>
  <c r="AS55" i="9"/>
  <c r="AT55" i="9"/>
  <c r="AS47" i="9"/>
  <c r="AT47" i="9"/>
  <c r="AS50" i="9"/>
  <c r="AT50" i="9"/>
  <c r="AT53" i="9"/>
  <c r="AS53" i="9"/>
  <c r="AT45" i="9"/>
  <c r="AS45" i="9"/>
  <c r="AS56" i="9"/>
  <c r="AT56" i="9"/>
  <c r="AS48" i="9"/>
  <c r="AT48" i="9"/>
  <c r="AS51" i="9"/>
  <c r="AT51" i="9"/>
  <c r="AS43" i="9"/>
  <c r="AT43" i="9"/>
  <c r="AT54" i="9"/>
  <c r="AS54" i="9"/>
  <c r="AT46" i="9"/>
  <c r="AS46" i="9"/>
  <c r="AT49" i="9"/>
  <c r="AS49" i="9"/>
  <c r="G871" i="30" l="1" a="1"/>
  <c r="G871" i="30" s="1"/>
  <c r="U871" i="30" s="1"/>
  <c r="F15" i="9" l="1"/>
  <c r="H901" i="30"/>
  <c r="U872" i="30"/>
  <c r="G901" i="30"/>
  <c r="U873" i="30"/>
  <c r="U874" i="30"/>
  <c r="I901" i="30"/>
  <c r="U877" i="30"/>
  <c r="U875" i="30"/>
  <c r="AL36" i="9"/>
  <c r="AM36" i="9" s="1"/>
  <c r="AL35" i="9"/>
  <c r="AM35" i="9" s="1"/>
  <c r="AL34" i="9"/>
  <c r="AM34" i="9" s="1"/>
  <c r="AL33" i="9"/>
  <c r="AM33" i="9" s="1"/>
  <c r="AL32" i="9"/>
  <c r="AM32" i="9" s="1"/>
  <c r="AL31" i="9"/>
  <c r="AM31" i="9" s="1"/>
  <c r="AL30" i="9"/>
  <c r="AM30" i="9" s="1"/>
  <c r="AL29" i="9"/>
  <c r="AM29" i="9" s="1"/>
  <c r="AL28" i="9"/>
  <c r="AM28" i="9" s="1"/>
  <c r="AL27" i="9"/>
  <c r="AM27" i="9" s="1"/>
  <c r="AL26" i="9"/>
  <c r="AM26" i="9" s="1"/>
  <c r="AL25" i="9"/>
  <c r="AM25" i="9" s="1"/>
  <c r="AL24" i="9"/>
  <c r="AM24" i="9" s="1"/>
  <c r="AL23" i="9"/>
  <c r="AM23" i="9" s="1"/>
  <c r="K16" i="9"/>
  <c r="K15" i="9"/>
  <c r="K14" i="9"/>
  <c r="AN32" i="9" l="1"/>
  <c r="AN30" i="9"/>
  <c r="AN31" i="9"/>
  <c r="AN33" i="9"/>
  <c r="AN24" i="9"/>
  <c r="AN26" i="9"/>
  <c r="AN34" i="9"/>
  <c r="AN23" i="9"/>
  <c r="AN27" i="9"/>
  <c r="AN35" i="9"/>
  <c r="AN29" i="9"/>
  <c r="AN28" i="9"/>
  <c r="AN36" i="9"/>
  <c r="AN25" i="9"/>
  <c r="G824" i="30" l="1" a="1"/>
  <c r="G824" i="30" l="1"/>
  <c r="U824" i="30" s="1"/>
  <c r="U826" i="30"/>
  <c r="U825" i="30"/>
  <c r="U829" i="30"/>
  <c r="U827" i="30"/>
  <c r="CI59" i="10"/>
  <c r="CG59" i="10"/>
  <c r="CE59" i="10"/>
  <c r="CC59" i="10"/>
  <c r="CL56" i="10" l="1"/>
  <c r="CK56" i="10" l="1"/>
  <c r="CH51" i="10" l="1"/>
  <c r="CJ50" i="10"/>
  <c r="CF48" i="10"/>
  <c r="CP44" i="10"/>
  <c r="CE56" i="10"/>
  <c r="G31" i="10" s="1"/>
  <c r="CP45" i="10"/>
  <c r="CP43" i="10"/>
  <c r="CI56" i="10"/>
  <c r="J31" i="10" s="1"/>
  <c r="CP50" i="10"/>
  <c r="CG56" i="10"/>
  <c r="I31" i="10" s="1"/>
  <c r="CP42" i="10"/>
  <c r="CC56" i="10"/>
  <c r="F31" i="10" s="1"/>
  <c r="CP49" i="10"/>
  <c r="CP54" i="10"/>
  <c r="CP51" i="10"/>
  <c r="CP53" i="10"/>
  <c r="CD46" i="10"/>
  <c r="CP46" i="10"/>
  <c r="CP48" i="10"/>
  <c r="CP52" i="10"/>
  <c r="CP47" i="10"/>
  <c r="CP55" i="10"/>
  <c r="CF52" i="10"/>
  <c r="CJ49" i="10"/>
  <c r="CD51" i="10"/>
  <c r="CD43" i="10"/>
  <c r="CH49" i="10"/>
  <c r="CJ42" i="10"/>
  <c r="CJ53" i="10"/>
  <c r="CF46" i="10"/>
  <c r="CF54" i="10"/>
  <c r="CF42" i="10"/>
  <c r="CF44" i="10"/>
  <c r="CF47" i="10"/>
  <c r="CH42" i="10"/>
  <c r="CF45" i="10"/>
  <c r="CH48" i="10"/>
  <c r="CH52" i="10"/>
  <c r="CJ47" i="10"/>
  <c r="CJ55" i="10"/>
  <c r="CF51" i="10"/>
  <c r="CF43" i="10"/>
  <c r="CH43" i="10"/>
  <c r="CH50" i="10"/>
  <c r="CD44" i="10"/>
  <c r="CD42" i="10"/>
  <c r="CH53" i="10"/>
  <c r="CD49" i="10"/>
  <c r="CD53" i="10"/>
  <c r="CH47" i="10"/>
  <c r="CH55" i="10"/>
  <c r="CJ46" i="10"/>
  <c r="CJ54" i="10"/>
  <c r="CF50" i="10"/>
  <c r="CD54" i="10"/>
  <c r="CD45" i="10"/>
  <c r="CF55" i="10"/>
  <c r="CJ48" i="10"/>
  <c r="CD48" i="10"/>
  <c r="CD52" i="10"/>
  <c r="CH46" i="10"/>
  <c r="CH54" i="10"/>
  <c r="CJ45" i="10"/>
  <c r="CJ44" i="10"/>
  <c r="CF49" i="10"/>
  <c r="CD50" i="10"/>
  <c r="CJ52" i="10"/>
  <c r="CD47" i="10"/>
  <c r="CD55" i="10"/>
  <c r="CH45" i="10"/>
  <c r="CH44" i="10"/>
  <c r="CJ51" i="10"/>
  <c r="CJ43" i="10"/>
  <c r="CF53" i="10"/>
  <c r="CN49" i="10" l="1"/>
  <c r="CN51" i="10"/>
  <c r="CN45" i="10"/>
  <c r="CN43" i="10"/>
  <c r="CN44" i="10"/>
  <c r="CN53" i="10"/>
  <c r="CN55" i="10"/>
  <c r="CN48" i="10"/>
  <c r="CN47" i="10"/>
  <c r="CN42" i="10"/>
  <c r="CN54" i="10"/>
  <c r="CN52" i="10"/>
  <c r="CN50" i="10"/>
  <c r="CN46" i="10"/>
  <c r="CO51" i="10" l="1"/>
  <c r="CO47" i="10"/>
  <c r="CO48" i="10"/>
  <c r="CO52" i="10"/>
  <c r="CO46" i="10"/>
  <c r="CO44" i="10"/>
  <c r="CO53" i="10"/>
  <c r="CO54" i="10"/>
  <c r="CO50" i="10"/>
  <c r="CO43" i="10"/>
  <c r="CO49" i="10"/>
  <c r="CO42" i="10"/>
  <c r="CO55" i="10"/>
  <c r="CO45" i="10"/>
  <c r="H1062" i="30" l="1"/>
  <c r="P1062" i="30"/>
  <c r="O1061" i="30"/>
  <c r="G1061" i="30"/>
  <c r="F210" i="26"/>
  <c r="N210" i="26"/>
  <c r="R1062" i="30"/>
  <c r="K1062" i="30"/>
  <c r="I210" i="26"/>
  <c r="I1062" i="30"/>
  <c r="Q1062" i="30"/>
  <c r="N1061" i="30"/>
  <c r="G210" i="26"/>
  <c r="O210" i="26"/>
  <c r="J1062" i="30"/>
  <c r="M1061" i="30"/>
  <c r="H210" i="26"/>
  <c r="P210" i="26"/>
  <c r="S1062" i="30"/>
  <c r="T1061" i="30"/>
  <c r="L1061" i="30"/>
  <c r="Q210" i="26"/>
  <c r="M1062" i="30"/>
  <c r="G1063" i="30"/>
  <c r="R1061" i="30"/>
  <c r="J1061" i="30"/>
  <c r="K210" i="26"/>
  <c r="N1062" i="30"/>
  <c r="Q1061" i="30"/>
  <c r="I1061" i="30"/>
  <c r="L210" i="26"/>
  <c r="G1062" i="30"/>
  <c r="O1062" i="30"/>
  <c r="P1061" i="30"/>
  <c r="H1061" i="30"/>
  <c r="E210" i="26"/>
  <c r="M210" i="26"/>
  <c r="T1062" i="30"/>
  <c r="N1063" i="30"/>
  <c r="K1061" i="30"/>
  <c r="J210" i="26"/>
  <c r="L1062" i="30"/>
  <c r="S1061" i="30"/>
  <c r="R210" i="26"/>
  <c r="V12" i="30"/>
  <c r="L89" i="15"/>
  <c r="O1063" i="30" l="1"/>
  <c r="M216" i="26"/>
  <c r="O1067" i="30" s="1"/>
  <c r="P1063" i="30"/>
  <c r="N216" i="26"/>
  <c r="P1067" i="30" s="1"/>
  <c r="H1063" i="30"/>
  <c r="F216" i="26"/>
  <c r="H1067" i="30" s="1"/>
  <c r="M1063" i="30"/>
  <c r="K216" i="26"/>
  <c r="M1067" i="30" s="1"/>
  <c r="T1063" i="30"/>
  <c r="R216" i="26"/>
  <c r="T1067" i="30" s="1"/>
  <c r="S1063" i="30"/>
  <c r="Q216" i="26"/>
  <c r="S1067" i="30" s="1"/>
  <c r="R1063" i="30"/>
  <c r="P216" i="26"/>
  <c r="L1063" i="30"/>
  <c r="J216" i="26"/>
  <c r="L1067" i="30" s="1"/>
  <c r="K1063" i="30"/>
  <c r="I216" i="26"/>
  <c r="K1067" i="30" s="1"/>
  <c r="J1063" i="30"/>
  <c r="H216" i="26"/>
  <c r="J1067" i="30" s="1"/>
  <c r="Q1063" i="30"/>
  <c r="O216" i="26"/>
  <c r="I1063" i="30"/>
  <c r="U1063" i="30" s="1"/>
  <c r="G216" i="26"/>
  <c r="I1067" i="30" s="1"/>
  <c r="U1061" i="30"/>
  <c r="U1062" i="30"/>
  <c r="L87" i="15"/>
  <c r="L88" i="15"/>
  <c r="U1067" i="30" l="1"/>
  <c r="I1064" i="30"/>
  <c r="L1064" i="30"/>
  <c r="H1064" i="30"/>
  <c r="M1064" i="30"/>
  <c r="Q1064" i="30"/>
  <c r="R1064" i="30"/>
  <c r="J1064" i="30"/>
  <c r="S1064" i="30"/>
  <c r="P1064" i="30"/>
  <c r="K1064" i="30"/>
  <c r="T1064" i="30"/>
  <c r="O1064" i="30"/>
  <c r="G647" i="30" a="1"/>
  <c r="G647" i="30" s="1"/>
  <c r="U48" i="30"/>
  <c r="L76" i="15"/>
  <c r="L77" i="15"/>
  <c r="L78" i="15"/>
  <c r="L79" i="15"/>
  <c r="L80" i="15"/>
  <c r="L81" i="15"/>
  <c r="L82" i="15"/>
  <c r="L83" i="15"/>
  <c r="L84" i="15"/>
  <c r="L85" i="15"/>
  <c r="L86" i="15"/>
  <c r="U1064" i="30" l="1"/>
  <c r="U651" i="30"/>
  <c r="U36" i="30"/>
  <c r="V83" i="15"/>
  <c r="V79" i="15"/>
  <c r="V81" i="15"/>
  <c r="V77" i="15"/>
  <c r="V78" i="15"/>
  <c r="V85" i="15"/>
  <c r="V82" i="15"/>
  <c r="V84" i="15"/>
  <c r="V76" i="15"/>
  <c r="V89" i="15"/>
  <c r="V88" i="15"/>
  <c r="V87" i="15"/>
  <c r="V86" i="15"/>
  <c r="V80" i="15"/>
  <c r="C75" i="1"/>
  <c r="U652" i="30" l="1"/>
  <c r="U653" i="30"/>
  <c r="U24" i="30"/>
  <c r="C56" i="1" l="1"/>
  <c r="D56" i="1"/>
  <c r="E56" i="1"/>
  <c r="F56" i="1"/>
  <c r="G56" i="1"/>
  <c r="H56" i="1"/>
  <c r="I56" i="1"/>
  <c r="J56" i="1"/>
  <c r="K56" i="1"/>
  <c r="L56" i="1"/>
  <c r="M56" i="1"/>
  <c r="L90" i="15" s="1"/>
  <c r="G670" i="30" s="1" a="1"/>
  <c r="H670" i="30" l="1"/>
  <c r="G670" i="30"/>
  <c r="Q670" i="30"/>
  <c r="N670" i="30"/>
  <c r="I670" i="30"/>
  <c r="U670" i="30"/>
  <c r="O670" i="30"/>
  <c r="M670" i="30"/>
  <c r="K670" i="30"/>
  <c r="T670" i="30"/>
  <c r="R670" i="30"/>
  <c r="L670" i="30"/>
  <c r="P670" i="30"/>
  <c r="S670" i="30"/>
  <c r="J670" i="30"/>
  <c r="D30" i="1"/>
  <c r="AG102" i="9" l="1"/>
  <c r="AG103" i="9"/>
  <c r="AG111" i="9"/>
  <c r="AG105" i="9"/>
  <c r="AG107" i="9"/>
  <c r="AG106" i="9"/>
  <c r="AG108" i="9"/>
  <c r="AG101" i="9"/>
  <c r="H46" i="6"/>
  <c r="G45" i="6"/>
  <c r="H45" i="6"/>
  <c r="G46" i="6"/>
  <c r="H40" i="6"/>
  <c r="H39" i="6"/>
  <c r="G40" i="6"/>
  <c r="G39" i="6"/>
  <c r="U12" i="30"/>
  <c r="S283" i="15" l="1"/>
  <c r="AG100" i="9"/>
  <c r="AG112" i="9"/>
  <c r="AG104" i="9"/>
  <c r="AB99" i="9"/>
  <c r="AE113" i="9"/>
  <c r="AD113" i="9"/>
  <c r="AG99" i="9"/>
  <c r="G931" i="30" s="1" a="1"/>
  <c r="G931" i="30" s="1"/>
  <c r="S935" i="30" l="1"/>
  <c r="U933" i="30"/>
  <c r="L935" i="30"/>
  <c r="R935" i="30"/>
  <c r="N935" i="30"/>
  <c r="G935" i="30"/>
  <c r="K935" i="30"/>
  <c r="J935" i="30"/>
  <c r="U932" i="30"/>
  <c r="P935" i="30"/>
  <c r="I935" i="30"/>
  <c r="O935" i="30"/>
  <c r="U934" i="30"/>
  <c r="T935" i="30"/>
  <c r="M935" i="30"/>
  <c r="H935" i="30"/>
  <c r="U931" i="30"/>
  <c r="Q935" i="30"/>
  <c r="AG113" i="9"/>
  <c r="H956" i="30"/>
  <c r="U935" i="30" l="1"/>
  <c r="I956" i="30"/>
  <c r="BE618" i="13" l="1"/>
  <c r="BE619" i="13"/>
  <c r="BE620" i="13"/>
  <c r="BE617" i="13"/>
  <c r="BE518" i="13"/>
  <c r="BE519" i="13"/>
  <c r="BE520" i="13"/>
  <c r="BE517" i="13"/>
  <c r="P287" i="15" l="1"/>
  <c r="BJ795" i="13" l="1"/>
  <c r="BL795" i="13" s="1"/>
  <c r="BM795" i="13" s="1"/>
  <c r="BJ796" i="13"/>
  <c r="BL796" i="13" s="1"/>
  <c r="BM796" i="13" s="1"/>
  <c r="BJ797" i="13"/>
  <c r="BL797" i="13" s="1"/>
  <c r="BM797" i="13" s="1"/>
  <c r="BJ798" i="13"/>
  <c r="BL798" i="13" s="1"/>
  <c r="BM798" i="13" s="1"/>
  <c r="BJ799" i="13"/>
  <c r="BL799" i="13" s="1"/>
  <c r="BM799" i="13" s="1"/>
  <c r="BJ800" i="13"/>
  <c r="BL800" i="13" s="1"/>
  <c r="BM800" i="13" s="1"/>
  <c r="BJ801" i="13"/>
  <c r="BL801" i="13" s="1"/>
  <c r="BM801" i="13" s="1"/>
  <c r="BJ802" i="13"/>
  <c r="BL802" i="13" s="1"/>
  <c r="BM802" i="13" s="1"/>
  <c r="BJ803" i="13"/>
  <c r="BL803" i="13" s="1"/>
  <c r="BM803" i="13" s="1"/>
  <c r="BJ804" i="13"/>
  <c r="BL804" i="13" s="1"/>
  <c r="BM804" i="13" s="1"/>
  <c r="BJ805" i="13"/>
  <c r="BL805" i="13" s="1"/>
  <c r="BM805" i="13" s="1"/>
  <c r="BJ806" i="13"/>
  <c r="BL806" i="13" s="1"/>
  <c r="BM806" i="13" s="1"/>
  <c r="BJ807" i="13"/>
  <c r="BL807" i="13" s="1"/>
  <c r="BM807" i="13" s="1"/>
  <c r="BJ794" i="13"/>
  <c r="BL794" i="13" l="1"/>
  <c r="BM794" i="13" s="1"/>
  <c r="G2739" i="30" a="1"/>
  <c r="G2739" i="30" l="1"/>
  <c r="U2739" i="30" s="1"/>
  <c r="U2740" i="30"/>
  <c r="F414" i="11"/>
  <c r="F406" i="11"/>
  <c r="F403" i="11"/>
  <c r="F400" i="11"/>
  <c r="F378" i="11"/>
  <c r="F377" i="11"/>
  <c r="F376" i="11"/>
  <c r="F375" i="11"/>
  <c r="F374" i="11"/>
  <c r="F373" i="11"/>
  <c r="F372" i="11"/>
  <c r="F371" i="11"/>
  <c r="F370" i="11"/>
  <c r="F369" i="11"/>
  <c r="F368" i="11"/>
  <c r="F367" i="11"/>
  <c r="F366" i="11"/>
  <c r="F365" i="11"/>
  <c r="F364" i="11"/>
  <c r="U2741" i="30" l="1"/>
  <c r="U2742" i="30" s="1"/>
  <c r="U426" i="30" l="1"/>
  <c r="CM46" i="10" l="1"/>
  <c r="CM54" i="10"/>
  <c r="CM42" i="10"/>
  <c r="CM47" i="10"/>
  <c r="CM51" i="10"/>
  <c r="CM48" i="10"/>
  <c r="CM45" i="10"/>
  <c r="CM49" i="10"/>
  <c r="U957" i="30" l="1"/>
  <c r="T960" i="30"/>
  <c r="L960" i="30"/>
  <c r="J960" i="30" l="1"/>
  <c r="N960" i="30"/>
  <c r="P960" i="30"/>
  <c r="R960" i="30"/>
  <c r="I960" i="30"/>
  <c r="K960" i="30"/>
  <c r="M960" i="30"/>
  <c r="O960" i="30"/>
  <c r="Q960" i="30"/>
  <c r="S960" i="30"/>
  <c r="H960" i="30"/>
  <c r="U958" i="30"/>
  <c r="U959" i="30"/>
  <c r="G960" i="30"/>
  <c r="U12" i="6"/>
  <c r="U960" i="30" l="1"/>
  <c r="X6" i="6" l="1"/>
  <c r="X8" i="6"/>
  <c r="X10" i="6"/>
  <c r="X7" i="6"/>
  <c r="X9" i="6"/>
  <c r="X11" i="6"/>
  <c r="V1038" i="30" l="1"/>
  <c r="U973" i="30"/>
  <c r="U899" i="30"/>
  <c r="U897" i="30"/>
  <c r="I93" i="9" l="1"/>
  <c r="I94" i="9"/>
  <c r="I90" i="9"/>
  <c r="I92" i="9"/>
  <c r="I89" i="9"/>
  <c r="W12" i="6" l="1"/>
  <c r="V12" i="6" l="1"/>
  <c r="X12" i="6" s="1"/>
  <c r="V703" i="30" l="1"/>
  <c r="V685" i="30"/>
  <c r="V3037" i="30"/>
  <c r="V3038" i="30"/>
  <c r="V3039" i="30"/>
  <c r="V3040" i="30"/>
  <c r="V3018" i="30"/>
  <c r="V2986" i="30"/>
  <c r="V2987" i="30"/>
  <c r="V2988" i="30"/>
  <c r="V2989" i="30"/>
  <c r="V2967" i="30"/>
  <c r="V2935" i="30"/>
  <c r="V2936" i="30"/>
  <c r="V2937" i="30"/>
  <c r="V2938" i="30"/>
  <c r="V2916" i="30"/>
  <c r="V2884" i="30"/>
  <c r="V2885" i="30"/>
  <c r="V2886" i="30"/>
  <c r="V2887" i="30"/>
  <c r="V2865" i="30"/>
  <c r="V2833" i="30"/>
  <c r="V2834" i="30"/>
  <c r="V2835" i="30"/>
  <c r="V2836" i="30"/>
  <c r="V2814" i="30"/>
  <c r="V2782" i="30"/>
  <c r="V2783" i="30"/>
  <c r="V2784" i="30"/>
  <c r="V2785" i="30"/>
  <c r="V2763" i="30"/>
  <c r="V2731" i="30"/>
  <c r="V2732" i="30"/>
  <c r="V2733" i="30"/>
  <c r="V2734" i="30"/>
  <c r="V2712" i="30"/>
  <c r="V2680" i="30"/>
  <c r="V2681" i="30"/>
  <c r="V2682" i="30"/>
  <c r="V2683" i="30"/>
  <c r="V2661" i="30"/>
  <c r="V2629" i="30"/>
  <c r="V2630" i="30"/>
  <c r="V2631" i="30"/>
  <c r="V2632" i="30"/>
  <c r="V2610" i="30"/>
  <c r="V2578" i="30"/>
  <c r="V2579" i="30"/>
  <c r="V2580" i="30"/>
  <c r="V2581" i="30"/>
  <c r="V2559" i="30"/>
  <c r="V2527" i="30"/>
  <c r="V2528" i="30"/>
  <c r="V2529" i="30"/>
  <c r="V2530" i="30"/>
  <c r="V2508" i="30"/>
  <c r="V2476" i="30"/>
  <c r="V2477" i="30"/>
  <c r="V2478" i="30"/>
  <c r="V2479" i="30"/>
  <c r="V2457" i="30"/>
  <c r="V2425" i="30"/>
  <c r="V2426" i="30"/>
  <c r="V2427" i="30"/>
  <c r="V2428" i="30"/>
  <c r="V2406" i="30"/>
  <c r="V2374" i="30"/>
  <c r="V2375" i="30"/>
  <c r="V2376" i="30"/>
  <c r="V2377" i="30"/>
  <c r="V2355" i="30"/>
  <c r="V2323" i="30"/>
  <c r="V2324" i="30"/>
  <c r="V2325" i="30"/>
  <c r="V2326" i="30"/>
  <c r="V2304" i="30"/>
  <c r="V2272" i="30"/>
  <c r="V2273" i="30"/>
  <c r="V2274" i="30"/>
  <c r="V2275" i="30"/>
  <c r="V2253" i="30"/>
  <c r="V2221" i="30"/>
  <c r="V2222" i="30"/>
  <c r="V2223" i="30"/>
  <c r="V2224" i="30"/>
  <c r="V2202" i="30"/>
  <c r="V2170" i="30"/>
  <c r="V2171" i="30"/>
  <c r="V2172" i="30"/>
  <c r="V2173" i="30"/>
  <c r="V2151" i="30"/>
  <c r="V2119" i="30"/>
  <c r="V2120" i="30"/>
  <c r="V2121" i="30"/>
  <c r="V2122" i="30"/>
  <c r="V2100" i="30"/>
  <c r="V2068" i="30"/>
  <c r="V2069" i="30"/>
  <c r="V2070" i="30"/>
  <c r="V2071" i="30"/>
  <c r="V2049" i="30"/>
  <c r="V2017" i="30"/>
  <c r="V2018" i="30"/>
  <c r="V2019" i="30"/>
  <c r="V2020" i="30"/>
  <c r="V1998" i="30"/>
  <c r="V1966" i="30"/>
  <c r="V1967" i="30"/>
  <c r="V1968" i="30"/>
  <c r="V1969" i="30"/>
  <c r="V1947" i="30"/>
  <c r="V1915" i="30"/>
  <c r="V1916" i="30"/>
  <c r="V1917" i="30"/>
  <c r="V1918" i="30"/>
  <c r="V1896" i="30"/>
  <c r="V1864" i="30"/>
  <c r="V1865" i="30"/>
  <c r="V1866" i="30"/>
  <c r="V1867" i="30"/>
  <c r="V1845" i="30"/>
  <c r="V1813" i="30"/>
  <c r="V1814" i="30"/>
  <c r="V1815" i="30"/>
  <c r="V1816" i="30"/>
  <c r="V1794" i="30"/>
  <c r="V1762" i="30"/>
  <c r="V1763" i="30"/>
  <c r="V1764" i="30"/>
  <c r="V1765" i="30"/>
  <c r="V1711" i="30"/>
  <c r="V1712" i="30"/>
  <c r="V1713" i="30"/>
  <c r="V1714" i="30"/>
  <c r="V1693" i="30"/>
  <c r="V1661" i="30"/>
  <c r="V1662" i="30"/>
  <c r="V1663" i="30"/>
  <c r="V1664" i="30"/>
  <c r="V1642" i="30"/>
  <c r="V1610" i="30"/>
  <c r="V1611" i="30"/>
  <c r="V1612" i="30"/>
  <c r="V1613" i="30"/>
  <c r="V1591" i="30"/>
  <c r="V1559" i="30"/>
  <c r="V1560" i="30"/>
  <c r="V1561" i="30"/>
  <c r="V1562" i="30"/>
  <c r="V1540" i="30"/>
  <c r="V1508" i="30"/>
  <c r="V1509" i="30"/>
  <c r="V1510" i="30"/>
  <c r="V1511" i="30"/>
  <c r="V1489" i="30"/>
  <c r="V1457" i="30"/>
  <c r="V1458" i="30"/>
  <c r="V1459" i="30"/>
  <c r="V1460" i="30"/>
  <c r="V1438" i="30"/>
  <c r="V1406" i="30"/>
  <c r="V1407" i="30"/>
  <c r="V1408" i="30"/>
  <c r="V1409" i="30"/>
  <c r="V1387" i="30"/>
  <c r="V1336" i="30"/>
  <c r="V1355" i="30"/>
  <c r="V1356" i="30"/>
  <c r="V1357" i="30"/>
  <c r="V1358" i="30"/>
  <c r="V1304" i="30"/>
  <c r="V1305" i="30"/>
  <c r="V1306" i="30"/>
  <c r="V1307" i="30"/>
  <c r="V1285" i="30"/>
  <c r="V1253" i="30"/>
  <c r="V1254" i="30"/>
  <c r="V1255" i="30"/>
  <c r="V1256" i="30"/>
  <c r="V1234" i="30"/>
  <c r="V1202" i="30"/>
  <c r="V1203" i="30"/>
  <c r="V1204" i="30"/>
  <c r="V1205" i="30"/>
  <c r="V1183" i="30"/>
  <c r="V1151" i="30"/>
  <c r="V1152" i="30"/>
  <c r="V1153" i="30"/>
  <c r="V1154" i="30"/>
  <c r="V1132" i="30"/>
  <c r="V1056" i="30"/>
  <c r="V1057" i="30"/>
  <c r="V1058" i="30"/>
  <c r="V1059" i="30"/>
  <c r="V1018" i="30"/>
  <c r="V1019" i="30"/>
  <c r="V1020" i="30"/>
  <c r="V1021" i="30"/>
  <c r="V1022" i="30"/>
  <c r="V973" i="30"/>
  <c r="V957" i="30"/>
  <c r="V958" i="30"/>
  <c r="V959" i="30"/>
  <c r="V960" i="30"/>
  <c r="V930" i="30"/>
  <c r="V926" i="30"/>
  <c r="V927" i="30"/>
  <c r="V928" i="30"/>
  <c r="V929" i="30"/>
  <c r="V897" i="30"/>
  <c r="V898" i="30"/>
  <c r="V899" i="30"/>
  <c r="V864" i="30"/>
  <c r="V865" i="30"/>
  <c r="V866" i="30"/>
  <c r="V867" i="30"/>
  <c r="V868" i="30"/>
  <c r="V869" i="30"/>
  <c r="V870" i="30"/>
  <c r="V818" i="30"/>
  <c r="V819" i="30"/>
  <c r="V820" i="30"/>
  <c r="V821" i="30"/>
  <c r="V822" i="30"/>
  <c r="V823" i="30"/>
  <c r="V791" i="30"/>
  <c r="V776" i="30"/>
  <c r="V759" i="30"/>
  <c r="V760" i="30"/>
  <c r="V761" i="30"/>
  <c r="V744" i="30"/>
  <c r="V710" i="30"/>
  <c r="V694" i="30"/>
  <c r="V676" i="30"/>
  <c r="V669" i="30"/>
  <c r="V651" i="30"/>
  <c r="V660" i="30"/>
  <c r="V623" i="30"/>
  <c r="V624" i="30"/>
  <c r="V625" i="30"/>
  <c r="V626" i="30"/>
  <c r="V627" i="30"/>
  <c r="V628" i="30"/>
  <c r="V557" i="30"/>
  <c r="V558" i="30"/>
  <c r="V559" i="30"/>
  <c r="V560" i="30"/>
  <c r="V561" i="30"/>
  <c r="V562" i="30"/>
  <c r="V563" i="30"/>
  <c r="V564" i="30"/>
  <c r="V565" i="30"/>
  <c r="V566" i="30"/>
  <c r="V567" i="30"/>
  <c r="V568" i="30"/>
  <c r="V569" i="30"/>
  <c r="V570" i="30"/>
  <c r="V492" i="30" l="1"/>
  <c r="V493" i="30"/>
  <c r="V494" i="30"/>
  <c r="U494" i="30" l="1"/>
  <c r="U493" i="30"/>
  <c r="U492" i="30"/>
  <c r="V470" i="30"/>
  <c r="V455" i="30"/>
  <c r="V440" i="30"/>
  <c r="V425" i="30" l="1"/>
  <c r="V418" i="30"/>
  <c r="V403" i="30"/>
  <c r="V385" i="30"/>
  <c r="V386" i="30"/>
  <c r="V314" i="30"/>
  <c r="V313" i="30"/>
  <c r="V312" i="30"/>
  <c r="V311" i="30"/>
  <c r="V310" i="30"/>
  <c r="V309" i="30"/>
  <c r="V308" i="30"/>
  <c r="V307" i="30"/>
  <c r="V306" i="30"/>
  <c r="V305" i="30"/>
  <c r="V304" i="30"/>
  <c r="V303" i="30"/>
  <c r="V302" i="30"/>
  <c r="V301" i="30"/>
  <c r="V300" i="30"/>
  <c r="V299" i="30"/>
  <c r="V298" i="30"/>
  <c r="V297" i="30"/>
  <c r="V296" i="30"/>
  <c r="V295" i="30"/>
  <c r="V294" i="30"/>
  <c r="V293" i="30"/>
  <c r="V292" i="30"/>
  <c r="V291" i="30"/>
  <c r="V290" i="30"/>
  <c r="V289" i="30"/>
  <c r="V288" i="30"/>
  <c r="V287" i="30"/>
  <c r="V286" i="30"/>
  <c r="V134" i="30"/>
  <c r="V135" i="30"/>
  <c r="V136" i="30"/>
  <c r="V137" i="30"/>
  <c r="V138" i="30"/>
  <c r="V139" i="30"/>
  <c r="V140" i="30"/>
  <c r="V141" i="30"/>
  <c r="V142" i="30"/>
  <c r="V143" i="30"/>
  <c r="V144" i="30"/>
  <c r="V145" i="30"/>
  <c r="V146" i="30"/>
  <c r="V147" i="30"/>
  <c r="V148" i="30"/>
  <c r="V70" i="30"/>
  <c r="V35" i="30"/>
  <c r="V47" i="30"/>
  <c r="U312" i="30" l="1"/>
  <c r="U310" i="30"/>
  <c r="V23" i="30" l="1"/>
  <c r="V11" i="30"/>
  <c r="P5" i="27"/>
  <c r="T1019" i="30" l="1"/>
  <c r="S1019" i="30" l="1"/>
  <c r="J1019" i="30"/>
  <c r="N1019" i="30"/>
  <c r="H1019" i="30"/>
  <c r="K1019" i="30"/>
  <c r="I1019" i="30"/>
  <c r="Q1019" i="30"/>
  <c r="P1019" i="30" l="1"/>
  <c r="M1019" i="30"/>
  <c r="R1019" i="30"/>
  <c r="O1019" i="30"/>
  <c r="L1019" i="30"/>
  <c r="G1019" i="30"/>
  <c r="U1019" i="30" l="1"/>
  <c r="AZ889" i="13" l="1"/>
  <c r="AZ888" i="13"/>
  <c r="AZ887" i="13"/>
  <c r="AZ886" i="13"/>
  <c r="AZ885" i="13"/>
  <c r="AZ884" i="13"/>
  <c r="AZ883" i="13"/>
  <c r="AZ882" i="13"/>
  <c r="AZ881" i="13"/>
  <c r="AZ880" i="13"/>
  <c r="AZ879" i="13"/>
  <c r="AZ878" i="13"/>
  <c r="AZ877" i="13"/>
  <c r="AZ876" i="13"/>
  <c r="AZ875" i="13"/>
  <c r="AZ874" i="13"/>
  <c r="I80" i="9" l="1"/>
  <c r="I81" i="9"/>
  <c r="I83" i="9"/>
  <c r="I84" i="9"/>
  <c r="I85" i="9"/>
  <c r="AA113" i="9" l="1"/>
  <c r="AL56" i="9"/>
  <c r="AL55" i="9"/>
  <c r="AL54" i="9"/>
  <c r="AL53" i="9"/>
  <c r="AL52" i="9"/>
  <c r="AL51" i="9"/>
  <c r="AL49" i="9"/>
  <c r="AL48" i="9"/>
  <c r="AL47" i="9"/>
  <c r="AL46" i="9"/>
  <c r="AL45" i="9"/>
  <c r="AL44" i="9"/>
  <c r="AL43" i="9"/>
  <c r="AM55" i="9" l="1"/>
  <c r="AL50" i="9"/>
  <c r="AM56" i="9"/>
  <c r="AM54" i="9"/>
  <c r="AM46" i="9"/>
  <c r="AM53" i="9"/>
  <c r="AM47" i="9"/>
  <c r="AM52" i="9"/>
  <c r="AM50" i="9"/>
  <c r="AM48" i="9"/>
  <c r="AM49" i="9"/>
  <c r="AM44" i="9"/>
  <c r="AM43" i="9"/>
  <c r="AM51" i="9"/>
  <c r="AM45" i="9"/>
  <c r="J15" i="9" l="1"/>
  <c r="J16" i="9"/>
  <c r="J14" i="9"/>
  <c r="AF36" i="9"/>
  <c r="AG36" i="9" s="1"/>
  <c r="G864" i="30" a="1"/>
  <c r="G864" i="30" s="1"/>
  <c r="AF23" i="9"/>
  <c r="AF24" i="9"/>
  <c r="AF27" i="9"/>
  <c r="AG27" i="9" s="1"/>
  <c r="AF32" i="9"/>
  <c r="AG32" i="9" s="1"/>
  <c r="AF34" i="9"/>
  <c r="AG34" i="9" s="1"/>
  <c r="AF25" i="9"/>
  <c r="AG25" i="9" s="1"/>
  <c r="AF31" i="9"/>
  <c r="AG31" i="9" s="1"/>
  <c r="AF33" i="9"/>
  <c r="AF30" i="9"/>
  <c r="AF29" i="9"/>
  <c r="AG29" i="9" s="1"/>
  <c r="AF28" i="9"/>
  <c r="AG28" i="9" s="1"/>
  <c r="AF26" i="9"/>
  <c r="AF35" i="9"/>
  <c r="AG30" i="9" l="1"/>
  <c r="AG24" i="9"/>
  <c r="AG23" i="9"/>
  <c r="AG26" i="9"/>
  <c r="AK96" i="10"/>
  <c r="AK91" i="10"/>
  <c r="AK94" i="10"/>
  <c r="AK88" i="10"/>
  <c r="AK92" i="10"/>
  <c r="AK86" i="10"/>
  <c r="AK85" i="10"/>
  <c r="AK87" i="10"/>
  <c r="AK98" i="10"/>
  <c r="N870" i="30"/>
  <c r="S866" i="30"/>
  <c r="H864" i="30"/>
  <c r="R869" i="30"/>
  <c r="S869" i="30"/>
  <c r="O870" i="30"/>
  <c r="H870" i="30"/>
  <c r="I870" i="30"/>
  <c r="S870" i="30"/>
  <c r="L870" i="30"/>
  <c r="M870" i="30"/>
  <c r="T864" i="30"/>
  <c r="P870" i="30"/>
  <c r="G870" i="30"/>
  <c r="R866" i="30"/>
  <c r="G865" i="30"/>
  <c r="I866" i="30"/>
  <c r="O869" i="30"/>
  <c r="K864" i="30"/>
  <c r="M868" i="30"/>
  <c r="I869" i="30"/>
  <c r="J865" i="30"/>
  <c r="T870" i="30"/>
  <c r="R864" i="30"/>
  <c r="J866" i="30"/>
  <c r="J864" i="30"/>
  <c r="H865" i="30"/>
  <c r="N866" i="30"/>
  <c r="P865" i="30"/>
  <c r="T865" i="30"/>
  <c r="O866" i="30"/>
  <c r="L867" i="30"/>
  <c r="Q867" i="30"/>
  <c r="S868" i="30"/>
  <c r="O864" i="30"/>
  <c r="K870" i="30"/>
  <c r="L866" i="30"/>
  <c r="K865" i="30"/>
  <c r="G866" i="30"/>
  <c r="N865" i="30"/>
  <c r="O865" i="30"/>
  <c r="K866" i="30"/>
  <c r="R865" i="30"/>
  <c r="S865" i="30"/>
  <c r="H866" i="30"/>
  <c r="K867" i="30"/>
  <c r="J867" i="30"/>
  <c r="L868" i="30"/>
  <c r="Q865" i="30"/>
  <c r="L865" i="30"/>
  <c r="P868" i="30"/>
  <c r="M866" i="30"/>
  <c r="I867" i="30"/>
  <c r="P866" i="30"/>
  <c r="Q866" i="30"/>
  <c r="M867" i="30"/>
  <c r="T866" i="30"/>
  <c r="G867" i="30"/>
  <c r="M865" i="30"/>
  <c r="N864" i="30"/>
  <c r="Q870" i="30"/>
  <c r="N869" i="30"/>
  <c r="H867" i="30"/>
  <c r="R870" i="30"/>
  <c r="T869" i="30"/>
  <c r="G868" i="30"/>
  <c r="J868" i="30"/>
  <c r="N867" i="30"/>
  <c r="T867" i="30"/>
  <c r="O867" i="30"/>
  <c r="P867" i="30"/>
  <c r="K868" i="30"/>
  <c r="H869" i="30"/>
  <c r="R867" i="30"/>
  <c r="R868" i="30"/>
  <c r="S867" i="30"/>
  <c r="N868" i="30"/>
  <c r="O868" i="30"/>
  <c r="J870" i="30"/>
  <c r="H868" i="30"/>
  <c r="P869" i="30"/>
  <c r="I868" i="30"/>
  <c r="L869" i="30"/>
  <c r="I864" i="30"/>
  <c r="Q868" i="30"/>
  <c r="S864" i="30"/>
  <c r="M869" i="30"/>
  <c r="L864" i="30"/>
  <c r="T868" i="30"/>
  <c r="M864" i="30"/>
  <c r="G869" i="30"/>
  <c r="I865" i="30"/>
  <c r="Q869" i="30"/>
  <c r="P864" i="30"/>
  <c r="J869" i="30"/>
  <c r="Q864" i="30"/>
  <c r="K869" i="30"/>
  <c r="AH33" i="9"/>
  <c r="AH32" i="9"/>
  <c r="AG33" i="9"/>
  <c r="AH29" i="9"/>
  <c r="AH26" i="9"/>
  <c r="AH27" i="9"/>
  <c r="AH34" i="9"/>
  <c r="AH30" i="9"/>
  <c r="AG35" i="9"/>
  <c r="AH36" i="9"/>
  <c r="AH28" i="9"/>
  <c r="AH24" i="9"/>
  <c r="AH31" i="9"/>
  <c r="AH25" i="9"/>
  <c r="AH23" i="9"/>
  <c r="AH35" i="9"/>
  <c r="AK95" i="10"/>
  <c r="AK90" i="10"/>
  <c r="AK89" i="10"/>
  <c r="AK93" i="10"/>
  <c r="AL88" i="10" l="1"/>
  <c r="AL95" i="10"/>
  <c r="AL87" i="10"/>
  <c r="AL86" i="10"/>
  <c r="AL98" i="10"/>
  <c r="AL89" i="10"/>
  <c r="AL90" i="10"/>
  <c r="AL91" i="10"/>
  <c r="AL92" i="10"/>
  <c r="AK97" i="10"/>
  <c r="AL96" i="10"/>
  <c r="AL93" i="10"/>
  <c r="AL94" i="10"/>
  <c r="AL85" i="10"/>
  <c r="AL97" i="10"/>
  <c r="U868" i="30"/>
  <c r="U866" i="30"/>
  <c r="U867" i="30"/>
  <c r="U870" i="30"/>
  <c r="U865" i="30"/>
  <c r="U864" i="30"/>
  <c r="G818" i="30" a="1"/>
  <c r="G818" i="30" s="1"/>
  <c r="G623" i="30" l="1" a="1"/>
  <c r="G623" i="30" s="1"/>
  <c r="P822" i="30"/>
  <c r="J819" i="30"/>
  <c r="K818" i="30"/>
  <c r="N819" i="30"/>
  <c r="G821" i="30"/>
  <c r="N822" i="30"/>
  <c r="P818" i="30"/>
  <c r="I820" i="30"/>
  <c r="I821" i="30"/>
  <c r="H823" i="30"/>
  <c r="L822" i="30"/>
  <c r="K819" i="30"/>
  <c r="M818" i="30"/>
  <c r="O819" i="30"/>
  <c r="R823" i="30"/>
  <c r="L820" i="30"/>
  <c r="N818" i="30"/>
  <c r="P820" i="30"/>
  <c r="R822" i="30"/>
  <c r="O818" i="30"/>
  <c r="I823" i="30"/>
  <c r="R819" i="30"/>
  <c r="J820" i="30"/>
  <c r="K821" i="30"/>
  <c r="K822" i="30"/>
  <c r="T818" i="30"/>
  <c r="N823" i="30"/>
  <c r="M820" i="30"/>
  <c r="N820" i="30"/>
  <c r="M821" i="30"/>
  <c r="J818" i="30"/>
  <c r="G823" i="30"/>
  <c r="P821" i="30"/>
  <c r="T821" i="30"/>
  <c r="O820" i="30"/>
  <c r="L821" i="30"/>
  <c r="R821" i="30"/>
  <c r="Q818" i="30"/>
  <c r="K823" i="30"/>
  <c r="Q819" i="30"/>
  <c r="L819" i="30"/>
  <c r="T820" i="30"/>
  <c r="P823" i="30"/>
  <c r="M822" i="30"/>
  <c r="S818" i="30"/>
  <c r="M823" i="30"/>
  <c r="H820" i="30"/>
  <c r="H821" i="30"/>
  <c r="O821" i="30"/>
  <c r="T823" i="30"/>
  <c r="R820" i="30"/>
  <c r="K820" i="30"/>
  <c r="Q823" i="30"/>
  <c r="S822" i="30"/>
  <c r="R818" i="30"/>
  <c r="G822" i="30"/>
  <c r="J823" i="30"/>
  <c r="P819" i="30"/>
  <c r="S823" i="30"/>
  <c r="N821" i="30"/>
  <c r="M819" i="30"/>
  <c r="I822" i="30"/>
  <c r="L823" i="30"/>
  <c r="H818" i="30"/>
  <c r="Q820" i="30"/>
  <c r="O822" i="30"/>
  <c r="I819" i="30"/>
  <c r="S821" i="30"/>
  <c r="Q821" i="30"/>
  <c r="L818" i="30"/>
  <c r="T822" i="30"/>
  <c r="S819" i="30"/>
  <c r="H819" i="30"/>
  <c r="S820" i="30"/>
  <c r="J822" i="30"/>
  <c r="H822" i="30"/>
  <c r="G819" i="30"/>
  <c r="O823" i="30"/>
  <c r="G820" i="30"/>
  <c r="T819" i="30"/>
  <c r="J821" i="30"/>
  <c r="I818" i="30"/>
  <c r="Q822" i="30"/>
  <c r="R626" i="30" l="1"/>
  <c r="R625" i="30"/>
  <c r="R628" i="30"/>
  <c r="R624" i="30"/>
  <c r="G628" i="30"/>
  <c r="T628" i="30"/>
  <c r="L623" i="30"/>
  <c r="I625" i="30"/>
  <c r="I628" i="30"/>
  <c r="I623" i="30"/>
  <c r="G625" i="30"/>
  <c r="J627" i="30"/>
  <c r="P627" i="30"/>
  <c r="M625" i="30"/>
  <c r="L628" i="30"/>
  <c r="S627" i="30"/>
  <c r="H628" i="30"/>
  <c r="M628" i="30"/>
  <c r="P625" i="30"/>
  <c r="M623" i="30"/>
  <c r="S628" i="30"/>
  <c r="M626" i="30"/>
  <c r="I626" i="30"/>
  <c r="G627" i="30"/>
  <c r="H626" i="30"/>
  <c r="J628" i="30"/>
  <c r="G626" i="30"/>
  <c r="O623" i="30"/>
  <c r="J626" i="30"/>
  <c r="U823" i="30"/>
  <c r="P628" i="30"/>
  <c r="K628" i="30"/>
  <c r="S625" i="30"/>
  <c r="H623" i="30"/>
  <c r="N628" i="30"/>
  <c r="T627" i="30"/>
  <c r="O626" i="30"/>
  <c r="K626" i="30"/>
  <c r="S623" i="30"/>
  <c r="H624" i="30"/>
  <c r="N626" i="30"/>
  <c r="K624" i="30"/>
  <c r="O628" i="30"/>
  <c r="L624" i="30"/>
  <c r="Q625" i="30"/>
  <c r="Q628" i="30"/>
  <c r="P623" i="30"/>
  <c r="R623" i="30"/>
  <c r="S626" i="30"/>
  <c r="M624" i="30"/>
  <c r="N625" i="30"/>
  <c r="P624" i="30"/>
  <c r="O624" i="30"/>
  <c r="O627" i="30"/>
  <c r="I624" i="30"/>
  <c r="R627" i="30"/>
  <c r="O625" i="30"/>
  <c r="H627" i="30"/>
  <c r="K623" i="30"/>
  <c r="N627" i="30"/>
  <c r="L625" i="30"/>
  <c r="M627" i="30"/>
  <c r="N623" i="30"/>
  <c r="T625" i="30"/>
  <c r="Q623" i="30"/>
  <c r="J623" i="30"/>
  <c r="Q626" i="30"/>
  <c r="T623" i="30"/>
  <c r="P626" i="30"/>
  <c r="H625" i="30"/>
  <c r="J625" i="30"/>
  <c r="I627" i="30"/>
  <c r="Q624" i="30"/>
  <c r="L626" i="30"/>
  <c r="L627" i="30"/>
  <c r="G624" i="30"/>
  <c r="S624" i="30"/>
  <c r="J624" i="30"/>
  <c r="T624" i="30"/>
  <c r="K627" i="30"/>
  <c r="N624" i="30"/>
  <c r="T626" i="30"/>
  <c r="Q627" i="30"/>
  <c r="K625" i="30"/>
  <c r="U818" i="30"/>
  <c r="U819" i="30"/>
  <c r="U821" i="30"/>
  <c r="U820" i="30"/>
  <c r="U624" i="30" l="1"/>
  <c r="U628" i="30"/>
  <c r="U626" i="30"/>
  <c r="U623" i="30"/>
  <c r="U625" i="30"/>
  <c r="BX46" i="10" l="1"/>
  <c r="BX54" i="10"/>
  <c r="BO42" i="10"/>
  <c r="BX42" i="10"/>
  <c r="BO45" i="10"/>
  <c r="BX45" i="10"/>
  <c r="BS47" i="10"/>
  <c r="BQ42" i="10"/>
  <c r="BX47" i="10"/>
  <c r="BX55" i="10"/>
  <c r="BU49" i="10"/>
  <c r="BU46" i="10"/>
  <c r="BX48" i="10"/>
  <c r="BX51" i="10"/>
  <c r="BQ47" i="10"/>
  <c r="BO48" i="10"/>
  <c r="BO51" i="10"/>
  <c r="BO52" i="10"/>
  <c r="BO43" i="10"/>
  <c r="BS46" i="10"/>
  <c r="BS49" i="10"/>
  <c r="BS54" i="10"/>
  <c r="BU42" i="10"/>
  <c r="BU45" i="10"/>
  <c r="BU53" i="10"/>
  <c r="BU44" i="10"/>
  <c r="BQ46" i="10"/>
  <c r="BQ49" i="10"/>
  <c r="BQ54" i="10"/>
  <c r="BO53" i="10"/>
  <c r="BS50" i="10"/>
  <c r="BU54" i="10"/>
  <c r="BQ55" i="10"/>
  <c r="BO47" i="10"/>
  <c r="BO50" i="10"/>
  <c r="BO55" i="10"/>
  <c r="BS42" i="10"/>
  <c r="BS45" i="10"/>
  <c r="BS53" i="10"/>
  <c r="BS44" i="10"/>
  <c r="BU48" i="10"/>
  <c r="BU51" i="10"/>
  <c r="BU52" i="10"/>
  <c r="BU43" i="10"/>
  <c r="BQ45" i="10"/>
  <c r="BQ53" i="10"/>
  <c r="BQ44" i="10"/>
  <c r="BO44" i="10"/>
  <c r="BS55" i="10"/>
  <c r="BQ50" i="10"/>
  <c r="BO46" i="10"/>
  <c r="BO49" i="10"/>
  <c r="BO54" i="10"/>
  <c r="BS48" i="10"/>
  <c r="BS51" i="10"/>
  <c r="BS52" i="10"/>
  <c r="BS43" i="10"/>
  <c r="BU47" i="10"/>
  <c r="BU50" i="10"/>
  <c r="BU55" i="10"/>
  <c r="BQ48" i="10"/>
  <c r="BQ51" i="10"/>
  <c r="BQ52" i="10"/>
  <c r="BQ43" i="10"/>
  <c r="V3036" i="30" l="1"/>
  <c r="V3035" i="30"/>
  <c r="V3034" i="30"/>
  <c r="V3033" i="30"/>
  <c r="V3032" i="30"/>
  <c r="V3031" i="30"/>
  <c r="V3030" i="30"/>
  <c r="V3029" i="30"/>
  <c r="V3028" i="30"/>
  <c r="V3027" i="30"/>
  <c r="V3026" i="30"/>
  <c r="V3025" i="30"/>
  <c r="V3024" i="30"/>
  <c r="V3023" i="30"/>
  <c r="V3022" i="30"/>
  <c r="V3021" i="30"/>
  <c r="V3017" i="30"/>
  <c r="V3016" i="30"/>
  <c r="V3015" i="30"/>
  <c r="V3014" i="30"/>
  <c r="V3013" i="30"/>
  <c r="V3012" i="30"/>
  <c r="V3011" i="30"/>
  <c r="V3010" i="30"/>
  <c r="V3009" i="30"/>
  <c r="V3008" i="30"/>
  <c r="V3007" i="30"/>
  <c r="V3006" i="30"/>
  <c r="V3005" i="30"/>
  <c r="V3004" i="30"/>
  <c r="V3003" i="30"/>
  <c r="V3002" i="30"/>
  <c r="V3001" i="30"/>
  <c r="V3000" i="30"/>
  <c r="V2999" i="30"/>
  <c r="V2998" i="30"/>
  <c r="G2998" i="30" a="1"/>
  <c r="R3005" i="30" s="1"/>
  <c r="V2985" i="30"/>
  <c r="V2984" i="30"/>
  <c r="V2983" i="30"/>
  <c r="V2982" i="30"/>
  <c r="V2981" i="30"/>
  <c r="V2980" i="30"/>
  <c r="V2979" i="30"/>
  <c r="V2978" i="30"/>
  <c r="V2977" i="30"/>
  <c r="V2976" i="30"/>
  <c r="V2975" i="30"/>
  <c r="V2974" i="30"/>
  <c r="V2973" i="30"/>
  <c r="V2972" i="30"/>
  <c r="V2971" i="30"/>
  <c r="V2970" i="30"/>
  <c r="V2966" i="30"/>
  <c r="V2965" i="30"/>
  <c r="V2964" i="30"/>
  <c r="V2963" i="30"/>
  <c r="V2962" i="30"/>
  <c r="V2961" i="30"/>
  <c r="V2960" i="30"/>
  <c r="V2959" i="30"/>
  <c r="V2958" i="30"/>
  <c r="V2957" i="30"/>
  <c r="V2956" i="30"/>
  <c r="V2955" i="30"/>
  <c r="V2954" i="30"/>
  <c r="V2953" i="30"/>
  <c r="V2952" i="30"/>
  <c r="V2951" i="30"/>
  <c r="V2950" i="30"/>
  <c r="V2949" i="30"/>
  <c r="V2948" i="30"/>
  <c r="V2947" i="30"/>
  <c r="V2934" i="30"/>
  <c r="V2933" i="30"/>
  <c r="V2932" i="30"/>
  <c r="V2931" i="30"/>
  <c r="V2930" i="30"/>
  <c r="V2929" i="30"/>
  <c r="V2928" i="30"/>
  <c r="V2927" i="30"/>
  <c r="V2926" i="30"/>
  <c r="V2925" i="30"/>
  <c r="V2924" i="30"/>
  <c r="V2923" i="30"/>
  <c r="V2922" i="30"/>
  <c r="V2921" i="30"/>
  <c r="V2920" i="30"/>
  <c r="V2919" i="30"/>
  <c r="V2915" i="30"/>
  <c r="V2914" i="30"/>
  <c r="V2913" i="30"/>
  <c r="V2912" i="30"/>
  <c r="V2911" i="30"/>
  <c r="V2910" i="30"/>
  <c r="V2909" i="30"/>
  <c r="V2908" i="30"/>
  <c r="V2907" i="30"/>
  <c r="V2906" i="30"/>
  <c r="V2905" i="30"/>
  <c r="V2904" i="30"/>
  <c r="G2904" i="30" a="1"/>
  <c r="Q2911" i="30" s="1"/>
  <c r="V2903" i="30"/>
  <c r="V2902" i="30"/>
  <c r="V2901" i="30"/>
  <c r="V2900" i="30"/>
  <c r="V2899" i="30"/>
  <c r="V2898" i="30"/>
  <c r="V2897" i="30"/>
  <c r="V2896" i="30"/>
  <c r="G2896" i="30" a="1"/>
  <c r="Q2903" i="30" s="1"/>
  <c r="V2883" i="30"/>
  <c r="V2882" i="30"/>
  <c r="V2881" i="30"/>
  <c r="V2880" i="30"/>
  <c r="V2879" i="30"/>
  <c r="V2878" i="30"/>
  <c r="V2877" i="30"/>
  <c r="V2876" i="30"/>
  <c r="V2875" i="30"/>
  <c r="V2874" i="30"/>
  <c r="V2873" i="30"/>
  <c r="V2872" i="30"/>
  <c r="V2871" i="30"/>
  <c r="V2870" i="30"/>
  <c r="V2869" i="30"/>
  <c r="V2868" i="30"/>
  <c r="V2864" i="30"/>
  <c r="V2863" i="30"/>
  <c r="V2862" i="30"/>
  <c r="V2861" i="30"/>
  <c r="V2860" i="30"/>
  <c r="V2859" i="30"/>
  <c r="V2858" i="30"/>
  <c r="V2857" i="30"/>
  <c r="V2856" i="30"/>
  <c r="V2855" i="30"/>
  <c r="V2854" i="30"/>
  <c r="V2853" i="30"/>
  <c r="V2852" i="30"/>
  <c r="V2851" i="30"/>
  <c r="V2850" i="30"/>
  <c r="V2849" i="30"/>
  <c r="V2848" i="30"/>
  <c r="V2847" i="30"/>
  <c r="V2846" i="30"/>
  <c r="V2845" i="30"/>
  <c r="V2832" i="30"/>
  <c r="V2831" i="30"/>
  <c r="V2830" i="30"/>
  <c r="V2829" i="30"/>
  <c r="V2828" i="30"/>
  <c r="V2827" i="30"/>
  <c r="V2826" i="30"/>
  <c r="V2825" i="30"/>
  <c r="V2824" i="30"/>
  <c r="V2823" i="30"/>
  <c r="V2822" i="30"/>
  <c r="V2821" i="30"/>
  <c r="V2820" i="30"/>
  <c r="V2819" i="30"/>
  <c r="V2818" i="30"/>
  <c r="V2817" i="30"/>
  <c r="V2813" i="30"/>
  <c r="V2812" i="30"/>
  <c r="V2811" i="30"/>
  <c r="V2810" i="30"/>
  <c r="V2809" i="30"/>
  <c r="V2808" i="30"/>
  <c r="V2807" i="30"/>
  <c r="V2806" i="30"/>
  <c r="V2805" i="30"/>
  <c r="V2804" i="30"/>
  <c r="V2803" i="30"/>
  <c r="V2802" i="30"/>
  <c r="V2801" i="30"/>
  <c r="V2800" i="30"/>
  <c r="V2799" i="30"/>
  <c r="V2798" i="30"/>
  <c r="V2797" i="30"/>
  <c r="V2796" i="30"/>
  <c r="V2795" i="30"/>
  <c r="V2794" i="30"/>
  <c r="V2781" i="30"/>
  <c r="V2780" i="30"/>
  <c r="V2779" i="30"/>
  <c r="V2778" i="30"/>
  <c r="V2777" i="30"/>
  <c r="V2776" i="30"/>
  <c r="V2775" i="30"/>
  <c r="V2774" i="30"/>
  <c r="V2773" i="30"/>
  <c r="V2772" i="30"/>
  <c r="V2771" i="30"/>
  <c r="V2770" i="30"/>
  <c r="V2769" i="30"/>
  <c r="V2768" i="30"/>
  <c r="V2767" i="30"/>
  <c r="V2766" i="30"/>
  <c r="V2762" i="30"/>
  <c r="V2761" i="30"/>
  <c r="V2760" i="30"/>
  <c r="V2759" i="30"/>
  <c r="V2758" i="30"/>
  <c r="V2757" i="30"/>
  <c r="V2756" i="30"/>
  <c r="V2755" i="30"/>
  <c r="V2754" i="30"/>
  <c r="V2753" i="30"/>
  <c r="V2752" i="30"/>
  <c r="V2751" i="30"/>
  <c r="V2750" i="30"/>
  <c r="V2749" i="30"/>
  <c r="V2748" i="30"/>
  <c r="V2747" i="30"/>
  <c r="V2746" i="30"/>
  <c r="V2745" i="30"/>
  <c r="V2744" i="30"/>
  <c r="V2743" i="30"/>
  <c r="V2730" i="30"/>
  <c r="V2729" i="30"/>
  <c r="V2728" i="30"/>
  <c r="V2727" i="30"/>
  <c r="V2726" i="30"/>
  <c r="V2725" i="30"/>
  <c r="V2724" i="30"/>
  <c r="V2723" i="30"/>
  <c r="V2722" i="30"/>
  <c r="V2721" i="30"/>
  <c r="V2720" i="30"/>
  <c r="V2719" i="30"/>
  <c r="V2718" i="30"/>
  <c r="V2717" i="30"/>
  <c r="V2716" i="30"/>
  <c r="V2715" i="30"/>
  <c r="V2711" i="30"/>
  <c r="V2710" i="30"/>
  <c r="V2708" i="30"/>
  <c r="V2707" i="30"/>
  <c r="V2706" i="30"/>
  <c r="V2705" i="30"/>
  <c r="V2704" i="30"/>
  <c r="V2703" i="30"/>
  <c r="V2702" i="30"/>
  <c r="V2701" i="30"/>
  <c r="V2700" i="30"/>
  <c r="V2699" i="30"/>
  <c r="V2698" i="30"/>
  <c r="V2697" i="30"/>
  <c r="V2696" i="30"/>
  <c r="V2695" i="30"/>
  <c r="V2694" i="30"/>
  <c r="V2693" i="30"/>
  <c r="V2692" i="30"/>
  <c r="V2679" i="30"/>
  <c r="V2678" i="30"/>
  <c r="V2677" i="30"/>
  <c r="V2676" i="30"/>
  <c r="V2675" i="30"/>
  <c r="V2674" i="30"/>
  <c r="V2673" i="30"/>
  <c r="V2672" i="30"/>
  <c r="V2671" i="30"/>
  <c r="V2670" i="30"/>
  <c r="V2669" i="30"/>
  <c r="V2668" i="30"/>
  <c r="V2667" i="30"/>
  <c r="V2666" i="30"/>
  <c r="V2665" i="30"/>
  <c r="V2664" i="30"/>
  <c r="V2660" i="30"/>
  <c r="V2659" i="30"/>
  <c r="V2658" i="30"/>
  <c r="V2657" i="30"/>
  <c r="V2656" i="30"/>
  <c r="V2655" i="30"/>
  <c r="V2654" i="30"/>
  <c r="V2653" i="30"/>
  <c r="V2652" i="30"/>
  <c r="V2651" i="30"/>
  <c r="V2650" i="30"/>
  <c r="V2649" i="30"/>
  <c r="V2648" i="30"/>
  <c r="V2647" i="30"/>
  <c r="V2646" i="30"/>
  <c r="V2645" i="30"/>
  <c r="V2644" i="30"/>
  <c r="V2643" i="30"/>
  <c r="V2642" i="30"/>
  <c r="V2641" i="30"/>
  <c r="V2628" i="30"/>
  <c r="V2627" i="30"/>
  <c r="V2626" i="30"/>
  <c r="V2625" i="30"/>
  <c r="V2624" i="30"/>
  <c r="V2623" i="30"/>
  <c r="V2622" i="30"/>
  <c r="V2621" i="30"/>
  <c r="V2620" i="30"/>
  <c r="V2619" i="30"/>
  <c r="V2618" i="30"/>
  <c r="V2617" i="30"/>
  <c r="V2616" i="30"/>
  <c r="V2615" i="30"/>
  <c r="V2614" i="30"/>
  <c r="V2613" i="30"/>
  <c r="V2609" i="30"/>
  <c r="V2608" i="30"/>
  <c r="V2607" i="30"/>
  <c r="V2606" i="30"/>
  <c r="V2605" i="30"/>
  <c r="V2604" i="30"/>
  <c r="V2603" i="30"/>
  <c r="V2602" i="30"/>
  <c r="V2601" i="30"/>
  <c r="V2600" i="30"/>
  <c r="V2599" i="30"/>
  <c r="V2598" i="30"/>
  <c r="V2597" i="30"/>
  <c r="V2596" i="30"/>
  <c r="V2595" i="30"/>
  <c r="V2594" i="30"/>
  <c r="V2593" i="30"/>
  <c r="V2592" i="30"/>
  <c r="V2591" i="30"/>
  <c r="V2590" i="30"/>
  <c r="V2577" i="30"/>
  <c r="V2576" i="30"/>
  <c r="V2575" i="30"/>
  <c r="V2574" i="30"/>
  <c r="V2573" i="30"/>
  <c r="V2572" i="30"/>
  <c r="V2571" i="30"/>
  <c r="V2570" i="30"/>
  <c r="V2569" i="30"/>
  <c r="V2568" i="30"/>
  <c r="V2567" i="30"/>
  <c r="V2566" i="30"/>
  <c r="V2565" i="30"/>
  <c r="V2564" i="30"/>
  <c r="V2563" i="30"/>
  <c r="V2562" i="30"/>
  <c r="V2558" i="30"/>
  <c r="V2557" i="30"/>
  <c r="V2556" i="30"/>
  <c r="V2555" i="30"/>
  <c r="V2554" i="30"/>
  <c r="V2553" i="30"/>
  <c r="V2552" i="30"/>
  <c r="V2551" i="30"/>
  <c r="V2550" i="30"/>
  <c r="V2549" i="30"/>
  <c r="V2548" i="30"/>
  <c r="V2547" i="30"/>
  <c r="V2546" i="30"/>
  <c r="V2545" i="30"/>
  <c r="V2544" i="30"/>
  <c r="V2543" i="30"/>
  <c r="V2542" i="30"/>
  <c r="V2541" i="30"/>
  <c r="V2540" i="30"/>
  <c r="V2539" i="30"/>
  <c r="V2526" i="30"/>
  <c r="V2525" i="30"/>
  <c r="V2524" i="30"/>
  <c r="V2523" i="30"/>
  <c r="V2522" i="30"/>
  <c r="V2521" i="30"/>
  <c r="V2520" i="30"/>
  <c r="V2519" i="30"/>
  <c r="V2518" i="30"/>
  <c r="V2517" i="30"/>
  <c r="V2516" i="30"/>
  <c r="V2515" i="30"/>
  <c r="V2514" i="30"/>
  <c r="V2513" i="30"/>
  <c r="V2512" i="30"/>
  <c r="V2511" i="30"/>
  <c r="V2507" i="30"/>
  <c r="V2506" i="30"/>
  <c r="V2505" i="30"/>
  <c r="V2504" i="30"/>
  <c r="V2503" i="30"/>
  <c r="V2502" i="30"/>
  <c r="V2501" i="30"/>
  <c r="V2500" i="30"/>
  <c r="V2499" i="30"/>
  <c r="V2498" i="30"/>
  <c r="V2497" i="30"/>
  <c r="V2496" i="30"/>
  <c r="V2495" i="30"/>
  <c r="V2494" i="30"/>
  <c r="V2493" i="30"/>
  <c r="V2492" i="30"/>
  <c r="V2491" i="30"/>
  <c r="V2490" i="30"/>
  <c r="V2489" i="30"/>
  <c r="V2488" i="30"/>
  <c r="V2475" i="30"/>
  <c r="V2474" i="30"/>
  <c r="V2473" i="30"/>
  <c r="V2472" i="30"/>
  <c r="V2471" i="30"/>
  <c r="V2470" i="30"/>
  <c r="V2469" i="30"/>
  <c r="V2468" i="30"/>
  <c r="V2467" i="30"/>
  <c r="V2466" i="30"/>
  <c r="V2465" i="30"/>
  <c r="V2464" i="30"/>
  <c r="V2463" i="30"/>
  <c r="V2462" i="30"/>
  <c r="V2461" i="30"/>
  <c r="V2460" i="30"/>
  <c r="V2456" i="30"/>
  <c r="V2455" i="30"/>
  <c r="V2454" i="30"/>
  <c r="V2453" i="30"/>
  <c r="V2452" i="30"/>
  <c r="V2451" i="30"/>
  <c r="V2450" i="30"/>
  <c r="V2449" i="30"/>
  <c r="V2448" i="30"/>
  <c r="V2447" i="30"/>
  <c r="V2446" i="30"/>
  <c r="V2445" i="30"/>
  <c r="V2444" i="30"/>
  <c r="V2443" i="30"/>
  <c r="V2442" i="30"/>
  <c r="V2441" i="30"/>
  <c r="V2440" i="30"/>
  <c r="V2439" i="30"/>
  <c r="V2438" i="30"/>
  <c r="V2437" i="30"/>
  <c r="V2424" i="30"/>
  <c r="V2423" i="30"/>
  <c r="V2422" i="30"/>
  <c r="V2421" i="30"/>
  <c r="V2420" i="30"/>
  <c r="V2419" i="30"/>
  <c r="V2418" i="30"/>
  <c r="V2417" i="30"/>
  <c r="V2416" i="30"/>
  <c r="V2415" i="30"/>
  <c r="V2414" i="30"/>
  <c r="V2413" i="30"/>
  <c r="V2412" i="30"/>
  <c r="V2411" i="30"/>
  <c r="V2410" i="30"/>
  <c r="V2409" i="30"/>
  <c r="V2405" i="30"/>
  <c r="V2404" i="30"/>
  <c r="V2403" i="30"/>
  <c r="V2402" i="30"/>
  <c r="V2401" i="30"/>
  <c r="V2400" i="30"/>
  <c r="V2399" i="30"/>
  <c r="V2398" i="30"/>
  <c r="V2397" i="30"/>
  <c r="V2396" i="30"/>
  <c r="V2395" i="30"/>
  <c r="V2394" i="30"/>
  <c r="V2393" i="30"/>
  <c r="V2392" i="30"/>
  <c r="V2391" i="30"/>
  <c r="V2390" i="30"/>
  <c r="V2389" i="30"/>
  <c r="V2388" i="30"/>
  <c r="V2387" i="30"/>
  <c r="V2386" i="30"/>
  <c r="V2373" i="30"/>
  <c r="V2372" i="30"/>
  <c r="V2371" i="30"/>
  <c r="V2370" i="30"/>
  <c r="V2369" i="30"/>
  <c r="V2368" i="30"/>
  <c r="V2367" i="30"/>
  <c r="V2366" i="30"/>
  <c r="V2365" i="30"/>
  <c r="V2364" i="30"/>
  <c r="V2363" i="30"/>
  <c r="V2362" i="30"/>
  <c r="V2361" i="30"/>
  <c r="V2360" i="30"/>
  <c r="V2359" i="30"/>
  <c r="V2358" i="30"/>
  <c r="V2354" i="30"/>
  <c r="V2353" i="30"/>
  <c r="V2352" i="30"/>
  <c r="V2351" i="30"/>
  <c r="V2350" i="30"/>
  <c r="V2349" i="30"/>
  <c r="V2348" i="30"/>
  <c r="V2347" i="30"/>
  <c r="V2346" i="30"/>
  <c r="V2345" i="30"/>
  <c r="V2344" i="30"/>
  <c r="V2343" i="30"/>
  <c r="V2342" i="30"/>
  <c r="V2341" i="30"/>
  <c r="V2340" i="30"/>
  <c r="V2339" i="30"/>
  <c r="V2338" i="30"/>
  <c r="V2337" i="30"/>
  <c r="V2336" i="30"/>
  <c r="V2335" i="30"/>
  <c r="V2322" i="30"/>
  <c r="V2321" i="30"/>
  <c r="V2320" i="30"/>
  <c r="V2319" i="30"/>
  <c r="V2318" i="30"/>
  <c r="V2317" i="30"/>
  <c r="V2316" i="30"/>
  <c r="V2315" i="30"/>
  <c r="V2314" i="30"/>
  <c r="V2313" i="30"/>
  <c r="V2312" i="30"/>
  <c r="V2311" i="30"/>
  <c r="V2310" i="30"/>
  <c r="V2309" i="30"/>
  <c r="V2308" i="30"/>
  <c r="V2307" i="30"/>
  <c r="V2303" i="30"/>
  <c r="V2302" i="30"/>
  <c r="V2301" i="30"/>
  <c r="V2300" i="30"/>
  <c r="V2299" i="30"/>
  <c r="V2298" i="30"/>
  <c r="V2297" i="30"/>
  <c r="V2296" i="30"/>
  <c r="V2295" i="30"/>
  <c r="V2294" i="30"/>
  <c r="V2293" i="30"/>
  <c r="V2292" i="30"/>
  <c r="V2291" i="30"/>
  <c r="V2290" i="30"/>
  <c r="V2289" i="30"/>
  <c r="V2288" i="30"/>
  <c r="V2287" i="30"/>
  <c r="V2286" i="30"/>
  <c r="V2285" i="30"/>
  <c r="V2284" i="30"/>
  <c r="V2271" i="30"/>
  <c r="V2270" i="30"/>
  <c r="V2269" i="30"/>
  <c r="V2268" i="30"/>
  <c r="V2267" i="30"/>
  <c r="V2266" i="30"/>
  <c r="V2265" i="30"/>
  <c r="V2264" i="30"/>
  <c r="V2263" i="30"/>
  <c r="V2262" i="30"/>
  <c r="V2261" i="30"/>
  <c r="V2260" i="30"/>
  <c r="V2259" i="30"/>
  <c r="V2258" i="30"/>
  <c r="V2257" i="30"/>
  <c r="V2256" i="30"/>
  <c r="V2252" i="30"/>
  <c r="V2251" i="30"/>
  <c r="V2250" i="30"/>
  <c r="V2249" i="30"/>
  <c r="V2248" i="30"/>
  <c r="V2247" i="30"/>
  <c r="V2246" i="30"/>
  <c r="V2245" i="30"/>
  <c r="V2244" i="30"/>
  <c r="V2243" i="30"/>
  <c r="V2242" i="30"/>
  <c r="V2241" i="30"/>
  <c r="V2240" i="30"/>
  <c r="V2239" i="30"/>
  <c r="V2238" i="30"/>
  <c r="V2237" i="30"/>
  <c r="V2236" i="30"/>
  <c r="V2235" i="30"/>
  <c r="V2234" i="30"/>
  <c r="V2233" i="30"/>
  <c r="V2220" i="30"/>
  <c r="V2219" i="30"/>
  <c r="V2218" i="30"/>
  <c r="V2217" i="30"/>
  <c r="V2216" i="30"/>
  <c r="V2215" i="30"/>
  <c r="V2214" i="30"/>
  <c r="V2213" i="30"/>
  <c r="V2212" i="30"/>
  <c r="V2211" i="30"/>
  <c r="V2210" i="30"/>
  <c r="V2209" i="30"/>
  <c r="V2208" i="30"/>
  <c r="V2207" i="30"/>
  <c r="V2206" i="30"/>
  <c r="V2205" i="30"/>
  <c r="V2201" i="30"/>
  <c r="V2200" i="30"/>
  <c r="V2199" i="30"/>
  <c r="V2198" i="30"/>
  <c r="V2197" i="30"/>
  <c r="V2196" i="30"/>
  <c r="V2195" i="30"/>
  <c r="V2194" i="30"/>
  <c r="V2193" i="30"/>
  <c r="V2192" i="30"/>
  <c r="V2191" i="30"/>
  <c r="V2190" i="30"/>
  <c r="V2189" i="30"/>
  <c r="V2188" i="30"/>
  <c r="V2187" i="30"/>
  <c r="V2186" i="30"/>
  <c r="V2185" i="30"/>
  <c r="V2184" i="30"/>
  <c r="V2183" i="30"/>
  <c r="V2182" i="30"/>
  <c r="V2169" i="30"/>
  <c r="V2168" i="30"/>
  <c r="V2167" i="30"/>
  <c r="V2166" i="30"/>
  <c r="V2165" i="30"/>
  <c r="V2164" i="30"/>
  <c r="V2163" i="30"/>
  <c r="V2162" i="30"/>
  <c r="V2161" i="30"/>
  <c r="V2160" i="30"/>
  <c r="V2159" i="30"/>
  <c r="V2158" i="30"/>
  <c r="V2157" i="30"/>
  <c r="V2156" i="30"/>
  <c r="V2155" i="30"/>
  <c r="V2154" i="30"/>
  <c r="V2150" i="30"/>
  <c r="V2149" i="30"/>
  <c r="V2148" i="30"/>
  <c r="V2147" i="30"/>
  <c r="V2146" i="30"/>
  <c r="V2145" i="30"/>
  <c r="V2144" i="30"/>
  <c r="V2143" i="30"/>
  <c r="V2142" i="30"/>
  <c r="V2141" i="30"/>
  <c r="V2140" i="30"/>
  <c r="V2139" i="30"/>
  <c r="V2138" i="30"/>
  <c r="V2137" i="30"/>
  <c r="V2136" i="30"/>
  <c r="V2135" i="30"/>
  <c r="V2134" i="30"/>
  <c r="V2133" i="30"/>
  <c r="V2132" i="30"/>
  <c r="V2131" i="30"/>
  <c r="V2118" i="30"/>
  <c r="V2117" i="30"/>
  <c r="V2116" i="30"/>
  <c r="V2115" i="30"/>
  <c r="V2114" i="30"/>
  <c r="V2113" i="30"/>
  <c r="V2112" i="30"/>
  <c r="V2111" i="30"/>
  <c r="V2110" i="30"/>
  <c r="V2109" i="30"/>
  <c r="V2108" i="30"/>
  <c r="V2107" i="30"/>
  <c r="V2106" i="30"/>
  <c r="V2105" i="30"/>
  <c r="V2104" i="30"/>
  <c r="V2103" i="30"/>
  <c r="V2099" i="30"/>
  <c r="V2098" i="30"/>
  <c r="V2097" i="30"/>
  <c r="V2096" i="30"/>
  <c r="V2095" i="30"/>
  <c r="V2094" i="30"/>
  <c r="V2093" i="30"/>
  <c r="V2092" i="30"/>
  <c r="V2091" i="30"/>
  <c r="V2090" i="30"/>
  <c r="V2089" i="30"/>
  <c r="V2088" i="30"/>
  <c r="V2087" i="30"/>
  <c r="V2086" i="30"/>
  <c r="V2085" i="30"/>
  <c r="V2084" i="30"/>
  <c r="V2083" i="30"/>
  <c r="V2082" i="30"/>
  <c r="V2081" i="30"/>
  <c r="V2080" i="30"/>
  <c r="V2067" i="30"/>
  <c r="V2066" i="30"/>
  <c r="V2065" i="30"/>
  <c r="V2064" i="30"/>
  <c r="V2063" i="30"/>
  <c r="V2062" i="30"/>
  <c r="V2061" i="30"/>
  <c r="V2060" i="30"/>
  <c r="V2059" i="30"/>
  <c r="V2058" i="30"/>
  <c r="V2057" i="30"/>
  <c r="V2056" i="30"/>
  <c r="V2055" i="30"/>
  <c r="V2054" i="30"/>
  <c r="V2053" i="30"/>
  <c r="V2052" i="30"/>
  <c r="V2048" i="30"/>
  <c r="V2047" i="30"/>
  <c r="V2046" i="30"/>
  <c r="V2045" i="30"/>
  <c r="V2044" i="30"/>
  <c r="V2043" i="30"/>
  <c r="V2042" i="30"/>
  <c r="V2041" i="30"/>
  <c r="V2040" i="30"/>
  <c r="V2039" i="30"/>
  <c r="V2038" i="30"/>
  <c r="V2037" i="30"/>
  <c r="V2036" i="30"/>
  <c r="V2035" i="30"/>
  <c r="V2034" i="30"/>
  <c r="V2033" i="30"/>
  <c r="V2032" i="30"/>
  <c r="V2031" i="30"/>
  <c r="V2030" i="30"/>
  <c r="V2029" i="30"/>
  <c r="V2016" i="30"/>
  <c r="V2015" i="30"/>
  <c r="V2014" i="30"/>
  <c r="V2013" i="30"/>
  <c r="V2012" i="30"/>
  <c r="V2011" i="30"/>
  <c r="V2010" i="30"/>
  <c r="V2009" i="30"/>
  <c r="V2008" i="30"/>
  <c r="V2007" i="30"/>
  <c r="V2006" i="30"/>
  <c r="V2005" i="30"/>
  <c r="V2004" i="30"/>
  <c r="V2003" i="30"/>
  <c r="V2002" i="30"/>
  <c r="V2001" i="30"/>
  <c r="V1997" i="30"/>
  <c r="V1996" i="30"/>
  <c r="V1995" i="30"/>
  <c r="V1994" i="30"/>
  <c r="V1993" i="30"/>
  <c r="V1992" i="30"/>
  <c r="V1991" i="30"/>
  <c r="V1990" i="30"/>
  <c r="V1989" i="30"/>
  <c r="V1988" i="30"/>
  <c r="V1987" i="30"/>
  <c r="V1986" i="30"/>
  <c r="V1985" i="30"/>
  <c r="V1984" i="30"/>
  <c r="V1983" i="30"/>
  <c r="V1982" i="30"/>
  <c r="V1981" i="30"/>
  <c r="V1980" i="30"/>
  <c r="V1979" i="30"/>
  <c r="V1978" i="30"/>
  <c r="V1965" i="30"/>
  <c r="V1964" i="30"/>
  <c r="V1963" i="30"/>
  <c r="V1962" i="30"/>
  <c r="V1961" i="30"/>
  <c r="V1960" i="30"/>
  <c r="V1959" i="30"/>
  <c r="V1958" i="30"/>
  <c r="V1957" i="30"/>
  <c r="V1956" i="30"/>
  <c r="V1955" i="30"/>
  <c r="V1954" i="30"/>
  <c r="V1953" i="30"/>
  <c r="V1952" i="30"/>
  <c r="V1951" i="30"/>
  <c r="V1950" i="30"/>
  <c r="V1946" i="30"/>
  <c r="V1945" i="30"/>
  <c r="V1944" i="30"/>
  <c r="V1943" i="30"/>
  <c r="V1942" i="30"/>
  <c r="V1941" i="30"/>
  <c r="V1940" i="30"/>
  <c r="V1939" i="30"/>
  <c r="V1938" i="30"/>
  <c r="V1937" i="30"/>
  <c r="V1936" i="30"/>
  <c r="V1935" i="30"/>
  <c r="V1934" i="30"/>
  <c r="V1933" i="30"/>
  <c r="V1932" i="30"/>
  <c r="V1931" i="30"/>
  <c r="V1930" i="30"/>
  <c r="V1929" i="30"/>
  <c r="V1928" i="30"/>
  <c r="V1927" i="30"/>
  <c r="V1914" i="30"/>
  <c r="V1913" i="30"/>
  <c r="V1912" i="30"/>
  <c r="V1911" i="30"/>
  <c r="V1900" i="30"/>
  <c r="V1899" i="30"/>
  <c r="V1895" i="30"/>
  <c r="V1894" i="30"/>
  <c r="V1893" i="30"/>
  <c r="V1892" i="30"/>
  <c r="V1891" i="30"/>
  <c r="V1890" i="30"/>
  <c r="V1889" i="30"/>
  <c r="V1888" i="30"/>
  <c r="V1887" i="30"/>
  <c r="V1886" i="30"/>
  <c r="V1885" i="30"/>
  <c r="V1884" i="30"/>
  <c r="V1883" i="30"/>
  <c r="V1882" i="30"/>
  <c r="V1881" i="30"/>
  <c r="V1880" i="30"/>
  <c r="V1879" i="30"/>
  <c r="V1878" i="30"/>
  <c r="V1877" i="30"/>
  <c r="V1876" i="30"/>
  <c r="V1863" i="30"/>
  <c r="V1862" i="30"/>
  <c r="V1861" i="30"/>
  <c r="V1860" i="30"/>
  <c r="V1859" i="30"/>
  <c r="V1858" i="30"/>
  <c r="V1857" i="30"/>
  <c r="V1856" i="30"/>
  <c r="V1855" i="30"/>
  <c r="V1854" i="30"/>
  <c r="V1853" i="30"/>
  <c r="V1852" i="30"/>
  <c r="V1851" i="30"/>
  <c r="V1850" i="30"/>
  <c r="V1849" i="30"/>
  <c r="V1848" i="30"/>
  <c r="V1844" i="30"/>
  <c r="V1843" i="30"/>
  <c r="V1842" i="30"/>
  <c r="V1841" i="30"/>
  <c r="V1840" i="30"/>
  <c r="V1839" i="30"/>
  <c r="V1838" i="30"/>
  <c r="V1837" i="30"/>
  <c r="V1836" i="30"/>
  <c r="V1835" i="30"/>
  <c r="V1834" i="30"/>
  <c r="V1833" i="30"/>
  <c r="V1832" i="30"/>
  <c r="V1831" i="30"/>
  <c r="V1830" i="30"/>
  <c r="V1829" i="30"/>
  <c r="V1828" i="30"/>
  <c r="V1827" i="30"/>
  <c r="V1826" i="30"/>
  <c r="V1825" i="30"/>
  <c r="V1812" i="30"/>
  <c r="V1811" i="30"/>
  <c r="V1810" i="30"/>
  <c r="V1809" i="30"/>
  <c r="V1808" i="30"/>
  <c r="V1807" i="30"/>
  <c r="V1806" i="30"/>
  <c r="V1805" i="30"/>
  <c r="V1804" i="30"/>
  <c r="V1803" i="30"/>
  <c r="V1802" i="30"/>
  <c r="V1801" i="30"/>
  <c r="V1800" i="30"/>
  <c r="V1799" i="30"/>
  <c r="V1798" i="30"/>
  <c r="V1797" i="30"/>
  <c r="V1793" i="30"/>
  <c r="V1792" i="30"/>
  <c r="V1791" i="30"/>
  <c r="V1790" i="30"/>
  <c r="V1789" i="30"/>
  <c r="V1788" i="30"/>
  <c r="V1787" i="30"/>
  <c r="V1786" i="30"/>
  <c r="V1785" i="30"/>
  <c r="V1784" i="30"/>
  <c r="V1783" i="30"/>
  <c r="V1782" i="30"/>
  <c r="V1781" i="30"/>
  <c r="V1780" i="30"/>
  <c r="V1779" i="30"/>
  <c r="V1778" i="30"/>
  <c r="V1777" i="30"/>
  <c r="V1776" i="30"/>
  <c r="V1775" i="30"/>
  <c r="V1774" i="30"/>
  <c r="V1761" i="30"/>
  <c r="V1760" i="30"/>
  <c r="V1759" i="30"/>
  <c r="V1758" i="30"/>
  <c r="V1757" i="30"/>
  <c r="V1756" i="30"/>
  <c r="V1755" i="30"/>
  <c r="V1754" i="30"/>
  <c r="V1753" i="30"/>
  <c r="V1752" i="30"/>
  <c r="V1751" i="30"/>
  <c r="V1750" i="30"/>
  <c r="V1749" i="30"/>
  <c r="V1748" i="30"/>
  <c r="V1747" i="30"/>
  <c r="V1746" i="30"/>
  <c r="V1742" i="30"/>
  <c r="V1741" i="30"/>
  <c r="V1740" i="30"/>
  <c r="V1739" i="30"/>
  <c r="V1738" i="30"/>
  <c r="V1737" i="30"/>
  <c r="V1736" i="30"/>
  <c r="V1735" i="30"/>
  <c r="V1734" i="30"/>
  <c r="V1733" i="30"/>
  <c r="V1732" i="30"/>
  <c r="V1731" i="30"/>
  <c r="V1730" i="30"/>
  <c r="V1729" i="30"/>
  <c r="V1728" i="30"/>
  <c r="V1727" i="30"/>
  <c r="V1726" i="30"/>
  <c r="V1725" i="30"/>
  <c r="V1724" i="30"/>
  <c r="V1723" i="30"/>
  <c r="V1710" i="30"/>
  <c r="V1709" i="30"/>
  <c r="V1708" i="30"/>
  <c r="V1707" i="30"/>
  <c r="V1706" i="30"/>
  <c r="V1705" i="30"/>
  <c r="V1704" i="30"/>
  <c r="V1703" i="30"/>
  <c r="V1702" i="30"/>
  <c r="V1701" i="30"/>
  <c r="V1700" i="30"/>
  <c r="V1699" i="30"/>
  <c r="V1698" i="30"/>
  <c r="V1697" i="30"/>
  <c r="V1696" i="30"/>
  <c r="V1695" i="30"/>
  <c r="V1692" i="30"/>
  <c r="V1691" i="30"/>
  <c r="V1690" i="30"/>
  <c r="V1689" i="30"/>
  <c r="V1688" i="30"/>
  <c r="V1687" i="30"/>
  <c r="V1686" i="30"/>
  <c r="V1685" i="30"/>
  <c r="V1684" i="30"/>
  <c r="V1683" i="30"/>
  <c r="V1682" i="30"/>
  <c r="V1681" i="30"/>
  <c r="V1680" i="30"/>
  <c r="V1679" i="30"/>
  <c r="V1678" i="30"/>
  <c r="V1677" i="30"/>
  <c r="V1676" i="30"/>
  <c r="V1675" i="30"/>
  <c r="V1674" i="30"/>
  <c r="V1673" i="30"/>
  <c r="V1660" i="30"/>
  <c r="V1659" i="30"/>
  <c r="V1658" i="30"/>
  <c r="V1657" i="30"/>
  <c r="V1656" i="30"/>
  <c r="V1655" i="30"/>
  <c r="V1654" i="30"/>
  <c r="V1653" i="30"/>
  <c r="V1652" i="30"/>
  <c r="V1651" i="30"/>
  <c r="V1650" i="30"/>
  <c r="V1649" i="30"/>
  <c r="V1648" i="30"/>
  <c r="V1647" i="30"/>
  <c r="V1646" i="30"/>
  <c r="V1645" i="30"/>
  <c r="V1641" i="30"/>
  <c r="V1640" i="30"/>
  <c r="V1639" i="30"/>
  <c r="V1638" i="30"/>
  <c r="V1637" i="30"/>
  <c r="V1636" i="30"/>
  <c r="V1635" i="30"/>
  <c r="V1634" i="30"/>
  <c r="V1633" i="30"/>
  <c r="V1632" i="30"/>
  <c r="V1631" i="30"/>
  <c r="V1630" i="30"/>
  <c r="V1629" i="30"/>
  <c r="V1628" i="30"/>
  <c r="V1627" i="30"/>
  <c r="V1626" i="30"/>
  <c r="V1625" i="30"/>
  <c r="V1624" i="30"/>
  <c r="V1623" i="30"/>
  <c r="V1609" i="30"/>
  <c r="V1608" i="30"/>
  <c r="V1607" i="30"/>
  <c r="V1606" i="30"/>
  <c r="V1605" i="30"/>
  <c r="V1604" i="30"/>
  <c r="V1603" i="30"/>
  <c r="V1602" i="30"/>
  <c r="V1601" i="30"/>
  <c r="V1600" i="30"/>
  <c r="V1599" i="30"/>
  <c r="V1598" i="30"/>
  <c r="V1597" i="30"/>
  <c r="V1596" i="30"/>
  <c r="V1595" i="30"/>
  <c r="V1594" i="30"/>
  <c r="V1590" i="30"/>
  <c r="V1589" i="30"/>
  <c r="V1588" i="30"/>
  <c r="V1587" i="30"/>
  <c r="V1586" i="30"/>
  <c r="V1585" i="30"/>
  <c r="V1584" i="30"/>
  <c r="V1583" i="30"/>
  <c r="V1582" i="30"/>
  <c r="V1581" i="30"/>
  <c r="V1580" i="30"/>
  <c r="V1579" i="30"/>
  <c r="V1578" i="30"/>
  <c r="V1577" i="30"/>
  <c r="V1576" i="30"/>
  <c r="V1575" i="30"/>
  <c r="V1574" i="30"/>
  <c r="V1573" i="30"/>
  <c r="V1572" i="30"/>
  <c r="V1571" i="30"/>
  <c r="V1558" i="30"/>
  <c r="V1557" i="30"/>
  <c r="V1556" i="30"/>
  <c r="V1555" i="30"/>
  <c r="V1554" i="30"/>
  <c r="V1553" i="30"/>
  <c r="V1552" i="30"/>
  <c r="V1551" i="30"/>
  <c r="V1550" i="30"/>
  <c r="V1549" i="30"/>
  <c r="V1548" i="30"/>
  <c r="V1547" i="30"/>
  <c r="V1546" i="30"/>
  <c r="V1545" i="30"/>
  <c r="V1544" i="30"/>
  <c r="V1543" i="30"/>
  <c r="V1539" i="30"/>
  <c r="V1538" i="30"/>
  <c r="V1537" i="30"/>
  <c r="V1536" i="30"/>
  <c r="V1535" i="30"/>
  <c r="V1534" i="30"/>
  <c r="V1533" i="30"/>
  <c r="V1532" i="30"/>
  <c r="V1531" i="30"/>
  <c r="V1530" i="30"/>
  <c r="V1529" i="30"/>
  <c r="V1528" i="30"/>
  <c r="V1527" i="30"/>
  <c r="V1526" i="30"/>
  <c r="V1525" i="30"/>
  <c r="V1524" i="30"/>
  <c r="V1523" i="30"/>
  <c r="V1522" i="30"/>
  <c r="V1521" i="30"/>
  <c r="V1520" i="30"/>
  <c r="V1507" i="30"/>
  <c r="V1506" i="30"/>
  <c r="V1505" i="30"/>
  <c r="V1504" i="30"/>
  <c r="V1503" i="30"/>
  <c r="V1502" i="30"/>
  <c r="V1501" i="30"/>
  <c r="V1500" i="30"/>
  <c r="V1499" i="30"/>
  <c r="V1498" i="30"/>
  <c r="V1497" i="30"/>
  <c r="V1496" i="30"/>
  <c r="V1495" i="30"/>
  <c r="V1494" i="30"/>
  <c r="V1493" i="30"/>
  <c r="V1492" i="30"/>
  <c r="V1488" i="30"/>
  <c r="V1487" i="30"/>
  <c r="V1486" i="30"/>
  <c r="V1485" i="30"/>
  <c r="V1484" i="30"/>
  <c r="V1483" i="30"/>
  <c r="V1482" i="30"/>
  <c r="V1481" i="30"/>
  <c r="V1480" i="30"/>
  <c r="V1479" i="30"/>
  <c r="V1478" i="30"/>
  <c r="V1477" i="30"/>
  <c r="V1476" i="30"/>
  <c r="V1475" i="30"/>
  <c r="V1474" i="30"/>
  <c r="V1473" i="30"/>
  <c r="V1472" i="30"/>
  <c r="V1471" i="30"/>
  <c r="V1469" i="30"/>
  <c r="V1456" i="30"/>
  <c r="V1455" i="30"/>
  <c r="V1454" i="30"/>
  <c r="V1453" i="30"/>
  <c r="V1452" i="30"/>
  <c r="V1451" i="30"/>
  <c r="V1450" i="30"/>
  <c r="V1449" i="30"/>
  <c r="V1448" i="30"/>
  <c r="V1447" i="30"/>
  <c r="V1446" i="30"/>
  <c r="V1445" i="30"/>
  <c r="V1444" i="30"/>
  <c r="V1443" i="30"/>
  <c r="V1442" i="30"/>
  <c r="V1441" i="30"/>
  <c r="V1437" i="30"/>
  <c r="V1436" i="30"/>
  <c r="V1435" i="30"/>
  <c r="V1434" i="30"/>
  <c r="V1433" i="30"/>
  <c r="V1432" i="30"/>
  <c r="V1431" i="30"/>
  <c r="V1430" i="30"/>
  <c r="V1429" i="30"/>
  <c r="V1428" i="30"/>
  <c r="V1427" i="30"/>
  <c r="V1426" i="30"/>
  <c r="V1425" i="30"/>
  <c r="V1424" i="30"/>
  <c r="V1423" i="30"/>
  <c r="V1422" i="30"/>
  <c r="V1421" i="30"/>
  <c r="V1420" i="30"/>
  <c r="V1419" i="30"/>
  <c r="V1418" i="30"/>
  <c r="V1405" i="30"/>
  <c r="V1404" i="30"/>
  <c r="V1403" i="30"/>
  <c r="V1402" i="30"/>
  <c r="V1401" i="30"/>
  <c r="V1400" i="30"/>
  <c r="V1399" i="30"/>
  <c r="V1398" i="30"/>
  <c r="V1397" i="30"/>
  <c r="V1396" i="30"/>
  <c r="V1395" i="30"/>
  <c r="V1394" i="30"/>
  <c r="V1393" i="30"/>
  <c r="V1392" i="30"/>
  <c r="V1391" i="30"/>
  <c r="V1390" i="30"/>
  <c r="V1386" i="30"/>
  <c r="V1385" i="30"/>
  <c r="V1384" i="30"/>
  <c r="V1383" i="30"/>
  <c r="V1382" i="30"/>
  <c r="V1381" i="30"/>
  <c r="V1380" i="30"/>
  <c r="V1379" i="30"/>
  <c r="V1378" i="30"/>
  <c r="V1377" i="30"/>
  <c r="V1376" i="30"/>
  <c r="V1375" i="30"/>
  <c r="V1374" i="30"/>
  <c r="V1373" i="30"/>
  <c r="V1372" i="30"/>
  <c r="V1371" i="30"/>
  <c r="V1370" i="30"/>
  <c r="V1369" i="30"/>
  <c r="V1368" i="30"/>
  <c r="V1367" i="30"/>
  <c r="V1354" i="30"/>
  <c r="V1353" i="30"/>
  <c r="V1352" i="30"/>
  <c r="V1351" i="30"/>
  <c r="V1350" i="30"/>
  <c r="V1349" i="30"/>
  <c r="V1348" i="30"/>
  <c r="V1347" i="30"/>
  <c r="V1346" i="30"/>
  <c r="V1345" i="30"/>
  <c r="V1344" i="30"/>
  <c r="V1343" i="30"/>
  <c r="V1342" i="30"/>
  <c r="V1341" i="30"/>
  <c r="V1340" i="30"/>
  <c r="V1339" i="30"/>
  <c r="V1335" i="30"/>
  <c r="V1334" i="30"/>
  <c r="V1333" i="30"/>
  <c r="V1332" i="30"/>
  <c r="V1331" i="30"/>
  <c r="V1330" i="30"/>
  <c r="V1329" i="30"/>
  <c r="V1328" i="30"/>
  <c r="V1327" i="30"/>
  <c r="V1326" i="30"/>
  <c r="V1325" i="30"/>
  <c r="V1324" i="30"/>
  <c r="V1323" i="30"/>
  <c r="V1322" i="30"/>
  <c r="V1321" i="30"/>
  <c r="V1320" i="30"/>
  <c r="V1319" i="30"/>
  <c r="V1318" i="30"/>
  <c r="V1317" i="30"/>
  <c r="V1316" i="30"/>
  <c r="V1303" i="30"/>
  <c r="V1302" i="30"/>
  <c r="V1301" i="30"/>
  <c r="V1300" i="30"/>
  <c r="V1299" i="30"/>
  <c r="V1298" i="30"/>
  <c r="V1297" i="30"/>
  <c r="V1296" i="30"/>
  <c r="V1295" i="30"/>
  <c r="V1294" i="30"/>
  <c r="V1293" i="30"/>
  <c r="V1292" i="30"/>
  <c r="V1291" i="30"/>
  <c r="V1290" i="30"/>
  <c r="V1289" i="30"/>
  <c r="V1288" i="30"/>
  <c r="V1284" i="30"/>
  <c r="V1283" i="30"/>
  <c r="V1282" i="30"/>
  <c r="V1281" i="30"/>
  <c r="V1280" i="30"/>
  <c r="V1279" i="30"/>
  <c r="V1278" i="30"/>
  <c r="V1277" i="30"/>
  <c r="V1276" i="30"/>
  <c r="V1275" i="30"/>
  <c r="V1274" i="30"/>
  <c r="V1273" i="30"/>
  <c r="V1272" i="30"/>
  <c r="V1271" i="30"/>
  <c r="V1270" i="30"/>
  <c r="V1269" i="30"/>
  <c r="V1268" i="30"/>
  <c r="V1267" i="30"/>
  <c r="V1266" i="30"/>
  <c r="V1265" i="30"/>
  <c r="V1252" i="30"/>
  <c r="V1251" i="30"/>
  <c r="V1250" i="30"/>
  <c r="V1249" i="30"/>
  <c r="V1248" i="30"/>
  <c r="V1247" i="30"/>
  <c r="V1246" i="30"/>
  <c r="V1245" i="30"/>
  <c r="V1244" i="30"/>
  <c r="V1243" i="30"/>
  <c r="V1242" i="30"/>
  <c r="V1241" i="30"/>
  <c r="V1240" i="30"/>
  <c r="V1239" i="30"/>
  <c r="V1238" i="30"/>
  <c r="V1237" i="30"/>
  <c r="V1233" i="30"/>
  <c r="V1232" i="30"/>
  <c r="V1231" i="30"/>
  <c r="V1230" i="30"/>
  <c r="V1229" i="30"/>
  <c r="V1228" i="30"/>
  <c r="V1227" i="30"/>
  <c r="V1226" i="30"/>
  <c r="V1225" i="30"/>
  <c r="V1224" i="30"/>
  <c r="V1223" i="30"/>
  <c r="V1222" i="30"/>
  <c r="V1221" i="30"/>
  <c r="V1220" i="30"/>
  <c r="V1219" i="30"/>
  <c r="V1218" i="30"/>
  <c r="V1217" i="30"/>
  <c r="V1216" i="30"/>
  <c r="V1215" i="30"/>
  <c r="V1214" i="30"/>
  <c r="V1201" i="30"/>
  <c r="V1200" i="30"/>
  <c r="V1199" i="30"/>
  <c r="V1198" i="30"/>
  <c r="V1197" i="30"/>
  <c r="V1196" i="30"/>
  <c r="V1195" i="30"/>
  <c r="V1194" i="30"/>
  <c r="V1193" i="30"/>
  <c r="V1192" i="30"/>
  <c r="V1191" i="30"/>
  <c r="V1190" i="30"/>
  <c r="V1189" i="30"/>
  <c r="V1188" i="30"/>
  <c r="V1187" i="30"/>
  <c r="V1186" i="30"/>
  <c r="V1182" i="30"/>
  <c r="V1181" i="30"/>
  <c r="V1180" i="30"/>
  <c r="V1179" i="30"/>
  <c r="V1178" i="30"/>
  <c r="V1177" i="30"/>
  <c r="V1176" i="30"/>
  <c r="V1175" i="30"/>
  <c r="V1174" i="30"/>
  <c r="V1173" i="30"/>
  <c r="V1172" i="30"/>
  <c r="V1171" i="30"/>
  <c r="V1170" i="30"/>
  <c r="V1169" i="30"/>
  <c r="V1168" i="30"/>
  <c r="V1167" i="30"/>
  <c r="V1166" i="30"/>
  <c r="V1165" i="30"/>
  <c r="V1164" i="30"/>
  <c r="V1163" i="30"/>
  <c r="V1150" i="30"/>
  <c r="V1149" i="30"/>
  <c r="V1148" i="30"/>
  <c r="V1147" i="30"/>
  <c r="V1146" i="30"/>
  <c r="V1145" i="30"/>
  <c r="V1144" i="30"/>
  <c r="V1143" i="30"/>
  <c r="V1142" i="30"/>
  <c r="V1141" i="30"/>
  <c r="V1140" i="30"/>
  <c r="V1139" i="30"/>
  <c r="V1138" i="30"/>
  <c r="V1137" i="30"/>
  <c r="V1136" i="30"/>
  <c r="V1135" i="30"/>
  <c r="V1131" i="30"/>
  <c r="V1130" i="30"/>
  <c r="V1129" i="30"/>
  <c r="V1128" i="30"/>
  <c r="V1127" i="30"/>
  <c r="V1126" i="30"/>
  <c r="V1125" i="30"/>
  <c r="V1124" i="30"/>
  <c r="V1123" i="30"/>
  <c r="V1122" i="30"/>
  <c r="V1121" i="30"/>
  <c r="V1120" i="30"/>
  <c r="V1119" i="30"/>
  <c r="V1118" i="30"/>
  <c r="V1117" i="30"/>
  <c r="V1116" i="30"/>
  <c r="V1115" i="30"/>
  <c r="V1114" i="30"/>
  <c r="V1113" i="30"/>
  <c r="V1112" i="30"/>
  <c r="V1111" i="30"/>
  <c r="V1110" i="30"/>
  <c r="V1109" i="30"/>
  <c r="V1108" i="30"/>
  <c r="V1107" i="30"/>
  <c r="V1106" i="30"/>
  <c r="V1105" i="30"/>
  <c r="V1104" i="30"/>
  <c r="V1103" i="30"/>
  <c r="V1102" i="30"/>
  <c r="V1101" i="30"/>
  <c r="V1100" i="30"/>
  <c r="V1099" i="30"/>
  <c r="V1098" i="30"/>
  <c r="V1097" i="30"/>
  <c r="V1096" i="30"/>
  <c r="V1095" i="30"/>
  <c r="V1094" i="30"/>
  <c r="V1093" i="30"/>
  <c r="V1092" i="30"/>
  <c r="V1091" i="30"/>
  <c r="V1090" i="30"/>
  <c r="V1089" i="30"/>
  <c r="V1088" i="30"/>
  <c r="V1087" i="30"/>
  <c r="V1086" i="30"/>
  <c r="V1085" i="30"/>
  <c r="V1084" i="30"/>
  <c r="V1083" i="30"/>
  <c r="V1082" i="30"/>
  <c r="V1081" i="30"/>
  <c r="V1080" i="30"/>
  <c r="V1079" i="30"/>
  <c r="V1078" i="30"/>
  <c r="V1077" i="30"/>
  <c r="V1076" i="30"/>
  <c r="V1075" i="30"/>
  <c r="V1074" i="30"/>
  <c r="V1073" i="30"/>
  <c r="V1072" i="30"/>
  <c r="V1071" i="30"/>
  <c r="V1070" i="30"/>
  <c r="V1069" i="30"/>
  <c r="V1068" i="30"/>
  <c r="V1055" i="30"/>
  <c r="V1054" i="30"/>
  <c r="V1053" i="30"/>
  <c r="V1052" i="30"/>
  <c r="V1051" i="30"/>
  <c r="V1050" i="30"/>
  <c r="V1049" i="30"/>
  <c r="V1048" i="30"/>
  <c r="V1047" i="30"/>
  <c r="V1046" i="30"/>
  <c r="V1045" i="30"/>
  <c r="V1044" i="30"/>
  <c r="V1043" i="30"/>
  <c r="V1042" i="30"/>
  <c r="V1041" i="30"/>
  <c r="V1040" i="30"/>
  <c r="V1037" i="30"/>
  <c r="V1036" i="30"/>
  <c r="V1035" i="30"/>
  <c r="V1034" i="30"/>
  <c r="V1033" i="30"/>
  <c r="V1017" i="30"/>
  <c r="V1016" i="30"/>
  <c r="V1015" i="30"/>
  <c r="V1014" i="30"/>
  <c r="V1013" i="30"/>
  <c r="V1012" i="30"/>
  <c r="V1011" i="30"/>
  <c r="V1010" i="30"/>
  <c r="V1009" i="30"/>
  <c r="V1008" i="30"/>
  <c r="V1007" i="30"/>
  <c r="V1006" i="30"/>
  <c r="V1005" i="30"/>
  <c r="V1004" i="30"/>
  <c r="V1003" i="30"/>
  <c r="V1002" i="30"/>
  <c r="V1001" i="30"/>
  <c r="V1000" i="30"/>
  <c r="V999" i="30"/>
  <c r="V998" i="30"/>
  <c r="V997" i="30"/>
  <c r="V996" i="30"/>
  <c r="V995" i="30"/>
  <c r="V994" i="30"/>
  <c r="V993" i="30"/>
  <c r="V992" i="30"/>
  <c r="V991" i="30"/>
  <c r="V990" i="30"/>
  <c r="V989" i="30"/>
  <c r="V988" i="30"/>
  <c r="V987" i="30"/>
  <c r="V986" i="30"/>
  <c r="V985" i="30"/>
  <c r="V984" i="30"/>
  <c r="V983" i="30"/>
  <c r="V982" i="30"/>
  <c r="V981" i="30"/>
  <c r="V980" i="30"/>
  <c r="V979" i="30"/>
  <c r="V978" i="30"/>
  <c r="V977" i="30"/>
  <c r="V976" i="30"/>
  <c r="V972" i="30"/>
  <c r="R972" i="30"/>
  <c r="N972" i="30"/>
  <c r="V971" i="30"/>
  <c r="V970" i="30"/>
  <c r="V969" i="30"/>
  <c r="V956" i="30"/>
  <c r="V955" i="30"/>
  <c r="V954" i="30"/>
  <c r="V953" i="30"/>
  <c r="U953" i="30"/>
  <c r="V952" i="30"/>
  <c r="V951" i="30"/>
  <c r="V950" i="30"/>
  <c r="V949" i="30"/>
  <c r="U949" i="30"/>
  <c r="V948" i="30"/>
  <c r="V947" i="30"/>
  <c r="V946" i="30"/>
  <c r="V945" i="30"/>
  <c r="V944" i="30"/>
  <c r="V943" i="30"/>
  <c r="V942" i="30"/>
  <c r="V941" i="30"/>
  <c r="V925" i="30"/>
  <c r="V924" i="30"/>
  <c r="V923" i="30"/>
  <c r="V922" i="30"/>
  <c r="V921" i="30"/>
  <c r="V920" i="30"/>
  <c r="V919" i="30"/>
  <c r="V918" i="30"/>
  <c r="V917" i="30"/>
  <c r="V916" i="30"/>
  <c r="V915" i="30"/>
  <c r="V914" i="30"/>
  <c r="V913" i="30"/>
  <c r="V912" i="30"/>
  <c r="V911" i="30"/>
  <c r="V910" i="30"/>
  <c r="V909" i="30"/>
  <c r="V908" i="30"/>
  <c r="V907" i="30"/>
  <c r="V906" i="30"/>
  <c r="V896" i="30"/>
  <c r="U896" i="30"/>
  <c r="V895" i="30"/>
  <c r="V894" i="30"/>
  <c r="U894" i="30"/>
  <c r="V893" i="30"/>
  <c r="U893" i="30"/>
  <c r="V892" i="30"/>
  <c r="V891" i="30"/>
  <c r="U891" i="30"/>
  <c r="V890" i="30"/>
  <c r="U890" i="30"/>
  <c r="V889" i="30"/>
  <c r="V888" i="30"/>
  <c r="U888" i="30"/>
  <c r="V887" i="30"/>
  <c r="U887" i="30"/>
  <c r="V886" i="30"/>
  <c r="V885" i="30"/>
  <c r="U885" i="30"/>
  <c r="V863" i="30"/>
  <c r="V862" i="30"/>
  <c r="V861" i="30"/>
  <c r="V860" i="30"/>
  <c r="V859" i="30"/>
  <c r="V858" i="30"/>
  <c r="V857" i="30"/>
  <c r="V856" i="30"/>
  <c r="V855" i="30"/>
  <c r="V854" i="30"/>
  <c r="V853" i="30"/>
  <c r="V852" i="30"/>
  <c r="V851" i="30"/>
  <c r="V850" i="30"/>
  <c r="V849" i="30"/>
  <c r="V848" i="30"/>
  <c r="V847" i="30"/>
  <c r="V846" i="30"/>
  <c r="V845" i="30"/>
  <c r="V844" i="30"/>
  <c r="V843" i="30"/>
  <c r="V842" i="30"/>
  <c r="V841" i="30"/>
  <c r="V840" i="30"/>
  <c r="V839" i="30"/>
  <c r="V838" i="30"/>
  <c r="V837" i="30"/>
  <c r="V836" i="30"/>
  <c r="V817" i="30"/>
  <c r="V816" i="30"/>
  <c r="V815" i="30"/>
  <c r="V814" i="30"/>
  <c r="V813" i="30"/>
  <c r="V812" i="30"/>
  <c r="V811" i="30"/>
  <c r="V810" i="30"/>
  <c r="V809" i="30"/>
  <c r="V808" i="30"/>
  <c r="V807" i="30"/>
  <c r="V806" i="30"/>
  <c r="V805" i="30"/>
  <c r="V804" i="30"/>
  <c r="V803" i="30"/>
  <c r="V802" i="30"/>
  <c r="V801" i="30"/>
  <c r="V800" i="30"/>
  <c r="V799" i="30"/>
  <c r="V798" i="30"/>
  <c r="V797" i="30"/>
  <c r="V796" i="30"/>
  <c r="V795" i="30"/>
  <c r="V794" i="30"/>
  <c r="V790" i="30"/>
  <c r="V789" i="30"/>
  <c r="V788" i="30"/>
  <c r="V787" i="30"/>
  <c r="V786" i="30"/>
  <c r="V785" i="30"/>
  <c r="V784" i="30"/>
  <c r="V783" i="30"/>
  <c r="V782" i="30"/>
  <c r="V775" i="30"/>
  <c r="V774" i="30"/>
  <c r="V773" i="30"/>
  <c r="V772" i="30"/>
  <c r="V771" i="30"/>
  <c r="V770" i="30"/>
  <c r="V769" i="30"/>
  <c r="V768" i="30"/>
  <c r="V758" i="30"/>
  <c r="V757" i="30"/>
  <c r="V756" i="30"/>
  <c r="V755" i="30"/>
  <c r="V754" i="30"/>
  <c r="V753" i="30"/>
  <c r="V752" i="30"/>
  <c r="V751" i="30"/>
  <c r="V750" i="30"/>
  <c r="V749" i="30"/>
  <c r="V748" i="30"/>
  <c r="V747" i="30"/>
  <c r="V743" i="30"/>
  <c r="V742" i="30"/>
  <c r="V741" i="30"/>
  <c r="V740" i="30"/>
  <c r="V709" i="30"/>
  <c r="V708" i="30"/>
  <c r="V707" i="30"/>
  <c r="V706" i="30"/>
  <c r="V702" i="30"/>
  <c r="V701" i="30"/>
  <c r="V700" i="30"/>
  <c r="V699" i="30"/>
  <c r="V698" i="30"/>
  <c r="V697" i="30"/>
  <c r="V693" i="30"/>
  <c r="V692" i="30"/>
  <c r="V691" i="30"/>
  <c r="V690" i="30"/>
  <c r="V689" i="30"/>
  <c r="V688" i="30"/>
  <c r="V684" i="30"/>
  <c r="V683" i="30"/>
  <c r="V682" i="30"/>
  <c r="V681" i="30"/>
  <c r="V680" i="30"/>
  <c r="V679" i="30"/>
  <c r="V675" i="30"/>
  <c r="V674" i="30"/>
  <c r="V673" i="30"/>
  <c r="V672" i="30"/>
  <c r="V668" i="30"/>
  <c r="V667" i="30"/>
  <c r="V666" i="30"/>
  <c r="V665" i="30"/>
  <c r="V664" i="30"/>
  <c r="V663" i="30"/>
  <c r="V659" i="30"/>
  <c r="V658" i="30"/>
  <c r="V657" i="30"/>
  <c r="V656" i="30"/>
  <c r="V655" i="30"/>
  <c r="V654" i="30"/>
  <c r="V650" i="30"/>
  <c r="V649" i="30"/>
  <c r="V648" i="30"/>
  <c r="V647" i="30"/>
  <c r="V644" i="30"/>
  <c r="V643" i="30"/>
  <c r="T643" i="30"/>
  <c r="S643" i="30"/>
  <c r="R643" i="30"/>
  <c r="Q643" i="30"/>
  <c r="P643" i="30"/>
  <c r="O643" i="30"/>
  <c r="N643" i="30"/>
  <c r="M643" i="30"/>
  <c r="L643" i="30"/>
  <c r="K643" i="30"/>
  <c r="J643" i="30"/>
  <c r="I643" i="30"/>
  <c r="H643" i="30"/>
  <c r="G643" i="30"/>
  <c r="V642" i="30"/>
  <c r="V641" i="30"/>
  <c r="V622" i="30"/>
  <c r="V621" i="30"/>
  <c r="V620" i="30"/>
  <c r="V619" i="30"/>
  <c r="V618" i="30"/>
  <c r="V617" i="30"/>
  <c r="V616" i="30"/>
  <c r="V615" i="30"/>
  <c r="V614" i="30"/>
  <c r="V613" i="30"/>
  <c r="V612" i="30"/>
  <c r="V611" i="30"/>
  <c r="V610" i="30"/>
  <c r="V609" i="30"/>
  <c r="V608" i="30"/>
  <c r="V607" i="30"/>
  <c r="V606" i="30"/>
  <c r="V605" i="30"/>
  <c r="V604" i="30"/>
  <c r="V603" i="30"/>
  <c r="V602" i="30"/>
  <c r="V601" i="30"/>
  <c r="V600" i="30"/>
  <c r="V599" i="30"/>
  <c r="V556" i="30"/>
  <c r="V555" i="30"/>
  <c r="V554" i="30"/>
  <c r="V553" i="30"/>
  <c r="V552" i="30"/>
  <c r="V551" i="30"/>
  <c r="V550" i="30"/>
  <c r="V549" i="30"/>
  <c r="V548" i="30"/>
  <c r="V547" i="30"/>
  <c r="V546" i="30"/>
  <c r="V545" i="30"/>
  <c r="V544" i="30"/>
  <c r="V543" i="30"/>
  <c r="V542" i="30"/>
  <c r="V541" i="30"/>
  <c r="V540" i="30"/>
  <c r="V539" i="30"/>
  <c r="V538" i="30"/>
  <c r="V537" i="30"/>
  <c r="V536" i="30"/>
  <c r="V535" i="30"/>
  <c r="V534" i="30"/>
  <c r="V533" i="30"/>
  <c r="V532" i="30"/>
  <c r="V531" i="30"/>
  <c r="V530" i="30"/>
  <c r="V529" i="30"/>
  <c r="V528" i="30"/>
  <c r="V527" i="30"/>
  <c r="V526" i="30"/>
  <c r="V525" i="30"/>
  <c r="V524" i="30"/>
  <c r="V523" i="30"/>
  <c r="V522" i="30"/>
  <c r="V521" i="30"/>
  <c r="V520" i="30"/>
  <c r="V519" i="30"/>
  <c r="V518" i="30"/>
  <c r="V517" i="30"/>
  <c r="V516" i="30"/>
  <c r="V515" i="30"/>
  <c r="V514" i="30"/>
  <c r="V513" i="30"/>
  <c r="V512" i="30"/>
  <c r="V511" i="30"/>
  <c r="V510" i="30"/>
  <c r="V509" i="30"/>
  <c r="V508" i="30"/>
  <c r="V507" i="30"/>
  <c r="V506" i="30"/>
  <c r="V505" i="30"/>
  <c r="V504" i="30"/>
  <c r="V503" i="30"/>
  <c r="V502" i="30"/>
  <c r="V501" i="30"/>
  <c r="V491" i="30"/>
  <c r="V490" i="30"/>
  <c r="V489" i="30"/>
  <c r="V488" i="30"/>
  <c r="V487" i="30"/>
  <c r="V486" i="30"/>
  <c r="V485" i="30"/>
  <c r="V484" i="30"/>
  <c r="V483" i="30"/>
  <c r="V482" i="30"/>
  <c r="V481" i="30"/>
  <c r="V480" i="30"/>
  <c r="V478" i="30"/>
  <c r="V477" i="30"/>
  <c r="V476" i="30"/>
  <c r="V475" i="30"/>
  <c r="V474" i="30"/>
  <c r="V473" i="30"/>
  <c r="V469" i="30"/>
  <c r="V468" i="30"/>
  <c r="V467" i="30"/>
  <c r="V466" i="30"/>
  <c r="V465" i="30"/>
  <c r="V464" i="30"/>
  <c r="V463" i="30"/>
  <c r="V462" i="30"/>
  <c r="V461" i="30"/>
  <c r="V460" i="30"/>
  <c r="V459" i="30"/>
  <c r="V458" i="30"/>
  <c r="V454" i="30"/>
  <c r="V453" i="30"/>
  <c r="V452" i="30"/>
  <c r="V451" i="30"/>
  <c r="V450" i="30"/>
  <c r="V449" i="30"/>
  <c r="V448" i="30"/>
  <c r="V447" i="30"/>
  <c r="V446" i="30"/>
  <c r="V445" i="30"/>
  <c r="V444" i="30"/>
  <c r="V443" i="30"/>
  <c r="V439" i="30"/>
  <c r="V438" i="30"/>
  <c r="V437" i="30"/>
  <c r="V436" i="30"/>
  <c r="V435" i="30"/>
  <c r="V434" i="30"/>
  <c r="V433" i="30"/>
  <c r="V432" i="30"/>
  <c r="V431" i="30"/>
  <c r="V430" i="30"/>
  <c r="V429" i="30"/>
  <c r="V428" i="30"/>
  <c r="V424" i="30"/>
  <c r="V423" i="30"/>
  <c r="V422" i="30"/>
  <c r="V421" i="30"/>
  <c r="V417" i="30"/>
  <c r="V416" i="30"/>
  <c r="V415" i="30"/>
  <c r="V414" i="30"/>
  <c r="V413" i="30"/>
  <c r="V412" i="30"/>
  <c r="V411" i="30"/>
  <c r="V410" i="30"/>
  <c r="V409" i="30"/>
  <c r="V408" i="30"/>
  <c r="V407" i="30"/>
  <c r="V406" i="30"/>
  <c r="V402" i="30"/>
  <c r="V401" i="30"/>
  <c r="V400" i="30"/>
  <c r="V399" i="30"/>
  <c r="V398" i="30"/>
  <c r="V397" i="30"/>
  <c r="V396" i="30"/>
  <c r="V395" i="30"/>
  <c r="V394" i="30"/>
  <c r="V393" i="30"/>
  <c r="V392" i="30"/>
  <c r="V391" i="30"/>
  <c r="V384" i="30"/>
  <c r="V383" i="30"/>
  <c r="V382" i="30"/>
  <c r="V381" i="30"/>
  <c r="V380" i="30"/>
  <c r="V379" i="30"/>
  <c r="V378" i="30"/>
  <c r="V377" i="30"/>
  <c r="V376" i="30"/>
  <c r="V375" i="30"/>
  <c r="V374" i="30"/>
  <c r="V373" i="30"/>
  <c r="V285" i="30"/>
  <c r="V284" i="30"/>
  <c r="V283" i="30"/>
  <c r="V282" i="30"/>
  <c r="V281" i="30"/>
  <c r="V280" i="30"/>
  <c r="V279" i="30"/>
  <c r="V278" i="30"/>
  <c r="V277" i="30"/>
  <c r="V276" i="30"/>
  <c r="V275" i="30"/>
  <c r="V274" i="30"/>
  <c r="V273" i="30"/>
  <c r="V272" i="30"/>
  <c r="V271" i="30"/>
  <c r="V270" i="30"/>
  <c r="V269" i="30"/>
  <c r="V268" i="30"/>
  <c r="V267" i="30"/>
  <c r="V266" i="30"/>
  <c r="V265" i="30"/>
  <c r="V264" i="30"/>
  <c r="V263" i="30"/>
  <c r="V262" i="30"/>
  <c r="V261" i="30"/>
  <c r="V260" i="30"/>
  <c r="V259" i="30"/>
  <c r="V258" i="30"/>
  <c r="V257" i="30"/>
  <c r="V256" i="30"/>
  <c r="V255" i="30"/>
  <c r="V254" i="30"/>
  <c r="V253" i="30"/>
  <c r="V252" i="30"/>
  <c r="V251" i="30"/>
  <c r="V250" i="30"/>
  <c r="V249" i="30"/>
  <c r="V248" i="30"/>
  <c r="V247" i="30"/>
  <c r="V246" i="30"/>
  <c r="V245" i="30"/>
  <c r="V244" i="30"/>
  <c r="V243" i="30"/>
  <c r="V242" i="30"/>
  <c r="V241" i="30"/>
  <c r="V240" i="30"/>
  <c r="V239" i="30"/>
  <c r="V238" i="30"/>
  <c r="V237" i="30"/>
  <c r="V236" i="30"/>
  <c r="V235" i="30"/>
  <c r="V234" i="30"/>
  <c r="V233" i="30"/>
  <c r="V232" i="30"/>
  <c r="V231" i="30"/>
  <c r="V230" i="30"/>
  <c r="V229" i="30"/>
  <c r="V228" i="30"/>
  <c r="V227" i="30"/>
  <c r="V226" i="30"/>
  <c r="V225" i="30"/>
  <c r="V224" i="30"/>
  <c r="V223" i="30"/>
  <c r="V222" i="30"/>
  <c r="V221" i="30"/>
  <c r="V220" i="30"/>
  <c r="V219" i="30"/>
  <c r="V218" i="30"/>
  <c r="V217" i="30"/>
  <c r="V216" i="30"/>
  <c r="V215" i="30"/>
  <c r="V214" i="30"/>
  <c r="V213" i="30"/>
  <c r="V212" i="30"/>
  <c r="V211" i="30"/>
  <c r="V210" i="30"/>
  <c r="V209" i="30"/>
  <c r="V208" i="30"/>
  <c r="V207" i="30"/>
  <c r="V206" i="30"/>
  <c r="V205" i="30"/>
  <c r="V204" i="30"/>
  <c r="V203" i="30"/>
  <c r="V202" i="30"/>
  <c r="V201" i="30"/>
  <c r="V200" i="30"/>
  <c r="V199" i="30"/>
  <c r="V198" i="30"/>
  <c r="V197" i="30"/>
  <c r="V196" i="30"/>
  <c r="V195" i="30"/>
  <c r="V194" i="30"/>
  <c r="V193" i="30"/>
  <c r="V192" i="30"/>
  <c r="V191" i="30"/>
  <c r="V190" i="30"/>
  <c r="V189" i="30"/>
  <c r="V188" i="30"/>
  <c r="V187" i="30"/>
  <c r="V186" i="30"/>
  <c r="V185" i="30"/>
  <c r="V184" i="30"/>
  <c r="V183" i="30"/>
  <c r="V182" i="30"/>
  <c r="V181" i="30"/>
  <c r="V180" i="30"/>
  <c r="V179" i="30"/>
  <c r="V133" i="30"/>
  <c r="V132" i="30"/>
  <c r="V131" i="30"/>
  <c r="V130" i="30"/>
  <c r="V129" i="30"/>
  <c r="V128" i="30"/>
  <c r="V127" i="30"/>
  <c r="V126" i="30"/>
  <c r="V125" i="30"/>
  <c r="V124" i="30"/>
  <c r="V123" i="30"/>
  <c r="V122" i="30"/>
  <c r="V121" i="30"/>
  <c r="V120" i="30"/>
  <c r="V119" i="30"/>
  <c r="V118" i="30"/>
  <c r="V117" i="30"/>
  <c r="V116" i="30"/>
  <c r="V115" i="30"/>
  <c r="V114" i="30"/>
  <c r="V113" i="30"/>
  <c r="V112" i="30"/>
  <c r="V111" i="30"/>
  <c r="V110" i="30"/>
  <c r="V109" i="30"/>
  <c r="V108" i="30"/>
  <c r="V107" i="30"/>
  <c r="V106" i="30"/>
  <c r="V105" i="30"/>
  <c r="V104" i="30"/>
  <c r="V103" i="30"/>
  <c r="V102" i="30"/>
  <c r="V101" i="30"/>
  <c r="V100" i="30"/>
  <c r="V99" i="30"/>
  <c r="V98" i="30"/>
  <c r="V97" i="30"/>
  <c r="V96" i="30"/>
  <c r="V95" i="30"/>
  <c r="V94" i="30"/>
  <c r="V93" i="30"/>
  <c r="V92" i="30"/>
  <c r="V91" i="30"/>
  <c r="V90" i="30"/>
  <c r="V89" i="30"/>
  <c r="V88" i="30"/>
  <c r="V87" i="30"/>
  <c r="V86" i="30"/>
  <c r="V85" i="30"/>
  <c r="V84" i="30"/>
  <c r="V83" i="30"/>
  <c r="V82" i="30"/>
  <c r="V81" i="30"/>
  <c r="V80" i="30"/>
  <c r="V79" i="30"/>
  <c r="V78" i="30"/>
  <c r="V77" i="30"/>
  <c r="V76" i="30"/>
  <c r="V75" i="30"/>
  <c r="V74" i="30"/>
  <c r="V73" i="30"/>
  <c r="V69" i="30"/>
  <c r="V68" i="30"/>
  <c r="V67" i="30"/>
  <c r="V66" i="30"/>
  <c r="V65" i="30"/>
  <c r="V64" i="30"/>
  <c r="V46" i="30"/>
  <c r="V45" i="30"/>
  <c r="V44" i="30"/>
  <c r="V43" i="30"/>
  <c r="V42" i="30"/>
  <c r="V41" i="30"/>
  <c r="V40" i="30"/>
  <c r="V39" i="30"/>
  <c r="V38" i="30"/>
  <c r="V34" i="30"/>
  <c r="V33" i="30"/>
  <c r="V32" i="30"/>
  <c r="V31" i="30"/>
  <c r="V30" i="30"/>
  <c r="V29" i="30"/>
  <c r="V28" i="30"/>
  <c r="V27" i="30"/>
  <c r="V26" i="30"/>
  <c r="V22" i="30"/>
  <c r="V21" i="30"/>
  <c r="V20" i="30"/>
  <c r="V19" i="30"/>
  <c r="V18" i="30"/>
  <c r="V17" i="30"/>
  <c r="V16" i="30"/>
  <c r="V15" i="30"/>
  <c r="V14" i="30"/>
  <c r="V10" i="30"/>
  <c r="V9" i="30"/>
  <c r="V8" i="30"/>
  <c r="V7" i="30"/>
  <c r="V6" i="30"/>
  <c r="V5" i="30"/>
  <c r="V4" i="30"/>
  <c r="V3" i="30"/>
  <c r="V2" i="30"/>
  <c r="A1" i="32"/>
  <c r="P4" i="27"/>
  <c r="J4" i="27"/>
  <c r="P3" i="27"/>
  <c r="J3" i="27"/>
  <c r="AD907" i="13"/>
  <c r="AD906" i="13"/>
  <c r="AD905" i="13"/>
  <c r="AD904" i="13"/>
  <c r="AD903" i="13"/>
  <c r="AD902" i="13"/>
  <c r="AD901" i="13"/>
  <c r="AD900" i="13"/>
  <c r="AD899" i="13"/>
  <c r="AD898" i="13"/>
  <c r="AD897" i="13"/>
  <c r="AD896" i="13"/>
  <c r="AD895" i="13"/>
  <c r="AD894" i="13"/>
  <c r="AU889" i="13"/>
  <c r="AP889" i="13"/>
  <c r="AK889" i="13"/>
  <c r="AF889" i="13"/>
  <c r="AU888" i="13"/>
  <c r="AP888" i="13"/>
  <c r="AK888" i="13"/>
  <c r="AF888" i="13"/>
  <c r="AD888" i="13"/>
  <c r="AD889" i="13" s="1"/>
  <c r="AU887" i="13"/>
  <c r="AP887" i="13"/>
  <c r="AK887" i="13"/>
  <c r="AF887" i="13"/>
  <c r="AU886" i="13"/>
  <c r="AP886" i="13"/>
  <c r="AK886" i="13"/>
  <c r="AF886" i="13"/>
  <c r="AU885" i="13"/>
  <c r="AP885" i="13"/>
  <c r="AK885" i="13"/>
  <c r="AF885" i="13"/>
  <c r="AU884" i="13"/>
  <c r="AP884" i="13"/>
  <c r="AK884" i="13"/>
  <c r="AF884" i="13"/>
  <c r="AU883" i="13"/>
  <c r="AP883" i="13"/>
  <c r="AK883" i="13"/>
  <c r="AF883" i="13"/>
  <c r="AU882" i="13"/>
  <c r="AP882" i="13"/>
  <c r="AK882" i="13"/>
  <c r="AF882" i="13"/>
  <c r="AU881" i="13"/>
  <c r="AP881" i="13"/>
  <c r="AK881" i="13"/>
  <c r="AF881" i="13"/>
  <c r="AU880" i="13"/>
  <c r="AP880" i="13"/>
  <c r="AK880" i="13"/>
  <c r="AF880" i="13"/>
  <c r="AU879" i="13"/>
  <c r="AP879" i="13"/>
  <c r="AK879" i="13"/>
  <c r="AF879" i="13"/>
  <c r="AU878" i="13"/>
  <c r="AP878" i="13"/>
  <c r="AK878" i="13"/>
  <c r="AF878" i="13"/>
  <c r="AU877" i="13"/>
  <c r="AP877" i="13"/>
  <c r="AK877" i="13"/>
  <c r="AF877" i="13"/>
  <c r="AU876" i="13"/>
  <c r="AP876" i="13"/>
  <c r="AK876" i="13"/>
  <c r="AF876" i="13"/>
  <c r="AU875" i="13"/>
  <c r="AP875" i="13"/>
  <c r="AK875" i="13"/>
  <c r="AF875" i="13"/>
  <c r="AU874" i="13"/>
  <c r="AP874" i="13"/>
  <c r="AK874" i="13"/>
  <c r="AF874" i="13"/>
  <c r="AD868" i="13"/>
  <c r="AD869" i="13" s="1"/>
  <c r="AD848" i="13"/>
  <c r="AD849" i="13" s="1"/>
  <c r="AD828" i="13"/>
  <c r="AD829" i="13" s="1"/>
  <c r="AD808" i="13"/>
  <c r="AD809" i="13" s="1"/>
  <c r="U808" i="13"/>
  <c r="U809" i="13" s="1"/>
  <c r="T808" i="13"/>
  <c r="E21" i="13" s="1"/>
  <c r="AD788" i="13"/>
  <c r="AD789" i="13" s="1"/>
  <c r="AD768" i="13"/>
  <c r="AD769" i="13" s="1"/>
  <c r="AD748" i="13"/>
  <c r="AD749" i="13" s="1"/>
  <c r="AD728" i="13"/>
  <c r="AD729" i="13" s="1"/>
  <c r="AD708" i="13"/>
  <c r="AD709" i="13" s="1"/>
  <c r="AD688" i="13"/>
  <c r="AD689" i="13" s="1"/>
  <c r="AD668" i="13"/>
  <c r="AD669" i="13" s="1"/>
  <c r="AD648" i="13"/>
  <c r="AD649" i="13" s="1"/>
  <c r="AD628" i="13"/>
  <c r="AD629" i="13" s="1"/>
  <c r="AZ620" i="13"/>
  <c r="AU620" i="13"/>
  <c r="AP620" i="13"/>
  <c r="AK620" i="13"/>
  <c r="AF620" i="13"/>
  <c r="AZ619" i="13"/>
  <c r="AU619" i="13"/>
  <c r="AP619" i="13"/>
  <c r="AK619" i="13"/>
  <c r="AF619" i="13"/>
  <c r="AZ618" i="13"/>
  <c r="AU618" i="13"/>
  <c r="AP618" i="13"/>
  <c r="AK618" i="13"/>
  <c r="AF618" i="13"/>
  <c r="AZ617" i="13"/>
  <c r="AU617" i="13"/>
  <c r="AP617" i="13"/>
  <c r="AK617" i="13"/>
  <c r="AF617" i="13"/>
  <c r="AD608" i="13"/>
  <c r="AD609" i="13" s="1"/>
  <c r="AD588" i="13"/>
  <c r="AD589" i="13" s="1"/>
  <c r="AD568" i="13"/>
  <c r="AD569" i="13" s="1"/>
  <c r="AD548" i="13"/>
  <c r="AD549" i="13" s="1"/>
  <c r="AD528" i="13"/>
  <c r="AD529" i="13" s="1"/>
  <c r="AZ520" i="13"/>
  <c r="AU520" i="13"/>
  <c r="AP520" i="13"/>
  <c r="AK520" i="13"/>
  <c r="AF520" i="13"/>
  <c r="AZ519" i="13"/>
  <c r="AU519" i="13"/>
  <c r="AP519" i="13"/>
  <c r="AK519" i="13"/>
  <c r="AF519" i="13"/>
  <c r="AZ518" i="13"/>
  <c r="AU518" i="13"/>
  <c r="AP518" i="13"/>
  <c r="AK518" i="13"/>
  <c r="AF518" i="13"/>
  <c r="AZ517" i="13"/>
  <c r="AU517" i="13"/>
  <c r="AP517" i="13"/>
  <c r="AK517" i="13"/>
  <c r="AF517" i="13"/>
  <c r="AD508" i="13"/>
  <c r="AD509" i="13" s="1"/>
  <c r="AD488" i="13"/>
  <c r="AD489" i="13" s="1"/>
  <c r="AD468" i="13"/>
  <c r="AD469" i="13" s="1"/>
  <c r="AD448" i="13"/>
  <c r="AD449" i="13" s="1"/>
  <c r="AD428" i="13"/>
  <c r="AD429" i="13" s="1"/>
  <c r="AD408" i="13"/>
  <c r="AD409" i="13" s="1"/>
  <c r="AD388" i="13"/>
  <c r="AD389" i="13" s="1"/>
  <c r="AD368" i="13"/>
  <c r="AD369" i="13" s="1"/>
  <c r="AD348" i="13"/>
  <c r="AD349" i="13" s="1"/>
  <c r="G1536" i="30" a="1"/>
  <c r="AD308" i="13"/>
  <c r="AD309" i="13" s="1"/>
  <c r="AD284" i="13"/>
  <c r="AD283" i="13"/>
  <c r="AD282" i="13"/>
  <c r="AD281" i="13"/>
  <c r="AD280" i="13"/>
  <c r="AD279" i="13"/>
  <c r="AD278" i="13"/>
  <c r="AD277" i="13"/>
  <c r="AD276" i="13"/>
  <c r="AD275" i="13"/>
  <c r="AD274" i="13"/>
  <c r="AD273" i="13"/>
  <c r="AD272" i="13"/>
  <c r="AD271" i="13"/>
  <c r="AD264" i="13"/>
  <c r="AD263" i="13"/>
  <c r="AD262" i="13"/>
  <c r="AD261" i="13"/>
  <c r="AD260" i="13"/>
  <c r="AD259" i="13"/>
  <c r="AD258" i="13"/>
  <c r="AD257" i="13"/>
  <c r="AD256" i="13"/>
  <c r="AD255" i="13"/>
  <c r="AD254" i="13"/>
  <c r="AD253" i="13"/>
  <c r="AD252" i="13"/>
  <c r="AD251" i="13"/>
  <c r="AD245" i="13"/>
  <c r="AD246" i="13" s="1"/>
  <c r="AD224" i="13"/>
  <c r="AD223" i="13"/>
  <c r="AD222" i="13"/>
  <c r="AD221" i="13"/>
  <c r="AD220" i="13"/>
  <c r="AD219" i="13"/>
  <c r="AD218" i="13"/>
  <c r="AD217" i="13"/>
  <c r="AD216" i="13"/>
  <c r="AD215" i="13"/>
  <c r="AD214" i="13"/>
  <c r="AD213" i="13"/>
  <c r="AD212" i="13"/>
  <c r="AD211" i="13"/>
  <c r="AD204" i="13"/>
  <c r="AD203" i="13"/>
  <c r="AD202" i="13"/>
  <c r="AD201" i="13"/>
  <c r="AD200" i="13"/>
  <c r="AD199" i="13"/>
  <c r="AD198" i="13"/>
  <c r="AD197" i="13"/>
  <c r="AD196" i="13"/>
  <c r="AD195" i="13"/>
  <c r="AD194" i="13"/>
  <c r="AD193" i="13"/>
  <c r="AD192" i="13"/>
  <c r="AD191" i="13"/>
  <c r="AD184" i="13"/>
  <c r="AD183" i="13"/>
  <c r="AD182" i="13"/>
  <c r="AD181" i="13"/>
  <c r="AD180" i="13"/>
  <c r="AD179" i="13"/>
  <c r="AD178" i="13"/>
  <c r="AD177" i="13"/>
  <c r="AD176" i="13"/>
  <c r="AD175" i="13"/>
  <c r="AD174" i="13"/>
  <c r="AD173" i="13"/>
  <c r="AD172" i="13"/>
  <c r="AD171" i="13"/>
  <c r="D69" i="13"/>
  <c r="R69" i="13" s="1"/>
  <c r="D68" i="13"/>
  <c r="R68" i="13" s="1"/>
  <c r="D67" i="13"/>
  <c r="R67" i="13" s="1"/>
  <c r="D66" i="13"/>
  <c r="R66" i="13" s="1"/>
  <c r="D65" i="13"/>
  <c r="R65" i="13" s="1"/>
  <c r="D64" i="13"/>
  <c r="R64" i="13" s="1"/>
  <c r="D63" i="13"/>
  <c r="R63" i="13" s="1"/>
  <c r="D62" i="13"/>
  <c r="R62" i="13" s="1"/>
  <c r="D61" i="13"/>
  <c r="R61" i="13" s="1"/>
  <c r="D60" i="13"/>
  <c r="R60" i="13" s="1"/>
  <c r="D59" i="13"/>
  <c r="R59" i="13" s="1"/>
  <c r="D58" i="13"/>
  <c r="R58" i="13" s="1"/>
  <c r="D57" i="13"/>
  <c r="R57" i="13" s="1"/>
  <c r="D56" i="13"/>
  <c r="R56" i="13" s="1"/>
  <c r="D55" i="13"/>
  <c r="R55" i="13" s="1"/>
  <c r="V53" i="13"/>
  <c r="S53" i="13"/>
  <c r="K53" i="13"/>
  <c r="H53" i="13"/>
  <c r="E53" i="13"/>
  <c r="O43" i="13"/>
  <c r="J43" i="13"/>
  <c r="O42" i="13"/>
  <c r="O41" i="13"/>
  <c r="O39" i="13"/>
  <c r="O38" i="13"/>
  <c r="O37" i="13"/>
  <c r="O36" i="13"/>
  <c r="O35" i="13"/>
  <c r="O34" i="13"/>
  <c r="O33" i="13"/>
  <c r="O32" i="13"/>
  <c r="O31" i="13"/>
  <c r="O30" i="13"/>
  <c r="O29" i="13"/>
  <c r="O28" i="13"/>
  <c r="O19" i="13"/>
  <c r="J19" i="13"/>
  <c r="R1009" i="30"/>
  <c r="T1001" i="30"/>
  <c r="S1001" i="30"/>
  <c r="P66" i="26"/>
  <c r="O66" i="26"/>
  <c r="P1001" i="30"/>
  <c r="O1001" i="30"/>
  <c r="L75" i="26"/>
  <c r="K75" i="26"/>
  <c r="L1001" i="30"/>
  <c r="H75" i="26"/>
  <c r="E37" i="26"/>
  <c r="H1001" i="30"/>
  <c r="G1001" i="30"/>
  <c r="Q12" i="6"/>
  <c r="M12" i="6"/>
  <c r="AE56" i="9"/>
  <c r="X56" i="9"/>
  <c r="Q56" i="9"/>
  <c r="X55" i="9"/>
  <c r="Q55" i="9"/>
  <c r="AE54" i="9"/>
  <c r="Q54" i="9"/>
  <c r="AE53" i="9"/>
  <c r="X53" i="9"/>
  <c r="AE52" i="9"/>
  <c r="X52" i="9"/>
  <c r="Q52" i="9"/>
  <c r="AE51" i="9"/>
  <c r="X51" i="9"/>
  <c r="Q51" i="9"/>
  <c r="AE50" i="9"/>
  <c r="X50" i="9"/>
  <c r="Q50" i="9"/>
  <c r="AE48" i="9"/>
  <c r="X48" i="9"/>
  <c r="Q48" i="9"/>
  <c r="X47" i="9"/>
  <c r="Q47" i="9"/>
  <c r="AE46" i="9"/>
  <c r="X46" i="9"/>
  <c r="Q46" i="9"/>
  <c r="AE45" i="9"/>
  <c r="X45" i="9"/>
  <c r="Q45" i="9"/>
  <c r="X44" i="9"/>
  <c r="X43" i="9"/>
  <c r="Q43" i="9"/>
  <c r="BD99" i="10"/>
  <c r="BC99" i="10"/>
  <c r="BB99" i="10"/>
  <c r="AI99" i="10"/>
  <c r="AH99" i="10"/>
  <c r="AG99" i="10"/>
  <c r="BT59" i="10"/>
  <c r="BP59" i="10"/>
  <c r="CK58" i="10"/>
  <c r="CJ58" i="10"/>
  <c r="CI58" i="10"/>
  <c r="CH58" i="10"/>
  <c r="BV58" i="10"/>
  <c r="BU58" i="10"/>
  <c r="BT58" i="10"/>
  <c r="BS58" i="10"/>
  <c r="AM58" i="10"/>
  <c r="BG58" i="10" s="1"/>
  <c r="AL58" i="10"/>
  <c r="BF58" i="10" s="1"/>
  <c r="AK58" i="10"/>
  <c r="BE58" i="10" s="1"/>
  <c r="AJ58" i="10"/>
  <c r="BD58" i="10" s="1"/>
  <c r="AT58" i="10"/>
  <c r="BR59" i="10"/>
  <c r="BN59" i="10"/>
  <c r="BE59" i="10"/>
  <c r="BC59" i="10"/>
  <c r="BA59" i="10"/>
  <c r="AY59" i="10"/>
  <c r="AP59" i="10"/>
  <c r="AL59" i="10"/>
  <c r="AA59" i="10"/>
  <c r="W59" i="10"/>
  <c r="U59" i="10"/>
  <c r="K59" i="10"/>
  <c r="I59" i="10"/>
  <c r="G59" i="10"/>
  <c r="E59" i="10"/>
  <c r="BT56" i="10"/>
  <c r="J30" i="10" s="1"/>
  <c r="BR56" i="10"/>
  <c r="I30" i="10" s="1"/>
  <c r="BP56" i="10"/>
  <c r="G30" i="10" s="1"/>
  <c r="BN56" i="10"/>
  <c r="F30" i="10" s="1"/>
  <c r="AR56" i="10"/>
  <c r="CA55" i="10"/>
  <c r="CA54" i="10"/>
  <c r="BY54" i="10"/>
  <c r="CA53" i="10"/>
  <c r="CA52" i="10"/>
  <c r="CA51" i="10"/>
  <c r="CA50" i="10"/>
  <c r="BY50" i="10"/>
  <c r="CA49" i="10"/>
  <c r="CA48" i="10"/>
  <c r="CA47" i="10"/>
  <c r="CA46" i="10"/>
  <c r="CA45" i="10"/>
  <c r="CA44" i="10"/>
  <c r="CA43" i="10"/>
  <c r="CA42" i="10"/>
  <c r="K34" i="10"/>
  <c r="J34" i="10"/>
  <c r="I34" i="10"/>
  <c r="H34" i="10"/>
  <c r="G34" i="10"/>
  <c r="F34" i="10"/>
  <c r="F533" i="11"/>
  <c r="E533" i="11"/>
  <c r="E514" i="11"/>
  <c r="D534" i="11" s="1"/>
  <c r="D475" i="11"/>
  <c r="K514" i="11" s="1"/>
  <c r="D537" i="11" s="1"/>
  <c r="D456" i="11"/>
  <c r="I514" i="11" s="1"/>
  <c r="D536" i="11" s="1"/>
  <c r="D437" i="11"/>
  <c r="G514" i="11" s="1"/>
  <c r="D535" i="11" s="1"/>
  <c r="G202" i="11"/>
  <c r="F202" i="11"/>
  <c r="E202" i="11"/>
  <c r="D265" i="15"/>
  <c r="S288" i="15"/>
  <c r="R288" i="15"/>
  <c r="Q288" i="15"/>
  <c r="D263" i="15"/>
  <c r="N168" i="15"/>
  <c r="N167" i="15"/>
  <c r="N166" i="15"/>
  <c r="N164" i="15"/>
  <c r="N163" i="15"/>
  <c r="N162" i="15"/>
  <c r="N161" i="15"/>
  <c r="N160" i="15"/>
  <c r="N159" i="15"/>
  <c r="N158" i="15"/>
  <c r="N157" i="15"/>
  <c r="N156" i="15"/>
  <c r="N155" i="15"/>
  <c r="D29" i="1"/>
  <c r="D28" i="1"/>
  <c r="D25" i="1"/>
  <c r="D24" i="1"/>
  <c r="D23" i="1"/>
  <c r="D22" i="1"/>
  <c r="D21" i="1"/>
  <c r="D20" i="1"/>
  <c r="D19" i="1"/>
  <c r="J118" i="32" l="1"/>
  <c r="I118" i="32"/>
  <c r="B28" i="31" s="1"/>
  <c r="I103" i="32"/>
  <c r="L234" i="32"/>
  <c r="H6" i="31" s="1"/>
  <c r="I203" i="32"/>
  <c r="I205" i="32"/>
  <c r="B56" i="31" s="1"/>
  <c r="N135" i="32"/>
  <c r="B35" i="31" s="1"/>
  <c r="N166" i="32"/>
  <c r="B42" i="31" s="1"/>
  <c r="N137" i="32"/>
  <c r="L236" i="32"/>
  <c r="H8" i="31" s="1"/>
  <c r="I204" i="32"/>
  <c r="B55" i="31" s="1"/>
  <c r="L235" i="32"/>
  <c r="H7" i="31" s="1"/>
  <c r="J73" i="32"/>
  <c r="J75" i="32"/>
  <c r="B21" i="31" s="1"/>
  <c r="J74" i="32"/>
  <c r="J70" i="32"/>
  <c r="B20" i="31" s="1"/>
  <c r="U941" i="30"/>
  <c r="T333" i="32"/>
  <c r="T289" i="32"/>
  <c r="T277" i="32"/>
  <c r="L218" i="32"/>
  <c r="I172" i="32"/>
  <c r="I182" i="32"/>
  <c r="I194" i="32"/>
  <c r="B49" i="31" s="1"/>
  <c r="I207" i="32"/>
  <c r="B57" i="31" s="1"/>
  <c r="I129" i="32"/>
  <c r="D30" i="31" s="1"/>
  <c r="T303" i="32"/>
  <c r="I171" i="32"/>
  <c r="T332" i="32"/>
  <c r="T276" i="32"/>
  <c r="L219" i="32"/>
  <c r="I173" i="32"/>
  <c r="I183" i="32"/>
  <c r="B47" i="31" s="1"/>
  <c r="I195" i="32"/>
  <c r="B51" i="31" s="1"/>
  <c r="I128" i="32"/>
  <c r="T326" i="32"/>
  <c r="T298" i="32"/>
  <c r="T275" i="32"/>
  <c r="L220" i="32"/>
  <c r="L228" i="32"/>
  <c r="I174" i="32"/>
  <c r="B46" i="31" s="1"/>
  <c r="I184" i="32"/>
  <c r="D47" i="31" s="1"/>
  <c r="I196" i="32"/>
  <c r="B52" i="31" s="1"/>
  <c r="I127" i="32"/>
  <c r="B30" i="31" s="1"/>
  <c r="T290" i="32"/>
  <c r="I181" i="32"/>
  <c r="T325" i="32"/>
  <c r="T296" i="32"/>
  <c r="T284" i="32"/>
  <c r="L221" i="32"/>
  <c r="L229" i="32"/>
  <c r="I175" i="32"/>
  <c r="D46" i="31" s="1"/>
  <c r="I185" i="32"/>
  <c r="E47" i="31" s="1"/>
  <c r="I197" i="32"/>
  <c r="I126" i="32"/>
  <c r="S529" i="32"/>
  <c r="I55" i="31" s="1"/>
  <c r="T324" i="32"/>
  <c r="T283" i="32"/>
  <c r="T270" i="32"/>
  <c r="L222" i="32"/>
  <c r="L230" i="32"/>
  <c r="I176" i="32"/>
  <c r="E46" i="31" s="1"/>
  <c r="I188" i="32"/>
  <c r="B50" i="31" s="1"/>
  <c r="I202" i="32"/>
  <c r="I104" i="32"/>
  <c r="L217" i="32"/>
  <c r="I193" i="32"/>
  <c r="B48" i="31" s="1"/>
  <c r="S528" i="32"/>
  <c r="H55" i="31" s="1"/>
  <c r="T305" i="32"/>
  <c r="T282" i="32"/>
  <c r="T269" i="32"/>
  <c r="L223" i="32"/>
  <c r="L231" i="32"/>
  <c r="K213" i="32"/>
  <c r="I179" i="32"/>
  <c r="I189" i="32"/>
  <c r="D50" i="31" s="1"/>
  <c r="I105" i="32"/>
  <c r="T331" i="32"/>
  <c r="L233" i="32"/>
  <c r="T304" i="32"/>
  <c r="T291" i="32"/>
  <c r="T268" i="32"/>
  <c r="L216" i="32"/>
  <c r="L224" i="32"/>
  <c r="L232" i="32"/>
  <c r="J212" i="32"/>
  <c r="I180" i="32"/>
  <c r="I190" i="32"/>
  <c r="E50" i="31" s="1"/>
  <c r="I125" i="32"/>
  <c r="I130" i="32"/>
  <c r="E30" i="31" s="1"/>
  <c r="J24" i="32"/>
  <c r="B17" i="31" s="1"/>
  <c r="N10" i="32"/>
  <c r="B9" i="31" s="1"/>
  <c r="N9" i="32"/>
  <c r="B8" i="31" s="1"/>
  <c r="N8" i="32"/>
  <c r="B7" i="31" s="1"/>
  <c r="N7" i="32"/>
  <c r="B6" i="31" s="1"/>
  <c r="G1536" i="30"/>
  <c r="U1542" i="30"/>
  <c r="T809" i="13"/>
  <c r="BJ809" i="13" s="1"/>
  <c r="BL809" i="13" s="1"/>
  <c r="BM809" i="13" s="1"/>
  <c r="BJ808" i="13"/>
  <c r="BL808" i="13" s="1"/>
  <c r="BM808" i="13" s="1"/>
  <c r="N641" i="30"/>
  <c r="G89" i="9"/>
  <c r="J45" i="9"/>
  <c r="J47" i="9"/>
  <c r="J48" i="9"/>
  <c r="J49" i="9"/>
  <c r="J50" i="9"/>
  <c r="J53" i="9"/>
  <c r="J54" i="9"/>
  <c r="J55" i="9"/>
  <c r="K35" i="10"/>
  <c r="H35" i="10"/>
  <c r="K216" i="32"/>
  <c r="M166" i="32"/>
  <c r="K74" i="32"/>
  <c r="L74" i="32"/>
  <c r="M75" i="32"/>
  <c r="M74" i="32"/>
  <c r="K75" i="32"/>
  <c r="L75" i="32"/>
  <c r="H193" i="32"/>
  <c r="H194" i="32"/>
  <c r="H195" i="32"/>
  <c r="H196" i="32"/>
  <c r="H197" i="32"/>
  <c r="H188" i="32"/>
  <c r="H189" i="32"/>
  <c r="H190" i="32"/>
  <c r="U736" i="30"/>
  <c r="U720" i="30"/>
  <c r="H203" i="32"/>
  <c r="H204" i="32"/>
  <c r="H205" i="32"/>
  <c r="H207" i="32"/>
  <c r="H202" i="32"/>
  <c r="H125" i="32"/>
  <c r="H126" i="32"/>
  <c r="H127" i="32"/>
  <c r="H128" i="32"/>
  <c r="H129" i="32"/>
  <c r="H130" i="32"/>
  <c r="F89" i="9"/>
  <c r="CM50" i="10"/>
  <c r="CM52" i="10"/>
  <c r="CM55" i="10"/>
  <c r="CM53" i="10"/>
  <c r="CM43" i="10"/>
  <c r="CM44" i="10"/>
  <c r="M8" i="32"/>
  <c r="M10" i="32"/>
  <c r="M9" i="32"/>
  <c r="M7" i="32"/>
  <c r="AE44" i="9"/>
  <c r="E89" i="9"/>
  <c r="AD908" i="13"/>
  <c r="AD909" i="13" s="1"/>
  <c r="AD151" i="13"/>
  <c r="G76" i="15"/>
  <c r="K76" i="15"/>
  <c r="G80" i="15"/>
  <c r="K80" i="15"/>
  <c r="G84" i="15"/>
  <c r="K84" i="15"/>
  <c r="G88" i="15"/>
  <c r="K88" i="15"/>
  <c r="I35" i="10"/>
  <c r="AD163" i="13"/>
  <c r="E82" i="15"/>
  <c r="I82" i="15"/>
  <c r="N79" i="10"/>
  <c r="AC91" i="10"/>
  <c r="AD91" i="10" s="1"/>
  <c r="AD159" i="13"/>
  <c r="AD154" i="13"/>
  <c r="AD162" i="13"/>
  <c r="F35" i="10"/>
  <c r="AD160" i="13"/>
  <c r="AD285" i="13"/>
  <c r="AD286" i="13" s="1"/>
  <c r="AD152" i="13"/>
  <c r="AD155" i="13"/>
  <c r="AD164" i="13"/>
  <c r="AD205" i="13"/>
  <c r="AD206" i="13" s="1"/>
  <c r="F76" i="15"/>
  <c r="F80" i="15"/>
  <c r="J80" i="15"/>
  <c r="F84" i="15"/>
  <c r="J84" i="15"/>
  <c r="F88" i="15"/>
  <c r="J88" i="15"/>
  <c r="V85" i="10"/>
  <c r="W85" i="10" s="1"/>
  <c r="O90" i="10"/>
  <c r="P90" i="10" s="1"/>
  <c r="H95" i="10"/>
  <c r="I95" i="10" s="1"/>
  <c r="V96" i="10"/>
  <c r="W96" i="10" s="1"/>
  <c r="V98" i="10"/>
  <c r="W98" i="10" s="1"/>
  <c r="O95" i="10"/>
  <c r="AD185" i="13"/>
  <c r="AD186" i="13" s="1"/>
  <c r="F328" i="15"/>
  <c r="O79" i="10"/>
  <c r="AC93" i="10"/>
  <c r="AD93" i="10" s="1"/>
  <c r="AH48" i="10"/>
  <c r="BI55" i="10"/>
  <c r="H91" i="10"/>
  <c r="AD225" i="13"/>
  <c r="AD226" i="13" s="1"/>
  <c r="AD153" i="13"/>
  <c r="AD161" i="13"/>
  <c r="AD158" i="13"/>
  <c r="I328" i="15"/>
  <c r="W56" i="10"/>
  <c r="G27" i="10" s="1"/>
  <c r="G641" i="30"/>
  <c r="R641" i="30"/>
  <c r="K971" i="30"/>
  <c r="N971" i="30"/>
  <c r="G33" i="6"/>
  <c r="T971" i="30" s="1"/>
  <c r="I641" i="30"/>
  <c r="T641" i="30"/>
  <c r="J970" i="30"/>
  <c r="U970" i="30" s="1"/>
  <c r="D207" i="32" s="1"/>
  <c r="N970" i="30"/>
  <c r="G969" i="30"/>
  <c r="R969" i="30"/>
  <c r="J641" i="30"/>
  <c r="I1059" i="30"/>
  <c r="H1059" i="30"/>
  <c r="I1058" i="30"/>
  <c r="I1057" i="30"/>
  <c r="H1057" i="30"/>
  <c r="H1058" i="30"/>
  <c r="G1059" i="30"/>
  <c r="M1059" i="30"/>
  <c r="Q1059" i="30"/>
  <c r="S1058" i="30"/>
  <c r="Q1058" i="30"/>
  <c r="J1059" i="30"/>
  <c r="N1059" i="30"/>
  <c r="R1059" i="30"/>
  <c r="S1057" i="30"/>
  <c r="J1058" i="30"/>
  <c r="N1058" i="30"/>
  <c r="R1058" i="30"/>
  <c r="R1057" i="30"/>
  <c r="N1057" i="30"/>
  <c r="J1057" i="30"/>
  <c r="K1059" i="30"/>
  <c r="O1059" i="30"/>
  <c r="S1059" i="30"/>
  <c r="G1058" i="30"/>
  <c r="K1058" i="30"/>
  <c r="O1058" i="30"/>
  <c r="T1058" i="30"/>
  <c r="Q1057" i="30"/>
  <c r="M1057" i="30"/>
  <c r="T1059" i="30"/>
  <c r="L1058" i="30"/>
  <c r="G1057" i="30"/>
  <c r="O1057" i="30"/>
  <c r="L1059" i="30"/>
  <c r="P1058" i="30"/>
  <c r="L1057" i="30"/>
  <c r="M1058" i="30"/>
  <c r="K1057" i="30"/>
  <c r="P1059" i="30"/>
  <c r="P1057" i="30"/>
  <c r="T1057" i="30"/>
  <c r="R1053" i="30"/>
  <c r="Q1041" i="30"/>
  <c r="P1053" i="30"/>
  <c r="O1041" i="30"/>
  <c r="N1042" i="30"/>
  <c r="M1054" i="30"/>
  <c r="L1053" i="30"/>
  <c r="K1053" i="30"/>
  <c r="J1042" i="30"/>
  <c r="I1042" i="30"/>
  <c r="H1042" i="30"/>
  <c r="G1053" i="30"/>
  <c r="T1042" i="30"/>
  <c r="S1045" i="30"/>
  <c r="P1050" i="30"/>
  <c r="O1045" i="30"/>
  <c r="M1046" i="30"/>
  <c r="L1042" i="30"/>
  <c r="K1045" i="30"/>
  <c r="H1050" i="30"/>
  <c r="G1045" i="30"/>
  <c r="S1054" i="30"/>
  <c r="Q1053" i="30"/>
  <c r="Q1050" i="30"/>
  <c r="K1050" i="30"/>
  <c r="T1049" i="30"/>
  <c r="O1049" i="30"/>
  <c r="I1049" i="30"/>
  <c r="O1046" i="30"/>
  <c r="G1046" i="30"/>
  <c r="M1045" i="30"/>
  <c r="M1042" i="30"/>
  <c r="T1054" i="30"/>
  <c r="R1041" i="30"/>
  <c r="N1053" i="30"/>
  <c r="L1041" i="30"/>
  <c r="J1053" i="30"/>
  <c r="I1041" i="30"/>
  <c r="G1041" i="30"/>
  <c r="T1045" i="30"/>
  <c r="Q1046" i="30"/>
  <c r="P1045" i="30"/>
  <c r="M1041" i="30"/>
  <c r="L1045" i="30"/>
  <c r="I1046" i="30"/>
  <c r="H1045" i="30"/>
  <c r="O1054" i="30"/>
  <c r="M1053" i="30"/>
  <c r="O1050" i="30"/>
  <c r="J1050" i="30"/>
  <c r="S1049" i="30"/>
  <c r="M1049" i="30"/>
  <c r="H1049" i="30"/>
  <c r="T1046" i="30"/>
  <c r="L1046" i="30"/>
  <c r="R1045" i="30"/>
  <c r="J1045" i="30"/>
  <c r="K1041" i="30"/>
  <c r="T1053" i="30"/>
  <c r="S1053" i="30"/>
  <c r="R1054" i="30"/>
  <c r="Q1054" i="30"/>
  <c r="P1054" i="30"/>
  <c r="O1042" i="30"/>
  <c r="N1041" i="30"/>
  <c r="J1041" i="30"/>
  <c r="R1046" i="30"/>
  <c r="P1041" i="30"/>
  <c r="N1046" i="30"/>
  <c r="J1046" i="30"/>
  <c r="H1041" i="30"/>
  <c r="K1054" i="30"/>
  <c r="I1053" i="30"/>
  <c r="P1051" i="30"/>
  <c r="S1050" i="30"/>
  <c r="N1050" i="30"/>
  <c r="I1050" i="30"/>
  <c r="Q1049" i="30"/>
  <c r="L1049" i="30"/>
  <c r="G1049" i="30"/>
  <c r="S1046" i="30"/>
  <c r="K1046" i="30"/>
  <c r="Q1045" i="30"/>
  <c r="I1045" i="30"/>
  <c r="T1041" i="30"/>
  <c r="S1041" i="30"/>
  <c r="R1042" i="30"/>
  <c r="Q1042" i="30"/>
  <c r="P1042" i="30"/>
  <c r="O1053" i="30"/>
  <c r="N1054" i="30"/>
  <c r="L1054" i="30"/>
  <c r="J1054" i="30"/>
  <c r="I1054" i="30"/>
  <c r="H1054" i="30"/>
  <c r="G1042" i="30"/>
  <c r="T1050" i="30"/>
  <c r="S1042" i="30"/>
  <c r="R1049" i="30"/>
  <c r="O1047" i="30"/>
  <c r="N1049" i="30"/>
  <c r="L1050" i="30"/>
  <c r="K1042" i="30"/>
  <c r="J1049" i="30"/>
  <c r="G1054" i="30"/>
  <c r="O1051" i="30"/>
  <c r="R1050" i="30"/>
  <c r="M1050" i="30"/>
  <c r="G1050" i="30"/>
  <c r="P1049" i="30"/>
  <c r="K1049" i="30"/>
  <c r="P1046" i="30"/>
  <c r="H1046" i="30"/>
  <c r="N1045" i="30"/>
  <c r="O1043" i="30"/>
  <c r="H1053" i="30"/>
  <c r="G1040" i="30"/>
  <c r="J1040" i="30"/>
  <c r="L1040" i="30"/>
  <c r="I1040" i="30"/>
  <c r="P1040" i="30"/>
  <c r="N1040" i="30"/>
  <c r="K1040" i="30"/>
  <c r="H1040" i="30"/>
  <c r="O1040" i="30"/>
  <c r="S1040" i="30"/>
  <c r="M1040" i="30"/>
  <c r="R1040" i="30"/>
  <c r="Q1040" i="30"/>
  <c r="T1040" i="30"/>
  <c r="Z50" i="10"/>
  <c r="AM42" i="10"/>
  <c r="L79" i="10"/>
  <c r="P79" i="10"/>
  <c r="O87" i="10"/>
  <c r="P87" i="10" s="1"/>
  <c r="AC88" i="10"/>
  <c r="O91" i="10"/>
  <c r="P91" i="10" s="1"/>
  <c r="E43" i="26"/>
  <c r="AD265" i="13"/>
  <c r="AD266" i="13" s="1"/>
  <c r="AN56" i="10"/>
  <c r="I28" i="10" s="1"/>
  <c r="BI47" i="10"/>
  <c r="V92" i="10"/>
  <c r="E46" i="26"/>
  <c r="G35" i="10"/>
  <c r="V89" i="10"/>
  <c r="W89" i="10" s="1"/>
  <c r="AD156" i="13"/>
  <c r="AD157" i="13"/>
  <c r="X42" i="10"/>
  <c r="V43" i="10"/>
  <c r="AB42" i="10"/>
  <c r="AB45" i="10"/>
  <c r="AB46" i="10"/>
  <c r="AB47" i="10"/>
  <c r="X43" i="10"/>
  <c r="AH46" i="10"/>
  <c r="AB52" i="10"/>
  <c r="AB53" i="10"/>
  <c r="V93" i="10"/>
  <c r="W93" i="10" s="1"/>
  <c r="AC97" i="10"/>
  <c r="AD97" i="10" s="1"/>
  <c r="O98" i="10"/>
  <c r="P98" i="10" s="1"/>
  <c r="X45" i="10"/>
  <c r="AW45" i="10"/>
  <c r="H92" i="10"/>
  <c r="I92" i="10" s="1"/>
  <c r="V94" i="10"/>
  <c r="W94" i="10" s="1"/>
  <c r="V97" i="10"/>
  <c r="W97" i="10" s="1"/>
  <c r="O86" i="10"/>
  <c r="P86" i="10" s="1"/>
  <c r="O88" i="10"/>
  <c r="P88" i="10" s="1"/>
  <c r="H96" i="10"/>
  <c r="I96" i="10" s="1"/>
  <c r="AA56" i="10"/>
  <c r="J27" i="10" s="1"/>
  <c r="AB43" i="10"/>
  <c r="BF43" i="10"/>
  <c r="AW50" i="10"/>
  <c r="H86" i="10"/>
  <c r="I86" i="10" s="1"/>
  <c r="H87" i="10"/>
  <c r="AC87" i="10"/>
  <c r="V88" i="10"/>
  <c r="W88" i="10" s="1"/>
  <c r="O89" i="10"/>
  <c r="P89" i="10" s="1"/>
  <c r="O92" i="10"/>
  <c r="P92" i="10" s="1"/>
  <c r="AC96" i="10"/>
  <c r="AD96" i="10" s="1"/>
  <c r="O97" i="10"/>
  <c r="P97" i="10" s="1"/>
  <c r="J1011" i="30"/>
  <c r="H93" i="26"/>
  <c r="H111" i="26" s="1"/>
  <c r="N1011" i="30"/>
  <c r="L93" i="26"/>
  <c r="L111" i="26" s="1"/>
  <c r="BI42" i="10"/>
  <c r="BI43" i="10"/>
  <c r="BI44" i="10"/>
  <c r="BI46" i="10"/>
  <c r="BI50" i="10"/>
  <c r="AW52" i="10"/>
  <c r="BI52" i="10"/>
  <c r="AW53" i="10"/>
  <c r="H90" i="10"/>
  <c r="I90" i="10" s="1"/>
  <c r="H98" i="10"/>
  <c r="I98" i="10" s="1"/>
  <c r="Z51" i="10"/>
  <c r="AW51" i="10"/>
  <c r="AH52" i="10"/>
  <c r="BI53" i="10"/>
  <c r="AE48" i="10"/>
  <c r="M79" i="10"/>
  <c r="T99" i="10"/>
  <c r="L99" i="10"/>
  <c r="O94" i="10"/>
  <c r="P94" i="10" s="1"/>
  <c r="V95" i="10"/>
  <c r="W95" i="10" s="1"/>
  <c r="H97" i="10"/>
  <c r="I97" i="10" s="1"/>
  <c r="AH43" i="10"/>
  <c r="BI45" i="10"/>
  <c r="BI48" i="10"/>
  <c r="BI49" i="10"/>
  <c r="BI51" i="10"/>
  <c r="BI54" i="10"/>
  <c r="X49" i="10"/>
  <c r="V90" i="10"/>
  <c r="W90" i="10" s="1"/>
  <c r="V91" i="10"/>
  <c r="W91" i="10" s="1"/>
  <c r="AC92" i="10"/>
  <c r="AD92" i="10" s="1"/>
  <c r="L11" i="6"/>
  <c r="M1011" i="30"/>
  <c r="K93" i="26"/>
  <c r="K111" i="26" s="1"/>
  <c r="G207" i="32"/>
  <c r="BX53" i="10"/>
  <c r="BX52" i="10"/>
  <c r="BX49" i="10"/>
  <c r="BX43" i="10"/>
  <c r="BX44" i="10"/>
  <c r="BX50" i="10"/>
  <c r="G79" i="10"/>
  <c r="J35" i="10"/>
  <c r="J309" i="15"/>
  <c r="E78" i="15"/>
  <c r="I78" i="15"/>
  <c r="E21" i="28"/>
  <c r="H9" i="6"/>
  <c r="P10" i="6"/>
  <c r="C26" i="32"/>
  <c r="AL346" i="13"/>
  <c r="L6" i="6"/>
  <c r="H6" i="6"/>
  <c r="P7" i="6"/>
  <c r="H10" i="6"/>
  <c r="N12" i="6"/>
  <c r="H11" i="6"/>
  <c r="H7" i="6"/>
  <c r="S12" i="6"/>
  <c r="L9" i="6"/>
  <c r="P6" i="6"/>
  <c r="L7" i="6"/>
  <c r="L8" i="6"/>
  <c r="L10" i="6"/>
  <c r="P8" i="6"/>
  <c r="T25" i="9"/>
  <c r="U25" i="9" s="1"/>
  <c r="Z34" i="9"/>
  <c r="AA34" i="9" s="1"/>
  <c r="T30" i="9"/>
  <c r="U30" i="9" s="1"/>
  <c r="T32" i="9"/>
  <c r="U32" i="9" s="1"/>
  <c r="H90" i="9"/>
  <c r="R277" i="15"/>
  <c r="S277" i="15"/>
  <c r="T277" i="15"/>
  <c r="F87" i="15"/>
  <c r="J87" i="15"/>
  <c r="AB165" i="15"/>
  <c r="AD166" i="15"/>
  <c r="E79" i="15"/>
  <c r="I79" i="15"/>
  <c r="E83" i="15"/>
  <c r="I83" i="15"/>
  <c r="E87" i="15"/>
  <c r="I87" i="15"/>
  <c r="AC155" i="15"/>
  <c r="AA156" i="15"/>
  <c r="AE156" i="15"/>
  <c r="AC157" i="15"/>
  <c r="AA158" i="15"/>
  <c r="AE158" i="15"/>
  <c r="AC159" i="15"/>
  <c r="AA160" i="15"/>
  <c r="AE160" i="15"/>
  <c r="AC161" i="15"/>
  <c r="AA162" i="15"/>
  <c r="AE162" i="15"/>
  <c r="AC163" i="15"/>
  <c r="AA164" i="15"/>
  <c r="AE164" i="15"/>
  <c r="AA165" i="15"/>
  <c r="AE165" i="15"/>
  <c r="H78" i="15"/>
  <c r="H82" i="15"/>
  <c r="G77" i="15"/>
  <c r="K77" i="15"/>
  <c r="G81" i="15"/>
  <c r="K81" i="15"/>
  <c r="G85" i="15"/>
  <c r="K85" i="15"/>
  <c r="AC156" i="15"/>
  <c r="AA157" i="15"/>
  <c r="AE157" i="15"/>
  <c r="AB157" i="15"/>
  <c r="AC158" i="15"/>
  <c r="AA159" i="15"/>
  <c r="AE159" i="15"/>
  <c r="AC160" i="15"/>
  <c r="AA161" i="15"/>
  <c r="AE161" i="15"/>
  <c r="AC162" i="15"/>
  <c r="AA163" i="15"/>
  <c r="AE163" i="15"/>
  <c r="AC164" i="15"/>
  <c r="AD165" i="15"/>
  <c r="AA166" i="15"/>
  <c r="AE166" i="15"/>
  <c r="AC167" i="15"/>
  <c r="F283" i="15"/>
  <c r="L284" i="15"/>
  <c r="K288" i="15"/>
  <c r="H309" i="15"/>
  <c r="H328" i="15"/>
  <c r="G328" i="15"/>
  <c r="H21" i="28"/>
  <c r="E287" i="15"/>
  <c r="O641" i="30"/>
  <c r="P641" i="30"/>
  <c r="N309" i="15"/>
  <c r="K284" i="15"/>
  <c r="F309" i="15"/>
  <c r="AB156" i="15"/>
  <c r="AB158" i="15"/>
  <c r="AB160" i="15"/>
  <c r="AB164" i="15"/>
  <c r="E283" i="15"/>
  <c r="K283" i="15"/>
  <c r="H284" i="15"/>
  <c r="K285" i="15"/>
  <c r="H285" i="15"/>
  <c r="H286" i="15"/>
  <c r="L286" i="15"/>
  <c r="I286" i="15"/>
  <c r="I287" i="15"/>
  <c r="F288" i="15"/>
  <c r="G309" i="15"/>
  <c r="AB166" i="15"/>
  <c r="AE167" i="15"/>
  <c r="AB167" i="15"/>
  <c r="AA167" i="15"/>
  <c r="G89" i="15"/>
  <c r="K89" i="15"/>
  <c r="I309" i="15"/>
  <c r="G791" i="30" a="1"/>
  <c r="I110" i="15"/>
  <c r="I130" i="15" s="1"/>
  <c r="G759" i="30" a="1"/>
  <c r="M309" i="15"/>
  <c r="G776" i="30" a="1"/>
  <c r="E238" i="32"/>
  <c r="E234" i="32"/>
  <c r="E230" i="32"/>
  <c r="E226" i="32"/>
  <c r="E222" i="32"/>
  <c r="E218" i="32"/>
  <c r="E214" i="32"/>
  <c r="E206" i="32"/>
  <c r="E202" i="32"/>
  <c r="E188" i="32"/>
  <c r="E162" i="32"/>
  <c r="E154" i="32"/>
  <c r="E237" i="32"/>
  <c r="E233" i="32"/>
  <c r="E229" i="32"/>
  <c r="E225" i="32"/>
  <c r="E221" i="32"/>
  <c r="E217" i="32"/>
  <c r="E213" i="32"/>
  <c r="E159" i="32"/>
  <c r="E153" i="32"/>
  <c r="E236" i="32"/>
  <c r="E232" i="32"/>
  <c r="E228" i="32"/>
  <c r="E224" i="32"/>
  <c r="E220" i="32"/>
  <c r="E216" i="32"/>
  <c r="E212" i="32"/>
  <c r="E190" i="32"/>
  <c r="E158" i="32"/>
  <c r="E152" i="32"/>
  <c r="E146" i="32"/>
  <c r="E140" i="32"/>
  <c r="E95" i="32"/>
  <c r="E76" i="32"/>
  <c r="E25" i="32"/>
  <c r="G205" i="32"/>
  <c r="G190" i="32"/>
  <c r="N162" i="32"/>
  <c r="B40" i="31" s="1"/>
  <c r="N163" i="32"/>
  <c r="B41" i="31" s="1"/>
  <c r="N157" i="32"/>
  <c r="N158" i="32"/>
  <c r="N159" i="32"/>
  <c r="B39" i="31" s="1"/>
  <c r="N151" i="32"/>
  <c r="E235" i="32"/>
  <c r="E231" i="32"/>
  <c r="E227" i="32"/>
  <c r="E223" i="32"/>
  <c r="E219" i="32"/>
  <c r="E215" i="32"/>
  <c r="E189" i="32"/>
  <c r="E163" i="32"/>
  <c r="E157" i="32"/>
  <c r="E151" i="32"/>
  <c r="E142" i="32"/>
  <c r="E98" i="32"/>
  <c r="E93" i="32"/>
  <c r="G203" i="32"/>
  <c r="M157" i="32"/>
  <c r="O158" i="32"/>
  <c r="N145" i="32"/>
  <c r="N146" i="32"/>
  <c r="O140" i="32"/>
  <c r="E148" i="32"/>
  <c r="E141" i="32"/>
  <c r="E97" i="32"/>
  <c r="E92" i="32"/>
  <c r="E27" i="32"/>
  <c r="G204" i="32"/>
  <c r="M163" i="32"/>
  <c r="O157" i="32"/>
  <c r="N152" i="32"/>
  <c r="O145" i="32"/>
  <c r="O146" i="32"/>
  <c r="O147" i="32"/>
  <c r="O148" i="32"/>
  <c r="M141" i="32"/>
  <c r="O137" i="32"/>
  <c r="E147" i="32"/>
  <c r="E136" i="32"/>
  <c r="E96" i="32"/>
  <c r="E77" i="32"/>
  <c r="G188" i="32"/>
  <c r="M162" i="32"/>
  <c r="O163" i="32"/>
  <c r="M159" i="32"/>
  <c r="O151" i="32"/>
  <c r="O152" i="32"/>
  <c r="O153" i="32"/>
  <c r="O154" i="32"/>
  <c r="N141" i="32"/>
  <c r="B36" i="31" s="1"/>
  <c r="O142" i="32"/>
  <c r="L137" i="32"/>
  <c r="E35" i="31" s="1"/>
  <c r="E145" i="32"/>
  <c r="E94" i="32"/>
  <c r="G202" i="32"/>
  <c r="G189" i="32"/>
  <c r="O162" i="32"/>
  <c r="M158" i="32"/>
  <c r="O159" i="32"/>
  <c r="O141" i="32"/>
  <c r="M137" i="32"/>
  <c r="I109" i="32"/>
  <c r="J110" i="32"/>
  <c r="I113" i="32"/>
  <c r="J114" i="32"/>
  <c r="I117" i="32"/>
  <c r="I121" i="32"/>
  <c r="E28" i="31" s="1"/>
  <c r="J122" i="32"/>
  <c r="I111" i="32"/>
  <c r="J120" i="32"/>
  <c r="I114" i="32"/>
  <c r="J119" i="32"/>
  <c r="I122" i="32"/>
  <c r="J109" i="32"/>
  <c r="I112" i="32"/>
  <c r="J113" i="32"/>
  <c r="I116" i="32"/>
  <c r="J117" i="32"/>
  <c r="I120" i="32"/>
  <c r="J121" i="32"/>
  <c r="J112" i="32"/>
  <c r="I115" i="32"/>
  <c r="J116" i="32"/>
  <c r="I119" i="32"/>
  <c r="D28" i="31" s="1"/>
  <c r="I110" i="32"/>
  <c r="J111" i="32"/>
  <c r="J115" i="32"/>
  <c r="J110" i="15"/>
  <c r="J130" i="15" s="1"/>
  <c r="AA155" i="15"/>
  <c r="K190" i="15"/>
  <c r="S190" i="15"/>
  <c r="R284" i="15"/>
  <c r="AB159" i="15"/>
  <c r="S285" i="15"/>
  <c r="O190" i="15"/>
  <c r="AB161" i="15"/>
  <c r="G110" i="15"/>
  <c r="G130" i="15" s="1"/>
  <c r="AB162" i="15"/>
  <c r="AB163" i="15"/>
  <c r="AC166" i="15"/>
  <c r="E190" i="15"/>
  <c r="Q190" i="15"/>
  <c r="AD167" i="15"/>
  <c r="AC165" i="15"/>
  <c r="K309" i="15"/>
  <c r="I190" i="15"/>
  <c r="K110" i="15"/>
  <c r="K130" i="15" s="1"/>
  <c r="H86" i="15"/>
  <c r="H190" i="15"/>
  <c r="L190" i="15"/>
  <c r="E86" i="15"/>
  <c r="I86" i="15"/>
  <c r="L309" i="15"/>
  <c r="Q287" i="15"/>
  <c r="O285" i="15"/>
  <c r="N286" i="15"/>
  <c r="O287" i="15"/>
  <c r="O288" i="15"/>
  <c r="G286" i="30" a="1"/>
  <c r="M3000" i="30"/>
  <c r="G154" i="32"/>
  <c r="U972" i="30"/>
  <c r="F207" i="32" s="1"/>
  <c r="F27" i="32"/>
  <c r="L24" i="32"/>
  <c r="C27" i="32"/>
  <c r="C37" i="32"/>
  <c r="C40" i="32"/>
  <c r="C45" i="32"/>
  <c r="C47" i="32"/>
  <c r="C54" i="32"/>
  <c r="C57" i="32"/>
  <c r="C60" i="32"/>
  <c r="K65" i="32"/>
  <c r="C68" i="32"/>
  <c r="C73" i="32"/>
  <c r="C76" i="32"/>
  <c r="C80" i="32"/>
  <c r="C84" i="32"/>
  <c r="C88" i="32"/>
  <c r="C94" i="32"/>
  <c r="C97" i="32"/>
  <c r="J219" i="32"/>
  <c r="C29" i="32"/>
  <c r="C31" i="32"/>
  <c r="C33" i="32"/>
  <c r="C35" i="32"/>
  <c r="C38" i="32"/>
  <c r="C41" i="32"/>
  <c r="C48" i="32"/>
  <c r="C51" i="32"/>
  <c r="K54" i="32"/>
  <c r="K57" i="32"/>
  <c r="I60" i="32"/>
  <c r="C63" i="32"/>
  <c r="C66" i="32"/>
  <c r="C69" i="32"/>
  <c r="I76" i="32"/>
  <c r="C81" i="32"/>
  <c r="C85" i="32"/>
  <c r="C89" i="32"/>
  <c r="C95" i="32"/>
  <c r="C98" i="32"/>
  <c r="I231" i="32"/>
  <c r="C25" i="32"/>
  <c r="J38" i="32"/>
  <c r="L41" i="32"/>
  <c r="C46" i="32"/>
  <c r="C49" i="32"/>
  <c r="C52" i="32"/>
  <c r="C55" i="32"/>
  <c r="C58" i="32"/>
  <c r="C61" i="32"/>
  <c r="C64" i="32"/>
  <c r="C67" i="32"/>
  <c r="C70" i="32"/>
  <c r="C74" i="32"/>
  <c r="C77" i="32"/>
  <c r="C82" i="32"/>
  <c r="C86" i="32"/>
  <c r="C92" i="32"/>
  <c r="C96" i="32"/>
  <c r="G125" i="32"/>
  <c r="C24" i="32"/>
  <c r="F25" i="32"/>
  <c r="L26" i="32"/>
  <c r="C28" i="32"/>
  <c r="C30" i="32"/>
  <c r="C32" i="32"/>
  <c r="C34" i="32"/>
  <c r="C36" i="32"/>
  <c r="C39" i="32"/>
  <c r="C42" i="32"/>
  <c r="J46" i="32"/>
  <c r="C50" i="32"/>
  <c r="C53" i="32"/>
  <c r="C56" i="32"/>
  <c r="C59" i="32"/>
  <c r="C62" i="32"/>
  <c r="C65" i="32"/>
  <c r="C72" i="32"/>
  <c r="C75" i="32"/>
  <c r="C79" i="32"/>
  <c r="C83" i="32"/>
  <c r="C87" i="32"/>
  <c r="C93" i="32"/>
  <c r="L96" i="32"/>
  <c r="K25" i="32"/>
  <c r="K27" i="32"/>
  <c r="J28" i="32"/>
  <c r="J29" i="32"/>
  <c r="J30" i="32"/>
  <c r="J31" i="32"/>
  <c r="J32" i="32"/>
  <c r="J33" i="32"/>
  <c r="J34" i="32"/>
  <c r="L35" i="32"/>
  <c r="J40" i="32"/>
  <c r="B19" i="31" s="1"/>
  <c r="L45" i="32"/>
  <c r="J49" i="32"/>
  <c r="L50" i="32"/>
  <c r="I53" i="32"/>
  <c r="K59" i="32"/>
  <c r="I62" i="32"/>
  <c r="I64" i="32"/>
  <c r="K67" i="32"/>
  <c r="K69" i="32"/>
  <c r="C136" i="32"/>
  <c r="D159" i="32"/>
  <c r="F213" i="32"/>
  <c r="D25" i="32"/>
  <c r="L25" i="32"/>
  <c r="J26" i="32"/>
  <c r="B18" i="31" s="1"/>
  <c r="D27" i="32"/>
  <c r="L27" i="32"/>
  <c r="L28" i="32"/>
  <c r="L29" i="32"/>
  <c r="L30" i="32"/>
  <c r="L31" i="32"/>
  <c r="L32" i="32"/>
  <c r="L33" i="32"/>
  <c r="L34" i="32"/>
  <c r="L37" i="32"/>
  <c r="J42" i="32"/>
  <c r="I56" i="32"/>
  <c r="K61" i="32"/>
  <c r="I66" i="32"/>
  <c r="K72" i="32"/>
  <c r="G77" i="32"/>
  <c r="I83" i="32"/>
  <c r="L92" i="32"/>
  <c r="D95" i="32"/>
  <c r="C142" i="32"/>
  <c r="T457" i="32"/>
  <c r="T373" i="32"/>
  <c r="K246" i="32"/>
  <c r="C237" i="32"/>
  <c r="D234" i="32"/>
  <c r="K233" i="32"/>
  <c r="H232" i="32"/>
  <c r="D232" i="32"/>
  <c r="H231" i="32"/>
  <c r="D231" i="32"/>
  <c r="H230" i="32"/>
  <c r="D230" i="32"/>
  <c r="H229" i="32"/>
  <c r="D229" i="32"/>
  <c r="H228" i="32"/>
  <c r="D228" i="32"/>
  <c r="H227" i="32"/>
  <c r="D227" i="32"/>
  <c r="H226" i="32"/>
  <c r="D226" i="32"/>
  <c r="H225" i="32"/>
  <c r="D225" i="32"/>
  <c r="I224" i="32"/>
  <c r="M223" i="32"/>
  <c r="I223" i="32"/>
  <c r="M222" i="32"/>
  <c r="I222" i="32"/>
  <c r="M221" i="32"/>
  <c r="I221" i="32"/>
  <c r="M220" i="32"/>
  <c r="I220" i="32"/>
  <c r="M219" i="32"/>
  <c r="I219" i="32"/>
  <c r="M218" i="32"/>
  <c r="I218" i="32"/>
  <c r="M217" i="32"/>
  <c r="I217" i="32"/>
  <c r="M216" i="32"/>
  <c r="I216" i="32"/>
  <c r="F206" i="32"/>
  <c r="F202" i="32"/>
  <c r="D190" i="32"/>
  <c r="D189" i="32"/>
  <c r="D188" i="32"/>
  <c r="H185" i="32"/>
  <c r="H184" i="32"/>
  <c r="H183" i="32"/>
  <c r="H182" i="32"/>
  <c r="H181" i="32"/>
  <c r="S436" i="32"/>
  <c r="T389" i="32"/>
  <c r="T367" i="32"/>
  <c r="L245" i="32"/>
  <c r="D235" i="32"/>
  <c r="C234" i="32"/>
  <c r="I233" i="32"/>
  <c r="D233" i="32"/>
  <c r="K232" i="32"/>
  <c r="G232" i="32"/>
  <c r="C232" i="32"/>
  <c r="K231" i="32"/>
  <c r="G231" i="32"/>
  <c r="C231" i="32"/>
  <c r="K230" i="32"/>
  <c r="G230" i="32"/>
  <c r="C230" i="32"/>
  <c r="K229" i="32"/>
  <c r="G229" i="32"/>
  <c r="C229" i="32"/>
  <c r="K228" i="32"/>
  <c r="G228" i="32"/>
  <c r="C228" i="32"/>
  <c r="G227" i="32"/>
  <c r="C227" i="32"/>
  <c r="G226" i="32"/>
  <c r="C226" i="32"/>
  <c r="G225" i="32"/>
  <c r="C225" i="32"/>
  <c r="H224" i="32"/>
  <c r="D224" i="32"/>
  <c r="H223" i="32"/>
  <c r="D223" i="32"/>
  <c r="H222" i="32"/>
  <c r="D222" i="32"/>
  <c r="H221" i="32"/>
  <c r="D221" i="32"/>
  <c r="H220" i="32"/>
  <c r="D220" i="32"/>
  <c r="H219" i="32"/>
  <c r="D219" i="32"/>
  <c r="H218" i="32"/>
  <c r="D218" i="32"/>
  <c r="H217" i="32"/>
  <c r="D217" i="32"/>
  <c r="H216" i="32"/>
  <c r="D216" i="32"/>
  <c r="H215" i="32"/>
  <c r="D215" i="32"/>
  <c r="H214" i="32"/>
  <c r="D214" i="32"/>
  <c r="H213" i="32"/>
  <c r="D213" i="32"/>
  <c r="H212" i="32"/>
  <c r="D212" i="32"/>
  <c r="C190" i="32"/>
  <c r="C189" i="32"/>
  <c r="C188" i="32"/>
  <c r="G185" i="32"/>
  <c r="G184" i="32"/>
  <c r="G183" i="32"/>
  <c r="G182" i="32"/>
  <c r="T387" i="32"/>
  <c r="T360" i="32"/>
  <c r="S331" i="32"/>
  <c r="L247" i="32"/>
  <c r="H13" i="31" s="1"/>
  <c r="K245" i="32"/>
  <c r="D236" i="32"/>
  <c r="M233" i="32"/>
  <c r="H233" i="32"/>
  <c r="C233" i="32"/>
  <c r="J232" i="32"/>
  <c r="F232" i="32"/>
  <c r="N231" i="32"/>
  <c r="J231" i="32"/>
  <c r="F231" i="32"/>
  <c r="O230" i="32"/>
  <c r="J230" i="32"/>
  <c r="F230" i="32"/>
  <c r="O229" i="32"/>
  <c r="J229" i="32"/>
  <c r="F229" i="32"/>
  <c r="O228" i="32"/>
  <c r="J228" i="32"/>
  <c r="F228" i="32"/>
  <c r="F227" i="32"/>
  <c r="F226" i="32"/>
  <c r="F225" i="32"/>
  <c r="K224" i="32"/>
  <c r="G224" i="32"/>
  <c r="C224" i="32"/>
  <c r="K223" i="32"/>
  <c r="G223" i="32"/>
  <c r="C223" i="32"/>
  <c r="K222" i="32"/>
  <c r="G222" i="32"/>
  <c r="C222" i="32"/>
  <c r="K221" i="32"/>
  <c r="G221" i="32"/>
  <c r="C221" i="32"/>
  <c r="K220" i="32"/>
  <c r="G220" i="32"/>
  <c r="C220" i="32"/>
  <c r="K219" i="32"/>
  <c r="G219" i="32"/>
  <c r="C219" i="32"/>
  <c r="K218" i="32"/>
  <c r="G218" i="32"/>
  <c r="C218" i="32"/>
  <c r="K217" i="32"/>
  <c r="G217" i="32"/>
  <c r="C217" i="32"/>
  <c r="G216" i="32"/>
  <c r="C216" i="32"/>
  <c r="G215" i="32"/>
  <c r="C215" i="32"/>
  <c r="G214" i="32"/>
  <c r="C214" i="32"/>
  <c r="G213" i="32"/>
  <c r="C213" i="32"/>
  <c r="G212" i="32"/>
  <c r="C212" i="32"/>
  <c r="D206" i="32"/>
  <c r="F190" i="32"/>
  <c r="F189" i="32"/>
  <c r="F188" i="32"/>
  <c r="J185" i="32"/>
  <c r="J184" i="32"/>
  <c r="J183" i="32"/>
  <c r="J182" i="32"/>
  <c r="J181" i="32"/>
  <c r="T375" i="32"/>
  <c r="S310" i="32"/>
  <c r="K247" i="32"/>
  <c r="I232" i="32"/>
  <c r="M229" i="32"/>
  <c r="I228" i="32"/>
  <c r="J224" i="32"/>
  <c r="F223" i="32"/>
  <c r="N221" i="32"/>
  <c r="J220" i="32"/>
  <c r="F219" i="32"/>
  <c r="O217" i="32"/>
  <c r="J216" i="32"/>
  <c r="H180" i="32"/>
  <c r="H179" i="32"/>
  <c r="H176" i="32"/>
  <c r="H175" i="32"/>
  <c r="H174" i="32"/>
  <c r="H173" i="32"/>
  <c r="H172" i="32"/>
  <c r="H171" i="32"/>
  <c r="F162" i="32"/>
  <c r="G159" i="32"/>
  <c r="C159" i="32"/>
  <c r="D158" i="32"/>
  <c r="F154" i="32"/>
  <c r="D152" i="32"/>
  <c r="C151" i="32"/>
  <c r="D148" i="32"/>
  <c r="C147" i="32"/>
  <c r="F142" i="32"/>
  <c r="D140" i="32"/>
  <c r="N136" i="32"/>
  <c r="B34" i="31" s="1"/>
  <c r="F136" i="32"/>
  <c r="O135" i="32"/>
  <c r="J135" i="32"/>
  <c r="G128" i="32"/>
  <c r="G105" i="32"/>
  <c r="G104" i="32"/>
  <c r="G103" i="32"/>
  <c r="D98" i="32"/>
  <c r="K96" i="32"/>
  <c r="F96" i="32"/>
  <c r="L95" i="32"/>
  <c r="D94" i="32"/>
  <c r="K92" i="32"/>
  <c r="F92" i="32"/>
  <c r="L89" i="32"/>
  <c r="L87" i="32"/>
  <c r="L85" i="32"/>
  <c r="L83" i="32"/>
  <c r="L81" i="32"/>
  <c r="L79" i="32"/>
  <c r="S359" i="32"/>
  <c r="M230" i="32"/>
  <c r="I229" i="32"/>
  <c r="F224" i="32"/>
  <c r="N222" i="32"/>
  <c r="J221" i="32"/>
  <c r="F220" i="32"/>
  <c r="O218" i="32"/>
  <c r="J217" i="32"/>
  <c r="F216" i="32"/>
  <c r="F214" i="32"/>
  <c r="F212" i="32"/>
  <c r="G181" i="32"/>
  <c r="G180" i="32"/>
  <c r="G179" i="32"/>
  <c r="G176" i="32"/>
  <c r="G175" i="32"/>
  <c r="G174" i="32"/>
  <c r="G173" i="32"/>
  <c r="G172" i="32"/>
  <c r="G171" i="32"/>
  <c r="D163" i="32"/>
  <c r="F159" i="32"/>
  <c r="G158" i="32"/>
  <c r="C158" i="32"/>
  <c r="D157" i="32"/>
  <c r="D153" i="32"/>
  <c r="C152" i="32"/>
  <c r="G148" i="32"/>
  <c r="C148" i="32"/>
  <c r="D145" i="32"/>
  <c r="D141" i="32"/>
  <c r="C140" i="32"/>
  <c r="M136" i="32"/>
  <c r="H135" i="32"/>
  <c r="G127" i="32"/>
  <c r="J105" i="32"/>
  <c r="J104" i="32"/>
  <c r="J103" i="32"/>
  <c r="L98" i="32"/>
  <c r="D97" i="32"/>
  <c r="K95" i="32"/>
  <c r="F95" i="32"/>
  <c r="L94" i="32"/>
  <c r="D93" i="32"/>
  <c r="K89" i="32"/>
  <c r="K87" i="32"/>
  <c r="K85" i="32"/>
  <c r="K83" i="32"/>
  <c r="T340" i="32"/>
  <c r="D237" i="32"/>
  <c r="G233" i="32"/>
  <c r="M231" i="32"/>
  <c r="I230" i="32"/>
  <c r="N223" i="32"/>
  <c r="J222" i="32"/>
  <c r="F221" i="32"/>
  <c r="O219" i="32"/>
  <c r="J218" i="32"/>
  <c r="F217" i="32"/>
  <c r="J180" i="32"/>
  <c r="J179" i="32"/>
  <c r="J176" i="32"/>
  <c r="J175" i="32"/>
  <c r="J174" i="32"/>
  <c r="J173" i="32"/>
  <c r="J172" i="32"/>
  <c r="J171" i="32"/>
  <c r="G163" i="32"/>
  <c r="C163" i="32"/>
  <c r="D162" i="32"/>
  <c r="F158" i="32"/>
  <c r="G157" i="32"/>
  <c r="C157" i="32"/>
  <c r="D154" i="32"/>
  <c r="C153" i="32"/>
  <c r="F148" i="32"/>
  <c r="D146" i="32"/>
  <c r="C145" i="32"/>
  <c r="D142" i="32"/>
  <c r="C141" i="32"/>
  <c r="J137" i="32"/>
  <c r="D136" i="32"/>
  <c r="M135" i="32"/>
  <c r="G130" i="32"/>
  <c r="G126" i="32"/>
  <c r="K98" i="32"/>
  <c r="F98" i="32"/>
  <c r="L97" i="32"/>
  <c r="D96" i="32"/>
  <c r="K94" i="32"/>
  <c r="F94" i="32"/>
  <c r="L93" i="32"/>
  <c r="D92" i="32"/>
  <c r="L88" i="32"/>
  <c r="L86" i="32"/>
  <c r="L84" i="32"/>
  <c r="J83" i="32"/>
  <c r="L82" i="32"/>
  <c r="L80" i="32"/>
  <c r="J223" i="32"/>
  <c r="F218" i="32"/>
  <c r="C206" i="32"/>
  <c r="F163" i="32"/>
  <c r="C154" i="32"/>
  <c r="D147" i="32"/>
  <c r="L135" i="32"/>
  <c r="H103" i="32"/>
  <c r="K97" i="32"/>
  <c r="K93" i="32"/>
  <c r="J77" i="32"/>
  <c r="F77" i="32"/>
  <c r="L76" i="32"/>
  <c r="H76" i="32"/>
  <c r="D76" i="32"/>
  <c r="J72" i="32"/>
  <c r="L70" i="32"/>
  <c r="J69" i="32"/>
  <c r="L68" i="32"/>
  <c r="J67" i="32"/>
  <c r="L66" i="32"/>
  <c r="J65" i="32"/>
  <c r="L64" i="32"/>
  <c r="J63" i="32"/>
  <c r="L62" i="32"/>
  <c r="J61" i="32"/>
  <c r="L60" i="32"/>
  <c r="J59" i="32"/>
  <c r="L58" i="32"/>
  <c r="J57" i="32"/>
  <c r="L56" i="32"/>
  <c r="J55" i="32"/>
  <c r="J54" i="32"/>
  <c r="L53" i="32"/>
  <c r="K52" i="32"/>
  <c r="I51" i="32"/>
  <c r="K50" i="32"/>
  <c r="I49" i="32"/>
  <c r="K48" i="32"/>
  <c r="I47" i="32"/>
  <c r="I46" i="32"/>
  <c r="K45" i="32"/>
  <c r="K41" i="32"/>
  <c r="K39" i="32"/>
  <c r="K37" i="32"/>
  <c r="K35" i="32"/>
  <c r="K33" i="32"/>
  <c r="K31" i="32"/>
  <c r="K29" i="32"/>
  <c r="C236" i="32"/>
  <c r="M228" i="32"/>
  <c r="F222" i="32"/>
  <c r="O216" i="32"/>
  <c r="G162" i="32"/>
  <c r="F157" i="32"/>
  <c r="C146" i="32"/>
  <c r="O136" i="32"/>
  <c r="G129" i="32"/>
  <c r="F97" i="32"/>
  <c r="F93" i="32"/>
  <c r="K82" i="32"/>
  <c r="K80" i="32"/>
  <c r="I77" i="32"/>
  <c r="K76" i="32"/>
  <c r="G76" i="32"/>
  <c r="K70" i="32"/>
  <c r="I69" i="32"/>
  <c r="K68" i="32"/>
  <c r="I67" i="32"/>
  <c r="K66" i="32"/>
  <c r="I65" i="32"/>
  <c r="K64" i="32"/>
  <c r="I63" i="32"/>
  <c r="K62" i="32"/>
  <c r="I61" i="32"/>
  <c r="K60" i="32"/>
  <c r="I59" i="32"/>
  <c r="K58" i="32"/>
  <c r="I57" i="32"/>
  <c r="K56" i="32"/>
  <c r="I55" i="32"/>
  <c r="I54" i="32"/>
  <c r="K53" i="32"/>
  <c r="J52" i="32"/>
  <c r="L51" i="32"/>
  <c r="J50" i="32"/>
  <c r="L49" i="32"/>
  <c r="J48" i="32"/>
  <c r="L47" i="32"/>
  <c r="L46" i="32"/>
  <c r="J45" i="32"/>
  <c r="L42" i="32"/>
  <c r="J41" i="32"/>
  <c r="L40" i="32"/>
  <c r="J39" i="32"/>
  <c r="L38" i="32"/>
  <c r="J37" i="32"/>
  <c r="L36" i="32"/>
  <c r="J35" i="32"/>
  <c r="M232" i="32"/>
  <c r="N220" i="32"/>
  <c r="F215" i="32"/>
  <c r="C162" i="32"/>
  <c r="D151" i="32"/>
  <c r="G142" i="32"/>
  <c r="G136" i="32"/>
  <c r="H105" i="32"/>
  <c r="L77" i="32"/>
  <c r="H77" i="32"/>
  <c r="D77" i="32"/>
  <c r="J76" i="32"/>
  <c r="F76" i="32"/>
  <c r="K73" i="32"/>
  <c r="L69" i="32"/>
  <c r="H69" i="32"/>
  <c r="J68" i="32"/>
  <c r="L67" i="32"/>
  <c r="J66" i="32"/>
  <c r="L65" i="32"/>
  <c r="J64" i="32"/>
  <c r="L63" i="32"/>
  <c r="J62" i="32"/>
  <c r="L61" i="32"/>
  <c r="J60" i="32"/>
  <c r="L59" i="32"/>
  <c r="J58" i="32"/>
  <c r="L57" i="32"/>
  <c r="J56" i="32"/>
  <c r="L55" i="32"/>
  <c r="L54" i="32"/>
  <c r="J53" i="32"/>
  <c r="I52" i="32"/>
  <c r="K51" i="32"/>
  <c r="I50" i="32"/>
  <c r="K49" i="32"/>
  <c r="I48" i="32"/>
  <c r="K47" i="32"/>
  <c r="K46" i="32"/>
  <c r="I45" i="32"/>
  <c r="K42" i="32"/>
  <c r="K40" i="32"/>
  <c r="K38" i="32"/>
  <c r="K36" i="32"/>
  <c r="K34" i="32"/>
  <c r="K32" i="32"/>
  <c r="K30" i="32"/>
  <c r="K28" i="32"/>
  <c r="K24" i="32"/>
  <c r="K26" i="32"/>
  <c r="J36" i="32"/>
  <c r="L39" i="32"/>
  <c r="J47" i="32"/>
  <c r="L48" i="32"/>
  <c r="J51" i="32"/>
  <c r="L52" i="32"/>
  <c r="K55" i="32"/>
  <c r="I58" i="32"/>
  <c r="K63" i="32"/>
  <c r="I68" i="32"/>
  <c r="I70" i="32"/>
  <c r="K77" i="32"/>
  <c r="H104" i="32"/>
  <c r="Q3002" i="30"/>
  <c r="G3005" i="30"/>
  <c r="T473" i="32"/>
  <c r="I2998" i="30"/>
  <c r="T465" i="32"/>
  <c r="T443" i="32"/>
  <c r="S387" i="32"/>
  <c r="S373" i="32"/>
  <c r="T361" i="32"/>
  <c r="T353" i="32"/>
  <c r="S352" i="32"/>
  <c r="T345" i="32"/>
  <c r="S324" i="32"/>
  <c r="T317" i="32"/>
  <c r="T346" i="32"/>
  <c r="S345" i="32"/>
  <c r="T338" i="32"/>
  <c r="T318" i="32"/>
  <c r="S317" i="32"/>
  <c r="D238" i="32"/>
  <c r="C235" i="32"/>
  <c r="S394" i="32"/>
  <c r="S380" i="32"/>
  <c r="S366" i="32"/>
  <c r="T359" i="32"/>
  <c r="T347" i="32"/>
  <c r="T339" i="32"/>
  <c r="S338" i="32"/>
  <c r="T319" i="32"/>
  <c r="T311" i="32"/>
  <c r="T310" i="32"/>
  <c r="T297" i="32"/>
  <c r="M247" i="32"/>
  <c r="M246" i="32"/>
  <c r="M245" i="32"/>
  <c r="M244" i="32"/>
  <c r="C238" i="32"/>
  <c r="N232" i="32"/>
  <c r="F233" i="32"/>
  <c r="J233" i="32"/>
  <c r="N233" i="32"/>
  <c r="J235" i="32"/>
  <c r="L244" i="32"/>
  <c r="H12" i="31" s="1"/>
  <c r="L246" i="32"/>
  <c r="T312" i="32"/>
  <c r="T352" i="32"/>
  <c r="T381" i="32"/>
  <c r="S408" i="32"/>
  <c r="T445" i="32"/>
  <c r="U480" i="30"/>
  <c r="C103" i="32" s="1"/>
  <c r="U484" i="30"/>
  <c r="D104" i="32" s="1"/>
  <c r="U488" i="30"/>
  <c r="E105" i="32" s="1"/>
  <c r="U942" i="30"/>
  <c r="C203" i="32" s="1"/>
  <c r="J944" i="30"/>
  <c r="N944" i="30"/>
  <c r="R944" i="30"/>
  <c r="H948" i="30"/>
  <c r="L948" i="30"/>
  <c r="P948" i="30"/>
  <c r="T948" i="30"/>
  <c r="U951" i="30"/>
  <c r="E204" i="32" s="1"/>
  <c r="K952" i="30"/>
  <c r="O952" i="30"/>
  <c r="S952" i="30"/>
  <c r="U954" i="30"/>
  <c r="F203" i="32" s="1"/>
  <c r="J956" i="30"/>
  <c r="N956" i="30"/>
  <c r="R956" i="30"/>
  <c r="M2998" i="30"/>
  <c r="Q3000" i="30"/>
  <c r="G3003" i="30"/>
  <c r="K3005" i="30"/>
  <c r="T354" i="32"/>
  <c r="T366" i="32"/>
  <c r="T368" i="32"/>
  <c r="T374" i="32"/>
  <c r="T380" i="32"/>
  <c r="T382" i="32"/>
  <c r="T388" i="32"/>
  <c r="T394" i="32"/>
  <c r="S422" i="32"/>
  <c r="G944" i="30"/>
  <c r="K944" i="30"/>
  <c r="O944" i="30"/>
  <c r="S944" i="30"/>
  <c r="I948" i="30"/>
  <c r="M948" i="30"/>
  <c r="Q948" i="30"/>
  <c r="H952" i="30"/>
  <c r="L952" i="30"/>
  <c r="P952" i="30"/>
  <c r="T952" i="30"/>
  <c r="G956" i="30"/>
  <c r="K956" i="30"/>
  <c r="K2999" i="30"/>
  <c r="O3001" i="30"/>
  <c r="S3003" i="30"/>
  <c r="O2999" i="30"/>
  <c r="S3001" i="30"/>
  <c r="I3004" i="30"/>
  <c r="T451" i="32"/>
  <c r="T459" i="32"/>
  <c r="T471" i="32"/>
  <c r="S506" i="32"/>
  <c r="Q443" i="32"/>
  <c r="S429" i="32"/>
  <c r="S415" i="32"/>
  <c r="S401" i="32"/>
  <c r="T478" i="32"/>
  <c r="T472" i="32"/>
  <c r="T466" i="32"/>
  <c r="T464" i="32"/>
  <c r="T458" i="32"/>
  <c r="T452" i="32"/>
  <c r="T450" i="32"/>
  <c r="T444" i="32"/>
  <c r="P443" i="32"/>
  <c r="M644" i="30"/>
  <c r="S2896" i="30"/>
  <c r="G2898" i="30"/>
  <c r="I2899" i="30"/>
  <c r="K2900" i="30"/>
  <c r="M2901" i="30"/>
  <c r="O956" i="30"/>
  <c r="G2896" i="30"/>
  <c r="I2897" i="30"/>
  <c r="K2898" i="30"/>
  <c r="M2899" i="30"/>
  <c r="O2900" i="30"/>
  <c r="Q2998" i="30"/>
  <c r="S2999" i="30"/>
  <c r="G3001" i="30"/>
  <c r="I3002" i="30"/>
  <c r="K3003" i="30"/>
  <c r="M3004" i="30"/>
  <c r="O3005" i="30"/>
  <c r="K2896" i="30"/>
  <c r="M2897" i="30"/>
  <c r="O2898" i="30"/>
  <c r="Q2899" i="30"/>
  <c r="S2900" i="30"/>
  <c r="G2999" i="30"/>
  <c r="I3000" i="30"/>
  <c r="K3001" i="30"/>
  <c r="M3002" i="30"/>
  <c r="O3003" i="30"/>
  <c r="Q3004" i="30"/>
  <c r="S3005" i="30"/>
  <c r="R644" i="30"/>
  <c r="L644" i="30"/>
  <c r="O2896" i="30"/>
  <c r="Q2897" i="30"/>
  <c r="S2898" i="30"/>
  <c r="G2900" i="30"/>
  <c r="I2901" i="30"/>
  <c r="P644" i="30"/>
  <c r="T644" i="30"/>
  <c r="I644" i="30"/>
  <c r="T395" i="32"/>
  <c r="T396" i="32"/>
  <c r="T401" i="32"/>
  <c r="T402" i="32"/>
  <c r="T403" i="32"/>
  <c r="T408" i="32"/>
  <c r="T409" i="32"/>
  <c r="T410" i="32"/>
  <c r="T415" i="32"/>
  <c r="T416" i="32"/>
  <c r="T417" i="32"/>
  <c r="T422" i="32"/>
  <c r="T423" i="32"/>
  <c r="T424" i="32"/>
  <c r="T429" i="32"/>
  <c r="T430" i="32"/>
  <c r="T431" i="32"/>
  <c r="T436" i="32"/>
  <c r="T437" i="32"/>
  <c r="T438" i="32"/>
  <c r="R443" i="32"/>
  <c r="R450" i="32"/>
  <c r="T506" i="32"/>
  <c r="T507" i="32"/>
  <c r="T508" i="32"/>
  <c r="T529" i="32"/>
  <c r="U643" i="30"/>
  <c r="O443" i="32"/>
  <c r="S443" i="32"/>
  <c r="S450" i="32"/>
  <c r="S457" i="32"/>
  <c r="S464" i="32"/>
  <c r="S471" i="32"/>
  <c r="S478" i="32"/>
  <c r="S485" i="32"/>
  <c r="S486" i="32"/>
  <c r="H49" i="31" s="1"/>
  <c r="S487" i="32"/>
  <c r="I49" i="31" s="1"/>
  <c r="S492" i="32"/>
  <c r="T528" i="32"/>
  <c r="J644" i="30"/>
  <c r="T479" i="32"/>
  <c r="T480" i="32"/>
  <c r="T485" i="32"/>
  <c r="T486" i="32"/>
  <c r="T487" i="32"/>
  <c r="T492" i="32"/>
  <c r="T493" i="32"/>
  <c r="T494" i="32"/>
  <c r="T499" i="32"/>
  <c r="T500" i="32"/>
  <c r="T501" i="32"/>
  <c r="T513" i="32"/>
  <c r="T514" i="32"/>
  <c r="T515" i="32"/>
  <c r="T520" i="32"/>
  <c r="T521" i="32"/>
  <c r="T522" i="32"/>
  <c r="T527" i="32"/>
  <c r="U481" i="30"/>
  <c r="C104" i="32" s="1"/>
  <c r="U485" i="30"/>
  <c r="D105" i="32" s="1"/>
  <c r="U489" i="30"/>
  <c r="F103" i="32" s="1"/>
  <c r="G644" i="30"/>
  <c r="K644" i="30"/>
  <c r="O644" i="30"/>
  <c r="S644" i="30"/>
  <c r="H644" i="30"/>
  <c r="Q644" i="30"/>
  <c r="U482" i="30"/>
  <c r="C105" i="32" s="1"/>
  <c r="U486" i="30"/>
  <c r="E103" i="32" s="1"/>
  <c r="U490" i="30"/>
  <c r="F104" i="32" s="1"/>
  <c r="I944" i="30"/>
  <c r="M944" i="30"/>
  <c r="Q944" i="30"/>
  <c r="U945" i="30"/>
  <c r="D202" i="32" s="1"/>
  <c r="G948" i="30"/>
  <c r="K948" i="30"/>
  <c r="O948" i="30"/>
  <c r="S948" i="30"/>
  <c r="J952" i="30"/>
  <c r="N952" i="30"/>
  <c r="R952" i="30"/>
  <c r="M956" i="30"/>
  <c r="Q956" i="30"/>
  <c r="H2896" i="30"/>
  <c r="L2896" i="30"/>
  <c r="P2896" i="30"/>
  <c r="T2896" i="30"/>
  <c r="J2897" i="30"/>
  <c r="N2897" i="30"/>
  <c r="R2897" i="30"/>
  <c r="H2898" i="30"/>
  <c r="L2898" i="30"/>
  <c r="P2898" i="30"/>
  <c r="T2898" i="30"/>
  <c r="J2899" i="30"/>
  <c r="N2899" i="30"/>
  <c r="R2899" i="30"/>
  <c r="H2900" i="30"/>
  <c r="L2900" i="30"/>
  <c r="P2900" i="30"/>
  <c r="T2900" i="30"/>
  <c r="J2901" i="30"/>
  <c r="N2901" i="30"/>
  <c r="R2901" i="30"/>
  <c r="H2902" i="30"/>
  <c r="L2902" i="30"/>
  <c r="P2902" i="30"/>
  <c r="T2902" i="30"/>
  <c r="J2903" i="30"/>
  <c r="N2903" i="30"/>
  <c r="R2903" i="30"/>
  <c r="G2904" i="30"/>
  <c r="K2904" i="30"/>
  <c r="O2904" i="30"/>
  <c r="S2904" i="30"/>
  <c r="I2905" i="30"/>
  <c r="M2905" i="30"/>
  <c r="Q2905" i="30"/>
  <c r="G2906" i="30"/>
  <c r="L2906" i="30"/>
  <c r="R2906" i="30"/>
  <c r="I2907" i="30"/>
  <c r="N2907" i="30"/>
  <c r="T2907" i="30"/>
  <c r="K2908" i="30"/>
  <c r="P2908" i="30"/>
  <c r="H2909" i="30"/>
  <c r="M2909" i="30"/>
  <c r="R2909" i="30"/>
  <c r="J2910" i="30"/>
  <c r="O2910" i="30"/>
  <c r="T2910" i="30"/>
  <c r="M2911" i="30"/>
  <c r="I2896" i="30"/>
  <c r="M2896" i="30"/>
  <c r="Q2896" i="30"/>
  <c r="G2897" i="30"/>
  <c r="K2897" i="30"/>
  <c r="O2897" i="30"/>
  <c r="S2897" i="30"/>
  <c r="I2898" i="30"/>
  <c r="M2898" i="30"/>
  <c r="Q2898" i="30"/>
  <c r="G2899" i="30"/>
  <c r="K2899" i="30"/>
  <c r="O2899" i="30"/>
  <c r="S2899" i="30"/>
  <c r="I2900" i="30"/>
  <c r="M2900" i="30"/>
  <c r="Q2900" i="30"/>
  <c r="G2901" i="30"/>
  <c r="K2901" i="30"/>
  <c r="O2901" i="30"/>
  <c r="S2901" i="30"/>
  <c r="I2902" i="30"/>
  <c r="M2902" i="30"/>
  <c r="Q2902" i="30"/>
  <c r="G2903" i="30"/>
  <c r="K2903" i="30"/>
  <c r="O2903" i="30"/>
  <c r="S2903" i="30"/>
  <c r="H2904" i="30"/>
  <c r="L2904" i="30"/>
  <c r="P2904" i="30"/>
  <c r="T2904" i="30"/>
  <c r="J2905" i="30"/>
  <c r="N2905" i="30"/>
  <c r="R2905" i="30"/>
  <c r="H2906" i="30"/>
  <c r="N2906" i="30"/>
  <c r="S2906" i="30"/>
  <c r="J2907" i="30"/>
  <c r="P2907" i="30"/>
  <c r="G2908" i="30"/>
  <c r="L2908" i="30"/>
  <c r="R2908" i="30"/>
  <c r="I2909" i="30"/>
  <c r="N2909" i="30"/>
  <c r="T2909" i="30"/>
  <c r="K2910" i="30"/>
  <c r="P2910" i="30"/>
  <c r="H2911" i="30"/>
  <c r="P2911" i="30"/>
  <c r="U950" i="30"/>
  <c r="E203" i="32" s="1"/>
  <c r="S956" i="30"/>
  <c r="J2896" i="30"/>
  <c r="N2896" i="30"/>
  <c r="R2896" i="30"/>
  <c r="H2897" i="30"/>
  <c r="L2897" i="30"/>
  <c r="P2897" i="30"/>
  <c r="T2897" i="30"/>
  <c r="J2898" i="30"/>
  <c r="N2898" i="30"/>
  <c r="R2898" i="30"/>
  <c r="H2899" i="30"/>
  <c r="L2899" i="30"/>
  <c r="P2899" i="30"/>
  <c r="T2899" i="30"/>
  <c r="J2900" i="30"/>
  <c r="N2900" i="30"/>
  <c r="R2900" i="30"/>
  <c r="H2901" i="30"/>
  <c r="L2901" i="30"/>
  <c r="P2901" i="30"/>
  <c r="T2901" i="30"/>
  <c r="J2902" i="30"/>
  <c r="N2902" i="30"/>
  <c r="R2902" i="30"/>
  <c r="H2903" i="30"/>
  <c r="L2903" i="30"/>
  <c r="P2903" i="30"/>
  <c r="T2903" i="30"/>
  <c r="I2904" i="30"/>
  <c r="M2904" i="30"/>
  <c r="Q2904" i="30"/>
  <c r="G2905" i="30"/>
  <c r="K2905" i="30"/>
  <c r="O2905" i="30"/>
  <c r="S2905" i="30"/>
  <c r="J2906" i="30"/>
  <c r="O2906" i="30"/>
  <c r="T2906" i="30"/>
  <c r="L2907" i="30"/>
  <c r="Q2907" i="30"/>
  <c r="H2908" i="30"/>
  <c r="N2908" i="30"/>
  <c r="S2908" i="30"/>
  <c r="J2909" i="30"/>
  <c r="P2909" i="30"/>
  <c r="G2910" i="30"/>
  <c r="L2910" i="30"/>
  <c r="R2910" i="30"/>
  <c r="I2911" i="30"/>
  <c r="U483" i="30"/>
  <c r="D103" i="32" s="1"/>
  <c r="U487" i="30"/>
  <c r="E104" i="32" s="1"/>
  <c r="U491" i="30"/>
  <c r="F105" i="32" s="1"/>
  <c r="H944" i="30"/>
  <c r="L944" i="30"/>
  <c r="P944" i="30"/>
  <c r="T944" i="30"/>
  <c r="U946" i="30"/>
  <c r="D203" i="32" s="1"/>
  <c r="J948" i="30"/>
  <c r="N948" i="30"/>
  <c r="R948" i="30"/>
  <c r="I952" i="30"/>
  <c r="M952" i="30"/>
  <c r="Q952" i="30"/>
  <c r="L956" i="30"/>
  <c r="P956" i="30"/>
  <c r="T956" i="30"/>
  <c r="Q2901" i="30"/>
  <c r="G2902" i="30"/>
  <c r="K2902" i="30"/>
  <c r="O2902" i="30"/>
  <c r="S2902" i="30"/>
  <c r="I2903" i="30"/>
  <c r="M2903" i="30"/>
  <c r="S2911" i="30"/>
  <c r="O2911" i="30"/>
  <c r="K2911" i="30"/>
  <c r="G2911" i="30"/>
  <c r="Q2910" i="30"/>
  <c r="M2910" i="30"/>
  <c r="I2910" i="30"/>
  <c r="S2909" i="30"/>
  <c r="O2909" i="30"/>
  <c r="K2909" i="30"/>
  <c r="G2909" i="30"/>
  <c r="Q2908" i="30"/>
  <c r="M2908" i="30"/>
  <c r="I2908" i="30"/>
  <c r="S2907" i="30"/>
  <c r="O2907" i="30"/>
  <c r="K2907" i="30"/>
  <c r="G2907" i="30"/>
  <c r="Q2906" i="30"/>
  <c r="M2906" i="30"/>
  <c r="I2906" i="30"/>
  <c r="R2911" i="30"/>
  <c r="N2911" i="30"/>
  <c r="J2911" i="30"/>
  <c r="J2904" i="30"/>
  <c r="N2904" i="30"/>
  <c r="R2904" i="30"/>
  <c r="H2905" i="30"/>
  <c r="L2905" i="30"/>
  <c r="P2905" i="30"/>
  <c r="T2905" i="30"/>
  <c r="K2906" i="30"/>
  <c r="P2906" i="30"/>
  <c r="H2907" i="30"/>
  <c r="M2907" i="30"/>
  <c r="R2907" i="30"/>
  <c r="J2908" i="30"/>
  <c r="O2908" i="30"/>
  <c r="T2908" i="30"/>
  <c r="L2909" i="30"/>
  <c r="Q2909" i="30"/>
  <c r="H2910" i="30"/>
  <c r="N2910" i="30"/>
  <c r="S2910" i="30"/>
  <c r="L2911" i="30"/>
  <c r="T2911" i="30"/>
  <c r="J2998" i="30"/>
  <c r="N2998" i="30"/>
  <c r="R2998" i="30"/>
  <c r="H2999" i="30"/>
  <c r="L2999" i="30"/>
  <c r="P2999" i="30"/>
  <c r="T2999" i="30"/>
  <c r="J3000" i="30"/>
  <c r="N3000" i="30"/>
  <c r="R3000" i="30"/>
  <c r="H3001" i="30"/>
  <c r="L3001" i="30"/>
  <c r="P3001" i="30"/>
  <c r="T3001" i="30"/>
  <c r="J3002" i="30"/>
  <c r="N3002" i="30"/>
  <c r="R3002" i="30"/>
  <c r="H3003" i="30"/>
  <c r="L3003" i="30"/>
  <c r="P3003" i="30"/>
  <c r="T3003" i="30"/>
  <c r="J3004" i="30"/>
  <c r="N3004" i="30"/>
  <c r="R3004" i="30"/>
  <c r="H3005" i="30"/>
  <c r="L3005" i="30"/>
  <c r="P3005" i="30"/>
  <c r="T3005" i="30"/>
  <c r="G2998" i="30"/>
  <c r="K2998" i="30"/>
  <c r="O2998" i="30"/>
  <c r="S2998" i="30"/>
  <c r="I2999" i="30"/>
  <c r="M2999" i="30"/>
  <c r="Q2999" i="30"/>
  <c r="G3000" i="30"/>
  <c r="K3000" i="30"/>
  <c r="O3000" i="30"/>
  <c r="S3000" i="30"/>
  <c r="I3001" i="30"/>
  <c r="M3001" i="30"/>
  <c r="Q3001" i="30"/>
  <c r="G3002" i="30"/>
  <c r="K3002" i="30"/>
  <c r="O3002" i="30"/>
  <c r="S3002" i="30"/>
  <c r="I3003" i="30"/>
  <c r="M3003" i="30"/>
  <c r="Q3003" i="30"/>
  <c r="G3004" i="30"/>
  <c r="K3004" i="30"/>
  <c r="O3004" i="30"/>
  <c r="S3004" i="30"/>
  <c r="I3005" i="30"/>
  <c r="M3005" i="30"/>
  <c r="Q3005" i="30"/>
  <c r="H2998" i="30"/>
  <c r="L2998" i="30"/>
  <c r="P2998" i="30"/>
  <c r="T2998" i="30"/>
  <c r="J2999" i="30"/>
  <c r="N2999" i="30"/>
  <c r="R2999" i="30"/>
  <c r="H3000" i="30"/>
  <c r="L3000" i="30"/>
  <c r="P3000" i="30"/>
  <c r="T3000" i="30"/>
  <c r="J3001" i="30"/>
  <c r="N3001" i="30"/>
  <c r="R3001" i="30"/>
  <c r="H3002" i="30"/>
  <c r="L3002" i="30"/>
  <c r="P3002" i="30"/>
  <c r="T3002" i="30"/>
  <c r="J3003" i="30"/>
  <c r="N3003" i="30"/>
  <c r="R3003" i="30"/>
  <c r="H3004" i="30"/>
  <c r="L3004" i="30"/>
  <c r="P3004" i="30"/>
  <c r="T3004" i="30"/>
  <c r="J3005" i="30"/>
  <c r="N3005" i="30"/>
  <c r="I12" i="6"/>
  <c r="C202" i="32"/>
  <c r="V52" i="10"/>
  <c r="V47" i="10"/>
  <c r="V45" i="10"/>
  <c r="V42" i="10"/>
  <c r="V44" i="10"/>
  <c r="U56" i="10"/>
  <c r="F27" i="10" s="1"/>
  <c r="V55" i="10"/>
  <c r="V48" i="10"/>
  <c r="P95" i="10"/>
  <c r="K12" i="6"/>
  <c r="E72" i="15"/>
  <c r="G654" i="30" s="1" a="1"/>
  <c r="G654" i="30" s="1"/>
  <c r="H110" i="15"/>
  <c r="H130" i="15" s="1"/>
  <c r="AQ44" i="10"/>
  <c r="AQ45" i="10"/>
  <c r="V54" i="10"/>
  <c r="O85" i="10"/>
  <c r="M99" i="10"/>
  <c r="V87" i="10"/>
  <c r="O96" i="10"/>
  <c r="H8" i="6"/>
  <c r="I1043" i="30"/>
  <c r="G186" i="26"/>
  <c r="I1044" i="30" s="1"/>
  <c r="Q1043" i="30"/>
  <c r="O186" i="26"/>
  <c r="Q1044" i="30" s="1"/>
  <c r="E76" i="15"/>
  <c r="K79" i="15"/>
  <c r="I80" i="15"/>
  <c r="G83" i="15"/>
  <c r="E84" i="15"/>
  <c r="K87" i="15"/>
  <c r="I88" i="15"/>
  <c r="Z52" i="10"/>
  <c r="Z47" i="10"/>
  <c r="Z45" i="10"/>
  <c r="Z42" i="10"/>
  <c r="Y56" i="10"/>
  <c r="I27" i="10" s="1"/>
  <c r="Z44" i="10"/>
  <c r="Z48" i="10"/>
  <c r="AH50" i="10"/>
  <c r="V50" i="10"/>
  <c r="Z55" i="10"/>
  <c r="Q79" i="10"/>
  <c r="R44" i="9"/>
  <c r="Q44" i="9"/>
  <c r="I1047" i="30"/>
  <c r="G192" i="26"/>
  <c r="I1048" i="30" s="1"/>
  <c r="Q1047" i="30"/>
  <c r="O192" i="26"/>
  <c r="Q1048" i="30" s="1"/>
  <c r="AC56" i="10"/>
  <c r="AD56" i="10"/>
  <c r="W92" i="10"/>
  <c r="F110" i="15"/>
  <c r="F130" i="15" s="1"/>
  <c r="AH44" i="10"/>
  <c r="X55" i="10"/>
  <c r="AH55" i="10"/>
  <c r="AN59" i="10"/>
  <c r="AC89" i="10"/>
  <c r="AD89" i="10" s="1"/>
  <c r="I76" i="15"/>
  <c r="G79" i="15"/>
  <c r="E80" i="15"/>
  <c r="K83" i="15"/>
  <c r="I84" i="15"/>
  <c r="G87" i="15"/>
  <c r="E88" i="15"/>
  <c r="I283" i="15"/>
  <c r="J277" i="15"/>
  <c r="N277" i="15"/>
  <c r="M283" i="15"/>
  <c r="F277" i="15"/>
  <c r="F145" i="11"/>
  <c r="AQ42" i="10"/>
  <c r="AE47" i="10"/>
  <c r="AO48" i="10"/>
  <c r="AB155" i="15"/>
  <c r="G277" i="15"/>
  <c r="J283" i="15"/>
  <c r="N283" i="15"/>
  <c r="G283" i="15"/>
  <c r="O283" i="15"/>
  <c r="I277" i="15"/>
  <c r="M277" i="15"/>
  <c r="F284" i="15"/>
  <c r="N284" i="15"/>
  <c r="O284" i="15"/>
  <c r="S284" i="15"/>
  <c r="L285" i="15"/>
  <c r="P285" i="15"/>
  <c r="E285" i="15"/>
  <c r="I285" i="15"/>
  <c r="Q285" i="15"/>
  <c r="E286" i="15"/>
  <c r="M286" i="15"/>
  <c r="Q286" i="15"/>
  <c r="F286" i="15"/>
  <c r="J286" i="15"/>
  <c r="R286" i="15"/>
  <c r="F287" i="15"/>
  <c r="N287" i="15"/>
  <c r="R287" i="15"/>
  <c r="G287" i="15"/>
  <c r="K287" i="15"/>
  <c r="S287" i="15"/>
  <c r="H288" i="15"/>
  <c r="L288" i="15"/>
  <c r="N288" i="15"/>
  <c r="Q283" i="15"/>
  <c r="G88" i="11"/>
  <c r="G107" i="11"/>
  <c r="F126" i="11"/>
  <c r="X48" i="10"/>
  <c r="Z43" i="10"/>
  <c r="AE45" i="10"/>
  <c r="X46" i="10"/>
  <c r="X47" i="10"/>
  <c r="V51" i="10"/>
  <c r="X52" i="10"/>
  <c r="X53" i="10"/>
  <c r="Z54" i="10"/>
  <c r="Y59" i="10"/>
  <c r="AE49" i="10" s="1"/>
  <c r="I1051" i="30"/>
  <c r="G198" i="26"/>
  <c r="I1052" i="30" s="1"/>
  <c r="Q1051" i="30"/>
  <c r="O198" i="26"/>
  <c r="Q1052" i="30" s="1"/>
  <c r="H80" i="15"/>
  <c r="H84" i="15"/>
  <c r="H88" i="15"/>
  <c r="J89" i="15"/>
  <c r="AD155" i="15"/>
  <c r="AD157" i="15"/>
  <c r="AD159" i="15"/>
  <c r="AD161" i="15"/>
  <c r="AD163" i="15"/>
  <c r="F190" i="15"/>
  <c r="J190" i="15"/>
  <c r="N190" i="15"/>
  <c r="R190" i="15"/>
  <c r="H283" i="15"/>
  <c r="L283" i="15"/>
  <c r="P283" i="15"/>
  <c r="F285" i="15"/>
  <c r="N285" i="15"/>
  <c r="R285" i="15"/>
  <c r="G286" i="15"/>
  <c r="K286" i="15"/>
  <c r="O286" i="15"/>
  <c r="S286" i="15"/>
  <c r="H287" i="15"/>
  <c r="L287" i="15"/>
  <c r="O277" i="15"/>
  <c r="G782" i="30" a="1"/>
  <c r="E328" i="15"/>
  <c r="AE42" i="10"/>
  <c r="AQ43" i="10"/>
  <c r="X44" i="10"/>
  <c r="AB44" i="10"/>
  <c r="AM45" i="10"/>
  <c r="AE46" i="10"/>
  <c r="V46" i="10"/>
  <c r="AB49" i="10"/>
  <c r="X51" i="10"/>
  <c r="AH51" i="10"/>
  <c r="AQ51" i="10"/>
  <c r="AH53" i="10"/>
  <c r="V53" i="10"/>
  <c r="AO53" i="10"/>
  <c r="X54" i="10"/>
  <c r="AH54" i="10"/>
  <c r="AQ54" i="10"/>
  <c r="AB55" i="10"/>
  <c r="AQ55" i="10"/>
  <c r="V86" i="10"/>
  <c r="H14" i="9"/>
  <c r="I14" i="9"/>
  <c r="T28" i="9"/>
  <c r="U28" i="9" s="1"/>
  <c r="T29" i="9"/>
  <c r="U29" i="9" s="1"/>
  <c r="Z35" i="9"/>
  <c r="AA35" i="9" s="1"/>
  <c r="AE49" i="9"/>
  <c r="H113" i="9"/>
  <c r="R12" i="6"/>
  <c r="T12" i="6" s="1"/>
  <c r="O12" i="6"/>
  <c r="P12" i="6" s="1"/>
  <c r="K1001" i="30"/>
  <c r="E39" i="26"/>
  <c r="H1043" i="30"/>
  <c r="F186" i="26"/>
  <c r="H1044" i="30" s="1"/>
  <c r="L1043" i="30"/>
  <c r="J186" i="26"/>
  <c r="L1044" i="30" s="1"/>
  <c r="P1043" i="30"/>
  <c r="N186" i="26"/>
  <c r="P1044" i="30" s="1"/>
  <c r="T1043" i="30"/>
  <c r="R186" i="26"/>
  <c r="T1044" i="30" s="1"/>
  <c r="H1047" i="30"/>
  <c r="F192" i="26"/>
  <c r="H1048" i="30" s="1"/>
  <c r="L1047" i="30"/>
  <c r="J192" i="26"/>
  <c r="L1048" i="30" s="1"/>
  <c r="P1047" i="30"/>
  <c r="N192" i="26"/>
  <c r="P1048" i="30" s="1"/>
  <c r="T1047" i="30"/>
  <c r="R192" i="26"/>
  <c r="T1048" i="30" s="1"/>
  <c r="H1051" i="30"/>
  <c r="F198" i="26"/>
  <c r="H1052" i="30" s="1"/>
  <c r="L1051" i="30"/>
  <c r="J198" i="26"/>
  <c r="L1052" i="30" s="1"/>
  <c r="N198" i="26"/>
  <c r="P1052" i="30" s="1"/>
  <c r="T1051" i="30"/>
  <c r="R198" i="26"/>
  <c r="T1052" i="30" s="1"/>
  <c r="E284" i="15"/>
  <c r="I284" i="15"/>
  <c r="Q284" i="15"/>
  <c r="R283" i="15"/>
  <c r="G179" i="30" a="1"/>
  <c r="G231" i="30" a="1"/>
  <c r="AH42" i="10"/>
  <c r="AM43" i="10"/>
  <c r="AH45" i="10"/>
  <c r="AH47" i="10"/>
  <c r="AQ47" i="10"/>
  <c r="AB48" i="10"/>
  <c r="Z49" i="10"/>
  <c r="AM49" i="10"/>
  <c r="AB50" i="10"/>
  <c r="AE54" i="10"/>
  <c r="AM55" i="10"/>
  <c r="H88" i="10"/>
  <c r="I88" i="10" s="1"/>
  <c r="AC90" i="10"/>
  <c r="AD90" i="10" s="1"/>
  <c r="O93" i="10"/>
  <c r="AC94" i="10"/>
  <c r="AD94" i="10" s="1"/>
  <c r="AC95" i="10"/>
  <c r="AD95" i="10" s="1"/>
  <c r="E90" i="9"/>
  <c r="E91" i="9"/>
  <c r="E92" i="9"/>
  <c r="E93" i="9"/>
  <c r="E94" i="9"/>
  <c r="F12" i="6"/>
  <c r="J12" i="6"/>
  <c r="P11" i="6"/>
  <c r="G12" i="6"/>
  <c r="E47" i="26"/>
  <c r="AD156" i="15"/>
  <c r="AD158" i="15"/>
  <c r="AD160" i="15"/>
  <c r="AD162" i="15"/>
  <c r="AD164" i="15"/>
  <c r="E77" i="15"/>
  <c r="I77" i="15"/>
  <c r="G78" i="15"/>
  <c r="K78" i="15"/>
  <c r="E81" i="15"/>
  <c r="I81" i="15"/>
  <c r="G82" i="15"/>
  <c r="K82" i="15"/>
  <c r="E85" i="15"/>
  <c r="I85" i="15"/>
  <c r="G86" i="15"/>
  <c r="K86" i="15"/>
  <c r="E89" i="15"/>
  <c r="I89" i="15"/>
  <c r="H277" i="15"/>
  <c r="L277" i="15"/>
  <c r="P277" i="15"/>
  <c r="I288" i="15"/>
  <c r="M288" i="15"/>
  <c r="E288" i="15"/>
  <c r="G768" i="30" a="1"/>
  <c r="E309" i="15"/>
  <c r="G67" i="11"/>
  <c r="F88" i="11"/>
  <c r="BD42" i="10"/>
  <c r="AM44" i="10"/>
  <c r="BL44" i="10"/>
  <c r="Z46" i="10"/>
  <c r="AW46" i="10"/>
  <c r="BL46" i="10"/>
  <c r="AM52" i="10"/>
  <c r="AW48" i="10"/>
  <c r="AH49" i="10"/>
  <c r="V49" i="10"/>
  <c r="X50" i="10"/>
  <c r="AQ50" i="10"/>
  <c r="AB51" i="10"/>
  <c r="Z53" i="10"/>
  <c r="AB54" i="10"/>
  <c r="H79" i="10"/>
  <c r="F99" i="10"/>
  <c r="AC86" i="10"/>
  <c r="AD86" i="10" s="1"/>
  <c r="AC98" i="10"/>
  <c r="AD98" i="10" s="1"/>
  <c r="Z28" i="9"/>
  <c r="AA28" i="9" s="1"/>
  <c r="AF53" i="9"/>
  <c r="Y49" i="9"/>
  <c r="P9" i="6"/>
  <c r="E35" i="26"/>
  <c r="M186" i="26"/>
  <c r="O1044" i="30" s="1"/>
  <c r="M192" i="26"/>
  <c r="O1048" i="30" s="1"/>
  <c r="M198" i="26"/>
  <c r="O1052" i="30" s="1"/>
  <c r="H77" i="15"/>
  <c r="F78" i="15"/>
  <c r="J78" i="15"/>
  <c r="H79" i="15"/>
  <c r="H81" i="15"/>
  <c r="F82" i="15"/>
  <c r="J82" i="15"/>
  <c r="H83" i="15"/>
  <c r="H85" i="15"/>
  <c r="F86" i="15"/>
  <c r="J86" i="15"/>
  <c r="H87" i="15"/>
  <c r="H89" i="15"/>
  <c r="E110" i="15"/>
  <c r="E130" i="15" s="1"/>
  <c r="G205" i="30" a="1"/>
  <c r="G257" i="30" a="1"/>
  <c r="G377" i="30" a="1"/>
  <c r="AO43" i="10"/>
  <c r="AW44" i="10"/>
  <c r="AO45" i="10"/>
  <c r="AT46" i="10"/>
  <c r="AQ52" i="10"/>
  <c r="AM50" i="10"/>
  <c r="AM51" i="10"/>
  <c r="AO52" i="10"/>
  <c r="AM54" i="10"/>
  <c r="E79" i="10"/>
  <c r="I79" i="10"/>
  <c r="H89" i="10"/>
  <c r="I89" i="10" s="1"/>
  <c r="H93" i="10"/>
  <c r="I93" i="10" s="1"/>
  <c r="H94" i="10"/>
  <c r="I94" i="10" s="1"/>
  <c r="S99" i="10"/>
  <c r="Z26" i="9"/>
  <c r="AA26" i="9" s="1"/>
  <c r="Z30" i="9"/>
  <c r="AA30" i="9" s="1"/>
  <c r="F90" i="9"/>
  <c r="F91" i="9"/>
  <c r="F92" i="9"/>
  <c r="F93" i="9"/>
  <c r="F94" i="9"/>
  <c r="Q113" i="9"/>
  <c r="U943" i="30"/>
  <c r="U947" i="30"/>
  <c r="G952" i="30"/>
  <c r="U955" i="30"/>
  <c r="R999" i="30"/>
  <c r="H999" i="30"/>
  <c r="R1014" i="30"/>
  <c r="H1014" i="30"/>
  <c r="L1014" i="30"/>
  <c r="L1009" i="30"/>
  <c r="U648" i="30"/>
  <c r="U650" i="30"/>
  <c r="F77" i="15"/>
  <c r="J77" i="15"/>
  <c r="F79" i="15"/>
  <c r="J79" i="15"/>
  <c r="F81" i="15"/>
  <c r="J81" i="15"/>
  <c r="F83" i="15"/>
  <c r="J83" i="15"/>
  <c r="F85" i="15"/>
  <c r="J85" i="15"/>
  <c r="F89" i="15"/>
  <c r="Q396" i="11"/>
  <c r="R396" i="11" s="1"/>
  <c r="U647" i="30"/>
  <c r="E396" i="11"/>
  <c r="F396" i="11" s="1"/>
  <c r="K51" i="9"/>
  <c r="H25" i="9"/>
  <c r="I25" i="9" s="1"/>
  <c r="T36" i="9"/>
  <c r="U36" i="9" s="1"/>
  <c r="AE43" i="9"/>
  <c r="J46" i="9"/>
  <c r="X49" i="9"/>
  <c r="J51" i="9"/>
  <c r="L113" i="9"/>
  <c r="H15" i="9"/>
  <c r="H26" i="9"/>
  <c r="Z27" i="9"/>
  <c r="AA27" i="9" s="1"/>
  <c r="Z31" i="9"/>
  <c r="AA31" i="9" s="1"/>
  <c r="T33" i="9"/>
  <c r="U33" i="9" s="1"/>
  <c r="T35" i="9"/>
  <c r="U35" i="9" s="1"/>
  <c r="K54" i="9"/>
  <c r="K44" i="9"/>
  <c r="T26" i="9"/>
  <c r="U26" i="9" s="1"/>
  <c r="Z29" i="9"/>
  <c r="AA29" i="9" s="1"/>
  <c r="Z32" i="9"/>
  <c r="AA32" i="9" s="1"/>
  <c r="T34" i="9"/>
  <c r="U34" i="9" s="1"/>
  <c r="J43" i="9"/>
  <c r="Y43" i="9"/>
  <c r="R47" i="9"/>
  <c r="Y45" i="9"/>
  <c r="R49" i="9"/>
  <c r="G90" i="9"/>
  <c r="G91" i="9"/>
  <c r="G92" i="9"/>
  <c r="G93" i="9"/>
  <c r="G94" i="9"/>
  <c r="O84" i="26"/>
  <c r="Q1006" i="30"/>
  <c r="R1006" i="30"/>
  <c r="P84" i="26"/>
  <c r="N66" i="26"/>
  <c r="J75" i="26"/>
  <c r="K66" i="26"/>
  <c r="O75" i="26"/>
  <c r="E41" i="26"/>
  <c r="E48" i="26"/>
  <c r="H66" i="26"/>
  <c r="L66" i="26"/>
  <c r="P75" i="26"/>
  <c r="E38" i="26"/>
  <c r="E42" i="26"/>
  <c r="E45" i="26"/>
  <c r="E66" i="26"/>
  <c r="I66" i="26"/>
  <c r="M66" i="26"/>
  <c r="Q66" i="26"/>
  <c r="E75" i="26"/>
  <c r="I75" i="26"/>
  <c r="M75" i="26"/>
  <c r="Q75" i="26"/>
  <c r="I1001" i="30"/>
  <c r="M1001" i="30"/>
  <c r="Q1001" i="30"/>
  <c r="F66" i="26"/>
  <c r="N75" i="26"/>
  <c r="J1001" i="30"/>
  <c r="N1001" i="30"/>
  <c r="R1001" i="30"/>
  <c r="J66" i="26"/>
  <c r="R75" i="26"/>
  <c r="G75" i="26"/>
  <c r="R66" i="26"/>
  <c r="F75" i="26"/>
  <c r="E36" i="26"/>
  <c r="E40" i="26"/>
  <c r="G66" i="26"/>
  <c r="E44" i="26"/>
  <c r="G906" i="30" a="1"/>
  <c r="T909" i="30" s="1"/>
  <c r="J113" i="9"/>
  <c r="P113" i="9"/>
  <c r="R100" i="9"/>
  <c r="M103" i="9"/>
  <c r="R104" i="9"/>
  <c r="M107" i="9"/>
  <c r="R108" i="9"/>
  <c r="M111" i="9"/>
  <c r="R112" i="9"/>
  <c r="M101" i="9"/>
  <c r="R102" i="9"/>
  <c r="M105" i="9"/>
  <c r="R106" i="9"/>
  <c r="H89" i="9"/>
  <c r="W104" i="9"/>
  <c r="W112" i="9"/>
  <c r="W100" i="9"/>
  <c r="W108" i="9"/>
  <c r="W99" i="9"/>
  <c r="W103" i="9"/>
  <c r="W107" i="9"/>
  <c r="W111" i="9"/>
  <c r="H92" i="9"/>
  <c r="H93" i="9"/>
  <c r="V113" i="9"/>
  <c r="W101" i="9"/>
  <c r="W105" i="9"/>
  <c r="W102" i="9"/>
  <c r="W106" i="9"/>
  <c r="H91" i="9"/>
  <c r="H94" i="9"/>
  <c r="Z36" i="9"/>
  <c r="AA36" i="9" s="1"/>
  <c r="AF45" i="9"/>
  <c r="K46" i="9"/>
  <c r="K53" i="9"/>
  <c r="J56" i="9"/>
  <c r="K56" i="9"/>
  <c r="E113" i="9"/>
  <c r="N24" i="9"/>
  <c r="T24" i="9"/>
  <c r="T27" i="9"/>
  <c r="R43" i="9"/>
  <c r="R46" i="9"/>
  <c r="K47" i="9"/>
  <c r="Y48" i="9"/>
  <c r="Y50" i="9"/>
  <c r="AF50" i="9"/>
  <c r="Y51" i="9"/>
  <c r="K52" i="9"/>
  <c r="J52" i="9"/>
  <c r="Y53" i="9"/>
  <c r="AF55" i="9"/>
  <c r="AE55" i="9"/>
  <c r="E81" i="9"/>
  <c r="E83" i="9"/>
  <c r="E85" i="9"/>
  <c r="T113" i="9"/>
  <c r="Y54" i="9"/>
  <c r="X54" i="9"/>
  <c r="H16" i="9"/>
  <c r="Z24" i="9"/>
  <c r="Z25" i="9"/>
  <c r="T31" i="9"/>
  <c r="K43" i="9"/>
  <c r="Y44" i="9"/>
  <c r="Y46" i="9"/>
  <c r="AF46" i="9"/>
  <c r="Y47" i="9"/>
  <c r="K48" i="9"/>
  <c r="R48" i="9"/>
  <c r="K49" i="9"/>
  <c r="AF49" i="9"/>
  <c r="K50" i="9"/>
  <c r="AF51" i="9"/>
  <c r="R52" i="9"/>
  <c r="Y52" i="9"/>
  <c r="R54" i="9"/>
  <c r="K55" i="9"/>
  <c r="R55" i="9"/>
  <c r="AF56" i="9"/>
  <c r="H81" i="9"/>
  <c r="H83" i="9"/>
  <c r="H85" i="9"/>
  <c r="M99" i="9"/>
  <c r="R99" i="9"/>
  <c r="R51" i="9"/>
  <c r="K45" i="9"/>
  <c r="AF47" i="9"/>
  <c r="AF48" i="9"/>
  <c r="E80" i="9"/>
  <c r="E82" i="9"/>
  <c r="E84" i="9"/>
  <c r="O113" i="9"/>
  <c r="I16" i="9"/>
  <c r="T23" i="9"/>
  <c r="Z23" i="9"/>
  <c r="I15" i="9"/>
  <c r="Z33" i="9"/>
  <c r="H36" i="9"/>
  <c r="AF43" i="9"/>
  <c r="J44" i="9"/>
  <c r="AF44" i="9"/>
  <c r="R45" i="9"/>
  <c r="AE47" i="9"/>
  <c r="Q49" i="9"/>
  <c r="R50" i="9"/>
  <c r="AF52" i="9"/>
  <c r="R53" i="9"/>
  <c r="Q53" i="9"/>
  <c r="AF54" i="9"/>
  <c r="Y55" i="9"/>
  <c r="R56" i="9"/>
  <c r="Y56" i="9"/>
  <c r="H80" i="9"/>
  <c r="H82" i="9"/>
  <c r="H84" i="9"/>
  <c r="F80" i="9"/>
  <c r="F81" i="9"/>
  <c r="F82" i="9"/>
  <c r="F83" i="9"/>
  <c r="F84" i="9"/>
  <c r="F85" i="9"/>
  <c r="G80" i="9"/>
  <c r="G81" i="9"/>
  <c r="G82" i="9"/>
  <c r="G83" i="9"/>
  <c r="G84" i="9"/>
  <c r="G85" i="9"/>
  <c r="U113" i="9"/>
  <c r="Z99" i="10"/>
  <c r="AD87" i="10"/>
  <c r="AD88" i="10"/>
  <c r="AA99" i="10"/>
  <c r="AC85" i="10"/>
  <c r="I87" i="10"/>
  <c r="I91" i="10"/>
  <c r="H85" i="10"/>
  <c r="E99" i="10"/>
  <c r="AO46" i="10"/>
  <c r="AM53" i="10"/>
  <c r="AK55" i="10"/>
  <c r="AQ46" i="10"/>
  <c r="AT48" i="10"/>
  <c r="AQ49" i="10"/>
  <c r="AW55" i="10"/>
  <c r="AK42" i="10"/>
  <c r="AO42" i="10"/>
  <c r="AT42" i="10"/>
  <c r="AK45" i="10"/>
  <c r="AT45" i="10"/>
  <c r="AM46" i="10"/>
  <c r="AO47" i="10"/>
  <c r="AW49" i="10"/>
  <c r="AK52" i="10"/>
  <c r="AW54" i="10"/>
  <c r="AW43" i="10"/>
  <c r="AW47" i="10"/>
  <c r="AO51" i="10"/>
  <c r="AL56" i="10"/>
  <c r="G28" i="10" s="1"/>
  <c r="AJ59" i="10"/>
  <c r="AK43" i="10"/>
  <c r="AM47" i="10"/>
  <c r="AP56" i="10"/>
  <c r="J28" i="10" s="1"/>
  <c r="AT47" i="10"/>
  <c r="AK47" i="10"/>
  <c r="AK48" i="10"/>
  <c r="AQ48" i="10"/>
  <c r="AK49" i="10"/>
  <c r="AO49" i="10"/>
  <c r="AT49" i="10"/>
  <c r="AO50" i="10"/>
  <c r="AK53" i="10"/>
  <c r="AQ53" i="10"/>
  <c r="AK54" i="10"/>
  <c r="AO54" i="10"/>
  <c r="AT54" i="10"/>
  <c r="AO55" i="10"/>
  <c r="AJ56" i="10"/>
  <c r="F28" i="10" s="1"/>
  <c r="AO44" i="10"/>
  <c r="AK46" i="10"/>
  <c r="AK44" i="10"/>
  <c r="AM48" i="10"/>
  <c r="AT50" i="10"/>
  <c r="AK50" i="10"/>
  <c r="AW42" i="10"/>
  <c r="AK51" i="10"/>
  <c r="BD49" i="10"/>
  <c r="BL52" i="10"/>
  <c r="BL53" i="10"/>
  <c r="BD45" i="10"/>
  <c r="BD47" i="10"/>
  <c r="BD50" i="10"/>
  <c r="BD51" i="10"/>
  <c r="BF52" i="10"/>
  <c r="BF53" i="10"/>
  <c r="BB55" i="10"/>
  <c r="F79" i="10"/>
  <c r="BL43" i="10"/>
  <c r="AZ42" i="10"/>
  <c r="BB49" i="10"/>
  <c r="BD44" i="10"/>
  <c r="L43" i="10"/>
  <c r="R46" i="10"/>
  <c r="BD46" i="10"/>
  <c r="BD48" i="10"/>
  <c r="BL50" i="10"/>
  <c r="BB52" i="10"/>
  <c r="BD54" i="10"/>
  <c r="BF55" i="10"/>
  <c r="BA56" i="10"/>
  <c r="G29" i="10" s="1"/>
  <c r="BL55" i="10"/>
  <c r="L46" i="10"/>
  <c r="R47" i="10"/>
  <c r="R55" i="10"/>
  <c r="F49" i="10"/>
  <c r="M56" i="10"/>
  <c r="H43" i="10"/>
  <c r="R48" i="10"/>
  <c r="BB43" i="10"/>
  <c r="H54" i="10"/>
  <c r="H46" i="10"/>
  <c r="H47" i="10"/>
  <c r="BL47" i="10"/>
  <c r="BL48" i="10"/>
  <c r="O49" i="10"/>
  <c r="BL49" i="10"/>
  <c r="AZ50" i="10"/>
  <c r="AZ51" i="10"/>
  <c r="BB53" i="10"/>
  <c r="BL54" i="10"/>
  <c r="AY56" i="10"/>
  <c r="F29" i="10" s="1"/>
  <c r="J55" i="10"/>
  <c r="H44" i="10"/>
  <c r="AZ44" i="10"/>
  <c r="AZ46" i="10"/>
  <c r="AZ47" i="10"/>
  <c r="AZ48" i="10"/>
  <c r="AZ49" i="10"/>
  <c r="J51" i="10"/>
  <c r="L52" i="10"/>
  <c r="AZ54" i="10"/>
  <c r="BB47" i="10"/>
  <c r="L51" i="10"/>
  <c r="BB42" i="10"/>
  <c r="BF42" i="10"/>
  <c r="BL42" i="10"/>
  <c r="AZ43" i="10"/>
  <c r="BD43" i="10"/>
  <c r="K56" i="10"/>
  <c r="J26" i="10" s="1"/>
  <c r="BB45" i="10"/>
  <c r="BF45" i="10"/>
  <c r="L47" i="10"/>
  <c r="L49" i="10"/>
  <c r="BB50" i="10"/>
  <c r="BF50" i="10"/>
  <c r="BB51" i="10"/>
  <c r="BF51" i="10"/>
  <c r="R52" i="10"/>
  <c r="H53" i="10"/>
  <c r="AZ53" i="10"/>
  <c r="BD53" i="10"/>
  <c r="AZ55" i="10"/>
  <c r="BD55" i="10"/>
  <c r="BC56" i="10"/>
  <c r="I29" i="10" s="1"/>
  <c r="BF44" i="10"/>
  <c r="BB46" i="10"/>
  <c r="BB48" i="10"/>
  <c r="BF49" i="10"/>
  <c r="F50" i="10"/>
  <c r="BL51" i="10"/>
  <c r="AZ52" i="10"/>
  <c r="BD52" i="10"/>
  <c r="L54" i="10"/>
  <c r="BB54" i="10"/>
  <c r="BB44" i="10"/>
  <c r="BL45" i="10"/>
  <c r="BF46" i="10"/>
  <c r="BF47" i="10"/>
  <c r="BF48" i="10"/>
  <c r="F51" i="10"/>
  <c r="BF54" i="10"/>
  <c r="BE56" i="10"/>
  <c r="J29" i="10" s="1"/>
  <c r="J79" i="10"/>
  <c r="H51" i="10"/>
  <c r="AZ45" i="10"/>
  <c r="O54" i="10"/>
  <c r="BW56" i="10"/>
  <c r="BY51" i="10"/>
  <c r="BY45" i="10"/>
  <c r="BY43" i="10"/>
  <c r="BY52" i="10"/>
  <c r="BY44" i="10"/>
  <c r="BY48" i="10"/>
  <c r="BY49" i="10"/>
  <c r="BY53" i="10"/>
  <c r="BY42" i="10"/>
  <c r="BY55" i="10"/>
  <c r="BY46" i="10"/>
  <c r="BY47" i="10"/>
  <c r="F42" i="10"/>
  <c r="J42" i="10"/>
  <c r="N56" i="10"/>
  <c r="R42" i="10"/>
  <c r="O43" i="10"/>
  <c r="R43" i="10"/>
  <c r="R44" i="10"/>
  <c r="F44" i="10"/>
  <c r="H45" i="10"/>
  <c r="L45" i="10"/>
  <c r="F47" i="10"/>
  <c r="J47" i="10"/>
  <c r="O48" i="10"/>
  <c r="H49" i="10"/>
  <c r="O53" i="10"/>
  <c r="F53" i="10"/>
  <c r="J54" i="10"/>
  <c r="O55" i="10"/>
  <c r="O42" i="10"/>
  <c r="J43" i="10"/>
  <c r="L44" i="10"/>
  <c r="R45" i="10"/>
  <c r="L48" i="10"/>
  <c r="R49" i="10"/>
  <c r="O50" i="10"/>
  <c r="L53" i="10"/>
  <c r="R54" i="10"/>
  <c r="F54" i="10"/>
  <c r="L55" i="10"/>
  <c r="G56" i="10"/>
  <c r="G26" i="10" s="1"/>
  <c r="F43" i="10"/>
  <c r="F46" i="10"/>
  <c r="J46" i="10"/>
  <c r="O47" i="10"/>
  <c r="H48" i="10"/>
  <c r="J50" i="10"/>
  <c r="H52" i="10"/>
  <c r="R53" i="10"/>
  <c r="H55" i="10"/>
  <c r="H42" i="10"/>
  <c r="L42" i="10"/>
  <c r="F45" i="10"/>
  <c r="J45" i="10"/>
  <c r="O46" i="10"/>
  <c r="J49" i="10"/>
  <c r="L50" i="10"/>
  <c r="J52" i="10"/>
  <c r="I56" i="10"/>
  <c r="I26" i="10" s="1"/>
  <c r="E56" i="10"/>
  <c r="F26" i="10" s="1"/>
  <c r="J44" i="10"/>
  <c r="O44" i="10"/>
  <c r="O45" i="10"/>
  <c r="F48" i="10"/>
  <c r="J48" i="10"/>
  <c r="H50" i="10"/>
  <c r="R50" i="10"/>
  <c r="O51" i="10"/>
  <c r="R51" i="10"/>
  <c r="O52" i="10"/>
  <c r="F52" i="10"/>
  <c r="J53" i="10"/>
  <c r="F55" i="10"/>
  <c r="C94" i="1"/>
  <c r="H76" i="15"/>
  <c r="U649" i="30"/>
  <c r="G381" i="30" a="1"/>
  <c r="U396" i="11"/>
  <c r="V396" i="11" s="1"/>
  <c r="J76" i="15"/>
  <c r="G383" i="30" a="1"/>
  <c r="I396" i="11"/>
  <c r="J396" i="11" s="1"/>
  <c r="G375" i="30" a="1"/>
  <c r="M396" i="11"/>
  <c r="N396" i="11" s="1"/>
  <c r="C113" i="1"/>
  <c r="G379" i="30" a="1"/>
  <c r="O999" i="30"/>
  <c r="P999" i="30"/>
  <c r="T1009" i="30"/>
  <c r="G1014" i="30"/>
  <c r="O1014" i="30"/>
  <c r="G999" i="30"/>
  <c r="K1009" i="30"/>
  <c r="S1009" i="30"/>
  <c r="T1014" i="30"/>
  <c r="K999" i="30"/>
  <c r="S999" i="30"/>
  <c r="G1009" i="30"/>
  <c r="O1009" i="30"/>
  <c r="P1014" i="30"/>
  <c r="L999" i="30"/>
  <c r="T999" i="30"/>
  <c r="H1009" i="30"/>
  <c r="P1009" i="30"/>
  <c r="K1014" i="30"/>
  <c r="S1014" i="30"/>
  <c r="G571" i="30" l="1" a="1"/>
  <c r="Q971" i="30"/>
  <c r="U1042" i="30"/>
  <c r="F246" i="32" s="1"/>
  <c r="U1046" i="30"/>
  <c r="G246" i="32" s="1"/>
  <c r="U1053" i="30"/>
  <c r="I245" i="32" s="1"/>
  <c r="K112" i="26"/>
  <c r="M1032" i="30" s="1"/>
  <c r="M1031" i="30"/>
  <c r="L112" i="26"/>
  <c r="N1032" i="30" s="1"/>
  <c r="N1031" i="30"/>
  <c r="H112" i="26"/>
  <c r="J1032" i="30" s="1"/>
  <c r="J1031" i="30"/>
  <c r="U1050" i="30"/>
  <c r="H246" i="32" s="1"/>
  <c r="U1045" i="30"/>
  <c r="G245" i="32" s="1"/>
  <c r="D18" i="31"/>
  <c r="D17" i="31"/>
  <c r="BG56" i="10"/>
  <c r="U969" i="30"/>
  <c r="C207" i="32" s="1"/>
  <c r="N99" i="10"/>
  <c r="Q155" i="15"/>
  <c r="AF43" i="10"/>
  <c r="I106" i="32"/>
  <c r="B27" i="31" s="1"/>
  <c r="H106" i="32"/>
  <c r="N140" i="32"/>
  <c r="U737" i="30"/>
  <c r="U731" i="30"/>
  <c r="U719" i="30"/>
  <c r="M151" i="32"/>
  <c r="U686" i="30"/>
  <c r="M145" i="32" s="1"/>
  <c r="U713" i="30"/>
  <c r="U714" i="30"/>
  <c r="U718" i="30"/>
  <c r="U717" i="30"/>
  <c r="U715" i="30"/>
  <c r="U716" i="30"/>
  <c r="U733" i="30"/>
  <c r="U738" i="30"/>
  <c r="M152" i="32" s="1"/>
  <c r="M146" i="32"/>
  <c r="U734" i="30"/>
  <c r="U735" i="30"/>
  <c r="U732" i="30"/>
  <c r="Q1016" i="30"/>
  <c r="O102" i="26"/>
  <c r="R1016" i="30"/>
  <c r="P102" i="26"/>
  <c r="L140" i="32"/>
  <c r="U1040" i="30"/>
  <c r="F244" i="32" s="1"/>
  <c r="M641" i="30"/>
  <c r="L641" i="30"/>
  <c r="H641" i="30"/>
  <c r="K641" i="30"/>
  <c r="P286" i="15"/>
  <c r="U1054" i="30"/>
  <c r="I246" i="32" s="1"/>
  <c r="G113" i="9"/>
  <c r="F107" i="11"/>
  <c r="P288" i="15"/>
  <c r="U1049" i="30"/>
  <c r="H245" i="32" s="1"/>
  <c r="U1041" i="30"/>
  <c r="F245" i="32" s="1"/>
  <c r="G145" i="11"/>
  <c r="P284" i="15"/>
  <c r="Q277" i="15"/>
  <c r="P190" i="15"/>
  <c r="J285" i="15"/>
  <c r="G126" i="11"/>
  <c r="G190" i="15"/>
  <c r="M284" i="15"/>
  <c r="U99" i="10"/>
  <c r="J284" i="15"/>
  <c r="M190" i="15"/>
  <c r="U971" i="30"/>
  <c r="E207" i="32" s="1"/>
  <c r="G373" i="30" a="1"/>
  <c r="M374" i="30" s="1"/>
  <c r="Q641" i="30"/>
  <c r="Q156" i="15"/>
  <c r="F67" i="11"/>
  <c r="G285" i="15"/>
  <c r="G385" i="30" a="1"/>
  <c r="O386" i="30" s="1"/>
  <c r="S641" i="30"/>
  <c r="J287" i="15"/>
  <c r="J288" i="15"/>
  <c r="G288" i="15"/>
  <c r="N32" i="9"/>
  <c r="O32" i="9" s="1"/>
  <c r="M287" i="15"/>
  <c r="K277" i="15"/>
  <c r="G747" i="30" a="1"/>
  <c r="G747" i="30" s="1"/>
  <c r="M285" i="15"/>
  <c r="G284" i="15"/>
  <c r="K113" i="9"/>
  <c r="AD165" i="13"/>
  <c r="AD166" i="13" s="1"/>
  <c r="Q88" i="10"/>
  <c r="X91" i="10"/>
  <c r="X96" i="10"/>
  <c r="Z113" i="9"/>
  <c r="K192" i="26"/>
  <c r="M1048" i="30" s="1"/>
  <c r="M1047" i="30"/>
  <c r="F204" i="26"/>
  <c r="H1055" i="30"/>
  <c r="E198" i="26"/>
  <c r="G1052" i="30" s="1"/>
  <c r="G1051" i="30"/>
  <c r="H198" i="26"/>
  <c r="J1052" i="30" s="1"/>
  <c r="J1051" i="30"/>
  <c r="H204" i="26"/>
  <c r="J1055" i="30"/>
  <c r="L204" i="26"/>
  <c r="N1055" i="30"/>
  <c r="R1043" i="30"/>
  <c r="P186" i="26"/>
  <c r="R1044" i="30" s="1"/>
  <c r="S1051" i="30"/>
  <c r="Q198" i="26"/>
  <c r="S1052" i="30" s="1"/>
  <c r="U1059" i="30"/>
  <c r="J247" i="32" s="1"/>
  <c r="AB103" i="9"/>
  <c r="Y113" i="9"/>
  <c r="AB108" i="9"/>
  <c r="P51" i="10"/>
  <c r="F113" i="9"/>
  <c r="G204" i="26"/>
  <c r="I1055" i="30"/>
  <c r="I186" i="26"/>
  <c r="K1044" i="30" s="1"/>
  <c r="K1043" i="30"/>
  <c r="S1047" i="30"/>
  <c r="Q192" i="26"/>
  <c r="S1048" i="30" s="1"/>
  <c r="O204" i="26"/>
  <c r="Q1055" i="30"/>
  <c r="E204" i="26"/>
  <c r="G1055" i="30"/>
  <c r="M204" i="26"/>
  <c r="O1055" i="30"/>
  <c r="S1043" i="30"/>
  <c r="Q186" i="26"/>
  <c r="S1044" i="30" s="1"/>
  <c r="AB112" i="9"/>
  <c r="AB106" i="9"/>
  <c r="AB104" i="9"/>
  <c r="G99" i="10"/>
  <c r="M100" i="9"/>
  <c r="M104" i="9"/>
  <c r="M108" i="9"/>
  <c r="M112" i="9"/>
  <c r="R103" i="9"/>
  <c r="R107" i="9"/>
  <c r="R111" i="9"/>
  <c r="AB99" i="10"/>
  <c r="H192" i="26"/>
  <c r="J1048" i="30" s="1"/>
  <c r="J1047" i="30"/>
  <c r="E192" i="26"/>
  <c r="G1048" i="30" s="1"/>
  <c r="G1047" i="30"/>
  <c r="H186" i="26"/>
  <c r="J1044" i="30" s="1"/>
  <c r="J1043" i="30"/>
  <c r="L186" i="26"/>
  <c r="N1044" i="30" s="1"/>
  <c r="N1043" i="30"/>
  <c r="L192" i="26"/>
  <c r="N1048" i="30" s="1"/>
  <c r="N1047" i="30"/>
  <c r="P198" i="26"/>
  <c r="R1052" i="30" s="1"/>
  <c r="R1051" i="30"/>
  <c r="J204" i="26"/>
  <c r="L1055" i="30"/>
  <c r="N204" i="26"/>
  <c r="P1055" i="30"/>
  <c r="P204" i="26"/>
  <c r="R1055" i="30"/>
  <c r="U1057" i="30"/>
  <c r="J245" i="32" s="1"/>
  <c r="U1058" i="30"/>
  <c r="J246" i="32" s="1"/>
  <c r="AB111" i="9"/>
  <c r="AB102" i="9"/>
  <c r="AB105" i="9"/>
  <c r="AB100" i="9"/>
  <c r="AS56" i="10"/>
  <c r="R1047" i="30"/>
  <c r="P192" i="26"/>
  <c r="R1048" i="30" s="1"/>
  <c r="K186" i="26"/>
  <c r="M1044" i="30" s="1"/>
  <c r="M1043" i="30"/>
  <c r="R204" i="26"/>
  <c r="T1055" i="30"/>
  <c r="I198" i="26"/>
  <c r="K1052" i="30" s="1"/>
  <c r="K1051" i="30"/>
  <c r="K204" i="26"/>
  <c r="M1055" i="30"/>
  <c r="I192" i="26"/>
  <c r="K1048" i="30" s="1"/>
  <c r="K1047" i="30"/>
  <c r="E186" i="26"/>
  <c r="G1044" i="30" s="1"/>
  <c r="G1043" i="30"/>
  <c r="I204" i="26"/>
  <c r="K1055" i="30"/>
  <c r="L198" i="26"/>
  <c r="N1052" i="30" s="1"/>
  <c r="N1051" i="30"/>
  <c r="K198" i="26"/>
  <c r="M1052" i="30" s="1"/>
  <c r="M1051" i="30"/>
  <c r="Q204" i="26"/>
  <c r="S1055" i="30"/>
  <c r="AB107" i="9"/>
  <c r="AB101" i="9"/>
  <c r="M102" i="9"/>
  <c r="M106" i="9"/>
  <c r="BV56" i="10"/>
  <c r="R101" i="9"/>
  <c r="R105" i="9"/>
  <c r="AU52" i="10"/>
  <c r="Q157" i="15"/>
  <c r="AT53" i="10"/>
  <c r="AE51" i="10"/>
  <c r="Q164" i="15"/>
  <c r="AT51" i="10"/>
  <c r="S1011" i="30"/>
  <c r="Q93" i="26"/>
  <c r="Q111" i="26" s="1"/>
  <c r="Q1011" i="30"/>
  <c r="O93" i="26"/>
  <c r="O111" i="26" s="1"/>
  <c r="AE53" i="10"/>
  <c r="AE43" i="10"/>
  <c r="AU43" i="10"/>
  <c r="AU45" i="10"/>
  <c r="AE95" i="10"/>
  <c r="I1011" i="30"/>
  <c r="G93" i="26"/>
  <c r="G111" i="26" s="1"/>
  <c r="O1011" i="30"/>
  <c r="M93" i="26"/>
  <c r="M111" i="26" s="1"/>
  <c r="AF49" i="10"/>
  <c r="AE52" i="10"/>
  <c r="AT44" i="10"/>
  <c r="P1011" i="30"/>
  <c r="N93" i="26"/>
  <c r="N111" i="26" s="1"/>
  <c r="T1011" i="30"/>
  <c r="R93" i="26"/>
  <c r="R111" i="26" s="1"/>
  <c r="K1011" i="30"/>
  <c r="I93" i="26"/>
  <c r="I111" i="26" s="1"/>
  <c r="L1011" i="30"/>
  <c r="J93" i="26"/>
  <c r="J111" i="26" s="1"/>
  <c r="Q94" i="10"/>
  <c r="K289" i="15"/>
  <c r="M1021" i="30"/>
  <c r="J1021" i="30"/>
  <c r="H1011" i="30"/>
  <c r="F93" i="26"/>
  <c r="F111" i="26" s="1"/>
  <c r="G1011" i="30"/>
  <c r="E93" i="26"/>
  <c r="E111" i="26" s="1"/>
  <c r="E112" i="26" s="1"/>
  <c r="R1011" i="30"/>
  <c r="P93" i="26"/>
  <c r="P111" i="26" s="1"/>
  <c r="N1021" i="30"/>
  <c r="R163" i="15"/>
  <c r="U425" i="30"/>
  <c r="H83" i="32" s="1"/>
  <c r="H12" i="6"/>
  <c r="N25" i="9"/>
  <c r="O25" i="9" s="1"/>
  <c r="H31" i="9"/>
  <c r="I31" i="9" s="1"/>
  <c r="N28" i="9"/>
  <c r="O28" i="9" s="1"/>
  <c r="H30" i="9"/>
  <c r="C30" i="9" s="1"/>
  <c r="H28" i="9"/>
  <c r="I28" i="9" s="1"/>
  <c r="H29" i="9"/>
  <c r="I29" i="9" s="1"/>
  <c r="N34" i="9"/>
  <c r="O34" i="9" s="1"/>
  <c r="N35" i="9"/>
  <c r="O35" i="9" s="1"/>
  <c r="G921" i="30" a="1"/>
  <c r="N33" i="9"/>
  <c r="O33" i="9" s="1"/>
  <c r="H33" i="9"/>
  <c r="C33" i="9" s="1"/>
  <c r="N27" i="9"/>
  <c r="O27" i="9" s="1"/>
  <c r="N26" i="9"/>
  <c r="O26" i="9" s="1"/>
  <c r="H32" i="9"/>
  <c r="I32" i="9" s="1"/>
  <c r="S157" i="15"/>
  <c r="R126" i="15"/>
  <c r="Q165" i="15"/>
  <c r="S155" i="15"/>
  <c r="Q167" i="15"/>
  <c r="S161" i="15"/>
  <c r="Q162" i="15"/>
  <c r="S167" i="15"/>
  <c r="Q161" i="15"/>
  <c r="S166" i="15"/>
  <c r="Q158" i="15"/>
  <c r="Q160" i="15"/>
  <c r="Q163" i="15"/>
  <c r="H289" i="15"/>
  <c r="Q166" i="15"/>
  <c r="Q159" i="15"/>
  <c r="F289" i="15"/>
  <c r="R121" i="15"/>
  <c r="S164" i="15"/>
  <c r="S156" i="15"/>
  <c r="Q83" i="15"/>
  <c r="G90" i="15"/>
  <c r="E289" i="15"/>
  <c r="S159" i="15"/>
  <c r="S165" i="15"/>
  <c r="R118" i="15"/>
  <c r="S127" i="15"/>
  <c r="S158" i="15"/>
  <c r="S162" i="15"/>
  <c r="R129" i="15"/>
  <c r="S163" i="15"/>
  <c r="R155" i="15"/>
  <c r="R117" i="15"/>
  <c r="S160" i="15"/>
  <c r="T117" i="15"/>
  <c r="R124" i="15"/>
  <c r="G759" i="30"/>
  <c r="M761" i="30"/>
  <c r="K760" i="30"/>
  <c r="I759" i="30"/>
  <c r="T760" i="30"/>
  <c r="R759" i="30"/>
  <c r="P761" i="30"/>
  <c r="N760" i="30"/>
  <c r="L759" i="30"/>
  <c r="K761" i="30"/>
  <c r="I760" i="30"/>
  <c r="I761" i="30"/>
  <c r="G760" i="30"/>
  <c r="R761" i="30"/>
  <c r="P760" i="30"/>
  <c r="N759" i="30"/>
  <c r="L761" i="30"/>
  <c r="J760" i="30"/>
  <c r="H759" i="30"/>
  <c r="G761" i="30"/>
  <c r="S759" i="30"/>
  <c r="S760" i="30"/>
  <c r="Q759" i="30"/>
  <c r="N761" i="30"/>
  <c r="L760" i="30"/>
  <c r="J759" i="30"/>
  <c r="H761" i="30"/>
  <c r="T759" i="30"/>
  <c r="S761" i="30"/>
  <c r="Q760" i="30"/>
  <c r="O759" i="30"/>
  <c r="J761" i="30"/>
  <c r="P759" i="30"/>
  <c r="T761" i="30"/>
  <c r="K759" i="30"/>
  <c r="Q761" i="30"/>
  <c r="H760" i="30"/>
  <c r="O761" i="30"/>
  <c r="O760" i="30"/>
  <c r="M760" i="30"/>
  <c r="M759" i="30"/>
  <c r="R760" i="30"/>
  <c r="S128" i="15"/>
  <c r="R125" i="15"/>
  <c r="R122" i="15"/>
  <c r="H776" i="30"/>
  <c r="S777" i="30"/>
  <c r="Q776" i="30"/>
  <c r="M777" i="30"/>
  <c r="K776" i="30"/>
  <c r="L777" i="30"/>
  <c r="J776" i="30"/>
  <c r="T776" i="30"/>
  <c r="O777" i="30"/>
  <c r="M776" i="30"/>
  <c r="I777" i="30"/>
  <c r="G776" i="30"/>
  <c r="H777" i="30"/>
  <c r="R777" i="30"/>
  <c r="P776" i="30"/>
  <c r="K777" i="30"/>
  <c r="I776" i="30"/>
  <c r="S776" i="30"/>
  <c r="T777" i="30"/>
  <c r="R776" i="30"/>
  <c r="N777" i="30"/>
  <c r="L776" i="30"/>
  <c r="Q777" i="30"/>
  <c r="J777" i="30"/>
  <c r="P777" i="30"/>
  <c r="N776" i="30"/>
  <c r="O776" i="30"/>
  <c r="G777" i="30"/>
  <c r="G791" i="30"/>
  <c r="Q791" i="30"/>
  <c r="T791" i="30"/>
  <c r="N791" i="30"/>
  <c r="M791" i="30"/>
  <c r="P791" i="30"/>
  <c r="S791" i="30"/>
  <c r="I791" i="30"/>
  <c r="L791" i="30"/>
  <c r="O791" i="30"/>
  <c r="R791" i="30"/>
  <c r="J791" i="30"/>
  <c r="H791" i="30"/>
  <c r="K791" i="30"/>
  <c r="AE155" i="15"/>
  <c r="U167" i="15" s="1"/>
  <c r="G106" i="32"/>
  <c r="R159" i="15"/>
  <c r="S119" i="15"/>
  <c r="S120" i="15"/>
  <c r="S121" i="15"/>
  <c r="T118" i="15"/>
  <c r="T124" i="15"/>
  <c r="T126" i="15"/>
  <c r="T122" i="15"/>
  <c r="U79" i="15"/>
  <c r="E90" i="15"/>
  <c r="Q84" i="15"/>
  <c r="Q82" i="15"/>
  <c r="U78" i="15"/>
  <c r="T164" i="15"/>
  <c r="Q77" i="15"/>
  <c r="U76" i="15"/>
  <c r="S78" i="15"/>
  <c r="S83" i="15"/>
  <c r="S89" i="15"/>
  <c r="S77" i="15"/>
  <c r="Q89" i="15"/>
  <c r="Q79" i="15"/>
  <c r="Q86" i="15"/>
  <c r="U83" i="15"/>
  <c r="U84" i="15"/>
  <c r="Q76" i="15"/>
  <c r="Q126" i="15"/>
  <c r="R76" i="15"/>
  <c r="R289" i="15"/>
  <c r="T165" i="15"/>
  <c r="U88" i="15"/>
  <c r="U80" i="15"/>
  <c r="Q87" i="15"/>
  <c r="U81" i="15"/>
  <c r="Q78" i="15"/>
  <c r="Q88" i="15"/>
  <c r="Q80" i="15"/>
  <c r="U87" i="15"/>
  <c r="U85" i="15"/>
  <c r="U89" i="15"/>
  <c r="Q85" i="15"/>
  <c r="Q81" i="15"/>
  <c r="U77" i="15"/>
  <c r="U86" i="15"/>
  <c r="U82" i="15"/>
  <c r="U129" i="15"/>
  <c r="G286" i="30"/>
  <c r="H287" i="30"/>
  <c r="P287" i="30"/>
  <c r="J288" i="30"/>
  <c r="R288" i="30"/>
  <c r="L289" i="30"/>
  <c r="T289" i="30"/>
  <c r="N290" i="30"/>
  <c r="H291" i="30"/>
  <c r="P291" i="30"/>
  <c r="J292" i="30"/>
  <c r="R292" i="30"/>
  <c r="L293" i="30"/>
  <c r="T293" i="30"/>
  <c r="N294" i="30"/>
  <c r="H295" i="30"/>
  <c r="P295" i="30"/>
  <c r="J296" i="30"/>
  <c r="R296" i="30"/>
  <c r="L297" i="30"/>
  <c r="T297" i="30"/>
  <c r="N298" i="30"/>
  <c r="H299" i="30"/>
  <c r="P299" i="30"/>
  <c r="J300" i="30"/>
  <c r="R300" i="30"/>
  <c r="L301" i="30"/>
  <c r="T301" i="30"/>
  <c r="N302" i="30"/>
  <c r="H303" i="30"/>
  <c r="P303" i="30"/>
  <c r="J304" i="30"/>
  <c r="R304" i="30"/>
  <c r="L305" i="30"/>
  <c r="T305" i="30"/>
  <c r="N306" i="30"/>
  <c r="H307" i="30"/>
  <c r="P307" i="30"/>
  <c r="J308" i="30"/>
  <c r="R308" i="30"/>
  <c r="L287" i="30"/>
  <c r="T287" i="30"/>
  <c r="N288" i="30"/>
  <c r="P289" i="30"/>
  <c r="J290" i="30"/>
  <c r="R290" i="30"/>
  <c r="L291" i="30"/>
  <c r="T291" i="30"/>
  <c r="N292" i="30"/>
  <c r="H293" i="30"/>
  <c r="J294" i="30"/>
  <c r="R294" i="30"/>
  <c r="T295" i="30"/>
  <c r="N296" i="30"/>
  <c r="P297" i="30"/>
  <c r="R298" i="30"/>
  <c r="T299" i="30"/>
  <c r="H301" i="30"/>
  <c r="J302" i="30"/>
  <c r="L303" i="30"/>
  <c r="N304" i="30"/>
  <c r="P305" i="30"/>
  <c r="R306" i="30"/>
  <c r="T307" i="30"/>
  <c r="N287" i="30"/>
  <c r="H288" i="30"/>
  <c r="P288" i="30"/>
  <c r="J289" i="30"/>
  <c r="R289" i="30"/>
  <c r="L290" i="30"/>
  <c r="T290" i="30"/>
  <c r="N291" i="30"/>
  <c r="H292" i="30"/>
  <c r="P292" i="30"/>
  <c r="J293" i="30"/>
  <c r="R293" i="30"/>
  <c r="L294" i="30"/>
  <c r="J287" i="30"/>
  <c r="R287" i="30"/>
  <c r="L288" i="30"/>
  <c r="T288" i="30"/>
  <c r="N289" i="30"/>
  <c r="H290" i="30"/>
  <c r="P290" i="30"/>
  <c r="J291" i="30"/>
  <c r="R291" i="30"/>
  <c r="L292" i="30"/>
  <c r="T292" i="30"/>
  <c r="N293" i="30"/>
  <c r="H294" i="30"/>
  <c r="P294" i="30"/>
  <c r="J295" i="30"/>
  <c r="R295" i="30"/>
  <c r="L296" i="30"/>
  <c r="T296" i="30"/>
  <c r="N297" i="30"/>
  <c r="H298" i="30"/>
  <c r="P298" i="30"/>
  <c r="J299" i="30"/>
  <c r="R299" i="30"/>
  <c r="L300" i="30"/>
  <c r="T300" i="30"/>
  <c r="N301" i="30"/>
  <c r="H302" i="30"/>
  <c r="P302" i="30"/>
  <c r="J303" i="30"/>
  <c r="R303" i="30"/>
  <c r="L304" i="30"/>
  <c r="T304" i="30"/>
  <c r="N305" i="30"/>
  <c r="H306" i="30"/>
  <c r="P306" i="30"/>
  <c r="J307" i="30"/>
  <c r="R307" i="30"/>
  <c r="L308" i="30"/>
  <c r="T308" i="30"/>
  <c r="H289" i="30"/>
  <c r="P293" i="30"/>
  <c r="L295" i="30"/>
  <c r="H297" i="30"/>
  <c r="J298" i="30"/>
  <c r="L299" i="30"/>
  <c r="N300" i="30"/>
  <c r="P301" i="30"/>
  <c r="R302" i="30"/>
  <c r="T303" i="30"/>
  <c r="H305" i="30"/>
  <c r="J306" i="30"/>
  <c r="L307" i="30"/>
  <c r="N308" i="30"/>
  <c r="T294" i="30"/>
  <c r="N295" i="30"/>
  <c r="H296" i="30"/>
  <c r="P296" i="30"/>
  <c r="J297" i="30"/>
  <c r="R297" i="30"/>
  <c r="L298" i="30"/>
  <c r="T298" i="30"/>
  <c r="N299" i="30"/>
  <c r="H300" i="30"/>
  <c r="P300" i="30"/>
  <c r="J301" i="30"/>
  <c r="R301" i="30"/>
  <c r="L302" i="30"/>
  <c r="T302" i="30"/>
  <c r="N303" i="30"/>
  <c r="H304" i="30"/>
  <c r="P304" i="30"/>
  <c r="J305" i="30"/>
  <c r="R305" i="30"/>
  <c r="L306" i="30"/>
  <c r="T306" i="30"/>
  <c r="N307" i="30"/>
  <c r="H308" i="30"/>
  <c r="P308" i="30"/>
  <c r="J286" i="30"/>
  <c r="S307" i="30"/>
  <c r="Q306" i="30"/>
  <c r="O305" i="30"/>
  <c r="M304" i="30"/>
  <c r="K303" i="30"/>
  <c r="I302" i="30"/>
  <c r="G301" i="30"/>
  <c r="S299" i="30"/>
  <c r="Q298" i="30"/>
  <c r="O297" i="30"/>
  <c r="M296" i="30"/>
  <c r="K295" i="30"/>
  <c r="I294" i="30"/>
  <c r="G293" i="30"/>
  <c r="S291" i="30"/>
  <c r="Q290" i="30"/>
  <c r="O289" i="30"/>
  <c r="M288" i="30"/>
  <c r="K287" i="30"/>
  <c r="I286" i="30"/>
  <c r="H286" i="30"/>
  <c r="G308" i="30"/>
  <c r="S306" i="30"/>
  <c r="Q305" i="30"/>
  <c r="O304" i="30"/>
  <c r="M303" i="30"/>
  <c r="K302" i="30"/>
  <c r="I301" i="30"/>
  <c r="G300" i="30"/>
  <c r="S298" i="30"/>
  <c r="Q297" i="30"/>
  <c r="O296" i="30"/>
  <c r="M295" i="30"/>
  <c r="K294" i="30"/>
  <c r="I293" i="30"/>
  <c r="G292" i="30"/>
  <c r="S290" i="30"/>
  <c r="Q289" i="30"/>
  <c r="O288" i="30"/>
  <c r="M287" i="30"/>
  <c r="K286" i="30"/>
  <c r="G291" i="30"/>
  <c r="I307" i="30"/>
  <c r="Q303" i="30"/>
  <c r="K300" i="30"/>
  <c r="S296" i="30"/>
  <c r="M293" i="30"/>
  <c r="G290" i="30"/>
  <c r="O286" i="30"/>
  <c r="Q308" i="30"/>
  <c r="O307" i="30"/>
  <c r="M306" i="30"/>
  <c r="K305" i="30"/>
  <c r="I304" i="30"/>
  <c r="G303" i="30"/>
  <c r="S301" i="30"/>
  <c r="Q300" i="30"/>
  <c r="O299" i="30"/>
  <c r="M298" i="30"/>
  <c r="K297" i="30"/>
  <c r="I296" i="30"/>
  <c r="G295" i="30"/>
  <c r="S293" i="30"/>
  <c r="Q292" i="30"/>
  <c r="O291" i="30"/>
  <c r="M290" i="30"/>
  <c r="K289" i="30"/>
  <c r="I288" i="30"/>
  <c r="G287" i="30"/>
  <c r="T286" i="30"/>
  <c r="S308" i="30"/>
  <c r="Q307" i="30"/>
  <c r="O306" i="30"/>
  <c r="M305" i="30"/>
  <c r="K304" i="30"/>
  <c r="I303" i="30"/>
  <c r="G302" i="30"/>
  <c r="S300" i="30"/>
  <c r="Q299" i="30"/>
  <c r="O298" i="30"/>
  <c r="M297" i="30"/>
  <c r="K296" i="30"/>
  <c r="I295" i="30"/>
  <c r="G294" i="30"/>
  <c r="S292" i="30"/>
  <c r="Q291" i="30"/>
  <c r="O290" i="30"/>
  <c r="M289" i="30"/>
  <c r="K288" i="30"/>
  <c r="I287" i="30"/>
  <c r="I308" i="30"/>
  <c r="S305" i="30"/>
  <c r="O303" i="30"/>
  <c r="K301" i="30"/>
  <c r="G299" i="30"/>
  <c r="Q296" i="30"/>
  <c r="M294" i="30"/>
  <c r="I292" i="30"/>
  <c r="Q288" i="30"/>
  <c r="M286" i="30"/>
  <c r="K308" i="30"/>
  <c r="S304" i="30"/>
  <c r="O302" i="30"/>
  <c r="I299" i="30"/>
  <c r="Q295" i="30"/>
  <c r="K292" i="30"/>
  <c r="S288" i="30"/>
  <c r="R286" i="30"/>
  <c r="M308" i="30"/>
  <c r="K307" i="30"/>
  <c r="I306" i="30"/>
  <c r="G305" i="30"/>
  <c r="S303" i="30"/>
  <c r="Q302" i="30"/>
  <c r="O301" i="30"/>
  <c r="M300" i="30"/>
  <c r="K299" i="30"/>
  <c r="I298" i="30"/>
  <c r="G297" i="30"/>
  <c r="S295" i="30"/>
  <c r="Q294" i="30"/>
  <c r="O293" i="30"/>
  <c r="M292" i="30"/>
  <c r="K291" i="30"/>
  <c r="I290" i="30"/>
  <c r="G289" i="30"/>
  <c r="S287" i="30"/>
  <c r="Q286" i="30"/>
  <c r="P286" i="30"/>
  <c r="O308" i="30"/>
  <c r="M307" i="30"/>
  <c r="K306" i="30"/>
  <c r="I305" i="30"/>
  <c r="G304" i="30"/>
  <c r="S302" i="30"/>
  <c r="Q301" i="30"/>
  <c r="O300" i="30"/>
  <c r="M299" i="30"/>
  <c r="K298" i="30"/>
  <c r="I297" i="30"/>
  <c r="G296" i="30"/>
  <c r="S294" i="30"/>
  <c r="Q293" i="30"/>
  <c r="O292" i="30"/>
  <c r="M291" i="30"/>
  <c r="K290" i="30"/>
  <c r="I289" i="30"/>
  <c r="G288" i="30"/>
  <c r="S286" i="30"/>
  <c r="N286" i="30"/>
  <c r="G307" i="30"/>
  <c r="Q304" i="30"/>
  <c r="M302" i="30"/>
  <c r="I300" i="30"/>
  <c r="S297" i="30"/>
  <c r="O295" i="30"/>
  <c r="K293" i="30"/>
  <c r="S289" i="30"/>
  <c r="O287" i="30"/>
  <c r="L286" i="30"/>
  <c r="G306" i="30"/>
  <c r="M301" i="30"/>
  <c r="G298" i="30"/>
  <c r="O294" i="30"/>
  <c r="I291" i="30"/>
  <c r="Q287" i="30"/>
  <c r="D106" i="32"/>
  <c r="F106" i="32"/>
  <c r="U2898" i="30"/>
  <c r="U3005" i="30"/>
  <c r="T525" i="32" s="1"/>
  <c r="U2900" i="30"/>
  <c r="C106" i="32"/>
  <c r="U2999" i="30"/>
  <c r="N525" i="32" s="1"/>
  <c r="U2896" i="30"/>
  <c r="N907" i="30"/>
  <c r="U3002" i="30"/>
  <c r="Q525" i="32" s="1"/>
  <c r="U2909" i="30"/>
  <c r="U2902" i="30"/>
  <c r="U2910" i="30"/>
  <c r="U2901" i="30"/>
  <c r="U2904" i="30"/>
  <c r="E106" i="32"/>
  <c r="U3004" i="30"/>
  <c r="S525" i="32" s="1"/>
  <c r="U2907" i="30"/>
  <c r="U2908" i="30"/>
  <c r="U2903" i="30"/>
  <c r="U2906" i="30"/>
  <c r="U644" i="30"/>
  <c r="K137" i="32" s="1"/>
  <c r="U255" i="30"/>
  <c r="F69" i="32" s="1"/>
  <c r="U2998" i="30"/>
  <c r="M525" i="32" s="1"/>
  <c r="U3001" i="30"/>
  <c r="P525" i="32" s="1"/>
  <c r="U2905" i="30"/>
  <c r="U2897" i="30"/>
  <c r="U952" i="30"/>
  <c r="E205" i="32" s="1"/>
  <c r="U3000" i="30"/>
  <c r="O525" i="32" s="1"/>
  <c r="U3003" i="30"/>
  <c r="R525" i="32" s="1"/>
  <c r="U2911" i="30"/>
  <c r="U2899" i="30"/>
  <c r="S86" i="15"/>
  <c r="S80" i="15"/>
  <c r="S88" i="15"/>
  <c r="S85" i="15"/>
  <c r="S82" i="15"/>
  <c r="S79" i="15"/>
  <c r="S84" i="15"/>
  <c r="S76" i="15"/>
  <c r="S87" i="15"/>
  <c r="S81" i="15"/>
  <c r="BJ52" i="10"/>
  <c r="BJ53" i="10"/>
  <c r="AU54" i="10"/>
  <c r="Q227" i="30"/>
  <c r="M227" i="30"/>
  <c r="I227" i="30"/>
  <c r="S226" i="30"/>
  <c r="O226" i="30"/>
  <c r="K226" i="30"/>
  <c r="G226" i="30"/>
  <c r="Q225" i="30"/>
  <c r="M225" i="30"/>
  <c r="I225" i="30"/>
  <c r="S224" i="30"/>
  <c r="O224" i="30"/>
  <c r="K224" i="30"/>
  <c r="G224" i="30"/>
  <c r="Q223" i="30"/>
  <c r="M223" i="30"/>
  <c r="I223" i="30"/>
  <c r="S222" i="30"/>
  <c r="O222" i="30"/>
  <c r="K222" i="30"/>
  <c r="G222" i="30"/>
  <c r="Q221" i="30"/>
  <c r="M221" i="30"/>
  <c r="I221" i="30"/>
  <c r="S220" i="30"/>
  <c r="O220" i="30"/>
  <c r="K220" i="30"/>
  <c r="G220" i="30"/>
  <c r="Q219" i="30"/>
  <c r="M219" i="30"/>
  <c r="I219" i="30"/>
  <c r="S218" i="30"/>
  <c r="O218" i="30"/>
  <c r="K218" i="30"/>
  <c r="G218" i="30"/>
  <c r="Q217" i="30"/>
  <c r="M217" i="30"/>
  <c r="I217" i="30"/>
  <c r="S216" i="30"/>
  <c r="O216" i="30"/>
  <c r="K216" i="30"/>
  <c r="G216" i="30"/>
  <c r="Q215" i="30"/>
  <c r="M215" i="30"/>
  <c r="I215" i="30"/>
  <c r="S214" i="30"/>
  <c r="O214" i="30"/>
  <c r="K214" i="30"/>
  <c r="G214" i="30"/>
  <c r="Q213" i="30"/>
  <c r="M213" i="30"/>
  <c r="I213" i="30"/>
  <c r="S212" i="30"/>
  <c r="O212" i="30"/>
  <c r="K212" i="30"/>
  <c r="G212" i="30"/>
  <c r="Q211" i="30"/>
  <c r="M211" i="30"/>
  <c r="I211" i="30"/>
  <c r="S210" i="30"/>
  <c r="O210" i="30"/>
  <c r="K210" i="30"/>
  <c r="G210" i="30"/>
  <c r="Q209" i="30"/>
  <c r="M209" i="30"/>
  <c r="I209" i="30"/>
  <c r="S208" i="30"/>
  <c r="O208" i="30"/>
  <c r="K208" i="30"/>
  <c r="G208" i="30"/>
  <c r="Q207" i="30"/>
  <c r="M207" i="30"/>
  <c r="I207" i="30"/>
  <c r="S206" i="30"/>
  <c r="O206" i="30"/>
  <c r="K206" i="30"/>
  <c r="G206" i="30"/>
  <c r="Q205" i="30"/>
  <c r="M205" i="30"/>
  <c r="I205" i="30"/>
  <c r="S227" i="30"/>
  <c r="O227" i="30"/>
  <c r="K227" i="30"/>
  <c r="G227" i="30"/>
  <c r="Q226" i="30"/>
  <c r="M226" i="30"/>
  <c r="I226" i="30"/>
  <c r="S225" i="30"/>
  <c r="O225" i="30"/>
  <c r="K225" i="30"/>
  <c r="G225" i="30"/>
  <c r="Q224" i="30"/>
  <c r="M224" i="30"/>
  <c r="I224" i="30"/>
  <c r="S223" i="30"/>
  <c r="O223" i="30"/>
  <c r="K223" i="30"/>
  <c r="G223" i="30"/>
  <c r="Q222" i="30"/>
  <c r="M222" i="30"/>
  <c r="I222" i="30"/>
  <c r="S221" i="30"/>
  <c r="O221" i="30"/>
  <c r="K221" i="30"/>
  <c r="G221" i="30"/>
  <c r="Q220" i="30"/>
  <c r="M220" i="30"/>
  <c r="I220" i="30"/>
  <c r="S219" i="30"/>
  <c r="O219" i="30"/>
  <c r="K219" i="30"/>
  <c r="G219" i="30"/>
  <c r="Q218" i="30"/>
  <c r="M218" i="30"/>
  <c r="I218" i="30"/>
  <c r="S217" i="30"/>
  <c r="O217" i="30"/>
  <c r="K217" i="30"/>
  <c r="G217" i="30"/>
  <c r="Q216" i="30"/>
  <c r="M216" i="30"/>
  <c r="I216" i="30"/>
  <c r="S215" i="30"/>
  <c r="O215" i="30"/>
  <c r="K215" i="30"/>
  <c r="G215" i="30"/>
  <c r="Q214" i="30"/>
  <c r="M214" i="30"/>
  <c r="I214" i="30"/>
  <c r="S213" i="30"/>
  <c r="O213" i="30"/>
  <c r="K213" i="30"/>
  <c r="G213" i="30"/>
  <c r="Q212" i="30"/>
  <c r="M212" i="30"/>
  <c r="I212" i="30"/>
  <c r="S211" i="30"/>
  <c r="O211" i="30"/>
  <c r="K211" i="30"/>
  <c r="G211" i="30"/>
  <c r="Q210" i="30"/>
  <c r="M210" i="30"/>
  <c r="I210" i="30"/>
  <c r="S209" i="30"/>
  <c r="O209" i="30"/>
  <c r="K209" i="30"/>
  <c r="G209" i="30"/>
  <c r="Q208" i="30"/>
  <c r="M208" i="30"/>
  <c r="I208" i="30"/>
  <c r="S207" i="30"/>
  <c r="O207" i="30"/>
  <c r="K207" i="30"/>
  <c r="G207" i="30"/>
  <c r="Q206" i="30"/>
  <c r="M206" i="30"/>
  <c r="I206" i="30"/>
  <c r="S205" i="30"/>
  <c r="O205" i="30"/>
  <c r="K205" i="30"/>
  <c r="G205" i="30"/>
  <c r="N227" i="30"/>
  <c r="T226" i="30"/>
  <c r="L226" i="30"/>
  <c r="R225" i="30"/>
  <c r="J225" i="30"/>
  <c r="P224" i="30"/>
  <c r="H224" i="30"/>
  <c r="N223" i="30"/>
  <c r="T222" i="30"/>
  <c r="L222" i="30"/>
  <c r="R221" i="30"/>
  <c r="J221" i="30"/>
  <c r="P220" i="30"/>
  <c r="H220" i="30"/>
  <c r="N219" i="30"/>
  <c r="T218" i="30"/>
  <c r="L218" i="30"/>
  <c r="R217" i="30"/>
  <c r="J217" i="30"/>
  <c r="P216" i="30"/>
  <c r="H216" i="30"/>
  <c r="N215" i="30"/>
  <c r="T214" i="30"/>
  <c r="L214" i="30"/>
  <c r="R213" i="30"/>
  <c r="J213" i="30"/>
  <c r="P212" i="30"/>
  <c r="H212" i="30"/>
  <c r="N211" i="30"/>
  <c r="T210" i="30"/>
  <c r="L210" i="30"/>
  <c r="R209" i="30"/>
  <c r="J209" i="30"/>
  <c r="P208" i="30"/>
  <c r="H208" i="30"/>
  <c r="N207" i="30"/>
  <c r="T206" i="30"/>
  <c r="L206" i="30"/>
  <c r="R205" i="30"/>
  <c r="J205" i="30"/>
  <c r="T227" i="30"/>
  <c r="L227" i="30"/>
  <c r="R226" i="30"/>
  <c r="J226" i="30"/>
  <c r="P225" i="30"/>
  <c r="H225" i="30"/>
  <c r="N224" i="30"/>
  <c r="T223" i="30"/>
  <c r="L223" i="30"/>
  <c r="R222" i="30"/>
  <c r="J222" i="30"/>
  <c r="P221" i="30"/>
  <c r="H221" i="30"/>
  <c r="N220" i="30"/>
  <c r="T219" i="30"/>
  <c r="L219" i="30"/>
  <c r="R218" i="30"/>
  <c r="J218" i="30"/>
  <c r="P217" i="30"/>
  <c r="H217" i="30"/>
  <c r="N216" i="30"/>
  <c r="T215" i="30"/>
  <c r="L215" i="30"/>
  <c r="R214" i="30"/>
  <c r="J214" i="30"/>
  <c r="P213" i="30"/>
  <c r="H213" i="30"/>
  <c r="N212" i="30"/>
  <c r="T211" i="30"/>
  <c r="L211" i="30"/>
  <c r="R210" i="30"/>
  <c r="J210" i="30"/>
  <c r="P209" i="30"/>
  <c r="H209" i="30"/>
  <c r="N208" i="30"/>
  <c r="T207" i="30"/>
  <c r="L207" i="30"/>
  <c r="R206" i="30"/>
  <c r="J206" i="30"/>
  <c r="P205" i="30"/>
  <c r="H205" i="30"/>
  <c r="R227" i="30"/>
  <c r="J227" i="30"/>
  <c r="P226" i="30"/>
  <c r="H226" i="30"/>
  <c r="N225" i="30"/>
  <c r="T224" i="30"/>
  <c r="L224" i="30"/>
  <c r="R223" i="30"/>
  <c r="J223" i="30"/>
  <c r="P222" i="30"/>
  <c r="H222" i="30"/>
  <c r="N221" i="30"/>
  <c r="T220" i="30"/>
  <c r="L220" i="30"/>
  <c r="R219" i="30"/>
  <c r="J219" i="30"/>
  <c r="P218" i="30"/>
  <c r="H218" i="30"/>
  <c r="N217" i="30"/>
  <c r="T216" i="30"/>
  <c r="L216" i="30"/>
  <c r="R215" i="30"/>
  <c r="J215" i="30"/>
  <c r="P214" i="30"/>
  <c r="H214" i="30"/>
  <c r="N213" i="30"/>
  <c r="T212" i="30"/>
  <c r="L212" i="30"/>
  <c r="R211" i="30"/>
  <c r="J211" i="30"/>
  <c r="P210" i="30"/>
  <c r="H210" i="30"/>
  <c r="N209" i="30"/>
  <c r="T208" i="30"/>
  <c r="L208" i="30"/>
  <c r="R207" i="30"/>
  <c r="J207" i="30"/>
  <c r="P206" i="30"/>
  <c r="H206" i="30"/>
  <c r="N205" i="30"/>
  <c r="P227" i="30"/>
  <c r="H227" i="30"/>
  <c r="N226" i="30"/>
  <c r="T225" i="30"/>
  <c r="L225" i="30"/>
  <c r="R224" i="30"/>
  <c r="J224" i="30"/>
  <c r="P223" i="30"/>
  <c r="H223" i="30"/>
  <c r="N222" i="30"/>
  <c r="T221" i="30"/>
  <c r="L221" i="30"/>
  <c r="R220" i="30"/>
  <c r="J220" i="30"/>
  <c r="P219" i="30"/>
  <c r="H219" i="30"/>
  <c r="N218" i="30"/>
  <c r="T217" i="30"/>
  <c r="L217" i="30"/>
  <c r="R216" i="30"/>
  <c r="J216" i="30"/>
  <c r="P215" i="30"/>
  <c r="H215" i="30"/>
  <c r="N214" i="30"/>
  <c r="T213" i="30"/>
  <c r="L213" i="30"/>
  <c r="R212" i="30"/>
  <c r="J212" i="30"/>
  <c r="P211" i="30"/>
  <c r="H211" i="30"/>
  <c r="N210" i="30"/>
  <c r="T209" i="30"/>
  <c r="L209" i="30"/>
  <c r="R208" i="30"/>
  <c r="J208" i="30"/>
  <c r="P207" i="30"/>
  <c r="H207" i="30"/>
  <c r="N206" i="30"/>
  <c r="T205" i="30"/>
  <c r="L205" i="30"/>
  <c r="T158" i="15"/>
  <c r="S253" i="30"/>
  <c r="O253" i="30"/>
  <c r="K253" i="30"/>
  <c r="G253" i="30"/>
  <c r="Q252" i="30"/>
  <c r="M252" i="30"/>
  <c r="I252" i="30"/>
  <c r="S251" i="30"/>
  <c r="O251" i="30"/>
  <c r="K251" i="30"/>
  <c r="G251" i="30"/>
  <c r="Q250" i="30"/>
  <c r="M250" i="30"/>
  <c r="I250" i="30"/>
  <c r="S249" i="30"/>
  <c r="O249" i="30"/>
  <c r="K249" i="30"/>
  <c r="G249" i="30"/>
  <c r="Q248" i="30"/>
  <c r="M248" i="30"/>
  <c r="I248" i="30"/>
  <c r="S247" i="30"/>
  <c r="O247" i="30"/>
  <c r="K247" i="30"/>
  <c r="G247" i="30"/>
  <c r="Q246" i="30"/>
  <c r="M246" i="30"/>
  <c r="I246" i="30"/>
  <c r="S245" i="30"/>
  <c r="O245" i="30"/>
  <c r="K245" i="30"/>
  <c r="G245" i="30"/>
  <c r="Q244" i="30"/>
  <c r="M244" i="30"/>
  <c r="I244" i="30"/>
  <c r="S243" i="30"/>
  <c r="O243" i="30"/>
  <c r="K243" i="30"/>
  <c r="G243" i="30"/>
  <c r="Q242" i="30"/>
  <c r="M242" i="30"/>
  <c r="I242" i="30"/>
  <c r="S241" i="30"/>
  <c r="O241" i="30"/>
  <c r="K241" i="30"/>
  <c r="G241" i="30"/>
  <c r="Q240" i="30"/>
  <c r="M240" i="30"/>
  <c r="I240" i="30"/>
  <c r="S239" i="30"/>
  <c r="O239" i="30"/>
  <c r="K239" i="30"/>
  <c r="G239" i="30"/>
  <c r="Q238" i="30"/>
  <c r="M238" i="30"/>
  <c r="I238" i="30"/>
  <c r="S237" i="30"/>
  <c r="O237" i="30"/>
  <c r="K237" i="30"/>
  <c r="G237" i="30"/>
  <c r="Q236" i="30"/>
  <c r="M236" i="30"/>
  <c r="I236" i="30"/>
  <c r="S235" i="30"/>
  <c r="O235" i="30"/>
  <c r="K235" i="30"/>
  <c r="G235" i="30"/>
  <c r="Q234" i="30"/>
  <c r="M234" i="30"/>
  <c r="I234" i="30"/>
  <c r="S233" i="30"/>
  <c r="O233" i="30"/>
  <c r="K233" i="30"/>
  <c r="G233" i="30"/>
  <c r="Q232" i="30"/>
  <c r="M232" i="30"/>
  <c r="I232" i="30"/>
  <c r="S231" i="30"/>
  <c r="O231" i="30"/>
  <c r="K231" i="30"/>
  <c r="G231" i="30"/>
  <c r="Q253" i="30"/>
  <c r="M253" i="30"/>
  <c r="I253" i="30"/>
  <c r="S252" i="30"/>
  <c r="O252" i="30"/>
  <c r="K252" i="30"/>
  <c r="G252" i="30"/>
  <c r="Q251" i="30"/>
  <c r="M251" i="30"/>
  <c r="I251" i="30"/>
  <c r="S250" i="30"/>
  <c r="O250" i="30"/>
  <c r="K250" i="30"/>
  <c r="G250" i="30"/>
  <c r="Q249" i="30"/>
  <c r="M249" i="30"/>
  <c r="I249" i="30"/>
  <c r="S248" i="30"/>
  <c r="O248" i="30"/>
  <c r="K248" i="30"/>
  <c r="G248" i="30"/>
  <c r="Q247" i="30"/>
  <c r="M247" i="30"/>
  <c r="I247" i="30"/>
  <c r="S246" i="30"/>
  <c r="O246" i="30"/>
  <c r="K246" i="30"/>
  <c r="G246" i="30"/>
  <c r="Q245" i="30"/>
  <c r="M245" i="30"/>
  <c r="I245" i="30"/>
  <c r="S244" i="30"/>
  <c r="O244" i="30"/>
  <c r="K244" i="30"/>
  <c r="G244" i="30"/>
  <c r="Q243" i="30"/>
  <c r="M243" i="30"/>
  <c r="I243" i="30"/>
  <c r="S242" i="30"/>
  <c r="O242" i="30"/>
  <c r="K242" i="30"/>
  <c r="G242" i="30"/>
  <c r="Q241" i="30"/>
  <c r="M241" i="30"/>
  <c r="I241" i="30"/>
  <c r="S240" i="30"/>
  <c r="O240" i="30"/>
  <c r="K240" i="30"/>
  <c r="G240" i="30"/>
  <c r="Q239" i="30"/>
  <c r="M239" i="30"/>
  <c r="I239" i="30"/>
  <c r="S238" i="30"/>
  <c r="O238" i="30"/>
  <c r="K238" i="30"/>
  <c r="G238" i="30"/>
  <c r="Q237" i="30"/>
  <c r="M237" i="30"/>
  <c r="I237" i="30"/>
  <c r="S236" i="30"/>
  <c r="O236" i="30"/>
  <c r="K236" i="30"/>
  <c r="G236" i="30"/>
  <c r="Q235" i="30"/>
  <c r="M235" i="30"/>
  <c r="I235" i="30"/>
  <c r="S234" i="30"/>
  <c r="O234" i="30"/>
  <c r="K234" i="30"/>
  <c r="G234" i="30"/>
  <c r="Q233" i="30"/>
  <c r="M233" i="30"/>
  <c r="I233" i="30"/>
  <c r="S232" i="30"/>
  <c r="O232" i="30"/>
  <c r="K232" i="30"/>
  <c r="G232" i="30"/>
  <c r="Q231" i="30"/>
  <c r="M231" i="30"/>
  <c r="I231" i="30"/>
  <c r="T253" i="30"/>
  <c r="L253" i="30"/>
  <c r="R252" i="30"/>
  <c r="J252" i="30"/>
  <c r="P251" i="30"/>
  <c r="H251" i="30"/>
  <c r="N250" i="30"/>
  <c r="T249" i="30"/>
  <c r="L249" i="30"/>
  <c r="R248" i="30"/>
  <c r="J248" i="30"/>
  <c r="P247" i="30"/>
  <c r="H247" i="30"/>
  <c r="N246" i="30"/>
  <c r="T245" i="30"/>
  <c r="L245" i="30"/>
  <c r="R244" i="30"/>
  <c r="J244" i="30"/>
  <c r="P243" i="30"/>
  <c r="H243" i="30"/>
  <c r="N242" i="30"/>
  <c r="T241" i="30"/>
  <c r="L241" i="30"/>
  <c r="R240" i="30"/>
  <c r="J240" i="30"/>
  <c r="P239" i="30"/>
  <c r="H239" i="30"/>
  <c r="N238" i="30"/>
  <c r="T237" i="30"/>
  <c r="L237" i="30"/>
  <c r="R236" i="30"/>
  <c r="J236" i="30"/>
  <c r="P235" i="30"/>
  <c r="H235" i="30"/>
  <c r="N234" i="30"/>
  <c r="T233" i="30"/>
  <c r="L233" i="30"/>
  <c r="R232" i="30"/>
  <c r="J232" i="30"/>
  <c r="P231" i="30"/>
  <c r="H231" i="30"/>
  <c r="R253" i="30"/>
  <c r="J253" i="30"/>
  <c r="P252" i="30"/>
  <c r="H252" i="30"/>
  <c r="N251" i="30"/>
  <c r="T250" i="30"/>
  <c r="L250" i="30"/>
  <c r="R249" i="30"/>
  <c r="J249" i="30"/>
  <c r="P248" i="30"/>
  <c r="H248" i="30"/>
  <c r="N247" i="30"/>
  <c r="T246" i="30"/>
  <c r="L246" i="30"/>
  <c r="R245" i="30"/>
  <c r="J245" i="30"/>
  <c r="P244" i="30"/>
  <c r="H244" i="30"/>
  <c r="N243" i="30"/>
  <c r="T242" i="30"/>
  <c r="L242" i="30"/>
  <c r="R241" i="30"/>
  <c r="J241" i="30"/>
  <c r="P240" i="30"/>
  <c r="H240" i="30"/>
  <c r="N239" i="30"/>
  <c r="T238" i="30"/>
  <c r="L238" i="30"/>
  <c r="R237" i="30"/>
  <c r="J237" i="30"/>
  <c r="P236" i="30"/>
  <c r="H236" i="30"/>
  <c r="N235" i="30"/>
  <c r="T234" i="30"/>
  <c r="L234" i="30"/>
  <c r="R233" i="30"/>
  <c r="J233" i="30"/>
  <c r="P232" i="30"/>
  <c r="H232" i="30"/>
  <c r="N231" i="30"/>
  <c r="P253" i="30"/>
  <c r="H253" i="30"/>
  <c r="N252" i="30"/>
  <c r="T251" i="30"/>
  <c r="L251" i="30"/>
  <c r="R250" i="30"/>
  <c r="J250" i="30"/>
  <c r="P249" i="30"/>
  <c r="H249" i="30"/>
  <c r="N248" i="30"/>
  <c r="T247" i="30"/>
  <c r="L247" i="30"/>
  <c r="R246" i="30"/>
  <c r="J246" i="30"/>
  <c r="P245" i="30"/>
  <c r="H245" i="30"/>
  <c r="N244" i="30"/>
  <c r="T243" i="30"/>
  <c r="L243" i="30"/>
  <c r="R242" i="30"/>
  <c r="J242" i="30"/>
  <c r="P241" i="30"/>
  <c r="H241" i="30"/>
  <c r="N240" i="30"/>
  <c r="T239" i="30"/>
  <c r="L239" i="30"/>
  <c r="R238" i="30"/>
  <c r="J238" i="30"/>
  <c r="P237" i="30"/>
  <c r="H237" i="30"/>
  <c r="N236" i="30"/>
  <c r="T235" i="30"/>
  <c r="L235" i="30"/>
  <c r="R234" i="30"/>
  <c r="J234" i="30"/>
  <c r="P233" i="30"/>
  <c r="H233" i="30"/>
  <c r="N232" i="30"/>
  <c r="T231" i="30"/>
  <c r="L231" i="30"/>
  <c r="N253" i="30"/>
  <c r="T252" i="30"/>
  <c r="L252" i="30"/>
  <c r="R251" i="30"/>
  <c r="J251" i="30"/>
  <c r="P250" i="30"/>
  <c r="H250" i="30"/>
  <c r="N249" i="30"/>
  <c r="T248" i="30"/>
  <c r="L248" i="30"/>
  <c r="R247" i="30"/>
  <c r="J247" i="30"/>
  <c r="P246" i="30"/>
  <c r="H246" i="30"/>
  <c r="N245" i="30"/>
  <c r="T244" i="30"/>
  <c r="L244" i="30"/>
  <c r="R243" i="30"/>
  <c r="J243" i="30"/>
  <c r="P242" i="30"/>
  <c r="H242" i="30"/>
  <c r="N241" i="30"/>
  <c r="T240" i="30"/>
  <c r="L240" i="30"/>
  <c r="R239" i="30"/>
  <c r="J239" i="30"/>
  <c r="P238" i="30"/>
  <c r="H238" i="30"/>
  <c r="N237" i="30"/>
  <c r="T236" i="30"/>
  <c r="L236" i="30"/>
  <c r="R235" i="30"/>
  <c r="J235" i="30"/>
  <c r="P234" i="30"/>
  <c r="H234" i="30"/>
  <c r="N233" i="30"/>
  <c r="T232" i="30"/>
  <c r="L232" i="30"/>
  <c r="R231" i="30"/>
  <c r="J231" i="30"/>
  <c r="S790" i="30"/>
  <c r="O790" i="30"/>
  <c r="K790" i="30"/>
  <c r="G790" i="30"/>
  <c r="Q789" i="30"/>
  <c r="M789" i="30"/>
  <c r="I789" i="30"/>
  <c r="S788" i="30"/>
  <c r="O788" i="30"/>
  <c r="K788" i="30"/>
  <c r="G788" i="30"/>
  <c r="Q787" i="30"/>
  <c r="M787" i="30"/>
  <c r="I787" i="30"/>
  <c r="S786" i="30"/>
  <c r="O786" i="30"/>
  <c r="K786" i="30"/>
  <c r="G786" i="30"/>
  <c r="Q785" i="30"/>
  <c r="M785" i="30"/>
  <c r="I785" i="30"/>
  <c r="S784" i="30"/>
  <c r="O784" i="30"/>
  <c r="K784" i="30"/>
  <c r="G784" i="30"/>
  <c r="Q783" i="30"/>
  <c r="M783" i="30"/>
  <c r="I783" i="30"/>
  <c r="S782" i="30"/>
  <c r="O782" i="30"/>
  <c r="K782" i="30"/>
  <c r="G782" i="30"/>
  <c r="R790" i="30"/>
  <c r="N790" i="30"/>
  <c r="J790" i="30"/>
  <c r="T789" i="30"/>
  <c r="P789" i="30"/>
  <c r="L789" i="30"/>
  <c r="H789" i="30"/>
  <c r="R788" i="30"/>
  <c r="N788" i="30"/>
  <c r="J788" i="30"/>
  <c r="T787" i="30"/>
  <c r="P787" i="30"/>
  <c r="L787" i="30"/>
  <c r="H787" i="30"/>
  <c r="R786" i="30"/>
  <c r="N786" i="30"/>
  <c r="J786" i="30"/>
  <c r="T785" i="30"/>
  <c r="P785" i="30"/>
  <c r="L785" i="30"/>
  <c r="H785" i="30"/>
  <c r="R784" i="30"/>
  <c r="N784" i="30"/>
  <c r="J784" i="30"/>
  <c r="T783" i="30"/>
  <c r="P783" i="30"/>
  <c r="L783" i="30"/>
  <c r="H783" i="30"/>
  <c r="R782" i="30"/>
  <c r="N782" i="30"/>
  <c r="J782" i="30"/>
  <c r="Q790" i="30"/>
  <c r="M790" i="30"/>
  <c r="I790" i="30"/>
  <c r="S789" i="30"/>
  <c r="O789" i="30"/>
  <c r="K789" i="30"/>
  <c r="G789" i="30"/>
  <c r="Q788" i="30"/>
  <c r="M788" i="30"/>
  <c r="I788" i="30"/>
  <c r="S787" i="30"/>
  <c r="O787" i="30"/>
  <c r="K787" i="30"/>
  <c r="G787" i="30"/>
  <c r="Q786" i="30"/>
  <c r="M786" i="30"/>
  <c r="I786" i="30"/>
  <c r="S785" i="30"/>
  <c r="O785" i="30"/>
  <c r="K785" i="30"/>
  <c r="G785" i="30"/>
  <c r="Q784" i="30"/>
  <c r="M784" i="30"/>
  <c r="I784" i="30"/>
  <c r="S783" i="30"/>
  <c r="O783" i="30"/>
  <c r="K783" i="30"/>
  <c r="G783" i="30"/>
  <c r="Q782" i="30"/>
  <c r="M782" i="30"/>
  <c r="I782" i="30"/>
  <c r="T790" i="30"/>
  <c r="P790" i="30"/>
  <c r="L790" i="30"/>
  <c r="H790" i="30"/>
  <c r="R789" i="30"/>
  <c r="N789" i="30"/>
  <c r="J789" i="30"/>
  <c r="T788" i="30"/>
  <c r="P788" i="30"/>
  <c r="L788" i="30"/>
  <c r="H788" i="30"/>
  <c r="R787" i="30"/>
  <c r="N787" i="30"/>
  <c r="J787" i="30"/>
  <c r="T786" i="30"/>
  <c r="P786" i="30"/>
  <c r="L786" i="30"/>
  <c r="H786" i="30"/>
  <c r="R785" i="30"/>
  <c r="N785" i="30"/>
  <c r="J785" i="30"/>
  <c r="T784" i="30"/>
  <c r="P784" i="30"/>
  <c r="L784" i="30"/>
  <c r="H784" i="30"/>
  <c r="R783" i="30"/>
  <c r="N783" i="30"/>
  <c r="J783" i="30"/>
  <c r="T782" i="30"/>
  <c r="P782" i="30"/>
  <c r="L782" i="30"/>
  <c r="H782" i="30"/>
  <c r="Q122" i="15"/>
  <c r="Q118" i="15"/>
  <c r="Q97" i="10"/>
  <c r="Q90" i="10"/>
  <c r="Q289" i="15"/>
  <c r="R162" i="15"/>
  <c r="U125" i="15"/>
  <c r="Q117" i="15"/>
  <c r="AE55" i="10"/>
  <c r="S117" i="15"/>
  <c r="R166" i="15"/>
  <c r="U127" i="15"/>
  <c r="Q119" i="15"/>
  <c r="X90" i="10"/>
  <c r="X87" i="10"/>
  <c r="W87" i="10"/>
  <c r="R167" i="15"/>
  <c r="T123" i="15"/>
  <c r="L12" i="6"/>
  <c r="X93" i="10"/>
  <c r="AF44" i="10"/>
  <c r="AF52" i="10"/>
  <c r="T125" i="15"/>
  <c r="U948" i="30"/>
  <c r="D205" i="32" s="1"/>
  <c r="D204" i="32"/>
  <c r="U281" i="30"/>
  <c r="U283" i="30"/>
  <c r="G69" i="32" s="1"/>
  <c r="H35" i="9"/>
  <c r="T162" i="15"/>
  <c r="T156" i="15"/>
  <c r="T201" i="30"/>
  <c r="P201" i="30"/>
  <c r="L201" i="30"/>
  <c r="H201" i="30"/>
  <c r="R200" i="30"/>
  <c r="N200" i="30"/>
  <c r="J200" i="30"/>
  <c r="T199" i="30"/>
  <c r="P199" i="30"/>
  <c r="L199" i="30"/>
  <c r="H199" i="30"/>
  <c r="R198" i="30"/>
  <c r="N198" i="30"/>
  <c r="R201" i="30"/>
  <c r="N201" i="30"/>
  <c r="J201" i="30"/>
  <c r="T200" i="30"/>
  <c r="P200" i="30"/>
  <c r="L200" i="30"/>
  <c r="H200" i="30"/>
  <c r="R199" i="30"/>
  <c r="N199" i="30"/>
  <c r="J199" i="30"/>
  <c r="T198" i="30"/>
  <c r="P198" i="30"/>
  <c r="L198" i="30"/>
  <c r="H198" i="30"/>
  <c r="M201" i="30"/>
  <c r="S200" i="30"/>
  <c r="K200" i="30"/>
  <c r="Q199" i="30"/>
  <c r="I199" i="30"/>
  <c r="O198" i="30"/>
  <c r="I198" i="30"/>
  <c r="R197" i="30"/>
  <c r="N197" i="30"/>
  <c r="J197" i="30"/>
  <c r="T196" i="30"/>
  <c r="P196" i="30"/>
  <c r="L196" i="30"/>
  <c r="H196" i="30"/>
  <c r="R195" i="30"/>
  <c r="N195" i="30"/>
  <c r="J195" i="30"/>
  <c r="T194" i="30"/>
  <c r="P194" i="30"/>
  <c r="L194" i="30"/>
  <c r="H194" i="30"/>
  <c r="R193" i="30"/>
  <c r="N193" i="30"/>
  <c r="J193" i="30"/>
  <c r="T192" i="30"/>
  <c r="P192" i="30"/>
  <c r="L192" i="30"/>
  <c r="H192" i="30"/>
  <c r="R191" i="30"/>
  <c r="N191" i="30"/>
  <c r="J191" i="30"/>
  <c r="T190" i="30"/>
  <c r="P190" i="30"/>
  <c r="L190" i="30"/>
  <c r="H190" i="30"/>
  <c r="R189" i="30"/>
  <c r="N189" i="30"/>
  <c r="J189" i="30"/>
  <c r="T188" i="30"/>
  <c r="P188" i="30"/>
  <c r="L188" i="30"/>
  <c r="H188" i="30"/>
  <c r="R187" i="30"/>
  <c r="N187" i="30"/>
  <c r="J187" i="30"/>
  <c r="T186" i="30"/>
  <c r="P186" i="30"/>
  <c r="L186" i="30"/>
  <c r="H186" i="30"/>
  <c r="R185" i="30"/>
  <c r="N185" i="30"/>
  <c r="J185" i="30"/>
  <c r="T184" i="30"/>
  <c r="P184" i="30"/>
  <c r="L184" i="30"/>
  <c r="H184" i="30"/>
  <c r="R183" i="30"/>
  <c r="N183" i="30"/>
  <c r="J183" i="30"/>
  <c r="T182" i="30"/>
  <c r="P182" i="30"/>
  <c r="L182" i="30"/>
  <c r="H182" i="30"/>
  <c r="R181" i="30"/>
  <c r="N181" i="30"/>
  <c r="J181" i="30"/>
  <c r="T180" i="30"/>
  <c r="P180" i="30"/>
  <c r="L180" i="30"/>
  <c r="H180" i="30"/>
  <c r="R179" i="30"/>
  <c r="N179" i="30"/>
  <c r="J179" i="30"/>
  <c r="S201" i="30"/>
  <c r="K201" i="30"/>
  <c r="Q200" i="30"/>
  <c r="I200" i="30"/>
  <c r="O199" i="30"/>
  <c r="G199" i="30"/>
  <c r="M198" i="30"/>
  <c r="G198" i="30"/>
  <c r="Q197" i="30"/>
  <c r="M197" i="30"/>
  <c r="I197" i="30"/>
  <c r="S196" i="30"/>
  <c r="O196" i="30"/>
  <c r="K196" i="30"/>
  <c r="G196" i="30"/>
  <c r="Q195" i="30"/>
  <c r="M195" i="30"/>
  <c r="I195" i="30"/>
  <c r="S194" i="30"/>
  <c r="O194" i="30"/>
  <c r="K194" i="30"/>
  <c r="G194" i="30"/>
  <c r="Q193" i="30"/>
  <c r="M193" i="30"/>
  <c r="I193" i="30"/>
  <c r="S192" i="30"/>
  <c r="O192" i="30"/>
  <c r="K192" i="30"/>
  <c r="G192" i="30"/>
  <c r="Q191" i="30"/>
  <c r="M191" i="30"/>
  <c r="I191" i="30"/>
  <c r="S190" i="30"/>
  <c r="O190" i="30"/>
  <c r="K190" i="30"/>
  <c r="G190" i="30"/>
  <c r="Q189" i="30"/>
  <c r="M189" i="30"/>
  <c r="I189" i="30"/>
  <c r="S188" i="30"/>
  <c r="O188" i="30"/>
  <c r="K188" i="30"/>
  <c r="G188" i="30"/>
  <c r="Q187" i="30"/>
  <c r="M187" i="30"/>
  <c r="I187" i="30"/>
  <c r="S186" i="30"/>
  <c r="O186" i="30"/>
  <c r="K186" i="30"/>
  <c r="G186" i="30"/>
  <c r="Q185" i="30"/>
  <c r="M185" i="30"/>
  <c r="I185" i="30"/>
  <c r="S184" i="30"/>
  <c r="O184" i="30"/>
  <c r="K184" i="30"/>
  <c r="G184" i="30"/>
  <c r="Q183" i="30"/>
  <c r="M183" i="30"/>
  <c r="I183" i="30"/>
  <c r="S182" i="30"/>
  <c r="O182" i="30"/>
  <c r="K182" i="30"/>
  <c r="G182" i="30"/>
  <c r="Q181" i="30"/>
  <c r="M181" i="30"/>
  <c r="I181" i="30"/>
  <c r="S180" i="30"/>
  <c r="O180" i="30"/>
  <c r="K180" i="30"/>
  <c r="G180" i="30"/>
  <c r="Q179" i="30"/>
  <c r="M179" i="30"/>
  <c r="I179" i="30"/>
  <c r="O201" i="30"/>
  <c r="G201" i="30"/>
  <c r="M200" i="30"/>
  <c r="S199" i="30"/>
  <c r="K199" i="30"/>
  <c r="Q198" i="30"/>
  <c r="J198" i="30"/>
  <c r="S197" i="30"/>
  <c r="O197" i="30"/>
  <c r="K197" i="30"/>
  <c r="G197" i="30"/>
  <c r="Q196" i="30"/>
  <c r="M196" i="30"/>
  <c r="I196" i="30"/>
  <c r="S195" i="30"/>
  <c r="O195" i="30"/>
  <c r="K195" i="30"/>
  <c r="G195" i="30"/>
  <c r="Q194" i="30"/>
  <c r="M194" i="30"/>
  <c r="I194" i="30"/>
  <c r="S193" i="30"/>
  <c r="O193" i="30"/>
  <c r="K193" i="30"/>
  <c r="G193" i="30"/>
  <c r="Q192" i="30"/>
  <c r="M192" i="30"/>
  <c r="I192" i="30"/>
  <c r="S191" i="30"/>
  <c r="O191" i="30"/>
  <c r="K191" i="30"/>
  <c r="G191" i="30"/>
  <c r="Q190" i="30"/>
  <c r="M190" i="30"/>
  <c r="I190" i="30"/>
  <c r="S189" i="30"/>
  <c r="O189" i="30"/>
  <c r="K189" i="30"/>
  <c r="G189" i="30"/>
  <c r="Q188" i="30"/>
  <c r="M188" i="30"/>
  <c r="I188" i="30"/>
  <c r="S187" i="30"/>
  <c r="O187" i="30"/>
  <c r="K187" i="30"/>
  <c r="G187" i="30"/>
  <c r="Q186" i="30"/>
  <c r="M186" i="30"/>
  <c r="I186" i="30"/>
  <c r="S185" i="30"/>
  <c r="O185" i="30"/>
  <c r="K185" i="30"/>
  <c r="G185" i="30"/>
  <c r="Q184" i="30"/>
  <c r="M184" i="30"/>
  <c r="I184" i="30"/>
  <c r="S183" i="30"/>
  <c r="O183" i="30"/>
  <c r="K183" i="30"/>
  <c r="G183" i="30"/>
  <c r="Q182" i="30"/>
  <c r="M182" i="30"/>
  <c r="I182" i="30"/>
  <c r="S181" i="30"/>
  <c r="O181" i="30"/>
  <c r="K181" i="30"/>
  <c r="G181" i="30"/>
  <c r="Q180" i="30"/>
  <c r="M180" i="30"/>
  <c r="I180" i="30"/>
  <c r="S179" i="30"/>
  <c r="O179" i="30"/>
  <c r="K179" i="30"/>
  <c r="G179" i="30"/>
  <c r="I201" i="30"/>
  <c r="S198" i="30"/>
  <c r="L197" i="30"/>
  <c r="J196" i="30"/>
  <c r="H195" i="30"/>
  <c r="T193" i="30"/>
  <c r="R192" i="30"/>
  <c r="P191" i="30"/>
  <c r="N190" i="30"/>
  <c r="L189" i="30"/>
  <c r="J188" i="30"/>
  <c r="H187" i="30"/>
  <c r="T185" i="30"/>
  <c r="R184" i="30"/>
  <c r="P183" i="30"/>
  <c r="N182" i="30"/>
  <c r="L181" i="30"/>
  <c r="J180" i="30"/>
  <c r="H179" i="30"/>
  <c r="O200" i="30"/>
  <c r="K198" i="30"/>
  <c r="H197" i="30"/>
  <c r="T195" i="30"/>
  <c r="R194" i="30"/>
  <c r="P193" i="30"/>
  <c r="N192" i="30"/>
  <c r="L191" i="30"/>
  <c r="J190" i="30"/>
  <c r="H189" i="30"/>
  <c r="T187" i="30"/>
  <c r="R186" i="30"/>
  <c r="P185" i="30"/>
  <c r="N184" i="30"/>
  <c r="L183" i="30"/>
  <c r="J182" i="30"/>
  <c r="H181" i="30"/>
  <c r="T179" i="30"/>
  <c r="G200" i="30"/>
  <c r="T197" i="30"/>
  <c r="R196" i="30"/>
  <c r="P195" i="30"/>
  <c r="N194" i="30"/>
  <c r="L193" i="30"/>
  <c r="J192" i="30"/>
  <c r="H191" i="30"/>
  <c r="T189" i="30"/>
  <c r="R188" i="30"/>
  <c r="P187" i="30"/>
  <c r="N186" i="30"/>
  <c r="L185" i="30"/>
  <c r="J184" i="30"/>
  <c r="H183" i="30"/>
  <c r="T181" i="30"/>
  <c r="R180" i="30"/>
  <c r="P179" i="30"/>
  <c r="Q201" i="30"/>
  <c r="M199" i="30"/>
  <c r="P197" i="30"/>
  <c r="N196" i="30"/>
  <c r="L195" i="30"/>
  <c r="J194" i="30"/>
  <c r="H193" i="30"/>
  <c r="T191" i="30"/>
  <c r="R190" i="30"/>
  <c r="P189" i="30"/>
  <c r="N188" i="30"/>
  <c r="L187" i="30"/>
  <c r="J186" i="30"/>
  <c r="H185" i="30"/>
  <c r="T183" i="30"/>
  <c r="R182" i="30"/>
  <c r="P181" i="30"/>
  <c r="N180" i="30"/>
  <c r="L179" i="30"/>
  <c r="Q98" i="10"/>
  <c r="T161" i="15"/>
  <c r="T157" i="15"/>
  <c r="U128" i="15"/>
  <c r="U124" i="15"/>
  <c r="U120" i="15"/>
  <c r="U116" i="15"/>
  <c r="X98" i="10"/>
  <c r="X88" i="10"/>
  <c r="AF51" i="10"/>
  <c r="S289" i="15"/>
  <c r="N289" i="15"/>
  <c r="R161" i="15"/>
  <c r="R157" i="15"/>
  <c r="I289" i="15"/>
  <c r="R158" i="15"/>
  <c r="U123" i="15"/>
  <c r="T127" i="15"/>
  <c r="S116" i="15"/>
  <c r="S123" i="15"/>
  <c r="T121" i="15"/>
  <c r="R164" i="15"/>
  <c r="Q125" i="15"/>
  <c r="U117" i="15"/>
  <c r="Q96" i="10"/>
  <c r="P96" i="10"/>
  <c r="R128" i="15"/>
  <c r="R120" i="15"/>
  <c r="AF48" i="10"/>
  <c r="AF42" i="10"/>
  <c r="AE44" i="10"/>
  <c r="R165" i="15"/>
  <c r="T129" i="15"/>
  <c r="AE50" i="10"/>
  <c r="S122" i="15"/>
  <c r="AU53" i="10"/>
  <c r="AU47" i="10"/>
  <c r="V32" i="9"/>
  <c r="U1001" i="30"/>
  <c r="F237" i="32" s="1"/>
  <c r="U944" i="30"/>
  <c r="C205" i="32" s="1"/>
  <c r="C204" i="32"/>
  <c r="U203" i="30"/>
  <c r="S378" i="30"/>
  <c r="O378" i="30"/>
  <c r="K378" i="30"/>
  <c r="G378" i="30"/>
  <c r="Q377" i="30"/>
  <c r="M377" i="30"/>
  <c r="I377" i="30"/>
  <c r="Q378" i="30"/>
  <c r="M378" i="30"/>
  <c r="I378" i="30"/>
  <c r="S377" i="30"/>
  <c r="O377" i="30"/>
  <c r="K377" i="30"/>
  <c r="G377" i="30"/>
  <c r="T378" i="30"/>
  <c r="L378" i="30"/>
  <c r="R377" i="30"/>
  <c r="J377" i="30"/>
  <c r="R378" i="30"/>
  <c r="J378" i="30"/>
  <c r="P377" i="30"/>
  <c r="H377" i="30"/>
  <c r="N378" i="30"/>
  <c r="T377" i="30"/>
  <c r="L377" i="30"/>
  <c r="P378" i="30"/>
  <c r="H378" i="30"/>
  <c r="N377" i="30"/>
  <c r="R775" i="30"/>
  <c r="N775" i="30"/>
  <c r="J775" i="30"/>
  <c r="T774" i="30"/>
  <c r="P774" i="30"/>
  <c r="L774" i="30"/>
  <c r="H774" i="30"/>
  <c r="R773" i="30"/>
  <c r="N773" i="30"/>
  <c r="J773" i="30"/>
  <c r="T772" i="30"/>
  <c r="P772" i="30"/>
  <c r="L772" i="30"/>
  <c r="H772" i="30"/>
  <c r="R771" i="30"/>
  <c r="N771" i="30"/>
  <c r="J771" i="30"/>
  <c r="T770" i="30"/>
  <c r="P770" i="30"/>
  <c r="T775" i="30"/>
  <c r="P775" i="30"/>
  <c r="L775" i="30"/>
  <c r="H775" i="30"/>
  <c r="R774" i="30"/>
  <c r="N774" i="30"/>
  <c r="J774" i="30"/>
  <c r="T773" i="30"/>
  <c r="P773" i="30"/>
  <c r="L773" i="30"/>
  <c r="H773" i="30"/>
  <c r="R772" i="30"/>
  <c r="N772" i="30"/>
  <c r="J772" i="30"/>
  <c r="T771" i="30"/>
  <c r="P771" i="30"/>
  <c r="L771" i="30"/>
  <c r="H771" i="30"/>
  <c r="R770" i="30"/>
  <c r="S775" i="30"/>
  <c r="O775" i="30"/>
  <c r="K775" i="30"/>
  <c r="G775" i="30"/>
  <c r="Q774" i="30"/>
  <c r="M774" i="30"/>
  <c r="I774" i="30"/>
  <c r="S773" i="30"/>
  <c r="O773" i="30"/>
  <c r="K773" i="30"/>
  <c r="G773" i="30"/>
  <c r="Q772" i="30"/>
  <c r="M772" i="30"/>
  <c r="I772" i="30"/>
  <c r="S771" i="30"/>
  <c r="O771" i="30"/>
  <c r="K771" i="30"/>
  <c r="G771" i="30"/>
  <c r="S774" i="30"/>
  <c r="Q773" i="30"/>
  <c r="O772" i="30"/>
  <c r="M771" i="30"/>
  <c r="O770" i="30"/>
  <c r="K770" i="30"/>
  <c r="G770" i="30"/>
  <c r="Q769" i="30"/>
  <c r="M769" i="30"/>
  <c r="I769" i="30"/>
  <c r="S768" i="30"/>
  <c r="O768" i="30"/>
  <c r="K768" i="30"/>
  <c r="G768" i="30"/>
  <c r="Q775" i="30"/>
  <c r="O774" i="30"/>
  <c r="M773" i="30"/>
  <c r="K772" i="30"/>
  <c r="I771" i="30"/>
  <c r="N770" i="30"/>
  <c r="J770" i="30"/>
  <c r="T769" i="30"/>
  <c r="P769" i="30"/>
  <c r="L769" i="30"/>
  <c r="H769" i="30"/>
  <c r="R768" i="30"/>
  <c r="N768" i="30"/>
  <c r="J768" i="30"/>
  <c r="M775" i="30"/>
  <c r="K774" i="30"/>
  <c r="I773" i="30"/>
  <c r="G772" i="30"/>
  <c r="S770" i="30"/>
  <c r="M770" i="30"/>
  <c r="I770" i="30"/>
  <c r="S769" i="30"/>
  <c r="O769" i="30"/>
  <c r="K769" i="30"/>
  <c r="G769" i="30"/>
  <c r="Q768" i="30"/>
  <c r="M768" i="30"/>
  <c r="I768" i="30"/>
  <c r="I775" i="30"/>
  <c r="G774" i="30"/>
  <c r="S772" i="30"/>
  <c r="Q771" i="30"/>
  <c r="Q770" i="30"/>
  <c r="L770" i="30"/>
  <c r="H770" i="30"/>
  <c r="R769" i="30"/>
  <c r="N769" i="30"/>
  <c r="J769" i="30"/>
  <c r="T768" i="30"/>
  <c r="P768" i="30"/>
  <c r="L768" i="30"/>
  <c r="H768" i="30"/>
  <c r="P93" i="10"/>
  <c r="Q93" i="10"/>
  <c r="W86" i="10"/>
  <c r="X86" i="10"/>
  <c r="AF46" i="10"/>
  <c r="L289" i="15"/>
  <c r="Q128" i="15"/>
  <c r="Q124" i="15"/>
  <c r="Q120" i="15"/>
  <c r="X97" i="10"/>
  <c r="Q91" i="10"/>
  <c r="O289" i="15"/>
  <c r="T128" i="15"/>
  <c r="T120" i="15"/>
  <c r="T116" i="15"/>
  <c r="Q129" i="15"/>
  <c r="U121" i="15"/>
  <c r="S124" i="15"/>
  <c r="X92" i="10"/>
  <c r="S129" i="15"/>
  <c r="Q89" i="10"/>
  <c r="R160" i="15"/>
  <c r="Q123" i="15"/>
  <c r="P85" i="10"/>
  <c r="Q85" i="10"/>
  <c r="Q92" i="10"/>
  <c r="T119" i="15"/>
  <c r="Q95" i="10"/>
  <c r="AF55" i="10"/>
  <c r="AF45" i="10"/>
  <c r="S125" i="15"/>
  <c r="S118" i="15"/>
  <c r="N29" i="9"/>
  <c r="O29" i="9" s="1"/>
  <c r="U956" i="30"/>
  <c r="F205" i="32" s="1"/>
  <c r="F204" i="32"/>
  <c r="Q279" i="30"/>
  <c r="M279" i="30"/>
  <c r="I279" i="30"/>
  <c r="S278" i="30"/>
  <c r="O278" i="30"/>
  <c r="K278" i="30"/>
  <c r="G278" i="30"/>
  <c r="Q277" i="30"/>
  <c r="M277" i="30"/>
  <c r="I277" i="30"/>
  <c r="S276" i="30"/>
  <c r="O276" i="30"/>
  <c r="K276" i="30"/>
  <c r="G276" i="30"/>
  <c r="Q275" i="30"/>
  <c r="M275" i="30"/>
  <c r="I275" i="30"/>
  <c r="S274" i="30"/>
  <c r="O274" i="30"/>
  <c r="K274" i="30"/>
  <c r="G274" i="30"/>
  <c r="Q273" i="30"/>
  <c r="M273" i="30"/>
  <c r="I273" i="30"/>
  <c r="S272" i="30"/>
  <c r="O272" i="30"/>
  <c r="K272" i="30"/>
  <c r="G272" i="30"/>
  <c r="Q271" i="30"/>
  <c r="M271" i="30"/>
  <c r="I271" i="30"/>
  <c r="S270" i="30"/>
  <c r="O270" i="30"/>
  <c r="K270" i="30"/>
  <c r="G270" i="30"/>
  <c r="Q269" i="30"/>
  <c r="M269" i="30"/>
  <c r="I269" i="30"/>
  <c r="S268" i="30"/>
  <c r="O268" i="30"/>
  <c r="K268" i="30"/>
  <c r="G268" i="30"/>
  <c r="Q267" i="30"/>
  <c r="M267" i="30"/>
  <c r="I267" i="30"/>
  <c r="S266" i="30"/>
  <c r="O266" i="30"/>
  <c r="K266" i="30"/>
  <c r="G266" i="30"/>
  <c r="Q265" i="30"/>
  <c r="M265" i="30"/>
  <c r="I265" i="30"/>
  <c r="S264" i="30"/>
  <c r="O264" i="30"/>
  <c r="K264" i="30"/>
  <c r="G264" i="30"/>
  <c r="Q263" i="30"/>
  <c r="M263" i="30"/>
  <c r="I263" i="30"/>
  <c r="S262" i="30"/>
  <c r="O262" i="30"/>
  <c r="K262" i="30"/>
  <c r="G262" i="30"/>
  <c r="Q261" i="30"/>
  <c r="M261" i="30"/>
  <c r="I261" i="30"/>
  <c r="S260" i="30"/>
  <c r="O260" i="30"/>
  <c r="K260" i="30"/>
  <c r="G260" i="30"/>
  <c r="Q259" i="30"/>
  <c r="M259" i="30"/>
  <c r="I259" i="30"/>
  <c r="S258" i="30"/>
  <c r="O258" i="30"/>
  <c r="K258" i="30"/>
  <c r="G258" i="30"/>
  <c r="Q257" i="30"/>
  <c r="M257" i="30"/>
  <c r="I257" i="30"/>
  <c r="S279" i="30"/>
  <c r="O279" i="30"/>
  <c r="K279" i="30"/>
  <c r="G279" i="30"/>
  <c r="Q278" i="30"/>
  <c r="M278" i="30"/>
  <c r="I278" i="30"/>
  <c r="S277" i="30"/>
  <c r="O277" i="30"/>
  <c r="K277" i="30"/>
  <c r="G277" i="30"/>
  <c r="Q276" i="30"/>
  <c r="M276" i="30"/>
  <c r="I276" i="30"/>
  <c r="S275" i="30"/>
  <c r="O275" i="30"/>
  <c r="K275" i="30"/>
  <c r="G275" i="30"/>
  <c r="Q274" i="30"/>
  <c r="M274" i="30"/>
  <c r="I274" i="30"/>
  <c r="S273" i="30"/>
  <c r="O273" i="30"/>
  <c r="K273" i="30"/>
  <c r="G273" i="30"/>
  <c r="Q272" i="30"/>
  <c r="M272" i="30"/>
  <c r="I272" i="30"/>
  <c r="S271" i="30"/>
  <c r="O271" i="30"/>
  <c r="K271" i="30"/>
  <c r="G271" i="30"/>
  <c r="Q270" i="30"/>
  <c r="M270" i="30"/>
  <c r="I270" i="30"/>
  <c r="S269" i="30"/>
  <c r="O269" i="30"/>
  <c r="K269" i="30"/>
  <c r="G269" i="30"/>
  <c r="Q268" i="30"/>
  <c r="M268" i="30"/>
  <c r="I268" i="30"/>
  <c r="S267" i="30"/>
  <c r="O267" i="30"/>
  <c r="K267" i="30"/>
  <c r="G267" i="30"/>
  <c r="Q266" i="30"/>
  <c r="M266" i="30"/>
  <c r="I266" i="30"/>
  <c r="S265" i="30"/>
  <c r="O265" i="30"/>
  <c r="K265" i="30"/>
  <c r="G265" i="30"/>
  <c r="Q264" i="30"/>
  <c r="M264" i="30"/>
  <c r="I264" i="30"/>
  <c r="S263" i="30"/>
  <c r="O263" i="30"/>
  <c r="K263" i="30"/>
  <c r="G263" i="30"/>
  <c r="Q262" i="30"/>
  <c r="M262" i="30"/>
  <c r="I262" i="30"/>
  <c r="S261" i="30"/>
  <c r="O261" i="30"/>
  <c r="K261" i="30"/>
  <c r="G261" i="30"/>
  <c r="Q260" i="30"/>
  <c r="M260" i="30"/>
  <c r="I260" i="30"/>
  <c r="S259" i="30"/>
  <c r="O259" i="30"/>
  <c r="K259" i="30"/>
  <c r="G259" i="30"/>
  <c r="Q258" i="30"/>
  <c r="M258" i="30"/>
  <c r="I258" i="30"/>
  <c r="S257" i="30"/>
  <c r="O257" i="30"/>
  <c r="K257" i="30"/>
  <c r="G257" i="30"/>
  <c r="N279" i="30"/>
  <c r="T278" i="30"/>
  <c r="L278" i="30"/>
  <c r="R277" i="30"/>
  <c r="J277" i="30"/>
  <c r="P276" i="30"/>
  <c r="H276" i="30"/>
  <c r="N275" i="30"/>
  <c r="T274" i="30"/>
  <c r="L274" i="30"/>
  <c r="R273" i="30"/>
  <c r="J273" i="30"/>
  <c r="P272" i="30"/>
  <c r="H272" i="30"/>
  <c r="N271" i="30"/>
  <c r="T270" i="30"/>
  <c r="L270" i="30"/>
  <c r="R269" i="30"/>
  <c r="J269" i="30"/>
  <c r="P268" i="30"/>
  <c r="H268" i="30"/>
  <c r="N267" i="30"/>
  <c r="T266" i="30"/>
  <c r="L266" i="30"/>
  <c r="R265" i="30"/>
  <c r="J265" i="30"/>
  <c r="P264" i="30"/>
  <c r="H264" i="30"/>
  <c r="N263" i="30"/>
  <c r="T262" i="30"/>
  <c r="L262" i="30"/>
  <c r="R261" i="30"/>
  <c r="J261" i="30"/>
  <c r="P260" i="30"/>
  <c r="H260" i="30"/>
  <c r="N259" i="30"/>
  <c r="T258" i="30"/>
  <c r="L258" i="30"/>
  <c r="R257" i="30"/>
  <c r="J257" i="30"/>
  <c r="T279" i="30"/>
  <c r="L279" i="30"/>
  <c r="R278" i="30"/>
  <c r="J278" i="30"/>
  <c r="P277" i="30"/>
  <c r="H277" i="30"/>
  <c r="N276" i="30"/>
  <c r="T275" i="30"/>
  <c r="L275" i="30"/>
  <c r="R274" i="30"/>
  <c r="J274" i="30"/>
  <c r="P273" i="30"/>
  <c r="H273" i="30"/>
  <c r="N272" i="30"/>
  <c r="T271" i="30"/>
  <c r="L271" i="30"/>
  <c r="R270" i="30"/>
  <c r="J270" i="30"/>
  <c r="P269" i="30"/>
  <c r="H269" i="30"/>
  <c r="N268" i="30"/>
  <c r="T267" i="30"/>
  <c r="L267" i="30"/>
  <c r="R266" i="30"/>
  <c r="J266" i="30"/>
  <c r="P265" i="30"/>
  <c r="H265" i="30"/>
  <c r="N264" i="30"/>
  <c r="T263" i="30"/>
  <c r="L263" i="30"/>
  <c r="R262" i="30"/>
  <c r="J262" i="30"/>
  <c r="P261" i="30"/>
  <c r="H261" i="30"/>
  <c r="N260" i="30"/>
  <c r="T259" i="30"/>
  <c r="L259" i="30"/>
  <c r="R258" i="30"/>
  <c r="J258" i="30"/>
  <c r="P257" i="30"/>
  <c r="H257" i="30"/>
  <c r="R279" i="30"/>
  <c r="J279" i="30"/>
  <c r="P278" i="30"/>
  <c r="H278" i="30"/>
  <c r="N277" i="30"/>
  <c r="T276" i="30"/>
  <c r="L276" i="30"/>
  <c r="R275" i="30"/>
  <c r="J275" i="30"/>
  <c r="P274" i="30"/>
  <c r="H274" i="30"/>
  <c r="N273" i="30"/>
  <c r="T272" i="30"/>
  <c r="L272" i="30"/>
  <c r="R271" i="30"/>
  <c r="J271" i="30"/>
  <c r="P270" i="30"/>
  <c r="H270" i="30"/>
  <c r="N269" i="30"/>
  <c r="T268" i="30"/>
  <c r="L268" i="30"/>
  <c r="R267" i="30"/>
  <c r="J267" i="30"/>
  <c r="P266" i="30"/>
  <c r="H266" i="30"/>
  <c r="N265" i="30"/>
  <c r="T264" i="30"/>
  <c r="L264" i="30"/>
  <c r="R263" i="30"/>
  <c r="J263" i="30"/>
  <c r="P262" i="30"/>
  <c r="H262" i="30"/>
  <c r="N261" i="30"/>
  <c r="T260" i="30"/>
  <c r="L260" i="30"/>
  <c r="R259" i="30"/>
  <c r="J259" i="30"/>
  <c r="P258" i="30"/>
  <c r="H258" i="30"/>
  <c r="N257" i="30"/>
  <c r="P279" i="30"/>
  <c r="H279" i="30"/>
  <c r="N278" i="30"/>
  <c r="T277" i="30"/>
  <c r="L277" i="30"/>
  <c r="R276" i="30"/>
  <c r="J276" i="30"/>
  <c r="P275" i="30"/>
  <c r="H275" i="30"/>
  <c r="N274" i="30"/>
  <c r="T273" i="30"/>
  <c r="L273" i="30"/>
  <c r="R272" i="30"/>
  <c r="J272" i="30"/>
  <c r="P271" i="30"/>
  <c r="H271" i="30"/>
  <c r="N270" i="30"/>
  <c r="T269" i="30"/>
  <c r="L269" i="30"/>
  <c r="R268" i="30"/>
  <c r="J268" i="30"/>
  <c r="P267" i="30"/>
  <c r="H267" i="30"/>
  <c r="N266" i="30"/>
  <c r="T265" i="30"/>
  <c r="L265" i="30"/>
  <c r="R264" i="30"/>
  <c r="J264" i="30"/>
  <c r="P263" i="30"/>
  <c r="H263" i="30"/>
  <c r="N262" i="30"/>
  <c r="T261" i="30"/>
  <c r="L261" i="30"/>
  <c r="R260" i="30"/>
  <c r="J260" i="30"/>
  <c r="P259" i="30"/>
  <c r="H259" i="30"/>
  <c r="N258" i="30"/>
  <c r="T257" i="30"/>
  <c r="L257" i="30"/>
  <c r="U229" i="30"/>
  <c r="E69" i="32" s="1"/>
  <c r="T160" i="15"/>
  <c r="Q86" i="10"/>
  <c r="AF53" i="10"/>
  <c r="T163" i="15"/>
  <c r="T159" i="15"/>
  <c r="T155" i="15"/>
  <c r="T166" i="15"/>
  <c r="U126" i="15"/>
  <c r="U122" i="15"/>
  <c r="U118" i="15"/>
  <c r="X85" i="10"/>
  <c r="Q127" i="15"/>
  <c r="U119" i="15"/>
  <c r="X95" i="10"/>
  <c r="Q87" i="10"/>
  <c r="AF50" i="10"/>
  <c r="R156" i="15"/>
  <c r="Q121" i="15"/>
  <c r="X94" i="10"/>
  <c r="X89" i="10"/>
  <c r="AF54" i="10"/>
  <c r="R116" i="15"/>
  <c r="R119" i="15"/>
  <c r="AF47" i="10"/>
  <c r="T167" i="15"/>
  <c r="R127" i="15"/>
  <c r="R123" i="15"/>
  <c r="S126" i="15"/>
  <c r="J90" i="15"/>
  <c r="R80" i="15"/>
  <c r="R82" i="15"/>
  <c r="K90" i="15"/>
  <c r="G669" i="30" s="1" a="1"/>
  <c r="T76" i="15"/>
  <c r="I90" i="15"/>
  <c r="F90" i="15"/>
  <c r="H90" i="15"/>
  <c r="H24" i="9"/>
  <c r="C24" i="9" s="1"/>
  <c r="K907" i="30"/>
  <c r="M906" i="30"/>
  <c r="N36" i="9"/>
  <c r="O36" i="9" s="1"/>
  <c r="AB26" i="9"/>
  <c r="T906" i="30"/>
  <c r="N909" i="30"/>
  <c r="N31" i="9"/>
  <c r="O31" i="9" s="1"/>
  <c r="G836" i="30" a="1"/>
  <c r="T863" i="30" s="1"/>
  <c r="G15" i="9"/>
  <c r="O908" i="30"/>
  <c r="T907" i="30"/>
  <c r="H34" i="9"/>
  <c r="G907" i="30"/>
  <c r="G909" i="30"/>
  <c r="R906" i="30"/>
  <c r="L1006" i="30"/>
  <c r="J84" i="26"/>
  <c r="O1006" i="30"/>
  <c r="M84" i="26"/>
  <c r="J1006" i="30"/>
  <c r="H84" i="26"/>
  <c r="M1006" i="30"/>
  <c r="K84" i="26"/>
  <c r="G84" i="26"/>
  <c r="I1006" i="30"/>
  <c r="T1006" i="30"/>
  <c r="R84" i="26"/>
  <c r="K1006" i="30"/>
  <c r="I84" i="26"/>
  <c r="J909" i="30"/>
  <c r="G906" i="30"/>
  <c r="G908" i="30"/>
  <c r="H909" i="30"/>
  <c r="H1006" i="30"/>
  <c r="F84" i="26"/>
  <c r="G1006" i="30"/>
  <c r="E84" i="26"/>
  <c r="E102" i="26" s="1"/>
  <c r="P1006" i="30"/>
  <c r="N84" i="26"/>
  <c r="S1006" i="30"/>
  <c r="Q84" i="26"/>
  <c r="L84" i="26"/>
  <c r="N1006" i="30"/>
  <c r="I906" i="30"/>
  <c r="K906" i="30"/>
  <c r="K909" i="30"/>
  <c r="K908" i="30"/>
  <c r="J907" i="30"/>
  <c r="J906" i="30"/>
  <c r="N908" i="30"/>
  <c r="H908" i="30"/>
  <c r="R907" i="30"/>
  <c r="Q906" i="30"/>
  <c r="R909" i="30"/>
  <c r="Q908" i="30"/>
  <c r="L907" i="30"/>
  <c r="P909" i="30"/>
  <c r="S908" i="30"/>
  <c r="O906" i="30"/>
  <c r="M908" i="30"/>
  <c r="M907" i="30"/>
  <c r="T908" i="30"/>
  <c r="L906" i="30"/>
  <c r="S907" i="30"/>
  <c r="M909" i="30"/>
  <c r="S906" i="30"/>
  <c r="L908" i="30"/>
  <c r="S909" i="30"/>
  <c r="H907" i="30"/>
  <c r="J908" i="30"/>
  <c r="L909" i="30"/>
  <c r="Q907" i="30"/>
  <c r="O909" i="30"/>
  <c r="P906" i="30"/>
  <c r="I908" i="30"/>
  <c r="Q909" i="30"/>
  <c r="I907" i="30"/>
  <c r="P908" i="30"/>
  <c r="H906" i="30"/>
  <c r="O907" i="30"/>
  <c r="I909" i="30"/>
  <c r="N906" i="30"/>
  <c r="P907" i="30"/>
  <c r="R908" i="30"/>
  <c r="W113" i="9"/>
  <c r="I36" i="9"/>
  <c r="C36" i="9"/>
  <c r="AB33" i="9"/>
  <c r="AA33" i="9"/>
  <c r="V23" i="9"/>
  <c r="V28" i="9"/>
  <c r="U23" i="9"/>
  <c r="AB29" i="9"/>
  <c r="V31" i="9"/>
  <c r="U31" i="9"/>
  <c r="AB24" i="9"/>
  <c r="AA24" i="9"/>
  <c r="V30" i="9"/>
  <c r="I26" i="9"/>
  <c r="G16" i="9"/>
  <c r="H27" i="9"/>
  <c r="AB36" i="9"/>
  <c r="AB32" i="9"/>
  <c r="V33" i="9"/>
  <c r="V36" i="9"/>
  <c r="N23" i="9"/>
  <c r="G14" i="9"/>
  <c r="U27" i="9"/>
  <c r="V27" i="9"/>
  <c r="U24" i="9"/>
  <c r="V24" i="9"/>
  <c r="AB30" i="9"/>
  <c r="V29" i="9"/>
  <c r="AB31" i="9"/>
  <c r="AB27" i="9"/>
  <c r="F16" i="9"/>
  <c r="AB35" i="9"/>
  <c r="F14" i="9"/>
  <c r="O24" i="9"/>
  <c r="V34" i="9"/>
  <c r="N30" i="9"/>
  <c r="V26" i="9"/>
  <c r="AB23" i="9"/>
  <c r="AB34" i="9"/>
  <c r="AA23" i="9"/>
  <c r="C25" i="9"/>
  <c r="AB25" i="9"/>
  <c r="AA25" i="9"/>
  <c r="AB28" i="9"/>
  <c r="V35" i="9"/>
  <c r="V25" i="9"/>
  <c r="C26" i="9"/>
  <c r="H23" i="9"/>
  <c r="AE94" i="10"/>
  <c r="AE93" i="10"/>
  <c r="AE90" i="10"/>
  <c r="AE91" i="10"/>
  <c r="AE85" i="10"/>
  <c r="AD85" i="10"/>
  <c r="AE88" i="10"/>
  <c r="AE86" i="10"/>
  <c r="AE97" i="10"/>
  <c r="AE96" i="10"/>
  <c r="AE89" i="10"/>
  <c r="AE92" i="10"/>
  <c r="AE87" i="10"/>
  <c r="AE98" i="10"/>
  <c r="I85" i="10"/>
  <c r="J85" i="10"/>
  <c r="J86" i="10"/>
  <c r="J90" i="10"/>
  <c r="J88" i="10"/>
  <c r="J96" i="10"/>
  <c r="J92" i="10"/>
  <c r="J89" i="10"/>
  <c r="J87" i="10"/>
  <c r="J98" i="10"/>
  <c r="J94" i="10"/>
  <c r="J97" i="10"/>
  <c r="J95" i="10"/>
  <c r="J93" i="10"/>
  <c r="J91" i="10"/>
  <c r="AU51" i="10"/>
  <c r="AU50" i="10"/>
  <c r="AU46" i="10"/>
  <c r="AU48" i="10"/>
  <c r="AU49" i="10"/>
  <c r="AU55" i="10"/>
  <c r="AT52" i="10"/>
  <c r="AU44" i="10"/>
  <c r="AU42" i="10"/>
  <c r="AT55" i="10"/>
  <c r="AT43" i="10"/>
  <c r="BJ45" i="10"/>
  <c r="BJ42" i="10"/>
  <c r="BZ54" i="10"/>
  <c r="P49" i="10"/>
  <c r="BZ46" i="10"/>
  <c r="P43" i="10"/>
  <c r="BZ49" i="10"/>
  <c r="BZ43" i="10"/>
  <c r="BZ50" i="10"/>
  <c r="BJ49" i="10"/>
  <c r="BJ46" i="10"/>
  <c r="BJ51" i="10"/>
  <c r="BZ55" i="10"/>
  <c r="BZ48" i="10"/>
  <c r="BZ45" i="10"/>
  <c r="BJ54" i="10"/>
  <c r="BJ48" i="10"/>
  <c r="P52" i="10"/>
  <c r="BZ42" i="10"/>
  <c r="BZ44" i="10"/>
  <c r="BZ51" i="10"/>
  <c r="BJ55" i="10"/>
  <c r="BJ43" i="10"/>
  <c r="BJ47" i="10"/>
  <c r="BJ44" i="10"/>
  <c r="BJ50" i="10"/>
  <c r="P50" i="10"/>
  <c r="BZ47" i="10"/>
  <c r="BZ53" i="10"/>
  <c r="BZ52" i="10"/>
  <c r="BH56" i="10"/>
  <c r="P42" i="10"/>
  <c r="P46" i="10"/>
  <c r="P54" i="10"/>
  <c r="P53" i="10"/>
  <c r="P44" i="10"/>
  <c r="P55" i="10"/>
  <c r="P47" i="10"/>
  <c r="P48" i="10"/>
  <c r="P45" i="10"/>
  <c r="T382" i="30"/>
  <c r="P382" i="30"/>
  <c r="L382" i="30"/>
  <c r="H382" i="30"/>
  <c r="R381" i="30"/>
  <c r="N381" i="30"/>
  <c r="J381" i="30"/>
  <c r="S382" i="30"/>
  <c r="O382" i="30"/>
  <c r="K382" i="30"/>
  <c r="G382" i="30"/>
  <c r="Q381" i="30"/>
  <c r="M381" i="30"/>
  <c r="I381" i="30"/>
  <c r="R382" i="30"/>
  <c r="N382" i="30"/>
  <c r="J382" i="30"/>
  <c r="T381" i="30"/>
  <c r="P381" i="30"/>
  <c r="L381" i="30"/>
  <c r="H381" i="30"/>
  <c r="Q382" i="30"/>
  <c r="M382" i="30"/>
  <c r="I382" i="30"/>
  <c r="S381" i="30"/>
  <c r="O381" i="30"/>
  <c r="K381" i="30"/>
  <c r="G381" i="30"/>
  <c r="S384" i="30"/>
  <c r="O384" i="30"/>
  <c r="K384" i="30"/>
  <c r="G384" i="30"/>
  <c r="Q383" i="30"/>
  <c r="M383" i="30"/>
  <c r="I383" i="30"/>
  <c r="R384" i="30"/>
  <c r="N384" i="30"/>
  <c r="J384" i="30"/>
  <c r="T383" i="30"/>
  <c r="P383" i="30"/>
  <c r="L383" i="30"/>
  <c r="H383" i="30"/>
  <c r="Q384" i="30"/>
  <c r="M384" i="30"/>
  <c r="I384" i="30"/>
  <c r="S383" i="30"/>
  <c r="O383" i="30"/>
  <c r="K383" i="30"/>
  <c r="G383" i="30"/>
  <c r="T384" i="30"/>
  <c r="P384" i="30"/>
  <c r="L384" i="30"/>
  <c r="H384" i="30"/>
  <c r="R383" i="30"/>
  <c r="N383" i="30"/>
  <c r="J383" i="30"/>
  <c r="S376" i="30"/>
  <c r="O376" i="30"/>
  <c r="K376" i="30"/>
  <c r="G376" i="30"/>
  <c r="Q375" i="30"/>
  <c r="M375" i="30"/>
  <c r="R376" i="30"/>
  <c r="N376" i="30"/>
  <c r="J376" i="30"/>
  <c r="T375" i="30"/>
  <c r="P375" i="30"/>
  <c r="L375" i="30"/>
  <c r="H375" i="30"/>
  <c r="Q376" i="30"/>
  <c r="M376" i="30"/>
  <c r="I376" i="30"/>
  <c r="S375" i="30"/>
  <c r="O375" i="30"/>
  <c r="K375" i="30"/>
  <c r="G375" i="30"/>
  <c r="T376" i="30"/>
  <c r="P376" i="30"/>
  <c r="L376" i="30"/>
  <c r="H376" i="30"/>
  <c r="N375" i="30"/>
  <c r="J375" i="30"/>
  <c r="R375" i="30"/>
  <c r="I375" i="30"/>
  <c r="Q380" i="30"/>
  <c r="M380" i="30"/>
  <c r="I380" i="30"/>
  <c r="S379" i="30"/>
  <c r="O379" i="30"/>
  <c r="K379" i="30"/>
  <c r="G379" i="30"/>
  <c r="E74" i="32" s="1"/>
  <c r="T380" i="30"/>
  <c r="P380" i="30"/>
  <c r="L380" i="30"/>
  <c r="H380" i="30"/>
  <c r="R379" i="30"/>
  <c r="N379" i="30"/>
  <c r="J379" i="30"/>
  <c r="S380" i="30"/>
  <c r="O380" i="30"/>
  <c r="K380" i="30"/>
  <c r="G380" i="30"/>
  <c r="Q379" i="30"/>
  <c r="M379" i="30"/>
  <c r="I379" i="30"/>
  <c r="R380" i="30"/>
  <c r="N380" i="30"/>
  <c r="J380" i="30"/>
  <c r="T379" i="30"/>
  <c r="P379" i="30"/>
  <c r="L379" i="30"/>
  <c r="H379" i="30"/>
  <c r="T85" i="15"/>
  <c r="T77" i="15"/>
  <c r="T88" i="15"/>
  <c r="T84" i="15"/>
  <c r="T80" i="15"/>
  <c r="T83" i="15"/>
  <c r="T89" i="15"/>
  <c r="R78" i="15"/>
  <c r="R87" i="15"/>
  <c r="R83" i="15"/>
  <c r="R79" i="15"/>
  <c r="R88" i="15"/>
  <c r="T81" i="15"/>
  <c r="T87" i="15"/>
  <c r="T86" i="15"/>
  <c r="T82" i="15"/>
  <c r="T78" i="15"/>
  <c r="R84" i="15"/>
  <c r="T79" i="15"/>
  <c r="R86" i="15"/>
  <c r="R89" i="15"/>
  <c r="R85" i="15"/>
  <c r="R81" i="15"/>
  <c r="R77" i="15"/>
  <c r="N1014" i="30"/>
  <c r="J1014" i="30"/>
  <c r="Q1014" i="30"/>
  <c r="M1009" i="30"/>
  <c r="Q1009" i="30"/>
  <c r="I999" i="30"/>
  <c r="N1009" i="30"/>
  <c r="N999" i="30"/>
  <c r="M1014" i="30"/>
  <c r="I1009" i="30"/>
  <c r="Q999" i="30"/>
  <c r="J1009" i="30"/>
  <c r="J999" i="30"/>
  <c r="I1014" i="30"/>
  <c r="M999" i="30"/>
  <c r="G571" i="30" l="1"/>
  <c r="H118" i="32"/>
  <c r="F74" i="32"/>
  <c r="G74" i="32"/>
  <c r="M112" i="26"/>
  <c r="O1032" i="30" s="1"/>
  <c r="O1031" i="30"/>
  <c r="I112" i="26"/>
  <c r="K1032" i="30" s="1"/>
  <c r="K1031" i="30"/>
  <c r="R112" i="26"/>
  <c r="T1032" i="30" s="1"/>
  <c r="T1031" i="30"/>
  <c r="O112" i="26"/>
  <c r="Q1032" i="30" s="1"/>
  <c r="Q1031" i="30"/>
  <c r="F112" i="26"/>
  <c r="H1032" i="30" s="1"/>
  <c r="H1031" i="30"/>
  <c r="G112" i="26"/>
  <c r="I1032" i="30" s="1"/>
  <c r="I1031" i="30"/>
  <c r="P112" i="26"/>
  <c r="R1032" i="30" s="1"/>
  <c r="R1031" i="30"/>
  <c r="N112" i="26"/>
  <c r="P1032" i="30" s="1"/>
  <c r="P1031" i="30"/>
  <c r="Q112" i="26"/>
  <c r="S1032" i="30" s="1"/>
  <c r="S1031" i="30"/>
  <c r="G1032" i="30"/>
  <c r="G1031" i="30"/>
  <c r="J112" i="26"/>
  <c r="L1032" i="30" s="1"/>
  <c r="L1031" i="30"/>
  <c r="E73" i="32"/>
  <c r="E75" i="32"/>
  <c r="F73" i="32"/>
  <c r="F75" i="32"/>
  <c r="G75" i="32"/>
  <c r="G73" i="32"/>
  <c r="G697" i="30" a="1"/>
  <c r="G697" i="30" s="1"/>
  <c r="G722" i="30" a="1"/>
  <c r="G722" i="30" s="1"/>
  <c r="F153" i="32" s="1"/>
  <c r="G706" i="30" a="1"/>
  <c r="G672" i="30" a="1"/>
  <c r="E54" i="32"/>
  <c r="E48" i="32"/>
  <c r="E58" i="32"/>
  <c r="E50" i="32"/>
  <c r="E60" i="32"/>
  <c r="E67" i="32"/>
  <c r="E56" i="32"/>
  <c r="E65" i="32"/>
  <c r="R1026" i="30"/>
  <c r="E47" i="32"/>
  <c r="E52" i="32"/>
  <c r="Q1026" i="30"/>
  <c r="E46" i="32"/>
  <c r="E62" i="32"/>
  <c r="E55" i="32"/>
  <c r="D56" i="32"/>
  <c r="F54" i="32"/>
  <c r="G48" i="32"/>
  <c r="D60" i="32"/>
  <c r="D55" i="32"/>
  <c r="F65" i="32"/>
  <c r="F58" i="32"/>
  <c r="H46" i="32"/>
  <c r="H50" i="32"/>
  <c r="D50" i="32"/>
  <c r="H48" i="32"/>
  <c r="H54" i="32"/>
  <c r="G50" i="32"/>
  <c r="D46" i="32"/>
  <c r="F67" i="32"/>
  <c r="F60" i="32"/>
  <c r="H52" i="32"/>
  <c r="D52" i="32"/>
  <c r="G54" i="32"/>
  <c r="F48" i="32"/>
  <c r="G46" i="32"/>
  <c r="G62" i="32"/>
  <c r="D58" i="32"/>
  <c r="D53" i="32"/>
  <c r="F56" i="32"/>
  <c r="H65" i="32"/>
  <c r="G56" i="32"/>
  <c r="G65" i="32"/>
  <c r="D47" i="32"/>
  <c r="F50" i="32"/>
  <c r="H67" i="32"/>
  <c r="G60" i="32"/>
  <c r="D67" i="32"/>
  <c r="H58" i="32"/>
  <c r="G58" i="32"/>
  <c r="G67" i="32"/>
  <c r="D54" i="32"/>
  <c r="D65" i="32"/>
  <c r="F52" i="32"/>
  <c r="G52" i="32"/>
  <c r="D48" i="32"/>
  <c r="F46" i="32"/>
  <c r="F62" i="32"/>
  <c r="H56" i="32"/>
  <c r="H62" i="32"/>
  <c r="H60" i="32"/>
  <c r="D62" i="32"/>
  <c r="S1016" i="30"/>
  <c r="Q102" i="26"/>
  <c r="L1016" i="30"/>
  <c r="J102" i="26"/>
  <c r="I1016" i="30"/>
  <c r="G102" i="26"/>
  <c r="P1016" i="30"/>
  <c r="N102" i="26"/>
  <c r="M1016" i="30"/>
  <c r="K102" i="26"/>
  <c r="G1016" i="30"/>
  <c r="K1016" i="30"/>
  <c r="I102" i="26"/>
  <c r="J1016" i="30"/>
  <c r="H102" i="26"/>
  <c r="H1016" i="30"/>
  <c r="F102" i="26"/>
  <c r="T1016" i="30"/>
  <c r="R102" i="26"/>
  <c r="O1016" i="30"/>
  <c r="M102" i="26"/>
  <c r="N1016" i="30"/>
  <c r="L102" i="26"/>
  <c r="M140" i="32"/>
  <c r="U571" i="30"/>
  <c r="H109" i="32" s="1"/>
  <c r="U574" i="30"/>
  <c r="H112" i="32" s="1"/>
  <c r="U578" i="30"/>
  <c r="H116" i="32" s="1"/>
  <c r="U582" i="30"/>
  <c r="H120" i="32" s="1"/>
  <c r="U575" i="30"/>
  <c r="H113" i="32" s="1"/>
  <c r="U579" i="30"/>
  <c r="H117" i="32" s="1"/>
  <c r="U583" i="30"/>
  <c r="H121" i="32" s="1"/>
  <c r="U572" i="30"/>
  <c r="H110" i="32" s="1"/>
  <c r="U576" i="30"/>
  <c r="H114" i="32" s="1"/>
  <c r="U580" i="30"/>
  <c r="U584" i="30"/>
  <c r="H122" i="32" s="1"/>
  <c r="U573" i="30"/>
  <c r="H111" i="32" s="1"/>
  <c r="U577" i="30"/>
  <c r="H115" i="32" s="1"/>
  <c r="H119" i="32"/>
  <c r="U777" i="30"/>
  <c r="L163" i="32" s="1"/>
  <c r="G373" i="30"/>
  <c r="S374" i="30"/>
  <c r="R374" i="30"/>
  <c r="I30" i="9"/>
  <c r="O374" i="30"/>
  <c r="J374" i="30"/>
  <c r="P374" i="30"/>
  <c r="Q374" i="30"/>
  <c r="Q373" i="30"/>
  <c r="N374" i="30"/>
  <c r="T374" i="30"/>
  <c r="G374" i="30"/>
  <c r="J373" i="30"/>
  <c r="K373" i="30"/>
  <c r="H373" i="30"/>
  <c r="N373" i="30"/>
  <c r="O373" i="30"/>
  <c r="I373" i="30"/>
  <c r="L373" i="30"/>
  <c r="R373" i="30"/>
  <c r="S373" i="30"/>
  <c r="K374" i="30"/>
  <c r="P373" i="30"/>
  <c r="H374" i="30"/>
  <c r="I374" i="30"/>
  <c r="M373" i="30"/>
  <c r="T373" i="30"/>
  <c r="L374" i="30"/>
  <c r="S1056" i="30"/>
  <c r="S1060" i="30"/>
  <c r="T1056" i="30"/>
  <c r="T1060" i="30"/>
  <c r="P1056" i="30"/>
  <c r="P1060" i="30"/>
  <c r="O1056" i="30"/>
  <c r="O1060" i="30"/>
  <c r="N1056" i="30"/>
  <c r="N1060" i="30"/>
  <c r="H1056" i="30"/>
  <c r="H1060" i="30"/>
  <c r="L1056" i="30"/>
  <c r="L1060" i="30"/>
  <c r="G1056" i="30"/>
  <c r="G1060" i="30"/>
  <c r="I1056" i="30"/>
  <c r="I1060" i="30"/>
  <c r="J1056" i="30"/>
  <c r="J1060" i="30"/>
  <c r="M1056" i="30"/>
  <c r="M1060" i="30"/>
  <c r="Q1056" i="30"/>
  <c r="Q1060" i="30"/>
  <c r="K1056" i="30"/>
  <c r="K1060" i="30"/>
  <c r="R1056" i="30"/>
  <c r="R1060" i="30"/>
  <c r="P752" i="30"/>
  <c r="J642" i="30"/>
  <c r="G385" i="30"/>
  <c r="H642" i="30"/>
  <c r="G289" i="15"/>
  <c r="P289" i="15"/>
  <c r="I33" i="9"/>
  <c r="K642" i="30"/>
  <c r="C29" i="9"/>
  <c r="S749" i="30"/>
  <c r="K754" i="30"/>
  <c r="C32" i="9"/>
  <c r="S753" i="30"/>
  <c r="R747" i="30"/>
  <c r="T386" i="30"/>
  <c r="G916" i="30" a="1"/>
  <c r="R919" i="30" s="1"/>
  <c r="J749" i="30"/>
  <c r="T753" i="30"/>
  <c r="N747" i="30"/>
  <c r="S747" i="30"/>
  <c r="K752" i="30"/>
  <c r="P385" i="30"/>
  <c r="K758" i="30"/>
  <c r="G748" i="30"/>
  <c r="I747" i="30"/>
  <c r="T751" i="30"/>
  <c r="G757" i="30"/>
  <c r="N755" i="30"/>
  <c r="N385" i="30"/>
  <c r="K386" i="30"/>
  <c r="C28" i="9"/>
  <c r="R751" i="30"/>
  <c r="S751" i="30"/>
  <c r="K756" i="30"/>
  <c r="J753" i="30"/>
  <c r="T749" i="30"/>
  <c r="I386" i="30"/>
  <c r="J385" i="30"/>
  <c r="T642" i="30"/>
  <c r="N642" i="30"/>
  <c r="G642" i="30"/>
  <c r="I642" i="30"/>
  <c r="O642" i="30"/>
  <c r="Q642" i="30"/>
  <c r="U641" i="30"/>
  <c r="I135" i="32" s="1"/>
  <c r="U1051" i="30"/>
  <c r="H247" i="32" s="1"/>
  <c r="K749" i="30"/>
  <c r="N752" i="30"/>
  <c r="J758" i="30"/>
  <c r="Q753" i="30"/>
  <c r="K757" i="30"/>
  <c r="L756" i="30"/>
  <c r="K755" i="30"/>
  <c r="J748" i="30"/>
  <c r="L757" i="30"/>
  <c r="O750" i="30"/>
  <c r="L750" i="30"/>
  <c r="K753" i="30"/>
  <c r="T756" i="30"/>
  <c r="L755" i="30"/>
  <c r="O748" i="30"/>
  <c r="Q757" i="30"/>
  <c r="K751" i="30"/>
  <c r="T750" i="30"/>
  <c r="L753" i="30"/>
  <c r="H758" i="30"/>
  <c r="Q755" i="30"/>
  <c r="S385" i="30"/>
  <c r="P386" i="30"/>
  <c r="L385" i="30"/>
  <c r="G386" i="30"/>
  <c r="R386" i="30"/>
  <c r="O385" i="30"/>
  <c r="L386" i="30"/>
  <c r="M758" i="30"/>
  <c r="T754" i="30"/>
  <c r="T758" i="30"/>
  <c r="G755" i="30"/>
  <c r="J755" i="30"/>
  <c r="K747" i="30"/>
  <c r="M756" i="30"/>
  <c r="L749" i="30"/>
  <c r="N758" i="30"/>
  <c r="Q751" i="30"/>
  <c r="R753" i="30"/>
  <c r="M754" i="30"/>
  <c r="L747" i="30"/>
  <c r="N756" i="30"/>
  <c r="Q749" i="30"/>
  <c r="S758" i="30"/>
  <c r="M752" i="30"/>
  <c r="L754" i="30"/>
  <c r="N754" i="30"/>
  <c r="Q747" i="30"/>
  <c r="S756" i="30"/>
  <c r="H385" i="30"/>
  <c r="Q385" i="30"/>
  <c r="N386" i="30"/>
  <c r="K385" i="30"/>
  <c r="H386" i="30"/>
  <c r="Q386" i="30"/>
  <c r="M385" i="30"/>
  <c r="I749" i="30"/>
  <c r="I756" i="30"/>
  <c r="T752" i="30"/>
  <c r="K750" i="30"/>
  <c r="H748" i="30"/>
  <c r="Q750" i="30"/>
  <c r="N749" i="30"/>
  <c r="R752" i="30"/>
  <c r="H756" i="30"/>
  <c r="I755" i="30"/>
  <c r="Q748" i="30"/>
  <c r="S757" i="30"/>
  <c r="R750" i="30"/>
  <c r="R749" i="30"/>
  <c r="I753" i="30"/>
  <c r="N757" i="30"/>
  <c r="S755" i="30"/>
  <c r="R748" i="30"/>
  <c r="T757" i="30"/>
  <c r="I751" i="30"/>
  <c r="H752" i="30"/>
  <c r="J386" i="30"/>
  <c r="S386" i="30"/>
  <c r="R385" i="30"/>
  <c r="M386" i="30"/>
  <c r="I385" i="30"/>
  <c r="T385" i="30"/>
  <c r="U1011" i="30"/>
  <c r="H237" i="32" s="1"/>
  <c r="R113" i="9"/>
  <c r="U1044" i="30"/>
  <c r="G244" i="32" s="1"/>
  <c r="U1043" i="30"/>
  <c r="F247" i="32" s="1"/>
  <c r="J289" i="15"/>
  <c r="M289" i="15"/>
  <c r="M642" i="30"/>
  <c r="L642" i="30"/>
  <c r="S642" i="30"/>
  <c r="P642" i="30"/>
  <c r="R642" i="30"/>
  <c r="U1048" i="30"/>
  <c r="H244" i="32" s="1"/>
  <c r="M113" i="9"/>
  <c r="U1047" i="30"/>
  <c r="G247" i="32" s="1"/>
  <c r="U1052" i="30"/>
  <c r="I244" i="32" s="1"/>
  <c r="L751" i="30"/>
  <c r="M750" i="30"/>
  <c r="S754" i="30"/>
  <c r="H749" i="30"/>
  <c r="M751" i="30"/>
  <c r="P758" i="30"/>
  <c r="T747" i="30"/>
  <c r="I748" i="30"/>
  <c r="J750" i="30"/>
  <c r="O752" i="30"/>
  <c r="M748" i="30"/>
  <c r="G753" i="30"/>
  <c r="O757" i="30"/>
  <c r="R755" i="30"/>
  <c r="N750" i="30"/>
  <c r="H755" i="30"/>
  <c r="P748" i="30"/>
  <c r="K748" i="30"/>
  <c r="S752" i="30"/>
  <c r="M757" i="30"/>
  <c r="P756" i="30"/>
  <c r="G751" i="30"/>
  <c r="O755" i="30"/>
  <c r="H750" i="30"/>
  <c r="N748" i="30"/>
  <c r="H753" i="30"/>
  <c r="P757" i="30"/>
  <c r="J757" i="30"/>
  <c r="S750" i="30"/>
  <c r="M755" i="30"/>
  <c r="J751" i="30"/>
  <c r="G749" i="30"/>
  <c r="O753" i="30"/>
  <c r="I758" i="30"/>
  <c r="R757" i="30"/>
  <c r="H751" i="30"/>
  <c r="P755" i="30"/>
  <c r="P750" i="30"/>
  <c r="S748" i="30"/>
  <c r="M753" i="30"/>
  <c r="G758" i="30"/>
  <c r="L758" i="30"/>
  <c r="C31" i="9"/>
  <c r="G911" i="30" a="1"/>
  <c r="G914" i="30" s="1"/>
  <c r="N751" i="30"/>
  <c r="T748" i="30"/>
  <c r="O751" i="30"/>
  <c r="P753" i="30"/>
  <c r="G756" i="30"/>
  <c r="T755" i="30"/>
  <c r="H757" i="30"/>
  <c r="Q752" i="30"/>
  <c r="R754" i="30"/>
  <c r="I757" i="30"/>
  <c r="O749" i="30"/>
  <c r="I754" i="30"/>
  <c r="Q758" i="30"/>
  <c r="H747" i="30"/>
  <c r="P751" i="30"/>
  <c r="J756" i="30"/>
  <c r="L752" i="30"/>
  <c r="M749" i="30"/>
  <c r="G754" i="30"/>
  <c r="O758" i="30"/>
  <c r="O747" i="30"/>
  <c r="I752" i="30"/>
  <c r="Q756" i="30"/>
  <c r="N753" i="30"/>
  <c r="P749" i="30"/>
  <c r="J754" i="30"/>
  <c r="R758" i="30"/>
  <c r="M747" i="30"/>
  <c r="G752" i="30"/>
  <c r="O756" i="30"/>
  <c r="P754" i="30"/>
  <c r="I750" i="30"/>
  <c r="Q754" i="30"/>
  <c r="L748" i="30"/>
  <c r="P747" i="30"/>
  <c r="J752" i="30"/>
  <c r="R756" i="30"/>
  <c r="H754" i="30"/>
  <c r="G750" i="30"/>
  <c r="O754" i="30"/>
  <c r="J747" i="30"/>
  <c r="G21" i="28"/>
  <c r="AB113" i="9"/>
  <c r="U1055" i="30"/>
  <c r="I247" i="32" s="1"/>
  <c r="G926" i="30" a="1"/>
  <c r="AG47" i="10"/>
  <c r="G1021" i="30"/>
  <c r="I1021" i="30"/>
  <c r="K1021" i="30"/>
  <c r="P1021" i="30"/>
  <c r="S1021" i="30"/>
  <c r="R1021" i="30"/>
  <c r="H1021" i="30"/>
  <c r="O1021" i="30"/>
  <c r="G605" i="30" a="1"/>
  <c r="S609" i="30" s="1"/>
  <c r="AG49" i="10"/>
  <c r="L1021" i="30"/>
  <c r="T1021" i="30"/>
  <c r="Q1021" i="30"/>
  <c r="G557" i="30" a="1"/>
  <c r="U23" i="30"/>
  <c r="L8" i="32" s="1"/>
  <c r="U35" i="30"/>
  <c r="L9" i="32" s="1"/>
  <c r="U47" i="30"/>
  <c r="L10" i="32" s="1"/>
  <c r="U11" i="30"/>
  <c r="L7" i="32" s="1"/>
  <c r="P27" i="9"/>
  <c r="J31" i="9"/>
  <c r="P36" i="9"/>
  <c r="G921" i="30"/>
  <c r="H924" i="30"/>
  <c r="T922" i="30"/>
  <c r="R921" i="30"/>
  <c r="O924" i="30"/>
  <c r="M923" i="30"/>
  <c r="K922" i="30"/>
  <c r="I921" i="30"/>
  <c r="H923" i="30"/>
  <c r="P921" i="30"/>
  <c r="J924" i="30"/>
  <c r="M924" i="30"/>
  <c r="K923" i="30"/>
  <c r="I922" i="30"/>
  <c r="J923" i="30"/>
  <c r="S924" i="30"/>
  <c r="O922" i="30"/>
  <c r="L923" i="30"/>
  <c r="R924" i="30"/>
  <c r="O923" i="30"/>
  <c r="K921" i="30"/>
  <c r="T924" i="30"/>
  <c r="R923" i="30"/>
  <c r="P922" i="30"/>
  <c r="N921" i="30"/>
  <c r="K924" i="30"/>
  <c r="I923" i="30"/>
  <c r="G922" i="30"/>
  <c r="N924" i="30"/>
  <c r="R922" i="30"/>
  <c r="L921" i="30"/>
  <c r="P923" i="30"/>
  <c r="I924" i="30"/>
  <c r="G923" i="30"/>
  <c r="S921" i="30"/>
  <c r="P924" i="30"/>
  <c r="N923" i="30"/>
  <c r="L922" i="30"/>
  <c r="J921" i="30"/>
  <c r="G924" i="30"/>
  <c r="S922" i="30"/>
  <c r="Q921" i="30"/>
  <c r="T923" i="30"/>
  <c r="J922" i="30"/>
  <c r="H921" i="30"/>
  <c r="N922" i="30"/>
  <c r="S923" i="30"/>
  <c r="Q922" i="30"/>
  <c r="O921" i="30"/>
  <c r="L924" i="30"/>
  <c r="H922" i="30"/>
  <c r="Q923" i="30"/>
  <c r="M921" i="30"/>
  <c r="T921" i="30"/>
  <c r="Q924" i="30"/>
  <c r="M922" i="30"/>
  <c r="U157" i="15"/>
  <c r="U160" i="15"/>
  <c r="U159" i="15"/>
  <c r="U165" i="15"/>
  <c r="U161" i="15"/>
  <c r="U164" i="15"/>
  <c r="U156" i="15"/>
  <c r="U155" i="15"/>
  <c r="U158" i="15"/>
  <c r="U162" i="15"/>
  <c r="U685" i="30"/>
  <c r="L145" i="32" s="1"/>
  <c r="L151" i="32"/>
  <c r="L146" i="32"/>
  <c r="L152" i="32"/>
  <c r="J669" i="30"/>
  <c r="U669" i="30"/>
  <c r="P669" i="30"/>
  <c r="L669" i="30"/>
  <c r="K669" i="30"/>
  <c r="M669" i="30"/>
  <c r="S669" i="30"/>
  <c r="I669" i="30"/>
  <c r="O669" i="30"/>
  <c r="Q669" i="30"/>
  <c r="R669" i="30"/>
  <c r="H669" i="30"/>
  <c r="G669" i="30"/>
  <c r="N669" i="30"/>
  <c r="T669" i="30"/>
  <c r="U776" i="30"/>
  <c r="L162" i="32" s="1"/>
  <c r="U791" i="30"/>
  <c r="L166" i="32" s="1"/>
  <c r="U163" i="15"/>
  <c r="U166" i="15"/>
  <c r="S740" i="30" s="1" a="1"/>
  <c r="U761" i="30"/>
  <c r="L159" i="32" s="1"/>
  <c r="U760" i="30"/>
  <c r="L158" i="32" s="1"/>
  <c r="U759" i="30"/>
  <c r="L157" i="32" s="1"/>
  <c r="L136" i="32"/>
  <c r="J140" i="32"/>
  <c r="H140" i="32"/>
  <c r="U298" i="30"/>
  <c r="H57" i="32" s="1"/>
  <c r="U307" i="30"/>
  <c r="H66" i="32" s="1"/>
  <c r="G140" i="32"/>
  <c r="I140" i="32"/>
  <c r="N309" i="30"/>
  <c r="N314" i="30" s="1"/>
  <c r="U304" i="30"/>
  <c r="H63" i="32" s="1"/>
  <c r="T309" i="30"/>
  <c r="T314" i="30" s="1"/>
  <c r="U296" i="30"/>
  <c r="H55" i="32" s="1"/>
  <c r="P309" i="30"/>
  <c r="P314" i="30" s="1"/>
  <c r="H309" i="30"/>
  <c r="H314" i="30" s="1"/>
  <c r="L309" i="30"/>
  <c r="L314" i="30" s="1"/>
  <c r="R309" i="30"/>
  <c r="R314" i="30" s="1"/>
  <c r="S309" i="30"/>
  <c r="S314" i="30" s="1"/>
  <c r="U302" i="30"/>
  <c r="H61" i="32" s="1"/>
  <c r="O309" i="30"/>
  <c r="O314" i="30" s="1"/>
  <c r="K309" i="30"/>
  <c r="K314" i="30" s="1"/>
  <c r="U300" i="30"/>
  <c r="H59" i="32" s="1"/>
  <c r="G309" i="30"/>
  <c r="G311" i="30" s="1"/>
  <c r="U286" i="30"/>
  <c r="H45" i="32" s="1"/>
  <c r="U288" i="30"/>
  <c r="H47" i="32" s="1"/>
  <c r="Q309" i="30"/>
  <c r="Q314" i="30" s="1"/>
  <c r="U305" i="30"/>
  <c r="H64" i="32" s="1"/>
  <c r="M309" i="30"/>
  <c r="M314" i="30" s="1"/>
  <c r="U294" i="30"/>
  <c r="H53" i="32" s="1"/>
  <c r="U290" i="30"/>
  <c r="H49" i="32" s="1"/>
  <c r="U292" i="30"/>
  <c r="H51" i="32" s="1"/>
  <c r="I309" i="30"/>
  <c r="I314" i="30" s="1"/>
  <c r="J309" i="30"/>
  <c r="J314" i="30" s="1"/>
  <c r="G27" i="32"/>
  <c r="H27" i="32"/>
  <c r="G25" i="32"/>
  <c r="H25" i="32"/>
  <c r="R836" i="30"/>
  <c r="R863" i="30"/>
  <c r="I836" i="30"/>
  <c r="G848" i="30"/>
  <c r="L845" i="30"/>
  <c r="L840" i="30"/>
  <c r="T838" i="30"/>
  <c r="P849" i="30"/>
  <c r="O857" i="30"/>
  <c r="M841" i="30"/>
  <c r="R853" i="30"/>
  <c r="H854" i="30"/>
  <c r="R844" i="30"/>
  <c r="P857" i="30"/>
  <c r="Q853" i="30"/>
  <c r="N844" i="30"/>
  <c r="J847" i="30"/>
  <c r="T840" i="30"/>
  <c r="R855" i="30"/>
  <c r="N863" i="30"/>
  <c r="Q859" i="30"/>
  <c r="P852" i="30"/>
  <c r="N849" i="30"/>
  <c r="R843" i="30"/>
  <c r="O839" i="30"/>
  <c r="J836" i="30"/>
  <c r="J841" i="30"/>
  <c r="R848" i="30"/>
  <c r="N837" i="30"/>
  <c r="H845" i="30"/>
  <c r="L854" i="30"/>
  <c r="L841" i="30"/>
  <c r="G849" i="30"/>
  <c r="M854" i="30"/>
  <c r="G861" i="30"/>
  <c r="J854" i="30"/>
  <c r="J860" i="30"/>
  <c r="S838" i="30"/>
  <c r="O844" i="30"/>
  <c r="O850" i="30"/>
  <c r="I857" i="30"/>
  <c r="S862" i="30"/>
  <c r="U787" i="30"/>
  <c r="H166" i="32" s="1"/>
  <c r="N841" i="30"/>
  <c r="R838" i="30"/>
  <c r="R861" i="30"/>
  <c r="S849" i="30"/>
  <c r="P845" i="30"/>
  <c r="I838" i="30"/>
  <c r="S843" i="30"/>
  <c r="I852" i="30"/>
  <c r="N840" i="30"/>
  <c r="I848" i="30"/>
  <c r="P863" i="30"/>
  <c r="M844" i="30"/>
  <c r="M852" i="30"/>
  <c r="Q856" i="30"/>
  <c r="L863" i="30"/>
  <c r="N856" i="30"/>
  <c r="N862" i="30"/>
  <c r="I841" i="30"/>
  <c r="S846" i="30"/>
  <c r="S852" i="30"/>
  <c r="M859" i="30"/>
  <c r="U906" i="30"/>
  <c r="C193" i="32" s="1"/>
  <c r="P910" i="30"/>
  <c r="P850" i="30"/>
  <c r="M846" i="30"/>
  <c r="J842" i="30"/>
  <c r="H838" i="30"/>
  <c r="T854" i="30"/>
  <c r="R840" i="30"/>
  <c r="M848" i="30"/>
  <c r="K863" i="30"/>
  <c r="T843" i="30"/>
  <c r="N853" i="30"/>
  <c r="S839" i="30"/>
  <c r="S847" i="30"/>
  <c r="I854" i="30"/>
  <c r="S859" i="30"/>
  <c r="L853" i="30"/>
  <c r="T859" i="30"/>
  <c r="Q837" i="30"/>
  <c r="Q843" i="30"/>
  <c r="K850" i="30"/>
  <c r="G856" i="30"/>
  <c r="G862" i="30"/>
  <c r="M254" i="30"/>
  <c r="M256" i="30" s="1"/>
  <c r="K254" i="30"/>
  <c r="K256" i="30" s="1"/>
  <c r="R910" i="30"/>
  <c r="I910" i="30"/>
  <c r="G910" i="30"/>
  <c r="N910" i="30"/>
  <c r="T839" i="30"/>
  <c r="O847" i="30"/>
  <c r="K837" i="30"/>
  <c r="T844" i="30"/>
  <c r="J853" i="30"/>
  <c r="Q840" i="30"/>
  <c r="L848" i="30"/>
  <c r="T862" i="30"/>
  <c r="I844" i="30"/>
  <c r="H852" i="30"/>
  <c r="L837" i="30"/>
  <c r="M840" i="30"/>
  <c r="Q842" i="30"/>
  <c r="T846" i="30"/>
  <c r="O851" i="30"/>
  <c r="R859" i="30"/>
  <c r="G839" i="30"/>
  <c r="O843" i="30"/>
  <c r="G847" i="30"/>
  <c r="J851" i="30"/>
  <c r="L862" i="30"/>
  <c r="Q838" i="30"/>
  <c r="T842" i="30"/>
  <c r="N847" i="30"/>
  <c r="T850" i="30"/>
  <c r="L860" i="30"/>
  <c r="M856" i="30"/>
  <c r="G859" i="30"/>
  <c r="I862" i="30"/>
  <c r="H853" i="30"/>
  <c r="P855" i="30"/>
  <c r="R858" i="30"/>
  <c r="J862" i="30"/>
  <c r="S836" i="30"/>
  <c r="G840" i="30"/>
  <c r="M843" i="30"/>
  <c r="G846" i="30"/>
  <c r="I849" i="30"/>
  <c r="O852" i="30"/>
  <c r="I855" i="30"/>
  <c r="K858" i="30"/>
  <c r="Q861" i="30"/>
  <c r="M863" i="30"/>
  <c r="Q910" i="30"/>
  <c r="S910" i="30"/>
  <c r="U908" i="30"/>
  <c r="C195" i="32" s="1"/>
  <c r="U907" i="30"/>
  <c r="C194" i="32" s="1"/>
  <c r="H910" i="30"/>
  <c r="L228" i="30"/>
  <c r="L230" i="30" s="1"/>
  <c r="N228" i="30"/>
  <c r="N230" i="30" s="1"/>
  <c r="S228" i="30"/>
  <c r="S230" i="30" s="1"/>
  <c r="Q228" i="30"/>
  <c r="Q230" i="30" s="1"/>
  <c r="T512" i="32"/>
  <c r="T511" i="32"/>
  <c r="Q512" i="32"/>
  <c r="Q511" i="32"/>
  <c r="S512" i="32"/>
  <c r="S511" i="32"/>
  <c r="T280" i="30"/>
  <c r="T285" i="30" s="1"/>
  <c r="U265" i="30"/>
  <c r="G53" i="32" s="1"/>
  <c r="P512" i="32"/>
  <c r="P511" i="32"/>
  <c r="N511" i="32"/>
  <c r="N512" i="32"/>
  <c r="O512" i="32"/>
  <c r="O511" i="32"/>
  <c r="M511" i="32"/>
  <c r="M512" i="32"/>
  <c r="R512" i="32"/>
  <c r="R511" i="32"/>
  <c r="M838" i="30"/>
  <c r="H846" i="30"/>
  <c r="H856" i="30"/>
  <c r="L843" i="30"/>
  <c r="G851" i="30"/>
  <c r="P837" i="30"/>
  <c r="R846" i="30"/>
  <c r="L858" i="30"/>
  <c r="H841" i="30"/>
  <c r="J850" i="30"/>
  <c r="P836" i="30"/>
  <c r="K839" i="30"/>
  <c r="L842" i="30"/>
  <c r="R845" i="30"/>
  <c r="T849" i="30"/>
  <c r="P858" i="30"/>
  <c r="S837" i="30"/>
  <c r="H842" i="30"/>
  <c r="P846" i="30"/>
  <c r="H850" i="30"/>
  <c r="R857" i="30"/>
  <c r="L838" i="30"/>
  <c r="R841" i="30"/>
  <c r="T845" i="30"/>
  <c r="N850" i="30"/>
  <c r="T856" i="30"/>
  <c r="K855" i="30"/>
  <c r="Q858" i="30"/>
  <c r="K861" i="30"/>
  <c r="T851" i="30"/>
  <c r="L855" i="30"/>
  <c r="T857" i="30"/>
  <c r="H861" i="30"/>
  <c r="O836" i="30"/>
  <c r="I839" i="30"/>
  <c r="K842" i="30"/>
  <c r="Q845" i="30"/>
  <c r="K848" i="30"/>
  <c r="M851" i="30"/>
  <c r="S854" i="30"/>
  <c r="M857" i="30"/>
  <c r="O860" i="30"/>
  <c r="I863" i="30"/>
  <c r="J910" i="30"/>
  <c r="U909" i="30"/>
  <c r="C196" i="32" s="1"/>
  <c r="J146" i="32"/>
  <c r="L202" i="30"/>
  <c r="L204" i="30" s="1"/>
  <c r="U200" i="30"/>
  <c r="D66" i="32" s="1"/>
  <c r="O202" i="30"/>
  <c r="O204" i="30" s="1"/>
  <c r="U191" i="30"/>
  <c r="D57" i="32" s="1"/>
  <c r="I202" i="30"/>
  <c r="I204" i="30" s="1"/>
  <c r="R202" i="30"/>
  <c r="R204" i="30" s="1"/>
  <c r="O228" i="30"/>
  <c r="O230" i="30" s="1"/>
  <c r="U33" i="30"/>
  <c r="J9" i="32" s="1"/>
  <c r="K136" i="32"/>
  <c r="J136" i="32"/>
  <c r="I136" i="32"/>
  <c r="H136" i="32"/>
  <c r="U31" i="30"/>
  <c r="H9" i="32" s="1"/>
  <c r="U28" i="30"/>
  <c r="E9" i="32" s="1"/>
  <c r="U10" i="30"/>
  <c r="K7" i="32" s="1"/>
  <c r="U6" i="30"/>
  <c r="G7" i="32" s="1"/>
  <c r="U7" i="30"/>
  <c r="H7" i="32" s="1"/>
  <c r="U4" i="30"/>
  <c r="E7" i="32" s="1"/>
  <c r="U32" i="30"/>
  <c r="I9" i="32" s="1"/>
  <c r="U9" i="30"/>
  <c r="J7" i="32" s="1"/>
  <c r="U3" i="30"/>
  <c r="D7" i="32" s="1"/>
  <c r="U27" i="30"/>
  <c r="D9" i="32" s="1"/>
  <c r="U5" i="30"/>
  <c r="F7" i="32" s="1"/>
  <c r="U30" i="30"/>
  <c r="G9" i="32" s="1"/>
  <c r="U2" i="30"/>
  <c r="C7" i="32" s="1"/>
  <c r="U29" i="30"/>
  <c r="F9" i="32" s="1"/>
  <c r="U8" i="30"/>
  <c r="I7" i="32" s="1"/>
  <c r="AV42" i="10"/>
  <c r="O910" i="30"/>
  <c r="U34" i="30"/>
  <c r="K9" i="32" s="1"/>
  <c r="U26" i="30"/>
  <c r="C9" i="32" s="1"/>
  <c r="J152" i="32"/>
  <c r="O280" i="30"/>
  <c r="O285" i="30" s="1"/>
  <c r="U261" i="30"/>
  <c r="G49" i="32" s="1"/>
  <c r="U269" i="30"/>
  <c r="G57" i="32" s="1"/>
  <c r="M280" i="30"/>
  <c r="M285" i="30" s="1"/>
  <c r="U278" i="30"/>
  <c r="G66" i="32" s="1"/>
  <c r="AG46" i="10"/>
  <c r="U769" i="30"/>
  <c r="H163" i="32" s="1"/>
  <c r="U770" i="30"/>
  <c r="I162" i="32" s="1"/>
  <c r="U377" i="30"/>
  <c r="M76" i="32" s="1"/>
  <c r="F146" i="32"/>
  <c r="I146" i="32"/>
  <c r="G202" i="30"/>
  <c r="U179" i="30"/>
  <c r="D45" i="32" s="1"/>
  <c r="U195" i="30"/>
  <c r="D61" i="32" s="1"/>
  <c r="Q202" i="30"/>
  <c r="Q204" i="30" s="1"/>
  <c r="U198" i="30"/>
  <c r="D64" i="32" s="1"/>
  <c r="J202" i="30"/>
  <c r="J204" i="30" s="1"/>
  <c r="U682" i="30"/>
  <c r="I145" i="32" s="1"/>
  <c r="U679" i="30"/>
  <c r="F145" i="32" s="1"/>
  <c r="U783" i="30"/>
  <c r="D166" i="32" s="1"/>
  <c r="U788" i="30"/>
  <c r="I166" i="32" s="1"/>
  <c r="J254" i="30"/>
  <c r="J256" i="30" s="1"/>
  <c r="L254" i="30"/>
  <c r="L256" i="30" s="1"/>
  <c r="N254" i="30"/>
  <c r="N256" i="30" s="1"/>
  <c r="H254" i="30"/>
  <c r="H256" i="30" s="1"/>
  <c r="S254" i="30"/>
  <c r="S256" i="30" s="1"/>
  <c r="U233" i="30"/>
  <c r="F47" i="32" s="1"/>
  <c r="U241" i="30"/>
  <c r="F55" i="32" s="1"/>
  <c r="U249" i="30"/>
  <c r="F63" i="32" s="1"/>
  <c r="J151" i="32"/>
  <c r="R228" i="30"/>
  <c r="R230" i="30" s="1"/>
  <c r="K228" i="30"/>
  <c r="K230" i="30" s="1"/>
  <c r="U211" i="30"/>
  <c r="E51" i="32" s="1"/>
  <c r="U219" i="30"/>
  <c r="E59" i="32" s="1"/>
  <c r="I228" i="30"/>
  <c r="I230" i="30" s="1"/>
  <c r="T910" i="30"/>
  <c r="H152" i="32"/>
  <c r="K152" i="32"/>
  <c r="L280" i="30"/>
  <c r="L285" i="30" s="1"/>
  <c r="N280" i="30"/>
  <c r="N285" i="30" s="1"/>
  <c r="H280" i="30"/>
  <c r="H285" i="30" s="1"/>
  <c r="S280" i="30"/>
  <c r="S285" i="30" s="1"/>
  <c r="U259" i="30"/>
  <c r="G47" i="32" s="1"/>
  <c r="U267" i="30"/>
  <c r="G55" i="32" s="1"/>
  <c r="U275" i="30"/>
  <c r="G63" i="32" s="1"/>
  <c r="Q280" i="30"/>
  <c r="Q285" i="30" s="1"/>
  <c r="U276" i="30"/>
  <c r="G64" i="32" s="1"/>
  <c r="AG45" i="10"/>
  <c r="U768" i="30"/>
  <c r="H162" i="32" s="1"/>
  <c r="U775" i="30"/>
  <c r="K163" i="32" s="1"/>
  <c r="G146" i="32"/>
  <c r="P202" i="30"/>
  <c r="P204" i="30" s="1"/>
  <c r="H202" i="30"/>
  <c r="H204" i="30" s="1"/>
  <c r="K202" i="30"/>
  <c r="K204" i="30" s="1"/>
  <c r="U185" i="30"/>
  <c r="D51" i="32" s="1"/>
  <c r="U193" i="30"/>
  <c r="D59" i="32" s="1"/>
  <c r="N202" i="30"/>
  <c r="N204" i="30" s="1"/>
  <c r="U680" i="30"/>
  <c r="G145" i="32" s="1"/>
  <c r="AG52" i="10"/>
  <c r="U789" i="30"/>
  <c r="J166" i="32" s="1"/>
  <c r="U786" i="30"/>
  <c r="G166" i="32" s="1"/>
  <c r="R254" i="30"/>
  <c r="R256" i="30" s="1"/>
  <c r="T254" i="30"/>
  <c r="T256" i="30" s="1"/>
  <c r="P254" i="30"/>
  <c r="P256" i="30" s="1"/>
  <c r="I254" i="30"/>
  <c r="I256" i="30" s="1"/>
  <c r="G254" i="30"/>
  <c r="U231" i="30"/>
  <c r="F45" i="32" s="1"/>
  <c r="U239" i="30"/>
  <c r="F53" i="32" s="1"/>
  <c r="U247" i="30"/>
  <c r="F61" i="32" s="1"/>
  <c r="K151" i="32"/>
  <c r="H151" i="32"/>
  <c r="U209" i="30"/>
  <c r="E49" i="32" s="1"/>
  <c r="U217" i="30"/>
  <c r="E57" i="32" s="1"/>
  <c r="M228" i="30"/>
  <c r="M230" i="30" s="1"/>
  <c r="U226" i="30"/>
  <c r="E66" i="32" s="1"/>
  <c r="AG54" i="10"/>
  <c r="F152" i="32"/>
  <c r="I152" i="32"/>
  <c r="P280" i="30"/>
  <c r="P285" i="30" s="1"/>
  <c r="J280" i="30"/>
  <c r="J285" i="30" s="1"/>
  <c r="U257" i="30"/>
  <c r="G45" i="32" s="1"/>
  <c r="G280" i="30"/>
  <c r="U273" i="30"/>
  <c r="G61" i="32" s="1"/>
  <c r="AG55" i="10"/>
  <c r="G611" i="30" a="1"/>
  <c r="U773" i="30"/>
  <c r="J163" i="32" s="1"/>
  <c r="U378" i="30"/>
  <c r="M77" i="32" s="1"/>
  <c r="AG42" i="10"/>
  <c r="U183" i="30"/>
  <c r="D49" i="32" s="1"/>
  <c r="C35" i="9"/>
  <c r="I35" i="9"/>
  <c r="U683" i="30"/>
  <c r="J145" i="32" s="1"/>
  <c r="AG44" i="10"/>
  <c r="U784" i="30"/>
  <c r="E166" i="32" s="1"/>
  <c r="U252" i="30"/>
  <c r="F66" i="32" s="1"/>
  <c r="U237" i="30"/>
  <c r="F51" i="32" s="1"/>
  <c r="U245" i="30"/>
  <c r="F59" i="32" s="1"/>
  <c r="I151" i="32"/>
  <c r="F151" i="32"/>
  <c r="H228" i="30"/>
  <c r="H230" i="30" s="1"/>
  <c r="U223" i="30"/>
  <c r="E63" i="32" s="1"/>
  <c r="U224" i="30"/>
  <c r="E64" i="32" s="1"/>
  <c r="BK53" i="10"/>
  <c r="G599" i="30" a="1"/>
  <c r="K602" i="30" s="1"/>
  <c r="J24" i="9"/>
  <c r="I24" i="9"/>
  <c r="T836" i="30"/>
  <c r="G843" i="30"/>
  <c r="H849" i="30"/>
  <c r="P860" i="30"/>
  <c r="S841" i="30"/>
  <c r="T847" i="30"/>
  <c r="J857" i="30"/>
  <c r="J839" i="30"/>
  <c r="K845" i="30"/>
  <c r="N851" i="30"/>
  <c r="N836" i="30"/>
  <c r="P842" i="30"/>
  <c r="Q848" i="30"/>
  <c r="N859" i="30"/>
  <c r="R837" i="30"/>
  <c r="P839" i="30"/>
  <c r="T841" i="30"/>
  <c r="J844" i="30"/>
  <c r="K847" i="30"/>
  <c r="L850" i="30"/>
  <c r="J855" i="30"/>
  <c r="L836" i="30"/>
  <c r="L839" i="30"/>
  <c r="M842" i="30"/>
  <c r="N845" i="30"/>
  <c r="N848" i="30"/>
  <c r="R851" i="30"/>
  <c r="T858" i="30"/>
  <c r="J837" i="30"/>
  <c r="J840" i="30"/>
  <c r="K843" i="30"/>
  <c r="L846" i="30"/>
  <c r="L849" i="30"/>
  <c r="G853" i="30"/>
  <c r="N861" i="30"/>
  <c r="O855" i="30"/>
  <c r="S857" i="30"/>
  <c r="I860" i="30"/>
  <c r="M862" i="30"/>
  <c r="J852" i="30"/>
  <c r="N854" i="30"/>
  <c r="R856" i="30"/>
  <c r="H859" i="30"/>
  <c r="L861" i="30"/>
  <c r="S863" i="30"/>
  <c r="G838" i="30"/>
  <c r="K840" i="30"/>
  <c r="O842" i="30"/>
  <c r="S844" i="30"/>
  <c r="I847" i="30"/>
  <c r="M849" i="30"/>
  <c r="Q851" i="30"/>
  <c r="G854" i="30"/>
  <c r="K856" i="30"/>
  <c r="O858" i="30"/>
  <c r="S860" i="30"/>
  <c r="J863" i="30"/>
  <c r="L910" i="30"/>
  <c r="AG50" i="10"/>
  <c r="AG53" i="10"/>
  <c r="G152" i="32"/>
  <c r="R280" i="30"/>
  <c r="R285" i="30" s="1"/>
  <c r="K280" i="30"/>
  <c r="K285" i="30" s="1"/>
  <c r="U263" i="30"/>
  <c r="G51" i="32" s="1"/>
  <c r="U271" i="30"/>
  <c r="G59" i="32" s="1"/>
  <c r="I280" i="30"/>
  <c r="I285" i="30" s="1"/>
  <c r="U774" i="30"/>
  <c r="K162" i="32" s="1"/>
  <c r="U772" i="30"/>
  <c r="J162" i="32" s="1"/>
  <c r="U771" i="30"/>
  <c r="I163" i="32" s="1"/>
  <c r="D69" i="32"/>
  <c r="AG48" i="10"/>
  <c r="H146" i="32"/>
  <c r="K146" i="32"/>
  <c r="AG51" i="10"/>
  <c r="T202" i="30"/>
  <c r="T204" i="30" s="1"/>
  <c r="S202" i="30"/>
  <c r="S204" i="30" s="1"/>
  <c r="U197" i="30"/>
  <c r="D63" i="32" s="1"/>
  <c r="M202" i="30"/>
  <c r="M204" i="30" s="1"/>
  <c r="U684" i="30"/>
  <c r="K145" i="32" s="1"/>
  <c r="U681" i="30"/>
  <c r="H145" i="32" s="1"/>
  <c r="U785" i="30"/>
  <c r="F166" i="32" s="1"/>
  <c r="U782" i="30"/>
  <c r="C166" i="32" s="1"/>
  <c r="U790" i="30"/>
  <c r="K166" i="32" s="1"/>
  <c r="Q254" i="30"/>
  <c r="Q256" i="30" s="1"/>
  <c r="U250" i="30"/>
  <c r="F64" i="32" s="1"/>
  <c r="O254" i="30"/>
  <c r="O256" i="30" s="1"/>
  <c r="U235" i="30"/>
  <c r="F49" i="32" s="1"/>
  <c r="U243" i="30"/>
  <c r="F57" i="32" s="1"/>
  <c r="G151" i="32"/>
  <c r="T228" i="30"/>
  <c r="T230" i="30" s="1"/>
  <c r="P228" i="30"/>
  <c r="P230" i="30" s="1"/>
  <c r="J228" i="30"/>
  <c r="J230" i="30" s="1"/>
  <c r="U205" i="30"/>
  <c r="E45" i="32" s="1"/>
  <c r="G228" i="30"/>
  <c r="U213" i="30"/>
  <c r="E53" i="32" s="1"/>
  <c r="U221" i="30"/>
  <c r="E61" i="32" s="1"/>
  <c r="AG43" i="10"/>
  <c r="G663" i="30" a="1"/>
  <c r="H667" i="30" s="1"/>
  <c r="U999" i="30"/>
  <c r="F235" i="32" s="1"/>
  <c r="U1014" i="30"/>
  <c r="I235" i="32" s="1"/>
  <c r="U1009" i="30"/>
  <c r="H235" i="32" s="1"/>
  <c r="U43" i="30"/>
  <c r="H10" i="32" s="1"/>
  <c r="U42" i="30"/>
  <c r="G10" i="32" s="1"/>
  <c r="P35" i="9"/>
  <c r="C34" i="9"/>
  <c r="I34" i="9"/>
  <c r="M910" i="30"/>
  <c r="K910" i="30"/>
  <c r="G837" i="30"/>
  <c r="N838" i="30"/>
  <c r="H840" i="30"/>
  <c r="O841" i="30"/>
  <c r="H843" i="30"/>
  <c r="P844" i="30"/>
  <c r="I846" i="30"/>
  <c r="P847" i="30"/>
  <c r="J849" i="30"/>
  <c r="Q850" i="30"/>
  <c r="Q852" i="30"/>
  <c r="L856" i="30"/>
  <c r="T860" i="30"/>
  <c r="Q836" i="30"/>
  <c r="J838" i="30"/>
  <c r="R839" i="30"/>
  <c r="K841" i="30"/>
  <c r="R842" i="30"/>
  <c r="L844" i="30"/>
  <c r="S845" i="30"/>
  <c r="L847" i="30"/>
  <c r="T848" i="30"/>
  <c r="M850" i="30"/>
  <c r="L852" i="30"/>
  <c r="N855" i="30"/>
  <c r="H860" i="30"/>
  <c r="H836" i="30"/>
  <c r="O837" i="30"/>
  <c r="H839" i="30"/>
  <c r="P840" i="30"/>
  <c r="I842" i="30"/>
  <c r="P843" i="30"/>
  <c r="J845" i="30"/>
  <c r="Q846" i="30"/>
  <c r="J848" i="30"/>
  <c r="R849" i="30"/>
  <c r="K851" i="30"/>
  <c r="O853" i="30"/>
  <c r="H858" i="30"/>
  <c r="P862" i="30"/>
  <c r="Q854" i="30"/>
  <c r="S855" i="30"/>
  <c r="G857" i="30"/>
  <c r="I858" i="30"/>
  <c r="K859" i="30"/>
  <c r="M860" i="30"/>
  <c r="O861" i="30"/>
  <c r="Q862" i="30"/>
  <c r="L851" i="30"/>
  <c r="N852" i="30"/>
  <c r="P853" i="30"/>
  <c r="R854" i="30"/>
  <c r="T855" i="30"/>
  <c r="H857" i="30"/>
  <c r="J858" i="30"/>
  <c r="L859" i="30"/>
  <c r="N860" i="30"/>
  <c r="P861" i="30"/>
  <c r="R862" i="30"/>
  <c r="G836" i="30"/>
  <c r="I837" i="30"/>
  <c r="K838" i="30"/>
  <c r="M839" i="30"/>
  <c r="O840" i="30"/>
  <c r="Q841" i="30"/>
  <c r="S842" i="30"/>
  <c r="G844" i="30"/>
  <c r="I845" i="30"/>
  <c r="K846" i="30"/>
  <c r="M847" i="30"/>
  <c r="O848" i="30"/>
  <c r="Q849" i="30"/>
  <c r="S850" i="30"/>
  <c r="G852" i="30"/>
  <c r="I853" i="30"/>
  <c r="K854" i="30"/>
  <c r="M855" i="30"/>
  <c r="O856" i="30"/>
  <c r="Q857" i="30"/>
  <c r="S858" i="30"/>
  <c r="G860" i="30"/>
  <c r="I861" i="30"/>
  <c r="K862" i="30"/>
  <c r="O863" i="30"/>
  <c r="Q863" i="30"/>
  <c r="N843" i="30"/>
  <c r="G845" i="30"/>
  <c r="N846" i="30"/>
  <c r="H848" i="30"/>
  <c r="O849" i="30"/>
  <c r="H851" i="30"/>
  <c r="K853" i="30"/>
  <c r="N857" i="30"/>
  <c r="H862" i="30"/>
  <c r="H837" i="30"/>
  <c r="P838" i="30"/>
  <c r="I840" i="30"/>
  <c r="P841" i="30"/>
  <c r="J843" i="30"/>
  <c r="Q844" i="30"/>
  <c r="J846" i="30"/>
  <c r="R847" i="30"/>
  <c r="K849" i="30"/>
  <c r="R850" i="30"/>
  <c r="T852" i="30"/>
  <c r="P856" i="30"/>
  <c r="J861" i="30"/>
  <c r="M836" i="30"/>
  <c r="T837" i="30"/>
  <c r="N839" i="30"/>
  <c r="G841" i="30"/>
  <c r="N842" i="30"/>
  <c r="H844" i="30"/>
  <c r="O845" i="30"/>
  <c r="H847" i="30"/>
  <c r="P848" i="30"/>
  <c r="I850" i="30"/>
  <c r="S851" i="30"/>
  <c r="P854" i="30"/>
  <c r="J859" i="30"/>
  <c r="S853" i="30"/>
  <c r="G855" i="30"/>
  <c r="I856" i="30"/>
  <c r="K857" i="30"/>
  <c r="M858" i="30"/>
  <c r="O859" i="30"/>
  <c r="Q860" i="30"/>
  <c r="S861" i="30"/>
  <c r="G863" i="30"/>
  <c r="P851" i="30"/>
  <c r="R852" i="30"/>
  <c r="T853" i="30"/>
  <c r="H855" i="30"/>
  <c r="J856" i="30"/>
  <c r="L857" i="30"/>
  <c r="N858" i="30"/>
  <c r="P859" i="30"/>
  <c r="R860" i="30"/>
  <c r="T861" i="30"/>
  <c r="H863" i="30"/>
  <c r="K836" i="30"/>
  <c r="M837" i="30"/>
  <c r="O838" i="30"/>
  <c r="Q839" i="30"/>
  <c r="S840" i="30"/>
  <c r="G842" i="30"/>
  <c r="I843" i="30"/>
  <c r="K844" i="30"/>
  <c r="M845" i="30"/>
  <c r="O846" i="30"/>
  <c r="Q847" i="30"/>
  <c r="S848" i="30"/>
  <c r="G850" i="30"/>
  <c r="I851" i="30"/>
  <c r="K852" i="30"/>
  <c r="M853" i="30"/>
  <c r="O854" i="30"/>
  <c r="Q855" i="30"/>
  <c r="S856" i="30"/>
  <c r="G858" i="30"/>
  <c r="I859" i="30"/>
  <c r="K860" i="30"/>
  <c r="M861" i="30"/>
  <c r="O862" i="30"/>
  <c r="U1006" i="30"/>
  <c r="G237" i="32" s="1"/>
  <c r="I23" i="9"/>
  <c r="J23" i="9"/>
  <c r="J34" i="9"/>
  <c r="J32" i="9"/>
  <c r="J35" i="9"/>
  <c r="J25" i="9"/>
  <c r="P33" i="9"/>
  <c r="C23" i="9"/>
  <c r="O30" i="9"/>
  <c r="P30" i="9"/>
  <c r="J30" i="9"/>
  <c r="I27" i="9"/>
  <c r="J27" i="9"/>
  <c r="C27" i="9"/>
  <c r="P34" i="9"/>
  <c r="P25" i="9"/>
  <c r="P23" i="9"/>
  <c r="O23" i="9"/>
  <c r="P28" i="9"/>
  <c r="P31" i="9"/>
  <c r="J26" i="9"/>
  <c r="J28" i="9"/>
  <c r="J36" i="9"/>
  <c r="P32" i="9"/>
  <c r="P24" i="9"/>
  <c r="P29" i="9"/>
  <c r="J33" i="9"/>
  <c r="P26" i="9"/>
  <c r="J29" i="9"/>
  <c r="G617" i="30" a="1"/>
  <c r="AV45" i="10"/>
  <c r="AV55" i="10"/>
  <c r="AV47" i="10"/>
  <c r="AV46" i="10"/>
  <c r="AV54" i="10"/>
  <c r="AV52" i="10"/>
  <c r="AV53" i="10"/>
  <c r="AV50" i="10"/>
  <c r="AV44" i="10"/>
  <c r="AV49" i="10"/>
  <c r="AV51" i="10"/>
  <c r="AV43" i="10"/>
  <c r="AV48" i="10"/>
  <c r="BK44" i="10"/>
  <c r="Q51" i="10"/>
  <c r="BK48" i="10"/>
  <c r="BK49" i="10"/>
  <c r="Q47" i="10"/>
  <c r="BK47" i="10"/>
  <c r="BK54" i="10"/>
  <c r="BK43" i="10"/>
  <c r="BK45" i="10"/>
  <c r="BK51" i="10"/>
  <c r="BK52" i="10"/>
  <c r="Q46" i="10"/>
  <c r="BK50" i="10"/>
  <c r="BK55" i="10"/>
  <c r="BK46" i="10"/>
  <c r="BK42" i="10"/>
  <c r="Q45" i="10"/>
  <c r="Q43" i="10"/>
  <c r="Q44" i="10"/>
  <c r="Q42" i="10"/>
  <c r="Q55" i="10"/>
  <c r="Q53" i="10"/>
  <c r="Q50" i="10"/>
  <c r="Q48" i="10"/>
  <c r="Q52" i="10"/>
  <c r="Q54" i="10"/>
  <c r="Q49" i="10"/>
  <c r="U20" i="30"/>
  <c r="I8" i="32" s="1"/>
  <c r="U21" i="30"/>
  <c r="J8" i="32" s="1"/>
  <c r="U380" i="30"/>
  <c r="U384" i="30"/>
  <c r="U381" i="30"/>
  <c r="U16" i="30"/>
  <c r="E8" i="32" s="1"/>
  <c r="U19" i="30"/>
  <c r="H8" i="32" s="1"/>
  <c r="U15" i="30"/>
  <c r="D8" i="32" s="1"/>
  <c r="U39" i="30"/>
  <c r="D10" i="32" s="1"/>
  <c r="U40" i="30"/>
  <c r="E10" i="32" s="1"/>
  <c r="U382" i="30"/>
  <c r="U17" i="30"/>
  <c r="F8" i="32" s="1"/>
  <c r="U14" i="30"/>
  <c r="C8" i="32" s="1"/>
  <c r="U45" i="30"/>
  <c r="J10" i="32" s="1"/>
  <c r="U38" i="30"/>
  <c r="C10" i="32" s="1"/>
  <c r="U46" i="30"/>
  <c r="K10" i="32" s="1"/>
  <c r="U375" i="30"/>
  <c r="D74" i="32" s="1"/>
  <c r="U376" i="30"/>
  <c r="D75" i="32" s="1"/>
  <c r="U22" i="30"/>
  <c r="K8" i="32" s="1"/>
  <c r="U18" i="30"/>
  <c r="G8" i="32" s="1"/>
  <c r="U41" i="30"/>
  <c r="F10" i="32" s="1"/>
  <c r="U44" i="30"/>
  <c r="I10" i="32" s="1"/>
  <c r="U379" i="30"/>
  <c r="U383" i="30"/>
  <c r="U421" i="30"/>
  <c r="D83" i="32" s="1"/>
  <c r="U424" i="30"/>
  <c r="G83" i="32" s="1"/>
  <c r="U422" i="30"/>
  <c r="E83" i="32" s="1"/>
  <c r="U423" i="30"/>
  <c r="F83" i="32" s="1"/>
  <c r="H74" i="32" l="1"/>
  <c r="L153" i="32"/>
  <c r="U1031" i="30"/>
  <c r="L237" i="32"/>
  <c r="U1032" i="30"/>
  <c r="L238" i="32"/>
  <c r="H9" i="31" s="1"/>
  <c r="K153" i="32"/>
  <c r="G153" i="32"/>
  <c r="J153" i="32"/>
  <c r="H153" i="32"/>
  <c r="M153" i="32"/>
  <c r="I153" i="32"/>
  <c r="H73" i="32"/>
  <c r="H75" i="32"/>
  <c r="N147" i="32"/>
  <c r="B37" i="31" s="1"/>
  <c r="N153" i="32"/>
  <c r="B38" i="31" s="1"/>
  <c r="G740" i="30" a="1"/>
  <c r="G740" i="30" s="1"/>
  <c r="S740" i="30"/>
  <c r="G706" i="30"/>
  <c r="U712" i="30"/>
  <c r="N148" i="32"/>
  <c r="E37" i="31" s="1"/>
  <c r="U678" i="30"/>
  <c r="G672" i="30"/>
  <c r="U672" i="30" s="1"/>
  <c r="N142" i="32"/>
  <c r="E36" i="31" s="1"/>
  <c r="U374" i="30"/>
  <c r="U373" i="30"/>
  <c r="N606" i="30"/>
  <c r="K244" i="32"/>
  <c r="E72" i="32"/>
  <c r="D72" i="32"/>
  <c r="G72" i="32"/>
  <c r="F72" i="32"/>
  <c r="D73" i="32"/>
  <c r="T1026" i="30"/>
  <c r="G1026" i="30"/>
  <c r="L1026" i="30"/>
  <c r="H1026" i="30"/>
  <c r="M1026" i="30"/>
  <c r="S1026" i="30"/>
  <c r="N1026" i="30"/>
  <c r="J1026" i="30"/>
  <c r="P1026" i="30"/>
  <c r="E184" i="32"/>
  <c r="O1026" i="30"/>
  <c r="K1026" i="30"/>
  <c r="I1026" i="30"/>
  <c r="U1060" i="30"/>
  <c r="U1016" i="30"/>
  <c r="I237" i="32" s="1"/>
  <c r="H918" i="30"/>
  <c r="C184" i="32"/>
  <c r="D184" i="32"/>
  <c r="M147" i="32"/>
  <c r="F184" i="32"/>
  <c r="L141" i="32"/>
  <c r="U711" i="30"/>
  <c r="M148" i="32" s="1"/>
  <c r="U677" i="30"/>
  <c r="M142" i="32" s="1"/>
  <c r="H911" i="30"/>
  <c r="K914" i="30"/>
  <c r="L913" i="30"/>
  <c r="K911" i="30"/>
  <c r="J911" i="30"/>
  <c r="M912" i="30"/>
  <c r="L912" i="30"/>
  <c r="O913" i="30"/>
  <c r="N912" i="30"/>
  <c r="Q914" i="30"/>
  <c r="R914" i="30"/>
  <c r="G912" i="30"/>
  <c r="J913" i="30"/>
  <c r="I913" i="30"/>
  <c r="L72" i="32"/>
  <c r="L73" i="32"/>
  <c r="U386" i="30"/>
  <c r="L147" i="32"/>
  <c r="U1056" i="30"/>
  <c r="J244" i="32" s="1"/>
  <c r="G919" i="30"/>
  <c r="I918" i="30"/>
  <c r="P917" i="30"/>
  <c r="K140" i="32"/>
  <c r="Q919" i="30"/>
  <c r="N916" i="30"/>
  <c r="T916" i="30"/>
  <c r="I916" i="30"/>
  <c r="G916" i="30"/>
  <c r="R918" i="30"/>
  <c r="J919" i="30"/>
  <c r="Q606" i="30"/>
  <c r="M917" i="30"/>
  <c r="K918" i="30"/>
  <c r="T919" i="30"/>
  <c r="I605" i="30"/>
  <c r="Q609" i="30"/>
  <c r="L608" i="30"/>
  <c r="Q916" i="30"/>
  <c r="S917" i="30"/>
  <c r="S916" i="30"/>
  <c r="I919" i="30"/>
  <c r="O917" i="30"/>
  <c r="S919" i="30"/>
  <c r="Q917" i="30"/>
  <c r="J916" i="30"/>
  <c r="L917" i="30"/>
  <c r="N918" i="30"/>
  <c r="P919" i="30"/>
  <c r="P916" i="30"/>
  <c r="R917" i="30"/>
  <c r="T918" i="30"/>
  <c r="K917" i="30"/>
  <c r="M918" i="30"/>
  <c r="G918" i="30"/>
  <c r="M916" i="30"/>
  <c r="Q918" i="30"/>
  <c r="O916" i="30"/>
  <c r="S918" i="30"/>
  <c r="R916" i="30"/>
  <c r="T917" i="30"/>
  <c r="H919" i="30"/>
  <c r="H916" i="30"/>
  <c r="J917" i="30"/>
  <c r="L918" i="30"/>
  <c r="N919" i="30"/>
  <c r="O919" i="30"/>
  <c r="K916" i="30"/>
  <c r="O918" i="30"/>
  <c r="G917" i="30"/>
  <c r="K919" i="30"/>
  <c r="I917" i="30"/>
  <c r="M919" i="30"/>
  <c r="H917" i="30"/>
  <c r="J918" i="30"/>
  <c r="L919" i="30"/>
  <c r="L916" i="30"/>
  <c r="N917" i="30"/>
  <c r="P918" i="30"/>
  <c r="U752" i="30"/>
  <c r="I159" i="32" s="1"/>
  <c r="U747" i="30"/>
  <c r="H157" i="32" s="1"/>
  <c r="U758" i="30"/>
  <c r="K159" i="32" s="1"/>
  <c r="U756" i="30"/>
  <c r="K157" i="32" s="1"/>
  <c r="N913" i="30"/>
  <c r="P914" i="30"/>
  <c r="H913" i="30"/>
  <c r="N911" i="30"/>
  <c r="R913" i="30"/>
  <c r="P911" i="30"/>
  <c r="T913" i="30"/>
  <c r="O911" i="30"/>
  <c r="Q912" i="30"/>
  <c r="S913" i="30"/>
  <c r="I911" i="30"/>
  <c r="K912" i="30"/>
  <c r="M913" i="30"/>
  <c r="O914" i="30"/>
  <c r="R911" i="30"/>
  <c r="L911" i="30"/>
  <c r="P913" i="30"/>
  <c r="H912" i="30"/>
  <c r="L914" i="30"/>
  <c r="J912" i="30"/>
  <c r="N914" i="30"/>
  <c r="S911" i="30"/>
  <c r="G913" i="30"/>
  <c r="I914" i="30"/>
  <c r="M911" i="30"/>
  <c r="O912" i="30"/>
  <c r="Q913" i="30"/>
  <c r="S914" i="30"/>
  <c r="T912" i="30"/>
  <c r="H914" i="30"/>
  <c r="T911" i="30"/>
  <c r="J914" i="30"/>
  <c r="P912" i="30"/>
  <c r="T914" i="30"/>
  <c r="R912" i="30"/>
  <c r="G911" i="30"/>
  <c r="I912" i="30"/>
  <c r="K913" i="30"/>
  <c r="M914" i="30"/>
  <c r="Q911" i="30"/>
  <c r="S912" i="30"/>
  <c r="U749" i="30"/>
  <c r="H159" i="32" s="1"/>
  <c r="U753" i="30"/>
  <c r="J157" i="32" s="1"/>
  <c r="U748" i="30"/>
  <c r="H158" i="32" s="1"/>
  <c r="U757" i="30"/>
  <c r="K158" i="32" s="1"/>
  <c r="L605" i="30"/>
  <c r="T609" i="30"/>
  <c r="O608" i="30"/>
  <c r="J607" i="30"/>
  <c r="O605" i="30"/>
  <c r="I610" i="30"/>
  <c r="I147" i="32"/>
  <c r="P607" i="30"/>
  <c r="K606" i="30"/>
  <c r="S610" i="30"/>
  <c r="N609" i="30"/>
  <c r="S607" i="30"/>
  <c r="R608" i="30"/>
  <c r="M607" i="30"/>
  <c r="H606" i="30"/>
  <c r="P610" i="30"/>
  <c r="G609" i="30"/>
  <c r="U750" i="30"/>
  <c r="I157" i="32" s="1"/>
  <c r="U751" i="30"/>
  <c r="I158" i="32" s="1"/>
  <c r="U642" i="30"/>
  <c r="I137" i="32" s="1"/>
  <c r="U385" i="30"/>
  <c r="U755" i="30"/>
  <c r="J159" i="32" s="1"/>
  <c r="U754" i="30"/>
  <c r="J158" i="32" s="1"/>
  <c r="P605" i="30"/>
  <c r="R606" i="30"/>
  <c r="T607" i="30"/>
  <c r="H609" i="30"/>
  <c r="J610" i="30"/>
  <c r="M605" i="30"/>
  <c r="O606" i="30"/>
  <c r="Q607" i="30"/>
  <c r="S608" i="30"/>
  <c r="G610" i="30"/>
  <c r="J605" i="30"/>
  <c r="L606" i="30"/>
  <c r="N607" i="30"/>
  <c r="P608" i="30"/>
  <c r="R609" i="30"/>
  <c r="T610" i="30"/>
  <c r="S605" i="30"/>
  <c r="G607" i="30"/>
  <c r="I608" i="30"/>
  <c r="K609" i="30"/>
  <c r="M610" i="30"/>
  <c r="T605" i="30"/>
  <c r="H607" i="30"/>
  <c r="J608" i="30"/>
  <c r="L609" i="30"/>
  <c r="N610" i="30"/>
  <c r="Q605" i="30"/>
  <c r="S606" i="30"/>
  <c r="G608" i="30"/>
  <c r="I609" i="30"/>
  <c r="K610" i="30"/>
  <c r="N605" i="30"/>
  <c r="P606" i="30"/>
  <c r="R607" i="30"/>
  <c r="T608" i="30"/>
  <c r="H610" i="30"/>
  <c r="G605" i="30"/>
  <c r="I606" i="30"/>
  <c r="K607" i="30"/>
  <c r="M608" i="30"/>
  <c r="O609" i="30"/>
  <c r="Q610" i="30"/>
  <c r="H605" i="30"/>
  <c r="J606" i="30"/>
  <c r="L607" i="30"/>
  <c r="N608" i="30"/>
  <c r="P609" i="30"/>
  <c r="R610" i="30"/>
  <c r="G606" i="30"/>
  <c r="I607" i="30"/>
  <c r="K608" i="30"/>
  <c r="M609" i="30"/>
  <c r="O610" i="30"/>
  <c r="R605" i="30"/>
  <c r="T606" i="30"/>
  <c r="H608" i="30"/>
  <c r="J609" i="30"/>
  <c r="L610" i="30"/>
  <c r="K605" i="30"/>
  <c r="M606" i="30"/>
  <c r="O607" i="30"/>
  <c r="Q608" i="30"/>
  <c r="J147" i="32"/>
  <c r="K147" i="32"/>
  <c r="F147" i="32"/>
  <c r="P929" i="30"/>
  <c r="Q926" i="30"/>
  <c r="J927" i="30"/>
  <c r="G928" i="30"/>
  <c r="R929" i="30"/>
  <c r="S929" i="30"/>
  <c r="J928" i="30"/>
  <c r="L929" i="30"/>
  <c r="O926" i="30"/>
  <c r="K927" i="30"/>
  <c r="R927" i="30"/>
  <c r="O928" i="30"/>
  <c r="I928" i="30"/>
  <c r="M929" i="30"/>
  <c r="J926" i="30"/>
  <c r="H929" i="30"/>
  <c r="H926" i="30"/>
  <c r="S926" i="30"/>
  <c r="N927" i="30"/>
  <c r="Q928" i="30"/>
  <c r="J929" i="30"/>
  <c r="R926" i="30"/>
  <c r="T927" i="30"/>
  <c r="I926" i="30"/>
  <c r="P926" i="30"/>
  <c r="M927" i="30"/>
  <c r="T929" i="30"/>
  <c r="K928" i="30"/>
  <c r="G929" i="30"/>
  <c r="N929" i="30"/>
  <c r="L927" i="30"/>
  <c r="K929" i="30"/>
  <c r="P927" i="30"/>
  <c r="O927" i="30"/>
  <c r="H928" i="30"/>
  <c r="S928" i="30"/>
  <c r="O929" i="30"/>
  <c r="N926" i="30"/>
  <c r="N928" i="30"/>
  <c r="K926" i="30"/>
  <c r="P928" i="30"/>
  <c r="I927" i="30"/>
  <c r="G926" i="30"/>
  <c r="S927" i="30"/>
  <c r="L928" i="30"/>
  <c r="I929" i="30"/>
  <c r="G927" i="30"/>
  <c r="R928" i="30"/>
  <c r="M926" i="30"/>
  <c r="T926" i="30"/>
  <c r="Q927" i="30"/>
  <c r="M928" i="30"/>
  <c r="T928" i="30"/>
  <c r="Q929" i="30"/>
  <c r="H927" i="30"/>
  <c r="L926" i="30"/>
  <c r="G147" i="32"/>
  <c r="H147" i="32"/>
  <c r="G515" i="30" a="1"/>
  <c r="G528" i="30" s="1"/>
  <c r="U1021" i="30"/>
  <c r="J237" i="32" s="1"/>
  <c r="G557" i="30"/>
  <c r="L560" i="30"/>
  <c r="G568" i="30"/>
  <c r="M563" i="30"/>
  <c r="S558" i="30"/>
  <c r="T562" i="30"/>
  <c r="R568" i="30"/>
  <c r="J564" i="30"/>
  <c r="P559" i="30"/>
  <c r="H566" i="30"/>
  <c r="I568" i="30"/>
  <c r="O563" i="30"/>
  <c r="G559" i="30"/>
  <c r="I567" i="30"/>
  <c r="R557" i="30"/>
  <c r="H570" i="30"/>
  <c r="O561" i="30"/>
  <c r="H562" i="30"/>
  <c r="S568" i="30"/>
  <c r="K564" i="30"/>
  <c r="Q559" i="30"/>
  <c r="N565" i="30"/>
  <c r="P569" i="30"/>
  <c r="H565" i="30"/>
  <c r="N560" i="30"/>
  <c r="P568" i="30"/>
  <c r="G569" i="30"/>
  <c r="M564" i="30"/>
  <c r="S559" i="30"/>
  <c r="M569" i="30"/>
  <c r="G558" i="30"/>
  <c r="J562" i="30"/>
  <c r="I566" i="30"/>
  <c r="P564" i="30"/>
  <c r="Q569" i="30"/>
  <c r="I565" i="30"/>
  <c r="O560" i="30"/>
  <c r="L568" i="30"/>
  <c r="N570" i="30"/>
  <c r="T565" i="30"/>
  <c r="L561" i="30"/>
  <c r="T570" i="30"/>
  <c r="S569" i="30"/>
  <c r="K565" i="30"/>
  <c r="Q560" i="30"/>
  <c r="J567" i="30"/>
  <c r="K560" i="30"/>
  <c r="R566" i="30"/>
  <c r="N563" i="30"/>
  <c r="I561" i="30"/>
  <c r="I559" i="30"/>
  <c r="M568" i="30"/>
  <c r="G562" i="30"/>
  <c r="T558" i="30"/>
  <c r="J558" i="30"/>
  <c r="Q566" i="30"/>
  <c r="S564" i="30"/>
  <c r="T566" i="30"/>
  <c r="M567" i="30"/>
  <c r="S562" i="30"/>
  <c r="J568" i="30"/>
  <c r="H559" i="30"/>
  <c r="G563" i="30"/>
  <c r="H561" i="30"/>
  <c r="H557" i="30"/>
  <c r="P565" i="30"/>
  <c r="L570" i="30"/>
  <c r="H558" i="30"/>
  <c r="S566" i="30"/>
  <c r="K562" i="30"/>
  <c r="Q557" i="30"/>
  <c r="H560" i="30"/>
  <c r="P567" i="30"/>
  <c r="H563" i="30"/>
  <c r="N558" i="30"/>
  <c r="P562" i="30"/>
  <c r="G567" i="30"/>
  <c r="M562" i="30"/>
  <c r="S557" i="30"/>
  <c r="Q563" i="30"/>
  <c r="T567" i="30"/>
  <c r="Q570" i="30"/>
  <c r="I558" i="30"/>
  <c r="N559" i="30"/>
  <c r="Q567" i="30"/>
  <c r="I563" i="30"/>
  <c r="O558" i="30"/>
  <c r="L562" i="30"/>
  <c r="N568" i="30"/>
  <c r="T563" i="30"/>
  <c r="L559" i="30"/>
  <c r="J565" i="30"/>
  <c r="S567" i="30"/>
  <c r="K563" i="30"/>
  <c r="Q558" i="30"/>
  <c r="G566" i="30"/>
  <c r="T560" i="30"/>
  <c r="R558" i="30"/>
  <c r="Q562" i="30"/>
  <c r="J561" i="30"/>
  <c r="O568" i="30"/>
  <c r="G564" i="30"/>
  <c r="M559" i="30"/>
  <c r="T564" i="30"/>
  <c r="L569" i="30"/>
  <c r="R564" i="30"/>
  <c r="J560" i="30"/>
  <c r="R567" i="30"/>
  <c r="Q568" i="30"/>
  <c r="I564" i="30"/>
  <c r="O559" i="30"/>
  <c r="P558" i="30"/>
  <c r="N567" i="30"/>
  <c r="N564" i="30"/>
  <c r="K567" i="30"/>
  <c r="Q565" i="30"/>
  <c r="R563" i="30"/>
  <c r="T568" i="30"/>
  <c r="O566" i="30"/>
  <c r="M557" i="30"/>
  <c r="R562" i="30"/>
  <c r="R561" i="30"/>
  <c r="O557" i="30"/>
  <c r="H569" i="30"/>
  <c r="J559" i="30"/>
  <c r="K558" i="30"/>
  <c r="P563" i="30"/>
  <c r="O567" i="30"/>
  <c r="M558" i="30"/>
  <c r="H564" i="30"/>
  <c r="G565" i="30"/>
  <c r="J563" i="30"/>
  <c r="I569" i="30"/>
  <c r="O564" i="30"/>
  <c r="G560" i="30"/>
  <c r="L566" i="30"/>
  <c r="T569" i="30"/>
  <c r="R560" i="30"/>
  <c r="N569" i="30"/>
  <c r="K569" i="30"/>
  <c r="Q564" i="30"/>
  <c r="O570" i="30"/>
  <c r="P570" i="30"/>
  <c r="S563" i="30"/>
  <c r="G570" i="30"/>
  <c r="S560" i="30"/>
  <c r="R570" i="30"/>
  <c r="P561" i="30"/>
  <c r="O565" i="30"/>
  <c r="G561" i="30"/>
  <c r="M561" i="30"/>
  <c r="P566" i="30"/>
  <c r="K570" i="30"/>
  <c r="R569" i="30"/>
  <c r="N557" i="30"/>
  <c r="N566" i="30"/>
  <c r="T561" i="30"/>
  <c r="L557" i="30"/>
  <c r="M570" i="30"/>
  <c r="S565" i="30"/>
  <c r="K561" i="30"/>
  <c r="L563" i="30"/>
  <c r="J557" i="30"/>
  <c r="L567" i="30"/>
  <c r="I562" i="30"/>
  <c r="K559" i="30"/>
  <c r="N561" i="30"/>
  <c r="L564" i="30"/>
  <c r="K568" i="30"/>
  <c r="L565" i="30"/>
  <c r="I560" i="30"/>
  <c r="T559" i="30"/>
  <c r="R565" i="30"/>
  <c r="M565" i="30"/>
  <c r="J569" i="30"/>
  <c r="J566" i="30"/>
  <c r="I570" i="30"/>
  <c r="P560" i="30"/>
  <c r="O569" i="30"/>
  <c r="S570" i="30"/>
  <c r="L558" i="30"/>
  <c r="R559" i="30"/>
  <c r="O562" i="30"/>
  <c r="K566" i="30"/>
  <c r="H567" i="30"/>
  <c r="M566" i="30"/>
  <c r="J570" i="30"/>
  <c r="P557" i="30"/>
  <c r="H568" i="30"/>
  <c r="T557" i="30"/>
  <c r="M560" i="30"/>
  <c r="Q561" i="30"/>
  <c r="N562" i="30"/>
  <c r="S561" i="30"/>
  <c r="I557" i="30"/>
  <c r="K557" i="30"/>
  <c r="G925" i="30"/>
  <c r="F140" i="32"/>
  <c r="G604" i="30"/>
  <c r="Q604" i="30"/>
  <c r="Q602" i="30"/>
  <c r="G601" i="30"/>
  <c r="K600" i="30"/>
  <c r="R601" i="30"/>
  <c r="N600" i="30"/>
  <c r="R599" i="30"/>
  <c r="J604" i="30"/>
  <c r="N603" i="30"/>
  <c r="I600" i="30"/>
  <c r="P599" i="30"/>
  <c r="M599" i="30"/>
  <c r="S604" i="30"/>
  <c r="L604" i="30"/>
  <c r="L603" i="30"/>
  <c r="I603" i="30"/>
  <c r="P602" i="30"/>
  <c r="S601" i="30"/>
  <c r="L601" i="30"/>
  <c r="I601" i="30"/>
  <c r="O282" i="30"/>
  <c r="O284" i="30" s="1"/>
  <c r="T282" i="30"/>
  <c r="T284" i="30" s="1"/>
  <c r="L664" i="30"/>
  <c r="Q311" i="30"/>
  <c r="Q313" i="30" s="1"/>
  <c r="L311" i="30"/>
  <c r="L313" i="30" s="1"/>
  <c r="R311" i="30"/>
  <c r="R313" i="30" s="1"/>
  <c r="N311" i="30"/>
  <c r="N313" i="30" s="1"/>
  <c r="O311" i="30"/>
  <c r="O313" i="30" s="1"/>
  <c r="H311" i="30"/>
  <c r="H313" i="30" s="1"/>
  <c r="J602" i="30"/>
  <c r="O603" i="30"/>
  <c r="G599" i="30"/>
  <c r="P600" i="30"/>
  <c r="G602" i="30"/>
  <c r="H603" i="30"/>
  <c r="M604" i="30"/>
  <c r="S599" i="30"/>
  <c r="N601" i="30"/>
  <c r="S602" i="30"/>
  <c r="T603" i="30"/>
  <c r="L599" i="30"/>
  <c r="Q600" i="30"/>
  <c r="L602" i="30"/>
  <c r="Q603" i="30"/>
  <c r="I599" i="30"/>
  <c r="J600" i="30"/>
  <c r="O601" i="30"/>
  <c r="J603" i="30"/>
  <c r="O604" i="30"/>
  <c r="G600" i="30"/>
  <c r="P311" i="30"/>
  <c r="P313" i="30" s="1"/>
  <c r="H601" i="30"/>
  <c r="M602" i="30"/>
  <c r="H604" i="30"/>
  <c r="N599" i="30"/>
  <c r="S600" i="30"/>
  <c r="T601" i="30"/>
  <c r="K603" i="30"/>
  <c r="T604" i="30"/>
  <c r="L600" i="30"/>
  <c r="Q601" i="30"/>
  <c r="R602" i="30"/>
  <c r="I604" i="30"/>
  <c r="O599" i="30"/>
  <c r="J601" i="30"/>
  <c r="O602" i="30"/>
  <c r="P603" i="30"/>
  <c r="H599" i="30"/>
  <c r="M600" i="30"/>
  <c r="H602" i="30"/>
  <c r="M603" i="30"/>
  <c r="R604" i="30"/>
  <c r="T311" i="30"/>
  <c r="T313" i="30" s="1"/>
  <c r="N604" i="30"/>
  <c r="T599" i="30"/>
  <c r="K601" i="30"/>
  <c r="T602" i="30"/>
  <c r="K604" i="30"/>
  <c r="Q599" i="30"/>
  <c r="R600" i="30"/>
  <c r="I602" i="30"/>
  <c r="R603" i="30"/>
  <c r="J599" i="30"/>
  <c r="O600" i="30"/>
  <c r="P601" i="30"/>
  <c r="G603" i="30"/>
  <c r="P604" i="30"/>
  <c r="H600" i="30"/>
  <c r="M601" i="30"/>
  <c r="N602" i="30"/>
  <c r="S603" i="30"/>
  <c r="K599" i="30"/>
  <c r="T600" i="30"/>
  <c r="M282" i="30"/>
  <c r="M284" i="30" s="1"/>
  <c r="M311" i="30"/>
  <c r="M313" i="30" s="1"/>
  <c r="J311" i="30"/>
  <c r="J313" i="30" s="1"/>
  <c r="I311" i="30"/>
  <c r="K311" i="30"/>
  <c r="K313" i="30" s="1"/>
  <c r="G313" i="30"/>
  <c r="U309" i="30"/>
  <c r="U314" i="30" s="1"/>
  <c r="G314" i="30"/>
  <c r="S311" i="30"/>
  <c r="S313" i="30" s="1"/>
  <c r="U854" i="30"/>
  <c r="E183" i="32" s="1"/>
  <c r="U910" i="30"/>
  <c r="C197" i="32" s="1"/>
  <c r="J663" i="30"/>
  <c r="U861" i="30"/>
  <c r="F183" i="32" s="1"/>
  <c r="L666" i="30"/>
  <c r="U837" i="30"/>
  <c r="C180" i="32" s="1"/>
  <c r="U852" i="30"/>
  <c r="E181" i="32" s="1"/>
  <c r="U856" i="30"/>
  <c r="E185" i="32" s="1"/>
  <c r="U845" i="30"/>
  <c r="D181" i="32" s="1"/>
  <c r="U853" i="30"/>
  <c r="E182" i="32" s="1"/>
  <c r="U844" i="30"/>
  <c r="D180" i="32" s="1"/>
  <c r="U842" i="30"/>
  <c r="C185" i="32" s="1"/>
  <c r="U838" i="30"/>
  <c r="C181" i="32" s="1"/>
  <c r="U846" i="30"/>
  <c r="D182" i="32" s="1"/>
  <c r="U863" i="30"/>
  <c r="F185" i="32" s="1"/>
  <c r="S282" i="30"/>
  <c r="S284" i="30" s="1"/>
  <c r="U859" i="30"/>
  <c r="F181" i="32" s="1"/>
  <c r="U850" i="30"/>
  <c r="E179" i="32" s="1"/>
  <c r="U836" i="30"/>
  <c r="C179" i="32" s="1"/>
  <c r="U840" i="30"/>
  <c r="C183" i="32" s="1"/>
  <c r="U857" i="30"/>
  <c r="F179" i="32" s="1"/>
  <c r="U860" i="30"/>
  <c r="F182" i="32" s="1"/>
  <c r="U839" i="30"/>
  <c r="C182" i="32" s="1"/>
  <c r="U849" i="30"/>
  <c r="D185" i="32" s="1"/>
  <c r="U843" i="30"/>
  <c r="D179" i="32" s="1"/>
  <c r="I282" i="30"/>
  <c r="I284" i="30" s="1"/>
  <c r="N282" i="30"/>
  <c r="N284" i="30" s="1"/>
  <c r="U847" i="30"/>
  <c r="D183" i="32" s="1"/>
  <c r="U858" i="30"/>
  <c r="F180" i="32" s="1"/>
  <c r="R667" i="30"/>
  <c r="I668" i="30"/>
  <c r="N665" i="30"/>
  <c r="G665" i="30"/>
  <c r="I664" i="30"/>
  <c r="G663" i="30"/>
  <c r="Q667" i="30"/>
  <c r="S666" i="30"/>
  <c r="Q665" i="30"/>
  <c r="N663" i="30"/>
  <c r="M668" i="30"/>
  <c r="K667" i="30"/>
  <c r="I666" i="30"/>
  <c r="R664" i="30"/>
  <c r="T663" i="30"/>
  <c r="U665" i="30"/>
  <c r="S664" i="30"/>
  <c r="M663" i="30"/>
  <c r="P668" i="30"/>
  <c r="N667" i="30"/>
  <c r="H666" i="30"/>
  <c r="O664" i="30"/>
  <c r="S668" i="30"/>
  <c r="G667" i="30"/>
  <c r="J665" i="30"/>
  <c r="I663" i="30"/>
  <c r="M667" i="30"/>
  <c r="T665" i="30"/>
  <c r="H664" i="30"/>
  <c r="L668" i="30"/>
  <c r="O666" i="30"/>
  <c r="N664" i="30"/>
  <c r="R668" i="30"/>
  <c r="J667" i="30"/>
  <c r="M665" i="30"/>
  <c r="P663" i="30"/>
  <c r="T667" i="30"/>
  <c r="S665" i="30"/>
  <c r="K664" i="30"/>
  <c r="O668" i="30"/>
  <c r="R666" i="30"/>
  <c r="U664" i="30"/>
  <c r="U228" i="30"/>
  <c r="E68" i="32" s="1"/>
  <c r="G230" i="30"/>
  <c r="Q616" i="30"/>
  <c r="M616" i="30"/>
  <c r="I616" i="30"/>
  <c r="S615" i="30"/>
  <c r="O615" i="30"/>
  <c r="K615" i="30"/>
  <c r="G615" i="30"/>
  <c r="Q614" i="30"/>
  <c r="M614" i="30"/>
  <c r="I614" i="30"/>
  <c r="S613" i="30"/>
  <c r="O613" i="30"/>
  <c r="K613" i="30"/>
  <c r="G613" i="30"/>
  <c r="Q612" i="30"/>
  <c r="M612" i="30"/>
  <c r="I612" i="30"/>
  <c r="S611" i="30"/>
  <c r="O611" i="30"/>
  <c r="K611" i="30"/>
  <c r="G611" i="30"/>
  <c r="T616" i="30"/>
  <c r="P616" i="30"/>
  <c r="L616" i="30"/>
  <c r="H616" i="30"/>
  <c r="R615" i="30"/>
  <c r="N615" i="30"/>
  <c r="J615" i="30"/>
  <c r="T614" i="30"/>
  <c r="P614" i="30"/>
  <c r="L614" i="30"/>
  <c r="H614" i="30"/>
  <c r="R613" i="30"/>
  <c r="N613" i="30"/>
  <c r="J613" i="30"/>
  <c r="T612" i="30"/>
  <c r="P612" i="30"/>
  <c r="L612" i="30"/>
  <c r="H612" i="30"/>
  <c r="R611" i="30"/>
  <c r="N611" i="30"/>
  <c r="J611" i="30"/>
  <c r="S616" i="30"/>
  <c r="O616" i="30"/>
  <c r="K616" i="30"/>
  <c r="G616" i="30"/>
  <c r="Q615" i="30"/>
  <c r="M615" i="30"/>
  <c r="I615" i="30"/>
  <c r="S614" i="30"/>
  <c r="O614" i="30"/>
  <c r="K614" i="30"/>
  <c r="G614" i="30"/>
  <c r="Q613" i="30"/>
  <c r="M613" i="30"/>
  <c r="I613" i="30"/>
  <c r="S612" i="30"/>
  <c r="O612" i="30"/>
  <c r="K612" i="30"/>
  <c r="G612" i="30"/>
  <c r="Q611" i="30"/>
  <c r="M611" i="30"/>
  <c r="I611" i="30"/>
  <c r="R616" i="30"/>
  <c r="N616" i="30"/>
  <c r="J616" i="30"/>
  <c r="T615" i="30"/>
  <c r="P615" i="30"/>
  <c r="L615" i="30"/>
  <c r="H615" i="30"/>
  <c r="R614" i="30"/>
  <c r="N614" i="30"/>
  <c r="J614" i="30"/>
  <c r="T613" i="30"/>
  <c r="P613" i="30"/>
  <c r="L613" i="30"/>
  <c r="H613" i="30"/>
  <c r="R612" i="30"/>
  <c r="N612" i="30"/>
  <c r="J612" i="30"/>
  <c r="T611" i="30"/>
  <c r="P611" i="30"/>
  <c r="L611" i="30"/>
  <c r="H611" i="30"/>
  <c r="G529" i="30" a="1"/>
  <c r="P542" i="30" s="1"/>
  <c r="U851" i="30"/>
  <c r="E180" i="32" s="1"/>
  <c r="I667" i="30"/>
  <c r="P665" i="30"/>
  <c r="S663" i="30"/>
  <c r="H668" i="30"/>
  <c r="K666" i="30"/>
  <c r="J664" i="30"/>
  <c r="N668" i="30"/>
  <c r="U666" i="30"/>
  <c r="I665" i="30"/>
  <c r="L663" i="30"/>
  <c r="P667" i="30"/>
  <c r="O665" i="30"/>
  <c r="G664" i="30"/>
  <c r="K668" i="30"/>
  <c r="N666" i="30"/>
  <c r="Q664" i="30"/>
  <c r="U668" i="30"/>
  <c r="T666" i="30"/>
  <c r="L665" i="30"/>
  <c r="O663" i="30"/>
  <c r="S667" i="30"/>
  <c r="G666" i="30"/>
  <c r="K282" i="30"/>
  <c r="K284" i="30" s="1"/>
  <c r="L282" i="30"/>
  <c r="L284" i="30" s="1"/>
  <c r="P282" i="30"/>
  <c r="P284" i="30" s="1"/>
  <c r="U202" i="30"/>
  <c r="G204" i="30"/>
  <c r="J282" i="30"/>
  <c r="J284" i="30" s="1"/>
  <c r="U663" i="30"/>
  <c r="J668" i="30"/>
  <c r="Q666" i="30"/>
  <c r="T664" i="30"/>
  <c r="H663" i="30"/>
  <c r="L667" i="30"/>
  <c r="K665" i="30"/>
  <c r="R663" i="30"/>
  <c r="G668" i="30"/>
  <c r="J666" i="30"/>
  <c r="M664" i="30"/>
  <c r="Q668" i="30"/>
  <c r="P666" i="30"/>
  <c r="H665" i="30"/>
  <c r="K663" i="30"/>
  <c r="O667" i="30"/>
  <c r="R665" i="30"/>
  <c r="Q663" i="30"/>
  <c r="U667" i="30"/>
  <c r="M666" i="30"/>
  <c r="P664" i="30"/>
  <c r="T668" i="30"/>
  <c r="G285" i="30"/>
  <c r="U280" i="30"/>
  <c r="U285" i="30" s="1"/>
  <c r="G282" i="30"/>
  <c r="H282" i="30"/>
  <c r="H284" i="30" s="1"/>
  <c r="U254" i="30"/>
  <c r="G256" i="30"/>
  <c r="R282" i="30"/>
  <c r="R284" i="30" s="1"/>
  <c r="Q282" i="30"/>
  <c r="Q284" i="30" s="1"/>
  <c r="L925" i="30"/>
  <c r="U923" i="30"/>
  <c r="F195" i="32" s="1"/>
  <c r="G794" i="30" a="1"/>
  <c r="J817" i="30" s="1"/>
  <c r="N925" i="30"/>
  <c r="U922" i="30"/>
  <c r="F194" i="32" s="1"/>
  <c r="U921" i="30"/>
  <c r="F193" i="32" s="1"/>
  <c r="O925" i="30"/>
  <c r="J925" i="30"/>
  <c r="K925" i="30"/>
  <c r="R925" i="30"/>
  <c r="T925" i="30"/>
  <c r="P925" i="30"/>
  <c r="S925" i="30"/>
  <c r="M925" i="30"/>
  <c r="U924" i="30"/>
  <c r="F196" i="32" s="1"/>
  <c r="H925" i="30"/>
  <c r="I925" i="30"/>
  <c r="Q925" i="30"/>
  <c r="R622" i="30"/>
  <c r="G618" i="30"/>
  <c r="I619" i="30"/>
  <c r="K620" i="30"/>
  <c r="M621" i="30"/>
  <c r="O622" i="30"/>
  <c r="R617" i="30"/>
  <c r="T618" i="30"/>
  <c r="H620" i="30"/>
  <c r="J621" i="30"/>
  <c r="L622" i="30"/>
  <c r="K617" i="30"/>
  <c r="M618" i="30"/>
  <c r="O619" i="30"/>
  <c r="Q620" i="30"/>
  <c r="S621" i="30"/>
  <c r="H617" i="30"/>
  <c r="J618" i="30"/>
  <c r="L619" i="30"/>
  <c r="N620" i="30"/>
  <c r="P621" i="30"/>
  <c r="I617" i="30"/>
  <c r="K618" i="30"/>
  <c r="M619" i="30"/>
  <c r="O620" i="30"/>
  <c r="Q621" i="30"/>
  <c r="S622" i="30"/>
  <c r="H618" i="30"/>
  <c r="J619" i="30"/>
  <c r="L620" i="30"/>
  <c r="N621" i="30"/>
  <c r="P622" i="30"/>
  <c r="O617" i="30"/>
  <c r="Q618" i="30"/>
  <c r="S619" i="30"/>
  <c r="G621" i="30"/>
  <c r="I622" i="30"/>
  <c r="L617" i="30"/>
  <c r="N618" i="30"/>
  <c r="P619" i="30"/>
  <c r="R620" i="30"/>
  <c r="T621" i="30"/>
  <c r="M617" i="30"/>
  <c r="O618" i="30"/>
  <c r="Q619" i="30"/>
  <c r="S620" i="30"/>
  <c r="G622" i="30"/>
  <c r="J617" i="30"/>
  <c r="L618" i="30"/>
  <c r="N619" i="30"/>
  <c r="P620" i="30"/>
  <c r="R621" i="30"/>
  <c r="T622" i="30"/>
  <c r="S617" i="30"/>
  <c r="G619" i="30"/>
  <c r="I620" i="30"/>
  <c r="K621" i="30"/>
  <c r="M622" i="30"/>
  <c r="P617" i="30"/>
  <c r="R618" i="30"/>
  <c r="T619" i="30"/>
  <c r="H621" i="30"/>
  <c r="J622" i="30"/>
  <c r="Q617" i="30"/>
  <c r="S618" i="30"/>
  <c r="G620" i="30"/>
  <c r="I621" i="30"/>
  <c r="K622" i="30"/>
  <c r="N617" i="30"/>
  <c r="P618" i="30"/>
  <c r="R619" i="30"/>
  <c r="T620" i="30"/>
  <c r="H622" i="30"/>
  <c r="G617" i="30"/>
  <c r="I618" i="30"/>
  <c r="K619" i="30"/>
  <c r="M620" i="30"/>
  <c r="O621" i="30"/>
  <c r="Q622" i="30"/>
  <c r="T617" i="30"/>
  <c r="H619" i="30"/>
  <c r="J620" i="30"/>
  <c r="L621" i="30"/>
  <c r="N622" i="30"/>
  <c r="G543" i="30" a="1"/>
  <c r="G501" i="30" a="1"/>
  <c r="R514" i="30" s="1"/>
  <c r="G118" i="32" l="1"/>
  <c r="N154" i="32"/>
  <c r="E38" i="31" s="1"/>
  <c r="E129" i="32"/>
  <c r="H72" i="32"/>
  <c r="U1026" i="30"/>
  <c r="K237" i="32" s="1"/>
  <c r="G119" i="32"/>
  <c r="D129" i="32"/>
  <c r="F129" i="32"/>
  <c r="C129" i="32"/>
  <c r="H154" i="32"/>
  <c r="M154" i="32"/>
  <c r="L154" i="32"/>
  <c r="I154" i="32"/>
  <c r="J154" i="32"/>
  <c r="K154" i="32"/>
  <c r="M915" i="30"/>
  <c r="S920" i="30"/>
  <c r="U912" i="30"/>
  <c r="D194" i="32" s="1"/>
  <c r="I915" i="30"/>
  <c r="H920" i="30"/>
  <c r="K920" i="30"/>
  <c r="H915" i="30"/>
  <c r="L915" i="30"/>
  <c r="Q920" i="30"/>
  <c r="T523" i="30"/>
  <c r="U913" i="30"/>
  <c r="D195" i="32" s="1"/>
  <c r="P915" i="30"/>
  <c r="U911" i="30"/>
  <c r="D193" i="32" s="1"/>
  <c r="U916" i="30"/>
  <c r="E193" i="32" s="1"/>
  <c r="P920" i="30"/>
  <c r="U917" i="30"/>
  <c r="E194" i="32" s="1"/>
  <c r="U918" i="30"/>
  <c r="E195" i="32" s="1"/>
  <c r="R920" i="30"/>
  <c r="Q915" i="30"/>
  <c r="J920" i="30"/>
  <c r="U919" i="30"/>
  <c r="E196" i="32" s="1"/>
  <c r="I920" i="30"/>
  <c r="K528" i="30"/>
  <c r="L920" i="30"/>
  <c r="O920" i="30"/>
  <c r="R915" i="30"/>
  <c r="G915" i="30"/>
  <c r="T915" i="30"/>
  <c r="T920" i="30"/>
  <c r="G920" i="30"/>
  <c r="N915" i="30"/>
  <c r="O915" i="30"/>
  <c r="N515" i="30"/>
  <c r="M920" i="30"/>
  <c r="K915" i="30"/>
  <c r="N920" i="30"/>
  <c r="U914" i="30"/>
  <c r="D196" i="32" s="1"/>
  <c r="J915" i="30"/>
  <c r="S915" i="30"/>
  <c r="O519" i="30"/>
  <c r="U610" i="30"/>
  <c r="D130" i="32" s="1"/>
  <c r="H520" i="30"/>
  <c r="I524" i="30"/>
  <c r="N528" i="30"/>
  <c r="P524" i="30"/>
  <c r="Q528" i="30"/>
  <c r="I519" i="30"/>
  <c r="G515" i="30"/>
  <c r="L519" i="30"/>
  <c r="Q523" i="30"/>
  <c r="U607" i="30"/>
  <c r="D127" i="32" s="1"/>
  <c r="U605" i="30"/>
  <c r="D125" i="32" s="1"/>
  <c r="U606" i="30"/>
  <c r="D126" i="32" s="1"/>
  <c r="P516" i="30"/>
  <c r="J521" i="30"/>
  <c r="R525" i="30"/>
  <c r="I516" i="30"/>
  <c r="Q520" i="30"/>
  <c r="K525" i="30"/>
  <c r="T515" i="30"/>
  <c r="N520" i="30"/>
  <c r="H525" i="30"/>
  <c r="Q515" i="30"/>
  <c r="K520" i="30"/>
  <c r="S524" i="30"/>
  <c r="R517" i="30"/>
  <c r="L522" i="30"/>
  <c r="T526" i="30"/>
  <c r="K517" i="30"/>
  <c r="S521" i="30"/>
  <c r="M526" i="30"/>
  <c r="H517" i="30"/>
  <c r="P521" i="30"/>
  <c r="J526" i="30"/>
  <c r="S516" i="30"/>
  <c r="M521" i="30"/>
  <c r="G526" i="30"/>
  <c r="T518" i="30"/>
  <c r="N523" i="30"/>
  <c r="H528" i="30"/>
  <c r="M518" i="30"/>
  <c r="G523" i="30"/>
  <c r="O527" i="30"/>
  <c r="J518" i="30"/>
  <c r="R522" i="30"/>
  <c r="L527" i="30"/>
  <c r="G518" i="30"/>
  <c r="O522" i="30"/>
  <c r="I527" i="30"/>
  <c r="R515" i="30"/>
  <c r="T516" i="30"/>
  <c r="H518" i="30"/>
  <c r="J519" i="30"/>
  <c r="L520" i="30"/>
  <c r="N521" i="30"/>
  <c r="P522" i="30"/>
  <c r="R523" i="30"/>
  <c r="T524" i="30"/>
  <c r="H526" i="30"/>
  <c r="J527" i="30"/>
  <c r="L528" i="30"/>
  <c r="K515" i="30"/>
  <c r="M516" i="30"/>
  <c r="O517" i="30"/>
  <c r="Q518" i="30"/>
  <c r="S519" i="30"/>
  <c r="G521" i="30"/>
  <c r="I522" i="30"/>
  <c r="K523" i="30"/>
  <c r="M524" i="30"/>
  <c r="O525" i="30"/>
  <c r="Q526" i="30"/>
  <c r="S527" i="30"/>
  <c r="H515" i="30"/>
  <c r="J516" i="30"/>
  <c r="L517" i="30"/>
  <c r="N518" i="30"/>
  <c r="P519" i="30"/>
  <c r="R520" i="30"/>
  <c r="T521" i="30"/>
  <c r="H523" i="30"/>
  <c r="J524" i="30"/>
  <c r="L525" i="30"/>
  <c r="N526" i="30"/>
  <c r="P527" i="30"/>
  <c r="R528" i="30"/>
  <c r="G516" i="30"/>
  <c r="I517" i="30"/>
  <c r="K518" i="30"/>
  <c r="M519" i="30"/>
  <c r="O520" i="30"/>
  <c r="Q521" i="30"/>
  <c r="S522" i="30"/>
  <c r="G524" i="30"/>
  <c r="I525" i="30"/>
  <c r="K526" i="30"/>
  <c r="M527" i="30"/>
  <c r="O528" i="30"/>
  <c r="U927" i="30"/>
  <c r="G194" i="32" s="1"/>
  <c r="U926" i="30"/>
  <c r="G193" i="32" s="1"/>
  <c r="T930" i="30"/>
  <c r="H516" i="30"/>
  <c r="J517" i="30"/>
  <c r="L518" i="30"/>
  <c r="N519" i="30"/>
  <c r="P520" i="30"/>
  <c r="R521" i="30"/>
  <c r="T522" i="30"/>
  <c r="H524" i="30"/>
  <c r="J525" i="30"/>
  <c r="L526" i="30"/>
  <c r="N527" i="30"/>
  <c r="P528" i="30"/>
  <c r="O515" i="30"/>
  <c r="Q516" i="30"/>
  <c r="S517" i="30"/>
  <c r="G519" i="30"/>
  <c r="I520" i="30"/>
  <c r="K521" i="30"/>
  <c r="M522" i="30"/>
  <c r="O523" i="30"/>
  <c r="Q524" i="30"/>
  <c r="S525" i="30"/>
  <c r="G527" i="30"/>
  <c r="I528" i="30"/>
  <c r="L515" i="30"/>
  <c r="N516" i="30"/>
  <c r="P517" i="30"/>
  <c r="R518" i="30"/>
  <c r="T519" i="30"/>
  <c r="H521" i="30"/>
  <c r="J522" i="30"/>
  <c r="L523" i="30"/>
  <c r="N524" i="30"/>
  <c r="P525" i="30"/>
  <c r="R526" i="30"/>
  <c r="T527" i="30"/>
  <c r="I515" i="30"/>
  <c r="K516" i="30"/>
  <c r="M517" i="30"/>
  <c r="O518" i="30"/>
  <c r="Q519" i="30"/>
  <c r="S520" i="30"/>
  <c r="G522" i="30"/>
  <c r="I523" i="30"/>
  <c r="K524" i="30"/>
  <c r="M525" i="30"/>
  <c r="O526" i="30"/>
  <c r="Q527" i="30"/>
  <c r="S528" i="30"/>
  <c r="J515" i="30"/>
  <c r="L516" i="30"/>
  <c r="N517" i="30"/>
  <c r="P518" i="30"/>
  <c r="R519" i="30"/>
  <c r="T520" i="30"/>
  <c r="H522" i="30"/>
  <c r="J523" i="30"/>
  <c r="L524" i="30"/>
  <c r="N525" i="30"/>
  <c r="P526" i="30"/>
  <c r="R527" i="30"/>
  <c r="T528" i="30"/>
  <c r="S515" i="30"/>
  <c r="G517" i="30"/>
  <c r="I518" i="30"/>
  <c r="K519" i="30"/>
  <c r="M520" i="30"/>
  <c r="O521" i="30"/>
  <c r="Q522" i="30"/>
  <c r="S523" i="30"/>
  <c r="G525" i="30"/>
  <c r="I526" i="30"/>
  <c r="K527" i="30"/>
  <c r="M528" i="30"/>
  <c r="P515" i="30"/>
  <c r="R516" i="30"/>
  <c r="T517" i="30"/>
  <c r="H519" i="30"/>
  <c r="J520" i="30"/>
  <c r="L521" i="30"/>
  <c r="N522" i="30"/>
  <c r="P523" i="30"/>
  <c r="R524" i="30"/>
  <c r="T525" i="30"/>
  <c r="H527" i="30"/>
  <c r="J528" i="30"/>
  <c r="M515" i="30"/>
  <c r="O516" i="30"/>
  <c r="Q517" i="30"/>
  <c r="S518" i="30"/>
  <c r="G520" i="30"/>
  <c r="I521" i="30"/>
  <c r="K522" i="30"/>
  <c r="M523" i="30"/>
  <c r="O524" i="30"/>
  <c r="Q525" i="30"/>
  <c r="S526" i="30"/>
  <c r="Q930" i="30"/>
  <c r="I930" i="30"/>
  <c r="N930" i="30"/>
  <c r="M930" i="30"/>
  <c r="S930" i="30"/>
  <c r="O930" i="30"/>
  <c r="G930" i="30"/>
  <c r="U929" i="30"/>
  <c r="G196" i="32" s="1"/>
  <c r="J930" i="30"/>
  <c r="R930" i="30"/>
  <c r="P930" i="30"/>
  <c r="K930" i="30"/>
  <c r="H930" i="30"/>
  <c r="L930" i="30"/>
  <c r="U928" i="30"/>
  <c r="G195" i="32" s="1"/>
  <c r="U566" i="30"/>
  <c r="U560" i="30"/>
  <c r="G112" i="32" s="1"/>
  <c r="U565" i="30"/>
  <c r="G117" i="32" s="1"/>
  <c r="U563" i="30"/>
  <c r="G115" i="32" s="1"/>
  <c r="U558" i="30"/>
  <c r="G110" i="32" s="1"/>
  <c r="U569" i="30"/>
  <c r="G121" i="32" s="1"/>
  <c r="U568" i="30"/>
  <c r="G120" i="32" s="1"/>
  <c r="U561" i="30"/>
  <c r="G113" i="32" s="1"/>
  <c r="U564" i="30"/>
  <c r="G116" i="32" s="1"/>
  <c r="U570" i="30"/>
  <c r="G122" i="32" s="1"/>
  <c r="U562" i="30"/>
  <c r="G114" i="32" s="1"/>
  <c r="U559" i="30"/>
  <c r="G111" i="32" s="1"/>
  <c r="U557" i="30"/>
  <c r="G109" i="32" s="1"/>
  <c r="U676" i="30"/>
  <c r="L142" i="32" s="1"/>
  <c r="U710" i="30"/>
  <c r="L148" i="32" s="1"/>
  <c r="J530" i="30"/>
  <c r="S540" i="30"/>
  <c r="I538" i="30"/>
  <c r="O534" i="30"/>
  <c r="N536" i="30"/>
  <c r="T532" i="30"/>
  <c r="I532" i="30"/>
  <c r="N542" i="30"/>
  <c r="T538" i="30"/>
  <c r="O533" i="30"/>
  <c r="O539" i="30"/>
  <c r="T531" i="30"/>
  <c r="T537" i="30"/>
  <c r="G530" i="30"/>
  <c r="K536" i="30"/>
  <c r="K542" i="30"/>
  <c r="L534" i="30"/>
  <c r="P540" i="30"/>
  <c r="G529" i="30"/>
  <c r="G535" i="30"/>
  <c r="K541" i="30"/>
  <c r="L533" i="30"/>
  <c r="L539" i="30"/>
  <c r="Q531" i="30"/>
  <c r="Q537" i="30"/>
  <c r="R529" i="30"/>
  <c r="H536" i="30"/>
  <c r="H542" i="30"/>
  <c r="M530" i="30"/>
  <c r="Q536" i="30"/>
  <c r="Q542" i="30"/>
  <c r="R534" i="30"/>
  <c r="H541" i="30"/>
  <c r="I533" i="30"/>
  <c r="I539" i="30"/>
  <c r="N531" i="30"/>
  <c r="N537" i="30"/>
  <c r="K529" i="30"/>
  <c r="G531" i="30"/>
  <c r="M532" i="30"/>
  <c r="S533" i="30"/>
  <c r="O535" i="30"/>
  <c r="G537" i="30"/>
  <c r="M538" i="30"/>
  <c r="I540" i="30"/>
  <c r="O541" i="30"/>
  <c r="H529" i="30"/>
  <c r="R530" i="30"/>
  <c r="J532" i="30"/>
  <c r="P533" i="30"/>
  <c r="L535" i="30"/>
  <c r="R536" i="30"/>
  <c r="J538" i="30"/>
  <c r="T539" i="30"/>
  <c r="L541" i="30"/>
  <c r="R542" i="30"/>
  <c r="O530" i="30"/>
  <c r="G532" i="30"/>
  <c r="M533" i="30"/>
  <c r="I535" i="30"/>
  <c r="O536" i="30"/>
  <c r="G538" i="30"/>
  <c r="Q539" i="30"/>
  <c r="I541" i="30"/>
  <c r="O542" i="30"/>
  <c r="L530" i="30"/>
  <c r="R531" i="30"/>
  <c r="J533" i="30"/>
  <c r="T534" i="30"/>
  <c r="L536" i="30"/>
  <c r="R537" i="30"/>
  <c r="N539" i="30"/>
  <c r="T540" i="30"/>
  <c r="L542" i="30"/>
  <c r="S529" i="30"/>
  <c r="K531" i="30"/>
  <c r="Q532" i="30"/>
  <c r="M534" i="30"/>
  <c r="S535" i="30"/>
  <c r="K537" i="30"/>
  <c r="G539" i="30"/>
  <c r="M540" i="30"/>
  <c r="S541" i="30"/>
  <c r="P529" i="30"/>
  <c r="H531" i="30"/>
  <c r="N532" i="30"/>
  <c r="J534" i="30"/>
  <c r="P535" i="30"/>
  <c r="H537" i="30"/>
  <c r="R538" i="30"/>
  <c r="J540" i="30"/>
  <c r="P541" i="30"/>
  <c r="M529" i="30"/>
  <c r="S530" i="30"/>
  <c r="K532" i="30"/>
  <c r="G534" i="30"/>
  <c r="M535" i="30"/>
  <c r="S536" i="30"/>
  <c r="O538" i="30"/>
  <c r="G540" i="30"/>
  <c r="M541" i="30"/>
  <c r="J529" i="30"/>
  <c r="P530" i="30"/>
  <c r="H532" i="30"/>
  <c r="R533" i="30"/>
  <c r="J535" i="30"/>
  <c r="P536" i="30"/>
  <c r="L538" i="30"/>
  <c r="R539" i="30"/>
  <c r="J541" i="30"/>
  <c r="T542" i="30"/>
  <c r="I530" i="30"/>
  <c r="O531" i="30"/>
  <c r="K533" i="30"/>
  <c r="Q534" i="30"/>
  <c r="I536" i="30"/>
  <c r="S537" i="30"/>
  <c r="K539" i="30"/>
  <c r="Q540" i="30"/>
  <c r="M542" i="30"/>
  <c r="T529" i="30"/>
  <c r="L531" i="30"/>
  <c r="H533" i="30"/>
  <c r="N534" i="30"/>
  <c r="T535" i="30"/>
  <c r="P537" i="30"/>
  <c r="H539" i="30"/>
  <c r="N540" i="30"/>
  <c r="J542" i="30"/>
  <c r="Q529" i="30"/>
  <c r="I531" i="30"/>
  <c r="S532" i="30"/>
  <c r="K534" i="30"/>
  <c r="Q535" i="30"/>
  <c r="M537" i="30"/>
  <c r="S538" i="30"/>
  <c r="K540" i="30"/>
  <c r="G542" i="30"/>
  <c r="N529" i="30"/>
  <c r="T530" i="30"/>
  <c r="P532" i="30"/>
  <c r="H534" i="30"/>
  <c r="N535" i="30"/>
  <c r="J537" i="30"/>
  <c r="P538" i="30"/>
  <c r="H540" i="30"/>
  <c r="R541" i="30"/>
  <c r="U600" i="30"/>
  <c r="C126" i="32" s="1"/>
  <c r="U601" i="30"/>
  <c r="C127" i="32" s="1"/>
  <c r="U604" i="30"/>
  <c r="C130" i="32" s="1"/>
  <c r="F141" i="32"/>
  <c r="O529" i="30"/>
  <c r="Q530" i="30"/>
  <c r="S531" i="30"/>
  <c r="G533" i="30"/>
  <c r="I534" i="30"/>
  <c r="K535" i="30"/>
  <c r="M536" i="30"/>
  <c r="O537" i="30"/>
  <c r="Q538" i="30"/>
  <c r="S539" i="30"/>
  <c r="G541" i="30"/>
  <c r="I542" i="30"/>
  <c r="L529" i="30"/>
  <c r="N530" i="30"/>
  <c r="P531" i="30"/>
  <c r="R532" i="30"/>
  <c r="T533" i="30"/>
  <c r="H535" i="30"/>
  <c r="J536" i="30"/>
  <c r="L537" i="30"/>
  <c r="N538" i="30"/>
  <c r="P539" i="30"/>
  <c r="R540" i="30"/>
  <c r="T541" i="30"/>
  <c r="I529" i="30"/>
  <c r="K530" i="30"/>
  <c r="M531" i="30"/>
  <c r="O532" i="30"/>
  <c r="Q533" i="30"/>
  <c r="S534" i="30"/>
  <c r="G536" i="30"/>
  <c r="I537" i="30"/>
  <c r="K538" i="30"/>
  <c r="M539" i="30"/>
  <c r="O540" i="30"/>
  <c r="Q541" i="30"/>
  <c r="S542" i="30"/>
  <c r="H530" i="30"/>
  <c r="J531" i="30"/>
  <c r="L532" i="30"/>
  <c r="N533" i="30"/>
  <c r="P534" i="30"/>
  <c r="R535" i="30"/>
  <c r="T536" i="30"/>
  <c r="H538" i="30"/>
  <c r="J539" i="30"/>
  <c r="L540" i="30"/>
  <c r="N541" i="30"/>
  <c r="U599" i="30"/>
  <c r="C125" i="32" s="1"/>
  <c r="K141" i="32"/>
  <c r="U311" i="30"/>
  <c r="U313" i="30" s="1"/>
  <c r="I313" i="30"/>
  <c r="H70" i="32" s="1"/>
  <c r="I141" i="32"/>
  <c r="G141" i="32"/>
  <c r="Q513" i="30"/>
  <c r="K502" i="30"/>
  <c r="P506" i="30"/>
  <c r="S503" i="30"/>
  <c r="J141" i="32"/>
  <c r="Q510" i="30"/>
  <c r="H141" i="32"/>
  <c r="M511" i="30"/>
  <c r="O501" i="30"/>
  <c r="T505" i="30"/>
  <c r="O504" i="30"/>
  <c r="T508" i="30"/>
  <c r="G513" i="30"/>
  <c r="U674" i="30"/>
  <c r="J142" i="32" s="1"/>
  <c r="J508" i="30"/>
  <c r="U709" i="30"/>
  <c r="K148" i="32" s="1"/>
  <c r="H142" i="32"/>
  <c r="U673" i="30"/>
  <c r="I142" i="32" s="1"/>
  <c r="U675" i="30"/>
  <c r="K142" i="32" s="1"/>
  <c r="T794" i="30"/>
  <c r="L800" i="30"/>
  <c r="T804" i="30"/>
  <c r="N809" i="30"/>
  <c r="L814" i="30"/>
  <c r="I796" i="30"/>
  <c r="Q800" i="30"/>
  <c r="K805" i="30"/>
  <c r="S809" i="30"/>
  <c r="S814" i="30"/>
  <c r="R796" i="30"/>
  <c r="L801" i="30"/>
  <c r="T805" i="30"/>
  <c r="N810" i="30"/>
  <c r="Q815" i="30"/>
  <c r="I797" i="30"/>
  <c r="Q801" i="30"/>
  <c r="K806" i="30"/>
  <c r="S810" i="30"/>
  <c r="J816" i="30"/>
  <c r="H817" i="30"/>
  <c r="U256" i="30"/>
  <c r="F70" i="32" s="1"/>
  <c r="F68" i="32"/>
  <c r="G284" i="30"/>
  <c r="U282" i="30"/>
  <c r="U616" i="30"/>
  <c r="E130" i="32" s="1"/>
  <c r="U613" i="30"/>
  <c r="E127" i="32" s="1"/>
  <c r="U707" i="30"/>
  <c r="I148" i="32" s="1"/>
  <c r="U708" i="30"/>
  <c r="J148" i="32" s="1"/>
  <c r="U611" i="30"/>
  <c r="E125" i="32" s="1"/>
  <c r="P810" i="30"/>
  <c r="H798" i="30"/>
  <c r="P802" i="30"/>
  <c r="J807" i="30"/>
  <c r="R811" i="30"/>
  <c r="T817" i="30"/>
  <c r="M798" i="30"/>
  <c r="G803" i="30"/>
  <c r="O807" i="30"/>
  <c r="I812" i="30"/>
  <c r="N794" i="30"/>
  <c r="H799" i="30"/>
  <c r="P803" i="30"/>
  <c r="J808" i="30"/>
  <c r="R812" i="30"/>
  <c r="S794" i="30"/>
  <c r="M799" i="30"/>
  <c r="G804" i="30"/>
  <c r="O808" i="30"/>
  <c r="I813" i="30"/>
  <c r="N814" i="30"/>
  <c r="N817" i="30"/>
  <c r="U706" i="30"/>
  <c r="H148" i="32" s="1"/>
  <c r="U612" i="30"/>
  <c r="E126" i="32" s="1"/>
  <c r="J795" i="30"/>
  <c r="N801" i="30"/>
  <c r="H806" i="30"/>
  <c r="S815" i="30"/>
  <c r="K797" i="30"/>
  <c r="S801" i="30"/>
  <c r="M806" i="30"/>
  <c r="G811" i="30"/>
  <c r="N816" i="30"/>
  <c r="T797" i="30"/>
  <c r="N802" i="30"/>
  <c r="H807" i="30"/>
  <c r="P811" i="30"/>
  <c r="P817" i="30"/>
  <c r="K798" i="30"/>
  <c r="S802" i="30"/>
  <c r="M807" i="30"/>
  <c r="G812" i="30"/>
  <c r="L813" i="30"/>
  <c r="L816" i="30"/>
  <c r="P796" i="30"/>
  <c r="J799" i="30"/>
  <c r="R803" i="30"/>
  <c r="L808" i="30"/>
  <c r="T812" i="30"/>
  <c r="G795" i="30"/>
  <c r="O799" i="30"/>
  <c r="I804" i="30"/>
  <c r="Q808" i="30"/>
  <c r="K813" i="30"/>
  <c r="P795" i="30"/>
  <c r="J800" i="30"/>
  <c r="R804" i="30"/>
  <c r="L809" i="30"/>
  <c r="I814" i="30"/>
  <c r="G796" i="30"/>
  <c r="O800" i="30"/>
  <c r="I805" i="30"/>
  <c r="Q809" i="30"/>
  <c r="P814" i="30"/>
  <c r="P815" i="30"/>
  <c r="D68" i="32"/>
  <c r="U204" i="30"/>
  <c r="D70" i="32" s="1"/>
  <c r="U230" i="30"/>
  <c r="E70" i="32" s="1"/>
  <c r="P794" i="30"/>
  <c r="H796" i="30"/>
  <c r="L796" i="30"/>
  <c r="L798" i="30"/>
  <c r="N799" i="30"/>
  <c r="P800" i="30"/>
  <c r="R801" i="30"/>
  <c r="T802" i="30"/>
  <c r="H804" i="30"/>
  <c r="J805" i="30"/>
  <c r="L806" i="30"/>
  <c r="N807" i="30"/>
  <c r="P808" i="30"/>
  <c r="R809" i="30"/>
  <c r="T810" i="30"/>
  <c r="H812" i="30"/>
  <c r="J813" i="30"/>
  <c r="Q814" i="30"/>
  <c r="M816" i="30"/>
  <c r="I794" i="30"/>
  <c r="K795" i="30"/>
  <c r="M796" i="30"/>
  <c r="O797" i="30"/>
  <c r="Q798" i="30"/>
  <c r="S799" i="30"/>
  <c r="G801" i="30"/>
  <c r="I802" i="30"/>
  <c r="K803" i="30"/>
  <c r="M804" i="30"/>
  <c r="O805" i="30"/>
  <c r="Q806" i="30"/>
  <c r="S807" i="30"/>
  <c r="G809" i="30"/>
  <c r="I810" i="30"/>
  <c r="K811" i="30"/>
  <c r="M812" i="30"/>
  <c r="Q813" i="30"/>
  <c r="J815" i="30"/>
  <c r="G817" i="30"/>
  <c r="R794" i="30"/>
  <c r="T795" i="30"/>
  <c r="H797" i="30"/>
  <c r="J798" i="30"/>
  <c r="L799" i="30"/>
  <c r="N800" i="30"/>
  <c r="P801" i="30"/>
  <c r="R802" i="30"/>
  <c r="T803" i="30"/>
  <c r="H805" i="30"/>
  <c r="J806" i="30"/>
  <c r="L807" i="30"/>
  <c r="N808" i="30"/>
  <c r="P809" i="30"/>
  <c r="R810" i="30"/>
  <c r="T811" i="30"/>
  <c r="H813" i="30"/>
  <c r="O814" i="30"/>
  <c r="I816" i="30"/>
  <c r="G794" i="30"/>
  <c r="I795" i="30"/>
  <c r="K796" i="30"/>
  <c r="M797" i="30"/>
  <c r="O798" i="30"/>
  <c r="Q799" i="30"/>
  <c r="S800" i="30"/>
  <c r="G802" i="30"/>
  <c r="I803" i="30"/>
  <c r="K804" i="30"/>
  <c r="M805" i="30"/>
  <c r="O806" i="30"/>
  <c r="Q807" i="30"/>
  <c r="S808" i="30"/>
  <c r="G810" i="30"/>
  <c r="I811" i="30"/>
  <c r="K812" i="30"/>
  <c r="N813" i="30"/>
  <c r="G815" i="30"/>
  <c r="R816" i="30"/>
  <c r="P813" i="30"/>
  <c r="R814" i="30"/>
  <c r="T815" i="30"/>
  <c r="M817" i="30"/>
  <c r="P816" i="30"/>
  <c r="R817" i="30"/>
  <c r="L794" i="30"/>
  <c r="R795" i="30"/>
  <c r="J797" i="30"/>
  <c r="N797" i="30"/>
  <c r="P798" i="30"/>
  <c r="R799" i="30"/>
  <c r="T800" i="30"/>
  <c r="H802" i="30"/>
  <c r="J803" i="30"/>
  <c r="L804" i="30"/>
  <c r="N805" i="30"/>
  <c r="P806" i="30"/>
  <c r="R807" i="30"/>
  <c r="T808" i="30"/>
  <c r="H810" i="30"/>
  <c r="J811" i="30"/>
  <c r="L812" i="30"/>
  <c r="O813" i="30"/>
  <c r="I815" i="30"/>
  <c r="S816" i="30"/>
  <c r="M794" i="30"/>
  <c r="O795" i="30"/>
  <c r="Q796" i="30"/>
  <c r="S797" i="30"/>
  <c r="G799" i="30"/>
  <c r="I800" i="30"/>
  <c r="K801" i="30"/>
  <c r="M802" i="30"/>
  <c r="O803" i="30"/>
  <c r="Q804" i="30"/>
  <c r="S805" i="30"/>
  <c r="G807" i="30"/>
  <c r="I808" i="30"/>
  <c r="K809" i="30"/>
  <c r="M810" i="30"/>
  <c r="O811" i="30"/>
  <c r="Q812" i="30"/>
  <c r="H814" i="30"/>
  <c r="O815" i="30"/>
  <c r="O817" i="30"/>
  <c r="H795" i="30"/>
  <c r="J796" i="30"/>
  <c r="L797" i="30"/>
  <c r="N798" i="30"/>
  <c r="P799" i="30"/>
  <c r="R800" i="30"/>
  <c r="T801" i="30"/>
  <c r="H803" i="30"/>
  <c r="J804" i="30"/>
  <c r="L805" i="30"/>
  <c r="N806" i="30"/>
  <c r="P807" i="30"/>
  <c r="R808" i="30"/>
  <c r="T809" i="30"/>
  <c r="H811" i="30"/>
  <c r="J812" i="30"/>
  <c r="M813" i="30"/>
  <c r="T814" i="30"/>
  <c r="O816" i="30"/>
  <c r="K794" i="30"/>
  <c r="M795" i="30"/>
  <c r="O796" i="30"/>
  <c r="Q797" i="30"/>
  <c r="S798" i="30"/>
  <c r="G800" i="30"/>
  <c r="I801" i="30"/>
  <c r="K802" i="30"/>
  <c r="M803" i="30"/>
  <c r="O804" i="30"/>
  <c r="Q805" i="30"/>
  <c r="S806" i="30"/>
  <c r="G808" i="30"/>
  <c r="I809" i="30"/>
  <c r="K810" i="30"/>
  <c r="M811" i="30"/>
  <c r="O812" i="30"/>
  <c r="S813" i="30"/>
  <c r="M815" i="30"/>
  <c r="K817" i="30"/>
  <c r="T813" i="30"/>
  <c r="H815" i="30"/>
  <c r="K816" i="30"/>
  <c r="S817" i="30"/>
  <c r="T816" i="30"/>
  <c r="N795" i="30"/>
  <c r="T796" i="30"/>
  <c r="H794" i="30"/>
  <c r="R797" i="30"/>
  <c r="T798" i="30"/>
  <c r="H800" i="30"/>
  <c r="J801" i="30"/>
  <c r="L802" i="30"/>
  <c r="N803" i="30"/>
  <c r="P804" i="30"/>
  <c r="R805" i="30"/>
  <c r="T806" i="30"/>
  <c r="H808" i="30"/>
  <c r="J809" i="30"/>
  <c r="L810" i="30"/>
  <c r="N811" i="30"/>
  <c r="P812" i="30"/>
  <c r="G814" i="30"/>
  <c r="N815" i="30"/>
  <c r="L817" i="30"/>
  <c r="Q794" i="30"/>
  <c r="S795" i="30"/>
  <c r="G797" i="30"/>
  <c r="I798" i="30"/>
  <c r="K799" i="30"/>
  <c r="M800" i="30"/>
  <c r="O801" i="30"/>
  <c r="Q802" i="30"/>
  <c r="S803" i="30"/>
  <c r="G805" i="30"/>
  <c r="I806" i="30"/>
  <c r="K807" i="30"/>
  <c r="M808" i="30"/>
  <c r="O809" i="30"/>
  <c r="Q810" i="30"/>
  <c r="S811" i="30"/>
  <c r="G813" i="30"/>
  <c r="M814" i="30"/>
  <c r="G816" i="30"/>
  <c r="J794" i="30"/>
  <c r="L795" i="30"/>
  <c r="N796" i="30"/>
  <c r="P797" i="30"/>
  <c r="R798" i="30"/>
  <c r="T799" i="30"/>
  <c r="H801" i="30"/>
  <c r="J802" i="30"/>
  <c r="L803" i="30"/>
  <c r="N804" i="30"/>
  <c r="P805" i="30"/>
  <c r="R806" i="30"/>
  <c r="T807" i="30"/>
  <c r="H809" i="30"/>
  <c r="J810" i="30"/>
  <c r="L811" i="30"/>
  <c r="N812" i="30"/>
  <c r="R813" i="30"/>
  <c r="K815" i="30"/>
  <c r="I817" i="30"/>
  <c r="O794" i="30"/>
  <c r="Q795" i="30"/>
  <c r="S796" i="30"/>
  <c r="G798" i="30"/>
  <c r="I799" i="30"/>
  <c r="K800" i="30"/>
  <c r="M801" i="30"/>
  <c r="O802" i="30"/>
  <c r="Q803" i="30"/>
  <c r="S804" i="30"/>
  <c r="G806" i="30"/>
  <c r="I807" i="30"/>
  <c r="K808" i="30"/>
  <c r="M809" i="30"/>
  <c r="O810" i="30"/>
  <c r="Q811" i="30"/>
  <c r="S812" i="30"/>
  <c r="K814" i="30"/>
  <c r="R815" i="30"/>
  <c r="Q817" i="30"/>
  <c r="J814" i="30"/>
  <c r="L815" i="30"/>
  <c r="Q816" i="30"/>
  <c r="H816" i="30"/>
  <c r="U925" i="30"/>
  <c r="F197" i="32" s="1"/>
  <c r="U619" i="30"/>
  <c r="F127" i="32" s="1"/>
  <c r="U622" i="30"/>
  <c r="F130" i="32" s="1"/>
  <c r="U617" i="30"/>
  <c r="F125" i="32" s="1"/>
  <c r="U618" i="30"/>
  <c r="S506" i="30"/>
  <c r="H502" i="30"/>
  <c r="J511" i="30"/>
  <c r="I506" i="30"/>
  <c r="L501" i="30"/>
  <c r="N510" i="30"/>
  <c r="I509" i="30"/>
  <c r="L504" i="30"/>
  <c r="N513" i="30"/>
  <c r="M508" i="30"/>
  <c r="P503" i="30"/>
  <c r="R512" i="30"/>
  <c r="I501" i="30"/>
  <c r="M503" i="30"/>
  <c r="Q505" i="30"/>
  <c r="G508" i="30"/>
  <c r="K510" i="30"/>
  <c r="O512" i="30"/>
  <c r="S514" i="30"/>
  <c r="J503" i="30"/>
  <c r="N505" i="30"/>
  <c r="R507" i="30"/>
  <c r="H510" i="30"/>
  <c r="L512" i="30"/>
  <c r="P514" i="30"/>
  <c r="Q502" i="30"/>
  <c r="G505" i="30"/>
  <c r="K507" i="30"/>
  <c r="O509" i="30"/>
  <c r="S511" i="30"/>
  <c r="I514" i="30"/>
  <c r="N502" i="30"/>
  <c r="R504" i="30"/>
  <c r="H507" i="30"/>
  <c r="L509" i="30"/>
  <c r="P511" i="30"/>
  <c r="T513" i="30"/>
  <c r="M501" i="30"/>
  <c r="Q503" i="30"/>
  <c r="G506" i="30"/>
  <c r="K508" i="30"/>
  <c r="O510" i="30"/>
  <c r="S512" i="30"/>
  <c r="J501" i="30"/>
  <c r="N503" i="30"/>
  <c r="R505" i="30"/>
  <c r="H508" i="30"/>
  <c r="L510" i="30"/>
  <c r="P512" i="30"/>
  <c r="T514" i="30"/>
  <c r="G503" i="30"/>
  <c r="K505" i="30"/>
  <c r="O507" i="30"/>
  <c r="S509" i="30"/>
  <c r="I512" i="30"/>
  <c r="M514" i="30"/>
  <c r="R502" i="30"/>
  <c r="H505" i="30"/>
  <c r="L507" i="30"/>
  <c r="P509" i="30"/>
  <c r="T511" i="30"/>
  <c r="J514" i="30"/>
  <c r="O502" i="30"/>
  <c r="S504" i="30"/>
  <c r="I507" i="30"/>
  <c r="M509" i="30"/>
  <c r="Q511" i="30"/>
  <c r="G514" i="30"/>
  <c r="L502" i="30"/>
  <c r="P504" i="30"/>
  <c r="T506" i="30"/>
  <c r="J509" i="30"/>
  <c r="N511" i="30"/>
  <c r="R513" i="30"/>
  <c r="S501" i="30"/>
  <c r="I504" i="30"/>
  <c r="M506" i="30"/>
  <c r="Q508" i="30"/>
  <c r="G511" i="30"/>
  <c r="K513" i="30"/>
  <c r="P501" i="30"/>
  <c r="T503" i="30"/>
  <c r="J506" i="30"/>
  <c r="N508" i="30"/>
  <c r="R510" i="30"/>
  <c r="H513" i="30"/>
  <c r="Q501" i="30"/>
  <c r="S502" i="30"/>
  <c r="G504" i="30"/>
  <c r="I505" i="30"/>
  <c r="K506" i="30"/>
  <c r="M507" i="30"/>
  <c r="O508" i="30"/>
  <c r="Q509" i="30"/>
  <c r="S510" i="30"/>
  <c r="G512" i="30"/>
  <c r="I513" i="30"/>
  <c r="K514" i="30"/>
  <c r="N501" i="30"/>
  <c r="P502" i="30"/>
  <c r="R503" i="30"/>
  <c r="T504" i="30"/>
  <c r="H506" i="30"/>
  <c r="J507" i="30"/>
  <c r="L508" i="30"/>
  <c r="N509" i="30"/>
  <c r="P510" i="30"/>
  <c r="R511" i="30"/>
  <c r="T512" i="30"/>
  <c r="H514" i="30"/>
  <c r="G501" i="30"/>
  <c r="I502" i="30"/>
  <c r="K503" i="30"/>
  <c r="M504" i="30"/>
  <c r="O505" i="30"/>
  <c r="Q506" i="30"/>
  <c r="S507" i="30"/>
  <c r="G509" i="30"/>
  <c r="I510" i="30"/>
  <c r="K511" i="30"/>
  <c r="M512" i="30"/>
  <c r="O513" i="30"/>
  <c r="Q514" i="30"/>
  <c r="T501" i="30"/>
  <c r="H503" i="30"/>
  <c r="J504" i="30"/>
  <c r="L505" i="30"/>
  <c r="N506" i="30"/>
  <c r="P507" i="30"/>
  <c r="R508" i="30"/>
  <c r="T509" i="30"/>
  <c r="H511" i="30"/>
  <c r="J512" i="30"/>
  <c r="L513" i="30"/>
  <c r="N514" i="30"/>
  <c r="G502" i="30"/>
  <c r="I503" i="30"/>
  <c r="K504" i="30"/>
  <c r="M505" i="30"/>
  <c r="O506" i="30"/>
  <c r="Q507" i="30"/>
  <c r="S508" i="30"/>
  <c r="G510" i="30"/>
  <c r="I511" i="30"/>
  <c r="K512" i="30"/>
  <c r="M513" i="30"/>
  <c r="O514" i="30"/>
  <c r="R501" i="30"/>
  <c r="T502" i="30"/>
  <c r="H504" i="30"/>
  <c r="J505" i="30"/>
  <c r="L506" i="30"/>
  <c r="N507" i="30"/>
  <c r="P508" i="30"/>
  <c r="R509" i="30"/>
  <c r="T510" i="30"/>
  <c r="H512" i="30"/>
  <c r="J513" i="30"/>
  <c r="L514" i="30"/>
  <c r="K501" i="30"/>
  <c r="M502" i="30"/>
  <c r="O503" i="30"/>
  <c r="Q504" i="30"/>
  <c r="S505" i="30"/>
  <c r="G507" i="30"/>
  <c r="I508" i="30"/>
  <c r="K509" i="30"/>
  <c r="M510" i="30"/>
  <c r="O511" i="30"/>
  <c r="Q512" i="30"/>
  <c r="S513" i="30"/>
  <c r="H501" i="30"/>
  <c r="J502" i="30"/>
  <c r="L503" i="30"/>
  <c r="N504" i="30"/>
  <c r="P505" i="30"/>
  <c r="R506" i="30"/>
  <c r="T507" i="30"/>
  <c r="H509" i="30"/>
  <c r="J510" i="30"/>
  <c r="L511" i="30"/>
  <c r="N512" i="30"/>
  <c r="P513" i="30"/>
  <c r="N556" i="30"/>
  <c r="L555" i="30"/>
  <c r="J554" i="30"/>
  <c r="H553" i="30"/>
  <c r="T551" i="30"/>
  <c r="R550" i="30"/>
  <c r="P549" i="30"/>
  <c r="N548" i="30"/>
  <c r="L547" i="30"/>
  <c r="J546" i="30"/>
  <c r="H545" i="30"/>
  <c r="T543" i="30"/>
  <c r="Q556" i="30"/>
  <c r="O555" i="30"/>
  <c r="M554" i="30"/>
  <c r="K553" i="30"/>
  <c r="I552" i="30"/>
  <c r="G551" i="30"/>
  <c r="S549" i="30"/>
  <c r="Q548" i="30"/>
  <c r="O547" i="30"/>
  <c r="M546" i="30"/>
  <c r="K545" i="30"/>
  <c r="I544" i="30"/>
  <c r="G543" i="30"/>
  <c r="H556" i="30"/>
  <c r="T554" i="30"/>
  <c r="R553" i="30"/>
  <c r="P552" i="30"/>
  <c r="N551" i="30"/>
  <c r="L550" i="30"/>
  <c r="J549" i="30"/>
  <c r="H548" i="30"/>
  <c r="T546" i="30"/>
  <c r="R545" i="30"/>
  <c r="P544" i="30"/>
  <c r="N543" i="30"/>
  <c r="K556" i="30"/>
  <c r="I555" i="30"/>
  <c r="G554" i="30"/>
  <c r="S552" i="30"/>
  <c r="Q551" i="30"/>
  <c r="O550" i="30"/>
  <c r="M549" i="30"/>
  <c r="K548" i="30"/>
  <c r="I547" i="30"/>
  <c r="G546" i="30"/>
  <c r="S544" i="30"/>
  <c r="Q543" i="30"/>
  <c r="J556" i="30"/>
  <c r="H555" i="30"/>
  <c r="T553" i="30"/>
  <c r="R552" i="30"/>
  <c r="P551" i="30"/>
  <c r="N550" i="30"/>
  <c r="L549" i="30"/>
  <c r="J548" i="30"/>
  <c r="H547" i="30"/>
  <c r="T545" i="30"/>
  <c r="R544" i="30"/>
  <c r="P543" i="30"/>
  <c r="M556" i="30"/>
  <c r="K555" i="30"/>
  <c r="I554" i="30"/>
  <c r="G553" i="30"/>
  <c r="S551" i="30"/>
  <c r="Q550" i="30"/>
  <c r="O549" i="30"/>
  <c r="M548" i="30"/>
  <c r="K547" i="30"/>
  <c r="I546" i="30"/>
  <c r="G545" i="30"/>
  <c r="S543" i="30"/>
  <c r="T556" i="30"/>
  <c r="R555" i="30"/>
  <c r="P554" i="30"/>
  <c r="N553" i="30"/>
  <c r="L552" i="30"/>
  <c r="J551" i="30"/>
  <c r="H550" i="30"/>
  <c r="T548" i="30"/>
  <c r="R547" i="30"/>
  <c r="P546" i="30"/>
  <c r="N545" i="30"/>
  <c r="L544" i="30"/>
  <c r="J543" i="30"/>
  <c r="G556" i="30"/>
  <c r="S554" i="30"/>
  <c r="Q553" i="30"/>
  <c r="O552" i="30"/>
  <c r="M551" i="30"/>
  <c r="K550" i="30"/>
  <c r="I549" i="30"/>
  <c r="G548" i="30"/>
  <c r="S546" i="30"/>
  <c r="Q545" i="30"/>
  <c r="O544" i="30"/>
  <c r="M543" i="30"/>
  <c r="T555" i="30"/>
  <c r="R554" i="30"/>
  <c r="P553" i="30"/>
  <c r="N552" i="30"/>
  <c r="L551" i="30"/>
  <c r="J550" i="30"/>
  <c r="H549" i="30"/>
  <c r="T547" i="30"/>
  <c r="R546" i="30"/>
  <c r="P545" i="30"/>
  <c r="N544" i="30"/>
  <c r="L543" i="30"/>
  <c r="I556" i="30"/>
  <c r="G555" i="30"/>
  <c r="S553" i="30"/>
  <c r="Q552" i="30"/>
  <c r="O551" i="30"/>
  <c r="M550" i="30"/>
  <c r="K549" i="30"/>
  <c r="I548" i="30"/>
  <c r="G547" i="30"/>
  <c r="S545" i="30"/>
  <c r="Q544" i="30"/>
  <c r="O543" i="30"/>
  <c r="P556" i="30"/>
  <c r="N555" i="30"/>
  <c r="L554" i="30"/>
  <c r="J553" i="30"/>
  <c r="H552" i="30"/>
  <c r="T550" i="30"/>
  <c r="R549" i="30"/>
  <c r="P548" i="30"/>
  <c r="N547" i="30"/>
  <c r="L546" i="30"/>
  <c r="J545" i="30"/>
  <c r="H544" i="30"/>
  <c r="S556" i="30"/>
  <c r="Q555" i="30"/>
  <c r="O554" i="30"/>
  <c r="M553" i="30"/>
  <c r="K552" i="30"/>
  <c r="I551" i="30"/>
  <c r="G550" i="30"/>
  <c r="S548" i="30"/>
  <c r="Q547" i="30"/>
  <c r="O546" i="30"/>
  <c r="M545" i="30"/>
  <c r="K544" i="30"/>
  <c r="I543" i="30"/>
  <c r="R556" i="30"/>
  <c r="P555" i="30"/>
  <c r="N554" i="30"/>
  <c r="L553" i="30"/>
  <c r="J552" i="30"/>
  <c r="H551" i="30"/>
  <c r="T549" i="30"/>
  <c r="R548" i="30"/>
  <c r="P547" i="30"/>
  <c r="N546" i="30"/>
  <c r="L545" i="30"/>
  <c r="J544" i="30"/>
  <c r="H543" i="30"/>
  <c r="S555" i="30"/>
  <c r="Q554" i="30"/>
  <c r="O553" i="30"/>
  <c r="M552" i="30"/>
  <c r="K551" i="30"/>
  <c r="I550" i="30"/>
  <c r="G549" i="30"/>
  <c r="S547" i="30"/>
  <c r="Q546" i="30"/>
  <c r="O545" i="30"/>
  <c r="M544" i="30"/>
  <c r="K543" i="30"/>
  <c r="L556" i="30"/>
  <c r="J555" i="30"/>
  <c r="H554" i="30"/>
  <c r="T552" i="30"/>
  <c r="R551" i="30"/>
  <c r="P550" i="30"/>
  <c r="N549" i="30"/>
  <c r="L548" i="30"/>
  <c r="J547" i="30"/>
  <c r="H546" i="30"/>
  <c r="T544" i="30"/>
  <c r="R543" i="30"/>
  <c r="O556" i="30"/>
  <c r="M555" i="30"/>
  <c r="K554" i="30"/>
  <c r="I553" i="30"/>
  <c r="G552" i="30"/>
  <c r="S550" i="30"/>
  <c r="Q549" i="30"/>
  <c r="O548" i="30"/>
  <c r="M547" i="30"/>
  <c r="K546" i="30"/>
  <c r="I545" i="30"/>
  <c r="G544" i="30"/>
  <c r="C118" i="32" l="1"/>
  <c r="E118" i="32"/>
  <c r="F118" i="32"/>
  <c r="D118" i="32"/>
  <c r="E175" i="32"/>
  <c r="E119" i="32"/>
  <c r="C119" i="32"/>
  <c r="C175" i="32"/>
  <c r="F175" i="32"/>
  <c r="D175" i="32"/>
  <c r="F119" i="32"/>
  <c r="D119" i="32"/>
  <c r="U608" i="30"/>
  <c r="D128" i="32" s="1"/>
  <c r="U920" i="30"/>
  <c r="E197" i="32" s="1"/>
  <c r="U915" i="30"/>
  <c r="D197" i="32" s="1"/>
  <c r="U526" i="30"/>
  <c r="D120" i="32" s="1"/>
  <c r="U517" i="30"/>
  <c r="U518" i="30" s="1"/>
  <c r="D112" i="32" s="1"/>
  <c r="U527" i="30"/>
  <c r="D121" i="32" s="1"/>
  <c r="U523" i="30"/>
  <c r="D117" i="32" s="1"/>
  <c r="U528" i="30"/>
  <c r="D122" i="32" s="1"/>
  <c r="U524" i="30"/>
  <c r="U519" i="30"/>
  <c r="U520" i="30" s="1"/>
  <c r="D114" i="32" s="1"/>
  <c r="U515" i="30"/>
  <c r="U516" i="30" s="1"/>
  <c r="D110" i="32" s="1"/>
  <c r="U521" i="30"/>
  <c r="U522" i="30" s="1"/>
  <c r="D116" i="32" s="1"/>
  <c r="U930" i="30"/>
  <c r="G197" i="32" s="1"/>
  <c r="H68" i="32"/>
  <c r="G98" i="32"/>
  <c r="U602" i="30"/>
  <c r="C128" i="32" s="1"/>
  <c r="U537" i="30"/>
  <c r="E117" i="32" s="1"/>
  <c r="U531" i="30"/>
  <c r="U533" i="30"/>
  <c r="U540" i="30"/>
  <c r="E120" i="32" s="1"/>
  <c r="U538" i="30"/>
  <c r="U542" i="30"/>
  <c r="E122" i="32" s="1"/>
  <c r="U541" i="30"/>
  <c r="E121" i="32" s="1"/>
  <c r="U529" i="30"/>
  <c r="U535" i="30"/>
  <c r="U817" i="30"/>
  <c r="F176" i="32" s="1"/>
  <c r="U806" i="30"/>
  <c r="E171" i="32" s="1"/>
  <c r="U811" i="30"/>
  <c r="E176" i="32" s="1"/>
  <c r="U802" i="30"/>
  <c r="D173" i="32" s="1"/>
  <c r="U800" i="30"/>
  <c r="D171" i="32" s="1"/>
  <c r="U797" i="30"/>
  <c r="C174" i="32" s="1"/>
  <c r="U801" i="30"/>
  <c r="D172" i="32" s="1"/>
  <c r="U796" i="30"/>
  <c r="C173" i="32" s="1"/>
  <c r="U803" i="30"/>
  <c r="D174" i="32" s="1"/>
  <c r="U799" i="30"/>
  <c r="C176" i="32" s="1"/>
  <c r="U808" i="30"/>
  <c r="E173" i="32" s="1"/>
  <c r="U795" i="30"/>
  <c r="C172" i="32" s="1"/>
  <c r="U813" i="30"/>
  <c r="F172" i="32" s="1"/>
  <c r="U794" i="30"/>
  <c r="C171" i="32" s="1"/>
  <c r="U812" i="30"/>
  <c r="F171" i="32" s="1"/>
  <c r="U809" i="30"/>
  <c r="E174" i="32" s="1"/>
  <c r="U815" i="30"/>
  <c r="F174" i="32" s="1"/>
  <c r="U807" i="30"/>
  <c r="E172" i="32" s="1"/>
  <c r="U510" i="30"/>
  <c r="U507" i="30"/>
  <c r="U508" i="30" s="1"/>
  <c r="C116" i="32" s="1"/>
  <c r="U512" i="30"/>
  <c r="C120" i="32" s="1"/>
  <c r="U503" i="30"/>
  <c r="U504" i="30" s="1"/>
  <c r="C112" i="32" s="1"/>
  <c r="U805" i="30"/>
  <c r="D176" i="32" s="1"/>
  <c r="U614" i="30"/>
  <c r="E128" i="32" s="1"/>
  <c r="U284" i="30"/>
  <c r="G70" i="32" s="1"/>
  <c r="G68" i="32"/>
  <c r="U814" i="30"/>
  <c r="F173" i="32" s="1"/>
  <c r="F126" i="32"/>
  <c r="U620" i="30"/>
  <c r="F128" i="32" s="1"/>
  <c r="U513" i="30"/>
  <c r="C121" i="32" s="1"/>
  <c r="U509" i="30"/>
  <c r="C117" i="32" s="1"/>
  <c r="U514" i="30"/>
  <c r="C122" i="32" s="1"/>
  <c r="U501" i="30"/>
  <c r="U502" i="30" s="1"/>
  <c r="C110" i="32" s="1"/>
  <c r="U505" i="30"/>
  <c r="U506" i="30" s="1"/>
  <c r="C114" i="32" s="1"/>
  <c r="U549" i="30"/>
  <c r="F115" i="32" s="1"/>
  <c r="U547" i="30"/>
  <c r="F113" i="32" s="1"/>
  <c r="U556" i="30"/>
  <c r="F122" i="32" s="1"/>
  <c r="U546" i="30"/>
  <c r="F112" i="32" s="1"/>
  <c r="U548" i="30"/>
  <c r="F114" i="32" s="1"/>
  <c r="U551" i="30"/>
  <c r="F117" i="32" s="1"/>
  <c r="U552" i="30"/>
  <c r="U550" i="30"/>
  <c r="F116" i="32" s="1"/>
  <c r="U543" i="30"/>
  <c r="F109" i="32" s="1"/>
  <c r="U544" i="30"/>
  <c r="F110" i="32" s="1"/>
  <c r="U555" i="30"/>
  <c r="F121" i="32" s="1"/>
  <c r="U545" i="30"/>
  <c r="F111" i="32" s="1"/>
  <c r="U554" i="30"/>
  <c r="F120" i="32" s="1"/>
  <c r="D109" i="32" l="1"/>
  <c r="D113" i="32"/>
  <c r="D111" i="32"/>
  <c r="D115" i="32"/>
  <c r="C109" i="32"/>
  <c r="C111" i="32"/>
  <c r="C115" i="32"/>
  <c r="U534" i="30"/>
  <c r="E114" i="32" s="1"/>
  <c r="E113" i="32"/>
  <c r="U530" i="30"/>
  <c r="E110" i="32" s="1"/>
  <c r="E109" i="32"/>
  <c r="U532" i="30"/>
  <c r="E112" i="32" s="1"/>
  <c r="E111" i="32"/>
  <c r="U536" i="30"/>
  <c r="E116" i="32" s="1"/>
  <c r="E115" i="32"/>
  <c r="C113" i="32"/>
  <c r="I212" i="32" l="1"/>
  <c r="J213" i="32"/>
  <c r="I213" i="32"/>
  <c r="I214" i="32"/>
  <c r="I226" i="32" l="1"/>
  <c r="I227" i="32"/>
  <c r="I225" i="32"/>
  <c r="J227" i="32"/>
  <c r="J226" i="32"/>
  <c r="J214" i="32"/>
  <c r="J225" i="32"/>
  <c r="I215" i="32" l="1"/>
  <c r="J215" i="32"/>
  <c r="G149" i="30" l="1" a="1"/>
  <c r="I31" i="32" s="1"/>
  <c r="G134" i="30" a="1"/>
  <c r="G149" i="30" l="1"/>
  <c r="U149" i="30" s="1"/>
  <c r="I28" i="32" s="1"/>
  <c r="U156" i="30"/>
  <c r="I35" i="32" s="1"/>
  <c r="U153" i="30"/>
  <c r="I32" i="32" s="1"/>
  <c r="U152" i="30"/>
  <c r="U157" i="30"/>
  <c r="I36" i="32" s="1"/>
  <c r="U154" i="30"/>
  <c r="I33" i="32" s="1"/>
  <c r="U160" i="30"/>
  <c r="I39" i="32" s="1"/>
  <c r="U150" i="30"/>
  <c r="I29" i="32" s="1"/>
  <c r="U151" i="30"/>
  <c r="I30" i="32" s="1"/>
  <c r="U158" i="30"/>
  <c r="I37" i="32" s="1"/>
  <c r="U155" i="30"/>
  <c r="I34" i="32" s="1"/>
  <c r="U159" i="30"/>
  <c r="I38" i="32" s="1"/>
  <c r="H145" i="30"/>
  <c r="L134" i="30"/>
  <c r="P143" i="30"/>
  <c r="L139" i="30"/>
  <c r="P144" i="30"/>
  <c r="S144" i="30"/>
  <c r="R137" i="30"/>
  <c r="H143" i="30"/>
  <c r="R138" i="30"/>
  <c r="N137" i="30"/>
  <c r="M140" i="30"/>
  <c r="L138" i="30"/>
  <c r="S143" i="30"/>
  <c r="T137" i="30"/>
  <c r="O134" i="30"/>
  <c r="L137" i="30"/>
  <c r="J143" i="30"/>
  <c r="N145" i="30"/>
  <c r="M141" i="30"/>
  <c r="M134" i="30"/>
  <c r="I139" i="30"/>
  <c r="G139" i="30"/>
  <c r="O135" i="30"/>
  <c r="N134" i="30"/>
  <c r="K140" i="30"/>
  <c r="Q145" i="30"/>
  <c r="K135" i="30"/>
  <c r="R144" i="30"/>
  <c r="R142" i="30"/>
  <c r="T138" i="30"/>
  <c r="J145" i="30"/>
  <c r="K143" i="30"/>
  <c r="L144" i="30"/>
  <c r="I143" i="30"/>
  <c r="T136" i="30"/>
  <c r="Q134" i="30"/>
  <c r="G134" i="30"/>
  <c r="N144" i="30"/>
  <c r="Q142" i="30"/>
  <c r="J142" i="30"/>
  <c r="K142" i="30"/>
  <c r="H142" i="30"/>
  <c r="J137" i="30"/>
  <c r="P134" i="30"/>
  <c r="O143" i="30"/>
  <c r="H138" i="30"/>
  <c r="G143" i="30"/>
  <c r="J141" i="30"/>
  <c r="K134" i="30"/>
  <c r="Q144" i="30"/>
  <c r="H139" i="30"/>
  <c r="O142" i="30"/>
  <c r="O141" i="30"/>
  <c r="J136" i="30"/>
  <c r="N136" i="30"/>
  <c r="G144" i="30"/>
  <c r="J138" i="30"/>
  <c r="O138" i="30"/>
  <c r="I142" i="30"/>
  <c r="I145" i="30"/>
  <c r="O140" i="30"/>
  <c r="P145" i="30"/>
  <c r="K141" i="30"/>
  <c r="I137" i="30"/>
  <c r="Q138" i="30"/>
  <c r="J134" i="30"/>
  <c r="H137" i="30"/>
  <c r="S141" i="30"/>
  <c r="I141" i="30"/>
  <c r="M143" i="30"/>
  <c r="T142" i="30"/>
  <c r="L142" i="30"/>
  <c r="L140" i="30"/>
  <c r="Q140" i="30"/>
  <c r="L135" i="30"/>
  <c r="P140" i="30"/>
  <c r="N143" i="30"/>
  <c r="T139" i="30"/>
  <c r="T145" i="30"/>
  <c r="K144" i="30"/>
  <c r="M137" i="30"/>
  <c r="T134" i="30"/>
  <c r="H134" i="30"/>
  <c r="Q135" i="30"/>
  <c r="K145" i="30"/>
  <c r="R136" i="30"/>
  <c r="G137" i="30"/>
  <c r="P137" i="30"/>
  <c r="M142" i="30"/>
  <c r="T135" i="30"/>
  <c r="K139" i="30"/>
  <c r="O144" i="30"/>
  <c r="J140" i="30"/>
  <c r="H136" i="30"/>
  <c r="T141" i="30"/>
  <c r="K136" i="30"/>
  <c r="R141" i="30"/>
  <c r="Q139" i="30"/>
  <c r="G142" i="30"/>
  <c r="O139" i="30"/>
  <c r="M145" i="30"/>
  <c r="M138" i="30"/>
  <c r="S145" i="30"/>
  <c r="O145" i="30"/>
  <c r="S135" i="30"/>
  <c r="P139" i="30"/>
  <c r="N135" i="30"/>
  <c r="N142" i="30"/>
  <c r="S136" i="30"/>
  <c r="S134" i="30"/>
  <c r="I140" i="30"/>
  <c r="O137" i="30"/>
  <c r="S142" i="30"/>
  <c r="Q136" i="30"/>
  <c r="I134" i="30"/>
  <c r="G145" i="30"/>
  <c r="S140" i="30"/>
  <c r="Q141" i="30"/>
  <c r="R140" i="30"/>
  <c r="P142" i="30"/>
  <c r="L145" i="30"/>
  <c r="G135" i="30"/>
  <c r="S139" i="30"/>
  <c r="H135" i="30"/>
  <c r="Q143" i="30"/>
  <c r="H144" i="30"/>
  <c r="N141" i="30"/>
  <c r="P141" i="30"/>
  <c r="J144" i="30"/>
  <c r="I136" i="30"/>
  <c r="T140" i="30"/>
  <c r="K137" i="30"/>
  <c r="M139" i="30"/>
  <c r="L136" i="30"/>
  <c r="K138" i="30"/>
  <c r="R135" i="30"/>
  <c r="N139" i="30"/>
  <c r="L141" i="30"/>
  <c r="H140" i="30"/>
  <c r="H141" i="30"/>
  <c r="P136" i="30"/>
  <c r="M136" i="30"/>
  <c r="G140" i="30"/>
  <c r="G138" i="30"/>
  <c r="I138" i="30"/>
  <c r="P138" i="30"/>
  <c r="S138" i="30"/>
  <c r="N138" i="30"/>
  <c r="I144" i="30"/>
  <c r="J135" i="30"/>
  <c r="J139" i="30"/>
  <c r="O136" i="30"/>
  <c r="R143" i="30"/>
  <c r="M135" i="30"/>
  <c r="N140" i="30"/>
  <c r="G141" i="30"/>
  <c r="L143" i="30"/>
  <c r="Q137" i="30"/>
  <c r="R139" i="30"/>
  <c r="P135" i="30"/>
  <c r="R145" i="30"/>
  <c r="G136" i="30"/>
  <c r="S137" i="30"/>
  <c r="M144" i="30"/>
  <c r="T144" i="30"/>
  <c r="I135" i="30"/>
  <c r="T143" i="30"/>
  <c r="R134" i="30"/>
  <c r="H31" i="32" l="1"/>
  <c r="G161" i="30" a="1"/>
  <c r="G161" i="30" s="1"/>
  <c r="U161" i="30" s="1"/>
  <c r="I40" i="32" s="1"/>
  <c r="I8" i="28"/>
  <c r="U138" i="30"/>
  <c r="H32" i="32" s="1"/>
  <c r="U140" i="30"/>
  <c r="H34" i="32" s="1"/>
  <c r="U134" i="30"/>
  <c r="H28" i="32" s="1"/>
  <c r="U144" i="30"/>
  <c r="H38" i="32" s="1"/>
  <c r="U141" i="30"/>
  <c r="H35" i="32" s="1"/>
  <c r="U145" i="30"/>
  <c r="H39" i="32" s="1"/>
  <c r="U143" i="30"/>
  <c r="H37" i="32" s="1"/>
  <c r="U136" i="30"/>
  <c r="H30" i="32" s="1"/>
  <c r="U135" i="30"/>
  <c r="H29" i="32" s="1"/>
  <c r="U137" i="30"/>
  <c r="U139" i="30"/>
  <c r="H33" i="32" s="1"/>
  <c r="U142" i="30"/>
  <c r="H36" i="32" s="1"/>
  <c r="I11" i="28"/>
  <c r="I12" i="28"/>
  <c r="I13" i="28"/>
  <c r="I14" i="28"/>
  <c r="I18" i="28"/>
  <c r="I20" i="28"/>
  <c r="I10" i="28"/>
  <c r="I15" i="28"/>
  <c r="I17" i="28"/>
  <c r="I19" i="28"/>
  <c r="I16" i="28"/>
  <c r="I9" i="28"/>
  <c r="U162" i="30" l="1"/>
  <c r="I41" i="32" s="1"/>
  <c r="U163" i="30"/>
  <c r="I42" i="32" s="1"/>
  <c r="E145" i="11"/>
  <c r="G146" i="30" a="1"/>
  <c r="G147" i="30" l="1"/>
  <c r="P146" i="30"/>
  <c r="I148" i="30"/>
  <c r="K147" i="30"/>
  <c r="O148" i="30"/>
  <c r="J146" i="30"/>
  <c r="M147" i="30"/>
  <c r="G146" i="30"/>
  <c r="K148" i="30"/>
  <c r="K146" i="30"/>
  <c r="I147" i="30"/>
  <c r="H148" i="30"/>
  <c r="N146" i="30"/>
  <c r="H147" i="30"/>
  <c r="J148" i="30"/>
  <c r="R147" i="30"/>
  <c r="R148" i="30"/>
  <c r="T146" i="30"/>
  <c r="T147" i="30"/>
  <c r="Q146" i="30"/>
  <c r="M146" i="30"/>
  <c r="N148" i="30"/>
  <c r="H146" i="30"/>
  <c r="T148" i="30"/>
  <c r="R146" i="30"/>
  <c r="M148" i="30"/>
  <c r="G148" i="30"/>
  <c r="S147" i="30"/>
  <c r="L147" i="30"/>
  <c r="L148" i="30"/>
  <c r="Q147" i="30"/>
  <c r="O146" i="30"/>
  <c r="S146" i="30"/>
  <c r="I146" i="30"/>
  <c r="O147" i="30"/>
  <c r="N147" i="30"/>
  <c r="J147" i="30"/>
  <c r="S148" i="30"/>
  <c r="P148" i="30"/>
  <c r="Q148" i="30"/>
  <c r="L146" i="30"/>
  <c r="P147" i="30"/>
  <c r="I21" i="28"/>
  <c r="I7" i="28"/>
  <c r="G50" i="30" s="1" a="1"/>
  <c r="G74" i="30" a="1"/>
  <c r="G85" i="30" l="1"/>
  <c r="P81" i="30"/>
  <c r="K83" i="30"/>
  <c r="K80" i="30"/>
  <c r="S74" i="30"/>
  <c r="T83" i="30"/>
  <c r="Q83" i="30"/>
  <c r="L80" i="30"/>
  <c r="T76" i="30"/>
  <c r="N83" i="30"/>
  <c r="T75" i="30"/>
  <c r="P76" i="30"/>
  <c r="H79" i="30"/>
  <c r="T78" i="30"/>
  <c r="G79" i="30"/>
  <c r="I80" i="30"/>
  <c r="O83" i="30"/>
  <c r="Q74" i="30"/>
  <c r="N78" i="30"/>
  <c r="N76" i="30"/>
  <c r="I79" i="30"/>
  <c r="R78" i="30"/>
  <c r="R74" i="30"/>
  <c r="L79" i="30"/>
  <c r="M74" i="30"/>
  <c r="G84" i="30"/>
  <c r="H74" i="30"/>
  <c r="T80" i="30"/>
  <c r="T74" i="30"/>
  <c r="T77" i="30"/>
  <c r="N74" i="30"/>
  <c r="G80" i="30"/>
  <c r="O75" i="30"/>
  <c r="R79" i="30"/>
  <c r="Q82" i="30"/>
  <c r="H82" i="30"/>
  <c r="S79" i="30"/>
  <c r="H81" i="30"/>
  <c r="T84" i="30"/>
  <c r="I75" i="30"/>
  <c r="H78" i="30"/>
  <c r="N75" i="30"/>
  <c r="J81" i="30"/>
  <c r="R77" i="30"/>
  <c r="K74" i="30"/>
  <c r="P75" i="30"/>
  <c r="O84" i="30"/>
  <c r="J79" i="30"/>
  <c r="J83" i="30"/>
  <c r="P83" i="30"/>
  <c r="L81" i="30"/>
  <c r="M81" i="30"/>
  <c r="L84" i="30"/>
  <c r="O74" i="30"/>
  <c r="Q78" i="30"/>
  <c r="T79" i="30"/>
  <c r="N80" i="30"/>
  <c r="G74" i="30"/>
  <c r="R82" i="30"/>
  <c r="I77" i="30"/>
  <c r="H80" i="30"/>
  <c r="N82" i="30"/>
  <c r="Q84" i="30"/>
  <c r="R84" i="30"/>
  <c r="P80" i="30"/>
  <c r="S78" i="30"/>
  <c r="I78" i="30"/>
  <c r="L83" i="30"/>
  <c r="P77" i="30"/>
  <c r="S81" i="30"/>
  <c r="I84" i="30"/>
  <c r="J84" i="30"/>
  <c r="G82" i="30"/>
  <c r="J85" i="30"/>
  <c r="O80" i="30"/>
  <c r="P74" i="30"/>
  <c r="Q76" i="30"/>
  <c r="Q80" i="30"/>
  <c r="H85" i="30"/>
  <c r="R85" i="30"/>
  <c r="G76" i="30"/>
  <c r="I76" i="30"/>
  <c r="M82" i="30"/>
  <c r="L85" i="30"/>
  <c r="L78" i="30"/>
  <c r="S83" i="30"/>
  <c r="T81" i="30"/>
  <c r="P85" i="30"/>
  <c r="L76" i="30"/>
  <c r="Q75" i="30"/>
  <c r="M85" i="30"/>
  <c r="M76" i="30"/>
  <c r="O78" i="30"/>
  <c r="M75" i="30"/>
  <c r="N79" i="30"/>
  <c r="J76" i="30"/>
  <c r="O77" i="30"/>
  <c r="R83" i="30"/>
  <c r="H76" i="30"/>
  <c r="P78" i="30"/>
  <c r="R81" i="30"/>
  <c r="R80" i="30"/>
  <c r="G77" i="30"/>
  <c r="L77" i="30"/>
  <c r="K79" i="30"/>
  <c r="L75" i="30"/>
  <c r="G78" i="30"/>
  <c r="I82" i="30"/>
  <c r="K84" i="30"/>
  <c r="K75" i="30"/>
  <c r="P84" i="30"/>
  <c r="M78" i="30"/>
  <c r="G75" i="30"/>
  <c r="K82" i="30"/>
  <c r="T85" i="30"/>
  <c r="Q85" i="30"/>
  <c r="T82" i="30"/>
  <c r="G83" i="30"/>
  <c r="K81" i="30"/>
  <c r="K76" i="30"/>
  <c r="S75" i="30"/>
  <c r="L82" i="30"/>
  <c r="J74" i="30"/>
  <c r="S76" i="30"/>
  <c r="M77" i="30"/>
  <c r="I83" i="30"/>
  <c r="Q79" i="30"/>
  <c r="L74" i="30"/>
  <c r="K77" i="30"/>
  <c r="M79" i="30"/>
  <c r="Q77" i="30"/>
  <c r="Q81" i="30"/>
  <c r="J77" i="30"/>
  <c r="P79" i="30"/>
  <c r="M83" i="30"/>
  <c r="N77" i="30"/>
  <c r="M80" i="30"/>
  <c r="G81" i="30"/>
  <c r="J75" i="30"/>
  <c r="J80" i="30"/>
  <c r="J82" i="30"/>
  <c r="I74" i="30"/>
  <c r="O76" i="30"/>
  <c r="O79" i="30"/>
  <c r="O81" i="30"/>
  <c r="I85" i="30"/>
  <c r="K85" i="30"/>
  <c r="I81" i="30"/>
  <c r="S85" i="30"/>
  <c r="H84" i="30"/>
  <c r="S77" i="30"/>
  <c r="H75" i="30"/>
  <c r="O82" i="30"/>
  <c r="N85" i="30"/>
  <c r="S84" i="30"/>
  <c r="P82" i="30"/>
  <c r="O85" i="30"/>
  <c r="R75" i="30"/>
  <c r="J78" i="30"/>
  <c r="S80" i="30"/>
  <c r="K78" i="30"/>
  <c r="R76" i="30"/>
  <c r="H83" i="30"/>
  <c r="N84" i="30"/>
  <c r="N81" i="30"/>
  <c r="M84" i="30"/>
  <c r="H77" i="30"/>
  <c r="S82" i="30"/>
  <c r="S55" i="30"/>
  <c r="J53" i="30"/>
  <c r="H54" i="30"/>
  <c r="R53" i="30"/>
  <c r="O52" i="30"/>
  <c r="R50" i="30"/>
  <c r="S52" i="30"/>
  <c r="S54" i="30"/>
  <c r="P53" i="30"/>
  <c r="J52" i="30"/>
  <c r="I52" i="30"/>
  <c r="S50" i="30"/>
  <c r="O50" i="30"/>
  <c r="K53" i="30"/>
  <c r="I54" i="30"/>
  <c r="G55" i="30"/>
  <c r="N54" i="30"/>
  <c r="Q53" i="30"/>
  <c r="G54" i="30"/>
  <c r="K51" i="30"/>
  <c r="P50" i="30"/>
  <c r="L50" i="30"/>
  <c r="L55" i="30"/>
  <c r="J51" i="30"/>
  <c r="T54" i="30"/>
  <c r="K50" i="30"/>
  <c r="I51" i="30"/>
  <c r="G52" i="30"/>
  <c r="P55" i="30"/>
  <c r="N52" i="30"/>
  <c r="Q54" i="30"/>
  <c r="P52" i="30"/>
  <c r="Q50" i="30"/>
  <c r="O51" i="30"/>
  <c r="L52" i="30"/>
  <c r="H51" i="30"/>
  <c r="M53" i="30"/>
  <c r="H52" i="30"/>
  <c r="Q52" i="30"/>
  <c r="N53" i="30"/>
  <c r="L54" i="30"/>
  <c r="J55" i="30"/>
  <c r="I50" i="30"/>
  <c r="M55" i="30"/>
  <c r="L51" i="30"/>
  <c r="L53" i="30"/>
  <c r="T53" i="30"/>
  <c r="R54" i="30"/>
  <c r="M50" i="30"/>
  <c r="T55" i="30"/>
  <c r="M52" i="30"/>
  <c r="M54" i="30"/>
  <c r="K55" i="30"/>
  <c r="J50" i="30"/>
  <c r="R52" i="30"/>
  <c r="K54" i="30"/>
  <c r="N51" i="30"/>
  <c r="T50" i="30"/>
  <c r="R51" i="30"/>
  <c r="T52" i="30"/>
  <c r="I55" i="30"/>
  <c r="M51" i="30"/>
  <c r="K52" i="30"/>
  <c r="I53" i="30"/>
  <c r="Q55" i="30"/>
  <c r="P51" i="30"/>
  <c r="O53" i="30"/>
  <c r="G51" i="30"/>
  <c r="S51" i="30"/>
  <c r="G50" i="30"/>
  <c r="H50" i="30"/>
  <c r="G53" i="30"/>
  <c r="S53" i="30"/>
  <c r="P54" i="30"/>
  <c r="N55" i="30"/>
  <c r="N50" i="30"/>
  <c r="H53" i="30"/>
  <c r="O54" i="30"/>
  <c r="Q51" i="30"/>
  <c r="J54" i="30"/>
  <c r="H55" i="30"/>
  <c r="R55" i="30"/>
  <c r="O55" i="30"/>
  <c r="T51" i="30"/>
  <c r="U148" i="30"/>
  <c r="H42" i="32" s="1"/>
  <c r="G89" i="30" a="1"/>
  <c r="U146" i="30"/>
  <c r="H40" i="32" s="1"/>
  <c r="U147" i="30"/>
  <c r="H41" i="32" s="1"/>
  <c r="C15" i="32" l="1"/>
  <c r="D31" i="32"/>
  <c r="C14" i="32"/>
  <c r="C18" i="32"/>
  <c r="C16" i="32"/>
  <c r="C17" i="32"/>
  <c r="C19" i="32"/>
  <c r="U55" i="30"/>
  <c r="G104" i="30" a="1"/>
  <c r="P113" i="30" s="1"/>
  <c r="U80" i="30"/>
  <c r="D34" i="32" s="1"/>
  <c r="U53" i="30"/>
  <c r="Q98" i="30"/>
  <c r="G93" i="30"/>
  <c r="P91" i="30"/>
  <c r="O96" i="30"/>
  <c r="G99" i="30"/>
  <c r="G92" i="30"/>
  <c r="O89" i="30"/>
  <c r="J95" i="30"/>
  <c r="Q100" i="30"/>
  <c r="H91" i="30"/>
  <c r="I92" i="30"/>
  <c r="K98" i="30"/>
  <c r="T98" i="30"/>
  <c r="O99" i="30"/>
  <c r="S94" i="30"/>
  <c r="T100" i="30"/>
  <c r="P97" i="30"/>
  <c r="L92" i="30"/>
  <c r="G100" i="30"/>
  <c r="R94" i="30"/>
  <c r="H95" i="30"/>
  <c r="R100" i="30"/>
  <c r="M95" i="30"/>
  <c r="I98" i="30"/>
  <c r="N92" i="30"/>
  <c r="R99" i="30"/>
  <c r="G96" i="30"/>
  <c r="P98" i="30"/>
  <c r="P93" i="30"/>
  <c r="G89" i="30"/>
  <c r="N97" i="30"/>
  <c r="P92" i="30"/>
  <c r="N91" i="30"/>
  <c r="T93" i="30"/>
  <c r="N98" i="30"/>
  <c r="M98" i="30"/>
  <c r="K93" i="30"/>
  <c r="K94" i="30"/>
  <c r="N93" i="30"/>
  <c r="Q90" i="30"/>
  <c r="O98" i="30"/>
  <c r="M99" i="30"/>
  <c r="J94" i="30"/>
  <c r="S96" i="30"/>
  <c r="T97" i="30"/>
  <c r="L99" i="30"/>
  <c r="G90" i="30"/>
  <c r="H96" i="30"/>
  <c r="P95" i="30"/>
  <c r="R90" i="30"/>
  <c r="P89" i="30"/>
  <c r="K89" i="30"/>
  <c r="P94" i="30"/>
  <c r="L91" i="30"/>
  <c r="H97" i="30"/>
  <c r="O91" i="30"/>
  <c r="K90" i="30"/>
  <c r="S98" i="30"/>
  <c r="R96" i="30"/>
  <c r="I96" i="30"/>
  <c r="O92" i="30"/>
  <c r="Q99" i="30"/>
  <c r="K95" i="30"/>
  <c r="K100" i="30"/>
  <c r="H93" i="30"/>
  <c r="O90" i="30"/>
  <c r="L100" i="30"/>
  <c r="H92" i="30"/>
  <c r="K91" i="30"/>
  <c r="Q91" i="30"/>
  <c r="J90" i="30"/>
  <c r="N89" i="30"/>
  <c r="J96" i="30"/>
  <c r="L94" i="30"/>
  <c r="S100" i="30"/>
  <c r="I90" i="30"/>
  <c r="P99" i="30"/>
  <c r="S89" i="30"/>
  <c r="O97" i="30"/>
  <c r="R91" i="30"/>
  <c r="L90" i="30"/>
  <c r="Q94" i="30"/>
  <c r="L98" i="30"/>
  <c r="N94" i="30"/>
  <c r="H100" i="30"/>
  <c r="N99" i="30"/>
  <c r="I91" i="30"/>
  <c r="Q95" i="30"/>
  <c r="Q96" i="30"/>
  <c r="J91" i="30"/>
  <c r="K92" i="30"/>
  <c r="Q97" i="30"/>
  <c r="R89" i="30"/>
  <c r="T90" i="30"/>
  <c r="H98" i="30"/>
  <c r="R98" i="30"/>
  <c r="H90" i="30"/>
  <c r="L96" i="30"/>
  <c r="R97" i="30"/>
  <c r="S95" i="30"/>
  <c r="G98" i="30"/>
  <c r="T95" i="30"/>
  <c r="L89" i="30"/>
  <c r="I94" i="30"/>
  <c r="J89" i="30"/>
  <c r="O95" i="30"/>
  <c r="M96" i="30"/>
  <c r="T92" i="30"/>
  <c r="R93" i="30"/>
  <c r="N100" i="30"/>
  <c r="T89" i="30"/>
  <c r="T91" i="30"/>
  <c r="I97" i="30"/>
  <c r="K96" i="30"/>
  <c r="T99" i="30"/>
  <c r="M94" i="30"/>
  <c r="S97" i="30"/>
  <c r="S99" i="30"/>
  <c r="L93" i="30"/>
  <c r="P90" i="30"/>
  <c r="S91" i="30"/>
  <c r="P100" i="30"/>
  <c r="H99" i="30"/>
  <c r="M97" i="30"/>
  <c r="L95" i="30"/>
  <c r="I99" i="30"/>
  <c r="N96" i="30"/>
  <c r="O94" i="30"/>
  <c r="O93" i="30"/>
  <c r="O100" i="30"/>
  <c r="I100" i="30"/>
  <c r="G97" i="30"/>
  <c r="G95" i="30"/>
  <c r="J93" i="30"/>
  <c r="I89" i="30"/>
  <c r="M93" i="30"/>
  <c r="J97" i="30"/>
  <c r="I95" i="30"/>
  <c r="Q93" i="30"/>
  <c r="N90" i="30"/>
  <c r="K99" i="30"/>
  <c r="G94" i="30"/>
  <c r="S92" i="30"/>
  <c r="I93" i="30"/>
  <c r="H89" i="30"/>
  <c r="K97" i="30"/>
  <c r="M92" i="30"/>
  <c r="M100" i="30"/>
  <c r="M90" i="30"/>
  <c r="S90" i="30"/>
  <c r="J92" i="30"/>
  <c r="M91" i="30"/>
  <c r="T94" i="30"/>
  <c r="H94" i="30"/>
  <c r="J99" i="30"/>
  <c r="Q92" i="30"/>
  <c r="L97" i="30"/>
  <c r="S93" i="30"/>
  <c r="R95" i="30"/>
  <c r="J100" i="30"/>
  <c r="Q89" i="30"/>
  <c r="R92" i="30"/>
  <c r="P96" i="30"/>
  <c r="M89" i="30"/>
  <c r="T96" i="30"/>
  <c r="N95" i="30"/>
  <c r="J98" i="30"/>
  <c r="G91" i="30"/>
  <c r="U77" i="30"/>
  <c r="U79" i="30"/>
  <c r="D33" i="32" s="1"/>
  <c r="U50" i="30"/>
  <c r="U83" i="30"/>
  <c r="D37" i="32" s="1"/>
  <c r="E67" i="11"/>
  <c r="G86" i="30" a="1"/>
  <c r="U51" i="30"/>
  <c r="U52" i="30"/>
  <c r="U54" i="30"/>
  <c r="U78" i="30"/>
  <c r="D32" i="32" s="1"/>
  <c r="U81" i="30"/>
  <c r="D35" i="32" s="1"/>
  <c r="U74" i="30"/>
  <c r="D28" i="32" s="1"/>
  <c r="U84" i="30"/>
  <c r="D38" i="32" s="1"/>
  <c r="U75" i="30"/>
  <c r="D29" i="32" s="1"/>
  <c r="U76" i="30"/>
  <c r="D30" i="32" s="1"/>
  <c r="U82" i="30"/>
  <c r="D36" i="32" s="1"/>
  <c r="U85" i="30"/>
  <c r="D39" i="32" s="1"/>
  <c r="E31" i="32" l="1"/>
  <c r="B29" i="31"/>
  <c r="B13" i="31"/>
  <c r="R106" i="30"/>
  <c r="N115" i="30"/>
  <c r="I108" i="30"/>
  <c r="I114" i="30"/>
  <c r="R104" i="30"/>
  <c r="S115" i="30"/>
  <c r="S111" i="30"/>
  <c r="P112" i="30"/>
  <c r="N110" i="30"/>
  <c r="Q105" i="30"/>
  <c r="K108" i="30"/>
  <c r="J109" i="30"/>
  <c r="I109" i="30"/>
  <c r="G109" i="30"/>
  <c r="R110" i="30"/>
  <c r="P107" i="30"/>
  <c r="N107" i="30"/>
  <c r="I110" i="30"/>
  <c r="M108" i="30"/>
  <c r="T111" i="30"/>
  <c r="S112" i="30"/>
  <c r="Q115" i="30"/>
  <c r="M112" i="30"/>
  <c r="O109" i="30"/>
  <c r="S108" i="30"/>
  <c r="G110" i="30"/>
  <c r="I107" i="30"/>
  <c r="H106" i="30"/>
  <c r="T115" i="30"/>
  <c r="P106" i="30"/>
  <c r="K114" i="30"/>
  <c r="L107" i="30"/>
  <c r="K113" i="30"/>
  <c r="O106" i="30"/>
  <c r="O108" i="30"/>
  <c r="H113" i="30"/>
  <c r="I113" i="30"/>
  <c r="P114" i="30"/>
  <c r="L106" i="30"/>
  <c r="J113" i="30"/>
  <c r="G114" i="30"/>
  <c r="S113" i="30"/>
  <c r="K110" i="30"/>
  <c r="M111" i="30"/>
  <c r="M104" i="30"/>
  <c r="J110" i="30"/>
  <c r="N112" i="30"/>
  <c r="G106" i="30"/>
  <c r="Q112" i="30"/>
  <c r="L108" i="30"/>
  <c r="Q110" i="30"/>
  <c r="T108" i="30"/>
  <c r="N111" i="30"/>
  <c r="Q109" i="30"/>
  <c r="O105" i="30"/>
  <c r="R114" i="30"/>
  <c r="S104" i="30"/>
  <c r="H105" i="30"/>
  <c r="N109" i="30"/>
  <c r="L112" i="30"/>
  <c r="I115" i="30"/>
  <c r="M113" i="30"/>
  <c r="K107" i="30"/>
  <c r="S110" i="30"/>
  <c r="H104" i="30"/>
  <c r="N113" i="30"/>
  <c r="P115" i="30"/>
  <c r="K106" i="30"/>
  <c r="R112" i="30"/>
  <c r="L104" i="30"/>
  <c r="O107" i="30"/>
  <c r="T109" i="30"/>
  <c r="S114" i="30"/>
  <c r="T104" i="30"/>
  <c r="P105" i="30"/>
  <c r="T113" i="30"/>
  <c r="Q104" i="30"/>
  <c r="M114" i="30"/>
  <c r="I104" i="30"/>
  <c r="P109" i="30"/>
  <c r="J106" i="30"/>
  <c r="O110" i="30"/>
  <c r="Q107" i="30"/>
  <c r="J104" i="30"/>
  <c r="I105" i="30"/>
  <c r="N108" i="30"/>
  <c r="M115" i="30"/>
  <c r="S105" i="30"/>
  <c r="R111" i="30"/>
  <c r="R109" i="30"/>
  <c r="M109" i="30"/>
  <c r="H112" i="30"/>
  <c r="J115" i="30"/>
  <c r="J107" i="30"/>
  <c r="N106" i="30"/>
  <c r="Q114" i="30"/>
  <c r="H110" i="30"/>
  <c r="S109" i="30"/>
  <c r="J108" i="30"/>
  <c r="L111" i="30"/>
  <c r="R113" i="30"/>
  <c r="S106" i="30"/>
  <c r="J111" i="30"/>
  <c r="M106" i="30"/>
  <c r="O112" i="30"/>
  <c r="R107" i="30"/>
  <c r="L109" i="30"/>
  <c r="T106" i="30"/>
  <c r="G111" i="30"/>
  <c r="L113" i="30"/>
  <c r="Q106" i="30"/>
  <c r="G112" i="30"/>
  <c r="Q113" i="30"/>
  <c r="I112" i="30"/>
  <c r="P108" i="30"/>
  <c r="Q111" i="30"/>
  <c r="P111" i="30"/>
  <c r="H108" i="30"/>
  <c r="L114" i="30"/>
  <c r="J105" i="30"/>
  <c r="P110" i="30"/>
  <c r="G113" i="30"/>
  <c r="O104" i="30"/>
  <c r="M110" i="30"/>
  <c r="G104" i="30"/>
  <c r="L115" i="30"/>
  <c r="T112" i="30"/>
  <c r="K115" i="30"/>
  <c r="O114" i="30"/>
  <c r="J112" i="30"/>
  <c r="G107" i="30"/>
  <c r="H107" i="30"/>
  <c r="H109" i="30"/>
  <c r="G108" i="30"/>
  <c r="I111" i="30"/>
  <c r="N105" i="30"/>
  <c r="R108" i="30"/>
  <c r="O113" i="30"/>
  <c r="J114" i="30"/>
  <c r="H115" i="30"/>
  <c r="L105" i="30"/>
  <c r="S107" i="30"/>
  <c r="F31" i="32" s="1"/>
  <c r="N114" i="30"/>
  <c r="Q108" i="30"/>
  <c r="T114" i="30"/>
  <c r="K105" i="30"/>
  <c r="K104" i="30"/>
  <c r="O115" i="30"/>
  <c r="G105" i="30"/>
  <c r="K111" i="30"/>
  <c r="I106" i="30"/>
  <c r="M107" i="30"/>
  <c r="O111" i="30"/>
  <c r="G115" i="30"/>
  <c r="R115" i="30"/>
  <c r="M105" i="30"/>
  <c r="H111" i="30"/>
  <c r="K112" i="30"/>
  <c r="T105" i="30"/>
  <c r="P104" i="30"/>
  <c r="R105" i="30"/>
  <c r="T110" i="30"/>
  <c r="H114" i="30"/>
  <c r="T107" i="30"/>
  <c r="L110" i="30"/>
  <c r="K109" i="30"/>
  <c r="N104" i="30"/>
  <c r="U91" i="30"/>
  <c r="E30" i="32" s="1"/>
  <c r="G101" i="30" a="1"/>
  <c r="S102" i="30" s="1"/>
  <c r="G119" i="30" a="1"/>
  <c r="M122" i="30" s="1"/>
  <c r="K87" i="30"/>
  <c r="M87" i="30"/>
  <c r="N86" i="30"/>
  <c r="H88" i="30"/>
  <c r="R87" i="30"/>
  <c r="M86" i="30"/>
  <c r="S87" i="30"/>
  <c r="L88" i="30"/>
  <c r="J88" i="30"/>
  <c r="I87" i="30"/>
  <c r="N88" i="30"/>
  <c r="G87" i="30"/>
  <c r="G88" i="30"/>
  <c r="I86" i="30"/>
  <c r="N87" i="30"/>
  <c r="K86" i="30"/>
  <c r="L86" i="30"/>
  <c r="Q88" i="30"/>
  <c r="L87" i="30"/>
  <c r="O87" i="30"/>
  <c r="H87" i="30"/>
  <c r="I88" i="30"/>
  <c r="R86" i="30"/>
  <c r="K88" i="30"/>
  <c r="T87" i="30"/>
  <c r="H86" i="30"/>
  <c r="J87" i="30"/>
  <c r="J86" i="30"/>
  <c r="P88" i="30"/>
  <c r="Q86" i="30"/>
  <c r="T88" i="30"/>
  <c r="O88" i="30"/>
  <c r="T86" i="30"/>
  <c r="M88" i="30"/>
  <c r="R88" i="30"/>
  <c r="O86" i="30"/>
  <c r="S88" i="30"/>
  <c r="P86" i="30"/>
  <c r="S86" i="30"/>
  <c r="G86" i="30"/>
  <c r="P87" i="30"/>
  <c r="Q87" i="30"/>
  <c r="E88" i="11"/>
  <c r="U90" i="30"/>
  <c r="E29" i="32" s="1"/>
  <c r="U94" i="30"/>
  <c r="E33" i="32" s="1"/>
  <c r="U89" i="30"/>
  <c r="E28" i="32" s="1"/>
  <c r="U92" i="30"/>
  <c r="U95" i="30"/>
  <c r="E34" i="32" s="1"/>
  <c r="U98" i="30"/>
  <c r="E37" i="32" s="1"/>
  <c r="U99" i="30"/>
  <c r="E38" i="32" s="1"/>
  <c r="U97" i="30"/>
  <c r="E36" i="32" s="1"/>
  <c r="U96" i="30"/>
  <c r="E35" i="32" s="1"/>
  <c r="U100" i="30"/>
  <c r="E39" i="32" s="1"/>
  <c r="U93" i="30"/>
  <c r="E32" i="32" s="1"/>
  <c r="U111" i="30" l="1"/>
  <c r="F35" i="32" s="1"/>
  <c r="U106" i="30"/>
  <c r="F30" i="32" s="1"/>
  <c r="U104" i="30"/>
  <c r="F28" i="32" s="1"/>
  <c r="U112" i="30"/>
  <c r="F36" i="32" s="1"/>
  <c r="U114" i="30"/>
  <c r="F38" i="32" s="1"/>
  <c r="U113" i="30"/>
  <c r="F37" i="32" s="1"/>
  <c r="U109" i="30"/>
  <c r="F33" i="32" s="1"/>
  <c r="U108" i="30"/>
  <c r="F32" i="32" s="1"/>
  <c r="U110" i="30"/>
  <c r="F34" i="32" s="1"/>
  <c r="U105" i="30"/>
  <c r="F29" i="32" s="1"/>
  <c r="U115" i="30"/>
  <c r="F39" i="32" s="1"/>
  <c r="U107" i="30"/>
  <c r="Q101" i="30"/>
  <c r="J103" i="30"/>
  <c r="H103" i="30"/>
  <c r="I101" i="30"/>
  <c r="G128" i="30"/>
  <c r="L103" i="30"/>
  <c r="H119" i="30"/>
  <c r="L101" i="30"/>
  <c r="I125" i="30"/>
  <c r="M101" i="30"/>
  <c r="T121" i="30"/>
  <c r="K103" i="30"/>
  <c r="T122" i="30"/>
  <c r="J124" i="30"/>
  <c r="H127" i="30"/>
  <c r="K121" i="30"/>
  <c r="P126" i="30"/>
  <c r="I128" i="30"/>
  <c r="K102" i="30"/>
  <c r="R120" i="30"/>
  <c r="J128" i="30"/>
  <c r="S126" i="30"/>
  <c r="M121" i="30"/>
  <c r="I119" i="30"/>
  <c r="H125" i="30"/>
  <c r="T126" i="30"/>
  <c r="S119" i="30"/>
  <c r="Q119" i="30"/>
  <c r="L125" i="30"/>
  <c r="R129" i="30"/>
  <c r="S128" i="30"/>
  <c r="N102" i="30"/>
  <c r="M120" i="30"/>
  <c r="J126" i="30"/>
  <c r="S130" i="30"/>
  <c r="T119" i="30"/>
  <c r="P130" i="30"/>
  <c r="T102" i="30"/>
  <c r="O102" i="30"/>
  <c r="T101" i="30"/>
  <c r="N123" i="30"/>
  <c r="R126" i="30"/>
  <c r="M128" i="30"/>
  <c r="H126" i="30"/>
  <c r="J129" i="30"/>
  <c r="N103" i="30"/>
  <c r="M103" i="30"/>
  <c r="P102" i="30"/>
  <c r="Q126" i="30"/>
  <c r="J127" i="30"/>
  <c r="M124" i="30"/>
  <c r="O119" i="30"/>
  <c r="N120" i="30"/>
  <c r="P101" i="30"/>
  <c r="P103" i="30"/>
  <c r="H101" i="30"/>
  <c r="G129" i="30"/>
  <c r="K123" i="30"/>
  <c r="I126" i="30"/>
  <c r="O130" i="30"/>
  <c r="H130" i="30"/>
  <c r="H121" i="30"/>
  <c r="T130" i="30"/>
  <c r="O123" i="30"/>
  <c r="I121" i="30"/>
  <c r="S127" i="30"/>
  <c r="S121" i="30"/>
  <c r="L121" i="30"/>
  <c r="S123" i="30"/>
  <c r="P127" i="30"/>
  <c r="L120" i="30"/>
  <c r="J130" i="30"/>
  <c r="P124" i="30"/>
  <c r="P119" i="30"/>
  <c r="H129" i="30"/>
  <c r="P121" i="30"/>
  <c r="N121" i="30"/>
  <c r="T128" i="30"/>
  <c r="T120" i="30"/>
  <c r="K124" i="30"/>
  <c r="M127" i="30"/>
  <c r="I129" i="30"/>
  <c r="O103" i="30"/>
  <c r="T103" i="30"/>
  <c r="S103" i="30"/>
  <c r="L102" i="30"/>
  <c r="N101" i="30"/>
  <c r="L128" i="30"/>
  <c r="G127" i="30"/>
  <c r="G124" i="30"/>
  <c r="N130" i="30"/>
  <c r="J123" i="30"/>
  <c r="G119" i="30"/>
  <c r="I127" i="30"/>
  <c r="G125" i="30"/>
  <c r="R128" i="30"/>
  <c r="G120" i="30"/>
  <c r="I124" i="30"/>
  <c r="K130" i="30"/>
  <c r="P125" i="30"/>
  <c r="K125" i="30"/>
  <c r="M129" i="30"/>
  <c r="Q124" i="30"/>
  <c r="L129" i="30"/>
  <c r="M126" i="30"/>
  <c r="K119" i="30"/>
  <c r="O126" i="30"/>
  <c r="O122" i="30"/>
  <c r="K101" i="30"/>
  <c r="Q103" i="30"/>
  <c r="M102" i="30"/>
  <c r="G101" i="30"/>
  <c r="G102" i="30"/>
  <c r="T123" i="30"/>
  <c r="S124" i="30"/>
  <c r="J120" i="30"/>
  <c r="O128" i="30"/>
  <c r="Q130" i="30"/>
  <c r="L119" i="30"/>
  <c r="T129" i="30"/>
  <c r="L130" i="30"/>
  <c r="R124" i="30"/>
  <c r="R121" i="30"/>
  <c r="R125" i="30"/>
  <c r="H123" i="30"/>
  <c r="Q128" i="30"/>
  <c r="K128" i="30"/>
  <c r="G121" i="30"/>
  <c r="T125" i="30"/>
  <c r="I130" i="30"/>
  <c r="I123" i="30"/>
  <c r="R123" i="30"/>
  <c r="O124" i="30"/>
  <c r="R130" i="30"/>
  <c r="R102" i="30"/>
  <c r="O121" i="30"/>
  <c r="O120" i="30"/>
  <c r="M125" i="30"/>
  <c r="I120" i="30"/>
  <c r="H120" i="30"/>
  <c r="O125" i="30"/>
  <c r="G126" i="30"/>
  <c r="Q127" i="30"/>
  <c r="P122" i="30"/>
  <c r="K122" i="30"/>
  <c r="N126" i="30"/>
  <c r="J125" i="30"/>
  <c r="J122" i="30"/>
  <c r="I122" i="30"/>
  <c r="H124" i="30"/>
  <c r="P120" i="30"/>
  <c r="N128" i="30"/>
  <c r="Q121" i="30"/>
  <c r="R119" i="30"/>
  <c r="G130" i="30"/>
  <c r="K120" i="30"/>
  <c r="J101" i="30"/>
  <c r="S101" i="30"/>
  <c r="I103" i="30"/>
  <c r="G103" i="30"/>
  <c r="H102" i="30"/>
  <c r="I102" i="30"/>
  <c r="P123" i="30"/>
  <c r="N124" i="30"/>
  <c r="S125" i="30"/>
  <c r="H122" i="30"/>
  <c r="P129" i="30"/>
  <c r="N127" i="30"/>
  <c r="L126" i="30"/>
  <c r="H128" i="30"/>
  <c r="J119" i="30"/>
  <c r="N125" i="30"/>
  <c r="L122" i="30"/>
  <c r="S129" i="30"/>
  <c r="G123" i="30"/>
  <c r="M130" i="30"/>
  <c r="N119" i="30"/>
  <c r="O127" i="30"/>
  <c r="Q125" i="30"/>
  <c r="P128" i="30"/>
  <c r="J121" i="30"/>
  <c r="M123" i="30"/>
  <c r="Q122" i="30"/>
  <c r="O101" i="30"/>
  <c r="R103" i="30"/>
  <c r="Q102" i="30"/>
  <c r="R101" i="30"/>
  <c r="J102" i="30"/>
  <c r="E107" i="11"/>
  <c r="O129" i="30"/>
  <c r="L127" i="30"/>
  <c r="Q123" i="30"/>
  <c r="T124" i="30"/>
  <c r="N122" i="30"/>
  <c r="S122" i="30"/>
  <c r="G122" i="30"/>
  <c r="Q120" i="30"/>
  <c r="S120" i="30"/>
  <c r="R127" i="30"/>
  <c r="Q129" i="30"/>
  <c r="K127" i="30"/>
  <c r="N129" i="30"/>
  <c r="K129" i="30"/>
  <c r="T127" i="30"/>
  <c r="M119" i="30"/>
  <c r="L123" i="30"/>
  <c r="L124" i="30"/>
  <c r="K126" i="30"/>
  <c r="R122" i="30"/>
  <c r="U88" i="30"/>
  <c r="D42" i="32" s="1"/>
  <c r="G116" i="30" a="1"/>
  <c r="U87" i="30"/>
  <c r="D41" i="32" s="1"/>
  <c r="G131" i="30" a="1"/>
  <c r="E126" i="11"/>
  <c r="U86" i="30"/>
  <c r="D40" i="32" s="1"/>
  <c r="G31" i="32" l="1"/>
  <c r="U130" i="30"/>
  <c r="G39" i="32" s="1"/>
  <c r="U127" i="30"/>
  <c r="G36" i="32" s="1"/>
  <c r="U103" i="30"/>
  <c r="E42" i="32" s="1"/>
  <c r="U121" i="30"/>
  <c r="G30" i="32" s="1"/>
  <c r="U101" i="30"/>
  <c r="E40" i="32" s="1"/>
  <c r="U124" i="30"/>
  <c r="G33" i="32" s="1"/>
  <c r="U123" i="30"/>
  <c r="G32" i="32" s="1"/>
  <c r="U102" i="30"/>
  <c r="E41" i="32" s="1"/>
  <c r="U129" i="30"/>
  <c r="G38" i="32" s="1"/>
  <c r="U126" i="30"/>
  <c r="G35" i="32" s="1"/>
  <c r="U122" i="30"/>
  <c r="U125" i="30"/>
  <c r="G34" i="32" s="1"/>
  <c r="U119" i="30"/>
  <c r="G28" i="32" s="1"/>
  <c r="U120" i="30"/>
  <c r="G29" i="32" s="1"/>
  <c r="U128" i="30"/>
  <c r="G37" i="32" s="1"/>
  <c r="P116" i="30"/>
  <c r="H116" i="30"/>
  <c r="N116" i="30"/>
  <c r="I116" i="30"/>
  <c r="P118" i="30"/>
  <c r="N117" i="30"/>
  <c r="T116" i="30"/>
  <c r="G116" i="30"/>
  <c r="T117" i="30"/>
  <c r="I118" i="30"/>
  <c r="O116" i="30"/>
  <c r="O118" i="30"/>
  <c r="P117" i="30"/>
  <c r="M117" i="30"/>
  <c r="Q116" i="30"/>
  <c r="Q118" i="30"/>
  <c r="Q117" i="30"/>
  <c r="O117" i="30"/>
  <c r="R116" i="30"/>
  <c r="I117" i="30"/>
  <c r="K117" i="30"/>
  <c r="S118" i="30"/>
  <c r="L116" i="30"/>
  <c r="J116" i="30"/>
  <c r="M118" i="30"/>
  <c r="L118" i="30"/>
  <c r="T118" i="30"/>
  <c r="R117" i="30"/>
  <c r="J117" i="30"/>
  <c r="J118" i="30"/>
  <c r="R118" i="30"/>
  <c r="N118" i="30"/>
  <c r="L117" i="30"/>
  <c r="H117" i="30"/>
  <c r="G118" i="30"/>
  <c r="S117" i="30"/>
  <c r="S116" i="30"/>
  <c r="M116" i="30"/>
  <c r="K116" i="30"/>
  <c r="H118" i="30"/>
  <c r="K118" i="30"/>
  <c r="G117" i="30"/>
  <c r="K132" i="30"/>
  <c r="L132" i="30"/>
  <c r="P131" i="30"/>
  <c r="N133" i="30"/>
  <c r="J133" i="30"/>
  <c r="H132" i="30"/>
  <c r="S131" i="30"/>
  <c r="G131" i="30"/>
  <c r="P133" i="30"/>
  <c r="H131" i="30"/>
  <c r="O132" i="30"/>
  <c r="J132" i="30"/>
  <c r="T132" i="30"/>
  <c r="O131" i="30"/>
  <c r="P132" i="30"/>
  <c r="T131" i="30"/>
  <c r="Q131" i="30"/>
  <c r="L133" i="30"/>
  <c r="G133" i="30"/>
  <c r="I133" i="30"/>
  <c r="M131" i="30"/>
  <c r="N131" i="30"/>
  <c r="I132" i="30"/>
  <c r="R132" i="30"/>
  <c r="S132" i="30"/>
  <c r="L131" i="30"/>
  <c r="H133" i="30"/>
  <c r="R131" i="30"/>
  <c r="M133" i="30"/>
  <c r="N132" i="30"/>
  <c r="G132" i="30"/>
  <c r="K131" i="30"/>
  <c r="Q132" i="30"/>
  <c r="T133" i="30"/>
  <c r="I131" i="30"/>
  <c r="Q133" i="30"/>
  <c r="S133" i="30"/>
  <c r="J131" i="30"/>
  <c r="M132" i="30"/>
  <c r="O133" i="30"/>
  <c r="K133" i="30"/>
  <c r="R133" i="30"/>
  <c r="U116" i="30" l="1"/>
  <c r="F40" i="32" s="1"/>
  <c r="U133" i="30"/>
  <c r="G42" i="32" s="1"/>
  <c r="U118" i="30"/>
  <c r="F42" i="32" s="1"/>
  <c r="U131" i="30"/>
  <c r="G40" i="32" s="1"/>
  <c r="U117" i="30"/>
  <c r="F41" i="32" s="1"/>
  <c r="U132" i="30"/>
  <c r="G41" i="32" s="1"/>
  <c r="G94" i="32" l="1"/>
  <c r="H94" i="32"/>
  <c r="G95" i="32"/>
  <c r="H95" i="32"/>
  <c r="G97" i="32"/>
  <c r="H97" i="32"/>
  <c r="G96" i="32"/>
  <c r="H96" i="32"/>
  <c r="G93" i="32"/>
  <c r="H93" i="32"/>
  <c r="G92" i="32"/>
  <c r="H92" i="32"/>
  <c r="H98" i="32" l="1"/>
  <c r="BJ575" i="13"/>
  <c r="BL575" i="13" s="1"/>
  <c r="BM575" i="13" s="1"/>
  <c r="BJ576" i="13"/>
  <c r="BL576" i="13" s="1"/>
  <c r="BM576" i="13" s="1"/>
  <c r="BJ577" i="13"/>
  <c r="BL577" i="13" s="1"/>
  <c r="BM577" i="13" s="1"/>
  <c r="BJ578" i="13"/>
  <c r="BL578" i="13" s="1"/>
  <c r="BM578" i="13" s="1"/>
  <c r="BJ579" i="13"/>
  <c r="BL579" i="13" s="1"/>
  <c r="BM579" i="13" s="1"/>
  <c r="BJ580" i="13"/>
  <c r="BL580" i="13" s="1"/>
  <c r="BM580" i="13" s="1"/>
  <c r="BJ581" i="13"/>
  <c r="BL581" i="13" s="1"/>
  <c r="BM581" i="13" s="1"/>
  <c r="BJ582" i="13"/>
  <c r="BL582" i="13" s="1"/>
  <c r="BM582" i="13" s="1"/>
  <c r="BJ583" i="13"/>
  <c r="BL583" i="13" s="1"/>
  <c r="BM583" i="13" s="1"/>
  <c r="BJ584" i="13"/>
  <c r="BL584" i="13" s="1"/>
  <c r="BM584" i="13" s="1"/>
  <c r="BJ585" i="13"/>
  <c r="BL585" i="13" s="1"/>
  <c r="BM585" i="13" s="1"/>
  <c r="BJ586" i="13"/>
  <c r="BL586" i="13" s="1"/>
  <c r="BM586" i="13" s="1"/>
  <c r="BJ587" i="13"/>
  <c r="BL587" i="13" s="1"/>
  <c r="BM587" i="13" s="1"/>
  <c r="BJ574" i="13"/>
  <c r="AF375" i="13"/>
  <c r="AK375" i="13"/>
  <c r="AP375" i="13"/>
  <c r="AU375" i="13"/>
  <c r="AZ375" i="13"/>
  <c r="BE375" i="13"/>
  <c r="BJ375" i="13"/>
  <c r="BL375" i="13" s="1"/>
  <c r="BM375" i="13" s="1"/>
  <c r="AF376" i="13"/>
  <c r="AK376" i="13"/>
  <c r="AP376" i="13"/>
  <c r="AU376" i="13"/>
  <c r="AZ376" i="13"/>
  <c r="BE376" i="13"/>
  <c r="BJ376" i="13"/>
  <c r="BL376" i="13" s="1"/>
  <c r="BM376" i="13" s="1"/>
  <c r="AF377" i="13"/>
  <c r="AK377" i="13"/>
  <c r="AP377" i="13"/>
  <c r="AU377" i="13"/>
  <c r="AZ377" i="13"/>
  <c r="BE377" i="13"/>
  <c r="BJ377" i="13"/>
  <c r="BL377" i="13" s="1"/>
  <c r="BM377" i="13" s="1"/>
  <c r="AF378" i="13"/>
  <c r="AK378" i="13"/>
  <c r="AP378" i="13"/>
  <c r="AU378" i="13"/>
  <c r="AZ378" i="13"/>
  <c r="BE378" i="13"/>
  <c r="BJ378" i="13"/>
  <c r="BL378" i="13" s="1"/>
  <c r="BM378" i="13" s="1"/>
  <c r="AF379" i="13"/>
  <c r="AK379" i="13"/>
  <c r="AP379" i="13"/>
  <c r="AU379" i="13"/>
  <c r="AZ379" i="13"/>
  <c r="BE379" i="13"/>
  <c r="BJ379" i="13"/>
  <c r="BL379" i="13" s="1"/>
  <c r="BM379" i="13" s="1"/>
  <c r="AF380" i="13"/>
  <c r="AK380" i="13"/>
  <c r="AP380" i="13"/>
  <c r="AU380" i="13"/>
  <c r="AZ380" i="13"/>
  <c r="BE380" i="13"/>
  <c r="BJ380" i="13"/>
  <c r="BL380" i="13" s="1"/>
  <c r="BM380" i="13" s="1"/>
  <c r="AK381" i="13"/>
  <c r="AF382" i="13"/>
  <c r="AK382" i="13"/>
  <c r="AP382" i="13"/>
  <c r="AU382" i="13"/>
  <c r="AZ382" i="13"/>
  <c r="BE382" i="13"/>
  <c r="BJ382" i="13"/>
  <c r="BL382" i="13" s="1"/>
  <c r="BM382" i="13" s="1"/>
  <c r="AF383" i="13"/>
  <c r="AK383" i="13"/>
  <c r="AP383" i="13"/>
  <c r="AU383" i="13"/>
  <c r="AZ383" i="13"/>
  <c r="BE383" i="13"/>
  <c r="BJ383" i="13"/>
  <c r="BL383" i="13" s="1"/>
  <c r="BM383" i="13" s="1"/>
  <c r="AF384" i="13"/>
  <c r="AK384" i="13"/>
  <c r="AP384" i="13"/>
  <c r="AU384" i="13"/>
  <c r="AZ384" i="13"/>
  <c r="BE384" i="13"/>
  <c r="BJ384" i="13"/>
  <c r="BL384" i="13" s="1"/>
  <c r="BM384" i="13" s="1"/>
  <c r="AF385" i="13"/>
  <c r="AK385" i="13"/>
  <c r="AP385" i="13"/>
  <c r="AU385" i="13"/>
  <c r="AZ385" i="13"/>
  <c r="BE385" i="13"/>
  <c r="BJ385" i="13"/>
  <c r="BL385" i="13" s="1"/>
  <c r="BM385" i="13" s="1"/>
  <c r="AF387" i="13"/>
  <c r="AK387" i="13"/>
  <c r="AP387" i="13"/>
  <c r="AU387" i="13"/>
  <c r="AZ387" i="13"/>
  <c r="BE387" i="13"/>
  <c r="BJ387" i="13"/>
  <c r="BL387" i="13" s="1"/>
  <c r="BM387" i="13" s="1"/>
  <c r="BJ374" i="13"/>
  <c r="AF795" i="13"/>
  <c r="AK795" i="13"/>
  <c r="AP795" i="13"/>
  <c r="AU795" i="13"/>
  <c r="AZ795" i="13"/>
  <c r="BE795" i="13"/>
  <c r="AF796" i="13"/>
  <c r="AK796" i="13"/>
  <c r="AP796" i="13"/>
  <c r="AU796" i="13"/>
  <c r="AZ796" i="13"/>
  <c r="BE796" i="13"/>
  <c r="AF797" i="13"/>
  <c r="AK797" i="13"/>
  <c r="AP797" i="13"/>
  <c r="AU797" i="13"/>
  <c r="AZ797" i="13"/>
  <c r="BE797" i="13"/>
  <c r="AF798" i="13"/>
  <c r="AK798" i="13"/>
  <c r="AP798" i="13"/>
  <c r="AU798" i="13"/>
  <c r="AZ798" i="13"/>
  <c r="BE798" i="13"/>
  <c r="AF799" i="13"/>
  <c r="AK799" i="13"/>
  <c r="AP799" i="13"/>
  <c r="AU799" i="13"/>
  <c r="AZ799" i="13"/>
  <c r="BE799" i="13"/>
  <c r="AF800" i="13"/>
  <c r="AK800" i="13"/>
  <c r="AP800" i="13"/>
  <c r="AU800" i="13"/>
  <c r="AZ800" i="13"/>
  <c r="BE800" i="13"/>
  <c r="AF801" i="13"/>
  <c r="AK801" i="13"/>
  <c r="AP801" i="13"/>
  <c r="AU801" i="13"/>
  <c r="AZ801" i="13"/>
  <c r="BE801" i="13"/>
  <c r="AF802" i="13"/>
  <c r="AK802" i="13"/>
  <c r="AP802" i="13"/>
  <c r="AU802" i="13"/>
  <c r="AZ802" i="13"/>
  <c r="BE802" i="13"/>
  <c r="AF803" i="13"/>
  <c r="AK803" i="13"/>
  <c r="AP803" i="13"/>
  <c r="AU803" i="13"/>
  <c r="AZ803" i="13"/>
  <c r="BE803" i="13"/>
  <c r="AF804" i="13"/>
  <c r="AK804" i="13"/>
  <c r="AP804" i="13"/>
  <c r="AU804" i="13"/>
  <c r="AZ804" i="13"/>
  <c r="BE804" i="13"/>
  <c r="AF805" i="13"/>
  <c r="AK805" i="13"/>
  <c r="AP805" i="13"/>
  <c r="AU805" i="13"/>
  <c r="AZ805" i="13"/>
  <c r="BE805" i="13"/>
  <c r="AF806" i="13"/>
  <c r="AK806" i="13"/>
  <c r="AP806" i="13"/>
  <c r="AU806" i="13"/>
  <c r="AZ806" i="13"/>
  <c r="BE806" i="13"/>
  <c r="AF807" i="13"/>
  <c r="AK807" i="13"/>
  <c r="AP807" i="13"/>
  <c r="AU807" i="13"/>
  <c r="AZ807" i="13"/>
  <c r="BE807" i="13"/>
  <c r="BL574" i="13" l="1"/>
  <c r="BM574" i="13" s="1"/>
  <c r="BL374" i="13"/>
  <c r="BM374" i="13" s="1"/>
  <c r="K459" i="11"/>
  <c r="T588" i="13"/>
  <c r="BE587" i="13"/>
  <c r="J472" i="11"/>
  <c r="BE586" i="13"/>
  <c r="J471" i="11"/>
  <c r="BE585" i="13"/>
  <c r="J470" i="11"/>
  <c r="BE584" i="13"/>
  <c r="J469" i="11"/>
  <c r="BE583" i="13"/>
  <c r="J468" i="11"/>
  <c r="BE582" i="13"/>
  <c r="J467" i="11"/>
  <c r="BE581" i="13"/>
  <c r="J466" i="11"/>
  <c r="BE580" i="13"/>
  <c r="J465" i="11"/>
  <c r="BE579" i="13"/>
  <c r="J464" i="11"/>
  <c r="BE578" i="13"/>
  <c r="J463" i="11"/>
  <c r="BE577" i="13"/>
  <c r="J462" i="11"/>
  <c r="BE576" i="13"/>
  <c r="J461" i="11"/>
  <c r="BE575" i="13"/>
  <c r="J460" i="11"/>
  <c r="AK794" i="13"/>
  <c r="O808" i="13"/>
  <c r="BE374" i="13"/>
  <c r="BE574" i="13"/>
  <c r="J459" i="11"/>
  <c r="S588" i="13"/>
  <c r="AZ587" i="13"/>
  <c r="I472" i="11"/>
  <c r="I471" i="11"/>
  <c r="AZ586" i="13"/>
  <c r="I470" i="11"/>
  <c r="AZ585" i="13"/>
  <c r="AZ584" i="13"/>
  <c r="I469" i="11"/>
  <c r="I468" i="11"/>
  <c r="AZ583" i="13"/>
  <c r="AZ582" i="13"/>
  <c r="I467" i="11"/>
  <c r="AZ581" i="13"/>
  <c r="I466" i="11"/>
  <c r="AZ580" i="13"/>
  <c r="I465" i="11"/>
  <c r="AZ579" i="13"/>
  <c r="I464" i="11"/>
  <c r="AZ578" i="13"/>
  <c r="I463" i="11"/>
  <c r="I462" i="11"/>
  <c r="AZ577" i="13"/>
  <c r="AZ576" i="13"/>
  <c r="I461" i="11"/>
  <c r="I460" i="11"/>
  <c r="AZ575" i="13"/>
  <c r="AF794" i="13"/>
  <c r="G2700" i="30" a="1"/>
  <c r="N808" i="13"/>
  <c r="AZ374" i="13"/>
  <c r="I459" i="11"/>
  <c r="R588" i="13"/>
  <c r="AZ574" i="13"/>
  <c r="H472" i="11"/>
  <c r="AU587" i="13"/>
  <c r="H471" i="11"/>
  <c r="AU586" i="13"/>
  <c r="H470" i="11"/>
  <c r="AU585" i="13"/>
  <c r="AU584" i="13"/>
  <c r="H469" i="11"/>
  <c r="H468" i="11"/>
  <c r="AU583" i="13"/>
  <c r="AU582" i="13"/>
  <c r="H467" i="11"/>
  <c r="AU581" i="13"/>
  <c r="H466" i="11"/>
  <c r="AU580" i="13"/>
  <c r="H465" i="11"/>
  <c r="AU579" i="13"/>
  <c r="H464" i="11"/>
  <c r="AU578" i="13"/>
  <c r="H463" i="11"/>
  <c r="AU577" i="13"/>
  <c r="H462" i="11"/>
  <c r="AU576" i="13"/>
  <c r="H461" i="11"/>
  <c r="H460" i="11"/>
  <c r="AU575" i="13"/>
  <c r="BE794" i="13"/>
  <c r="S808" i="13"/>
  <c r="AU374" i="13"/>
  <c r="H459" i="11"/>
  <c r="AU574" i="13"/>
  <c r="Q588" i="13"/>
  <c r="G472" i="11"/>
  <c r="AP587" i="13"/>
  <c r="G471" i="11"/>
  <c r="AP586" i="13"/>
  <c r="G470" i="11"/>
  <c r="AP585" i="13"/>
  <c r="G469" i="11"/>
  <c r="AP584" i="13"/>
  <c r="G468" i="11"/>
  <c r="AP583" i="13"/>
  <c r="G467" i="11"/>
  <c r="AP582" i="13"/>
  <c r="G466" i="11"/>
  <c r="AP581" i="13"/>
  <c r="AP580" i="13"/>
  <c r="G465" i="11"/>
  <c r="G464" i="11"/>
  <c r="AP579" i="13"/>
  <c r="G463" i="11"/>
  <c r="AP578" i="13"/>
  <c r="G462" i="11"/>
  <c r="AP577" i="13"/>
  <c r="AP576" i="13"/>
  <c r="G461" i="11"/>
  <c r="G460" i="11"/>
  <c r="AP575" i="13"/>
  <c r="AZ794" i="13"/>
  <c r="R808" i="13"/>
  <c r="AP374" i="13"/>
  <c r="G459" i="11"/>
  <c r="P588" i="13"/>
  <c r="AP574" i="13"/>
  <c r="F472" i="11"/>
  <c r="AK587" i="13"/>
  <c r="AK586" i="13"/>
  <c r="F471" i="11"/>
  <c r="F470" i="11"/>
  <c r="AK585" i="13"/>
  <c r="AK584" i="13"/>
  <c r="F469" i="11"/>
  <c r="F468" i="11"/>
  <c r="AK583" i="13"/>
  <c r="F467" i="11"/>
  <c r="AK582" i="13"/>
  <c r="AK581" i="13"/>
  <c r="F466" i="11"/>
  <c r="AK580" i="13"/>
  <c r="F465" i="11"/>
  <c r="AK579" i="13"/>
  <c r="F464" i="11"/>
  <c r="F463" i="11"/>
  <c r="AK578" i="13"/>
  <c r="AK577" i="13"/>
  <c r="F462" i="11"/>
  <c r="AK576" i="13"/>
  <c r="F461" i="11"/>
  <c r="AK575" i="13"/>
  <c r="F460" i="11"/>
  <c r="AU794" i="13"/>
  <c r="Q808" i="13"/>
  <c r="AK374" i="13"/>
  <c r="F459" i="11"/>
  <c r="AK574" i="13"/>
  <c r="O588" i="13"/>
  <c r="AF587" i="13"/>
  <c r="E472" i="11"/>
  <c r="AF586" i="13"/>
  <c r="E471" i="11"/>
  <c r="E470" i="11"/>
  <c r="AF585" i="13"/>
  <c r="AF584" i="13"/>
  <c r="E469" i="11"/>
  <c r="E468" i="11"/>
  <c r="AF583" i="13"/>
  <c r="E467" i="11"/>
  <c r="AF582" i="13"/>
  <c r="E466" i="11"/>
  <c r="AF581" i="13"/>
  <c r="E465" i="11"/>
  <c r="AF580" i="13"/>
  <c r="AF579" i="13"/>
  <c r="E464" i="11"/>
  <c r="E463" i="11"/>
  <c r="AF578" i="13"/>
  <c r="AF577" i="13"/>
  <c r="E462" i="11"/>
  <c r="AF576" i="13"/>
  <c r="E461" i="11"/>
  <c r="AF575" i="13"/>
  <c r="E460" i="11"/>
  <c r="AP794" i="13"/>
  <c r="P808" i="13"/>
  <c r="AF374" i="13"/>
  <c r="E459" i="11"/>
  <c r="I516" i="11" s="1"/>
  <c r="N588" i="13"/>
  <c r="G2139" i="30" a="1"/>
  <c r="AF574" i="13"/>
  <c r="L472" i="11"/>
  <c r="L471" i="11"/>
  <c r="L470" i="11"/>
  <c r="L469" i="11"/>
  <c r="L468" i="11"/>
  <c r="L467" i="11"/>
  <c r="L466" i="11"/>
  <c r="L465" i="11"/>
  <c r="L464" i="11"/>
  <c r="L463" i="11"/>
  <c r="L462" i="11"/>
  <c r="L461" i="11"/>
  <c r="L460" i="11"/>
  <c r="L459" i="11"/>
  <c r="U588" i="13"/>
  <c r="U589" i="13" s="1"/>
  <c r="K472" i="11"/>
  <c r="K471" i="11"/>
  <c r="K470" i="11"/>
  <c r="K469" i="11"/>
  <c r="K468" i="11"/>
  <c r="K467" i="11"/>
  <c r="K466" i="11"/>
  <c r="K465" i="11"/>
  <c r="K464" i="11"/>
  <c r="K463" i="11"/>
  <c r="K462" i="11"/>
  <c r="K461" i="11"/>
  <c r="K460" i="11"/>
  <c r="I523" i="11" l="1"/>
  <c r="E45" i="13"/>
  <c r="I527" i="11"/>
  <c r="G2178" i="30" a="1"/>
  <c r="G2178" i="30" s="1"/>
  <c r="U2178" i="30" s="1"/>
  <c r="I517" i="11"/>
  <c r="I519" i="11"/>
  <c r="I521" i="11"/>
  <c r="I525" i="11"/>
  <c r="I526" i="11"/>
  <c r="I528" i="11"/>
  <c r="I522" i="11"/>
  <c r="I518" i="11"/>
  <c r="I520" i="11"/>
  <c r="I524" i="11"/>
  <c r="I529" i="11"/>
  <c r="T589" i="13"/>
  <c r="BJ589" i="13" s="1"/>
  <c r="BL589" i="13" s="1"/>
  <c r="BM589" i="13" s="1"/>
  <c r="BJ588" i="13"/>
  <c r="BL588" i="13" s="1"/>
  <c r="BM588" i="13" s="1"/>
  <c r="AF808" i="13"/>
  <c r="N809" i="13"/>
  <c r="AF809" i="13" s="1"/>
  <c r="S589" i="13"/>
  <c r="BE589" i="13" s="1"/>
  <c r="BE588" i="13"/>
  <c r="AF588" i="13"/>
  <c r="N589" i="13"/>
  <c r="AF589" i="13" s="1"/>
  <c r="L473" i="11"/>
  <c r="AU808" i="13"/>
  <c r="Q809" i="13"/>
  <c r="AU809" i="13" s="1"/>
  <c r="H473" i="11"/>
  <c r="T2706" i="30"/>
  <c r="P2704" i="30"/>
  <c r="L2702" i="30"/>
  <c r="H2700" i="30"/>
  <c r="Q2705" i="30"/>
  <c r="M2703" i="30"/>
  <c r="I2701" i="30"/>
  <c r="H2707" i="30"/>
  <c r="R2704" i="30"/>
  <c r="N2702" i="30"/>
  <c r="J2700" i="30"/>
  <c r="S2705" i="30"/>
  <c r="O2703" i="30"/>
  <c r="K2701" i="30"/>
  <c r="P2706" i="30"/>
  <c r="L2704" i="30"/>
  <c r="H2702" i="30"/>
  <c r="Q2707" i="30"/>
  <c r="M2705" i="30"/>
  <c r="I2703" i="30"/>
  <c r="S2700" i="30"/>
  <c r="R2706" i="30"/>
  <c r="N2704" i="30"/>
  <c r="J2702" i="30"/>
  <c r="S2707" i="30"/>
  <c r="O2705" i="30"/>
  <c r="K2703" i="30"/>
  <c r="G2701" i="30"/>
  <c r="L2706" i="30"/>
  <c r="H2704" i="30"/>
  <c r="R2701" i="30"/>
  <c r="M2707" i="30"/>
  <c r="I2705" i="30"/>
  <c r="S2702" i="30"/>
  <c r="O2700" i="30"/>
  <c r="N2706" i="30"/>
  <c r="J2704" i="30"/>
  <c r="T2701" i="30"/>
  <c r="O2707" i="30"/>
  <c r="K2705" i="30"/>
  <c r="G2703" i="30"/>
  <c r="Q2700" i="30"/>
  <c r="H2706" i="30"/>
  <c r="R2703" i="30"/>
  <c r="N2701" i="30"/>
  <c r="I2707" i="30"/>
  <c r="S2704" i="30"/>
  <c r="O2702" i="30"/>
  <c r="K2700" i="30"/>
  <c r="J2706" i="30"/>
  <c r="T2703" i="30"/>
  <c r="P2701" i="30"/>
  <c r="K2707" i="30"/>
  <c r="G2705" i="30"/>
  <c r="Q2702" i="30"/>
  <c r="M2700" i="30"/>
  <c r="R2705" i="30"/>
  <c r="N2703" i="30"/>
  <c r="J2701" i="30"/>
  <c r="S2706" i="30"/>
  <c r="O2704" i="30"/>
  <c r="K2702" i="30"/>
  <c r="G2700" i="30"/>
  <c r="T2705" i="30"/>
  <c r="P2703" i="30"/>
  <c r="L2701" i="30"/>
  <c r="G2707" i="30"/>
  <c r="Q2704" i="30"/>
  <c r="M2702" i="30"/>
  <c r="I2700" i="30"/>
  <c r="N2707" i="30"/>
  <c r="J2705" i="30"/>
  <c r="T2702" i="30"/>
  <c r="P2700" i="30"/>
  <c r="K2706" i="30"/>
  <c r="G2704" i="30"/>
  <c r="Q2701" i="30"/>
  <c r="P2707" i="30"/>
  <c r="L2705" i="30"/>
  <c r="H2703" i="30"/>
  <c r="R2700" i="30"/>
  <c r="M2706" i="30"/>
  <c r="I2704" i="30"/>
  <c r="S2701" i="30"/>
  <c r="J2703" i="30"/>
  <c r="G2702" i="30"/>
  <c r="H2701" i="30"/>
  <c r="P2702" i="30"/>
  <c r="M2701" i="30"/>
  <c r="N2700" i="30"/>
  <c r="L2700" i="30"/>
  <c r="L2707" i="30"/>
  <c r="I2706" i="30"/>
  <c r="R2707" i="30"/>
  <c r="O2706" i="30"/>
  <c r="P2705" i="30"/>
  <c r="M2704" i="30"/>
  <c r="J2707" i="30"/>
  <c r="G2706" i="30"/>
  <c r="H2705" i="30"/>
  <c r="S2703" i="30"/>
  <c r="N2705" i="30"/>
  <c r="K2704" i="30"/>
  <c r="L2703" i="30"/>
  <c r="I2702" i="30"/>
  <c r="T2700" i="30"/>
  <c r="Q2703" i="30"/>
  <c r="T2707" i="30"/>
  <c r="R2702" i="30"/>
  <c r="Q2706" i="30"/>
  <c r="O2701" i="30"/>
  <c r="T2704" i="30"/>
  <c r="J473" i="11"/>
  <c r="G428" i="30" a="1"/>
  <c r="E473" i="11"/>
  <c r="AP588" i="13"/>
  <c r="P589" i="13"/>
  <c r="AP589" i="13" s="1"/>
  <c r="O589" i="13"/>
  <c r="AK589" i="13" s="1"/>
  <c r="AK588" i="13"/>
  <c r="G473" i="11"/>
  <c r="AZ588" i="13"/>
  <c r="R589" i="13"/>
  <c r="AZ589" i="13" s="1"/>
  <c r="S809" i="13"/>
  <c r="BE809" i="13" s="1"/>
  <c r="BE808" i="13"/>
  <c r="I473" i="11"/>
  <c r="P809" i="13"/>
  <c r="AP809" i="13" s="1"/>
  <c r="AP808" i="13"/>
  <c r="R2145" i="30"/>
  <c r="N2143" i="30"/>
  <c r="J2141" i="30"/>
  <c r="S2146" i="30"/>
  <c r="O2144" i="30"/>
  <c r="K2142" i="30"/>
  <c r="G2140" i="30"/>
  <c r="P2145" i="30"/>
  <c r="L2143" i="30"/>
  <c r="H2141" i="30"/>
  <c r="M2146" i="30"/>
  <c r="G2145" i="30"/>
  <c r="O2143" i="30"/>
  <c r="G2141" i="30"/>
  <c r="N2145" i="30"/>
  <c r="J2143" i="30"/>
  <c r="T2140" i="30"/>
  <c r="O2146" i="30"/>
  <c r="K2144" i="30"/>
  <c r="G2142" i="30"/>
  <c r="Q2139" i="30"/>
  <c r="L2145" i="30"/>
  <c r="H2143" i="30"/>
  <c r="R2140" i="30"/>
  <c r="K2145" i="30"/>
  <c r="S2143" i="30"/>
  <c r="M2142" i="30"/>
  <c r="M2144" i="30"/>
  <c r="T2144" i="30"/>
  <c r="P2142" i="30"/>
  <c r="L2140" i="30"/>
  <c r="G2146" i="30"/>
  <c r="Q2143" i="30"/>
  <c r="M2141" i="30"/>
  <c r="I2139" i="30"/>
  <c r="R2144" i="30"/>
  <c r="N2142" i="30"/>
  <c r="J2140" i="30"/>
  <c r="G2143" i="30"/>
  <c r="O2141" i="30"/>
  <c r="I2140" i="30"/>
  <c r="K2143" i="30"/>
  <c r="L2146" i="30"/>
  <c r="H2144" i="30"/>
  <c r="R2141" i="30"/>
  <c r="N2139" i="30"/>
  <c r="I2145" i="30"/>
  <c r="S2142" i="30"/>
  <c r="O2140" i="30"/>
  <c r="J2146" i="30"/>
  <c r="T2143" i="30"/>
  <c r="P2141" i="30"/>
  <c r="L2139" i="30"/>
  <c r="O2139" i="30"/>
  <c r="S2145" i="30"/>
  <c r="I2142" i="30"/>
  <c r="J2145" i="30"/>
  <c r="P2140" i="30"/>
  <c r="G2144" i="30"/>
  <c r="M2139" i="30"/>
  <c r="R2142" i="30"/>
  <c r="I2144" i="30"/>
  <c r="K2141" i="30"/>
  <c r="L2142" i="30"/>
  <c r="I2141" i="30"/>
  <c r="T2139" i="30"/>
  <c r="P2144" i="30"/>
  <c r="H2140" i="30"/>
  <c r="M2143" i="30"/>
  <c r="R2146" i="30"/>
  <c r="J2142" i="30"/>
  <c r="S2141" i="30"/>
  <c r="G2139" i="30"/>
  <c r="L2144" i="30"/>
  <c r="R2139" i="30"/>
  <c r="I2143" i="30"/>
  <c r="N2146" i="30"/>
  <c r="T2141" i="30"/>
  <c r="Q2140" i="30"/>
  <c r="Q2146" i="30"/>
  <c r="T2142" i="30"/>
  <c r="R2143" i="30"/>
  <c r="J2139" i="30"/>
  <c r="O2142" i="30"/>
  <c r="T2145" i="30"/>
  <c r="L2141" i="30"/>
  <c r="I2146" i="30"/>
  <c r="O2145" i="30"/>
  <c r="K2146" i="30"/>
  <c r="Q2141" i="30"/>
  <c r="H2145" i="30"/>
  <c r="N2140" i="30"/>
  <c r="Q2142" i="30"/>
  <c r="S2139" i="30"/>
  <c r="T2146" i="30"/>
  <c r="Q2145" i="30"/>
  <c r="N2144" i="30"/>
  <c r="M2140" i="30"/>
  <c r="P2146" i="30"/>
  <c r="H2142" i="30"/>
  <c r="M2145" i="30"/>
  <c r="S2140" i="30"/>
  <c r="J2144" i="30"/>
  <c r="P2139" i="30"/>
  <c r="K2139" i="30"/>
  <c r="H2146" i="30"/>
  <c r="N2141" i="30"/>
  <c r="S2144" i="30"/>
  <c r="K2140" i="30"/>
  <c r="P2143" i="30"/>
  <c r="H2139" i="30"/>
  <c r="Q2144" i="30"/>
  <c r="F473" i="11"/>
  <c r="AZ808" i="13"/>
  <c r="R809" i="13"/>
  <c r="AZ809" i="13" s="1"/>
  <c r="AU588" i="13"/>
  <c r="Q589" i="13"/>
  <c r="AU589" i="13" s="1"/>
  <c r="O809" i="13"/>
  <c r="AK809" i="13" s="1"/>
  <c r="AK808" i="13"/>
  <c r="K473" i="11"/>
  <c r="S410" i="32" l="1"/>
  <c r="I38" i="31" s="1"/>
  <c r="S409" i="32"/>
  <c r="H38" i="31" s="1"/>
  <c r="U2179" i="30"/>
  <c r="U2180" i="30" s="1"/>
  <c r="U2181" i="30" s="1"/>
  <c r="I530" i="11"/>
  <c r="E536" i="11" s="1"/>
  <c r="U2142" i="30"/>
  <c r="P407" i="32" s="1"/>
  <c r="U2145" i="30"/>
  <c r="S407" i="32" s="1"/>
  <c r="U2704" i="30"/>
  <c r="Q484" i="32" s="1"/>
  <c r="U2701" i="30"/>
  <c r="N484" i="32" s="1"/>
  <c r="B21" i="27"/>
  <c r="P44" i="13"/>
  <c r="U2144" i="30"/>
  <c r="R407" i="32" s="1"/>
  <c r="U2706" i="30"/>
  <c r="S484" i="32" s="1"/>
  <c r="U2707" i="30"/>
  <c r="T484" i="32" s="1"/>
  <c r="O435" i="30"/>
  <c r="K433" i="30"/>
  <c r="G431" i="30"/>
  <c r="Q428" i="30"/>
  <c r="L434" i="30"/>
  <c r="H432" i="30"/>
  <c r="R429" i="30"/>
  <c r="M435" i="30"/>
  <c r="I433" i="30"/>
  <c r="S430" i="30"/>
  <c r="O428" i="30"/>
  <c r="L429" i="30"/>
  <c r="H429" i="30"/>
  <c r="L435" i="30"/>
  <c r="S435" i="30"/>
  <c r="G429" i="30"/>
  <c r="H430" i="30"/>
  <c r="M433" i="30"/>
  <c r="N430" i="30"/>
  <c r="R428" i="30"/>
  <c r="K435" i="30"/>
  <c r="G433" i="30"/>
  <c r="Q430" i="30"/>
  <c r="M428" i="30"/>
  <c r="H434" i="30"/>
  <c r="R431" i="30"/>
  <c r="N429" i="30"/>
  <c r="I435" i="30"/>
  <c r="S432" i="30"/>
  <c r="O430" i="30"/>
  <c r="K428" i="30"/>
  <c r="J428" i="30"/>
  <c r="P435" i="30"/>
  <c r="J434" i="30"/>
  <c r="G435" i="30"/>
  <c r="Q432" i="30"/>
  <c r="M430" i="30"/>
  <c r="I428" i="30"/>
  <c r="R433" i="30"/>
  <c r="N431" i="30"/>
  <c r="J429" i="30"/>
  <c r="S434" i="30"/>
  <c r="O432" i="30"/>
  <c r="K430" i="30"/>
  <c r="G428" i="30"/>
  <c r="T435" i="30"/>
  <c r="N434" i="30"/>
  <c r="H433" i="30"/>
  <c r="O431" i="30"/>
  <c r="K429" i="30"/>
  <c r="T434" i="30"/>
  <c r="P432" i="30"/>
  <c r="L430" i="30"/>
  <c r="Q433" i="30"/>
  <c r="M431" i="30"/>
  <c r="I429" i="30"/>
  <c r="P431" i="30"/>
  <c r="T429" i="30"/>
  <c r="N428" i="30"/>
  <c r="Q434" i="30"/>
  <c r="M432" i="30"/>
  <c r="I430" i="30"/>
  <c r="R435" i="30"/>
  <c r="N433" i="30"/>
  <c r="J431" i="30"/>
  <c r="T428" i="30"/>
  <c r="O434" i="30"/>
  <c r="K432" i="30"/>
  <c r="G430" i="30"/>
  <c r="H435" i="30"/>
  <c r="R434" i="30"/>
  <c r="L433" i="30"/>
  <c r="T431" i="30"/>
  <c r="M434" i="30"/>
  <c r="I432" i="30"/>
  <c r="S429" i="30"/>
  <c r="N435" i="30"/>
  <c r="J433" i="30"/>
  <c r="T430" i="30"/>
  <c r="P428" i="30"/>
  <c r="K434" i="30"/>
  <c r="G432" i="30"/>
  <c r="Q429" i="30"/>
  <c r="T433" i="30"/>
  <c r="P433" i="30"/>
  <c r="J432" i="30"/>
  <c r="R430" i="30"/>
  <c r="O433" i="30"/>
  <c r="K431" i="30"/>
  <c r="P434" i="30"/>
  <c r="L432" i="30"/>
  <c r="Q435" i="30"/>
  <c r="I431" i="30"/>
  <c r="S428" i="30"/>
  <c r="J430" i="30"/>
  <c r="I434" i="30"/>
  <c r="S431" i="30"/>
  <c r="O429" i="30"/>
  <c r="J435" i="30"/>
  <c r="T432" i="30"/>
  <c r="P430" i="30"/>
  <c r="L428" i="30"/>
  <c r="G434" i="30"/>
  <c r="Q431" i="30"/>
  <c r="M429" i="30"/>
  <c r="R432" i="30"/>
  <c r="N432" i="30"/>
  <c r="H431" i="30"/>
  <c r="P429" i="30"/>
  <c r="S433" i="30"/>
  <c r="H428" i="30"/>
  <c r="L431" i="30"/>
  <c r="U2139" i="30"/>
  <c r="M407" i="32" s="1"/>
  <c r="P20" i="13"/>
  <c r="U2703" i="30"/>
  <c r="P484" i="32" s="1"/>
  <c r="U2146" i="30"/>
  <c r="T407" i="32" s="1"/>
  <c r="U2143" i="30"/>
  <c r="Q407" i="32" s="1"/>
  <c r="U2140" i="30"/>
  <c r="N407" i="32" s="1"/>
  <c r="U2700" i="30"/>
  <c r="M484" i="32" s="1"/>
  <c r="U2141" i="30"/>
  <c r="O407" i="32" s="1"/>
  <c r="U2702" i="30"/>
  <c r="O484" i="32" s="1"/>
  <c r="U2705" i="30"/>
  <c r="R484" i="32" s="1"/>
  <c r="BJ381" i="13"/>
  <c r="BL381" i="13" l="1"/>
  <c r="BM381" i="13" s="1"/>
  <c r="BJ386" i="13"/>
  <c r="BL386" i="13" s="1"/>
  <c r="BM386" i="13" s="1"/>
  <c r="U434" i="30"/>
  <c r="J84" i="32" s="1"/>
  <c r="AZ386" i="13"/>
  <c r="T388" i="13"/>
  <c r="U388" i="13"/>
  <c r="U389" i="13" s="1"/>
  <c r="BE386" i="13"/>
  <c r="AP381" i="13"/>
  <c r="P388" i="13"/>
  <c r="AU381" i="13"/>
  <c r="Q388" i="13"/>
  <c r="AK386" i="13"/>
  <c r="O388" i="13"/>
  <c r="AF381" i="13"/>
  <c r="N388" i="13"/>
  <c r="G1630" i="30" a="1"/>
  <c r="AZ381" i="13"/>
  <c r="R388" i="13"/>
  <c r="AP386" i="13"/>
  <c r="AF386" i="13"/>
  <c r="BE381" i="13"/>
  <c r="S388" i="13"/>
  <c r="AU386" i="13"/>
  <c r="U433" i="30"/>
  <c r="I84" i="32" s="1"/>
  <c r="U430" i="30"/>
  <c r="F84" i="32" s="1"/>
  <c r="U428" i="30"/>
  <c r="D84" i="32" s="1"/>
  <c r="U435" i="30"/>
  <c r="K84" i="32" s="1"/>
  <c r="U431" i="30"/>
  <c r="G84" i="32" s="1"/>
  <c r="U432" i="30"/>
  <c r="H84" i="32" s="1"/>
  <c r="U429" i="30"/>
  <c r="E84" i="32" s="1"/>
  <c r="G1669" i="30" l="1" a="1"/>
  <c r="T389" i="13"/>
  <c r="BJ389" i="13" s="1"/>
  <c r="BL389" i="13" s="1"/>
  <c r="BM389" i="13" s="1"/>
  <c r="BJ388" i="13"/>
  <c r="BL388" i="13" s="1"/>
  <c r="BM388" i="13" s="1"/>
  <c r="BE388" i="13"/>
  <c r="S389" i="13"/>
  <c r="BE389" i="13" s="1"/>
  <c r="R389" i="13"/>
  <c r="AZ389" i="13" s="1"/>
  <c r="AZ388" i="13"/>
  <c r="Q389" i="13"/>
  <c r="AU389" i="13" s="1"/>
  <c r="AU388" i="13"/>
  <c r="R1633" i="30"/>
  <c r="L1633" i="30"/>
  <c r="S1636" i="30"/>
  <c r="M1634" i="30"/>
  <c r="G1632" i="30"/>
  <c r="N1637" i="30"/>
  <c r="H1635" i="30"/>
  <c r="P1632" i="30"/>
  <c r="H1631" i="30"/>
  <c r="Q1637" i="30"/>
  <c r="P1634" i="30"/>
  <c r="R1631" i="30"/>
  <c r="T1636" i="30"/>
  <c r="L1632" i="30"/>
  <c r="N1631" i="30"/>
  <c r="G1637" i="30"/>
  <c r="O1634" i="30"/>
  <c r="I1632" i="30"/>
  <c r="P1637" i="30"/>
  <c r="J1635" i="30"/>
  <c r="P1633" i="30"/>
  <c r="L1630" i="30"/>
  <c r="S1637" i="30"/>
  <c r="M1635" i="30"/>
  <c r="M1633" i="30"/>
  <c r="O1630" i="30"/>
  <c r="Q1635" i="30"/>
  <c r="I1635" i="30"/>
  <c r="I1637" i="30"/>
  <c r="Q1634" i="30"/>
  <c r="K1632" i="30"/>
  <c r="R1637" i="30"/>
  <c r="J1636" i="30"/>
  <c r="T1632" i="30"/>
  <c r="P1635" i="30"/>
  <c r="G1636" i="30"/>
  <c r="O1635" i="30"/>
  <c r="I1633" i="30"/>
  <c r="L1631" i="30"/>
  <c r="K1631" i="30"/>
  <c r="R1632" i="30"/>
  <c r="I1631" i="30"/>
  <c r="K1637" i="30"/>
  <c r="S1634" i="30"/>
  <c r="M1632" i="30"/>
  <c r="G1630" i="30"/>
  <c r="N1635" i="30"/>
  <c r="R1634" i="30"/>
  <c r="P1630" i="30"/>
  <c r="I1636" i="30"/>
  <c r="Q1633" i="30"/>
  <c r="K1633" i="30"/>
  <c r="S1630" i="30"/>
  <c r="K1635" i="30"/>
  <c r="H1630" i="30"/>
  <c r="N1630" i="30"/>
  <c r="G1635" i="30"/>
  <c r="O1632" i="30"/>
  <c r="I1630" i="30"/>
  <c r="L1637" i="30"/>
  <c r="J1633" i="30"/>
  <c r="J1632" i="30"/>
  <c r="K1636" i="30"/>
  <c r="S1633" i="30"/>
  <c r="M1631" i="30"/>
  <c r="G1631" i="30"/>
  <c r="H1633" i="30"/>
  <c r="H1634" i="30"/>
  <c r="J1634" i="30"/>
  <c r="N1634" i="30"/>
  <c r="Q1632" i="30"/>
  <c r="K1630" i="30"/>
  <c r="R1635" i="30"/>
  <c r="T1635" i="30"/>
  <c r="T1630" i="30"/>
  <c r="M1636" i="30"/>
  <c r="G1634" i="30"/>
  <c r="O1631" i="30"/>
  <c r="L1635" i="30"/>
  <c r="P1636" i="30"/>
  <c r="P1631" i="30"/>
  <c r="S1632" i="30"/>
  <c r="Q1630" i="30"/>
  <c r="O1637" i="30"/>
  <c r="M1630" i="30"/>
  <c r="R1630" i="30"/>
  <c r="N1633" i="30"/>
  <c r="R1636" i="30"/>
  <c r="O1636" i="30"/>
  <c r="I1634" i="30"/>
  <c r="Q1631" i="30"/>
  <c r="J1637" i="30"/>
  <c r="T1633" i="30"/>
  <c r="L1634" i="30"/>
  <c r="J1630" i="30"/>
  <c r="T1637" i="30"/>
  <c r="M1637" i="30"/>
  <c r="O1633" i="30"/>
  <c r="H1636" i="30"/>
  <c r="H1637" i="30"/>
  <c r="J1631" i="30"/>
  <c r="Q1636" i="30"/>
  <c r="K1634" i="30"/>
  <c r="S1631" i="30"/>
  <c r="N1636" i="30"/>
  <c r="T1634" i="30"/>
  <c r="N1632" i="30"/>
  <c r="H1632" i="30"/>
  <c r="S1635" i="30"/>
  <c r="G1633" i="30"/>
  <c r="T1631" i="30"/>
  <c r="L1636" i="30"/>
  <c r="N389" i="13"/>
  <c r="AF389" i="13" s="1"/>
  <c r="AF388" i="13"/>
  <c r="P389" i="13"/>
  <c r="AP389" i="13" s="1"/>
  <c r="AP388" i="13"/>
  <c r="O389" i="13"/>
  <c r="AK389" i="13" s="1"/>
  <c r="AK388" i="13"/>
  <c r="G1669" i="30" l="1"/>
  <c r="U1669" i="30" s="1"/>
  <c r="U1670" i="30"/>
  <c r="S340" i="32"/>
  <c r="I28" i="31" s="1"/>
  <c r="S339" i="32"/>
  <c r="H28" i="31" s="1"/>
  <c r="U1633" i="30"/>
  <c r="P337" i="32" s="1"/>
  <c r="U1630" i="30"/>
  <c r="M337" i="32" s="1"/>
  <c r="U1634" i="30"/>
  <c r="Q337" i="32" s="1"/>
  <c r="U1632" i="30"/>
  <c r="O337" i="32" s="1"/>
  <c r="U1636" i="30"/>
  <c r="S337" i="32" s="1"/>
  <c r="U1631" i="30"/>
  <c r="N337" i="32" s="1"/>
  <c r="U1635" i="30"/>
  <c r="R337" i="32" s="1"/>
  <c r="U1637" i="30"/>
  <c r="T337" i="32" s="1"/>
  <c r="U1671" i="30" l="1"/>
  <c r="U1672" i="30" s="1"/>
  <c r="D25" i="25" l="1"/>
  <c r="H24" i="25" l="1"/>
  <c r="H23" i="25"/>
  <c r="H22" i="25"/>
  <c r="H21" i="25"/>
  <c r="H20" i="25"/>
  <c r="H19" i="25"/>
  <c r="H18" i="25"/>
  <c r="H17" i="25"/>
  <c r="H16" i="25"/>
  <c r="H15" i="25"/>
  <c r="H14" i="25"/>
  <c r="H13" i="25"/>
  <c r="H12" i="25"/>
  <c r="F25" i="25" l="1"/>
  <c r="E25" i="25"/>
  <c r="H25" i="25" s="1"/>
  <c r="H11" i="25"/>
  <c r="G473" i="30" a="1"/>
  <c r="H477" i="30" l="1"/>
  <c r="P474" i="30"/>
  <c r="Q473" i="30"/>
  <c r="O475" i="30"/>
  <c r="L474" i="30"/>
  <c r="R479" i="30"/>
  <c r="G479" i="30"/>
  <c r="P477" i="30"/>
  <c r="N476" i="30"/>
  <c r="O473" i="30"/>
  <c r="I475" i="30"/>
  <c r="K475" i="30"/>
  <c r="P478" i="30"/>
  <c r="P479" i="30"/>
  <c r="N478" i="30"/>
  <c r="I477" i="30"/>
  <c r="R474" i="30"/>
  <c r="J476" i="30"/>
  <c r="G474" i="30"/>
  <c r="H476" i="30"/>
  <c r="M473" i="30"/>
  <c r="K477" i="30"/>
  <c r="J474" i="30"/>
  <c r="T473" i="30"/>
  <c r="P476" i="30"/>
  <c r="H479" i="30"/>
  <c r="P473" i="30"/>
  <c r="M474" i="30"/>
  <c r="M477" i="30"/>
  <c r="H478" i="30"/>
  <c r="M478" i="30"/>
  <c r="L476" i="30"/>
  <c r="J479" i="30"/>
  <c r="N479" i="30"/>
  <c r="H474" i="30"/>
  <c r="G477" i="30"/>
  <c r="L478" i="30"/>
  <c r="H475" i="30"/>
  <c r="R477" i="30"/>
  <c r="R475" i="30"/>
  <c r="T474" i="30"/>
  <c r="I479" i="30"/>
  <c r="S475" i="30"/>
  <c r="R476" i="30"/>
  <c r="K474" i="30"/>
  <c r="S478" i="30"/>
  <c r="H473" i="30"/>
  <c r="J478" i="30"/>
  <c r="S476" i="30"/>
  <c r="S474" i="30"/>
  <c r="J93" i="32" s="1"/>
  <c r="R473" i="30"/>
  <c r="Q478" i="30"/>
  <c r="G473" i="30"/>
  <c r="T475" i="30"/>
  <c r="R478" i="30"/>
  <c r="J473" i="30"/>
  <c r="N475" i="30"/>
  <c r="O479" i="30"/>
  <c r="O478" i="30"/>
  <c r="K473" i="30"/>
  <c r="M475" i="30"/>
  <c r="S477" i="30"/>
  <c r="J96" i="32" s="1"/>
  <c r="S473" i="30"/>
  <c r="O476" i="30"/>
  <c r="G475" i="30"/>
  <c r="L475" i="30"/>
  <c r="Q476" i="30"/>
  <c r="K478" i="30"/>
  <c r="M476" i="30"/>
  <c r="Q474" i="30"/>
  <c r="L473" i="30"/>
  <c r="T478" i="30"/>
  <c r="T477" i="30"/>
  <c r="N477" i="30"/>
  <c r="O474" i="30"/>
  <c r="J475" i="30"/>
  <c r="Q477" i="30"/>
  <c r="I474" i="30"/>
  <c r="I476" i="30"/>
  <c r="T479" i="30"/>
  <c r="Q479" i="30"/>
  <c r="O477" i="30"/>
  <c r="I478" i="30"/>
  <c r="N473" i="30"/>
  <c r="P475" i="30"/>
  <c r="L479" i="30"/>
  <c r="L477" i="30"/>
  <c r="S479" i="30"/>
  <c r="J98" i="32" s="1"/>
  <c r="T476" i="30"/>
  <c r="M479" i="30"/>
  <c r="K476" i="30"/>
  <c r="N474" i="30"/>
  <c r="G478" i="30"/>
  <c r="G476" i="30"/>
  <c r="K479" i="30"/>
  <c r="J477" i="30"/>
  <c r="Q475" i="30"/>
  <c r="I473" i="30"/>
  <c r="G25" i="25"/>
  <c r="J25" i="25" s="1"/>
  <c r="J92" i="32" l="1"/>
  <c r="J97" i="32"/>
  <c r="J94" i="32"/>
  <c r="J95" i="32"/>
  <c r="U476" i="30"/>
  <c r="I95" i="32" s="1"/>
  <c r="U478" i="30"/>
  <c r="U473" i="30"/>
  <c r="I92" i="32" s="1"/>
  <c r="U477" i="30"/>
  <c r="I96" i="32" s="1"/>
  <c r="U474" i="30"/>
  <c r="I93" i="32" s="1"/>
  <c r="U475" i="30"/>
  <c r="I94" i="32" s="1"/>
  <c r="I97" i="32" l="1"/>
  <c r="U479" i="30"/>
  <c r="I98" i="32" s="1"/>
  <c r="I1023" i="30" l="1"/>
  <c r="S1023" i="30"/>
  <c r="O1023" i="30"/>
  <c r="K1023" i="30"/>
  <c r="R1023" i="30"/>
  <c r="J1023" i="30"/>
  <c r="P1023" i="30"/>
  <c r="H1023" i="30"/>
  <c r="Q1023" i="30"/>
  <c r="L1023" i="30"/>
  <c r="N1023" i="30"/>
  <c r="M1023" i="30"/>
  <c r="T1023" i="30"/>
  <c r="G1023" i="30"/>
  <c r="U1023" i="30" l="1"/>
  <c r="K234" i="32" s="1"/>
  <c r="E151" i="26" a="1"/>
  <c r="E151" i="26" s="1"/>
  <c r="E148" i="26" a="1"/>
  <c r="E148" i="26" s="1"/>
  <c r="E150" i="26" a="1"/>
  <c r="E150" i="26" s="1"/>
  <c r="E149" i="26" a="1"/>
  <c r="E149" i="26" s="1"/>
  <c r="E152" i="26" a="1"/>
  <c r="E152" i="26" s="1"/>
  <c r="E9" i="26"/>
  <c r="E10" i="26"/>
  <c r="E13" i="26"/>
  <c r="E16" i="26"/>
  <c r="E11" i="26"/>
  <c r="E7" i="26"/>
  <c r="E18" i="26"/>
  <c r="E14" i="26"/>
  <c r="E6" i="26"/>
  <c r="E8" i="26"/>
  <c r="E17" i="26"/>
  <c r="E15" i="26"/>
  <c r="E12" i="26"/>
  <c r="E28" i="26" l="1"/>
  <c r="E27" i="26"/>
  <c r="E29" i="26"/>
  <c r="E147" i="26"/>
  <c r="E153" i="26" s="1"/>
  <c r="E142" i="26"/>
  <c r="E24" i="13" s="1"/>
  <c r="E5" i="26"/>
  <c r="E26" i="26"/>
  <c r="E25" i="26"/>
  <c r="E19" i="26" l="1"/>
  <c r="E24" i="26"/>
  <c r="E30" i="26" s="1"/>
  <c r="K1024" i="30" l="1"/>
  <c r="I101" i="26"/>
  <c r="G1024" i="30"/>
  <c r="H1024" i="30"/>
  <c r="F101" i="26"/>
  <c r="R1024" i="30"/>
  <c r="P101" i="26"/>
  <c r="M1024" i="30"/>
  <c r="K101" i="26"/>
  <c r="S1024" i="30"/>
  <c r="Q101" i="26"/>
  <c r="N1024" i="30"/>
  <c r="L101" i="26"/>
  <c r="I1024" i="30"/>
  <c r="G101" i="26"/>
  <c r="L1024" i="30"/>
  <c r="J101" i="26"/>
  <c r="J1024" i="30"/>
  <c r="H101" i="26"/>
  <c r="P1024" i="30"/>
  <c r="N101" i="26"/>
  <c r="Q1024" i="30"/>
  <c r="O101" i="26"/>
  <c r="O1024" i="30"/>
  <c r="M101" i="26"/>
  <c r="T1024" i="30"/>
  <c r="R101" i="26"/>
  <c r="O1025" i="30" l="1"/>
  <c r="M103" i="26"/>
  <c r="O1027" i="30" s="1"/>
  <c r="M1025" i="30"/>
  <c r="K103" i="26"/>
  <c r="M1027" i="30" s="1"/>
  <c r="G1025" i="30"/>
  <c r="E103" i="26"/>
  <c r="G1027" i="30" s="1"/>
  <c r="J1025" i="30"/>
  <c r="H103" i="26"/>
  <c r="J1027" i="30" s="1"/>
  <c r="N1025" i="30"/>
  <c r="L103" i="26"/>
  <c r="N1027" i="30" s="1"/>
  <c r="H1025" i="30"/>
  <c r="F103" i="26"/>
  <c r="H1027" i="30" s="1"/>
  <c r="Q1025" i="30"/>
  <c r="O103" i="26"/>
  <c r="Q1027" i="30" s="1"/>
  <c r="R1025" i="30"/>
  <c r="P103" i="26"/>
  <c r="R1027" i="30" s="1"/>
  <c r="I1025" i="30"/>
  <c r="G103" i="26"/>
  <c r="I1027" i="30" s="1"/>
  <c r="T1025" i="30"/>
  <c r="R103" i="26"/>
  <c r="T1027" i="30" s="1"/>
  <c r="S1025" i="30"/>
  <c r="Q103" i="26"/>
  <c r="S1027" i="30" s="1"/>
  <c r="F150" i="26" a="1"/>
  <c r="F150" i="26" s="1"/>
  <c r="G150" i="26" s="1"/>
  <c r="H150" i="26" s="1"/>
  <c r="F148" i="26" a="1"/>
  <c r="F148" i="26" s="1"/>
  <c r="G148" i="26" s="1"/>
  <c r="H148" i="26" s="1"/>
  <c r="F152" i="26" a="1"/>
  <c r="F152" i="26" s="1"/>
  <c r="G152" i="26" s="1"/>
  <c r="H152" i="26" s="1"/>
  <c r="F149" i="26" a="1"/>
  <c r="F149" i="26" s="1"/>
  <c r="G149" i="26" s="1"/>
  <c r="H149" i="26" s="1"/>
  <c r="F151" i="26" a="1"/>
  <c r="F151" i="26" s="1"/>
  <c r="G151" i="26" s="1"/>
  <c r="H151" i="26" s="1"/>
  <c r="F17" i="26"/>
  <c r="F6" i="26"/>
  <c r="F11" i="26"/>
  <c r="G11" i="26" s="1"/>
  <c r="G138" i="26"/>
  <c r="H138" i="26" s="1"/>
  <c r="F15" i="26"/>
  <c r="G137" i="26"/>
  <c r="H137" i="26" s="1"/>
  <c r="F16" i="26"/>
  <c r="G16" i="26" s="1"/>
  <c r="F8" i="26"/>
  <c r="F14" i="26"/>
  <c r="G14" i="26" s="1"/>
  <c r="G133" i="26"/>
  <c r="H133" i="26" s="1"/>
  <c r="F10" i="26"/>
  <c r="G10" i="26" s="1"/>
  <c r="F13" i="26"/>
  <c r="G13" i="26" s="1"/>
  <c r="G141" i="26"/>
  <c r="H141" i="26" s="1"/>
  <c r="F18" i="26"/>
  <c r="G18" i="26" s="1"/>
  <c r="G132" i="26"/>
  <c r="H132" i="26" s="1"/>
  <c r="F7" i="26"/>
  <c r="G7" i="26" s="1"/>
  <c r="F37" i="26" s="1"/>
  <c r="G135" i="26"/>
  <c r="H135" i="26" s="1"/>
  <c r="F12" i="26"/>
  <c r="G131" i="26"/>
  <c r="H131" i="26" s="1"/>
  <c r="F9" i="26"/>
  <c r="G9" i="26" s="1"/>
  <c r="G136" i="26"/>
  <c r="H136" i="26" s="1"/>
  <c r="G130" i="26"/>
  <c r="H130" i="26" s="1"/>
  <c r="G139" i="26"/>
  <c r="H139" i="26" s="1"/>
  <c r="G134" i="26"/>
  <c r="H134" i="26" s="1"/>
  <c r="G140" i="26"/>
  <c r="H140" i="26" s="1"/>
  <c r="G129" i="26"/>
  <c r="H129" i="26" s="1"/>
  <c r="K1025" i="30"/>
  <c r="I103" i="26"/>
  <c r="K1027" i="30" s="1"/>
  <c r="L1025" i="30"/>
  <c r="J103" i="26"/>
  <c r="L1027" i="30" s="1"/>
  <c r="P1025" i="30"/>
  <c r="N103" i="26"/>
  <c r="P1027" i="30" s="1"/>
  <c r="U1024" i="30"/>
  <c r="K235" i="32" s="1"/>
  <c r="H18" i="26" l="1"/>
  <c r="F48" i="26"/>
  <c r="F28" i="26"/>
  <c r="G28" i="26" s="1"/>
  <c r="H28" i="26" s="1"/>
  <c r="G15" i="26"/>
  <c r="U1027" i="30"/>
  <c r="K238" i="32" s="1"/>
  <c r="H9" i="26"/>
  <c r="F39" i="26"/>
  <c r="F43" i="26"/>
  <c r="H13" i="26"/>
  <c r="F40" i="26"/>
  <c r="H10" i="26"/>
  <c r="H11" i="26"/>
  <c r="F41" i="26"/>
  <c r="F147" i="26"/>
  <c r="F142" i="26"/>
  <c r="F5" i="26"/>
  <c r="G128" i="26"/>
  <c r="H128" i="26" s="1"/>
  <c r="F27" i="26"/>
  <c r="G27" i="26" s="1"/>
  <c r="H27" i="26" s="1"/>
  <c r="G12" i="26"/>
  <c r="F25" i="26"/>
  <c r="G25" i="26" s="1"/>
  <c r="H25" i="26" s="1"/>
  <c r="G6" i="26"/>
  <c r="U1025" i="30"/>
  <c r="K236" i="32" s="1"/>
  <c r="H14" i="26"/>
  <c r="F44" i="26"/>
  <c r="F29" i="26"/>
  <c r="G29" i="26" s="1"/>
  <c r="H29" i="26" s="1"/>
  <c r="G17" i="26"/>
  <c r="H7" i="26"/>
  <c r="F26" i="26"/>
  <c r="G26" i="26" s="1"/>
  <c r="H26" i="26" s="1"/>
  <c r="G8" i="26"/>
  <c r="F46" i="26"/>
  <c r="H16" i="26"/>
  <c r="H37" i="26" l="1"/>
  <c r="G37" i="26"/>
  <c r="G40" i="26"/>
  <c r="H40" i="26"/>
  <c r="F45" i="26"/>
  <c r="H15" i="26"/>
  <c r="G48" i="26"/>
  <c r="H48" i="26"/>
  <c r="F36" i="26"/>
  <c r="H6" i="26"/>
  <c r="G44" i="26"/>
  <c r="H44" i="26"/>
  <c r="G24" i="13"/>
  <c r="G142" i="26"/>
  <c r="H142" i="26" s="1"/>
  <c r="H39" i="26"/>
  <c r="G39" i="26"/>
  <c r="G46" i="26"/>
  <c r="H46" i="26"/>
  <c r="F153" i="26"/>
  <c r="G153" i="26" s="1"/>
  <c r="H153" i="26" s="1"/>
  <c r="G147" i="26"/>
  <c r="H147" i="26" s="1"/>
  <c r="G41" i="26"/>
  <c r="H41" i="26"/>
  <c r="F47" i="26"/>
  <c r="H17" i="26"/>
  <c r="F24" i="26"/>
  <c r="F19" i="26"/>
  <c r="G5" i="26"/>
  <c r="H43" i="26"/>
  <c r="G43" i="26"/>
  <c r="F42" i="26"/>
  <c r="H12" i="26"/>
  <c r="F38" i="26"/>
  <c r="H8" i="26"/>
  <c r="G38" i="26" l="1"/>
  <c r="H38" i="26"/>
  <c r="G47" i="26"/>
  <c r="H47" i="26"/>
  <c r="H42" i="26"/>
  <c r="G42" i="26"/>
  <c r="H5" i="26"/>
  <c r="F35" i="26"/>
  <c r="G19" i="26"/>
  <c r="H19" i="26" s="1"/>
  <c r="G45" i="26"/>
  <c r="H45" i="26"/>
  <c r="G36" i="26"/>
  <c r="H36" i="26"/>
  <c r="F30" i="26"/>
  <c r="G30" i="26" s="1"/>
  <c r="H30" i="26" s="1"/>
  <c r="G24" i="26"/>
  <c r="H24" i="26" s="1"/>
  <c r="H35" i="26" l="1"/>
  <c r="H49" i="26" s="1"/>
  <c r="G35" i="26"/>
  <c r="G49" i="26" s="1"/>
  <c r="F49" i="26"/>
  <c r="G1039" i="30" l="1" a="1"/>
  <c r="G1039" i="30" s="1"/>
  <c r="U1039" i="30" l="1"/>
  <c r="L241" i="32"/>
  <c r="H11" i="31" s="1"/>
  <c r="G1038" i="30" a="1"/>
  <c r="N1038" i="30" l="1"/>
  <c r="K1038" i="30"/>
  <c r="S1038" i="30"/>
  <c r="Q1038" i="30"/>
  <c r="L1038" i="30"/>
  <c r="T1038" i="30"/>
  <c r="P1038" i="30"/>
  <c r="R1038" i="30"/>
  <c r="O1038" i="30"/>
  <c r="G1038" i="30"/>
  <c r="M1038" i="30"/>
  <c r="J1038" i="30"/>
  <c r="H1038" i="30"/>
  <c r="I1038" i="30"/>
  <c r="U1038" i="30" l="1"/>
  <c r="K241" i="32"/>
  <c r="G1033" i="30" l="1" a="1"/>
  <c r="S1036" i="30" s="1"/>
  <c r="P1037" i="30" l="1"/>
  <c r="M1033" i="30"/>
  <c r="O1035" i="30"/>
  <c r="I1034" i="30"/>
  <c r="I1037" i="30"/>
  <c r="H1033" i="30"/>
  <c r="K1034" i="30"/>
  <c r="L1033" i="30"/>
  <c r="G1036" i="30"/>
  <c r="H1037" i="30"/>
  <c r="M1034" i="30"/>
  <c r="K1036" i="30"/>
  <c r="J1036" i="30"/>
  <c r="T1033" i="30"/>
  <c r="H1034" i="30"/>
  <c r="S1033" i="30"/>
  <c r="R1033" i="30"/>
  <c r="N1034" i="30"/>
  <c r="H1036" i="30"/>
  <c r="H1035" i="30"/>
  <c r="L1037" i="30"/>
  <c r="J1037" i="30"/>
  <c r="J1034" i="30"/>
  <c r="J1035" i="30"/>
  <c r="Q1037" i="30"/>
  <c r="L1034" i="30"/>
  <c r="L1035" i="30"/>
  <c r="G1035" i="30"/>
  <c r="J1033" i="30"/>
  <c r="T1037" i="30"/>
  <c r="I1036" i="30"/>
  <c r="P1034" i="30"/>
  <c r="Q1036" i="30"/>
  <c r="P1036" i="30"/>
  <c r="R1034" i="30"/>
  <c r="T1036" i="30"/>
  <c r="P1035" i="30"/>
  <c r="S1035" i="30"/>
  <c r="M1035" i="30"/>
  <c r="O1034" i="30"/>
  <c r="T1035" i="30"/>
  <c r="Q1033" i="30"/>
  <c r="T1034" i="30"/>
  <c r="O1033" i="30"/>
  <c r="N1036" i="30"/>
  <c r="G1033" i="30"/>
  <c r="R1035" i="30"/>
  <c r="O1037" i="30"/>
  <c r="N1033" i="30"/>
  <c r="G1034" i="30"/>
  <c r="I1033" i="30"/>
  <c r="N1035" i="30"/>
  <c r="S1034" i="30"/>
  <c r="M1036" i="30"/>
  <c r="K1035" i="30"/>
  <c r="O1036" i="30"/>
  <c r="S1037" i="30"/>
  <c r="G1037" i="30"/>
  <c r="M1037" i="30"/>
  <c r="K1033" i="30"/>
  <c r="N1037" i="30"/>
  <c r="P1033" i="30"/>
  <c r="L1036" i="30"/>
  <c r="Q1035" i="30"/>
  <c r="Q1034" i="30"/>
  <c r="R1036" i="30"/>
  <c r="R1037" i="30"/>
  <c r="I1035" i="30"/>
  <c r="K1037" i="30"/>
  <c r="U1034" i="30" l="1"/>
  <c r="G241" i="32" s="1"/>
  <c r="U1035" i="30"/>
  <c r="H241" i="32" s="1"/>
  <c r="U1033" i="30"/>
  <c r="F241" i="32" s="1"/>
  <c r="U1037" i="30"/>
  <c r="J241" i="32" s="1"/>
  <c r="U1036" i="30"/>
  <c r="I241" i="32" s="1"/>
  <c r="BF926" i="13" l="1"/>
  <c r="BF921" i="13"/>
  <c r="BF922" i="13"/>
  <c r="BF917" i="13"/>
  <c r="BF923" i="13"/>
  <c r="BF915" i="13"/>
  <c r="BF924" i="13"/>
  <c r="BF918" i="13"/>
  <c r="BF916" i="13"/>
  <c r="BF919" i="13"/>
  <c r="BF920" i="13"/>
  <c r="BF927" i="13"/>
  <c r="BF925" i="13"/>
  <c r="BF914" i="13" l="1"/>
  <c r="AB928" i="13"/>
  <c r="Q19" i="13" l="1"/>
  <c r="AB929" i="13"/>
  <c r="BF929" i="13" s="1"/>
  <c r="BF928" i="13"/>
  <c r="P19" i="13" l="1"/>
  <c r="R19" i="13" l="1"/>
  <c r="S19" i="13" s="1"/>
  <c r="BA926" i="13" l="1"/>
  <c r="BA922" i="13"/>
  <c r="BA923" i="13"/>
  <c r="BA927" i="13" l="1"/>
  <c r="BA925" i="13"/>
  <c r="BA924" i="13"/>
  <c r="BA920" i="13"/>
  <c r="BA919" i="13"/>
  <c r="BA918" i="13"/>
  <c r="BA917" i="13"/>
  <c r="BA916" i="13"/>
  <c r="BA915" i="13"/>
  <c r="BA921" i="13"/>
  <c r="AL927" i="13" l="1"/>
  <c r="AL924" i="13"/>
  <c r="AL926" i="13"/>
  <c r="AL923" i="13"/>
  <c r="AL922" i="13"/>
  <c r="AL920" i="13"/>
  <c r="AL919" i="13"/>
  <c r="AL918" i="13"/>
  <c r="AL916" i="13"/>
  <c r="AL917" i="13"/>
  <c r="AL925" i="13"/>
  <c r="AL915" i="13"/>
  <c r="AL921" i="13"/>
  <c r="AV926" i="13"/>
  <c r="AV924" i="13"/>
  <c r="AV927" i="13"/>
  <c r="AV925" i="13"/>
  <c r="AV922" i="13"/>
  <c r="AV923" i="13"/>
  <c r="AV921" i="13"/>
  <c r="AV916" i="13"/>
  <c r="AV915" i="13"/>
  <c r="AV920" i="13"/>
  <c r="AV919" i="13"/>
  <c r="AV918" i="13"/>
  <c r="AV917" i="13"/>
  <c r="BF685" i="13" l="1"/>
  <c r="BF805" i="13"/>
  <c r="BG805" i="13" s="1"/>
  <c r="BH805" i="13" s="1"/>
  <c r="BF684" i="13"/>
  <c r="BF704" i="13"/>
  <c r="BF804" i="13"/>
  <c r="BG804" i="13" s="1"/>
  <c r="BH804" i="13" s="1"/>
  <c r="BF683" i="13"/>
  <c r="BF703" i="13"/>
  <c r="BF803" i="13"/>
  <c r="BG803" i="13" s="1"/>
  <c r="BH803" i="13" s="1"/>
  <c r="BF682" i="13"/>
  <c r="BF702" i="13"/>
  <c r="BF802" i="13"/>
  <c r="BG802" i="13" s="1"/>
  <c r="BH802" i="13" s="1"/>
  <c r="BF681" i="13"/>
  <c r="BF801" i="13"/>
  <c r="BG801" i="13" s="1"/>
  <c r="BH801" i="13" s="1"/>
  <c r="BF680" i="13"/>
  <c r="BF700" i="13"/>
  <c r="BF800" i="13"/>
  <c r="BG800" i="13" s="1"/>
  <c r="BH800" i="13" s="1"/>
  <c r="BF679" i="13"/>
  <c r="BF699" i="13"/>
  <c r="BF799" i="13"/>
  <c r="BG799" i="13" s="1"/>
  <c r="BH799" i="13" s="1"/>
  <c r="BF678" i="13"/>
  <c r="BF698" i="13"/>
  <c r="BF798" i="13"/>
  <c r="BG798" i="13" s="1"/>
  <c r="BH798" i="13" s="1"/>
  <c r="BF677" i="13"/>
  <c r="BF697" i="13"/>
  <c r="BF797" i="13"/>
  <c r="BG797" i="13" s="1"/>
  <c r="BH797" i="13" s="1"/>
  <c r="BF696" i="13"/>
  <c r="BF675" i="13"/>
  <c r="BF695" i="13"/>
  <c r="BF795" i="13"/>
  <c r="BG795" i="13" s="1"/>
  <c r="BH795" i="13" s="1"/>
  <c r="BF365" i="13"/>
  <c r="BF385" i="13"/>
  <c r="BG385" i="13" s="1"/>
  <c r="BH385" i="13" s="1"/>
  <c r="BF445" i="13"/>
  <c r="BF505" i="13"/>
  <c r="BF525" i="13"/>
  <c r="BF545" i="13"/>
  <c r="BF605" i="13"/>
  <c r="BF625" i="13"/>
  <c r="BF384" i="13"/>
  <c r="BG384" i="13" s="1"/>
  <c r="BH384" i="13" s="1"/>
  <c r="BF464" i="13"/>
  <c r="BF504" i="13"/>
  <c r="BF544" i="13"/>
  <c r="BF624" i="13"/>
  <c r="BF383" i="13"/>
  <c r="BG383" i="13" s="1"/>
  <c r="BH383" i="13" s="1"/>
  <c r="BF463" i="13"/>
  <c r="BF503" i="13"/>
  <c r="BF543" i="13"/>
  <c r="BF623" i="13"/>
  <c r="BF362" i="13"/>
  <c r="BF382" i="13"/>
  <c r="BG382" i="13" s="1"/>
  <c r="BH382" i="13" s="1"/>
  <c r="BF442" i="13"/>
  <c r="BF502" i="13"/>
  <c r="BF602" i="13"/>
  <c r="BF622" i="13"/>
  <c r="BF361" i="13"/>
  <c r="BF441" i="13"/>
  <c r="BF461" i="13"/>
  <c r="BF501" i="13"/>
  <c r="BF521" i="13"/>
  <c r="BF541" i="13"/>
  <c r="BF601" i="13"/>
  <c r="BF621" i="13"/>
  <c r="BF360" i="13"/>
  <c r="BF440" i="13"/>
  <c r="BF500" i="13"/>
  <c r="BF520" i="13"/>
  <c r="BG520" i="13" s="1"/>
  <c r="BH520" i="13" s="1"/>
  <c r="BF600" i="13"/>
  <c r="BF359" i="13"/>
  <c r="BF379" i="13"/>
  <c r="BG379" i="13" s="1"/>
  <c r="BH379" i="13" s="1"/>
  <c r="BF439" i="13"/>
  <c r="BF459" i="13"/>
  <c r="BF499" i="13"/>
  <c r="BF519" i="13"/>
  <c r="BG519" i="13" s="1"/>
  <c r="BH519" i="13" s="1"/>
  <c r="BF539" i="13"/>
  <c r="BF599" i="13"/>
  <c r="BF619" i="13"/>
  <c r="BG619" i="13" s="1"/>
  <c r="BH619" i="13" s="1"/>
  <c r="BF378" i="13"/>
  <c r="BG378" i="13" s="1"/>
  <c r="BH378" i="13" s="1"/>
  <c r="BF438" i="13"/>
  <c r="BF458" i="13"/>
  <c r="BF498" i="13"/>
  <c r="BF518" i="13"/>
  <c r="BG518" i="13" s="1"/>
  <c r="BH518" i="13" s="1"/>
  <c r="BF598" i="13"/>
  <c r="BF618" i="13"/>
  <c r="BG618" i="13" s="1"/>
  <c r="BH618" i="13" s="1"/>
  <c r="BF357" i="13"/>
  <c r="BF377" i="13"/>
  <c r="BG377" i="13" s="1"/>
  <c r="BH377" i="13" s="1"/>
  <c r="BF437" i="13"/>
  <c r="BF457" i="13"/>
  <c r="BF497" i="13"/>
  <c r="BF517" i="13"/>
  <c r="BG517" i="13" s="1"/>
  <c r="BH517" i="13" s="1"/>
  <c r="BF537" i="13"/>
  <c r="BF597" i="13"/>
  <c r="BF617" i="13"/>
  <c r="BG617" i="13" s="1"/>
  <c r="BH617" i="13" s="1"/>
  <c r="BF376" i="13"/>
  <c r="BG376" i="13" s="1"/>
  <c r="BH376" i="13" s="1"/>
  <c r="BF436" i="13"/>
  <c r="BF456" i="13"/>
  <c r="BF516" i="13"/>
  <c r="BF536" i="13"/>
  <c r="BF616" i="13"/>
  <c r="BF355" i="13"/>
  <c r="BF375" i="13"/>
  <c r="BG375" i="13" s="1"/>
  <c r="BH375" i="13" s="1"/>
  <c r="BF435" i="13"/>
  <c r="BF455" i="13"/>
  <c r="BF495" i="13"/>
  <c r="BF595" i="13"/>
  <c r="BF343" i="13"/>
  <c r="BF342" i="13"/>
  <c r="BF335" i="13"/>
  <c r="BF336" i="13"/>
  <c r="BF337" i="13"/>
  <c r="BF338" i="13"/>
  <c r="BF339" i="13"/>
  <c r="BF340" i="13"/>
  <c r="BF344" i="13"/>
  <c r="BF345" i="13"/>
  <c r="BF775" i="13"/>
  <c r="BF782" i="13"/>
  <c r="BF781" i="13"/>
  <c r="BF780" i="13"/>
  <c r="BF779" i="13"/>
  <c r="BF778" i="13"/>
  <c r="BF777" i="13"/>
  <c r="BF776" i="13"/>
  <c r="BF561" i="13" l="1"/>
  <c r="S447" i="11"/>
  <c r="AB275" i="13"/>
  <c r="BF275" i="13" s="1"/>
  <c r="BF478" i="13"/>
  <c r="S425" i="11"/>
  <c r="S427" i="11"/>
  <c r="AB277" i="13"/>
  <c r="BF277" i="13" s="1"/>
  <c r="BF480" i="13"/>
  <c r="BF395" i="13"/>
  <c r="BF396" i="13"/>
  <c r="BF397" i="13"/>
  <c r="BF398" i="13"/>
  <c r="BF405" i="13"/>
  <c r="BF715" i="13"/>
  <c r="S479" i="11"/>
  <c r="BF724" i="13"/>
  <c r="S488" i="11"/>
  <c r="AB232" i="13"/>
  <c r="BF232" i="13" s="1"/>
  <c r="BF815" i="13"/>
  <c r="AB233" i="13"/>
  <c r="BF233" i="13" s="1"/>
  <c r="BF816" i="13"/>
  <c r="BF856" i="13"/>
  <c r="BF859" i="13"/>
  <c r="BF479" i="13"/>
  <c r="S426" i="11"/>
  <c r="AB276" i="13"/>
  <c r="BF276" i="13" s="1"/>
  <c r="BF585" i="13"/>
  <c r="BG585" i="13" s="1"/>
  <c r="BH585" i="13" s="1"/>
  <c r="S470" i="11"/>
  <c r="BF404" i="13"/>
  <c r="BF718" i="13"/>
  <c r="S482" i="11"/>
  <c r="BF661" i="13"/>
  <c r="BF665" i="13"/>
  <c r="BF836" i="13"/>
  <c r="AB253" i="13"/>
  <c r="BF253" i="13" s="1"/>
  <c r="BF839" i="13"/>
  <c r="AB256" i="13"/>
  <c r="BF256" i="13" s="1"/>
  <c r="BF577" i="13"/>
  <c r="BG577" i="13" s="1"/>
  <c r="BH577" i="13" s="1"/>
  <c r="S462" i="11"/>
  <c r="AB254" i="13"/>
  <c r="BF254" i="13" s="1"/>
  <c r="BF837" i="13"/>
  <c r="AB236" i="13"/>
  <c r="BF236" i="13" s="1"/>
  <c r="BF819" i="13"/>
  <c r="AB260" i="13"/>
  <c r="BF260" i="13" s="1"/>
  <c r="BF843" i="13"/>
  <c r="BF855" i="13"/>
  <c r="S422" i="11"/>
  <c r="BF475" i="13"/>
  <c r="BF860" i="13"/>
  <c r="BF483" i="13"/>
  <c r="S430" i="11"/>
  <c r="BF484" i="13"/>
  <c r="S431" i="11"/>
  <c r="AB281" i="13"/>
  <c r="BF281" i="13" s="1"/>
  <c r="BF565" i="13"/>
  <c r="S451" i="11"/>
  <c r="BF402" i="13"/>
  <c r="BF725" i="13"/>
  <c r="S489" i="11"/>
  <c r="AB238" i="13"/>
  <c r="BF238" i="13" s="1"/>
  <c r="BF821" i="13"/>
  <c r="BF822" i="13"/>
  <c r="AB239" i="13"/>
  <c r="BF239" i="13" s="1"/>
  <c r="AB242" i="13"/>
  <c r="BF242" i="13" s="1"/>
  <c r="BF825" i="13"/>
  <c r="BF556" i="13"/>
  <c r="S442" i="11"/>
  <c r="BF861" i="13"/>
  <c r="S428" i="11"/>
  <c r="AB278" i="13"/>
  <c r="BF278" i="13" s="1"/>
  <c r="BF481" i="13"/>
  <c r="BF582" i="13"/>
  <c r="BG582" i="13" s="1"/>
  <c r="BH582" i="13" s="1"/>
  <c r="S467" i="11"/>
  <c r="AB212" i="13"/>
  <c r="BF212" i="13" s="1"/>
  <c r="BF655" i="13"/>
  <c r="BF720" i="13"/>
  <c r="S484" i="11"/>
  <c r="BF662" i="13"/>
  <c r="AB219" i="13"/>
  <c r="BF219" i="13" s="1"/>
  <c r="AB220" i="13"/>
  <c r="BF220" i="13" s="1"/>
  <c r="BF663" i="13"/>
  <c r="BF664" i="13"/>
  <c r="AB221" i="13"/>
  <c r="BF221" i="13" s="1"/>
  <c r="BF716" i="13"/>
  <c r="S480" i="11"/>
  <c r="AB216" i="13"/>
  <c r="BF216" i="13" s="1"/>
  <c r="BF659" i="13"/>
  <c r="BF817" i="13"/>
  <c r="AB234" i="13"/>
  <c r="BF234" i="13" s="1"/>
  <c r="AB240" i="13"/>
  <c r="BF240" i="13" s="1"/>
  <c r="BF823" i="13"/>
  <c r="BF857" i="13"/>
  <c r="BF477" i="13"/>
  <c r="S424" i="11"/>
  <c r="BF578" i="13"/>
  <c r="BG578" i="13" s="1"/>
  <c r="BH578" i="13" s="1"/>
  <c r="S463" i="11"/>
  <c r="BF579" i="13"/>
  <c r="BG579" i="13" s="1"/>
  <c r="BH579" i="13" s="1"/>
  <c r="S464" i="11"/>
  <c r="BF580" i="13"/>
  <c r="BG580" i="13" s="1"/>
  <c r="BH580" i="13" s="1"/>
  <c r="S465" i="11"/>
  <c r="BF562" i="13"/>
  <c r="S448" i="11"/>
  <c r="BF863" i="13"/>
  <c r="BF864" i="13"/>
  <c r="BF401" i="13"/>
  <c r="BF717" i="13"/>
  <c r="S481" i="11"/>
  <c r="BF658" i="13"/>
  <c r="AB215" i="13"/>
  <c r="BF215" i="13" s="1"/>
  <c r="BF719" i="13"/>
  <c r="S483" i="11"/>
  <c r="BF399" i="13"/>
  <c r="BF721" i="13"/>
  <c r="S485" i="11"/>
  <c r="BF818" i="13"/>
  <c r="AB235" i="13"/>
  <c r="BF235" i="13" s="1"/>
  <c r="BF840" i="13"/>
  <c r="AB257" i="13"/>
  <c r="BF257" i="13" s="1"/>
  <c r="AB259" i="13"/>
  <c r="BF259" i="13" s="1"/>
  <c r="BF842" i="13"/>
  <c r="AB262" i="13"/>
  <c r="BF262" i="13" s="1"/>
  <c r="BF845" i="13"/>
  <c r="BF575" i="13"/>
  <c r="BG575" i="13" s="1"/>
  <c r="BH575" i="13" s="1"/>
  <c r="S460" i="11"/>
  <c r="BF558" i="13"/>
  <c r="S444" i="11"/>
  <c r="BF559" i="13"/>
  <c r="S445" i="11"/>
  <c r="BF560" i="13"/>
  <c r="S446" i="11"/>
  <c r="BF563" i="13"/>
  <c r="S449" i="11"/>
  <c r="BF564" i="13"/>
  <c r="S450" i="11"/>
  <c r="BF657" i="13"/>
  <c r="AB214" i="13"/>
  <c r="BF214" i="13" s="1"/>
  <c r="AB255" i="13"/>
  <c r="BF255" i="13" s="1"/>
  <c r="BF838" i="13"/>
  <c r="BF820" i="13"/>
  <c r="AB237" i="13"/>
  <c r="BF237" i="13" s="1"/>
  <c r="AB241" i="13"/>
  <c r="BF241" i="13" s="1"/>
  <c r="BF824" i="13"/>
  <c r="S423" i="11"/>
  <c r="BF476" i="13"/>
  <c r="BF581" i="13"/>
  <c r="BG581" i="13" s="1"/>
  <c r="BH581" i="13" s="1"/>
  <c r="S466" i="11"/>
  <c r="BF482" i="13"/>
  <c r="S429" i="11"/>
  <c r="BF583" i="13"/>
  <c r="BG583" i="13" s="1"/>
  <c r="BH583" i="13" s="1"/>
  <c r="S468" i="11"/>
  <c r="BF584" i="13"/>
  <c r="BG584" i="13" s="1"/>
  <c r="BH584" i="13" s="1"/>
  <c r="S469" i="11"/>
  <c r="BF865" i="13"/>
  <c r="S432" i="11"/>
  <c r="AB282" i="13"/>
  <c r="BF282" i="13" s="1"/>
  <c r="BF485" i="13"/>
  <c r="BF400" i="13"/>
  <c r="BF660" i="13"/>
  <c r="AB217" i="13"/>
  <c r="BF217" i="13" s="1"/>
  <c r="AQ918" i="13"/>
  <c r="AQ926" i="13"/>
  <c r="AQ921" i="13"/>
  <c r="AQ925" i="13"/>
  <c r="AQ916" i="13"/>
  <c r="AQ920" i="13"/>
  <c r="AQ924" i="13"/>
  <c r="AQ922" i="13"/>
  <c r="AQ919" i="13"/>
  <c r="AQ917" i="13"/>
  <c r="AG915" i="13"/>
  <c r="AQ915" i="13"/>
  <c r="AG927" i="13"/>
  <c r="AQ927" i="13"/>
  <c r="AG926" i="13"/>
  <c r="AG925" i="13"/>
  <c r="AG924" i="13"/>
  <c r="AG920" i="13"/>
  <c r="AG919" i="13"/>
  <c r="AG918" i="13"/>
  <c r="AG917" i="13"/>
  <c r="AG916" i="13"/>
  <c r="AG923" i="13"/>
  <c r="AQ923" i="13"/>
  <c r="AG922" i="13"/>
  <c r="AG921" i="13"/>
  <c r="BF786" i="13"/>
  <c r="BF787" i="13"/>
  <c r="BF346" i="13"/>
  <c r="BF626" i="13"/>
  <c r="BF546" i="13"/>
  <c r="BF466" i="13"/>
  <c r="BF386" i="13"/>
  <c r="BG386" i="13" s="1"/>
  <c r="BH386" i="13" s="1"/>
  <c r="BF706" i="13"/>
  <c r="BF606" i="13"/>
  <c r="BF526" i="13"/>
  <c r="BF446" i="13"/>
  <c r="BF627" i="13"/>
  <c r="BF387" i="13"/>
  <c r="BG387" i="13" s="1"/>
  <c r="BH387" i="13" s="1"/>
  <c r="BF806" i="13"/>
  <c r="BG806" i="13" s="1"/>
  <c r="BH806" i="13" s="1"/>
  <c r="BF686" i="13"/>
  <c r="BF347" i="13"/>
  <c r="BF506" i="13"/>
  <c r="BF527" i="13"/>
  <c r="BF447" i="13"/>
  <c r="BF367" i="13"/>
  <c r="BF707" i="13"/>
  <c r="BF507" i="13"/>
  <c r="BF807" i="13"/>
  <c r="BG807" i="13" s="1"/>
  <c r="BH807" i="13" s="1"/>
  <c r="BF687" i="13"/>
  <c r="BF523" i="13"/>
  <c r="BF607" i="13"/>
  <c r="BF467" i="13"/>
  <c r="BF603" i="13"/>
  <c r="BF547" i="13"/>
  <c r="BF783" i="13"/>
  <c r="BF785" i="13"/>
  <c r="BF465" i="13"/>
  <c r="BF604" i="13"/>
  <c r="BF741" i="13"/>
  <c r="BF641" i="13"/>
  <c r="AB273" i="13"/>
  <c r="BF273" i="13" s="1"/>
  <c r="BF496" i="13"/>
  <c r="BF596" i="13"/>
  <c r="BF356" i="13"/>
  <c r="BF676" i="13"/>
  <c r="BF416" i="13"/>
  <c r="BF419" i="13"/>
  <c r="BF758" i="13"/>
  <c r="BF742" i="13"/>
  <c r="BF415" i="13"/>
  <c r="BF427" i="13"/>
  <c r="BF418" i="13"/>
  <c r="BF426" i="13"/>
  <c r="BF423" i="13"/>
  <c r="BF745" i="13"/>
  <c r="BF760" i="13"/>
  <c r="BF762" i="13"/>
  <c r="BF755" i="13"/>
  <c r="BF735" i="13"/>
  <c r="BF759" i="13"/>
  <c r="BF743" i="13"/>
  <c r="BF747" i="13"/>
  <c r="BF757" i="13"/>
  <c r="BF417" i="13"/>
  <c r="BF646" i="13"/>
  <c r="BF746" i="13"/>
  <c r="BF647" i="13"/>
  <c r="BF767" i="13"/>
  <c r="BF763" i="13"/>
  <c r="BF784" i="13"/>
  <c r="BF524" i="13"/>
  <c r="BF444" i="13"/>
  <c r="BF364" i="13"/>
  <c r="BF644" i="13"/>
  <c r="BF764" i="13"/>
  <c r="BF424" i="13"/>
  <c r="BF744" i="13"/>
  <c r="BF645" i="13"/>
  <c r="BF425" i="13"/>
  <c r="BF366" i="13"/>
  <c r="BF766" i="13"/>
  <c r="BF761" i="13"/>
  <c r="BF701" i="13"/>
  <c r="BF341" i="13"/>
  <c r="BF381" i="13"/>
  <c r="BG381" i="13" s="1"/>
  <c r="BH381" i="13" s="1"/>
  <c r="BF421" i="13"/>
  <c r="BF522" i="13"/>
  <c r="AB279" i="13"/>
  <c r="BF279" i="13" s="1"/>
  <c r="BF542" i="13"/>
  <c r="BF462" i="13"/>
  <c r="BF642" i="13"/>
  <c r="BF380" i="13"/>
  <c r="BG380" i="13" s="1"/>
  <c r="BH380" i="13" s="1"/>
  <c r="BF540" i="13"/>
  <c r="BF620" i="13"/>
  <c r="BG620" i="13" s="1"/>
  <c r="BH620" i="13" s="1"/>
  <c r="BF460" i="13"/>
  <c r="BF420" i="13"/>
  <c r="BF740" i="13"/>
  <c r="BF739" i="13"/>
  <c r="BF358" i="13"/>
  <c r="BF538" i="13"/>
  <c r="BF638" i="13"/>
  <c r="BF738" i="13"/>
  <c r="BF615" i="13"/>
  <c r="BF535" i="13"/>
  <c r="BF515" i="13"/>
  <c r="AB272" i="13"/>
  <c r="BF272" i="13" s="1"/>
  <c r="BF635" i="13"/>
  <c r="BF636" i="13"/>
  <c r="BF756" i="13"/>
  <c r="BF736" i="13"/>
  <c r="BF737" i="13"/>
  <c r="AB196" i="13" l="1"/>
  <c r="BF196" i="13" s="1"/>
  <c r="AB198" i="13"/>
  <c r="BF198" i="13" s="1"/>
  <c r="AB197" i="13"/>
  <c r="BF197" i="13" s="1"/>
  <c r="AB192" i="13"/>
  <c r="BF192" i="13" s="1"/>
  <c r="AB261" i="13"/>
  <c r="BF261" i="13" s="1"/>
  <c r="BF844" i="13"/>
  <c r="BF317" i="13"/>
  <c r="BF315" i="13"/>
  <c r="BF656" i="13"/>
  <c r="AB213" i="13"/>
  <c r="BF213" i="13" s="1"/>
  <c r="BF403" i="13"/>
  <c r="BF726" i="13"/>
  <c r="S490" i="11"/>
  <c r="AB201" i="13"/>
  <c r="BF201" i="13" s="1"/>
  <c r="AB202" i="13"/>
  <c r="BF202" i="13" s="1"/>
  <c r="AB258" i="13"/>
  <c r="BF258" i="13" s="1"/>
  <c r="BF841" i="13"/>
  <c r="AB263" i="13"/>
  <c r="BF263" i="13" s="1"/>
  <c r="BF846" i="13"/>
  <c r="S502" i="11"/>
  <c r="S503" i="11"/>
  <c r="AB195" i="13"/>
  <c r="BF195" i="13" s="1"/>
  <c r="AB252" i="13"/>
  <c r="BF252" i="13" s="1"/>
  <c r="BF835" i="13"/>
  <c r="BF867" i="13"/>
  <c r="S508" i="11"/>
  <c r="BF326" i="13"/>
  <c r="AB244" i="13"/>
  <c r="BF244" i="13" s="1"/>
  <c r="BF827" i="13"/>
  <c r="AB283" i="13"/>
  <c r="BF283" i="13" s="1"/>
  <c r="BF486" i="13"/>
  <c r="S433" i="11"/>
  <c r="S507" i="11"/>
  <c r="AB194" i="13"/>
  <c r="BF194" i="13" s="1"/>
  <c r="BF322" i="13"/>
  <c r="BF847" i="13"/>
  <c r="AB264" i="13"/>
  <c r="BF264" i="13" s="1"/>
  <c r="BF555" i="13"/>
  <c r="S441" i="11"/>
  <c r="S498" i="11" s="1"/>
  <c r="BF320" i="13"/>
  <c r="BF406" i="13"/>
  <c r="AB203" i="13"/>
  <c r="BF203" i="13" s="1"/>
  <c r="BF325" i="13"/>
  <c r="BF826" i="13"/>
  <c r="AB243" i="13"/>
  <c r="BF243" i="13" s="1"/>
  <c r="BF586" i="13"/>
  <c r="BG586" i="13" s="1"/>
  <c r="BH586" i="13" s="1"/>
  <c r="S471" i="11"/>
  <c r="BF566" i="13"/>
  <c r="S452" i="11"/>
  <c r="BF667" i="13"/>
  <c r="AB224" i="13"/>
  <c r="BF224" i="13" s="1"/>
  <c r="BF866" i="13"/>
  <c r="AB218" i="13"/>
  <c r="BF218" i="13" s="1"/>
  <c r="BF727" i="13"/>
  <c r="S491" i="11"/>
  <c r="BF319" i="13"/>
  <c r="BF323" i="13"/>
  <c r="AB204" i="13"/>
  <c r="BF204" i="13" s="1"/>
  <c r="BF407" i="13"/>
  <c r="BF666" i="13"/>
  <c r="AB223" i="13"/>
  <c r="BF223" i="13" s="1"/>
  <c r="Z59" i="13"/>
  <c r="S504" i="11"/>
  <c r="AB193" i="13"/>
  <c r="BF193" i="13" s="1"/>
  <c r="BF862" i="13"/>
  <c r="BF587" i="13"/>
  <c r="BG587" i="13" s="1"/>
  <c r="BH587" i="13" s="1"/>
  <c r="S472" i="11"/>
  <c r="BF722" i="13"/>
  <c r="S486" i="11"/>
  <c r="BF576" i="13"/>
  <c r="BG576" i="13" s="1"/>
  <c r="BH576" i="13" s="1"/>
  <c r="S461" i="11"/>
  <c r="Z60" i="13"/>
  <c r="S501" i="11"/>
  <c r="BF363" i="13"/>
  <c r="BF443" i="13"/>
  <c r="BF643" i="13"/>
  <c r="BF640" i="13"/>
  <c r="BF765" i="13"/>
  <c r="BF637" i="13"/>
  <c r="BF316" i="13" l="1"/>
  <c r="S505" i="11"/>
  <c r="S499" i="11"/>
  <c r="BF567" i="13"/>
  <c r="S453" i="11"/>
  <c r="Z62" i="13"/>
  <c r="Z63" i="13"/>
  <c r="BF327" i="13"/>
  <c r="BF705" i="13"/>
  <c r="AB222" i="13"/>
  <c r="BF222" i="13" s="1"/>
  <c r="Z61" i="13"/>
  <c r="S509" i="11"/>
  <c r="BF639" i="13"/>
  <c r="BF318" i="13"/>
  <c r="Z56" i="13"/>
  <c r="Z57" i="13"/>
  <c r="S434" i="11"/>
  <c r="BF487" i="13"/>
  <c r="AB284" i="13"/>
  <c r="BF284" i="13" s="1"/>
  <c r="Z58" i="13"/>
  <c r="AB200" i="13"/>
  <c r="BF200" i="13" s="1"/>
  <c r="BF422" i="13"/>
  <c r="AB199" i="13"/>
  <c r="BF199" i="13" s="1"/>
  <c r="BF858" i="13"/>
  <c r="BF321" i="13"/>
  <c r="BF324" i="13"/>
  <c r="BF723" i="13"/>
  <c r="S487" i="11"/>
  <c r="AB280" i="13"/>
  <c r="BF280" i="13" s="1"/>
  <c r="Z66" i="13"/>
  <c r="Z64" i="13"/>
  <c r="Z65" i="13"/>
  <c r="Z68" i="13" l="1"/>
  <c r="BF557" i="13"/>
  <c r="S443" i="11"/>
  <c r="AB274" i="13"/>
  <c r="BF274" i="13" s="1"/>
  <c r="Z67" i="13"/>
  <c r="S506" i="11"/>
  <c r="S510" i="11"/>
  <c r="S500" i="11" l="1"/>
  <c r="BF796" i="13"/>
  <c r="BG796" i="13" s="1"/>
  <c r="BH796" i="13" s="1"/>
  <c r="AL914" i="13" l="1"/>
  <c r="X928" i="13"/>
  <c r="AG914" i="13"/>
  <c r="W928" i="13"/>
  <c r="BF534" i="13" l="1"/>
  <c r="AB548" i="13"/>
  <c r="AG928" i="13"/>
  <c r="W929" i="13"/>
  <c r="AG929" i="13" s="1"/>
  <c r="AQ914" i="13"/>
  <c r="Y928" i="13"/>
  <c r="X929" i="13"/>
  <c r="AL929" i="13" s="1"/>
  <c r="AL928" i="13"/>
  <c r="G3014" i="30" a="1"/>
  <c r="G3014" i="30" l="1"/>
  <c r="U3020" i="30"/>
  <c r="S527" i="32"/>
  <c r="BA914" i="13"/>
  <c r="AA928" i="13"/>
  <c r="BF594" i="13"/>
  <c r="AB608" i="13"/>
  <c r="BF334" i="13"/>
  <c r="AB348" i="13"/>
  <c r="Y929" i="13"/>
  <c r="AQ929" i="13" s="1"/>
  <c r="AQ928" i="13"/>
  <c r="AB549" i="13"/>
  <c r="BF549" i="13" s="1"/>
  <c r="BF548" i="13"/>
  <c r="AV914" i="13"/>
  <c r="Z928" i="13"/>
  <c r="G47" i="13" l="1"/>
  <c r="Q43" i="13" s="1"/>
  <c r="Z929" i="13"/>
  <c r="AV929" i="13" s="1"/>
  <c r="AV928" i="13"/>
  <c r="AB349" i="13"/>
  <c r="BF349" i="13" s="1"/>
  <c r="BF348" i="13"/>
  <c r="AB609" i="13"/>
  <c r="BF609" i="13" s="1"/>
  <c r="BF608" i="13"/>
  <c r="Q18" i="13"/>
  <c r="U3014" i="30"/>
  <c r="M527" i="32" s="1"/>
  <c r="U3019" i="30"/>
  <c r="U3018" i="30"/>
  <c r="R527" i="32"/>
  <c r="Q527" i="32"/>
  <c r="U3016" i="30"/>
  <c r="O527" i="32" s="1"/>
  <c r="U3017" i="30"/>
  <c r="P527" i="32" s="1"/>
  <c r="U3015" i="30"/>
  <c r="N527" i="32" s="1"/>
  <c r="AA929" i="13"/>
  <c r="BA929" i="13" s="1"/>
  <c r="BA928" i="13"/>
  <c r="BF494" i="13" l="1"/>
  <c r="AB508" i="13"/>
  <c r="BF474" i="13"/>
  <c r="AB488" i="13"/>
  <c r="S421" i="11"/>
  <c r="AB868" i="13"/>
  <c r="BF854" i="13"/>
  <c r="BF614" i="13"/>
  <c r="AB628" i="13"/>
  <c r="BF434" i="13"/>
  <c r="AB448" i="13"/>
  <c r="AB629" i="13" l="1"/>
  <c r="BF629" i="13" s="1"/>
  <c r="BF628" i="13"/>
  <c r="S435" i="11"/>
  <c r="BF414" i="13"/>
  <c r="AB428" i="13"/>
  <c r="AB489" i="13"/>
  <c r="BF489" i="13" s="1"/>
  <c r="BF488" i="13"/>
  <c r="BF374" i="13"/>
  <c r="AB388" i="13"/>
  <c r="BF634" i="13"/>
  <c r="AB648" i="13"/>
  <c r="BF868" i="13"/>
  <c r="AB869" i="13"/>
  <c r="BF869" i="13" s="1"/>
  <c r="AB509" i="13"/>
  <c r="BF509" i="13" s="1"/>
  <c r="BF508" i="13"/>
  <c r="AB449" i="13"/>
  <c r="BF449" i="13" s="1"/>
  <c r="BF448" i="13"/>
  <c r="BF674" i="13"/>
  <c r="AB688" i="13"/>
  <c r="BF574" i="13"/>
  <c r="BG574" i="13" s="1"/>
  <c r="BH574" i="13" s="1"/>
  <c r="G2174" i="30" s="1" a="1"/>
  <c r="S459" i="11"/>
  <c r="AB588" i="13"/>
  <c r="BF554" i="13"/>
  <c r="S440" i="11"/>
  <c r="AB568" i="13"/>
  <c r="BF454" i="13" l="1"/>
  <c r="AB468" i="13"/>
  <c r="AB649" i="13"/>
  <c r="BF649" i="13" s="1"/>
  <c r="BF648" i="13"/>
  <c r="AB589" i="13"/>
  <c r="BF589" i="13" s="1"/>
  <c r="BG589" i="13" s="1"/>
  <c r="BH589" i="13" s="1"/>
  <c r="BF588" i="13"/>
  <c r="BG588" i="13" s="1"/>
  <c r="BH588" i="13" s="1"/>
  <c r="AB569" i="13"/>
  <c r="BF569" i="13" s="1"/>
  <c r="BF568" i="13"/>
  <c r="S473" i="11"/>
  <c r="S454" i="11"/>
  <c r="R409" i="32"/>
  <c r="G2174" i="30"/>
  <c r="U2174" i="30" s="1"/>
  <c r="U2175" i="30"/>
  <c r="R410" i="32"/>
  <c r="AB389" i="13"/>
  <c r="BF389" i="13" s="1"/>
  <c r="BG389" i="13" s="1"/>
  <c r="BH389" i="13" s="1"/>
  <c r="BF388" i="13"/>
  <c r="BG388" i="13" s="1"/>
  <c r="BH388" i="13" s="1"/>
  <c r="BF754" i="13"/>
  <c r="AB768" i="13"/>
  <c r="BG374" i="13"/>
  <c r="BH374" i="13" s="1"/>
  <c r="AB689" i="13"/>
  <c r="BF689" i="13" s="1"/>
  <c r="BF688" i="13"/>
  <c r="AB429" i="13"/>
  <c r="BF429" i="13" s="1"/>
  <c r="BF428" i="13"/>
  <c r="G1665" i="30" l="1" a="1"/>
  <c r="G1665" i="30" s="1"/>
  <c r="U1665" i="30" s="1"/>
  <c r="U2176" i="30"/>
  <c r="U2177" i="30" s="1"/>
  <c r="Q17" i="13"/>
  <c r="AB769" i="13"/>
  <c r="BF769" i="13" s="1"/>
  <c r="BF768" i="13"/>
  <c r="AB469" i="13"/>
  <c r="BF469" i="13" s="1"/>
  <c r="BF468" i="13"/>
  <c r="R340" i="32" l="1"/>
  <c r="U1666" i="30"/>
  <c r="U1667" i="30" s="1"/>
  <c r="U1668" i="30" s="1"/>
  <c r="R339" i="32"/>
  <c r="Q16" i="13"/>
  <c r="Q14" i="13"/>
  <c r="BF794" i="13" l="1"/>
  <c r="BG794" i="13" s="1"/>
  <c r="BH794" i="13" s="1"/>
  <c r="G2735" i="30" s="1" a="1"/>
  <c r="AB808" i="13"/>
  <c r="AB809" i="13" l="1"/>
  <c r="BF809" i="13" s="1"/>
  <c r="BG809" i="13" s="1"/>
  <c r="BH809" i="13" s="1"/>
  <c r="BF808" i="13"/>
  <c r="BG808" i="13" s="1"/>
  <c r="BH808" i="13" s="1"/>
  <c r="G2735" i="30"/>
  <c r="U2735" i="30" s="1"/>
  <c r="U2736" i="30"/>
  <c r="R487" i="32"/>
  <c r="R486" i="32"/>
  <c r="U2737" i="30" l="1"/>
  <c r="U2738" i="30" s="1"/>
  <c r="Q20" i="13"/>
  <c r="R20" i="13" s="1"/>
  <c r="S20" i="13" s="1"/>
  <c r="BF734" i="13" l="1"/>
  <c r="AB748" i="13"/>
  <c r="AB749" i="13" l="1"/>
  <c r="BF749" i="13" s="1"/>
  <c r="BF748" i="13"/>
  <c r="Q11" i="13" l="1"/>
  <c r="BF714" i="13" l="1"/>
  <c r="S478" i="11"/>
  <c r="AB728" i="13"/>
  <c r="AB271" i="13"/>
  <c r="BF271" i="13" l="1"/>
  <c r="AB285" i="13"/>
  <c r="AB729" i="13"/>
  <c r="BF729" i="13" s="1"/>
  <c r="BF728" i="13"/>
  <c r="S497" i="11"/>
  <c r="S492" i="11"/>
  <c r="S511" i="11" l="1"/>
  <c r="AB286" i="13"/>
  <c r="BF286" i="13" s="1"/>
  <c r="BF285" i="13"/>
  <c r="Q9" i="13" l="1"/>
  <c r="BF694" i="13" l="1"/>
  <c r="AB708" i="13"/>
  <c r="AB709" i="13" l="1"/>
  <c r="BF709" i="13" s="1"/>
  <c r="BF708" i="13"/>
  <c r="AB211" i="13" l="1"/>
  <c r="BF654" i="13"/>
  <c r="AB668" i="13"/>
  <c r="AB669" i="13" l="1"/>
  <c r="BF669" i="13" s="1"/>
  <c r="BF668" i="13"/>
  <c r="BF211" i="13"/>
  <c r="AB225" i="13"/>
  <c r="AB226" i="13" l="1"/>
  <c r="BF226" i="13" s="1"/>
  <c r="BF225" i="13"/>
  <c r="Q6" i="13" l="1"/>
  <c r="BF774" i="13" l="1"/>
  <c r="AB788" i="13"/>
  <c r="AB789" i="13" l="1"/>
  <c r="BF789" i="13" s="1"/>
  <c r="BF788" i="13"/>
  <c r="Q10" i="13" l="1"/>
  <c r="BF514" i="13" l="1"/>
  <c r="AB528" i="13"/>
  <c r="AB529" i="13" l="1"/>
  <c r="BF529" i="13" s="1"/>
  <c r="BF528" i="13"/>
  <c r="Q13" i="13" l="1"/>
  <c r="BF394" i="13" l="1"/>
  <c r="AB191" i="13"/>
  <c r="AB408" i="13"/>
  <c r="AB409" i="13" l="1"/>
  <c r="BF409" i="13" s="1"/>
  <c r="BF408" i="13"/>
  <c r="AB205" i="13"/>
  <c r="BF191" i="13"/>
  <c r="BF205" i="13" l="1"/>
  <c r="AB206" i="13"/>
  <c r="BF206" i="13" s="1"/>
  <c r="Q4" i="13" l="1"/>
  <c r="BF354" i="13" l="1"/>
  <c r="AB368" i="13"/>
  <c r="AB369" i="13" l="1"/>
  <c r="BF369" i="13" s="1"/>
  <c r="BF368" i="13"/>
  <c r="Q12" i="13" l="1"/>
  <c r="BF314" i="13" l="1"/>
  <c r="BF329" i="13" l="1"/>
  <c r="BF328" i="13"/>
  <c r="BF814" i="13" l="1"/>
  <c r="AB231" i="13"/>
  <c r="AB828" i="13"/>
  <c r="AB829" i="13" l="1"/>
  <c r="BF829" i="13" s="1"/>
  <c r="BF828" i="13"/>
  <c r="BF231" i="13"/>
  <c r="AB245" i="13"/>
  <c r="AB246" i="13" l="1"/>
  <c r="BF246" i="13" s="1"/>
  <c r="BF245" i="13"/>
  <c r="AB251" i="13"/>
  <c r="BF834" i="13"/>
  <c r="AB848" i="13"/>
  <c r="AB849" i="13" l="1"/>
  <c r="BF849" i="13" s="1"/>
  <c r="BF848" i="13"/>
  <c r="Q5" i="13"/>
  <c r="BF251" i="13"/>
  <c r="AB265" i="13"/>
  <c r="AB266" i="13" l="1"/>
  <c r="BF266" i="13" s="1"/>
  <c r="BF265" i="13"/>
  <c r="Z55" i="13"/>
  <c r="Z69" i="13" l="1"/>
  <c r="Q8" i="13"/>
  <c r="M18" i="26" l="1"/>
  <c r="M16" i="26"/>
  <c r="M14" i="26"/>
  <c r="M13" i="26"/>
  <c r="M11" i="26"/>
  <c r="M10" i="26"/>
  <c r="M9" i="26"/>
  <c r="M7" i="26"/>
  <c r="N6" i="26" l="1"/>
  <c r="O129" i="26"/>
  <c r="P129" i="26" s="1"/>
  <c r="N148" i="26" a="1"/>
  <c r="N148" i="26" s="1"/>
  <c r="O137" i="26"/>
  <c r="P137" i="26" s="1"/>
  <c r="N14" i="26"/>
  <c r="O14" i="26" s="1"/>
  <c r="N152" i="26" a="1"/>
  <c r="N152" i="26" s="1"/>
  <c r="N9" i="26"/>
  <c r="O9" i="26" s="1"/>
  <c r="O132" i="26"/>
  <c r="P132" i="26" s="1"/>
  <c r="N13" i="26"/>
  <c r="O13" i="26" s="1"/>
  <c r="O136" i="26"/>
  <c r="P136" i="26" s="1"/>
  <c r="N17" i="26"/>
  <c r="O140" i="26"/>
  <c r="P140" i="26" s="1"/>
  <c r="O135" i="26"/>
  <c r="P135" i="26" s="1"/>
  <c r="N150" i="26" a="1"/>
  <c r="N150" i="26" s="1"/>
  <c r="N12" i="26"/>
  <c r="O139" i="26"/>
  <c r="P139" i="26" s="1"/>
  <c r="N16" i="26"/>
  <c r="O16" i="26" s="1"/>
  <c r="O130" i="26"/>
  <c r="P130" i="26" s="1"/>
  <c r="N7" i="26"/>
  <c r="O7" i="26" s="1"/>
  <c r="O134" i="26"/>
  <c r="P134" i="26" s="1"/>
  <c r="N11" i="26"/>
  <c r="O11" i="26" s="1"/>
  <c r="N151" i="26" a="1"/>
  <c r="N151" i="26" s="1"/>
  <c r="N15" i="26"/>
  <c r="O138" i="26"/>
  <c r="P138" i="26" s="1"/>
  <c r="M6" i="26"/>
  <c r="M25" i="26" s="1"/>
  <c r="M148" i="26" a="1"/>
  <c r="M148" i="26" s="1"/>
  <c r="M149" i="26" a="1"/>
  <c r="M149" i="26" s="1"/>
  <c r="M8" i="26"/>
  <c r="M26" i="26" s="1"/>
  <c r="M12" i="26"/>
  <c r="M27" i="26" s="1"/>
  <c r="M150" i="26" a="1"/>
  <c r="M150" i="26" s="1"/>
  <c r="M151" i="26" a="1"/>
  <c r="M151" i="26" s="1"/>
  <c r="M15" i="26"/>
  <c r="M28" i="26" s="1"/>
  <c r="M17" i="26"/>
  <c r="M29" i="26" s="1"/>
  <c r="M152" i="26" a="1"/>
  <c r="M152" i="26" s="1"/>
  <c r="O151" i="26" l="1"/>
  <c r="P151" i="26" s="1"/>
  <c r="N8" i="26"/>
  <c r="N149" i="26" a="1"/>
  <c r="N149" i="26" s="1"/>
  <c r="O149" i="26" s="1"/>
  <c r="P149" i="26" s="1"/>
  <c r="O131" i="26"/>
  <c r="P131" i="26" s="1"/>
  <c r="P9" i="26"/>
  <c r="L39" i="26"/>
  <c r="L37" i="26"/>
  <c r="P7" i="26"/>
  <c r="N18" i="26"/>
  <c r="O18" i="26" s="1"/>
  <c r="O141" i="26"/>
  <c r="P141" i="26" s="1"/>
  <c r="O152" i="26"/>
  <c r="P152" i="26" s="1"/>
  <c r="P14" i="26"/>
  <c r="L44" i="26"/>
  <c r="L46" i="26"/>
  <c r="P16" i="26"/>
  <c r="O17" i="26"/>
  <c r="N10" i="26"/>
  <c r="O10" i="26" s="1"/>
  <c r="O133" i="26"/>
  <c r="P133" i="26" s="1"/>
  <c r="O15" i="26"/>
  <c r="N28" i="26"/>
  <c r="O28" i="26" s="1"/>
  <c r="P28" i="26" s="1"/>
  <c r="O12" i="26"/>
  <c r="N27" i="26"/>
  <c r="O27" i="26" s="1"/>
  <c r="P27" i="26" s="1"/>
  <c r="O148" i="26"/>
  <c r="P148" i="26" s="1"/>
  <c r="O150" i="26"/>
  <c r="P150" i="26" s="1"/>
  <c r="L43" i="26"/>
  <c r="P13" i="26"/>
  <c r="L41" i="26"/>
  <c r="P11" i="26"/>
  <c r="N25" i="26"/>
  <c r="O25" i="26" s="1"/>
  <c r="P25" i="26" s="1"/>
  <c r="O6" i="26"/>
  <c r="N29" i="26" l="1"/>
  <c r="O29" i="26" s="1"/>
  <c r="P29" i="26" s="1"/>
  <c r="P18" i="26"/>
  <c r="L48" i="26"/>
  <c r="P17" i="26"/>
  <c r="L47" i="26"/>
  <c r="L36" i="26"/>
  <c r="P6" i="26"/>
  <c r="M37" i="26"/>
  <c r="N37" i="26"/>
  <c r="L42" i="26"/>
  <c r="P12" i="26"/>
  <c r="M46" i="26"/>
  <c r="N46" i="26"/>
  <c r="M39" i="26"/>
  <c r="N39" i="26"/>
  <c r="N44" i="26"/>
  <c r="M44" i="26"/>
  <c r="N41" i="26"/>
  <c r="M41" i="26"/>
  <c r="P15" i="26"/>
  <c r="L45" i="26"/>
  <c r="N43" i="26"/>
  <c r="M43" i="26"/>
  <c r="L40" i="26"/>
  <c r="P10" i="26"/>
  <c r="O8" i="26"/>
  <c r="N26" i="26"/>
  <c r="O26" i="26" s="1"/>
  <c r="P26" i="26" s="1"/>
  <c r="N40" i="26" l="1"/>
  <c r="M40" i="26"/>
  <c r="N36" i="26"/>
  <c r="M36" i="26"/>
  <c r="M45" i="26"/>
  <c r="N45" i="26"/>
  <c r="M47" i="26"/>
  <c r="N47" i="26"/>
  <c r="N48" i="26"/>
  <c r="M48" i="26"/>
  <c r="P8" i="26"/>
  <c r="L38" i="26"/>
  <c r="M42" i="26"/>
  <c r="N42" i="26"/>
  <c r="N38" i="26" l="1"/>
  <c r="M38" i="26"/>
  <c r="J140" i="26" l="1" a="1"/>
  <c r="J140" i="26" s="1"/>
  <c r="J135" i="26" a="1"/>
  <c r="J135" i="26" s="1"/>
  <c r="J130" i="26" a="1"/>
  <c r="J130" i="26" s="1"/>
  <c r="J131" i="26" a="1"/>
  <c r="J131" i="26" s="1"/>
  <c r="J139" i="26" a="1"/>
  <c r="J139" i="26" s="1"/>
  <c r="J141" i="26" a="1"/>
  <c r="J141" i="26" s="1"/>
  <c r="J128" i="26" a="1"/>
  <c r="J128" i="26" s="1"/>
  <c r="J137" i="26" a="1"/>
  <c r="J137" i="26" s="1"/>
  <c r="J132" i="26" a="1"/>
  <c r="J132" i="26" s="1"/>
  <c r="J134" i="26" a="1"/>
  <c r="J134" i="26" s="1"/>
  <c r="J133" i="26" a="1"/>
  <c r="J133" i="26" s="1"/>
  <c r="J136" i="26" a="1"/>
  <c r="J136" i="26" s="1"/>
  <c r="J138" i="26" a="1"/>
  <c r="J138" i="26" s="1"/>
  <c r="J129" i="26" a="1"/>
  <c r="J129" i="26" s="1"/>
  <c r="K1004" i="30" l="1"/>
  <c r="P1004" i="30"/>
  <c r="G1004" i="30"/>
  <c r="M1004" i="30"/>
  <c r="N1004" i="30"/>
  <c r="S1004" i="30"/>
  <c r="H1004" i="30"/>
  <c r="T1004" i="30"/>
  <c r="Q1004" i="30"/>
  <c r="R1004" i="30"/>
  <c r="O1004" i="30"/>
  <c r="J1004" i="30"/>
  <c r="L1004" i="30"/>
  <c r="I1004" i="30"/>
  <c r="G235" i="32" l="1"/>
  <c r="U1004" i="30"/>
  <c r="J18" i="26"/>
  <c r="J12" i="26"/>
  <c r="J150" i="26" a="1"/>
  <c r="J150" i="26" s="1"/>
  <c r="J14" i="26"/>
  <c r="J10" i="26"/>
  <c r="J16" i="26"/>
  <c r="J6" i="26"/>
  <c r="J148" i="26" a="1"/>
  <c r="J148" i="26" s="1"/>
  <c r="J11" i="26"/>
  <c r="J149" i="26" a="1"/>
  <c r="J149" i="26" s="1"/>
  <c r="J8" i="26"/>
  <c r="J151" i="26" a="1"/>
  <c r="J151" i="26" s="1"/>
  <c r="J15" i="26"/>
  <c r="J7" i="26"/>
  <c r="J17" i="26"/>
  <c r="J152" i="26" a="1"/>
  <c r="J152" i="26" s="1"/>
  <c r="J9" i="26"/>
  <c r="J13" i="26"/>
  <c r="J142" i="26"/>
  <c r="J147" i="26"/>
  <c r="J5" i="26"/>
  <c r="J25" i="26" l="1"/>
  <c r="J153" i="26"/>
  <c r="J29" i="26"/>
  <c r="G48" i="13"/>
  <c r="J27" i="26"/>
  <c r="J28" i="26"/>
  <c r="J19" i="26"/>
  <c r="J24" i="26"/>
  <c r="J26" i="26"/>
  <c r="J30" i="26" l="1"/>
  <c r="AG687" i="13" l="1"/>
  <c r="AG707" i="13"/>
  <c r="AG807" i="13"/>
  <c r="AH807" i="13" s="1"/>
  <c r="AI807" i="13" s="1"/>
  <c r="AL687" i="13"/>
  <c r="AL707" i="13"/>
  <c r="AL807" i="13"/>
  <c r="AM807" i="13" s="1"/>
  <c r="AN807" i="13" s="1"/>
  <c r="AQ687" i="13"/>
  <c r="AQ707" i="13"/>
  <c r="AQ807" i="13"/>
  <c r="AR807" i="13" s="1"/>
  <c r="AS807" i="13" s="1"/>
  <c r="AV687" i="13"/>
  <c r="AV707" i="13"/>
  <c r="AV807" i="13"/>
  <c r="AW807" i="13" s="1"/>
  <c r="AX807" i="13" s="1"/>
  <c r="BA687" i="13"/>
  <c r="BA707" i="13"/>
  <c r="BA807" i="13"/>
  <c r="BB807" i="13" s="1"/>
  <c r="BC807" i="13" s="1"/>
  <c r="AG705" i="13"/>
  <c r="AL685" i="13"/>
  <c r="AL705" i="13"/>
  <c r="AL805" i="13"/>
  <c r="AM805" i="13" s="1"/>
  <c r="AN805" i="13" s="1"/>
  <c r="AQ685" i="13"/>
  <c r="AQ805" i="13"/>
  <c r="AR805" i="13" s="1"/>
  <c r="AS805" i="13" s="1"/>
  <c r="AV685" i="13"/>
  <c r="AV705" i="13"/>
  <c r="AV805" i="13"/>
  <c r="AW805" i="13" s="1"/>
  <c r="AX805" i="13" s="1"/>
  <c r="BA685" i="13"/>
  <c r="BA705" i="13"/>
  <c r="BA805" i="13"/>
  <c r="BB805" i="13" s="1"/>
  <c r="BC805" i="13" s="1"/>
  <c r="AG684" i="13"/>
  <c r="AG804" i="13"/>
  <c r="AH804" i="13" s="1"/>
  <c r="AI804" i="13" s="1"/>
  <c r="AL684" i="13"/>
  <c r="AL704" i="13"/>
  <c r="AL804" i="13"/>
  <c r="AM804" i="13" s="1"/>
  <c r="AN804" i="13" s="1"/>
  <c r="AQ684" i="13"/>
  <c r="AV684" i="13"/>
  <c r="AV704" i="13"/>
  <c r="AV804" i="13"/>
  <c r="AW804" i="13" s="1"/>
  <c r="AX804" i="13" s="1"/>
  <c r="BA684" i="13"/>
  <c r="AG683" i="13"/>
  <c r="AG703" i="13"/>
  <c r="AG803" i="13"/>
  <c r="AH803" i="13" s="1"/>
  <c r="AI803" i="13" s="1"/>
  <c r="AL683" i="13"/>
  <c r="AL703" i="13"/>
  <c r="AL803" i="13"/>
  <c r="AM803" i="13" s="1"/>
  <c r="AN803" i="13" s="1"/>
  <c r="AV683" i="13"/>
  <c r="AV703" i="13"/>
  <c r="AV803" i="13"/>
  <c r="AW803" i="13" s="1"/>
  <c r="AX803" i="13" s="1"/>
  <c r="BA683" i="13"/>
  <c r="BA703" i="13"/>
  <c r="BA803" i="13"/>
  <c r="BB803" i="13" s="1"/>
  <c r="BC803" i="13" s="1"/>
  <c r="AG682" i="13"/>
  <c r="AL682" i="13"/>
  <c r="AL702" i="13"/>
  <c r="AL802" i="13"/>
  <c r="AM802" i="13" s="1"/>
  <c r="AN802" i="13" s="1"/>
  <c r="AQ702" i="13"/>
  <c r="AQ802" i="13"/>
  <c r="AR802" i="13" s="1"/>
  <c r="AS802" i="13" s="1"/>
  <c r="AV702" i="13"/>
  <c r="BA682" i="13"/>
  <c r="BA702" i="13"/>
  <c r="BA802" i="13"/>
  <c r="BB802" i="13" s="1"/>
  <c r="BC802" i="13" s="1"/>
  <c r="AG681" i="13"/>
  <c r="AG701" i="13"/>
  <c r="AG801" i="13"/>
  <c r="AH801" i="13" s="1"/>
  <c r="AI801" i="13" s="1"/>
  <c r="AL701" i="13"/>
  <c r="AL801" i="13"/>
  <c r="AM801" i="13" s="1"/>
  <c r="AN801" i="13" s="1"/>
  <c r="AQ681" i="13"/>
  <c r="AQ701" i="13"/>
  <c r="AQ801" i="13"/>
  <c r="AR801" i="13" s="1"/>
  <c r="AS801" i="13" s="1"/>
  <c r="AV681" i="13"/>
  <c r="AV801" i="13"/>
  <c r="AW801" i="13" s="1"/>
  <c r="AX801" i="13" s="1"/>
  <c r="BA681" i="13"/>
  <c r="BA701" i="13"/>
  <c r="BA801" i="13"/>
  <c r="BB801" i="13" s="1"/>
  <c r="BC801" i="13" s="1"/>
  <c r="AG680" i="13"/>
  <c r="AG800" i="13"/>
  <c r="AH800" i="13" s="1"/>
  <c r="AI800" i="13" s="1"/>
  <c r="AL680" i="13"/>
  <c r="AL700" i="13"/>
  <c r="AL800" i="13"/>
  <c r="AM800" i="13" s="1"/>
  <c r="AN800" i="13" s="1"/>
  <c r="AQ680" i="13"/>
  <c r="AQ700" i="13"/>
  <c r="AQ800" i="13"/>
  <c r="AR800" i="13" s="1"/>
  <c r="AS800" i="13" s="1"/>
  <c r="AV680" i="13"/>
  <c r="AV700" i="13"/>
  <c r="AV800" i="13"/>
  <c r="AW800" i="13" s="1"/>
  <c r="AX800" i="13" s="1"/>
  <c r="BA680" i="13"/>
  <c r="BA800" i="13"/>
  <c r="BB800" i="13" s="1"/>
  <c r="BC800" i="13" s="1"/>
  <c r="AG679" i="13"/>
  <c r="AG699" i="13"/>
  <c r="AG799" i="13"/>
  <c r="AH799" i="13" s="1"/>
  <c r="AI799" i="13" s="1"/>
  <c r="AL679" i="13"/>
  <c r="AL699" i="13"/>
  <c r="AL799" i="13"/>
  <c r="AM799" i="13" s="1"/>
  <c r="AN799" i="13" s="1"/>
  <c r="AQ679" i="13"/>
  <c r="AQ699" i="13"/>
  <c r="AQ799" i="13"/>
  <c r="AR799" i="13" s="1"/>
  <c r="AS799" i="13" s="1"/>
  <c r="AV679" i="13"/>
  <c r="AV699" i="13"/>
  <c r="AV799" i="13"/>
  <c r="AW799" i="13" s="1"/>
  <c r="AX799" i="13" s="1"/>
  <c r="BA679" i="13"/>
  <c r="BA699" i="13"/>
  <c r="BA799" i="13"/>
  <c r="BB799" i="13" s="1"/>
  <c r="BC799" i="13" s="1"/>
  <c r="AG678" i="13"/>
  <c r="AG698" i="13"/>
  <c r="AG798" i="13"/>
  <c r="AH798" i="13" s="1"/>
  <c r="AI798" i="13" s="1"/>
  <c r="AL678" i="13"/>
  <c r="AL698" i="13"/>
  <c r="AL738" i="13"/>
  <c r="AL798" i="13"/>
  <c r="AM798" i="13" s="1"/>
  <c r="AN798" i="13" s="1"/>
  <c r="AQ678" i="13"/>
  <c r="AQ698" i="13"/>
  <c r="AQ798" i="13"/>
  <c r="AR798" i="13" s="1"/>
  <c r="AS798" i="13" s="1"/>
  <c r="AV678" i="13"/>
  <c r="BA698" i="13"/>
  <c r="AG677" i="13"/>
  <c r="AG697" i="13"/>
  <c r="AG797" i="13"/>
  <c r="AH797" i="13" s="1"/>
  <c r="AI797" i="13" s="1"/>
  <c r="AL677" i="13"/>
  <c r="AL697" i="13"/>
  <c r="AL797" i="13"/>
  <c r="AM797" i="13" s="1"/>
  <c r="AN797" i="13" s="1"/>
  <c r="AQ677" i="13"/>
  <c r="AQ697" i="13"/>
  <c r="AQ797" i="13"/>
  <c r="AR797" i="13" s="1"/>
  <c r="AS797" i="13" s="1"/>
  <c r="AV697" i="13"/>
  <c r="AV797" i="13"/>
  <c r="AW797" i="13" s="1"/>
  <c r="AX797" i="13" s="1"/>
  <c r="BA677" i="13"/>
  <c r="BA697" i="13"/>
  <c r="BA797" i="13"/>
  <c r="BB797" i="13" s="1"/>
  <c r="BC797" i="13" s="1"/>
  <c r="AG676" i="13"/>
  <c r="AG796" i="13"/>
  <c r="AH796" i="13" s="1"/>
  <c r="AI796" i="13" s="1"/>
  <c r="AL696" i="13"/>
  <c r="AL796" i="13"/>
  <c r="AM796" i="13" s="1"/>
  <c r="AN796" i="13" s="1"/>
  <c r="AQ676" i="13"/>
  <c r="AQ796" i="13"/>
  <c r="AR796" i="13" s="1"/>
  <c r="AS796" i="13" s="1"/>
  <c r="AV696" i="13"/>
  <c r="AV796" i="13"/>
  <c r="AW796" i="13" s="1"/>
  <c r="AX796" i="13" s="1"/>
  <c r="BA676" i="13"/>
  <c r="BA796" i="13"/>
  <c r="BB796" i="13" s="1"/>
  <c r="BC796" i="13" s="1"/>
  <c r="AG675" i="13"/>
  <c r="AG695" i="13"/>
  <c r="AG795" i="13"/>
  <c r="AH795" i="13" s="1"/>
  <c r="AI795" i="13" s="1"/>
  <c r="AL675" i="13"/>
  <c r="AL695" i="13"/>
  <c r="AL755" i="13"/>
  <c r="AL795" i="13"/>
  <c r="AM795" i="13" s="1"/>
  <c r="AN795" i="13" s="1"/>
  <c r="AQ675" i="13"/>
  <c r="AQ695" i="13"/>
  <c r="AQ795" i="13"/>
  <c r="AR795" i="13" s="1"/>
  <c r="AS795" i="13" s="1"/>
  <c r="AV695" i="13"/>
  <c r="AV795" i="13"/>
  <c r="AW795" i="13" s="1"/>
  <c r="AX795" i="13" s="1"/>
  <c r="BA675" i="13"/>
  <c r="BA695" i="13"/>
  <c r="BA795" i="13"/>
  <c r="BB795" i="13" s="1"/>
  <c r="BC795" i="13" s="1"/>
  <c r="AG367" i="13"/>
  <c r="AG467" i="13"/>
  <c r="AG507" i="13"/>
  <c r="AG547" i="13"/>
  <c r="AG627" i="13"/>
  <c r="AL387" i="13"/>
  <c r="AM387" i="13" s="1"/>
  <c r="AN387" i="13" s="1"/>
  <c r="AL447" i="13"/>
  <c r="AL467" i="13"/>
  <c r="AL507" i="13"/>
  <c r="AL527" i="13"/>
  <c r="AL607" i="13"/>
  <c r="AQ367" i="13"/>
  <c r="AQ387" i="13"/>
  <c r="AR387" i="13" s="1"/>
  <c r="AS387" i="13" s="1"/>
  <c r="AQ447" i="13"/>
  <c r="AQ527" i="13"/>
  <c r="AQ607" i="13"/>
  <c r="AV367" i="13"/>
  <c r="AV447" i="13"/>
  <c r="AV507" i="13"/>
  <c r="AV527" i="13"/>
  <c r="AV547" i="13"/>
  <c r="AV607" i="13"/>
  <c r="AV627" i="13"/>
  <c r="BA367" i="13"/>
  <c r="BA387" i="13"/>
  <c r="BB387" i="13" s="1"/>
  <c r="BC387" i="13" s="1"/>
  <c r="BA447" i="13"/>
  <c r="BA467" i="13"/>
  <c r="BA527" i="13"/>
  <c r="BA547" i="13"/>
  <c r="BA607" i="13"/>
  <c r="BA627" i="13"/>
  <c r="AG365" i="13"/>
  <c r="AG445" i="13"/>
  <c r="AG505" i="13"/>
  <c r="AG525" i="13"/>
  <c r="AG605" i="13"/>
  <c r="AL365" i="13"/>
  <c r="AL385" i="13"/>
  <c r="AM385" i="13" s="1"/>
  <c r="AN385" i="13" s="1"/>
  <c r="AL465" i="13"/>
  <c r="AL545" i="13"/>
  <c r="AL605" i="13"/>
  <c r="AL625" i="13"/>
  <c r="AQ365" i="13"/>
  <c r="AQ385" i="13"/>
  <c r="AR385" i="13" s="1"/>
  <c r="AS385" i="13" s="1"/>
  <c r="AQ445" i="13"/>
  <c r="AQ505" i="13"/>
  <c r="AQ525" i="13"/>
  <c r="AQ605" i="13"/>
  <c r="AQ625" i="13"/>
  <c r="AV365" i="13"/>
  <c r="AV385" i="13"/>
  <c r="AW385" i="13" s="1"/>
  <c r="AX385" i="13" s="1"/>
  <c r="AV445" i="13"/>
  <c r="AV465" i="13"/>
  <c r="AV505" i="13"/>
  <c r="AV525" i="13"/>
  <c r="AV545" i="13"/>
  <c r="AV605" i="13"/>
  <c r="AV625" i="13"/>
  <c r="BA365" i="13"/>
  <c r="BA385" i="13"/>
  <c r="BB385" i="13" s="1"/>
  <c r="BC385" i="13" s="1"/>
  <c r="BA465" i="13"/>
  <c r="BA505" i="13"/>
  <c r="BA545" i="13"/>
  <c r="BA625" i="13"/>
  <c r="AG364" i="13"/>
  <c r="AG384" i="13"/>
  <c r="AH384" i="13" s="1"/>
  <c r="AI384" i="13" s="1"/>
  <c r="AG444" i="13"/>
  <c r="AG524" i="13"/>
  <c r="AG604" i="13"/>
  <c r="AL364" i="13"/>
  <c r="AL444" i="13"/>
  <c r="AL524" i="13"/>
  <c r="AL544" i="13"/>
  <c r="AL604" i="13"/>
  <c r="AQ364" i="13"/>
  <c r="AQ384" i="13"/>
  <c r="AR384" i="13" s="1"/>
  <c r="AS384" i="13" s="1"/>
  <c r="AQ444" i="13"/>
  <c r="AQ464" i="13"/>
  <c r="AQ524" i="13"/>
  <c r="AQ544" i="13"/>
  <c r="AQ604" i="13"/>
  <c r="AQ624" i="13"/>
  <c r="AV364" i="13"/>
  <c r="AV504" i="13"/>
  <c r="AV624" i="13"/>
  <c r="BA384" i="13"/>
  <c r="BB384" i="13" s="1"/>
  <c r="BC384" i="13" s="1"/>
  <c r="BA444" i="13"/>
  <c r="BA464" i="13"/>
  <c r="BA504" i="13"/>
  <c r="BA524" i="13"/>
  <c r="BA544" i="13"/>
  <c r="BA604" i="13"/>
  <c r="BA624" i="13"/>
  <c r="AG443" i="13"/>
  <c r="AG463" i="13"/>
  <c r="AG503" i="13"/>
  <c r="AG523" i="13"/>
  <c r="AG543" i="13"/>
  <c r="AG603" i="13"/>
  <c r="AG623" i="13"/>
  <c r="AL363" i="13"/>
  <c r="AL383" i="13"/>
  <c r="AM383" i="13" s="1"/>
  <c r="AN383" i="13" s="1"/>
  <c r="AL503" i="13"/>
  <c r="AL523" i="13"/>
  <c r="AL543" i="13"/>
  <c r="AL603" i="13"/>
  <c r="AL623" i="13"/>
  <c r="AQ363" i="13"/>
  <c r="AQ443" i="13"/>
  <c r="AQ463" i="13"/>
  <c r="AQ503" i="13"/>
  <c r="AQ523" i="13"/>
  <c r="AQ623" i="13"/>
  <c r="AV363" i="13"/>
  <c r="AV383" i="13"/>
  <c r="AW383" i="13" s="1"/>
  <c r="AX383" i="13" s="1"/>
  <c r="AV443" i="13"/>
  <c r="AV503" i="13"/>
  <c r="AV523" i="13"/>
  <c r="BA363" i="13"/>
  <c r="BA383" i="13"/>
  <c r="BB383" i="13" s="1"/>
  <c r="BC383" i="13" s="1"/>
  <c r="BA443" i="13"/>
  <c r="BA463" i="13"/>
  <c r="BA503" i="13"/>
  <c r="BA523" i="13"/>
  <c r="BA543" i="13"/>
  <c r="BA603" i="13"/>
  <c r="BA623" i="13"/>
  <c r="AG362" i="13"/>
  <c r="AG522" i="13"/>
  <c r="AG542" i="13"/>
  <c r="AL362" i="13"/>
  <c r="AL382" i="13"/>
  <c r="AM382" i="13" s="1"/>
  <c r="AN382" i="13" s="1"/>
  <c r="AL462" i="13"/>
  <c r="AL502" i="13"/>
  <c r="AL542" i="13"/>
  <c r="AL622" i="13"/>
  <c r="AQ362" i="13"/>
  <c r="AQ382" i="13"/>
  <c r="AR382" i="13" s="1"/>
  <c r="AS382" i="13" s="1"/>
  <c r="AQ442" i="13"/>
  <c r="AQ462" i="13"/>
  <c r="AQ502" i="13"/>
  <c r="AQ522" i="13"/>
  <c r="AQ602" i="13"/>
  <c r="AQ622" i="13"/>
  <c r="AV382" i="13"/>
  <c r="AW382" i="13" s="1"/>
  <c r="AX382" i="13" s="1"/>
  <c r="AV442" i="13"/>
  <c r="AV462" i="13"/>
  <c r="AV502" i="13"/>
  <c r="AV542" i="13"/>
  <c r="AV622" i="13"/>
  <c r="BA362" i="13"/>
  <c r="BA462" i="13"/>
  <c r="BA502" i="13"/>
  <c r="BA542" i="13"/>
  <c r="BA622" i="13"/>
  <c r="AG361" i="13"/>
  <c r="AG441" i="13"/>
  <c r="AG501" i="13"/>
  <c r="AG521" i="13"/>
  <c r="AG541" i="13"/>
  <c r="AG601" i="13"/>
  <c r="AG621" i="13"/>
  <c r="AL381" i="13"/>
  <c r="AM381" i="13" s="1"/>
  <c r="AN381" i="13" s="1"/>
  <c r="AL441" i="13"/>
  <c r="AL461" i="13"/>
  <c r="AL501" i="13"/>
  <c r="AL521" i="13"/>
  <c r="AL541" i="13"/>
  <c r="AL601" i="13"/>
  <c r="AL621" i="13"/>
  <c r="AQ361" i="13"/>
  <c r="AQ381" i="13"/>
  <c r="AR381" i="13" s="1"/>
  <c r="AS381" i="13" s="1"/>
  <c r="AQ441" i="13"/>
  <c r="AQ461" i="13"/>
  <c r="AQ521" i="13"/>
  <c r="AQ541" i="13"/>
  <c r="AQ601" i="13"/>
  <c r="AQ621" i="13"/>
  <c r="AV361" i="13"/>
  <c r="AV381" i="13"/>
  <c r="AW381" i="13" s="1"/>
  <c r="AX381" i="13" s="1"/>
  <c r="AV441" i="13"/>
  <c r="AV461" i="13"/>
  <c r="AV501" i="13"/>
  <c r="AV521" i="13"/>
  <c r="AV541" i="13"/>
  <c r="AV601" i="13"/>
  <c r="AV621" i="13"/>
  <c r="BA361" i="13"/>
  <c r="BA381" i="13"/>
  <c r="BB381" i="13" s="1"/>
  <c r="BC381" i="13" s="1"/>
  <c r="BA441" i="13"/>
  <c r="BA461" i="13"/>
  <c r="BA501" i="13"/>
  <c r="BA601" i="13"/>
  <c r="AG460" i="13"/>
  <c r="AG500" i="13"/>
  <c r="AG540" i="13"/>
  <c r="AG620" i="13"/>
  <c r="AH620" i="13" s="1"/>
  <c r="AI620" i="13" s="1"/>
  <c r="AL360" i="13"/>
  <c r="AL380" i="13"/>
  <c r="AM380" i="13" s="1"/>
  <c r="AN380" i="13" s="1"/>
  <c r="AL440" i="13"/>
  <c r="AL500" i="13"/>
  <c r="AL520" i="13"/>
  <c r="AM520" i="13" s="1"/>
  <c r="AN520" i="13" s="1"/>
  <c r="AL600" i="13"/>
  <c r="AQ360" i="13"/>
  <c r="AQ380" i="13"/>
  <c r="AR380" i="13" s="1"/>
  <c r="AS380" i="13" s="1"/>
  <c r="AQ440" i="13"/>
  <c r="AQ460" i="13"/>
  <c r="AQ500" i="13"/>
  <c r="AQ520" i="13"/>
  <c r="AR520" i="13" s="1"/>
  <c r="AS520" i="13" s="1"/>
  <c r="AQ540" i="13"/>
  <c r="AQ600" i="13"/>
  <c r="AQ620" i="13"/>
  <c r="AR620" i="13" s="1"/>
  <c r="AS620" i="13" s="1"/>
  <c r="AV360" i="13"/>
  <c r="AV380" i="13"/>
  <c r="AW380" i="13" s="1"/>
  <c r="AX380" i="13" s="1"/>
  <c r="AV440" i="13"/>
  <c r="AV460" i="13"/>
  <c r="AV500" i="13"/>
  <c r="AV520" i="13"/>
  <c r="AW520" i="13" s="1"/>
  <c r="AX520" i="13" s="1"/>
  <c r="AV540" i="13"/>
  <c r="AV600" i="13"/>
  <c r="AV620" i="13"/>
  <c r="AW620" i="13" s="1"/>
  <c r="AX620" i="13" s="1"/>
  <c r="BA360" i="13"/>
  <c r="BA380" i="13"/>
  <c r="BB380" i="13" s="1"/>
  <c r="BC380" i="13" s="1"/>
  <c r="BA440" i="13"/>
  <c r="BA460" i="13"/>
  <c r="BA500" i="13"/>
  <c r="BA520" i="13"/>
  <c r="BB520" i="13" s="1"/>
  <c r="BC520" i="13" s="1"/>
  <c r="BA540" i="13"/>
  <c r="BA600" i="13"/>
  <c r="BA620" i="13"/>
  <c r="BB620" i="13" s="1"/>
  <c r="BC620" i="13" s="1"/>
  <c r="AG359" i="13"/>
  <c r="AG379" i="13"/>
  <c r="AH379" i="13" s="1"/>
  <c r="AI379" i="13" s="1"/>
  <c r="AG439" i="13"/>
  <c r="AG459" i="13"/>
  <c r="AG499" i="13"/>
  <c r="AG519" i="13"/>
  <c r="AH519" i="13" s="1"/>
  <c r="AI519" i="13" s="1"/>
  <c r="AG539" i="13"/>
  <c r="AG599" i="13"/>
  <c r="AG619" i="13"/>
  <c r="AH619" i="13" s="1"/>
  <c r="AI619" i="13" s="1"/>
  <c r="AL359" i="13"/>
  <c r="AL379" i="13"/>
  <c r="AM379" i="13" s="1"/>
  <c r="AN379" i="13" s="1"/>
  <c r="AL439" i="13"/>
  <c r="AL459" i="13"/>
  <c r="AL499" i="13"/>
  <c r="AL519" i="13"/>
  <c r="AM519" i="13" s="1"/>
  <c r="AN519" i="13" s="1"/>
  <c r="AL539" i="13"/>
  <c r="AL599" i="13"/>
  <c r="AL619" i="13"/>
  <c r="AM619" i="13" s="1"/>
  <c r="AN619" i="13" s="1"/>
  <c r="AQ359" i="13"/>
  <c r="AQ379" i="13"/>
  <c r="AR379" i="13" s="1"/>
  <c r="AS379" i="13" s="1"/>
  <c r="AQ439" i="13"/>
  <c r="AQ459" i="13"/>
  <c r="AQ499" i="13"/>
  <c r="AQ519" i="13"/>
  <c r="AR519" i="13" s="1"/>
  <c r="AS519" i="13" s="1"/>
  <c r="AQ539" i="13"/>
  <c r="AQ599" i="13"/>
  <c r="AQ619" i="13"/>
  <c r="AR619" i="13" s="1"/>
  <c r="AS619" i="13" s="1"/>
  <c r="AV359" i="13"/>
  <c r="AV379" i="13"/>
  <c r="AW379" i="13" s="1"/>
  <c r="AX379" i="13" s="1"/>
  <c r="AV439" i="13"/>
  <c r="AV459" i="13"/>
  <c r="AV499" i="13"/>
  <c r="AV519" i="13"/>
  <c r="AW519" i="13" s="1"/>
  <c r="AX519" i="13" s="1"/>
  <c r="AV539" i="13"/>
  <c r="AV599" i="13"/>
  <c r="AV619" i="13"/>
  <c r="AW619" i="13" s="1"/>
  <c r="AX619" i="13" s="1"/>
  <c r="BA359" i="13"/>
  <c r="BA379" i="13"/>
  <c r="BB379" i="13" s="1"/>
  <c r="BC379" i="13" s="1"/>
  <c r="BA439" i="13"/>
  <c r="BA519" i="13"/>
  <c r="BB519" i="13" s="1"/>
  <c r="BC519" i="13" s="1"/>
  <c r="BA599" i="13"/>
  <c r="BA619" i="13"/>
  <c r="BB619" i="13" s="1"/>
  <c r="BC619" i="13" s="1"/>
  <c r="AG358" i="13"/>
  <c r="AG378" i="13"/>
  <c r="AH378" i="13" s="1"/>
  <c r="AI378" i="13" s="1"/>
  <c r="AG438" i="13"/>
  <c r="AG458" i="13"/>
  <c r="AG498" i="13"/>
  <c r="AG538" i="13"/>
  <c r="AG598" i="13"/>
  <c r="AL358" i="13"/>
  <c r="AL378" i="13"/>
  <c r="AM378" i="13" s="1"/>
  <c r="AN378" i="13" s="1"/>
  <c r="AL458" i="13"/>
  <c r="AL518" i="13"/>
  <c r="AM518" i="13" s="1"/>
  <c r="AN518" i="13" s="1"/>
  <c r="AL538" i="13"/>
  <c r="AL598" i="13"/>
  <c r="AL618" i="13"/>
  <c r="AM618" i="13" s="1"/>
  <c r="AN618" i="13" s="1"/>
  <c r="AQ358" i="13"/>
  <c r="AQ378" i="13"/>
  <c r="AR378" i="13" s="1"/>
  <c r="AS378" i="13" s="1"/>
  <c r="AQ438" i="13"/>
  <c r="AQ458" i="13"/>
  <c r="AQ498" i="13"/>
  <c r="AQ518" i="13"/>
  <c r="AR518" i="13" s="1"/>
  <c r="AS518" i="13" s="1"/>
  <c r="AQ538" i="13"/>
  <c r="AQ598" i="13"/>
  <c r="AQ618" i="13"/>
  <c r="AR618" i="13" s="1"/>
  <c r="AS618" i="13" s="1"/>
  <c r="AV378" i="13"/>
  <c r="AW378" i="13" s="1"/>
  <c r="AX378" i="13" s="1"/>
  <c r="AV438" i="13"/>
  <c r="AV498" i="13"/>
  <c r="AV518" i="13"/>
  <c r="AW518" i="13" s="1"/>
  <c r="AX518" i="13" s="1"/>
  <c r="AV538" i="13"/>
  <c r="AV598" i="13"/>
  <c r="AV618" i="13"/>
  <c r="AW618" i="13" s="1"/>
  <c r="AX618" i="13" s="1"/>
  <c r="BA358" i="13"/>
  <c r="BA438" i="13"/>
  <c r="BA458" i="13"/>
  <c r="BA518" i="13"/>
  <c r="BB518" i="13" s="1"/>
  <c r="BC518" i="13" s="1"/>
  <c r="BA538" i="13"/>
  <c r="BA618" i="13"/>
  <c r="BB618" i="13" s="1"/>
  <c r="BC618" i="13" s="1"/>
  <c r="AG357" i="13"/>
  <c r="AG377" i="13"/>
  <c r="AH377" i="13" s="1"/>
  <c r="AI377" i="13" s="1"/>
  <c r="AG437" i="13"/>
  <c r="AG457" i="13"/>
  <c r="AG497" i="13"/>
  <c r="AG517" i="13"/>
  <c r="AH517" i="13" s="1"/>
  <c r="AI517" i="13" s="1"/>
  <c r="AG537" i="13"/>
  <c r="AG597" i="13"/>
  <c r="AL357" i="13"/>
  <c r="AL377" i="13"/>
  <c r="AM377" i="13" s="1"/>
  <c r="AN377" i="13" s="1"/>
  <c r="AL457" i="13"/>
  <c r="AL497" i="13"/>
  <c r="AL517" i="13"/>
  <c r="AM517" i="13" s="1"/>
  <c r="AN517" i="13" s="1"/>
  <c r="AL537" i="13"/>
  <c r="AL597" i="13"/>
  <c r="AL617" i="13"/>
  <c r="AM617" i="13" s="1"/>
  <c r="AN617" i="13" s="1"/>
  <c r="AQ357" i="13"/>
  <c r="AQ437" i="13"/>
  <c r="AQ457" i="13"/>
  <c r="AQ497" i="13"/>
  <c r="AQ517" i="13"/>
  <c r="AR517" i="13" s="1"/>
  <c r="AS517" i="13" s="1"/>
  <c r="AQ537" i="13"/>
  <c r="AQ597" i="13"/>
  <c r="AQ617" i="13"/>
  <c r="AR617" i="13" s="1"/>
  <c r="AS617" i="13" s="1"/>
  <c r="AV357" i="13"/>
  <c r="AV377" i="13"/>
  <c r="AW377" i="13" s="1"/>
  <c r="AX377" i="13" s="1"/>
  <c r="AV437" i="13"/>
  <c r="AV457" i="13"/>
  <c r="AV497" i="13"/>
  <c r="AV517" i="13"/>
  <c r="AW517" i="13" s="1"/>
  <c r="AX517" i="13" s="1"/>
  <c r="AV537" i="13"/>
  <c r="AV597" i="13"/>
  <c r="AV617" i="13"/>
  <c r="AW617" i="13" s="1"/>
  <c r="AX617" i="13" s="1"/>
  <c r="BA377" i="13"/>
  <c r="BB377" i="13" s="1"/>
  <c r="BC377" i="13" s="1"/>
  <c r="BA437" i="13"/>
  <c r="BA497" i="13"/>
  <c r="BA517" i="13"/>
  <c r="BB517" i="13" s="1"/>
  <c r="BC517" i="13" s="1"/>
  <c r="BA537" i="13"/>
  <c r="BA597" i="13"/>
  <c r="BA617" i="13"/>
  <c r="BB617" i="13" s="1"/>
  <c r="BC617" i="13" s="1"/>
  <c r="AG356" i="13"/>
  <c r="AG376" i="13"/>
  <c r="AH376" i="13" s="1"/>
  <c r="AI376" i="13" s="1"/>
  <c r="AG496" i="13"/>
  <c r="AG516" i="13"/>
  <c r="AL356" i="13"/>
  <c r="AL436" i="13"/>
  <c r="AL496" i="13"/>
  <c r="AL516" i="13"/>
  <c r="AL596" i="13"/>
  <c r="AQ436" i="13"/>
  <c r="AQ456" i="13"/>
  <c r="AQ536" i="13"/>
  <c r="AQ596" i="13"/>
  <c r="AQ616" i="13"/>
  <c r="AV356" i="13"/>
  <c r="AV436" i="13"/>
  <c r="AV496" i="13"/>
  <c r="AV516" i="13"/>
  <c r="AV596" i="13"/>
  <c r="BA356" i="13"/>
  <c r="BA376" i="13"/>
  <c r="BB376" i="13" s="1"/>
  <c r="BC376" i="13" s="1"/>
  <c r="BA436" i="13"/>
  <c r="BA456" i="13"/>
  <c r="BA516" i="13"/>
  <c r="BA596" i="13"/>
  <c r="AG355" i="13"/>
  <c r="AG375" i="13"/>
  <c r="AH375" i="13" s="1"/>
  <c r="AI375" i="13" s="1"/>
  <c r="AG435" i="13"/>
  <c r="AG455" i="13"/>
  <c r="AG495" i="13"/>
  <c r="AG515" i="13"/>
  <c r="AG535" i="13"/>
  <c r="AG595" i="13"/>
  <c r="AG615" i="13"/>
  <c r="AL355" i="13"/>
  <c r="AL375" i="13"/>
  <c r="AM375" i="13" s="1"/>
  <c r="AN375" i="13" s="1"/>
  <c r="AL515" i="13"/>
  <c r="AL535" i="13"/>
  <c r="AL615" i="13"/>
  <c r="AQ355" i="13"/>
  <c r="AQ375" i="13"/>
  <c r="AR375" i="13" s="1"/>
  <c r="AS375" i="13" s="1"/>
  <c r="AQ435" i="13"/>
  <c r="AQ455" i="13"/>
  <c r="AQ495" i="13"/>
  <c r="AQ515" i="13"/>
  <c r="AQ535" i="13"/>
  <c r="AQ595" i="13"/>
  <c r="AQ615" i="13"/>
  <c r="AV355" i="13"/>
  <c r="AV375" i="13"/>
  <c r="AW375" i="13" s="1"/>
  <c r="AX375" i="13" s="1"/>
  <c r="AV435" i="13"/>
  <c r="AV455" i="13"/>
  <c r="AV495" i="13"/>
  <c r="AV515" i="13"/>
  <c r="AV535" i="13"/>
  <c r="AV595" i="13"/>
  <c r="AV615" i="13"/>
  <c r="BA355" i="13"/>
  <c r="BA375" i="13"/>
  <c r="BB375" i="13" s="1"/>
  <c r="BC375" i="13" s="1"/>
  <c r="BA435" i="13"/>
  <c r="BA455" i="13"/>
  <c r="BA495" i="13"/>
  <c r="BA515" i="13"/>
  <c r="BA535" i="13"/>
  <c r="BA595" i="13"/>
  <c r="BA615" i="13"/>
  <c r="AV787" i="13"/>
  <c r="AL785" i="13"/>
  <c r="AQ784" i="13"/>
  <c r="AQ782" i="13"/>
  <c r="AG782" i="13"/>
  <c r="AV781" i="13"/>
  <c r="BA780" i="13"/>
  <c r="AV780" i="13"/>
  <c r="AG780" i="13"/>
  <c r="AQ779" i="13"/>
  <c r="AQ777" i="13"/>
  <c r="AL776" i="13"/>
  <c r="AV775" i="13"/>
  <c r="AV786" i="13"/>
  <c r="AV785" i="13"/>
  <c r="AV784" i="13"/>
  <c r="AV783" i="13"/>
  <c r="AQ783" i="13"/>
  <c r="AQ781" i="13"/>
  <c r="AV779" i="13"/>
  <c r="AV777" i="13"/>
  <c r="AV776" i="13"/>
  <c r="BA775" i="13"/>
  <c r="BA777" i="13"/>
  <c r="BA778" i="13"/>
  <c r="BA779" i="13"/>
  <c r="BA783" i="13"/>
  <c r="BA785" i="13"/>
  <c r="BA787" i="13"/>
  <c r="AG777" i="13"/>
  <c r="AG779" i="13"/>
  <c r="AG785" i="13"/>
  <c r="AG787" i="13"/>
  <c r="AL777" i="13"/>
  <c r="AL780" i="13"/>
  <c r="AL781" i="13"/>
  <c r="AL787" i="13"/>
  <c r="AG783" i="13"/>
  <c r="AL783" i="13"/>
  <c r="AG775" i="13"/>
  <c r="AL775" i="13"/>
  <c r="AG776" i="13"/>
  <c r="AL778" i="13"/>
  <c r="AQ778" i="13"/>
  <c r="AV778" i="13"/>
  <c r="AL847" i="13" l="1"/>
  <c r="X264" i="13"/>
  <c r="AL264" i="13" s="1"/>
  <c r="X239" i="13"/>
  <c r="AL239" i="13" s="1"/>
  <c r="AL822" i="13"/>
  <c r="AL820" i="13"/>
  <c r="X237" i="13"/>
  <c r="AL237" i="13" s="1"/>
  <c r="AG844" i="13"/>
  <c r="W261" i="13"/>
  <c r="AG261" i="13" s="1"/>
  <c r="AG839" i="13"/>
  <c r="W256" i="13"/>
  <c r="AG256" i="13" s="1"/>
  <c r="BA847" i="13"/>
  <c r="AA264" i="13"/>
  <c r="BA264" i="13" s="1"/>
  <c r="BA824" i="13"/>
  <c r="AA241" i="13"/>
  <c r="BA241" i="13" s="1"/>
  <c r="BA815" i="13"/>
  <c r="AA232" i="13"/>
  <c r="BA232" i="13" s="1"/>
  <c r="AQ821" i="13"/>
  <c r="Y238" i="13"/>
  <c r="AQ238" i="13" s="1"/>
  <c r="AQ822" i="13"/>
  <c r="Y239" i="13"/>
  <c r="AQ239" i="13" s="1"/>
  <c r="AV825" i="13"/>
  <c r="Z242" i="13"/>
  <c r="AV242" i="13" s="1"/>
  <c r="AQ826" i="13"/>
  <c r="Y243" i="13"/>
  <c r="AQ243" i="13" s="1"/>
  <c r="AL344" i="13"/>
  <c r="BA341" i="13"/>
  <c r="BA340" i="13"/>
  <c r="BA336" i="13"/>
  <c r="AQ335" i="13"/>
  <c r="AV343" i="13"/>
  <c r="BA855" i="13"/>
  <c r="BA475" i="13"/>
  <c r="R422" i="11"/>
  <c r="AA272" i="13"/>
  <c r="BA272" i="13" s="1"/>
  <c r="AV575" i="13"/>
  <c r="AW575" i="13" s="1"/>
  <c r="AX575" i="13" s="1"/>
  <c r="Q460" i="11"/>
  <c r="N441" i="11"/>
  <c r="AG555" i="13"/>
  <c r="AL476" i="13"/>
  <c r="O423" i="11"/>
  <c r="X273" i="13"/>
  <c r="AL273" i="13" s="1"/>
  <c r="P443" i="11"/>
  <c r="AQ557" i="13"/>
  <c r="N444" i="11"/>
  <c r="AG558" i="13"/>
  <c r="AV559" i="13"/>
  <c r="Q445" i="11"/>
  <c r="N445" i="11"/>
  <c r="AG559" i="13"/>
  <c r="AV860" i="13"/>
  <c r="AV480" i="13"/>
  <c r="Q427" i="11"/>
  <c r="AQ580" i="13"/>
  <c r="AR580" i="13" s="1"/>
  <c r="AS580" i="13" s="1"/>
  <c r="P465" i="11"/>
  <c r="AL480" i="13"/>
  <c r="X277" i="13"/>
  <c r="AL277" i="13" s="1"/>
  <c r="O427" i="11"/>
  <c r="BA861" i="13"/>
  <c r="AQ481" i="13"/>
  <c r="P428" i="11"/>
  <c r="AL581" i="13"/>
  <c r="AM581" i="13" s="1"/>
  <c r="AN581" i="13" s="1"/>
  <c r="O466" i="11"/>
  <c r="AQ862" i="13"/>
  <c r="P449" i="11"/>
  <c r="AQ563" i="13"/>
  <c r="N449" i="11"/>
  <c r="AG563" i="13"/>
  <c r="AV864" i="13"/>
  <c r="AQ864" i="13"/>
  <c r="R453" i="11"/>
  <c r="BA567" i="13"/>
  <c r="Q434" i="11"/>
  <c r="Z284" i="13"/>
  <c r="AV284" i="13" s="1"/>
  <c r="AV487" i="13"/>
  <c r="AQ487" i="13"/>
  <c r="P434" i="11"/>
  <c r="BA400" i="13"/>
  <c r="AL401" i="13"/>
  <c r="AG402" i="13"/>
  <c r="AQ715" i="13"/>
  <c r="P479" i="11"/>
  <c r="BA658" i="13"/>
  <c r="P484" i="11"/>
  <c r="AQ720" i="13"/>
  <c r="AL660" i="13"/>
  <c r="X217" i="13"/>
  <c r="AL217" i="13" s="1"/>
  <c r="Y218" i="13"/>
  <c r="AQ218" i="13" s="1"/>
  <c r="AQ661" i="13"/>
  <c r="AL722" i="13"/>
  <c r="O486" i="11"/>
  <c r="Q488" i="11"/>
  <c r="AV724" i="13"/>
  <c r="AQ667" i="13"/>
  <c r="Y224" i="13"/>
  <c r="AQ224" i="13" s="1"/>
  <c r="AQ818" i="13"/>
  <c r="Y235" i="13"/>
  <c r="AQ235" i="13" s="1"/>
  <c r="X232" i="13"/>
  <c r="AL232" i="13" s="1"/>
  <c r="AL815" i="13"/>
  <c r="X263" i="13"/>
  <c r="AL263" i="13" s="1"/>
  <c r="AL846" i="13"/>
  <c r="AG824" i="13"/>
  <c r="W241" i="13"/>
  <c r="AG241" i="13" s="1"/>
  <c r="W258" i="13"/>
  <c r="AG258" i="13" s="1"/>
  <c r="AG841" i="13"/>
  <c r="BA827" i="13"/>
  <c r="AA244" i="13"/>
  <c r="BA244" i="13" s="1"/>
  <c r="AA257" i="13"/>
  <c r="BA257" i="13" s="1"/>
  <c r="BA840" i="13"/>
  <c r="BA837" i="13"/>
  <c r="AA254" i="13"/>
  <c r="BA254" i="13" s="1"/>
  <c r="Z234" i="13"/>
  <c r="AV234" i="13" s="1"/>
  <c r="AV817" i="13"/>
  <c r="Y257" i="13"/>
  <c r="AQ257" i="13" s="1"/>
  <c r="AQ840" i="13"/>
  <c r="Z243" i="13"/>
  <c r="AV243" i="13" s="1"/>
  <c r="AV826" i="13"/>
  <c r="AQ815" i="13"/>
  <c r="Y232" i="13"/>
  <c r="AQ232" i="13" s="1"/>
  <c r="AQ825" i="13"/>
  <c r="Y242" i="13"/>
  <c r="AQ242" i="13" s="1"/>
  <c r="AQ847" i="13"/>
  <c r="Y264" i="13"/>
  <c r="AQ264" i="13" s="1"/>
  <c r="AG347" i="13"/>
  <c r="BA345" i="13"/>
  <c r="AV341" i="13"/>
  <c r="AV340" i="13"/>
  <c r="AV339" i="13"/>
  <c r="AL338" i="13"/>
  <c r="AL337" i="13"/>
  <c r="AG342" i="13"/>
  <c r="AV555" i="13"/>
  <c r="Q441" i="11"/>
  <c r="AL857" i="13"/>
  <c r="AG577" i="13"/>
  <c r="AH577" i="13" s="1"/>
  <c r="AI577" i="13" s="1"/>
  <c r="N462" i="11"/>
  <c r="AV578" i="13"/>
  <c r="AW578" i="13" s="1"/>
  <c r="AX578" i="13" s="1"/>
  <c r="Q463" i="11"/>
  <c r="AQ858" i="13"/>
  <c r="AQ478" i="13"/>
  <c r="P425" i="11"/>
  <c r="Y275" i="13"/>
  <c r="AQ275" i="13" s="1"/>
  <c r="P426" i="11"/>
  <c r="AQ479" i="13"/>
  <c r="P446" i="11"/>
  <c r="AQ560" i="13"/>
  <c r="AL561" i="13"/>
  <c r="O447" i="11"/>
  <c r="AV482" i="13"/>
  <c r="Z279" i="13"/>
  <c r="AV279" i="13" s="1"/>
  <c r="Q429" i="11"/>
  <c r="X279" i="13"/>
  <c r="AL279" i="13" s="1"/>
  <c r="AL482" i="13"/>
  <c r="O429" i="11"/>
  <c r="R468" i="11"/>
  <c r="BA583" i="13"/>
  <c r="BB583" i="13" s="1"/>
  <c r="BC583" i="13" s="1"/>
  <c r="AV863" i="13"/>
  <c r="Q430" i="11"/>
  <c r="AV483" i="13"/>
  <c r="R469" i="11"/>
  <c r="BA584" i="13"/>
  <c r="BB584" i="13" s="1"/>
  <c r="BC584" i="13" s="1"/>
  <c r="R432" i="11"/>
  <c r="AA282" i="13"/>
  <c r="BA282" i="13" s="1"/>
  <c r="BA485" i="13"/>
  <c r="O451" i="11"/>
  <c r="AL565" i="13"/>
  <c r="O434" i="11"/>
  <c r="AL487" i="13"/>
  <c r="BA399" i="13"/>
  <c r="AV400" i="13"/>
  <c r="AG401" i="13"/>
  <c r="BA407" i="13"/>
  <c r="AA212" i="13"/>
  <c r="BA212" i="13" s="1"/>
  <c r="BA655" i="13"/>
  <c r="AL655" i="13"/>
  <c r="X212" i="13"/>
  <c r="AL212" i="13" s="1"/>
  <c r="AG656" i="13"/>
  <c r="O481" i="11"/>
  <c r="AL717" i="13"/>
  <c r="AG657" i="13"/>
  <c r="W214" i="13"/>
  <c r="AG214" i="13" s="1"/>
  <c r="AV718" i="13"/>
  <c r="Q482" i="11"/>
  <c r="AG658" i="13"/>
  <c r="W215" i="13"/>
  <c r="AG215" i="13" s="1"/>
  <c r="O483" i="11"/>
  <c r="AL719" i="13"/>
  <c r="AG659" i="13"/>
  <c r="W216" i="13"/>
  <c r="AG216" i="13" s="1"/>
  <c r="BA720" i="13"/>
  <c r="R484" i="11"/>
  <c r="Q485" i="11"/>
  <c r="AV721" i="13"/>
  <c r="AG661" i="13"/>
  <c r="W218" i="13"/>
  <c r="AG218" i="13" s="1"/>
  <c r="AV722" i="13"/>
  <c r="Q486" i="11"/>
  <c r="AA220" i="13"/>
  <c r="BA220" i="13" s="1"/>
  <c r="BA663" i="13"/>
  <c r="AV725" i="13"/>
  <c r="Q489" i="11"/>
  <c r="AQ665" i="13"/>
  <c r="AG665" i="13"/>
  <c r="Q491" i="11"/>
  <c r="AV727" i="13"/>
  <c r="AL816" i="13"/>
  <c r="X233" i="13"/>
  <c r="AL233" i="13" s="1"/>
  <c r="AG843" i="13"/>
  <c r="W260" i="13"/>
  <c r="AG260" i="13" s="1"/>
  <c r="AL825" i="13"/>
  <c r="X242" i="13"/>
  <c r="AL242" i="13" s="1"/>
  <c r="X258" i="13"/>
  <c r="AL258" i="13" s="1"/>
  <c r="AL841" i="13"/>
  <c r="AG847" i="13"/>
  <c r="W264" i="13"/>
  <c r="AG264" i="13" s="1"/>
  <c r="AG840" i="13"/>
  <c r="W257" i="13"/>
  <c r="AG257" i="13" s="1"/>
  <c r="AG819" i="13"/>
  <c r="W236" i="13"/>
  <c r="AG236" i="13" s="1"/>
  <c r="BA843" i="13"/>
  <c r="AA260" i="13"/>
  <c r="BA260" i="13" s="1"/>
  <c r="AA237" i="13"/>
  <c r="BA237" i="13" s="1"/>
  <c r="BA820" i="13"/>
  <c r="BA817" i="13"/>
  <c r="AA234" i="13"/>
  <c r="BA234" i="13" s="1"/>
  <c r="Z257" i="13"/>
  <c r="AV257" i="13" s="1"/>
  <c r="AV840" i="13"/>
  <c r="AG820" i="13"/>
  <c r="W237" i="13"/>
  <c r="AG237" i="13" s="1"/>
  <c r="Z238" i="13"/>
  <c r="AV238" i="13" s="1"/>
  <c r="AV821" i="13"/>
  <c r="AG344" i="13"/>
  <c r="AL335" i="13"/>
  <c r="AQ343" i="13"/>
  <c r="AQ855" i="13"/>
  <c r="AQ475" i="13"/>
  <c r="Y272" i="13"/>
  <c r="AQ272" i="13" s="1"/>
  <c r="P422" i="11"/>
  <c r="AQ856" i="13"/>
  <c r="BA857" i="13"/>
  <c r="AA274" i="13"/>
  <c r="BA274" i="13" s="1"/>
  <c r="BA477" i="13"/>
  <c r="R424" i="11"/>
  <c r="AV577" i="13"/>
  <c r="AW577" i="13" s="1"/>
  <c r="AX577" i="13" s="1"/>
  <c r="Q462" i="11"/>
  <c r="N443" i="11"/>
  <c r="AG557" i="13"/>
  <c r="BA478" i="13"/>
  <c r="R425" i="11"/>
  <c r="AV558" i="13"/>
  <c r="Q444" i="11"/>
  <c r="AL558" i="13"/>
  <c r="O444" i="11"/>
  <c r="R464" i="11"/>
  <c r="BA579" i="13"/>
  <c r="BB579" i="13" s="1"/>
  <c r="BC579" i="13" s="1"/>
  <c r="AL579" i="13"/>
  <c r="AM579" i="13" s="1"/>
  <c r="AN579" i="13" s="1"/>
  <c r="O464" i="11"/>
  <c r="AL860" i="13"/>
  <c r="BA581" i="13"/>
  <c r="BB581" i="13" s="1"/>
  <c r="BC581" i="13" s="1"/>
  <c r="R466" i="11"/>
  <c r="AG861" i="13"/>
  <c r="AG481" i="13"/>
  <c r="W278" i="13"/>
  <c r="AG278" i="13" s="1"/>
  <c r="N428" i="11"/>
  <c r="AV862" i="13"/>
  <c r="AL583" i="13"/>
  <c r="AM583" i="13" s="1"/>
  <c r="AN583" i="13" s="1"/>
  <c r="O468" i="11"/>
  <c r="AV585" i="13"/>
  <c r="AW585" i="13" s="1"/>
  <c r="AX585" i="13" s="1"/>
  <c r="Q470" i="11"/>
  <c r="AQ485" i="13"/>
  <c r="P432" i="11"/>
  <c r="Y282" i="13"/>
  <c r="AQ282" i="13" s="1"/>
  <c r="N470" i="11"/>
  <c r="AG585" i="13"/>
  <c r="AH585" i="13" s="1"/>
  <c r="AI585" i="13" s="1"/>
  <c r="AG487" i="13"/>
  <c r="N434" i="11"/>
  <c r="BA396" i="13"/>
  <c r="BA397" i="13"/>
  <c r="BA398" i="13"/>
  <c r="AV399" i="13"/>
  <c r="AL400" i="13"/>
  <c r="BA405" i="13"/>
  <c r="AV407" i="13"/>
  <c r="AQ656" i="13"/>
  <c r="R481" i="11"/>
  <c r="BA717" i="13"/>
  <c r="R483" i="11"/>
  <c r="BA719" i="13"/>
  <c r="AG720" i="13"/>
  <c r="N484" i="11"/>
  <c r="AG724" i="13"/>
  <c r="N488" i="11"/>
  <c r="O491" i="11"/>
  <c r="AL727" i="13"/>
  <c r="AL838" i="13"/>
  <c r="X255" i="13"/>
  <c r="AL255" i="13" s="1"/>
  <c r="W252" i="13"/>
  <c r="AG252" i="13" s="1"/>
  <c r="AG835" i="13"/>
  <c r="AG823" i="13"/>
  <c r="W240" i="13"/>
  <c r="AG240" i="13" s="1"/>
  <c r="W238" i="13"/>
  <c r="AG238" i="13" s="1"/>
  <c r="AG821" i="13"/>
  <c r="BA846" i="13"/>
  <c r="AA263" i="13"/>
  <c r="BA263" i="13" s="1"/>
  <c r="BA823" i="13"/>
  <c r="AA240" i="13"/>
  <c r="BA240" i="13" s="1"/>
  <c r="AA256" i="13"/>
  <c r="BA256" i="13" s="1"/>
  <c r="BA839" i="13"/>
  <c r="Z237" i="13"/>
  <c r="AV237" i="13" s="1"/>
  <c r="AV820" i="13"/>
  <c r="Z260" i="13"/>
  <c r="AV260" i="13" s="1"/>
  <c r="AV843" i="13"/>
  <c r="AV824" i="13"/>
  <c r="Z241" i="13"/>
  <c r="AV241" i="13" s="1"/>
  <c r="Y259" i="13"/>
  <c r="AQ259" i="13" s="1"/>
  <c r="AQ842" i="13"/>
  <c r="AQ340" i="13"/>
  <c r="AQ339" i="13"/>
  <c r="AG338" i="13"/>
  <c r="BA337" i="13"/>
  <c r="BA342" i="13"/>
  <c r="R460" i="11"/>
  <c r="BA575" i="13"/>
  <c r="BB575" i="13" s="1"/>
  <c r="BC575" i="13" s="1"/>
  <c r="O441" i="11"/>
  <c r="AL555" i="13"/>
  <c r="AV557" i="13"/>
  <c r="Q443" i="11"/>
  <c r="W275" i="13"/>
  <c r="AG275" i="13" s="1"/>
  <c r="N425" i="11"/>
  <c r="AG478" i="13"/>
  <c r="BA559" i="13"/>
  <c r="R445" i="11"/>
  <c r="AL559" i="13"/>
  <c r="O445" i="11"/>
  <c r="R427" i="11"/>
  <c r="BA480" i="13"/>
  <c r="AA277" i="13"/>
  <c r="BA277" i="13" s="1"/>
  <c r="Q465" i="11"/>
  <c r="AV580" i="13"/>
  <c r="AW580" i="13" s="1"/>
  <c r="AX580" i="13" s="1"/>
  <c r="AV861" i="13"/>
  <c r="Q428" i="11"/>
  <c r="Z278" i="13"/>
  <c r="AV278" i="13" s="1"/>
  <c r="AV481" i="13"/>
  <c r="AQ562" i="13"/>
  <c r="P448" i="11"/>
  <c r="AL862" i="13"/>
  <c r="AQ483" i="13"/>
  <c r="P430" i="11"/>
  <c r="AL563" i="13"/>
  <c r="O449" i="11"/>
  <c r="AV584" i="13"/>
  <c r="AW584" i="13" s="1"/>
  <c r="AX584" i="13" s="1"/>
  <c r="Q469" i="11"/>
  <c r="AQ564" i="13"/>
  <c r="P450" i="11"/>
  <c r="AG564" i="13"/>
  <c r="N450" i="11"/>
  <c r="BA865" i="13"/>
  <c r="AQ865" i="13"/>
  <c r="AG565" i="13"/>
  <c r="N451" i="11"/>
  <c r="BA487" i="13"/>
  <c r="R434" i="11"/>
  <c r="AV587" i="13"/>
  <c r="AW587" i="13" s="1"/>
  <c r="AX587" i="13" s="1"/>
  <c r="Q472" i="11"/>
  <c r="AQ867" i="13"/>
  <c r="AV395" i="13"/>
  <c r="AV396" i="13"/>
  <c r="AV397" i="13"/>
  <c r="AV398" i="13"/>
  <c r="AQ399" i="13"/>
  <c r="AG400" i="13"/>
  <c r="BA403" i="13"/>
  <c r="BA404" i="13"/>
  <c r="AV405" i="13"/>
  <c r="AL407" i="13"/>
  <c r="AV715" i="13"/>
  <c r="Q479" i="11"/>
  <c r="Y212" i="13"/>
  <c r="AQ212" i="13" s="1"/>
  <c r="AQ655" i="13"/>
  <c r="N479" i="11"/>
  <c r="AG715" i="13"/>
  <c r="AV658" i="13"/>
  <c r="AQ660" i="13"/>
  <c r="Y217" i="13"/>
  <c r="AQ217" i="13" s="1"/>
  <c r="AV661" i="13"/>
  <c r="AV662" i="13"/>
  <c r="AL662" i="13"/>
  <c r="X219" i="13"/>
  <c r="AL219" i="13" s="1"/>
  <c r="AG723" i="13"/>
  <c r="N487" i="11"/>
  <c r="AQ724" i="13"/>
  <c r="P488" i="11"/>
  <c r="AL725" i="13"/>
  <c r="O489" i="11"/>
  <c r="AG816" i="13"/>
  <c r="W233" i="13"/>
  <c r="AG233" i="13" s="1"/>
  <c r="AG815" i="13"/>
  <c r="W232" i="13"/>
  <c r="AG232" i="13" s="1"/>
  <c r="AL821" i="13"/>
  <c r="X238" i="13"/>
  <c r="AL238" i="13" s="1"/>
  <c r="AG837" i="13"/>
  <c r="W254" i="13"/>
  <c r="AG254" i="13" s="1"/>
  <c r="BA845" i="13"/>
  <c r="AA262" i="13"/>
  <c r="BA262" i="13" s="1"/>
  <c r="BA819" i="13"/>
  <c r="AA236" i="13"/>
  <c r="BA236" i="13" s="1"/>
  <c r="BA836" i="13"/>
  <c r="AA253" i="13"/>
  <c r="BA253" i="13" s="1"/>
  <c r="AV835" i="13"/>
  <c r="Z252" i="13"/>
  <c r="AV252" i="13" s="1"/>
  <c r="AV836" i="13"/>
  <c r="Z253" i="13"/>
  <c r="AV253" i="13" s="1"/>
  <c r="AQ839" i="13"/>
  <c r="Y256" i="13"/>
  <c r="AQ256" i="13" s="1"/>
  <c r="AQ841" i="13"/>
  <c r="Y258" i="13"/>
  <c r="AQ258" i="13" s="1"/>
  <c r="X253" i="13"/>
  <c r="AL253" i="13" s="1"/>
  <c r="AL836" i="13"/>
  <c r="Z259" i="13"/>
  <c r="AV259" i="13" s="1"/>
  <c r="AV842" i="13"/>
  <c r="Y240" i="13"/>
  <c r="AQ240" i="13" s="1"/>
  <c r="AQ823" i="13"/>
  <c r="AV347" i="13"/>
  <c r="BA344" i="13"/>
  <c r="AQ341" i="13"/>
  <c r="AG336" i="13"/>
  <c r="BA335" i="13"/>
  <c r="AV342" i="13"/>
  <c r="AG343" i="13"/>
  <c r="BA555" i="13"/>
  <c r="R441" i="11"/>
  <c r="AG855" i="13"/>
  <c r="AG475" i="13"/>
  <c r="N422" i="11"/>
  <c r="W272" i="13"/>
  <c r="AG272" i="13" s="1"/>
  <c r="R461" i="11"/>
  <c r="BA576" i="13"/>
  <c r="BB576" i="13" s="1"/>
  <c r="BC576" i="13" s="1"/>
  <c r="AV576" i="13"/>
  <c r="AW576" i="13" s="1"/>
  <c r="AX576" i="13" s="1"/>
  <c r="Q461" i="11"/>
  <c r="O461" i="11"/>
  <c r="AL576" i="13"/>
  <c r="AM576" i="13" s="1"/>
  <c r="AN576" i="13" s="1"/>
  <c r="P424" i="11"/>
  <c r="AQ477" i="13"/>
  <c r="Y274" i="13"/>
  <c r="AQ274" i="13" s="1"/>
  <c r="AL577" i="13"/>
  <c r="AM577" i="13" s="1"/>
  <c r="AN577" i="13" s="1"/>
  <c r="O462" i="11"/>
  <c r="AQ578" i="13"/>
  <c r="AR578" i="13" s="1"/>
  <c r="AS578" i="13" s="1"/>
  <c r="P463" i="11"/>
  <c r="AG858" i="13"/>
  <c r="AV859" i="13"/>
  <c r="AV479" i="13"/>
  <c r="Q426" i="11"/>
  <c r="Z276" i="13"/>
  <c r="AV276" i="13" s="1"/>
  <c r="P464" i="11"/>
  <c r="AQ579" i="13"/>
  <c r="AR579" i="13" s="1"/>
  <c r="AS579" i="13" s="1"/>
  <c r="AG859" i="13"/>
  <c r="AG479" i="13"/>
  <c r="N426" i="11"/>
  <c r="W276" i="13"/>
  <c r="AG276" i="13" s="1"/>
  <c r="Q446" i="11"/>
  <c r="AV560" i="13"/>
  <c r="AL580" i="13"/>
  <c r="AM580" i="13" s="1"/>
  <c r="AN580" i="13" s="1"/>
  <c r="O465" i="11"/>
  <c r="AG860" i="13"/>
  <c r="P447" i="11"/>
  <c r="AQ561" i="13"/>
  <c r="BA582" i="13"/>
  <c r="BB582" i="13" s="1"/>
  <c r="BC582" i="13" s="1"/>
  <c r="R467" i="11"/>
  <c r="AG863" i="13"/>
  <c r="W280" i="13"/>
  <c r="AG280" i="13" s="1"/>
  <c r="N430" i="11"/>
  <c r="AG483" i="13"/>
  <c r="O450" i="11"/>
  <c r="AL564" i="13"/>
  <c r="BA867" i="13"/>
  <c r="Q453" i="11"/>
  <c r="AV567" i="13"/>
  <c r="AQ395" i="13"/>
  <c r="AQ396" i="13"/>
  <c r="AQ397" i="13"/>
  <c r="AQ398" i="13"/>
  <c r="AL399" i="13"/>
  <c r="BA402" i="13"/>
  <c r="AV403" i="13"/>
  <c r="AQ404" i="13"/>
  <c r="AG407" i="13"/>
  <c r="BA656" i="13"/>
  <c r="O480" i="11"/>
  <c r="AL716" i="13"/>
  <c r="P481" i="11"/>
  <c r="AQ717" i="13"/>
  <c r="X214" i="13"/>
  <c r="AL214" i="13" s="1"/>
  <c r="AL657" i="13"/>
  <c r="AL658" i="13"/>
  <c r="X215" i="13"/>
  <c r="AL215" i="13" s="1"/>
  <c r="P483" i="11"/>
  <c r="AQ719" i="13"/>
  <c r="X216" i="13"/>
  <c r="AL216" i="13" s="1"/>
  <c r="AL659" i="13"/>
  <c r="AG660" i="13"/>
  <c r="BA721" i="13"/>
  <c r="R485" i="11"/>
  <c r="AL661" i="13"/>
  <c r="Q487" i="11"/>
  <c r="AV723" i="13"/>
  <c r="AQ663" i="13"/>
  <c r="AG664" i="13"/>
  <c r="R489" i="11"/>
  <c r="BA725" i="13"/>
  <c r="AV665" i="13"/>
  <c r="Z222" i="13"/>
  <c r="AV222" i="13" s="1"/>
  <c r="Z224" i="13"/>
  <c r="AV224" i="13" s="1"/>
  <c r="AV667" i="13"/>
  <c r="AL839" i="13"/>
  <c r="X256" i="13"/>
  <c r="AL256" i="13" s="1"/>
  <c r="W262" i="13"/>
  <c r="AG262" i="13" s="1"/>
  <c r="AG845" i="13"/>
  <c r="W234" i="13"/>
  <c r="AG234" i="13" s="1"/>
  <c r="AG817" i="13"/>
  <c r="AA259" i="13"/>
  <c r="BA259" i="13" s="1"/>
  <c r="BA842" i="13"/>
  <c r="BA816" i="13"/>
  <c r="AA233" i="13"/>
  <c r="BA233" i="13" s="1"/>
  <c r="Z239" i="13"/>
  <c r="AV239" i="13" s="1"/>
  <c r="AV822" i="13"/>
  <c r="Y241" i="13"/>
  <c r="AQ241" i="13" s="1"/>
  <c r="AQ824" i="13"/>
  <c r="AQ845" i="13"/>
  <c r="Y262" i="13"/>
  <c r="AQ262" i="13" s="1"/>
  <c r="AL340" i="13"/>
  <c r="AL339" i="13"/>
  <c r="BA338" i="13"/>
  <c r="AV337" i="13"/>
  <c r="Q422" i="11"/>
  <c r="AV475" i="13"/>
  <c r="Z272" i="13"/>
  <c r="AV272" i="13" s="1"/>
  <c r="AQ575" i="13"/>
  <c r="AR575" i="13" s="1"/>
  <c r="AS575" i="13" s="1"/>
  <c r="P460" i="11"/>
  <c r="AV556" i="13"/>
  <c r="Q442" i="11"/>
  <c r="AL556" i="13"/>
  <c r="O442" i="11"/>
  <c r="R462" i="11"/>
  <c r="BA577" i="13"/>
  <c r="BB577" i="13" s="1"/>
  <c r="BC577" i="13" s="1"/>
  <c r="AL557" i="13"/>
  <c r="O443" i="11"/>
  <c r="BA858" i="13"/>
  <c r="P444" i="11"/>
  <c r="AQ558" i="13"/>
  <c r="AQ860" i="13"/>
  <c r="P427" i="11"/>
  <c r="Y277" i="13"/>
  <c r="AQ277" i="13" s="1"/>
  <c r="AQ480" i="13"/>
  <c r="O446" i="11"/>
  <c r="AL560" i="13"/>
  <c r="AL861" i="13"/>
  <c r="AL481" i="13"/>
  <c r="O428" i="11"/>
  <c r="AG581" i="13"/>
  <c r="AH581" i="13" s="1"/>
  <c r="AI581" i="13" s="1"/>
  <c r="N466" i="11"/>
  <c r="AV582" i="13"/>
  <c r="AW582" i="13" s="1"/>
  <c r="AX582" i="13" s="1"/>
  <c r="Q467" i="11"/>
  <c r="AL582" i="13"/>
  <c r="AM582" i="13" s="1"/>
  <c r="AN582" i="13" s="1"/>
  <c r="O467" i="11"/>
  <c r="AV563" i="13"/>
  <c r="Q449" i="11"/>
  <c r="AQ863" i="13"/>
  <c r="AG484" i="13"/>
  <c r="N431" i="11"/>
  <c r="R470" i="11"/>
  <c r="BA585" i="13"/>
  <c r="BB585" i="13" s="1"/>
  <c r="BC585" i="13" s="1"/>
  <c r="AV865" i="13"/>
  <c r="P472" i="11"/>
  <c r="AQ587" i="13"/>
  <c r="AR587" i="13" s="1"/>
  <c r="AS587" i="13" s="1"/>
  <c r="AG867" i="13"/>
  <c r="AL395" i="13"/>
  <c r="AL396" i="13"/>
  <c r="AL397" i="13"/>
  <c r="AL398" i="13"/>
  <c r="AG399" i="13"/>
  <c r="AV402" i="13"/>
  <c r="AQ403" i="13"/>
  <c r="AL404" i="13"/>
  <c r="AG405" i="13"/>
  <c r="BA657" i="13"/>
  <c r="AA214" i="13"/>
  <c r="BA214" i="13" s="1"/>
  <c r="AQ718" i="13"/>
  <c r="P482" i="11"/>
  <c r="AA216" i="13"/>
  <c r="BA216" i="13" s="1"/>
  <c r="BA659" i="13"/>
  <c r="O484" i="11"/>
  <c r="AL720" i="13"/>
  <c r="AQ721" i="13"/>
  <c r="P485" i="11"/>
  <c r="AQ722" i="13"/>
  <c r="P486" i="11"/>
  <c r="BA724" i="13"/>
  <c r="R488" i="11"/>
  <c r="AQ664" i="13"/>
  <c r="AL667" i="13"/>
  <c r="X224" i="13"/>
  <c r="AL224" i="13" s="1"/>
  <c r="Z255" i="13"/>
  <c r="AV255" i="13" s="1"/>
  <c r="AV838" i="13"/>
  <c r="X236" i="13"/>
  <c r="AL236" i="13" s="1"/>
  <c r="AL819" i="13"/>
  <c r="W259" i="13"/>
  <c r="AG259" i="13" s="1"/>
  <c r="AG842" i="13"/>
  <c r="BA841" i="13"/>
  <c r="AA258" i="13"/>
  <c r="BA258" i="13" s="1"/>
  <c r="AA255" i="13"/>
  <c r="BA255" i="13" s="1"/>
  <c r="BA838" i="13"/>
  <c r="Z232" i="13"/>
  <c r="AV232" i="13" s="1"/>
  <c r="AV815" i="13"/>
  <c r="Z233" i="13"/>
  <c r="AV233" i="13" s="1"/>
  <c r="AV816" i="13"/>
  <c r="Z240" i="13"/>
  <c r="AV240" i="13" s="1"/>
  <c r="AV823" i="13"/>
  <c r="AV845" i="13"/>
  <c r="Z262" i="13"/>
  <c r="AV262" i="13" s="1"/>
  <c r="Z263" i="13"/>
  <c r="AV263" i="13" s="1"/>
  <c r="AV846" i="13"/>
  <c r="AQ817" i="13"/>
  <c r="Y234" i="13"/>
  <c r="AQ234" i="13" s="1"/>
  <c r="AV819" i="13"/>
  <c r="Z236" i="13"/>
  <c r="AV236" i="13" s="1"/>
  <c r="AV841" i="13"/>
  <c r="Z258" i="13"/>
  <c r="AV258" i="13" s="1"/>
  <c r="AA239" i="13"/>
  <c r="BA239" i="13" s="1"/>
  <c r="BA822" i="13"/>
  <c r="AQ344" i="13"/>
  <c r="AL341" i="13"/>
  <c r="AV335" i="13"/>
  <c r="AQ342" i="13"/>
  <c r="P441" i="11"/>
  <c r="AQ555" i="13"/>
  <c r="R443" i="11"/>
  <c r="BA557" i="13"/>
  <c r="AG857" i="13"/>
  <c r="AG477" i="13"/>
  <c r="N424" i="11"/>
  <c r="W274" i="13"/>
  <c r="AG274" i="13" s="1"/>
  <c r="AV858" i="13"/>
  <c r="AV478" i="13"/>
  <c r="Q425" i="11"/>
  <c r="Z275" i="13"/>
  <c r="AV275" i="13" s="1"/>
  <c r="AL858" i="13"/>
  <c r="AL478" i="13"/>
  <c r="O425" i="11"/>
  <c r="AL859" i="13"/>
  <c r="R465" i="11"/>
  <c r="BA580" i="13"/>
  <c r="BB580" i="13" s="1"/>
  <c r="BC580" i="13" s="1"/>
  <c r="N465" i="11"/>
  <c r="AG580" i="13"/>
  <c r="AH580" i="13" s="1"/>
  <c r="AI580" i="13" s="1"/>
  <c r="BA481" i="13"/>
  <c r="R428" i="11"/>
  <c r="Q466" i="11"/>
  <c r="AV581" i="13"/>
  <c r="AW581" i="13" s="1"/>
  <c r="AX581" i="13" s="1"/>
  <c r="N447" i="11"/>
  <c r="AG561" i="13"/>
  <c r="Q448" i="11"/>
  <c r="AV562" i="13"/>
  <c r="AQ482" i="13"/>
  <c r="P429" i="11"/>
  <c r="O448" i="11"/>
  <c r="AL562" i="13"/>
  <c r="BA863" i="13"/>
  <c r="BA864" i="13"/>
  <c r="P431" i="11"/>
  <c r="AQ484" i="13"/>
  <c r="BA565" i="13"/>
  <c r="R451" i="11"/>
  <c r="AQ585" i="13"/>
  <c r="AR585" i="13" s="1"/>
  <c r="AS585" i="13" s="1"/>
  <c r="P470" i="11"/>
  <c r="AL865" i="13"/>
  <c r="W282" i="13"/>
  <c r="AG282" i="13" s="1"/>
  <c r="AG485" i="13"/>
  <c r="N432" i="11"/>
  <c r="AQ567" i="13"/>
  <c r="P453" i="11"/>
  <c r="O453" i="11"/>
  <c r="AL567" i="13"/>
  <c r="AG395" i="13"/>
  <c r="AG396" i="13"/>
  <c r="AG397" i="13"/>
  <c r="BA401" i="13"/>
  <c r="AL403" i="13"/>
  <c r="AG404" i="13"/>
  <c r="R479" i="11"/>
  <c r="BA715" i="13"/>
  <c r="AL715" i="13"/>
  <c r="O479" i="11"/>
  <c r="AG655" i="13"/>
  <c r="W212" i="13"/>
  <c r="AG212" i="13" s="1"/>
  <c r="AV716" i="13"/>
  <c r="Q480" i="11"/>
  <c r="N481" i="11"/>
  <c r="AG717" i="13"/>
  <c r="BA718" i="13"/>
  <c r="R482" i="11"/>
  <c r="AG718" i="13"/>
  <c r="N482" i="11"/>
  <c r="AG719" i="13"/>
  <c r="N483" i="11"/>
  <c r="Z217" i="13"/>
  <c r="AV217" i="13" s="1"/>
  <c r="AV660" i="13"/>
  <c r="AG721" i="13"/>
  <c r="N485" i="11"/>
  <c r="BA722" i="13"/>
  <c r="R486" i="11"/>
  <c r="AG662" i="13"/>
  <c r="R487" i="11"/>
  <c r="BA723" i="13"/>
  <c r="AL723" i="13"/>
  <c r="O487" i="11"/>
  <c r="AG663" i="13"/>
  <c r="W220" i="13"/>
  <c r="AG220" i="13" s="1"/>
  <c r="AQ725" i="13"/>
  <c r="P489" i="11"/>
  <c r="X222" i="13"/>
  <c r="AL222" i="13" s="1"/>
  <c r="AL665" i="13"/>
  <c r="AV818" i="13"/>
  <c r="Z235" i="13"/>
  <c r="AV235" i="13" s="1"/>
  <c r="AG825" i="13"/>
  <c r="W242" i="13"/>
  <c r="AG242" i="13" s="1"/>
  <c r="BA844" i="13"/>
  <c r="AA261" i="13"/>
  <c r="BA261" i="13" s="1"/>
  <c r="BA821" i="13"/>
  <c r="AA238" i="13"/>
  <c r="BA238" i="13" s="1"/>
  <c r="AA235" i="13"/>
  <c r="BA235" i="13" s="1"/>
  <c r="BA818" i="13"/>
  <c r="BA835" i="13"/>
  <c r="AA252" i="13"/>
  <c r="BA252" i="13" s="1"/>
  <c r="AV837" i="13"/>
  <c r="Z254" i="13"/>
  <c r="AV254" i="13" s="1"/>
  <c r="Y236" i="13"/>
  <c r="AQ236" i="13" s="1"/>
  <c r="AQ819" i="13"/>
  <c r="AV844" i="13"/>
  <c r="Z261" i="13"/>
  <c r="AV261" i="13" s="1"/>
  <c r="AQ837" i="13"/>
  <c r="Y254" i="13"/>
  <c r="AQ254" i="13" s="1"/>
  <c r="AQ827" i="13"/>
  <c r="Y244" i="13"/>
  <c r="AQ244" i="13" s="1"/>
  <c r="AL347" i="13"/>
  <c r="AG345" i="13"/>
  <c r="AG340" i="13"/>
  <c r="BA339" i="13"/>
  <c r="AG339" i="13"/>
  <c r="AQ338" i="13"/>
  <c r="AQ337" i="13"/>
  <c r="AL855" i="13"/>
  <c r="AG575" i="13"/>
  <c r="AH575" i="13" s="1"/>
  <c r="AI575" i="13" s="1"/>
  <c r="N460" i="11"/>
  <c r="AQ476" i="13"/>
  <c r="P423" i="11"/>
  <c r="AV857" i="13"/>
  <c r="Z274" i="13"/>
  <c r="AV274" i="13" s="1"/>
  <c r="AV477" i="13"/>
  <c r="Q424" i="11"/>
  <c r="P462" i="11"/>
  <c r="AQ577" i="13"/>
  <c r="AR577" i="13" s="1"/>
  <c r="AS577" i="13" s="1"/>
  <c r="BA558" i="13"/>
  <c r="R444" i="11"/>
  <c r="AG578" i="13"/>
  <c r="AH578" i="13" s="1"/>
  <c r="AI578" i="13" s="1"/>
  <c r="N463" i="11"/>
  <c r="BA859" i="13"/>
  <c r="AA276" i="13"/>
  <c r="BA276" i="13" s="1"/>
  <c r="R426" i="11"/>
  <c r="BA479" i="13"/>
  <c r="AV579" i="13"/>
  <c r="AW579" i="13" s="1"/>
  <c r="AX579" i="13" s="1"/>
  <c r="Q464" i="11"/>
  <c r="AG579" i="13"/>
  <c r="AH579" i="13" s="1"/>
  <c r="AI579" i="13" s="1"/>
  <c r="N464" i="11"/>
  <c r="BA560" i="13"/>
  <c r="R446" i="11"/>
  <c r="Q447" i="11"/>
  <c r="AV561" i="13"/>
  <c r="BA482" i="13"/>
  <c r="R429" i="11"/>
  <c r="N448" i="11"/>
  <c r="AG562" i="13"/>
  <c r="P468" i="11"/>
  <c r="AQ583" i="13"/>
  <c r="AR583" i="13" s="1"/>
  <c r="AS583" i="13" s="1"/>
  <c r="AL483" i="13"/>
  <c r="O430" i="11"/>
  <c r="X280" i="13"/>
  <c r="AL280" i="13" s="1"/>
  <c r="N468" i="11"/>
  <c r="AG583" i="13"/>
  <c r="AH583" i="13" s="1"/>
  <c r="AI583" i="13" s="1"/>
  <c r="O431" i="11"/>
  <c r="AL484" i="13"/>
  <c r="P451" i="11"/>
  <c r="AQ565" i="13"/>
  <c r="AG587" i="13"/>
  <c r="AH587" i="13" s="1"/>
  <c r="AI587" i="13" s="1"/>
  <c r="N472" i="11"/>
  <c r="AV401" i="13"/>
  <c r="AL402" i="13"/>
  <c r="Q481" i="11"/>
  <c r="AV717" i="13"/>
  <c r="Y214" i="13"/>
  <c r="AQ214" i="13" s="1"/>
  <c r="AQ657" i="13"/>
  <c r="AV719" i="13"/>
  <c r="Q483" i="11"/>
  <c r="Y216" i="13"/>
  <c r="AQ216" i="13" s="1"/>
  <c r="AQ659" i="13"/>
  <c r="AA218" i="13"/>
  <c r="BA218" i="13" s="1"/>
  <c r="BA661" i="13"/>
  <c r="Z220" i="13"/>
  <c r="AV220" i="13" s="1"/>
  <c r="AV663" i="13"/>
  <c r="BA665" i="13"/>
  <c r="AA222" i="13"/>
  <c r="BA222" i="13" s="1"/>
  <c r="AG725" i="13"/>
  <c r="N489" i="11"/>
  <c r="N491" i="11"/>
  <c r="AG727" i="13"/>
  <c r="AL786" i="13"/>
  <c r="BA506" i="13"/>
  <c r="AV626" i="13"/>
  <c r="AV546" i="13"/>
  <c r="AV466" i="13"/>
  <c r="AV386" i="13"/>
  <c r="AW386" i="13" s="1"/>
  <c r="AX386" i="13" s="1"/>
  <c r="AQ506" i="13"/>
  <c r="AL626" i="13"/>
  <c r="AL546" i="13"/>
  <c r="AL466" i="13"/>
  <c r="AL386" i="13"/>
  <c r="AM386" i="13" s="1"/>
  <c r="AN386" i="13" s="1"/>
  <c r="AG506" i="13"/>
  <c r="AV706" i="13"/>
  <c r="AL706" i="13"/>
  <c r="AQ786" i="13"/>
  <c r="AV606" i="13"/>
  <c r="AV526" i="13"/>
  <c r="AV446" i="13"/>
  <c r="AV366" i="13"/>
  <c r="AL606" i="13"/>
  <c r="AL526" i="13"/>
  <c r="AL446" i="13"/>
  <c r="AL366" i="13"/>
  <c r="AV806" i="13"/>
  <c r="AW806" i="13" s="1"/>
  <c r="AX806" i="13" s="1"/>
  <c r="AV686" i="13"/>
  <c r="AL806" i="13"/>
  <c r="AM806" i="13" s="1"/>
  <c r="AN806" i="13" s="1"/>
  <c r="AL686" i="13"/>
  <c r="BA626" i="13"/>
  <c r="AV506" i="13"/>
  <c r="AQ626" i="13"/>
  <c r="AQ386" i="13"/>
  <c r="AR386" i="13" s="1"/>
  <c r="AS386" i="13" s="1"/>
  <c r="AQ706" i="13"/>
  <c r="AG706" i="13"/>
  <c r="AG786" i="13"/>
  <c r="BA606" i="13"/>
  <c r="BA526" i="13"/>
  <c r="BA446" i="13"/>
  <c r="BA366" i="13"/>
  <c r="AQ366" i="13"/>
  <c r="AG606" i="13"/>
  <c r="AG526" i="13"/>
  <c r="AG446" i="13"/>
  <c r="AG366" i="13"/>
  <c r="BA806" i="13"/>
  <c r="BB806" i="13" s="1"/>
  <c r="BC806" i="13" s="1"/>
  <c r="BA686" i="13"/>
  <c r="AQ806" i="13"/>
  <c r="AR806" i="13" s="1"/>
  <c r="AS806" i="13" s="1"/>
  <c r="AQ686" i="13"/>
  <c r="AL427" i="13"/>
  <c r="AL761" i="13"/>
  <c r="BA747" i="13"/>
  <c r="AG747" i="13"/>
  <c r="AG704" i="13"/>
  <c r="AL435" i="13"/>
  <c r="AV603" i="13"/>
  <c r="AQ545" i="13"/>
  <c r="AG465" i="13"/>
  <c r="BA546" i="13"/>
  <c r="BA386" i="13"/>
  <c r="BB386" i="13" s="1"/>
  <c r="BC386" i="13" s="1"/>
  <c r="AL547" i="13"/>
  <c r="AV463" i="13"/>
  <c r="AQ603" i="13"/>
  <c r="AQ546" i="13"/>
  <c r="AG386" i="13"/>
  <c r="AH386" i="13" s="1"/>
  <c r="AI386" i="13" s="1"/>
  <c r="AV467" i="13"/>
  <c r="AQ543" i="13"/>
  <c r="AQ465" i="13"/>
  <c r="BA466" i="13"/>
  <c r="AQ466" i="13"/>
  <c r="AV387" i="13"/>
  <c r="AW387" i="13" s="1"/>
  <c r="AX387" i="13" s="1"/>
  <c r="AQ507" i="13"/>
  <c r="AL627" i="13"/>
  <c r="BA525" i="13"/>
  <c r="AG805" i="13"/>
  <c r="AH805" i="13" s="1"/>
  <c r="AI805" i="13" s="1"/>
  <c r="AG686" i="13"/>
  <c r="W284" i="13"/>
  <c r="AG284" i="13" s="1"/>
  <c r="AV763" i="13"/>
  <c r="AG745" i="13"/>
  <c r="AG746" i="13"/>
  <c r="AQ423" i="13"/>
  <c r="AV544" i="13"/>
  <c r="AV464" i="13"/>
  <c r="AL624" i="13"/>
  <c r="AL464" i="13"/>
  <c r="AL384" i="13"/>
  <c r="AM384" i="13" s="1"/>
  <c r="AN384" i="13" s="1"/>
  <c r="AG504" i="13"/>
  <c r="BA704" i="13"/>
  <c r="BA744" i="13"/>
  <c r="AV424" i="13"/>
  <c r="AV742" i="13"/>
  <c r="AQ640" i="13"/>
  <c r="AL421" i="13"/>
  <c r="BA417" i="13"/>
  <c r="AQ735" i="13"/>
  <c r="BA496" i="13"/>
  <c r="AV616" i="13"/>
  <c r="AV536" i="13"/>
  <c r="AV456" i="13"/>
  <c r="AV376" i="13"/>
  <c r="AW376" i="13" s="1"/>
  <c r="AX376" i="13" s="1"/>
  <c r="AL616" i="13"/>
  <c r="AL536" i="13"/>
  <c r="AL456" i="13"/>
  <c r="AL376" i="13"/>
  <c r="AM376" i="13" s="1"/>
  <c r="AN376" i="13" s="1"/>
  <c r="BA616" i="13"/>
  <c r="BA536" i="13"/>
  <c r="AG456" i="13"/>
  <c r="BA696" i="13"/>
  <c r="AQ756" i="13"/>
  <c r="AQ696" i="13"/>
  <c r="BA416" i="13"/>
  <c r="AV676" i="13"/>
  <c r="AL676" i="13"/>
  <c r="AQ516" i="13"/>
  <c r="AQ356" i="13"/>
  <c r="AG422" i="13"/>
  <c r="AV782" i="13"/>
  <c r="BA422" i="13"/>
  <c r="BA539" i="13"/>
  <c r="BA459" i="13"/>
  <c r="BA541" i="13"/>
  <c r="AV675" i="13"/>
  <c r="AL637" i="13"/>
  <c r="AQ419" i="13"/>
  <c r="AL419" i="13"/>
  <c r="AV423" i="13"/>
  <c r="AL735" i="13"/>
  <c r="AG755" i="13"/>
  <c r="AG737" i="13"/>
  <c r="AG742" i="13"/>
  <c r="AG763" i="13"/>
  <c r="AL745" i="13"/>
  <c r="AQ776" i="13"/>
  <c r="AV635" i="13"/>
  <c r="AL415" i="13"/>
  <c r="AQ416" i="13"/>
  <c r="AG416" i="13"/>
  <c r="AQ421" i="13"/>
  <c r="AG423" i="13"/>
  <c r="AQ644" i="13"/>
  <c r="AQ755" i="13"/>
  <c r="AG735" i="13"/>
  <c r="AG736" i="13"/>
  <c r="AL737" i="13"/>
  <c r="BA759" i="13"/>
  <c r="AQ760" i="13"/>
  <c r="AL743" i="13"/>
  <c r="BA746" i="13"/>
  <c r="AL779" i="13"/>
  <c r="AQ775" i="13"/>
  <c r="BA635" i="13"/>
  <c r="AV416" i="13"/>
  <c r="AQ418" i="13"/>
  <c r="AQ415" i="13"/>
  <c r="AG417" i="13"/>
  <c r="AL438" i="13"/>
  <c r="AV425" i="13"/>
  <c r="AL426" i="13"/>
  <c r="BA647" i="13"/>
  <c r="BA639" i="13"/>
  <c r="AV639" i="13"/>
  <c r="AL423" i="13"/>
  <c r="BA645" i="13"/>
  <c r="AQ425" i="13"/>
  <c r="AG425" i="13"/>
  <c r="AL417" i="13"/>
  <c r="BA419" i="13"/>
  <c r="AV641" i="13"/>
  <c r="AL757" i="13"/>
  <c r="AG761" i="13"/>
  <c r="AQ745" i="13"/>
  <c r="BA735" i="13"/>
  <c r="AG758" i="13"/>
  <c r="AQ759" i="13"/>
  <c r="AL739" i="13"/>
  <c r="AG759" i="13"/>
  <c r="BA742" i="13"/>
  <c r="AL742" i="13"/>
  <c r="BA763" i="13"/>
  <c r="AV747" i="13"/>
  <c r="AG757" i="13"/>
  <c r="AV760" i="13"/>
  <c r="AL760" i="13"/>
  <c r="BA761" i="13"/>
  <c r="BA765" i="13"/>
  <c r="AG765" i="13"/>
  <c r="AL747" i="13"/>
  <c r="BA755" i="13"/>
  <c r="AV735" i="13"/>
  <c r="BA736" i="13"/>
  <c r="BA758" i="13"/>
  <c r="AG738" i="13"/>
  <c r="AQ739" i="13"/>
  <c r="AL759" i="13"/>
  <c r="AL763" i="13"/>
  <c r="BA357" i="13"/>
  <c r="AL437" i="13"/>
  <c r="AG617" i="13"/>
  <c r="AH617" i="13" s="1"/>
  <c r="AI617" i="13" s="1"/>
  <c r="AQ757" i="13"/>
  <c r="AV637" i="13"/>
  <c r="BA757" i="13"/>
  <c r="AG646" i="13"/>
  <c r="AQ746" i="13"/>
  <c r="BA426" i="13"/>
  <c r="AQ426" i="13"/>
  <c r="AQ787" i="13"/>
  <c r="AV767" i="13"/>
  <c r="BA767" i="13"/>
  <c r="AV647" i="13"/>
  <c r="AQ547" i="13"/>
  <c r="BA427" i="13"/>
  <c r="AV427" i="13"/>
  <c r="AL767" i="13"/>
  <c r="AQ647" i="13"/>
  <c r="AQ427" i="13"/>
  <c r="AL647" i="13"/>
  <c r="AQ767" i="13"/>
  <c r="AG383" i="13"/>
  <c r="AH383" i="13" s="1"/>
  <c r="AI383" i="13" s="1"/>
  <c r="AQ803" i="13"/>
  <c r="AR803" i="13" s="1"/>
  <c r="AS803" i="13" s="1"/>
  <c r="AQ683" i="13"/>
  <c r="AG363" i="13"/>
  <c r="AV623" i="13"/>
  <c r="AL463" i="13"/>
  <c r="Y280" i="13"/>
  <c r="AQ280" i="13" s="1"/>
  <c r="AV543" i="13"/>
  <c r="AL443" i="13"/>
  <c r="AQ703" i="13"/>
  <c r="AG643" i="13"/>
  <c r="BA743" i="13"/>
  <c r="AV743" i="13"/>
  <c r="AQ743" i="13"/>
  <c r="AQ643" i="13"/>
  <c r="AL643" i="13"/>
  <c r="BA643" i="13"/>
  <c r="AV643" i="13"/>
  <c r="AQ764" i="13"/>
  <c r="AG784" i="13"/>
  <c r="AL644" i="13"/>
  <c r="AL784" i="13"/>
  <c r="AQ504" i="13"/>
  <c r="BA804" i="13"/>
  <c r="BB804" i="13" s="1"/>
  <c r="BC804" i="13" s="1"/>
  <c r="AL764" i="13"/>
  <c r="AQ424" i="13"/>
  <c r="AL424" i="13"/>
  <c r="AG644" i="13"/>
  <c r="AV744" i="13"/>
  <c r="AQ744" i="13"/>
  <c r="AL744" i="13"/>
  <c r="BA644" i="13"/>
  <c r="BA424" i="13"/>
  <c r="AV644" i="13"/>
  <c r="BA764" i="13"/>
  <c r="AV764" i="13"/>
  <c r="AL525" i="13"/>
  <c r="AL445" i="13"/>
  <c r="AQ785" i="13"/>
  <c r="AQ705" i="13"/>
  <c r="BA745" i="13"/>
  <c r="AL765" i="13"/>
  <c r="BA425" i="13"/>
  <c r="AV645" i="13"/>
  <c r="AQ645" i="13"/>
  <c r="AL645" i="13"/>
  <c r="AG645" i="13"/>
  <c r="AV765" i="13"/>
  <c r="AV426" i="13"/>
  <c r="AV746" i="13"/>
  <c r="AL766" i="13"/>
  <c r="AQ646" i="13"/>
  <c r="BA646" i="13"/>
  <c r="AV646" i="13"/>
  <c r="AQ766" i="13"/>
  <c r="AG766" i="13"/>
  <c r="AV761" i="13"/>
  <c r="AL361" i="13"/>
  <c r="AG781" i="13"/>
  <c r="BA521" i="13"/>
  <c r="AQ501" i="13"/>
  <c r="BA641" i="13"/>
  <c r="BA421" i="13"/>
  <c r="AL641" i="13"/>
  <c r="AL741" i="13"/>
  <c r="BA741" i="13"/>
  <c r="AV741" i="13"/>
  <c r="AQ741" i="13"/>
  <c r="AQ641" i="13"/>
  <c r="AG421" i="13"/>
  <c r="AQ761" i="13"/>
  <c r="BA522" i="13"/>
  <c r="AV522" i="13"/>
  <c r="AG502" i="13"/>
  <c r="AV762" i="13"/>
  <c r="AQ642" i="13"/>
  <c r="AL602" i="13"/>
  <c r="AL442" i="13"/>
  <c r="AG602" i="13"/>
  <c r="AG442" i="13"/>
  <c r="AV802" i="13"/>
  <c r="AW802" i="13" s="1"/>
  <c r="AX802" i="13" s="1"/>
  <c r="AG802" i="13"/>
  <c r="AH802" i="13" s="1"/>
  <c r="AI802" i="13" s="1"/>
  <c r="BA602" i="13"/>
  <c r="BA442" i="13"/>
  <c r="BA382" i="13"/>
  <c r="BB382" i="13" s="1"/>
  <c r="BC382" i="13" s="1"/>
  <c r="AL642" i="13"/>
  <c r="BA762" i="13"/>
  <c r="AV682" i="13"/>
  <c r="BA782" i="13"/>
  <c r="AV602" i="13"/>
  <c r="AQ422" i="13"/>
  <c r="AQ762" i="13"/>
  <c r="AV422" i="13"/>
  <c r="AL762" i="13"/>
  <c r="AL420" i="13"/>
  <c r="BA420" i="13"/>
  <c r="AG380" i="13"/>
  <c r="AH380" i="13" s="1"/>
  <c r="AI380" i="13" s="1"/>
  <c r="BA760" i="13"/>
  <c r="BA700" i="13"/>
  <c r="AQ780" i="13"/>
  <c r="AV420" i="13"/>
  <c r="AL640" i="13"/>
  <c r="AV640" i="13"/>
  <c r="AG420" i="13"/>
  <c r="BA740" i="13"/>
  <c r="AQ740" i="13"/>
  <c r="AL740" i="13"/>
  <c r="AG640" i="13"/>
  <c r="AV740" i="13"/>
  <c r="AV739" i="13"/>
  <c r="AG639" i="13"/>
  <c r="BA418" i="13"/>
  <c r="AL498" i="13"/>
  <c r="AV758" i="13"/>
  <c r="AV418" i="13"/>
  <c r="AL418" i="13"/>
  <c r="AG638" i="13"/>
  <c r="BA798" i="13"/>
  <c r="BB798" i="13" s="1"/>
  <c r="BC798" i="13" s="1"/>
  <c r="AQ758" i="13"/>
  <c r="AL758" i="13"/>
  <c r="BA598" i="13"/>
  <c r="BA498" i="13"/>
  <c r="BA638" i="13"/>
  <c r="AA275" i="13"/>
  <c r="BA275" i="13" s="1"/>
  <c r="BA738" i="13"/>
  <c r="AV738" i="13"/>
  <c r="AL595" i="13"/>
  <c r="AL455" i="13"/>
  <c r="AL416" i="13"/>
  <c r="AL495" i="13"/>
  <c r="AQ376" i="13"/>
  <c r="AR376" i="13" s="1"/>
  <c r="AS376" i="13" s="1"/>
  <c r="AG436" i="13"/>
  <c r="AQ635" i="13"/>
  <c r="AG636" i="13"/>
  <c r="BA636" i="13"/>
  <c r="AQ637" i="13"/>
  <c r="BA737" i="13"/>
  <c r="BA756" i="13"/>
  <c r="AQ736" i="13"/>
  <c r="AV417" i="13"/>
  <c r="AV756" i="13"/>
  <c r="AV736" i="13"/>
  <c r="AV737" i="13"/>
  <c r="AL756" i="13"/>
  <c r="AL782" i="13"/>
  <c r="BA776" i="13"/>
  <c r="BA784" i="13"/>
  <c r="BA781" i="13"/>
  <c r="F520" i="11" l="1"/>
  <c r="L519" i="11"/>
  <c r="F523" i="11"/>
  <c r="J519" i="11"/>
  <c r="L521" i="11"/>
  <c r="H519" i="11"/>
  <c r="H517" i="11"/>
  <c r="H520" i="11"/>
  <c r="J521" i="11"/>
  <c r="J522" i="11"/>
  <c r="L517" i="11"/>
  <c r="F529" i="11"/>
  <c r="L527" i="11"/>
  <c r="O503" i="11"/>
  <c r="Q502" i="11"/>
  <c r="R498" i="11"/>
  <c r="AA284" i="13"/>
  <c r="BA284" i="13" s="1"/>
  <c r="Q500" i="11"/>
  <c r="P501" i="11"/>
  <c r="AL827" i="13"/>
  <c r="X244" i="13"/>
  <c r="AL244" i="13" s="1"/>
  <c r="AQ316" i="13"/>
  <c r="AL475" i="13"/>
  <c r="O422" i="11"/>
  <c r="F517" i="11" s="1"/>
  <c r="X272" i="13"/>
  <c r="AL272" i="13" s="1"/>
  <c r="AL336" i="13"/>
  <c r="BA320" i="13"/>
  <c r="AL326" i="13"/>
  <c r="AL345" i="13"/>
  <c r="R450" i="11"/>
  <c r="BA564" i="13"/>
  <c r="AL863" i="13"/>
  <c r="AG827" i="13"/>
  <c r="W244" i="13"/>
  <c r="AG244" i="13" s="1"/>
  <c r="AQ835" i="13"/>
  <c r="Y252" i="13"/>
  <c r="AQ252" i="13" s="1"/>
  <c r="AL325" i="13"/>
  <c r="BA315" i="13"/>
  <c r="AQ716" i="13"/>
  <c r="P480" i="11"/>
  <c r="AA273" i="13"/>
  <c r="BA273" i="13" s="1"/>
  <c r="BA476" i="13"/>
  <c r="R423" i="11"/>
  <c r="Y253" i="13"/>
  <c r="AQ253" i="13" s="1"/>
  <c r="AQ836" i="13"/>
  <c r="Y233" i="13"/>
  <c r="AQ233" i="13" s="1"/>
  <c r="AQ816" i="13"/>
  <c r="P461" i="11"/>
  <c r="AQ576" i="13"/>
  <c r="AR576" i="13" s="1"/>
  <c r="AS576" i="13" s="1"/>
  <c r="BA321" i="13"/>
  <c r="AQ844" i="13"/>
  <c r="Y261" i="13"/>
  <c r="AQ261" i="13" s="1"/>
  <c r="AG584" i="13"/>
  <c r="AH584" i="13" s="1"/>
  <c r="AI584" i="13" s="1"/>
  <c r="N469" i="11"/>
  <c r="Y202" i="13"/>
  <c r="AQ202" i="13" s="1"/>
  <c r="AQ405" i="13"/>
  <c r="AQ866" i="13"/>
  <c r="AV867" i="13"/>
  <c r="AQ346" i="13"/>
  <c r="AQ406" i="13"/>
  <c r="AQ486" i="13"/>
  <c r="P433" i="11"/>
  <c r="Y283" i="13"/>
  <c r="AQ283" i="13" s="1"/>
  <c r="W194" i="13"/>
  <c r="AG194" i="13" s="1"/>
  <c r="P500" i="11"/>
  <c r="X204" i="13"/>
  <c r="AL204" i="13" s="1"/>
  <c r="Z193" i="13"/>
  <c r="AV193" i="13" s="1"/>
  <c r="R500" i="11"/>
  <c r="Q510" i="11"/>
  <c r="X260" i="13"/>
  <c r="AL260" i="13" s="1"/>
  <c r="AL843" i="13"/>
  <c r="AG838" i="13"/>
  <c r="W255" i="13"/>
  <c r="AG255" i="13" s="1"/>
  <c r="AV316" i="13"/>
  <c r="AQ318" i="13"/>
  <c r="BA562" i="13"/>
  <c r="R448" i="11"/>
  <c r="R505" i="11" s="1"/>
  <c r="AA219" i="13"/>
  <c r="BA219" i="13" s="1"/>
  <c r="BA662" i="13"/>
  <c r="AV321" i="13"/>
  <c r="BA323" i="13"/>
  <c r="BA347" i="13"/>
  <c r="AQ327" i="13"/>
  <c r="AV655" i="13"/>
  <c r="Z212" i="13"/>
  <c r="AV212" i="13" s="1"/>
  <c r="BA556" i="13"/>
  <c r="R442" i="11"/>
  <c r="AL664" i="13"/>
  <c r="X221" i="13"/>
  <c r="AL221" i="13" s="1"/>
  <c r="AL864" i="13"/>
  <c r="R430" i="11"/>
  <c r="F525" i="11" s="1"/>
  <c r="BA483" i="13"/>
  <c r="AA280" i="13"/>
  <c r="BA280" i="13" s="1"/>
  <c r="P490" i="11"/>
  <c r="AQ726" i="13"/>
  <c r="AQ566" i="13"/>
  <c r="P452" i="11"/>
  <c r="AL826" i="13"/>
  <c r="X243" i="13"/>
  <c r="AL243" i="13" s="1"/>
  <c r="AQ846" i="13"/>
  <c r="Y263" i="13"/>
  <c r="AQ263" i="13" s="1"/>
  <c r="N500" i="11"/>
  <c r="Z199" i="13"/>
  <c r="AV199" i="13" s="1"/>
  <c r="X193" i="13"/>
  <c r="AL193" i="13" s="1"/>
  <c r="Z200" i="13"/>
  <c r="AV200" i="13" s="1"/>
  <c r="Y213" i="13"/>
  <c r="AQ213" i="13" s="1"/>
  <c r="Q505" i="11"/>
  <c r="P498" i="11"/>
  <c r="AQ317" i="13"/>
  <c r="AG856" i="13"/>
  <c r="AL318" i="13"/>
  <c r="AV322" i="13"/>
  <c r="P466" i="11"/>
  <c r="P504" i="11" s="1"/>
  <c r="AQ581" i="13"/>
  <c r="AR581" i="13" s="1"/>
  <c r="AS581" i="13" s="1"/>
  <c r="O432" i="11"/>
  <c r="AL485" i="13"/>
  <c r="AQ723" i="13"/>
  <c r="P487" i="11"/>
  <c r="P506" i="11" s="1"/>
  <c r="BA327" i="13"/>
  <c r="X252" i="13"/>
  <c r="AL252" i="13" s="1"/>
  <c r="AL835" i="13"/>
  <c r="AQ402" i="13"/>
  <c r="Y199" i="13"/>
  <c r="AQ199" i="13" s="1"/>
  <c r="AV344" i="13"/>
  <c r="AV325" i="13"/>
  <c r="AV586" i="13"/>
  <c r="AW586" i="13" s="1"/>
  <c r="AX586" i="13" s="1"/>
  <c r="Q471" i="11"/>
  <c r="AV345" i="13"/>
  <c r="BA587" i="13"/>
  <c r="BB587" i="13" s="1"/>
  <c r="BC587" i="13" s="1"/>
  <c r="R472" i="11"/>
  <c r="AV726" i="13"/>
  <c r="Q490" i="11"/>
  <c r="AL486" i="13"/>
  <c r="O433" i="11"/>
  <c r="AV666" i="13"/>
  <c r="Z223" i="13"/>
  <c r="AV223" i="13" s="1"/>
  <c r="AG486" i="13"/>
  <c r="W283" i="13"/>
  <c r="AG283" i="13" s="1"/>
  <c r="N433" i="11"/>
  <c r="P508" i="11"/>
  <c r="N502" i="11"/>
  <c r="R508" i="11"/>
  <c r="O499" i="11"/>
  <c r="Z219" i="13"/>
  <c r="AV219" i="13" s="1"/>
  <c r="Z202" i="13"/>
  <c r="AV202" i="13" s="1"/>
  <c r="Y196" i="13"/>
  <c r="AQ196" i="13" s="1"/>
  <c r="BA825" i="13"/>
  <c r="AA242" i="13"/>
  <c r="BA242" i="13" s="1"/>
  <c r="R463" i="11"/>
  <c r="R501" i="11" s="1"/>
  <c r="BA578" i="13"/>
  <c r="BB578" i="13" s="1"/>
  <c r="BC578" i="13" s="1"/>
  <c r="AL818" i="13"/>
  <c r="X235" i="13"/>
  <c r="AL235" i="13" s="1"/>
  <c r="AL840" i="13"/>
  <c r="X257" i="13"/>
  <c r="AL257" i="13" s="1"/>
  <c r="BA322" i="13"/>
  <c r="AG341" i="13"/>
  <c r="AL844" i="13"/>
  <c r="X261" i="13"/>
  <c r="AL261" i="13" s="1"/>
  <c r="W200" i="13"/>
  <c r="AG200" i="13" s="1"/>
  <c r="AG403" i="13"/>
  <c r="AL663" i="13"/>
  <c r="X220" i="13"/>
  <c r="AL220" i="13" s="1"/>
  <c r="BA317" i="13"/>
  <c r="AV315" i="13"/>
  <c r="X284" i="13"/>
  <c r="AL284" i="13" s="1"/>
  <c r="AL587" i="13"/>
  <c r="AM587" i="13" s="1"/>
  <c r="AN587" i="13" s="1"/>
  <c r="O472" i="11"/>
  <c r="O510" i="11" s="1"/>
  <c r="Q423" i="11"/>
  <c r="Q499" i="11" s="1"/>
  <c r="Z273" i="13"/>
  <c r="AV273" i="13" s="1"/>
  <c r="AV476" i="13"/>
  <c r="X213" i="13"/>
  <c r="AL213" i="13" s="1"/>
  <c r="AL656" i="13"/>
  <c r="AV839" i="13"/>
  <c r="Z256" i="13"/>
  <c r="AV256" i="13" s="1"/>
  <c r="AQ584" i="13"/>
  <c r="AR584" i="13" s="1"/>
  <c r="AS584" i="13" s="1"/>
  <c r="P469" i="11"/>
  <c r="P507" i="11" s="1"/>
  <c r="AG567" i="13"/>
  <c r="N453" i="11"/>
  <c r="H529" i="11" s="1"/>
  <c r="AL566" i="13"/>
  <c r="O452" i="11"/>
  <c r="AV346" i="13"/>
  <c r="AG566" i="13"/>
  <c r="N452" i="11"/>
  <c r="AG666" i="13"/>
  <c r="W223" i="13"/>
  <c r="AG223" i="13" s="1"/>
  <c r="AV866" i="13"/>
  <c r="AL479" i="13"/>
  <c r="O426" i="11"/>
  <c r="F521" i="11" s="1"/>
  <c r="X276" i="13"/>
  <c r="AL276" i="13" s="1"/>
  <c r="AA279" i="13"/>
  <c r="BA279" i="13" s="1"/>
  <c r="Y281" i="13"/>
  <c r="AQ281" i="13" s="1"/>
  <c r="W202" i="13"/>
  <c r="AG202" i="13" s="1"/>
  <c r="X192" i="13"/>
  <c r="AL192" i="13" s="1"/>
  <c r="W221" i="13"/>
  <c r="AG221" i="13" s="1"/>
  <c r="AA213" i="13"/>
  <c r="BA213" i="13" s="1"/>
  <c r="AA199" i="13"/>
  <c r="BA199" i="13" s="1"/>
  <c r="N498" i="11"/>
  <c r="Z204" i="13"/>
  <c r="AV204" i="13" s="1"/>
  <c r="AA195" i="13"/>
  <c r="BA195" i="13" s="1"/>
  <c r="Y222" i="13"/>
  <c r="AQ222" i="13" s="1"/>
  <c r="W199" i="13"/>
  <c r="AG199" i="13" s="1"/>
  <c r="AG576" i="13"/>
  <c r="AH576" i="13" s="1"/>
  <c r="AI576" i="13" s="1"/>
  <c r="N461" i="11"/>
  <c r="BA862" i="13"/>
  <c r="AQ326" i="13"/>
  <c r="AV583" i="13"/>
  <c r="AW583" i="13" s="1"/>
  <c r="AX583" i="13" s="1"/>
  <c r="Q468" i="11"/>
  <c r="Q506" i="11" s="1"/>
  <c r="AV326" i="13"/>
  <c r="AQ857" i="13"/>
  <c r="AQ325" i="13"/>
  <c r="AL575" i="13"/>
  <c r="AM575" i="13" s="1"/>
  <c r="AN575" i="13" s="1"/>
  <c r="O460" i="11"/>
  <c r="BA716" i="13"/>
  <c r="R480" i="11"/>
  <c r="AL315" i="13"/>
  <c r="BA866" i="13"/>
  <c r="R449" i="11"/>
  <c r="H525" i="11" s="1"/>
  <c r="BA563" i="13"/>
  <c r="R490" i="11"/>
  <c r="BA726" i="13"/>
  <c r="AG406" i="13"/>
  <c r="AL866" i="13"/>
  <c r="N501" i="11"/>
  <c r="X200" i="13"/>
  <c r="AL200" i="13" s="1"/>
  <c r="AA201" i="13"/>
  <c r="BA201" i="13" s="1"/>
  <c r="Z195" i="13"/>
  <c r="AV195" i="13" s="1"/>
  <c r="Z280" i="13"/>
  <c r="AV280" i="13" s="1"/>
  <c r="AL817" i="13"/>
  <c r="X234" i="13"/>
  <c r="AL234" i="13" s="1"/>
  <c r="P442" i="11"/>
  <c r="AQ556" i="13"/>
  <c r="X254" i="13"/>
  <c r="AL254" i="13" s="1"/>
  <c r="AL837" i="13"/>
  <c r="Y255" i="13"/>
  <c r="AQ255" i="13" s="1"/>
  <c r="AQ838" i="13"/>
  <c r="AL322" i="13"/>
  <c r="AG582" i="13"/>
  <c r="AH582" i="13" s="1"/>
  <c r="AI582" i="13" s="1"/>
  <c r="N467" i="11"/>
  <c r="BA326" i="13"/>
  <c r="BA484" i="13"/>
  <c r="R431" i="11"/>
  <c r="AA281" i="13"/>
  <c r="BA281" i="13" s="1"/>
  <c r="AV657" i="13"/>
  <c r="AV318" i="13"/>
  <c r="BA325" i="13"/>
  <c r="AV319" i="13"/>
  <c r="AV336" i="13"/>
  <c r="AV656" i="13"/>
  <c r="Z213" i="13"/>
  <c r="AV213" i="13" s="1"/>
  <c r="BA856" i="13"/>
  <c r="AV856" i="13"/>
  <c r="AQ315" i="13"/>
  <c r="AV664" i="13"/>
  <c r="Z221" i="13"/>
  <c r="AV221" i="13" s="1"/>
  <c r="AV855" i="13"/>
  <c r="AV827" i="13"/>
  <c r="Z244" i="13"/>
  <c r="AV244" i="13" s="1"/>
  <c r="BA319" i="13"/>
  <c r="BA826" i="13"/>
  <c r="AA243" i="13"/>
  <c r="BA243" i="13" s="1"/>
  <c r="Y223" i="13"/>
  <c r="AQ223" i="13" s="1"/>
  <c r="AQ666" i="13"/>
  <c r="AA203" i="13"/>
  <c r="BA203" i="13" s="1"/>
  <c r="BA406" i="13"/>
  <c r="BA586" i="13"/>
  <c r="BB586" i="13" s="1"/>
  <c r="BC586" i="13" s="1"/>
  <c r="R471" i="11"/>
  <c r="X195" i="13"/>
  <c r="AL195" i="13" s="1"/>
  <c r="W281" i="13"/>
  <c r="AG281" i="13" s="1"/>
  <c r="Y220" i="13"/>
  <c r="AQ220" i="13" s="1"/>
  <c r="X196" i="13"/>
  <c r="AL196" i="13" s="1"/>
  <c r="Y192" i="13"/>
  <c r="AQ192" i="13" s="1"/>
  <c r="AA194" i="13"/>
  <c r="BA194" i="13" s="1"/>
  <c r="W198" i="13"/>
  <c r="AG198" i="13" s="1"/>
  <c r="X198" i="13"/>
  <c r="AL198" i="13" s="1"/>
  <c r="Y278" i="13"/>
  <c r="AQ278" i="13" s="1"/>
  <c r="AG818" i="13"/>
  <c r="W235" i="13"/>
  <c r="AG235" i="13" s="1"/>
  <c r="AG836" i="13"/>
  <c r="W253" i="13"/>
  <c r="AG253" i="13" s="1"/>
  <c r="AQ324" i="13"/>
  <c r="R491" i="11"/>
  <c r="BA727" i="13"/>
  <c r="AL477" i="13"/>
  <c r="X274" i="13"/>
  <c r="AL274" i="13" s="1"/>
  <c r="O424" i="11"/>
  <c r="O500" i="11" s="1"/>
  <c r="AQ323" i="13"/>
  <c r="BA343" i="13"/>
  <c r="N490" i="11"/>
  <c r="AG726" i="13"/>
  <c r="AA283" i="13"/>
  <c r="BA283" i="13" s="1"/>
  <c r="BA486" i="13"/>
  <c r="R433" i="11"/>
  <c r="AQ586" i="13"/>
  <c r="AR586" i="13" s="1"/>
  <c r="AS586" i="13" s="1"/>
  <c r="P471" i="11"/>
  <c r="Y273" i="13"/>
  <c r="AQ273" i="13" s="1"/>
  <c r="O506" i="11"/>
  <c r="N504" i="11"/>
  <c r="AA198" i="13"/>
  <c r="BA198" i="13" s="1"/>
  <c r="N506" i="11"/>
  <c r="Q498" i="11"/>
  <c r="Z194" i="13"/>
  <c r="AV194" i="13" s="1"/>
  <c r="R502" i="11"/>
  <c r="Q504" i="11"/>
  <c r="P503" i="11"/>
  <c r="AL842" i="13"/>
  <c r="X259" i="13"/>
  <c r="AL259" i="13" s="1"/>
  <c r="AG335" i="13"/>
  <c r="AQ320" i="13"/>
  <c r="Y237" i="13"/>
  <c r="AQ237" i="13" s="1"/>
  <c r="AQ820" i="13"/>
  <c r="AG482" i="13"/>
  <c r="N429" i="11"/>
  <c r="F524" i="11" s="1"/>
  <c r="Y279" i="13"/>
  <c r="AQ279" i="13" s="1"/>
  <c r="P467" i="11"/>
  <c r="P505" i="11" s="1"/>
  <c r="AQ582" i="13"/>
  <c r="AR582" i="13" s="1"/>
  <c r="AS582" i="13" s="1"/>
  <c r="BA324" i="13"/>
  <c r="AL327" i="13"/>
  <c r="AV847" i="13"/>
  <c r="Z264" i="13"/>
  <c r="AV264" i="13" s="1"/>
  <c r="AG337" i="13"/>
  <c r="BA316" i="13"/>
  <c r="AQ319" i="13"/>
  <c r="AL321" i="13"/>
  <c r="AA224" i="13"/>
  <c r="BA224" i="13" s="1"/>
  <c r="BA667" i="13"/>
  <c r="BA346" i="13"/>
  <c r="AL726" i="13"/>
  <c r="O490" i="11"/>
  <c r="AV406" i="13"/>
  <c r="Z203" i="13"/>
  <c r="AV203" i="13" s="1"/>
  <c r="BA566" i="13"/>
  <c r="R452" i="11"/>
  <c r="BA666" i="13"/>
  <c r="AG586" i="13"/>
  <c r="AH586" i="13" s="1"/>
  <c r="AI586" i="13" s="1"/>
  <c r="N471" i="11"/>
  <c r="N508" i="11"/>
  <c r="Y200" i="13"/>
  <c r="AQ200" i="13" s="1"/>
  <c r="X194" i="13"/>
  <c r="AL194" i="13" s="1"/>
  <c r="Y201" i="13"/>
  <c r="AQ201" i="13" s="1"/>
  <c r="Y195" i="13"/>
  <c r="AQ195" i="13" s="1"/>
  <c r="X197" i="13"/>
  <c r="AL197" i="13" s="1"/>
  <c r="AA193" i="13"/>
  <c r="BA193" i="13" s="1"/>
  <c r="R503" i="11"/>
  <c r="Q501" i="11"/>
  <c r="Z197" i="13"/>
  <c r="AV197" i="13" s="1"/>
  <c r="O505" i="11"/>
  <c r="AA197" i="13"/>
  <c r="BA197" i="13" s="1"/>
  <c r="AV677" i="13"/>
  <c r="BA457" i="13"/>
  <c r="AG461" i="13"/>
  <c r="AQ377" i="13"/>
  <c r="AR377" i="13" s="1"/>
  <c r="AS377" i="13" s="1"/>
  <c r="BA499" i="13"/>
  <c r="AQ383" i="13"/>
  <c r="AR383" i="13" s="1"/>
  <c r="AS383" i="13" s="1"/>
  <c r="AG536" i="13"/>
  <c r="AG778" i="13"/>
  <c r="BA445" i="13"/>
  <c r="BA605" i="13"/>
  <c r="BA507" i="13"/>
  <c r="AL367" i="13"/>
  <c r="AG545" i="13"/>
  <c r="AG385" i="13"/>
  <c r="AH385" i="13" s="1"/>
  <c r="AI385" i="13" s="1"/>
  <c r="AL505" i="13"/>
  <c r="X282" i="13"/>
  <c r="AL282" i="13" s="1"/>
  <c r="AG625" i="13"/>
  <c r="BA640" i="13"/>
  <c r="AL635" i="13"/>
  <c r="AG616" i="13"/>
  <c r="AQ496" i="13"/>
  <c r="AG447" i="13"/>
  <c r="AG607" i="13"/>
  <c r="AQ747" i="13"/>
  <c r="AG767" i="13"/>
  <c r="AG647" i="13"/>
  <c r="AQ467" i="13"/>
  <c r="AQ627" i="13"/>
  <c r="AG527" i="13"/>
  <c r="AG387" i="13"/>
  <c r="AH387" i="13" s="1"/>
  <c r="AI387" i="13" s="1"/>
  <c r="AQ763" i="13"/>
  <c r="AG743" i="13"/>
  <c r="AG744" i="13"/>
  <c r="AV524" i="13"/>
  <c r="AV444" i="13"/>
  <c r="AL504" i="13"/>
  <c r="AQ804" i="13"/>
  <c r="AR804" i="13" s="1"/>
  <c r="AS804" i="13" s="1"/>
  <c r="AG464" i="13"/>
  <c r="AG544" i="13"/>
  <c r="AG624" i="13"/>
  <c r="AG764" i="13"/>
  <c r="BA364" i="13"/>
  <c r="AV384" i="13"/>
  <c r="AW384" i="13" s="1"/>
  <c r="AX384" i="13" s="1"/>
  <c r="AV604" i="13"/>
  <c r="AL425" i="13"/>
  <c r="AG806" i="13"/>
  <c r="AH806" i="13" s="1"/>
  <c r="AI806" i="13" s="1"/>
  <c r="AL746" i="13"/>
  <c r="AG426" i="13"/>
  <c r="AG466" i="13"/>
  <c r="AG626" i="13"/>
  <c r="AL506" i="13"/>
  <c r="BA706" i="13"/>
  <c r="AQ446" i="13"/>
  <c r="BA786" i="13"/>
  <c r="AL646" i="13"/>
  <c r="AG546" i="13"/>
  <c r="X283" i="13"/>
  <c r="AL283" i="13" s="1"/>
  <c r="AQ526" i="13"/>
  <c r="AQ606" i="13"/>
  <c r="AG741" i="13"/>
  <c r="BA621" i="13"/>
  <c r="AG381" i="13"/>
  <c r="AH381" i="13" s="1"/>
  <c r="AI381" i="13" s="1"/>
  <c r="AG641" i="13"/>
  <c r="AV642" i="13"/>
  <c r="AG762" i="13"/>
  <c r="AL522" i="13"/>
  <c r="AQ542" i="13"/>
  <c r="AV362" i="13"/>
  <c r="W279" i="13"/>
  <c r="AG279" i="13" s="1"/>
  <c r="AQ682" i="13"/>
  <c r="AG382" i="13"/>
  <c r="AH382" i="13" s="1"/>
  <c r="AI382" i="13" s="1"/>
  <c r="AG462" i="13"/>
  <c r="AG622" i="13"/>
  <c r="AQ742" i="13"/>
  <c r="AG600" i="13"/>
  <c r="AG360" i="13"/>
  <c r="AL460" i="13"/>
  <c r="AG440" i="13"/>
  <c r="AL540" i="13"/>
  <c r="AG520" i="13"/>
  <c r="AH520" i="13" s="1"/>
  <c r="AI520" i="13" s="1"/>
  <c r="AG740" i="13"/>
  <c r="AL620" i="13"/>
  <c r="AM620" i="13" s="1"/>
  <c r="AN620" i="13" s="1"/>
  <c r="BA739" i="13"/>
  <c r="AV759" i="13"/>
  <c r="AG739" i="13"/>
  <c r="AV358" i="13"/>
  <c r="AG618" i="13"/>
  <c r="AH618" i="13" s="1"/>
  <c r="AI618" i="13" s="1"/>
  <c r="AG518" i="13"/>
  <c r="AH518" i="13" s="1"/>
  <c r="AI518" i="13" s="1"/>
  <c r="AV798" i="13"/>
  <c r="AW798" i="13" s="1"/>
  <c r="AX798" i="13" s="1"/>
  <c r="AV458" i="13"/>
  <c r="BA378" i="13"/>
  <c r="BB378" i="13" s="1"/>
  <c r="BC378" i="13" s="1"/>
  <c r="AQ738" i="13"/>
  <c r="AG756" i="13"/>
  <c r="AV755" i="13"/>
  <c r="AQ737" i="13"/>
  <c r="AG637" i="13"/>
  <c r="BA415" i="13"/>
  <c r="AL736" i="13"/>
  <c r="AG635" i="13"/>
  <c r="BA766" i="13"/>
  <c r="AG642" i="13"/>
  <c r="AV638" i="13"/>
  <c r="AQ636" i="13"/>
  <c r="AL639" i="13"/>
  <c r="AQ638" i="13"/>
  <c r="AL636" i="13"/>
  <c r="AG418" i="13"/>
  <c r="BA637" i="13"/>
  <c r="AQ420" i="13"/>
  <c r="AQ639" i="13"/>
  <c r="AV766" i="13"/>
  <c r="AV745" i="13"/>
  <c r="AQ765" i="13"/>
  <c r="BA642" i="13"/>
  <c r="AL638" i="13"/>
  <c r="AV636" i="13"/>
  <c r="O498" i="11" l="1"/>
  <c r="J518" i="11"/>
  <c r="J525" i="11"/>
  <c r="J524" i="11"/>
  <c r="J517" i="11"/>
  <c r="J529" i="11"/>
  <c r="H524" i="11"/>
  <c r="J523" i="11"/>
  <c r="L528" i="11"/>
  <c r="L525" i="11"/>
  <c r="F519" i="11"/>
  <c r="R499" i="11"/>
  <c r="R507" i="11"/>
  <c r="O502" i="11"/>
  <c r="R506" i="11"/>
  <c r="R510" i="11"/>
  <c r="BA423" i="13"/>
  <c r="AA200" i="13"/>
  <c r="BA200" i="13" s="1"/>
  <c r="AQ417" i="13"/>
  <c r="Y194" i="13"/>
  <c r="AQ194" i="13" s="1"/>
  <c r="AV698" i="13"/>
  <c r="Z215" i="13"/>
  <c r="AV215" i="13" s="1"/>
  <c r="AG398" i="13"/>
  <c r="W195" i="13"/>
  <c r="AG195" i="13" s="1"/>
  <c r="AL578" i="13"/>
  <c r="AM578" i="13" s="1"/>
  <c r="AN578" i="13" s="1"/>
  <c r="O463" i="11"/>
  <c r="J520" i="11" s="1"/>
  <c r="X275" i="13"/>
  <c r="AL275" i="13" s="1"/>
  <c r="AL718" i="13"/>
  <c r="O482" i="11"/>
  <c r="L520" i="11" s="1"/>
  <c r="AG419" i="13"/>
  <c r="W196" i="13"/>
  <c r="AG196" i="13" s="1"/>
  <c r="AL681" i="13"/>
  <c r="X218" i="13"/>
  <c r="AL218" i="13" s="1"/>
  <c r="AQ727" i="13"/>
  <c r="P491" i="11"/>
  <c r="L529" i="11" s="1"/>
  <c r="Y284" i="13"/>
  <c r="AQ284" i="13" s="1"/>
  <c r="AL823" i="13"/>
  <c r="X240" i="13"/>
  <c r="AL240" i="13" s="1"/>
  <c r="AA223" i="13"/>
  <c r="BA223" i="13" s="1"/>
  <c r="X201" i="13"/>
  <c r="AL201" i="13" s="1"/>
  <c r="AL299" i="13"/>
  <c r="AQ304" i="13"/>
  <c r="Y181" i="13"/>
  <c r="BA305" i="13"/>
  <c r="AA182" i="13"/>
  <c r="AL316" i="13"/>
  <c r="BA678" i="13"/>
  <c r="AA215" i="13"/>
  <c r="BA215" i="13" s="1"/>
  <c r="AG700" i="13"/>
  <c r="W217" i="13"/>
  <c r="AG217" i="13" s="1"/>
  <c r="AG822" i="13"/>
  <c r="W239" i="13"/>
  <c r="AG239" i="13" s="1"/>
  <c r="AG862" i="13"/>
  <c r="Q431" i="11"/>
  <c r="F526" i="11" s="1"/>
  <c r="AV484" i="13"/>
  <c r="Z281" i="13"/>
  <c r="AV281" i="13" s="1"/>
  <c r="AL845" i="13"/>
  <c r="X262" i="13"/>
  <c r="AL262" i="13" s="1"/>
  <c r="AQ859" i="13"/>
  <c r="AG323" i="13"/>
  <c r="BA296" i="13"/>
  <c r="AA173" i="13"/>
  <c r="AV300" i="13"/>
  <c r="AV301" i="13"/>
  <c r="Z178" i="13"/>
  <c r="AG307" i="13"/>
  <c r="AQ297" i="13"/>
  <c r="Y174" i="13"/>
  <c r="AQ301" i="13"/>
  <c r="P509" i="11"/>
  <c r="N446" i="11"/>
  <c r="H522" i="11" s="1"/>
  <c r="AG560" i="13"/>
  <c r="AG760" i="13"/>
  <c r="AV720" i="13"/>
  <c r="Q484" i="11"/>
  <c r="L522" i="11" s="1"/>
  <c r="Z277" i="13"/>
  <c r="AV277" i="13" s="1"/>
  <c r="AQ662" i="13"/>
  <c r="Y219" i="13"/>
  <c r="AQ219" i="13" s="1"/>
  <c r="AL323" i="13"/>
  <c r="Y260" i="13"/>
  <c r="AQ260" i="13" s="1"/>
  <c r="AQ843" i="13"/>
  <c r="AL343" i="13"/>
  <c r="W224" i="13"/>
  <c r="AG224" i="13" s="1"/>
  <c r="AG667" i="13"/>
  <c r="AL307" i="13"/>
  <c r="X184" i="13"/>
  <c r="BF305" i="13"/>
  <c r="AB182" i="13"/>
  <c r="AV299" i="13"/>
  <c r="Z176" i="13"/>
  <c r="AG299" i="13"/>
  <c r="AG296" i="13"/>
  <c r="W197" i="13"/>
  <c r="AG197" i="13" s="1"/>
  <c r="N507" i="11"/>
  <c r="AL422" i="13"/>
  <c r="X199" i="13"/>
  <c r="AL199" i="13" s="1"/>
  <c r="AG415" i="13"/>
  <c r="W192" i="13"/>
  <c r="AG192" i="13" s="1"/>
  <c r="AQ658" i="13"/>
  <c r="Y215" i="13"/>
  <c r="AQ215" i="13" s="1"/>
  <c r="AV320" i="13"/>
  <c r="AQ400" i="13"/>
  <c r="Y197" i="13"/>
  <c r="AQ197" i="13" s="1"/>
  <c r="AQ321" i="13"/>
  <c r="AL666" i="13"/>
  <c r="X223" i="13"/>
  <c r="AL223" i="13" s="1"/>
  <c r="AG846" i="13"/>
  <c r="W263" i="13"/>
  <c r="AG263" i="13" s="1"/>
  <c r="BA664" i="13"/>
  <c r="AA221" i="13"/>
  <c r="BA221" i="13" s="1"/>
  <c r="O469" i="11"/>
  <c r="J526" i="11" s="1"/>
  <c r="AL584" i="13"/>
  <c r="AM584" i="13" s="1"/>
  <c r="AN584" i="13" s="1"/>
  <c r="X281" i="13"/>
  <c r="AL281" i="13" s="1"/>
  <c r="Y204" i="13"/>
  <c r="AQ204" i="13" s="1"/>
  <c r="AQ407" i="13"/>
  <c r="AG696" i="13"/>
  <c r="W213" i="13"/>
  <c r="AG213" i="13" s="1"/>
  <c r="AL867" i="13"/>
  <c r="AG346" i="13"/>
  <c r="P445" i="11"/>
  <c r="H521" i="11" s="1"/>
  <c r="AQ559" i="13"/>
  <c r="Y276" i="13"/>
  <c r="AQ276" i="13" s="1"/>
  <c r="AG319" i="13"/>
  <c r="AG315" i="13"/>
  <c r="AL298" i="13"/>
  <c r="X175" i="13"/>
  <c r="AA202" i="13"/>
  <c r="BA202" i="13" s="1"/>
  <c r="Z214" i="13"/>
  <c r="AV214" i="13" s="1"/>
  <c r="W203" i="13"/>
  <c r="AG203" i="13" s="1"/>
  <c r="AL302" i="13"/>
  <c r="AQ300" i="13"/>
  <c r="Y177" i="13"/>
  <c r="P499" i="11"/>
  <c r="X174" i="13"/>
  <c r="BA318" i="13"/>
  <c r="AG702" i="13"/>
  <c r="W219" i="13"/>
  <c r="AG219" i="13" s="1"/>
  <c r="AL586" i="13"/>
  <c r="AM586" i="13" s="1"/>
  <c r="AN586" i="13" s="1"/>
  <c r="O471" i="11"/>
  <c r="O509" i="11" s="1"/>
  <c r="AL724" i="13"/>
  <c r="O488" i="11"/>
  <c r="L526" i="11" s="1"/>
  <c r="Q450" i="11"/>
  <c r="H526" i="11" s="1"/>
  <c r="AV564" i="13"/>
  <c r="AV565" i="13"/>
  <c r="Q451" i="11"/>
  <c r="H527" i="11" s="1"/>
  <c r="AQ345" i="13"/>
  <c r="AG685" i="13"/>
  <c r="W222" i="13"/>
  <c r="AG222" i="13" s="1"/>
  <c r="AQ298" i="13"/>
  <c r="Y175" i="13"/>
  <c r="AL304" i="13"/>
  <c r="N510" i="11"/>
  <c r="BF300" i="13"/>
  <c r="AB177" i="13"/>
  <c r="BF297" i="13"/>
  <c r="AB174" i="13"/>
  <c r="AG301" i="13"/>
  <c r="AL297" i="13"/>
  <c r="BA298" i="13"/>
  <c r="AQ295" i="13"/>
  <c r="Y172" i="13"/>
  <c r="AL305" i="13"/>
  <c r="X182" i="13"/>
  <c r="AV421" i="13"/>
  <c r="Z198" i="13"/>
  <c r="AV198" i="13" s="1"/>
  <c r="AV317" i="13"/>
  <c r="AV757" i="13"/>
  <c r="AV338" i="13"/>
  <c r="BA660" i="13"/>
  <c r="AA217" i="13"/>
  <c r="BA217" i="13" s="1"/>
  <c r="AQ322" i="13"/>
  <c r="AQ401" i="13"/>
  <c r="Y198" i="13"/>
  <c r="AQ198" i="13" s="1"/>
  <c r="AL406" i="13"/>
  <c r="X203" i="13"/>
  <c r="AL203" i="13" s="1"/>
  <c r="Z184" i="13"/>
  <c r="AQ347" i="13"/>
  <c r="N423" i="11"/>
  <c r="F518" i="11" s="1"/>
  <c r="AG476" i="13"/>
  <c r="AL585" i="13"/>
  <c r="AM585" i="13" s="1"/>
  <c r="AN585" i="13" s="1"/>
  <c r="O470" i="11"/>
  <c r="J527" i="11" s="1"/>
  <c r="AG826" i="13"/>
  <c r="W243" i="13"/>
  <c r="AG243" i="13" s="1"/>
  <c r="AL405" i="13"/>
  <c r="X202" i="13"/>
  <c r="AL202" i="13" s="1"/>
  <c r="AQ861" i="13"/>
  <c r="AL721" i="13"/>
  <c r="O485" i="11"/>
  <c r="L523" i="11" s="1"/>
  <c r="X278" i="13"/>
  <c r="AL278" i="13" s="1"/>
  <c r="AG324" i="13"/>
  <c r="AG321" i="13"/>
  <c r="AQ299" i="13"/>
  <c r="Y176" i="13"/>
  <c r="BF302" i="13"/>
  <c r="AB179" i="13"/>
  <c r="BF299" i="13"/>
  <c r="AB176" i="13"/>
  <c r="BF295" i="13"/>
  <c r="AB172" i="13"/>
  <c r="N509" i="11"/>
  <c r="BF296" i="13"/>
  <c r="AB173" i="13"/>
  <c r="AV307" i="13"/>
  <c r="AL296" i="13"/>
  <c r="X173" i="13"/>
  <c r="AG305" i="13"/>
  <c r="AG298" i="13"/>
  <c r="BF301" i="13"/>
  <c r="AB178" i="13"/>
  <c r="AQ302" i="13"/>
  <c r="AV419" i="13"/>
  <c r="Z196" i="13"/>
  <c r="AV196" i="13" s="1"/>
  <c r="N427" i="11"/>
  <c r="F522" i="11" s="1"/>
  <c r="AG480" i="13"/>
  <c r="W277" i="13"/>
  <c r="AG277" i="13" s="1"/>
  <c r="BA860" i="13"/>
  <c r="AG722" i="13"/>
  <c r="N486" i="11"/>
  <c r="L524" i="11" s="1"/>
  <c r="AV701" i="13"/>
  <c r="Z218" i="13"/>
  <c r="AV218" i="13" s="1"/>
  <c r="AG866" i="13"/>
  <c r="AG864" i="13"/>
  <c r="AQ704" i="13"/>
  <c r="Y221" i="13"/>
  <c r="AQ221" i="13" s="1"/>
  <c r="AG424" i="13"/>
  <c r="W201" i="13"/>
  <c r="AG201" i="13" s="1"/>
  <c r="Q432" i="11"/>
  <c r="F527" i="11" s="1"/>
  <c r="Z282" i="13"/>
  <c r="AV282" i="13" s="1"/>
  <c r="AV485" i="13"/>
  <c r="AV566" i="13"/>
  <c r="Q452" i="11"/>
  <c r="H528" i="11" s="1"/>
  <c r="AL301" i="13"/>
  <c r="X178" i="13"/>
  <c r="AV303" i="13"/>
  <c r="R509" i="11"/>
  <c r="Y193" i="13"/>
  <c r="AQ193" i="13" s="1"/>
  <c r="AV295" i="13"/>
  <c r="Z172" i="13"/>
  <c r="BA295" i="13"/>
  <c r="AA172" i="13"/>
  <c r="AL300" i="13"/>
  <c r="AG295" i="13"/>
  <c r="W172" i="13"/>
  <c r="Y203" i="13"/>
  <c r="AQ203" i="13" s="1"/>
  <c r="AV415" i="13"/>
  <c r="Z192" i="13"/>
  <c r="AV192" i="13" s="1"/>
  <c r="AL320" i="13"/>
  <c r="AL342" i="13"/>
  <c r="R447" i="11"/>
  <c r="H523" i="11" s="1"/>
  <c r="BA561" i="13"/>
  <c r="AA278" i="13"/>
  <c r="BA278" i="13" s="1"/>
  <c r="Q433" i="11"/>
  <c r="F528" i="11" s="1"/>
  <c r="Z283" i="13"/>
  <c r="AV283" i="13" s="1"/>
  <c r="AV486" i="13"/>
  <c r="AL824" i="13"/>
  <c r="X241" i="13"/>
  <c r="AL241" i="13" s="1"/>
  <c r="AL324" i="13"/>
  <c r="AV324" i="13"/>
  <c r="Z201" i="13"/>
  <c r="AV201" i="13" s="1"/>
  <c r="AV404" i="13"/>
  <c r="Z180" i="13"/>
  <c r="AG427" i="13"/>
  <c r="W204" i="13"/>
  <c r="AG204" i="13" s="1"/>
  <c r="AL319" i="13"/>
  <c r="AG716" i="13"/>
  <c r="N480" i="11"/>
  <c r="L518" i="11" s="1"/>
  <c r="AG865" i="13"/>
  <c r="BA395" i="13"/>
  <c r="AA192" i="13"/>
  <c r="BA192" i="13" s="1"/>
  <c r="AV659" i="13"/>
  <c r="Z216" i="13"/>
  <c r="AV216" i="13" s="1"/>
  <c r="AG317" i="13"/>
  <c r="AG316" i="13"/>
  <c r="AG297" i="13"/>
  <c r="AV297" i="13"/>
  <c r="BF303" i="13"/>
  <c r="AB180" i="13"/>
  <c r="BF298" i="13"/>
  <c r="AB175" i="13"/>
  <c r="AL295" i="13"/>
  <c r="X172" i="13"/>
  <c r="BA299" i="13"/>
  <c r="AA176" i="13"/>
  <c r="AA204" i="13"/>
  <c r="BA204" i="13" s="1"/>
  <c r="AA196" i="13"/>
  <c r="BA196" i="13" s="1"/>
  <c r="BA297" i="13"/>
  <c r="AA174" i="13"/>
  <c r="BF304" i="13"/>
  <c r="AB181" i="13"/>
  <c r="J528" i="11" l="1"/>
  <c r="Z174" i="13"/>
  <c r="AA175" i="13"/>
  <c r="BA175" i="13" s="1"/>
  <c r="W176" i="13"/>
  <c r="AG176" i="13" s="1"/>
  <c r="Z160" i="13"/>
  <c r="AV160" i="13" s="1"/>
  <c r="AV180" i="13"/>
  <c r="AV184" i="13"/>
  <c r="Z164" i="13"/>
  <c r="AV164" i="13" s="1"/>
  <c r="AG596" i="13"/>
  <c r="W193" i="13"/>
  <c r="AG193" i="13" s="1"/>
  <c r="BF175" i="13"/>
  <c r="AB155" i="13"/>
  <c r="BF155" i="13" s="1"/>
  <c r="BF306" i="13"/>
  <c r="AB183" i="13"/>
  <c r="X183" i="13"/>
  <c r="AL306" i="13"/>
  <c r="Y152" i="13"/>
  <c r="AQ152" i="13" s="1"/>
  <c r="AQ172" i="13"/>
  <c r="Q509" i="11"/>
  <c r="W178" i="13"/>
  <c r="Q507" i="11"/>
  <c r="AQ307" i="13"/>
  <c r="Y184" i="13"/>
  <c r="W173" i="13"/>
  <c r="Q503" i="11"/>
  <c r="Y178" i="13"/>
  <c r="BA182" i="13"/>
  <c r="AA162" i="13"/>
  <c r="BA162" i="13" s="1"/>
  <c r="BA303" i="13"/>
  <c r="AA180" i="13"/>
  <c r="N505" i="11"/>
  <c r="O507" i="11"/>
  <c r="AQ177" i="13"/>
  <c r="Y157" i="13"/>
  <c r="AQ157" i="13" s="1"/>
  <c r="AL175" i="13"/>
  <c r="X155" i="13"/>
  <c r="AL155" i="13" s="1"/>
  <c r="AQ174" i="13"/>
  <c r="Y154" i="13"/>
  <c r="AQ154" i="13" s="1"/>
  <c r="AG300" i="13"/>
  <c r="AL856" i="13"/>
  <c r="BA174" i="13"/>
  <c r="AA154" i="13"/>
  <c r="BA154" i="13" s="1"/>
  <c r="AV172" i="13"/>
  <c r="Z152" i="13"/>
  <c r="AV152" i="13" s="1"/>
  <c r="BF178" i="13"/>
  <c r="AB158" i="13"/>
  <c r="BF158" i="13" s="1"/>
  <c r="BF179" i="13"/>
  <c r="AB159" i="13"/>
  <c r="BF159" i="13" s="1"/>
  <c r="Y156" i="13"/>
  <c r="AQ156" i="13" s="1"/>
  <c r="AQ176" i="13"/>
  <c r="Z183" i="13"/>
  <c r="AV306" i="13"/>
  <c r="AB157" i="13"/>
  <c r="BF157" i="13" s="1"/>
  <c r="BF177" i="13"/>
  <c r="AQ175" i="13"/>
  <c r="Y155" i="13"/>
  <c r="AQ155" i="13" s="1"/>
  <c r="AA181" i="13"/>
  <c r="BA304" i="13"/>
  <c r="AG306" i="13"/>
  <c r="X176" i="13"/>
  <c r="O501" i="11"/>
  <c r="W183" i="13"/>
  <c r="AV304" i="13"/>
  <c r="Z181" i="13"/>
  <c r="AV305" i="13"/>
  <c r="Z182" i="13"/>
  <c r="AV302" i="13"/>
  <c r="Z179" i="13"/>
  <c r="AV323" i="13"/>
  <c r="R504" i="11"/>
  <c r="AA152" i="13"/>
  <c r="BA152" i="13" s="1"/>
  <c r="BA172" i="13"/>
  <c r="BF307" i="13"/>
  <c r="AB184" i="13"/>
  <c r="AV327" i="13"/>
  <c r="Q508" i="11"/>
  <c r="X179" i="13"/>
  <c r="AV178" i="13"/>
  <c r="Z158" i="13"/>
  <c r="AV158" i="13" s="1"/>
  <c r="AQ181" i="13"/>
  <c r="Y161" i="13"/>
  <c r="AQ161" i="13" s="1"/>
  <c r="W273" i="13"/>
  <c r="AG273" i="13" s="1"/>
  <c r="AG556" i="13"/>
  <c r="N442" i="11"/>
  <c r="H518" i="11" s="1"/>
  <c r="BA300" i="13"/>
  <c r="AA177" i="13"/>
  <c r="AL178" i="13"/>
  <c r="X158" i="13"/>
  <c r="AL158" i="13" s="1"/>
  <c r="Y179" i="13"/>
  <c r="AB152" i="13"/>
  <c r="BF152" i="13" s="1"/>
  <c r="BF172" i="13"/>
  <c r="O504" i="11"/>
  <c r="O508" i="11"/>
  <c r="AV296" i="13"/>
  <c r="Z173" i="13"/>
  <c r="AL317" i="13"/>
  <c r="BA302" i="13"/>
  <c r="AA179" i="13"/>
  <c r="P510" i="11"/>
  <c r="AB161" i="13"/>
  <c r="BF161" i="13" s="1"/>
  <c r="BF181" i="13"/>
  <c r="BA176" i="13"/>
  <c r="AA156" i="13"/>
  <c r="BA156" i="13" s="1"/>
  <c r="BF180" i="13"/>
  <c r="AB160" i="13"/>
  <c r="BF160" i="13" s="1"/>
  <c r="Y183" i="13"/>
  <c r="AQ306" i="13"/>
  <c r="W152" i="13"/>
  <c r="AG152" i="13" s="1"/>
  <c r="AG172" i="13"/>
  <c r="AG303" i="13"/>
  <c r="W180" i="13"/>
  <c r="AV176" i="13"/>
  <c r="Z156" i="13"/>
  <c r="AV156" i="13" s="1"/>
  <c r="N503" i="11"/>
  <c r="Z177" i="13"/>
  <c r="AQ303" i="13"/>
  <c r="Y180" i="13"/>
  <c r="W174" i="13"/>
  <c r="AA183" i="13"/>
  <c r="BA306" i="13"/>
  <c r="X153" i="13"/>
  <c r="AL153" i="13" s="1"/>
  <c r="AL173" i="13"/>
  <c r="AB153" i="13"/>
  <c r="BF153" i="13" s="1"/>
  <c r="BF173" i="13"/>
  <c r="AL182" i="13"/>
  <c r="X162" i="13"/>
  <c r="AL162" i="13" s="1"/>
  <c r="X154" i="13"/>
  <c r="AL154" i="13" s="1"/>
  <c r="AL174" i="13"/>
  <c r="AB154" i="13"/>
  <c r="BF154" i="13" s="1"/>
  <c r="BF174" i="13"/>
  <c r="X181" i="13"/>
  <c r="BF182" i="13"/>
  <c r="AB162" i="13"/>
  <c r="BF162" i="13" s="1"/>
  <c r="AL172" i="13"/>
  <c r="X152" i="13"/>
  <c r="AL152" i="13" s="1"/>
  <c r="Z154" i="13"/>
  <c r="AV154" i="13" s="1"/>
  <c r="AV174" i="13"/>
  <c r="X177" i="13"/>
  <c r="AB156" i="13"/>
  <c r="BF156" i="13" s="1"/>
  <c r="BF176" i="13"/>
  <c r="AL303" i="13"/>
  <c r="X180" i="13"/>
  <c r="P502" i="11"/>
  <c r="AL184" i="13"/>
  <c r="X164" i="13"/>
  <c r="AL164" i="13" s="1"/>
  <c r="AQ305" i="13"/>
  <c r="Y182" i="13"/>
  <c r="BA173" i="13"/>
  <c r="AA153" i="13"/>
  <c r="BA153" i="13" s="1"/>
  <c r="W156" i="13" l="1"/>
  <c r="AG156" i="13" s="1"/>
  <c r="AA155" i="13"/>
  <c r="BA155" i="13" s="1"/>
  <c r="W163" i="13"/>
  <c r="AG163" i="13" s="1"/>
  <c r="AG183" i="13"/>
  <c r="AA184" i="13"/>
  <c r="BA307" i="13"/>
  <c r="O57" i="13"/>
  <c r="AQ183" i="13"/>
  <c r="Y163" i="13"/>
  <c r="AQ163" i="13" s="1"/>
  <c r="AG322" i="13"/>
  <c r="BA179" i="13"/>
  <c r="AA159" i="13"/>
  <c r="BA159" i="13" s="1"/>
  <c r="BA177" i="13"/>
  <c r="AA157" i="13"/>
  <c r="BA157" i="13" s="1"/>
  <c r="N499" i="11"/>
  <c r="O61" i="13"/>
  <c r="AV298" i="13"/>
  <c r="Z175" i="13"/>
  <c r="AL181" i="13"/>
  <c r="X161" i="13"/>
  <c r="AL161" i="13" s="1"/>
  <c r="X156" i="13"/>
  <c r="AL156" i="13" s="1"/>
  <c r="AL176" i="13"/>
  <c r="BA180" i="13"/>
  <c r="AA160" i="13"/>
  <c r="BA160" i="13" s="1"/>
  <c r="AQ178" i="13"/>
  <c r="Y158" i="13"/>
  <c r="AQ158" i="13" s="1"/>
  <c r="AG325" i="13"/>
  <c r="W182" i="13"/>
  <c r="AQ182" i="13"/>
  <c r="Y162" i="13"/>
  <c r="AQ162" i="13" s="1"/>
  <c r="O58" i="13"/>
  <c r="O64" i="13"/>
  <c r="AG318" i="13"/>
  <c r="W175" i="13"/>
  <c r="O56" i="13"/>
  <c r="O63" i="13"/>
  <c r="W158" i="13"/>
  <c r="AG158" i="13" s="1"/>
  <c r="AG178" i="13"/>
  <c r="O59" i="13"/>
  <c r="AG327" i="13"/>
  <c r="W184" i="13"/>
  <c r="AA178" i="13"/>
  <c r="BA301" i="13"/>
  <c r="Z159" i="13"/>
  <c r="AV159" i="13" s="1"/>
  <c r="AV179" i="13"/>
  <c r="AL180" i="13"/>
  <c r="X160" i="13"/>
  <c r="AL160" i="13" s="1"/>
  <c r="O66" i="13"/>
  <c r="AQ336" i="13"/>
  <c r="AG180" i="13"/>
  <c r="W160" i="13"/>
  <c r="AG160" i="13" s="1"/>
  <c r="AG326" i="13"/>
  <c r="Z163" i="13"/>
  <c r="AV163" i="13" s="1"/>
  <c r="AV183" i="13"/>
  <c r="O62" i="13"/>
  <c r="AG173" i="13"/>
  <c r="W153" i="13"/>
  <c r="AG153" i="13" s="1"/>
  <c r="AL183" i="13"/>
  <c r="X163" i="13"/>
  <c r="AL163" i="13" s="1"/>
  <c r="O60" i="13"/>
  <c r="BA183" i="13"/>
  <c r="AA163" i="13"/>
  <c r="BA163" i="13" s="1"/>
  <c r="O65" i="13"/>
  <c r="AQ179" i="13"/>
  <c r="Y159" i="13"/>
  <c r="AQ159" i="13" s="1"/>
  <c r="BF184" i="13"/>
  <c r="AB164" i="13"/>
  <c r="BF164" i="13" s="1"/>
  <c r="AV182" i="13"/>
  <c r="Z162" i="13"/>
  <c r="AV162" i="13" s="1"/>
  <c r="BA181" i="13"/>
  <c r="AA161" i="13"/>
  <c r="BA161" i="13" s="1"/>
  <c r="AQ184" i="13"/>
  <c r="Y164" i="13"/>
  <c r="AQ164" i="13" s="1"/>
  <c r="AG302" i="13"/>
  <c r="W179" i="13"/>
  <c r="AG174" i="13"/>
  <c r="W154" i="13"/>
  <c r="AG154" i="13" s="1"/>
  <c r="W181" i="13"/>
  <c r="AG304" i="13"/>
  <c r="AV173" i="13"/>
  <c r="Z153" i="13"/>
  <c r="AV153" i="13" s="1"/>
  <c r="AL179" i="13"/>
  <c r="X159" i="13"/>
  <c r="AL159" i="13" s="1"/>
  <c r="AG320" i="13"/>
  <c r="AQ296" i="13"/>
  <c r="Y173" i="13"/>
  <c r="AL177" i="13"/>
  <c r="X157" i="13"/>
  <c r="AL157" i="13" s="1"/>
  <c r="AQ180" i="13"/>
  <c r="Y160" i="13"/>
  <c r="AQ160" i="13" s="1"/>
  <c r="AV177" i="13"/>
  <c r="Z157" i="13"/>
  <c r="AV157" i="13" s="1"/>
  <c r="Z161" i="13"/>
  <c r="AV161" i="13" s="1"/>
  <c r="AV181" i="13"/>
  <c r="W177" i="13"/>
  <c r="AB163" i="13"/>
  <c r="BF163" i="13" s="1"/>
  <c r="BF183" i="13"/>
  <c r="W164" i="13" l="1"/>
  <c r="AG164" i="13" s="1"/>
  <c r="AG184" i="13"/>
  <c r="O68" i="13"/>
  <c r="AG181" i="13"/>
  <c r="W161" i="13"/>
  <c r="AG161" i="13" s="1"/>
  <c r="W162" i="13"/>
  <c r="AG162" i="13" s="1"/>
  <c r="AG182" i="13"/>
  <c r="Z155" i="13"/>
  <c r="AV155" i="13" s="1"/>
  <c r="AV175" i="13"/>
  <c r="O67" i="13"/>
  <c r="AG177" i="13"/>
  <c r="W157" i="13"/>
  <c r="AG157" i="13" s="1"/>
  <c r="AQ173" i="13"/>
  <c r="Y153" i="13"/>
  <c r="AQ153" i="13" s="1"/>
  <c r="AG179" i="13"/>
  <c r="W159" i="13"/>
  <c r="AG159" i="13" s="1"/>
  <c r="AA158" i="13"/>
  <c r="BA158" i="13" s="1"/>
  <c r="BA178" i="13"/>
  <c r="W155" i="13"/>
  <c r="AG155" i="13" s="1"/>
  <c r="AG175" i="13"/>
  <c r="BA184" i="13"/>
  <c r="AA164" i="13"/>
  <c r="BA164" i="13" s="1"/>
  <c r="BA634" i="13" l="1"/>
  <c r="AA648" i="13"/>
  <c r="Y428" i="13"/>
  <c r="AQ414" i="13"/>
  <c r="AA568" i="13"/>
  <c r="BA554" i="13"/>
  <c r="R440" i="11"/>
  <c r="R454" i="11" s="1"/>
  <c r="AV574" i="13"/>
  <c r="Q459" i="11"/>
  <c r="Q473" i="11" s="1"/>
  <c r="Z588" i="13"/>
  <c r="AA468" i="13"/>
  <c r="BA454" i="13"/>
  <c r="AV594" i="13"/>
  <c r="Z608" i="13"/>
  <c r="AA728" i="13"/>
  <c r="BA714" i="13"/>
  <c r="R478" i="11"/>
  <c r="Y808" i="13"/>
  <c r="AQ794" i="13"/>
  <c r="AA508" i="13"/>
  <c r="BA494" i="13"/>
  <c r="AQ394" i="13"/>
  <c r="Y408" i="13"/>
  <c r="AA668" i="13"/>
  <c r="AA211" i="13"/>
  <c r="BA654" i="13"/>
  <c r="AQ614" i="13"/>
  <c r="Y628" i="13"/>
  <c r="AQ754" i="13"/>
  <c r="Y768" i="13"/>
  <c r="X548" i="13"/>
  <c r="AL534" i="13"/>
  <c r="AQ534" i="13"/>
  <c r="Y548" i="13"/>
  <c r="Y648" i="13"/>
  <c r="AQ634" i="13"/>
  <c r="AV414" i="13"/>
  <c r="Z428" i="13"/>
  <c r="AQ374" i="13"/>
  <c r="Y388" i="13"/>
  <c r="AA748" i="13"/>
  <c r="BA734" i="13"/>
  <c r="AL394" i="13"/>
  <c r="X191" i="13"/>
  <c r="X408" i="13"/>
  <c r="X768" i="13"/>
  <c r="AL754" i="13"/>
  <c r="Y368" i="13"/>
  <c r="AQ354" i="13"/>
  <c r="AL374" i="13"/>
  <c r="X388" i="13"/>
  <c r="AL614" i="13"/>
  <c r="X628" i="13"/>
  <c r="Z388" i="13"/>
  <c r="AV374" i="13"/>
  <c r="AV654" i="13"/>
  <c r="Z668" i="13"/>
  <c r="AA708" i="13"/>
  <c r="BA694" i="13"/>
  <c r="BA534" i="13"/>
  <c r="AA548" i="13"/>
  <c r="Z528" i="13"/>
  <c r="AV514" i="13"/>
  <c r="AA528" i="13"/>
  <c r="BA514" i="13"/>
  <c r="X748" i="13"/>
  <c r="AL734" i="13"/>
  <c r="BA794" i="13"/>
  <c r="BB794" i="13" s="1"/>
  <c r="BC794" i="13" s="1"/>
  <c r="G2731" i="30" s="1" a="1"/>
  <c r="AA808" i="13"/>
  <c r="AL714" i="13"/>
  <c r="X728" i="13"/>
  <c r="O478" i="11"/>
  <c r="AL414" i="13"/>
  <c r="X428" i="13"/>
  <c r="Z548" i="13"/>
  <c r="AV534" i="13"/>
  <c r="AQ494" i="13"/>
  <c r="Y508" i="13"/>
  <c r="AV354" i="13"/>
  <c r="Z368" i="13"/>
  <c r="Z808" i="13"/>
  <c r="AV794" i="13"/>
  <c r="Z448" i="13"/>
  <c r="AV434" i="13"/>
  <c r="Z768" i="13"/>
  <c r="AV754" i="13"/>
  <c r="AA448" i="13"/>
  <c r="BA434" i="13"/>
  <c r="AV454" i="13"/>
  <c r="Z468" i="13"/>
  <c r="X368" i="13"/>
  <c r="AL354" i="13"/>
  <c r="AQ574" i="13"/>
  <c r="AR574" i="13" s="1"/>
  <c r="AS574" i="13" s="1"/>
  <c r="G2162" i="30" s="1" a="1"/>
  <c r="Y588" i="13"/>
  <c r="P459" i="11"/>
  <c r="P473" i="11" s="1"/>
  <c r="AQ454" i="13"/>
  <c r="Y468" i="13"/>
  <c r="Z748" i="13"/>
  <c r="AV734" i="13"/>
  <c r="AL794" i="13"/>
  <c r="AM794" i="13" s="1"/>
  <c r="AN794" i="13" s="1"/>
  <c r="G2719" i="30" s="1" a="1"/>
  <c r="X808" i="13"/>
  <c r="AQ694" i="13"/>
  <c r="Y708" i="13"/>
  <c r="BA674" i="13"/>
  <c r="AA688" i="13"/>
  <c r="BA594" i="13"/>
  <c r="AA608" i="13"/>
  <c r="X688" i="13"/>
  <c r="AL674" i="13"/>
  <c r="Z408" i="13"/>
  <c r="AV394" i="13"/>
  <c r="AV554" i="13"/>
  <c r="Z568" i="13"/>
  <c r="Q440" i="11"/>
  <c r="Q454" i="11" s="1"/>
  <c r="AV674" i="13"/>
  <c r="Z688" i="13"/>
  <c r="AA628" i="13"/>
  <c r="BA614" i="13"/>
  <c r="BA354" i="13"/>
  <c r="AA368" i="13"/>
  <c r="X508" i="13"/>
  <c r="AL494" i="13"/>
  <c r="AQ714" i="13"/>
  <c r="P478" i="11"/>
  <c r="Y728" i="13"/>
  <c r="Q421" i="11"/>
  <c r="Q435" i="11" s="1"/>
  <c r="Z488" i="13"/>
  <c r="AV474" i="13"/>
  <c r="AV634" i="13"/>
  <c r="Z648" i="13"/>
  <c r="AL434" i="13"/>
  <c r="X448" i="13"/>
  <c r="AL594" i="13"/>
  <c r="X608" i="13"/>
  <c r="AA768" i="13"/>
  <c r="BA754" i="13"/>
  <c r="Z191" i="13"/>
  <c r="Z211" i="13"/>
  <c r="Z271" i="13"/>
  <c r="Y191" i="13" l="1"/>
  <c r="AQ191" i="13" s="1"/>
  <c r="Z225" i="13"/>
  <c r="AV211" i="13"/>
  <c r="AV191" i="13"/>
  <c r="Z205" i="13"/>
  <c r="Z285" i="13"/>
  <c r="AV271" i="13"/>
  <c r="O459" i="11"/>
  <c r="O473" i="11" s="1"/>
  <c r="X588" i="13"/>
  <c r="AL574" i="13"/>
  <c r="Z628" i="13"/>
  <c r="AV614" i="13"/>
  <c r="X211" i="13"/>
  <c r="X668" i="13"/>
  <c r="AL654" i="13"/>
  <c r="AV774" i="13"/>
  <c r="Z788" i="13"/>
  <c r="X271" i="13"/>
  <c r="AL474" i="13"/>
  <c r="X488" i="13"/>
  <c r="O421" i="11"/>
  <c r="O435" i="11" s="1"/>
  <c r="AL608" i="13"/>
  <c r="X609" i="13"/>
  <c r="AL609" i="13" s="1"/>
  <c r="AL508" i="13"/>
  <c r="X509" i="13"/>
  <c r="AL509" i="13" s="1"/>
  <c r="AV568" i="13"/>
  <c r="Z569" i="13"/>
  <c r="AV569" i="13" s="1"/>
  <c r="Z749" i="13"/>
  <c r="AV749" i="13" s="1"/>
  <c r="AV748" i="13"/>
  <c r="Y509" i="13"/>
  <c r="AQ509" i="13" s="1"/>
  <c r="AQ508" i="13"/>
  <c r="Z529" i="13"/>
  <c r="AV529" i="13" s="1"/>
  <c r="AV528" i="13"/>
  <c r="AW374" i="13"/>
  <c r="AX374" i="13" s="1"/>
  <c r="AR374" i="13"/>
  <c r="AS374" i="13" s="1"/>
  <c r="G1653" i="30" s="1" a="1"/>
  <c r="AL548" i="13"/>
  <c r="X549" i="13"/>
  <c r="AL549" i="13" s="1"/>
  <c r="AW574" i="13"/>
  <c r="AX574" i="13" s="1"/>
  <c r="AL454" i="13"/>
  <c r="X468" i="13"/>
  <c r="W648" i="13"/>
  <c r="AG634" i="13"/>
  <c r="AG614" i="13"/>
  <c r="W628" i="13"/>
  <c r="AG374" i="13"/>
  <c r="W388" i="13"/>
  <c r="N478" i="11"/>
  <c r="W728" i="13"/>
  <c r="AG714" i="13"/>
  <c r="W508" i="13"/>
  <c r="AG494" i="13"/>
  <c r="AA369" i="13"/>
  <c r="BA369" i="13" s="1"/>
  <c r="BA368" i="13"/>
  <c r="BA688" i="13"/>
  <c r="AA689" i="13"/>
  <c r="BA689" i="13" s="1"/>
  <c r="AQ468" i="13"/>
  <c r="Y469" i="13"/>
  <c r="AQ469" i="13" s="1"/>
  <c r="AL368" i="13"/>
  <c r="X369" i="13"/>
  <c r="AL369" i="13" s="1"/>
  <c r="BA334" i="13"/>
  <c r="AA348" i="13"/>
  <c r="AA809" i="13"/>
  <c r="BA809" i="13" s="1"/>
  <c r="BB809" i="13" s="1"/>
  <c r="BC809" i="13" s="1"/>
  <c r="BA808" i="13"/>
  <c r="BB808" i="13" s="1"/>
  <c r="BC808" i="13" s="1"/>
  <c r="AA549" i="13"/>
  <c r="BA549" i="13" s="1"/>
  <c r="BA548" i="13"/>
  <c r="AV388" i="13"/>
  <c r="AW388" i="13" s="1"/>
  <c r="AX388" i="13" s="1"/>
  <c r="Z389" i="13"/>
  <c r="AV389" i="13" s="1"/>
  <c r="AW389" i="13" s="1"/>
  <c r="AX389" i="13" s="1"/>
  <c r="X769" i="13"/>
  <c r="AL769" i="13" s="1"/>
  <c r="AL768" i="13"/>
  <c r="Z429" i="13"/>
  <c r="AV429" i="13" s="1"/>
  <c r="AV428" i="13"/>
  <c r="AQ768" i="13"/>
  <c r="Y769" i="13"/>
  <c r="AQ769" i="13" s="1"/>
  <c r="AQ408" i="13"/>
  <c r="Y409" i="13"/>
  <c r="AQ409" i="13" s="1"/>
  <c r="AA729" i="13"/>
  <c r="BA729" i="13" s="1"/>
  <c r="BA728" i="13"/>
  <c r="X449" i="13"/>
  <c r="AL449" i="13" s="1"/>
  <c r="AL448" i="13"/>
  <c r="Z489" i="13"/>
  <c r="AV489" i="13" s="1"/>
  <c r="AV488" i="13"/>
  <c r="AV468" i="13"/>
  <c r="Z469" i="13"/>
  <c r="AV469" i="13" s="1"/>
  <c r="R2733" i="30"/>
  <c r="G2731" i="30"/>
  <c r="I2734" i="30"/>
  <c r="K2731" i="30"/>
  <c r="K2732" i="30"/>
  <c r="N2731" i="30"/>
  <c r="T2731" i="30"/>
  <c r="S2731" i="30"/>
  <c r="L2731" i="30"/>
  <c r="H2732" i="30"/>
  <c r="H2734" i="30"/>
  <c r="G2732" i="30"/>
  <c r="Q2732" i="30"/>
  <c r="L2733" i="30"/>
  <c r="O2734" i="30"/>
  <c r="L2734" i="30"/>
  <c r="I2731" i="30"/>
  <c r="R2732" i="30"/>
  <c r="J2734" i="30"/>
  <c r="O2731" i="30"/>
  <c r="N2734" i="30"/>
  <c r="T2734" i="30"/>
  <c r="G2733" i="30"/>
  <c r="M2732" i="30"/>
  <c r="J2732" i="30"/>
  <c r="O2733" i="30"/>
  <c r="M2733" i="30"/>
  <c r="M2731" i="30"/>
  <c r="L2732" i="30"/>
  <c r="K2733" i="30"/>
  <c r="N2733" i="30"/>
  <c r="J2731" i="30"/>
  <c r="N2732" i="30"/>
  <c r="R2734" i="30"/>
  <c r="P2734" i="30"/>
  <c r="O2732" i="30"/>
  <c r="I2733" i="30"/>
  <c r="S2732" i="30"/>
  <c r="H2733" i="30"/>
  <c r="Q2734" i="30"/>
  <c r="G2734" i="30"/>
  <c r="S2734" i="30"/>
  <c r="T2732" i="30"/>
  <c r="P2733" i="30"/>
  <c r="K2734" i="30"/>
  <c r="Q2733" i="30"/>
  <c r="J2733" i="30"/>
  <c r="P2732" i="30"/>
  <c r="Q2731" i="30"/>
  <c r="H2731" i="30"/>
  <c r="T2733" i="30"/>
  <c r="R2731" i="30"/>
  <c r="S2733" i="30"/>
  <c r="P2731" i="30"/>
  <c r="M2734" i="30"/>
  <c r="I2732" i="30"/>
  <c r="X629" i="13"/>
  <c r="AL629" i="13" s="1"/>
  <c r="AL628" i="13"/>
  <c r="AL408" i="13"/>
  <c r="X409" i="13"/>
  <c r="AL409" i="13" s="1"/>
  <c r="AV608" i="13"/>
  <c r="Z609" i="13"/>
  <c r="AV609" i="13" s="1"/>
  <c r="P421" i="11"/>
  <c r="P435" i="11" s="1"/>
  <c r="Y271" i="13"/>
  <c r="Y488" i="13"/>
  <c r="AQ474" i="13"/>
  <c r="Y448" i="13"/>
  <c r="AQ434" i="13"/>
  <c r="Y688" i="13"/>
  <c r="AQ674" i="13"/>
  <c r="X648" i="13"/>
  <c r="AL634" i="13"/>
  <c r="AQ734" i="13"/>
  <c r="Y748" i="13"/>
  <c r="AG674" i="13"/>
  <c r="W688" i="13"/>
  <c r="W568" i="13"/>
  <c r="AG554" i="13"/>
  <c r="N440" i="11"/>
  <c r="AG794" i="13"/>
  <c r="W808" i="13"/>
  <c r="G45" i="13" s="1"/>
  <c r="AG514" i="13"/>
  <c r="W528" i="13"/>
  <c r="AQ708" i="13"/>
  <c r="Y709" i="13"/>
  <c r="AQ709" i="13" s="1"/>
  <c r="AV448" i="13"/>
  <c r="Z449" i="13"/>
  <c r="AV449" i="13" s="1"/>
  <c r="Z549" i="13"/>
  <c r="AV549" i="13" s="1"/>
  <c r="AV548" i="13"/>
  <c r="X205" i="13"/>
  <c r="AL191" i="13"/>
  <c r="Y629" i="13"/>
  <c r="AQ629" i="13" s="1"/>
  <c r="AQ628" i="13"/>
  <c r="BA568" i="13"/>
  <c r="AA569" i="13"/>
  <c r="BA569" i="13" s="1"/>
  <c r="X528" i="13"/>
  <c r="AL514" i="13"/>
  <c r="AG654" i="13"/>
  <c r="W211" i="13"/>
  <c r="W668" i="13"/>
  <c r="X708" i="13"/>
  <c r="AL694" i="13"/>
  <c r="O440" i="11"/>
  <c r="O454" i="11" s="1"/>
  <c r="X568" i="13"/>
  <c r="AL554" i="13"/>
  <c r="P440" i="11"/>
  <c r="P454" i="11" s="1"/>
  <c r="AQ554" i="13"/>
  <c r="Y568" i="13"/>
  <c r="AV648" i="13"/>
  <c r="Z649" i="13"/>
  <c r="AV649" i="13" s="1"/>
  <c r="AQ728" i="13"/>
  <c r="Y729" i="13"/>
  <c r="AQ729" i="13" s="1"/>
  <c r="AA629" i="13"/>
  <c r="BA629" i="13" s="1"/>
  <c r="BA628" i="13"/>
  <c r="Z409" i="13"/>
  <c r="AV409" i="13" s="1"/>
  <c r="AV408" i="13"/>
  <c r="AL314" i="13"/>
  <c r="AW794" i="13"/>
  <c r="AX794" i="13" s="1"/>
  <c r="AL428" i="13"/>
  <c r="X429" i="13"/>
  <c r="AL429" i="13" s="1"/>
  <c r="AL748" i="13"/>
  <c r="X749" i="13"/>
  <c r="AL749" i="13" s="1"/>
  <c r="AA709" i="13"/>
  <c r="BA709" i="13" s="1"/>
  <c r="BA708" i="13"/>
  <c r="X389" i="13"/>
  <c r="AL389" i="13" s="1"/>
  <c r="AM389" i="13" s="1"/>
  <c r="AN389" i="13" s="1"/>
  <c r="AL388" i="13"/>
  <c r="AM388" i="13" s="1"/>
  <c r="AN388" i="13" s="1"/>
  <c r="Y649" i="13"/>
  <c r="AQ649" i="13" s="1"/>
  <c r="AQ648" i="13"/>
  <c r="AA509" i="13"/>
  <c r="BA509" i="13" s="1"/>
  <c r="BA508" i="13"/>
  <c r="AA428" i="13"/>
  <c r="BA414" i="13"/>
  <c r="AA488" i="13"/>
  <c r="BA474" i="13"/>
  <c r="R421" i="11"/>
  <c r="R435" i="11" s="1"/>
  <c r="X231" i="13"/>
  <c r="X828" i="13"/>
  <c r="AL814" i="13"/>
  <c r="Y608" i="13"/>
  <c r="AQ594" i="13"/>
  <c r="AG574" i="13"/>
  <c r="N459" i="11"/>
  <c r="W588" i="13"/>
  <c r="AG394" i="13"/>
  <c r="W408" i="13"/>
  <c r="G1689" i="30" a="1"/>
  <c r="P492" i="11"/>
  <c r="Z689" i="13"/>
  <c r="AV689" i="13" s="1"/>
  <c r="AV688" i="13"/>
  <c r="X809" i="13"/>
  <c r="AL809" i="13" s="1"/>
  <c r="AM809" i="13" s="1"/>
  <c r="AN809" i="13" s="1"/>
  <c r="AL808" i="13"/>
  <c r="AM808" i="13" s="1"/>
  <c r="AN808" i="13" s="1"/>
  <c r="BA448" i="13"/>
  <c r="AA449" i="13"/>
  <c r="BA449" i="13" s="1"/>
  <c r="AV808" i="13"/>
  <c r="AW808" i="13" s="1"/>
  <c r="AX808" i="13" s="1"/>
  <c r="Z809" i="13"/>
  <c r="AV809" i="13" s="1"/>
  <c r="AW809" i="13" s="1"/>
  <c r="AX809" i="13" s="1"/>
  <c r="AM374" i="13"/>
  <c r="AN374" i="13" s="1"/>
  <c r="Y549" i="13"/>
  <c r="AQ549" i="13" s="1"/>
  <c r="AQ548" i="13"/>
  <c r="AR794" i="13"/>
  <c r="AS794" i="13" s="1"/>
  <c r="BA468" i="13"/>
  <c r="AA469" i="13"/>
  <c r="BA469" i="13" s="1"/>
  <c r="AQ428" i="13"/>
  <c r="Y429" i="13"/>
  <c r="AQ429" i="13" s="1"/>
  <c r="AQ514" i="13"/>
  <c r="Y528" i="13"/>
  <c r="BA394" i="13"/>
  <c r="AA191" i="13"/>
  <c r="AA408" i="13"/>
  <c r="AV694" i="13"/>
  <c r="Z708" i="13"/>
  <c r="BA374" i="13"/>
  <c r="AA388" i="13"/>
  <c r="AL688" i="13"/>
  <c r="X689" i="13"/>
  <c r="AL689" i="13" s="1"/>
  <c r="T2721" i="30"/>
  <c r="J2722" i="30"/>
  <c r="N2720" i="30"/>
  <c r="K2719" i="30"/>
  <c r="H2719" i="30"/>
  <c r="I2719" i="30"/>
  <c r="P2722" i="30"/>
  <c r="G2719" i="30"/>
  <c r="T2720" i="30"/>
  <c r="N2721" i="30"/>
  <c r="H2721" i="30"/>
  <c r="R2722" i="30"/>
  <c r="S2721" i="30"/>
  <c r="N486" i="32" s="1"/>
  <c r="Q2722" i="30"/>
  <c r="P2721" i="30"/>
  <c r="P2719" i="30"/>
  <c r="K2722" i="30"/>
  <c r="O2721" i="30"/>
  <c r="G2721" i="30"/>
  <c r="S2720" i="30"/>
  <c r="I2721" i="30"/>
  <c r="M2721" i="30"/>
  <c r="O2719" i="30"/>
  <c r="G2720" i="30"/>
  <c r="S2719" i="30"/>
  <c r="J2721" i="30"/>
  <c r="O2720" i="30"/>
  <c r="P2720" i="30"/>
  <c r="M2719" i="30"/>
  <c r="J2720" i="30"/>
  <c r="N2722" i="30"/>
  <c r="N2719" i="30"/>
  <c r="I2722" i="30"/>
  <c r="I2720" i="30"/>
  <c r="Q2720" i="30"/>
  <c r="H2720" i="30"/>
  <c r="R2720" i="30"/>
  <c r="Q2719" i="30"/>
  <c r="L2721" i="30"/>
  <c r="R2721" i="30"/>
  <c r="L2720" i="30"/>
  <c r="S2722" i="30"/>
  <c r="T2722" i="30"/>
  <c r="M2720" i="30"/>
  <c r="K2721" i="30"/>
  <c r="K2720" i="30"/>
  <c r="R2719" i="30"/>
  <c r="G2722" i="30"/>
  <c r="J2719" i="30"/>
  <c r="T2719" i="30"/>
  <c r="H2722" i="30"/>
  <c r="Q2721" i="30"/>
  <c r="L2719" i="30"/>
  <c r="O2722" i="30"/>
  <c r="L2722" i="30"/>
  <c r="M2722" i="30"/>
  <c r="Y589" i="13"/>
  <c r="AQ589" i="13" s="1"/>
  <c r="AR589" i="13" s="1"/>
  <c r="AS589" i="13" s="1"/>
  <c r="AQ588" i="13"/>
  <c r="AR588" i="13" s="1"/>
  <c r="AS588" i="13" s="1"/>
  <c r="Z369" i="13"/>
  <c r="AV369" i="13" s="1"/>
  <c r="AV368" i="13"/>
  <c r="O492" i="11"/>
  <c r="AA529" i="13"/>
  <c r="BA529" i="13" s="1"/>
  <c r="BA528" i="13"/>
  <c r="Z669" i="13"/>
  <c r="AV669" i="13" s="1"/>
  <c r="AV668" i="13"/>
  <c r="BA748" i="13"/>
  <c r="AA749" i="13"/>
  <c r="BA749" i="13" s="1"/>
  <c r="BA211" i="13"/>
  <c r="AA225" i="13"/>
  <c r="AQ808" i="13"/>
  <c r="AR808" i="13" s="1"/>
  <c r="AS808" i="13" s="1"/>
  <c r="Y809" i="13"/>
  <c r="AQ809" i="13" s="1"/>
  <c r="AR809" i="13" s="1"/>
  <c r="AS809" i="13" s="1"/>
  <c r="AV588" i="13"/>
  <c r="AW588" i="13" s="1"/>
  <c r="AX588" i="13" s="1"/>
  <c r="Z589" i="13"/>
  <c r="AV589" i="13" s="1"/>
  <c r="AW589" i="13" s="1"/>
  <c r="AX589" i="13" s="1"/>
  <c r="BA648" i="13"/>
  <c r="AA649" i="13"/>
  <c r="BA649" i="13" s="1"/>
  <c r="Z728" i="13"/>
  <c r="AV714" i="13"/>
  <c r="Q478" i="11"/>
  <c r="AV494" i="13"/>
  <c r="Z508" i="13"/>
  <c r="BA834" i="13"/>
  <c r="AA251" i="13"/>
  <c r="AA848" i="13"/>
  <c r="Y668" i="13"/>
  <c r="Y211" i="13"/>
  <c r="AQ654" i="13"/>
  <c r="AG434" i="13"/>
  <c r="W448" i="13"/>
  <c r="AG694" i="13"/>
  <c r="W708" i="13"/>
  <c r="BA768" i="13"/>
  <c r="AA769" i="13"/>
  <c r="BA769" i="13" s="1"/>
  <c r="AQ334" i="13"/>
  <c r="Y348" i="13"/>
  <c r="BA608" i="13"/>
  <c r="AA609" i="13"/>
  <c r="BA609" i="13" s="1"/>
  <c r="Q2163" i="30"/>
  <c r="H2163" i="30"/>
  <c r="N2165" i="30"/>
  <c r="M2164" i="30"/>
  <c r="O2165" i="30"/>
  <c r="K2165" i="30"/>
  <c r="T2164" i="30"/>
  <c r="J2163" i="30"/>
  <c r="N2163" i="30"/>
  <c r="O2164" i="30"/>
  <c r="Q2162" i="30"/>
  <c r="R2162" i="30"/>
  <c r="I2165" i="30"/>
  <c r="O2163" i="30"/>
  <c r="K2163" i="30"/>
  <c r="K2162" i="30"/>
  <c r="P2162" i="30"/>
  <c r="L2162" i="30"/>
  <c r="Q2165" i="30"/>
  <c r="S2162" i="30"/>
  <c r="T2162" i="30"/>
  <c r="M2162" i="30"/>
  <c r="L2165" i="30"/>
  <c r="M2163" i="30"/>
  <c r="M2165" i="30"/>
  <c r="R2163" i="30"/>
  <c r="Q2164" i="30"/>
  <c r="S2163" i="30"/>
  <c r="G2162" i="30"/>
  <c r="I2163" i="30"/>
  <c r="G2164" i="30"/>
  <c r="L2164" i="30"/>
  <c r="P2164" i="30"/>
  <c r="N2164" i="30"/>
  <c r="H2164" i="30"/>
  <c r="J2162" i="30"/>
  <c r="N2162" i="30"/>
  <c r="S2165" i="30"/>
  <c r="G2165" i="30"/>
  <c r="T2163" i="30"/>
  <c r="J2164" i="30"/>
  <c r="K2164" i="30"/>
  <c r="O2162" i="30"/>
  <c r="J2165" i="30"/>
  <c r="I2164" i="30"/>
  <c r="H2165" i="30"/>
  <c r="S2164" i="30"/>
  <c r="I2162" i="30"/>
  <c r="T2165" i="30"/>
  <c r="H2162" i="30"/>
  <c r="P2163" i="30"/>
  <c r="R2164" i="30"/>
  <c r="G2163" i="30"/>
  <c r="P2165" i="30"/>
  <c r="L2163" i="30"/>
  <c r="R2165" i="30"/>
  <c r="AV768" i="13"/>
  <c r="Z769" i="13"/>
  <c r="AV769" i="13" s="1"/>
  <c r="X729" i="13"/>
  <c r="AL729" i="13" s="1"/>
  <c r="AL728" i="13"/>
  <c r="AQ368" i="13"/>
  <c r="Y369" i="13"/>
  <c r="AQ369" i="13" s="1"/>
  <c r="Y389" i="13"/>
  <c r="AQ389" i="13" s="1"/>
  <c r="AR389" i="13" s="1"/>
  <c r="AS389" i="13" s="1"/>
  <c r="AQ388" i="13"/>
  <c r="AR388" i="13" s="1"/>
  <c r="AS388" i="13" s="1"/>
  <c r="AA669" i="13"/>
  <c r="BA669" i="13" s="1"/>
  <c r="BA668" i="13"/>
  <c r="R492" i="11"/>
  <c r="W191" i="13"/>
  <c r="G1179" i="30" s="1" a="1"/>
  <c r="O409" i="32" l="1"/>
  <c r="G41" i="13"/>
  <c r="G1179" i="30"/>
  <c r="U1185" i="30"/>
  <c r="S275" i="32"/>
  <c r="G1230" i="30" a="1"/>
  <c r="G414" i="30" a="1"/>
  <c r="H516" i="11"/>
  <c r="H530" i="11" s="1"/>
  <c r="F535" i="11" s="1"/>
  <c r="G38" i="13"/>
  <c r="G451" i="30" a="1"/>
  <c r="L516" i="11"/>
  <c r="L530" i="11" s="1"/>
  <c r="F537" i="11" s="1"/>
  <c r="G1657" i="30" a="1"/>
  <c r="J1659" i="30" s="1"/>
  <c r="G2166" i="30" a="1"/>
  <c r="K2167" i="30" s="1"/>
  <c r="Y205" i="13"/>
  <c r="AQ205" i="13" s="1"/>
  <c r="Q486" i="32"/>
  <c r="G2723" i="30" a="1"/>
  <c r="L2726" i="30" s="1"/>
  <c r="P497" i="11"/>
  <c r="P511" i="11" s="1"/>
  <c r="O497" i="11"/>
  <c r="O511" i="11" s="1"/>
  <c r="U2720" i="30"/>
  <c r="G1649" i="30" a="1"/>
  <c r="T1650" i="30" s="1"/>
  <c r="AG191" i="13"/>
  <c r="W205" i="13"/>
  <c r="W608" i="13"/>
  <c r="AG594" i="13"/>
  <c r="AL834" i="13"/>
  <c r="X251" i="13"/>
  <c r="X848" i="13"/>
  <c r="W768" i="13"/>
  <c r="G42" i="13" s="1"/>
  <c r="AG754" i="13"/>
  <c r="AQ854" i="13"/>
  <c r="Y868" i="13"/>
  <c r="AV508" i="13"/>
  <c r="Z509" i="13"/>
  <c r="AV509" i="13" s="1"/>
  <c r="W589" i="13"/>
  <c r="AG589" i="13" s="1"/>
  <c r="AH589" i="13" s="1"/>
  <c r="AI589" i="13" s="1"/>
  <c r="AG588" i="13"/>
  <c r="AH588" i="13" s="1"/>
  <c r="AI588" i="13" s="1"/>
  <c r="AL828" i="13"/>
  <c r="X829" i="13"/>
  <c r="AL829" i="13" s="1"/>
  <c r="G2727" i="30" a="1"/>
  <c r="Y569" i="13"/>
  <c r="AQ569" i="13" s="1"/>
  <c r="AQ568" i="13"/>
  <c r="U2356" i="30"/>
  <c r="R436" i="32" s="1"/>
  <c r="U2355" i="30"/>
  <c r="Q436" i="32" s="1"/>
  <c r="U2354" i="30"/>
  <c r="P436" i="32" s="1"/>
  <c r="U2352" i="30"/>
  <c r="N436" i="32" s="1"/>
  <c r="U2351" i="30"/>
  <c r="M436" i="32" s="1"/>
  <c r="U2353" i="30"/>
  <c r="O436" i="32" s="1"/>
  <c r="U2406" i="30"/>
  <c r="U2403" i="30"/>
  <c r="N443" i="32" s="1"/>
  <c r="U2404" i="30"/>
  <c r="U2405" i="30"/>
  <c r="U2402" i="30"/>
  <c r="M443" i="32" s="1"/>
  <c r="U2407" i="30"/>
  <c r="AQ688" i="13"/>
  <c r="Y689" i="13"/>
  <c r="AQ689" i="13" s="1"/>
  <c r="AH374" i="13"/>
  <c r="AI374" i="13" s="1"/>
  <c r="AV628" i="13"/>
  <c r="Z629" i="13"/>
  <c r="AV629" i="13" s="1"/>
  <c r="AG474" i="13"/>
  <c r="W271" i="13"/>
  <c r="W488" i="13"/>
  <c r="N421" i="11"/>
  <c r="Z828" i="13"/>
  <c r="AV814" i="13"/>
  <c r="Z231" i="13"/>
  <c r="W328" i="13"/>
  <c r="AG314" i="13"/>
  <c r="AV334" i="13"/>
  <c r="Z348" i="13"/>
  <c r="AQ528" i="13"/>
  <c r="Y529" i="13"/>
  <c r="AQ529" i="13" s="1"/>
  <c r="N473" i="11"/>
  <c r="X245" i="13"/>
  <c r="AL231" i="13"/>
  <c r="W669" i="13"/>
  <c r="AG669" i="13" s="1"/>
  <c r="AG668" i="13"/>
  <c r="AL205" i="13"/>
  <c r="X206" i="13"/>
  <c r="AL206" i="13" s="1"/>
  <c r="U2708" i="30"/>
  <c r="M485" i="32" s="1"/>
  <c r="U2712" i="30"/>
  <c r="Q485" i="32" s="1"/>
  <c r="U2709" i="30"/>
  <c r="N485" i="32" s="1"/>
  <c r="U2711" i="30"/>
  <c r="P485" i="32" s="1"/>
  <c r="U2713" i="30"/>
  <c r="R485" i="32" s="1"/>
  <c r="U2710" i="30"/>
  <c r="O485" i="32" s="1"/>
  <c r="W689" i="13"/>
  <c r="AG689" i="13" s="1"/>
  <c r="AG688" i="13"/>
  <c r="U2732" i="30"/>
  <c r="AA349" i="13"/>
  <c r="BA349" i="13" s="1"/>
  <c r="BA348" i="13"/>
  <c r="W509" i="13"/>
  <c r="AG509" i="13" s="1"/>
  <c r="AG508" i="13"/>
  <c r="U2253" i="30"/>
  <c r="Q422" i="32" s="1"/>
  <c r="U2251" i="30"/>
  <c r="O422" i="32" s="1"/>
  <c r="U2252" i="30"/>
  <c r="P422" i="32" s="1"/>
  <c r="U2254" i="30"/>
  <c r="R422" i="32" s="1"/>
  <c r="U2249" i="30"/>
  <c r="M422" i="32" s="1"/>
  <c r="U2250" i="30"/>
  <c r="N422" i="32" s="1"/>
  <c r="R2167" i="30"/>
  <c r="S2169" i="30"/>
  <c r="S2166" i="30"/>
  <c r="Q2167" i="30"/>
  <c r="G2169" i="30"/>
  <c r="L2167" i="30"/>
  <c r="I2166" i="30"/>
  <c r="N2167" i="30"/>
  <c r="Q2169" i="30"/>
  <c r="L2166" i="30"/>
  <c r="I2168" i="30"/>
  <c r="T2167" i="30"/>
  <c r="M2167" i="30"/>
  <c r="P2168" i="30"/>
  <c r="H2167" i="30"/>
  <c r="K2169" i="30"/>
  <c r="G2167" i="30"/>
  <c r="N2168" i="30"/>
  <c r="L2168" i="30"/>
  <c r="J2168" i="30"/>
  <c r="Q2166" i="30"/>
  <c r="L2169" i="30"/>
  <c r="T2168" i="30"/>
  <c r="I2169" i="30"/>
  <c r="M2169" i="30"/>
  <c r="J2167" i="30"/>
  <c r="O2167" i="30"/>
  <c r="T2166" i="30"/>
  <c r="I2167" i="30"/>
  <c r="G2168" i="30"/>
  <c r="K2168" i="30"/>
  <c r="O2169" i="30"/>
  <c r="Q2168" i="30"/>
  <c r="S2167" i="30"/>
  <c r="P2169" i="30"/>
  <c r="J2166" i="30"/>
  <c r="G2166" i="30"/>
  <c r="P2167" i="30"/>
  <c r="M2168" i="30"/>
  <c r="H2169" i="30"/>
  <c r="N2166" i="30"/>
  <c r="R2169" i="30"/>
  <c r="P2166" i="30"/>
  <c r="O2166" i="30"/>
  <c r="T2169" i="30"/>
  <c r="H2166" i="30"/>
  <c r="O2168" i="30"/>
  <c r="R2168" i="30"/>
  <c r="AL271" i="13"/>
  <c r="X285" i="13"/>
  <c r="AM574" i="13"/>
  <c r="AN574" i="13" s="1"/>
  <c r="Z286" i="13"/>
  <c r="AV286" i="13" s="1"/>
  <c r="AV285" i="13"/>
  <c r="AQ814" i="13"/>
  <c r="Y828" i="13"/>
  <c r="Y231" i="13"/>
  <c r="Q497" i="11"/>
  <c r="Q511" i="11" s="1"/>
  <c r="Q492" i="11"/>
  <c r="BA388" i="13"/>
  <c r="BB388" i="13" s="1"/>
  <c r="BC388" i="13" s="1"/>
  <c r="AA389" i="13"/>
  <c r="BA389" i="13" s="1"/>
  <c r="BB389" i="13" s="1"/>
  <c r="BC389" i="13" s="1"/>
  <c r="AH574" i="13"/>
  <c r="AI574" i="13" s="1"/>
  <c r="W225" i="13"/>
  <c r="AG211" i="13"/>
  <c r="W809" i="13"/>
  <c r="AG809" i="13" s="1"/>
  <c r="AH809" i="13" s="1"/>
  <c r="AI809" i="13" s="1"/>
  <c r="AG808" i="13"/>
  <c r="AH808" i="13" s="1"/>
  <c r="AI808" i="13" s="1"/>
  <c r="Y449" i="13"/>
  <c r="AQ449" i="13" s="1"/>
  <c r="AQ448" i="13"/>
  <c r="U2504" i="30"/>
  <c r="M457" i="32" s="1"/>
  <c r="U2508" i="30"/>
  <c r="Q457" i="32" s="1"/>
  <c r="U2506" i="30"/>
  <c r="O457" i="32" s="1"/>
  <c r="U2505" i="30"/>
  <c r="N457" i="32" s="1"/>
  <c r="U2507" i="30"/>
  <c r="P457" i="32" s="1"/>
  <c r="U2509" i="30"/>
  <c r="R457" i="32" s="1"/>
  <c r="W629" i="13"/>
  <c r="AG629" i="13" s="1"/>
  <c r="AG628" i="13"/>
  <c r="Z789" i="13"/>
  <c r="AV789" i="13" s="1"/>
  <c r="AV788" i="13"/>
  <c r="X589" i="13"/>
  <c r="AL589" i="13" s="1"/>
  <c r="AM589" i="13" s="1"/>
  <c r="AN589" i="13" s="1"/>
  <c r="AL588" i="13"/>
  <c r="AM588" i="13" s="1"/>
  <c r="AN588" i="13" s="1"/>
  <c r="AV205" i="13"/>
  <c r="Z206" i="13"/>
  <c r="AV206" i="13" s="1"/>
  <c r="U2163" i="30"/>
  <c r="U2162" i="30"/>
  <c r="AG708" i="13"/>
  <c r="W709" i="13"/>
  <c r="AG709" i="13" s="1"/>
  <c r="AQ211" i="13"/>
  <c r="Y225" i="13"/>
  <c r="AA226" i="13"/>
  <c r="BA226" i="13" s="1"/>
  <c r="BA225" i="13"/>
  <c r="BB374" i="13"/>
  <c r="BC374" i="13" s="1"/>
  <c r="U1694" i="30"/>
  <c r="R345" i="32" s="1"/>
  <c r="G1689" i="30"/>
  <c r="U1689" i="30" s="1"/>
  <c r="M345" i="32" s="1"/>
  <c r="U1693" i="30"/>
  <c r="Q345" i="32" s="1"/>
  <c r="U1692" i="30"/>
  <c r="P345" i="32" s="1"/>
  <c r="U1691" i="30"/>
  <c r="O345" i="32" s="1"/>
  <c r="U1690" i="30"/>
  <c r="N345" i="32" s="1"/>
  <c r="AH794" i="13"/>
  <c r="AI794" i="13" s="1"/>
  <c r="Y749" i="13"/>
  <c r="AQ749" i="13" s="1"/>
  <c r="AQ748" i="13"/>
  <c r="U2731" i="30"/>
  <c r="S1659" i="30"/>
  <c r="L1660" i="30"/>
  <c r="S1658" i="30"/>
  <c r="Q1660" i="30"/>
  <c r="T1657" i="30"/>
  <c r="G1658" i="30"/>
  <c r="P1658" i="30"/>
  <c r="P1659" i="30"/>
  <c r="P1660" i="30"/>
  <c r="L1658" i="30"/>
  <c r="H1657" i="30"/>
  <c r="I1658" i="30"/>
  <c r="M1659" i="30"/>
  <c r="K1658" i="30"/>
  <c r="AA231" i="13"/>
  <c r="BA814" i="13"/>
  <c r="AA828" i="13"/>
  <c r="AQ668" i="13"/>
  <c r="Y669" i="13"/>
  <c r="AQ669" i="13" s="1"/>
  <c r="AV728" i="13"/>
  <c r="Z729" i="13"/>
  <c r="AV729" i="13" s="1"/>
  <c r="Z709" i="13"/>
  <c r="AV709" i="13" s="1"/>
  <c r="AV708" i="13"/>
  <c r="X348" i="13"/>
  <c r="AL334" i="13"/>
  <c r="AL568" i="13"/>
  <c r="X569" i="13"/>
  <c r="AL569" i="13" s="1"/>
  <c r="U2097" i="30"/>
  <c r="N401" i="32" s="1"/>
  <c r="U2098" i="30"/>
  <c r="O401" i="32" s="1"/>
  <c r="U2101" i="30"/>
  <c r="R401" i="32" s="1"/>
  <c r="U2096" i="30"/>
  <c r="M401" i="32" s="1"/>
  <c r="U2099" i="30"/>
  <c r="P401" i="32" s="1"/>
  <c r="U2100" i="30"/>
  <c r="Q401" i="32" s="1"/>
  <c r="AQ488" i="13"/>
  <c r="Y489" i="13"/>
  <c r="AQ489" i="13" s="1"/>
  <c r="AG728" i="13"/>
  <c r="W729" i="13"/>
  <c r="AG729" i="13" s="1"/>
  <c r="U2305" i="30"/>
  <c r="R429" i="32" s="1"/>
  <c r="U2304" i="30"/>
  <c r="Q429" i="32" s="1"/>
  <c r="U2303" i="30"/>
  <c r="P429" i="32" s="1"/>
  <c r="U2301" i="30"/>
  <c r="N429" i="32" s="1"/>
  <c r="U2302" i="30"/>
  <c r="O429" i="32" s="1"/>
  <c r="U2300" i="30"/>
  <c r="M429" i="32" s="1"/>
  <c r="X788" i="13"/>
  <c r="AL774" i="13"/>
  <c r="AG534" i="13"/>
  <c r="W548" i="13"/>
  <c r="G39" i="13" s="1"/>
  <c r="AG414" i="13"/>
  <c r="W428" i="13"/>
  <c r="AG814" i="13"/>
  <c r="W231" i="13"/>
  <c r="W828" i="13"/>
  <c r="W251" i="13"/>
  <c r="AG834" i="13"/>
  <c r="W848" i="13"/>
  <c r="Y788" i="13"/>
  <c r="AQ774" i="13"/>
  <c r="U1795" i="30"/>
  <c r="R359" i="32" s="1"/>
  <c r="U1794" i="30"/>
  <c r="Q359" i="32" s="1"/>
  <c r="U1791" i="30"/>
  <c r="N359" i="32" s="1"/>
  <c r="U1793" i="30"/>
  <c r="P359" i="32" s="1"/>
  <c r="U1792" i="30"/>
  <c r="O359" i="32" s="1"/>
  <c r="U1790" i="30"/>
  <c r="M359" i="32" s="1"/>
  <c r="BA848" i="13"/>
  <c r="AA849" i="13"/>
  <c r="BA849" i="13" s="1"/>
  <c r="AG408" i="13"/>
  <c r="W409" i="13"/>
  <c r="AG409" i="13" s="1"/>
  <c r="BA488" i="13"/>
  <c r="AA489" i="13"/>
  <c r="BA489" i="13" s="1"/>
  <c r="AL329" i="13"/>
  <c r="AL328" i="13"/>
  <c r="X529" i="13"/>
  <c r="AL529" i="13" s="1"/>
  <c r="AL528" i="13"/>
  <c r="N454" i="11"/>
  <c r="Y285" i="13"/>
  <c r="AQ271" i="13"/>
  <c r="N492" i="11"/>
  <c r="N497" i="11"/>
  <c r="Y308" i="13"/>
  <c r="Y171" i="13"/>
  <c r="AQ294" i="13"/>
  <c r="X669" i="13"/>
  <c r="AL669" i="13" s="1"/>
  <c r="AL668" i="13"/>
  <c r="AV314" i="13"/>
  <c r="Z226" i="13"/>
  <c r="AV226" i="13" s="1"/>
  <c r="AV225" i="13"/>
  <c r="AA788" i="13"/>
  <c r="BA774" i="13"/>
  <c r="AQ348" i="13"/>
  <c r="Y349" i="13"/>
  <c r="AQ349" i="13" s="1"/>
  <c r="AG448" i="13"/>
  <c r="W449" i="13"/>
  <c r="AG449" i="13" s="1"/>
  <c r="AA265" i="13"/>
  <c r="BA251" i="13"/>
  <c r="AA409" i="13"/>
  <c r="BA409" i="13" s="1"/>
  <c r="BA408" i="13"/>
  <c r="Y609" i="13"/>
  <c r="AQ609" i="13" s="1"/>
  <c r="AQ608" i="13"/>
  <c r="U1996" i="30"/>
  <c r="O387" i="32" s="1"/>
  <c r="U1998" i="30"/>
  <c r="Q387" i="32" s="1"/>
  <c r="U1994" i="30"/>
  <c r="M387" i="32" s="1"/>
  <c r="U1997" i="30"/>
  <c r="P387" i="32" s="1"/>
  <c r="U1999" i="30"/>
  <c r="R387" i="32" s="1"/>
  <c r="U1995" i="30"/>
  <c r="N387" i="32" s="1"/>
  <c r="AL648" i="13"/>
  <c r="X649" i="13"/>
  <c r="AL649" i="13" s="1"/>
  <c r="BA294" i="13"/>
  <c r="AA308" i="13"/>
  <c r="U1641" i="30"/>
  <c r="P338" i="32" s="1"/>
  <c r="U1638" i="30"/>
  <c r="M338" i="32" s="1"/>
  <c r="U1643" i="30"/>
  <c r="R338" i="32" s="1"/>
  <c r="U1642" i="30"/>
  <c r="Q338" i="32" s="1"/>
  <c r="U1640" i="30"/>
  <c r="O338" i="32" s="1"/>
  <c r="U1639" i="30"/>
  <c r="N338" i="32" s="1"/>
  <c r="AG648" i="13"/>
  <c r="W649" i="13"/>
  <c r="AG649" i="13" s="1"/>
  <c r="X225" i="13"/>
  <c r="AL211" i="13"/>
  <c r="AA868" i="13"/>
  <c r="BA854" i="13"/>
  <c r="U2719" i="30"/>
  <c r="AA205" i="13"/>
  <c r="BA191" i="13"/>
  <c r="Q2725" i="30"/>
  <c r="N1650" i="30"/>
  <c r="Q1649" i="30"/>
  <c r="O1649" i="30"/>
  <c r="AA429" i="13"/>
  <c r="BA429" i="13" s="1"/>
  <c r="BA428" i="13"/>
  <c r="X709" i="13"/>
  <c r="AL709" i="13" s="1"/>
  <c r="AL708" i="13"/>
  <c r="W529" i="13"/>
  <c r="AG529" i="13" s="1"/>
  <c r="AG528" i="13"/>
  <c r="AG568" i="13"/>
  <c r="W569" i="13"/>
  <c r="AG569" i="13" s="1"/>
  <c r="U1943" i="30"/>
  <c r="M380" i="32" s="1"/>
  <c r="U1948" i="30"/>
  <c r="R380" i="32" s="1"/>
  <c r="U1947" i="30"/>
  <c r="Q380" i="32" s="1"/>
  <c r="U1945" i="30"/>
  <c r="O380" i="32" s="1"/>
  <c r="U1946" i="30"/>
  <c r="P380" i="32" s="1"/>
  <c r="U1944" i="30"/>
  <c r="N380" i="32" s="1"/>
  <c r="W389" i="13"/>
  <c r="AG389" i="13" s="1"/>
  <c r="AH389" i="13" s="1"/>
  <c r="AI389" i="13" s="1"/>
  <c r="AG388" i="13"/>
  <c r="AH388" i="13" s="1"/>
  <c r="AI388" i="13" s="1"/>
  <c r="X469" i="13"/>
  <c r="AL469" i="13" s="1"/>
  <c r="AL468" i="13"/>
  <c r="P1653" i="30"/>
  <c r="Q1654" i="30"/>
  <c r="O1653" i="30"/>
  <c r="S1654" i="30"/>
  <c r="J1656" i="30"/>
  <c r="O1655" i="30"/>
  <c r="S1656" i="30"/>
  <c r="I1653" i="30"/>
  <c r="H1653" i="30"/>
  <c r="T1655" i="30"/>
  <c r="Q1655" i="30"/>
  <c r="M1654" i="30"/>
  <c r="K1655" i="30"/>
  <c r="R1656" i="30"/>
  <c r="I1654" i="30"/>
  <c r="M1655" i="30"/>
  <c r="G1655" i="30"/>
  <c r="T1656" i="30"/>
  <c r="K1656" i="30"/>
  <c r="M1656" i="30"/>
  <c r="I1655" i="30"/>
  <c r="G1654" i="30"/>
  <c r="O1654" i="30"/>
  <c r="R1655" i="30"/>
  <c r="Q1653" i="30"/>
  <c r="J1655" i="30"/>
  <c r="K1654" i="30"/>
  <c r="S1653" i="30"/>
  <c r="R1653" i="30"/>
  <c r="P1656" i="30"/>
  <c r="L1656" i="30"/>
  <c r="H1654" i="30"/>
  <c r="K1653" i="30"/>
  <c r="H1656" i="30"/>
  <c r="J1654" i="30"/>
  <c r="T1654" i="30"/>
  <c r="L1653" i="30"/>
  <c r="M1653" i="30"/>
  <c r="L1654" i="30"/>
  <c r="G1656" i="30"/>
  <c r="N1653" i="30"/>
  <c r="N1656" i="30"/>
  <c r="N1654" i="30"/>
  <c r="L1655" i="30"/>
  <c r="G1653" i="30"/>
  <c r="H1655" i="30"/>
  <c r="I1656" i="30"/>
  <c r="O1656" i="30"/>
  <c r="P1655" i="30"/>
  <c r="Q1656" i="30"/>
  <c r="T1653" i="30"/>
  <c r="J1653" i="30"/>
  <c r="P1654" i="30"/>
  <c r="R1654" i="30"/>
  <c r="N1655" i="30"/>
  <c r="S1655" i="30"/>
  <c r="X489" i="13"/>
  <c r="AL489" i="13" s="1"/>
  <c r="AL488" i="13"/>
  <c r="AQ314" i="13"/>
  <c r="S2168" i="30" l="1"/>
  <c r="J2169" i="30"/>
  <c r="R2166" i="30"/>
  <c r="M2166" i="30"/>
  <c r="H2168" i="30"/>
  <c r="K2166" i="30"/>
  <c r="N2169" i="30"/>
  <c r="I2725" i="30"/>
  <c r="K2723" i="30"/>
  <c r="G2726" i="30"/>
  <c r="J2724" i="30"/>
  <c r="S2724" i="30"/>
  <c r="O339" i="32"/>
  <c r="Y206" i="13"/>
  <c r="AQ206" i="13" s="1"/>
  <c r="P409" i="32"/>
  <c r="G1281" i="30" a="1"/>
  <c r="G1281" i="30" s="1"/>
  <c r="U1236" i="30"/>
  <c r="G1230" i="30"/>
  <c r="S282" i="32"/>
  <c r="U2721" i="30"/>
  <c r="U2722" i="30" s="1"/>
  <c r="N487" i="32" s="1"/>
  <c r="I1649" i="30"/>
  <c r="M2725" i="30"/>
  <c r="T2725" i="30"/>
  <c r="K2725" i="30"/>
  <c r="M2724" i="30"/>
  <c r="Q2724" i="30"/>
  <c r="L2723" i="30"/>
  <c r="M1658" i="30"/>
  <c r="I1659" i="30"/>
  <c r="L1659" i="30"/>
  <c r="G1657" i="30"/>
  <c r="N1660" i="30"/>
  <c r="N1659" i="30"/>
  <c r="T1660" i="30"/>
  <c r="I2723" i="30"/>
  <c r="R2725" i="30"/>
  <c r="N2723" i="30"/>
  <c r="G2725" i="30"/>
  <c r="H2726" i="30"/>
  <c r="O1650" i="30"/>
  <c r="T2724" i="30"/>
  <c r="G2723" i="30"/>
  <c r="J2726" i="30"/>
  <c r="T2723" i="30"/>
  <c r="S2725" i="30"/>
  <c r="P2726" i="30"/>
  <c r="H1658" i="30"/>
  <c r="O1660" i="30"/>
  <c r="J1658" i="30"/>
  <c r="R1658" i="30"/>
  <c r="P1657" i="30"/>
  <c r="K1657" i="30"/>
  <c r="O1657" i="30"/>
  <c r="R1657" i="30"/>
  <c r="I1660" i="30"/>
  <c r="N1657" i="30"/>
  <c r="Q1657" i="30"/>
  <c r="G1659" i="30"/>
  <c r="O1659" i="30"/>
  <c r="J1657" i="30"/>
  <c r="H2724" i="30"/>
  <c r="L1651" i="30"/>
  <c r="O2723" i="30"/>
  <c r="P2725" i="30"/>
  <c r="M2726" i="30"/>
  <c r="S2723" i="30"/>
  <c r="P2723" i="30"/>
  <c r="J2723" i="30"/>
  <c r="H1659" i="30"/>
  <c r="R1660" i="30"/>
  <c r="S1657" i="30"/>
  <c r="N1658" i="30"/>
  <c r="Q1658" i="30"/>
  <c r="G1660" i="30"/>
  <c r="T1659" i="30"/>
  <c r="G2724" i="30"/>
  <c r="J2725" i="30"/>
  <c r="N2726" i="30"/>
  <c r="P2724" i="30"/>
  <c r="R2724" i="30"/>
  <c r="K2726" i="30"/>
  <c r="H2723" i="30"/>
  <c r="R2726" i="30"/>
  <c r="Q2726" i="30"/>
  <c r="R2723" i="30"/>
  <c r="I2724" i="30"/>
  <c r="K2724" i="30"/>
  <c r="N2724" i="30"/>
  <c r="T1658" i="30"/>
  <c r="H1660" i="30"/>
  <c r="K1659" i="30"/>
  <c r="M1657" i="30"/>
  <c r="L1657" i="30"/>
  <c r="Q1659" i="30"/>
  <c r="R1659" i="30"/>
  <c r="S1652" i="30"/>
  <c r="L2725" i="30"/>
  <c r="M2723" i="30"/>
  <c r="H2725" i="30"/>
  <c r="O2725" i="30"/>
  <c r="I2726" i="30"/>
  <c r="T2726" i="30"/>
  <c r="K1660" i="30"/>
  <c r="I1657" i="30"/>
  <c r="O1658" i="30"/>
  <c r="M1660" i="30"/>
  <c r="S1660" i="30"/>
  <c r="J1660" i="30"/>
  <c r="O2724" i="30"/>
  <c r="S2726" i="30"/>
  <c r="O2726" i="30"/>
  <c r="Q2723" i="30"/>
  <c r="L2724" i="30"/>
  <c r="N2725" i="30"/>
  <c r="U457" i="30"/>
  <c r="G451" i="30"/>
  <c r="U451" i="30" s="1"/>
  <c r="D87" i="32" s="1"/>
  <c r="J87" i="32"/>
  <c r="G399" i="30" a="1"/>
  <c r="F516" i="11"/>
  <c r="F530" i="11" s="1"/>
  <c r="F534" i="11" s="1"/>
  <c r="G29" i="13"/>
  <c r="G30" i="13"/>
  <c r="G414" i="30"/>
  <c r="U420" i="30"/>
  <c r="J82" i="32"/>
  <c r="D26" i="27"/>
  <c r="I1652" i="30"/>
  <c r="S1651" i="30"/>
  <c r="H1652" i="30"/>
  <c r="G1651" i="30"/>
  <c r="L1649" i="30"/>
  <c r="Q1652" i="30"/>
  <c r="N1652" i="30"/>
  <c r="M1649" i="30"/>
  <c r="G1649" i="30"/>
  <c r="Q1651" i="30"/>
  <c r="R1651" i="30"/>
  <c r="I1650" i="30"/>
  <c r="K1649" i="30"/>
  <c r="H1651" i="30"/>
  <c r="M1652" i="30"/>
  <c r="J1651" i="30"/>
  <c r="T1652" i="30"/>
  <c r="N1649" i="30"/>
  <c r="O1651" i="30"/>
  <c r="Q1650" i="30"/>
  <c r="T1649" i="30"/>
  <c r="G1650" i="30"/>
  <c r="R1649" i="30"/>
  <c r="K1650" i="30"/>
  <c r="S1650" i="30"/>
  <c r="R1652" i="30"/>
  <c r="J1649" i="30"/>
  <c r="M1651" i="30"/>
  <c r="S1649" i="30"/>
  <c r="L1650" i="30"/>
  <c r="O1652" i="30"/>
  <c r="K1652" i="30"/>
  <c r="K1651" i="30"/>
  <c r="P1652" i="30"/>
  <c r="I1651" i="30"/>
  <c r="J1652" i="30"/>
  <c r="H1650" i="30"/>
  <c r="P1651" i="30"/>
  <c r="H1649" i="30"/>
  <c r="P1650" i="30"/>
  <c r="T1651" i="30"/>
  <c r="J1650" i="30"/>
  <c r="N1651" i="30"/>
  <c r="G1652" i="30"/>
  <c r="R1650" i="30"/>
  <c r="P1649" i="30"/>
  <c r="L1652" i="30"/>
  <c r="M1650" i="30"/>
  <c r="U2164" i="30"/>
  <c r="U2165" i="30" s="1"/>
  <c r="O410" i="32" s="1"/>
  <c r="G2154" i="30" a="1"/>
  <c r="J2156" i="30" s="1"/>
  <c r="U2810" i="30"/>
  <c r="U1653" i="30"/>
  <c r="G1645" i="30" a="1"/>
  <c r="I1645" i="30" s="1"/>
  <c r="U2454" i="30"/>
  <c r="N450" i="32" s="1"/>
  <c r="W368" i="13"/>
  <c r="G36" i="13" s="1"/>
  <c r="AG354" i="13"/>
  <c r="D15" i="27"/>
  <c r="Q37" i="13"/>
  <c r="BA205" i="13"/>
  <c r="AA206" i="13"/>
  <c r="BA206" i="13" s="1"/>
  <c r="Q41" i="13"/>
  <c r="D17" i="27"/>
  <c r="AV328" i="13"/>
  <c r="AV329" i="13"/>
  <c r="U455" i="30"/>
  <c r="H87" i="32" s="1"/>
  <c r="U456" i="30"/>
  <c r="I87" i="32" s="1"/>
  <c r="U454" i="30"/>
  <c r="G87" i="32" s="1"/>
  <c r="U452" i="30"/>
  <c r="E87" i="32" s="1"/>
  <c r="U453" i="30"/>
  <c r="F87" i="32" s="1"/>
  <c r="Y286" i="13"/>
  <c r="AQ286" i="13" s="1"/>
  <c r="AQ285" i="13"/>
  <c r="AA829" i="13"/>
  <c r="BA829" i="13" s="1"/>
  <c r="BA828" i="13"/>
  <c r="AL285" i="13"/>
  <c r="X286" i="13"/>
  <c r="AL286" i="13" s="1"/>
  <c r="U1893" i="30"/>
  <c r="N373" i="32" s="1"/>
  <c r="U1896" i="30"/>
  <c r="Q373" i="32" s="1"/>
  <c r="U1895" i="30"/>
  <c r="P373" i="32" s="1"/>
  <c r="U1892" i="30"/>
  <c r="M373" i="32" s="1"/>
  <c r="U1894" i="30"/>
  <c r="O373" i="32" s="1"/>
  <c r="U1897" i="30"/>
  <c r="R373" i="32" s="1"/>
  <c r="AL251" i="13"/>
  <c r="X265" i="13"/>
  <c r="AG251" i="13"/>
  <c r="W265" i="13"/>
  <c r="U2048" i="30"/>
  <c r="P394" i="32" s="1"/>
  <c r="U2047" i="30"/>
  <c r="O394" i="32" s="1"/>
  <c r="U2045" i="30"/>
  <c r="M394" i="32" s="1"/>
  <c r="U2046" i="30"/>
  <c r="N394" i="32" s="1"/>
  <c r="U2050" i="30"/>
  <c r="R394" i="32" s="1"/>
  <c r="U2049" i="30"/>
  <c r="Q394" i="32" s="1"/>
  <c r="Y245" i="13"/>
  <c r="AQ231" i="13"/>
  <c r="N435" i="11"/>
  <c r="AQ329" i="13"/>
  <c r="AQ328" i="13"/>
  <c r="U1654" i="30"/>
  <c r="N511" i="11"/>
  <c r="U2764" i="30"/>
  <c r="R492" i="32" s="1"/>
  <c r="U2763" i="30"/>
  <c r="Q492" i="32" s="1"/>
  <c r="U2762" i="30"/>
  <c r="P492" i="32" s="1"/>
  <c r="U2759" i="30"/>
  <c r="M492" i="32" s="1"/>
  <c r="U2761" i="30"/>
  <c r="O492" i="32" s="1"/>
  <c r="U2760" i="30"/>
  <c r="N492" i="32" s="1"/>
  <c r="W549" i="13"/>
  <c r="AG549" i="13" s="1"/>
  <c r="AG548" i="13"/>
  <c r="AA245" i="13"/>
  <c r="BA231" i="13"/>
  <c r="U2453" i="30"/>
  <c r="M450" i="32" s="1"/>
  <c r="U2455" i="30"/>
  <c r="O450" i="32" s="1"/>
  <c r="Y829" i="13"/>
  <c r="AQ829" i="13" s="1"/>
  <c r="AQ828" i="13"/>
  <c r="AG328" i="13"/>
  <c r="W329" i="13"/>
  <c r="AG329" i="13" s="1"/>
  <c r="AG488" i="13"/>
  <c r="W489" i="13"/>
  <c r="AG489" i="13" s="1"/>
  <c r="Y869" i="13"/>
  <c r="AQ869" i="13" s="1"/>
  <c r="AQ868" i="13"/>
  <c r="U2202" i="30"/>
  <c r="Q415" i="32" s="1"/>
  <c r="U2201" i="30"/>
  <c r="P415" i="32" s="1"/>
  <c r="U2199" i="30"/>
  <c r="N415" i="32" s="1"/>
  <c r="U2200" i="30"/>
  <c r="O415" i="32" s="1"/>
  <c r="U2203" i="30"/>
  <c r="R415" i="32" s="1"/>
  <c r="U2198" i="30"/>
  <c r="M415" i="32" s="1"/>
  <c r="AG734" i="13"/>
  <c r="W748" i="13"/>
  <c r="G40" i="13" s="1"/>
  <c r="W468" i="13"/>
  <c r="G37" i="13" s="1"/>
  <c r="AG454" i="13"/>
  <c r="AA588" i="13"/>
  <c r="R459" i="11"/>
  <c r="BA574" i="13"/>
  <c r="AA271" i="13"/>
  <c r="G1383" i="30" s="1" a="1"/>
  <c r="BA868" i="13"/>
  <c r="AA869" i="13"/>
  <c r="BA869" i="13" s="1"/>
  <c r="AA309" i="13"/>
  <c r="BA309" i="13" s="1"/>
  <c r="BA308" i="13"/>
  <c r="AG828" i="13"/>
  <c r="W829" i="13"/>
  <c r="AG829" i="13" s="1"/>
  <c r="Y226" i="13"/>
  <c r="AQ226" i="13" s="1"/>
  <c r="AQ225" i="13"/>
  <c r="U1235" i="30"/>
  <c r="R282" i="32" s="1"/>
  <c r="U1231" i="30"/>
  <c r="N282" i="32" s="1"/>
  <c r="U1233" i="30"/>
  <c r="P282" i="32" s="1"/>
  <c r="U1230" i="30"/>
  <c r="M282" i="32" s="1"/>
  <c r="U1234" i="30"/>
  <c r="Q282" i="32" s="1"/>
  <c r="U1232" i="30"/>
  <c r="O282" i="32" s="1"/>
  <c r="AG271" i="13"/>
  <c r="W285" i="13"/>
  <c r="AA789" i="13"/>
  <c r="BA789" i="13" s="1"/>
  <c r="BA788" i="13"/>
  <c r="AQ171" i="13"/>
  <c r="Y185" i="13"/>
  <c r="U418" i="30"/>
  <c r="H82" i="32" s="1"/>
  <c r="U415" i="30"/>
  <c r="E82" i="32" s="1"/>
  <c r="U416" i="30"/>
  <c r="F82" i="32" s="1"/>
  <c r="U419" i="30"/>
  <c r="I82" i="32" s="1"/>
  <c r="U414" i="30"/>
  <c r="D82" i="32" s="1"/>
  <c r="U417" i="30"/>
  <c r="G82" i="32" s="1"/>
  <c r="W245" i="13"/>
  <c r="AG231" i="13"/>
  <c r="AL348" i="13"/>
  <c r="X349" i="13"/>
  <c r="AL349" i="13" s="1"/>
  <c r="U2733" i="30"/>
  <c r="U2734" i="30" s="1"/>
  <c r="Q487" i="32" s="1"/>
  <c r="X246" i="13"/>
  <c r="AL246" i="13" s="1"/>
  <c r="AL245" i="13"/>
  <c r="AV348" i="13"/>
  <c r="Z349" i="13"/>
  <c r="AV349" i="13" s="1"/>
  <c r="Z171" i="13"/>
  <c r="AV294" i="13"/>
  <c r="Z308" i="13"/>
  <c r="U2610" i="30"/>
  <c r="Q471" i="32" s="1"/>
  <c r="U2607" i="30"/>
  <c r="N471" i="32" s="1"/>
  <c r="U2608" i="30"/>
  <c r="O471" i="32" s="1"/>
  <c r="U2606" i="30"/>
  <c r="M471" i="32" s="1"/>
  <c r="U2611" i="30"/>
  <c r="R471" i="32" s="1"/>
  <c r="U2609" i="30"/>
  <c r="P471" i="32" s="1"/>
  <c r="W609" i="13"/>
  <c r="AG609" i="13" s="1"/>
  <c r="AG608" i="13"/>
  <c r="X868" i="13"/>
  <c r="AL854" i="13"/>
  <c r="BA265" i="13"/>
  <c r="AA266" i="13"/>
  <c r="BA266" i="13" s="1"/>
  <c r="Y309" i="13"/>
  <c r="AQ309" i="13" s="1"/>
  <c r="AQ308" i="13"/>
  <c r="AQ788" i="13"/>
  <c r="Y789" i="13"/>
  <c r="AQ789" i="13" s="1"/>
  <c r="X789" i="13"/>
  <c r="AL789" i="13" s="1"/>
  <c r="AL788" i="13"/>
  <c r="G1661" i="30" a="1"/>
  <c r="D21" i="27"/>
  <c r="Q44" i="13"/>
  <c r="R44" i="13" s="1"/>
  <c r="S44" i="13" s="1"/>
  <c r="W226" i="13"/>
  <c r="AG226" i="13" s="1"/>
  <c r="AG225" i="13"/>
  <c r="U2457" i="30"/>
  <c r="Q450" i="32" s="1"/>
  <c r="U2167" i="30"/>
  <c r="AV231" i="13"/>
  <c r="Z245" i="13"/>
  <c r="U1179" i="30"/>
  <c r="M275" i="32" s="1"/>
  <c r="U1183" i="30"/>
  <c r="Q275" i="32" s="1"/>
  <c r="U1181" i="30"/>
  <c r="O275" i="32" s="1"/>
  <c r="U1182" i="30"/>
  <c r="P275" i="32" s="1"/>
  <c r="U1184" i="30"/>
  <c r="R275" i="32" s="1"/>
  <c r="U1180" i="30"/>
  <c r="N275" i="32" s="1"/>
  <c r="Z251" i="13"/>
  <c r="Z848" i="13"/>
  <c r="AV834" i="13"/>
  <c r="U1743" i="30"/>
  <c r="Q352" i="32" s="1"/>
  <c r="U1744" i="30"/>
  <c r="R352" i="32" s="1"/>
  <c r="U1741" i="30"/>
  <c r="O352" i="32" s="1"/>
  <c r="U1739" i="30"/>
  <c r="M352" i="32" s="1"/>
  <c r="U1742" i="30"/>
  <c r="P352" i="32" s="1"/>
  <c r="U1740" i="30"/>
  <c r="N352" i="32" s="1"/>
  <c r="G2158" i="30" a="1"/>
  <c r="U2166" i="30"/>
  <c r="M2730" i="30"/>
  <c r="G2730" i="30"/>
  <c r="S2727" i="30"/>
  <c r="J2729" i="30"/>
  <c r="R2728" i="30"/>
  <c r="N2728" i="30"/>
  <c r="J2728" i="30"/>
  <c r="Q2729" i="30"/>
  <c r="M2729" i="30"/>
  <c r="L2730" i="30"/>
  <c r="N2730" i="30"/>
  <c r="M2728" i="30"/>
  <c r="H2728" i="30"/>
  <c r="I2727" i="30"/>
  <c r="S2730" i="30"/>
  <c r="M2727" i="30"/>
  <c r="T2729" i="30"/>
  <c r="S2728" i="30"/>
  <c r="P2727" i="30"/>
  <c r="J2727" i="30"/>
  <c r="I2729" i="30"/>
  <c r="G2727" i="30"/>
  <c r="R2727" i="30"/>
  <c r="S2729" i="30"/>
  <c r="O2728" i="30"/>
  <c r="L2728" i="30"/>
  <c r="N2727" i="30"/>
  <c r="O2730" i="30"/>
  <c r="H2727" i="30"/>
  <c r="G2729" i="30"/>
  <c r="O2729" i="30"/>
  <c r="H2730" i="30"/>
  <c r="Q2730" i="30"/>
  <c r="R2729" i="30"/>
  <c r="L2729" i="30"/>
  <c r="Q2728" i="30"/>
  <c r="O2727" i="30"/>
  <c r="K2729" i="30"/>
  <c r="G2728" i="30"/>
  <c r="T2727" i="30"/>
  <c r="P2728" i="30"/>
  <c r="K2730" i="30"/>
  <c r="H2729" i="30"/>
  <c r="T2730" i="30"/>
  <c r="R2730" i="30"/>
  <c r="Q2727" i="30"/>
  <c r="P2729" i="30"/>
  <c r="N2729" i="30"/>
  <c r="K2727" i="30"/>
  <c r="K2728" i="30"/>
  <c r="P2730" i="30"/>
  <c r="I2730" i="30"/>
  <c r="T2728" i="30"/>
  <c r="J2730" i="30"/>
  <c r="I2728" i="30"/>
  <c r="L2727" i="30"/>
  <c r="W769" i="13"/>
  <c r="AG769" i="13" s="1"/>
  <c r="AG768" i="13"/>
  <c r="W206" i="13"/>
  <c r="AG206" i="13" s="1"/>
  <c r="AG205" i="13"/>
  <c r="AQ834" i="13"/>
  <c r="Y251" i="13"/>
  <c r="Y848" i="13"/>
  <c r="X226" i="13"/>
  <c r="AL226" i="13" s="1"/>
  <c r="AL225" i="13"/>
  <c r="AG848" i="13"/>
  <c r="W849" i="13"/>
  <c r="AG849" i="13" s="1"/>
  <c r="AG428" i="13"/>
  <c r="W429" i="13"/>
  <c r="AG429" i="13" s="1"/>
  <c r="G2715" i="30" a="1"/>
  <c r="U2456" i="30"/>
  <c r="P450" i="32" s="1"/>
  <c r="Z829" i="13"/>
  <c r="AV829" i="13" s="1"/>
  <c r="AV828" i="13"/>
  <c r="X849" i="13"/>
  <c r="AL849" i="13" s="1"/>
  <c r="AL848" i="13"/>
  <c r="O486" i="32" l="1"/>
  <c r="P486" i="32"/>
  <c r="P339" i="32"/>
  <c r="S289" i="32"/>
  <c r="N339" i="32"/>
  <c r="R289" i="32"/>
  <c r="U1657" i="30"/>
  <c r="U2724" i="30"/>
  <c r="G31" i="13"/>
  <c r="U1658" i="30"/>
  <c r="U1287" i="30"/>
  <c r="G1332" i="30" a="1"/>
  <c r="U1338" i="30" s="1"/>
  <c r="U1286" i="30"/>
  <c r="U1389" i="30"/>
  <c r="G1383" i="30"/>
  <c r="U1383" i="30" s="1"/>
  <c r="M303" i="32" s="1"/>
  <c r="S303" i="32"/>
  <c r="S1647" i="30"/>
  <c r="U2723" i="30"/>
  <c r="G436" i="30" a="1"/>
  <c r="J516" i="11"/>
  <c r="U405" i="30"/>
  <c r="G399" i="30"/>
  <c r="U399" i="30" s="1"/>
  <c r="D80" i="32" s="1"/>
  <c r="J80" i="32"/>
  <c r="U2811" i="30"/>
  <c r="U2815" i="30"/>
  <c r="M1645" i="30"/>
  <c r="U2813" i="30"/>
  <c r="U1650" i="30"/>
  <c r="Q2154" i="30"/>
  <c r="U2812" i="30"/>
  <c r="J1648" i="30"/>
  <c r="R1645" i="30"/>
  <c r="K1647" i="30"/>
  <c r="I1647" i="30"/>
  <c r="G1645" i="30"/>
  <c r="K2156" i="30"/>
  <c r="M2155" i="30"/>
  <c r="S2156" i="30"/>
  <c r="R2157" i="30"/>
  <c r="G2154" i="30"/>
  <c r="N2156" i="30"/>
  <c r="U1649" i="30"/>
  <c r="P1647" i="30"/>
  <c r="R1647" i="30"/>
  <c r="H1648" i="30"/>
  <c r="K1645" i="30"/>
  <c r="Q1648" i="30"/>
  <c r="P1648" i="30"/>
  <c r="R1646" i="30"/>
  <c r="S2154" i="30"/>
  <c r="P2154" i="30"/>
  <c r="J2154" i="30"/>
  <c r="L2154" i="30"/>
  <c r="K2154" i="30"/>
  <c r="N2155" i="30"/>
  <c r="S2157" i="30"/>
  <c r="H2157" i="30"/>
  <c r="O1647" i="30"/>
  <c r="P1645" i="30"/>
  <c r="N1647" i="30"/>
  <c r="N1648" i="30"/>
  <c r="G1648" i="30"/>
  <c r="L1645" i="30"/>
  <c r="R1648" i="30"/>
  <c r="I2155" i="30"/>
  <c r="Q2155" i="30"/>
  <c r="P2157" i="30"/>
  <c r="J2157" i="30"/>
  <c r="L2156" i="30"/>
  <c r="N2157" i="30"/>
  <c r="I2156" i="30"/>
  <c r="Q1645" i="30"/>
  <c r="G1647" i="30"/>
  <c r="S1645" i="30"/>
  <c r="G1646" i="30"/>
  <c r="Q1647" i="30"/>
  <c r="J1646" i="30"/>
  <c r="M1648" i="30"/>
  <c r="S1648" i="30"/>
  <c r="H2154" i="30"/>
  <c r="O2157" i="30"/>
  <c r="T2155" i="30"/>
  <c r="K2155" i="30"/>
  <c r="Q2157" i="30"/>
  <c r="G2156" i="30"/>
  <c r="H2156" i="30"/>
  <c r="P1646" i="30"/>
  <c r="S2155" i="30"/>
  <c r="I2154" i="30"/>
  <c r="J2155" i="30"/>
  <c r="R2155" i="30"/>
  <c r="I2157" i="30"/>
  <c r="O2156" i="30"/>
  <c r="I1646" i="30"/>
  <c r="H1645" i="30"/>
  <c r="J1645" i="30"/>
  <c r="Q1646" i="30"/>
  <c r="I1648" i="30"/>
  <c r="T1645" i="30"/>
  <c r="M1647" i="30"/>
  <c r="L2155" i="30"/>
  <c r="M2156" i="30"/>
  <c r="O2154" i="30"/>
  <c r="N2154" i="30"/>
  <c r="T2157" i="30"/>
  <c r="P2155" i="30"/>
  <c r="O2155" i="30"/>
  <c r="T1648" i="30"/>
  <c r="L1648" i="30"/>
  <c r="K1646" i="30"/>
  <c r="O1645" i="30"/>
  <c r="K1648" i="30"/>
  <c r="N1645" i="30"/>
  <c r="O1646" i="30"/>
  <c r="M1646" i="30"/>
  <c r="T1646" i="30"/>
  <c r="H1647" i="30"/>
  <c r="T1647" i="30"/>
  <c r="L1646" i="30"/>
  <c r="R2154" i="30"/>
  <c r="L2157" i="30"/>
  <c r="P2156" i="30"/>
  <c r="T2154" i="30"/>
  <c r="M2157" i="30"/>
  <c r="T2156" i="30"/>
  <c r="G2157" i="30"/>
  <c r="O1648" i="30"/>
  <c r="L1647" i="30"/>
  <c r="H1646" i="30"/>
  <c r="J1647" i="30"/>
  <c r="N1646" i="30"/>
  <c r="S1646" i="30"/>
  <c r="G2155" i="30"/>
  <c r="M2154" i="30"/>
  <c r="K2157" i="30"/>
  <c r="R2156" i="30"/>
  <c r="H2155" i="30"/>
  <c r="Q2156" i="30"/>
  <c r="U2814" i="30"/>
  <c r="U1655" i="30"/>
  <c r="U1656" i="30" s="1"/>
  <c r="O340" i="32" s="1"/>
  <c r="U2168" i="30"/>
  <c r="U2169" i="30" s="1"/>
  <c r="P410" i="32" s="1"/>
  <c r="AV854" i="13"/>
  <c r="Z868" i="13"/>
  <c r="G21" i="27"/>
  <c r="H21" i="27" s="1"/>
  <c r="W246" i="13"/>
  <c r="AG246" i="13" s="1"/>
  <c r="AG245" i="13"/>
  <c r="AA589" i="13"/>
  <c r="BA589" i="13" s="1"/>
  <c r="BB589" i="13" s="1"/>
  <c r="BC589" i="13" s="1"/>
  <c r="BA588" i="13"/>
  <c r="BB588" i="13" s="1"/>
  <c r="BC588" i="13" s="1"/>
  <c r="AG368" i="13"/>
  <c r="W369" i="13"/>
  <c r="AG369" i="13" s="1"/>
  <c r="BA314" i="13"/>
  <c r="AA171" i="13"/>
  <c r="AV171" i="13"/>
  <c r="Z185" i="13"/>
  <c r="Z151" i="13"/>
  <c r="AQ848" i="13"/>
  <c r="Y849" i="13"/>
  <c r="AQ849" i="13" s="1"/>
  <c r="R1664" i="30"/>
  <c r="T1662" i="30"/>
  <c r="K1662" i="30"/>
  <c r="Q1663" i="30"/>
  <c r="P1664" i="30"/>
  <c r="T1661" i="30"/>
  <c r="P1661" i="30"/>
  <c r="N1661" i="30"/>
  <c r="S1664" i="30"/>
  <c r="L1662" i="30"/>
  <c r="R1662" i="30"/>
  <c r="H1662" i="30"/>
  <c r="O1661" i="30"/>
  <c r="M1663" i="30"/>
  <c r="S1663" i="30"/>
  <c r="J1661" i="30"/>
  <c r="K1661" i="30"/>
  <c r="H1661" i="30"/>
  <c r="J1663" i="30"/>
  <c r="I1661" i="30"/>
  <c r="G1663" i="30"/>
  <c r="M1662" i="30"/>
  <c r="H1663" i="30"/>
  <c r="L1661" i="30"/>
  <c r="L1663" i="30"/>
  <c r="R1663" i="30"/>
  <c r="T1664" i="30"/>
  <c r="G1664" i="30"/>
  <c r="Q1661" i="30"/>
  <c r="K1663" i="30"/>
  <c r="P1663" i="30"/>
  <c r="H1664" i="30"/>
  <c r="Q1662" i="30"/>
  <c r="G1662" i="30"/>
  <c r="G1661" i="30"/>
  <c r="I1664" i="30"/>
  <c r="T1663" i="30"/>
  <c r="N1663" i="30"/>
  <c r="I1662" i="30"/>
  <c r="O1663" i="30"/>
  <c r="M1661" i="30"/>
  <c r="M1664" i="30"/>
  <c r="N1662" i="30"/>
  <c r="O1664" i="30"/>
  <c r="R1661" i="30"/>
  <c r="I1663" i="30"/>
  <c r="S1661" i="30"/>
  <c r="S1662" i="30"/>
  <c r="Q1664" i="30"/>
  <c r="J1662" i="30"/>
  <c r="K1664" i="30"/>
  <c r="J1664" i="30"/>
  <c r="N1664" i="30"/>
  <c r="P1662" i="30"/>
  <c r="L1664" i="30"/>
  <c r="O1662" i="30"/>
  <c r="U1841" i="30"/>
  <c r="M366" i="32" s="1"/>
  <c r="U1842" i="30"/>
  <c r="N366" i="32" s="1"/>
  <c r="U1846" i="30"/>
  <c r="R366" i="32" s="1"/>
  <c r="U1843" i="30"/>
  <c r="O366" i="32" s="1"/>
  <c r="U1845" i="30"/>
  <c r="Q366" i="32" s="1"/>
  <c r="U1844" i="30"/>
  <c r="P366" i="32" s="1"/>
  <c r="AG774" i="13"/>
  <c r="W788" i="13"/>
  <c r="G43" i="13" s="1"/>
  <c r="Y265" i="13"/>
  <c r="AQ251" i="13"/>
  <c r="U2728" i="30"/>
  <c r="AV245" i="13"/>
  <c r="Z246" i="13"/>
  <c r="AV246" i="13" s="1"/>
  <c r="Q30" i="13"/>
  <c r="D5" i="27"/>
  <c r="Y151" i="13"/>
  <c r="W469" i="13"/>
  <c r="AG469" i="13" s="1"/>
  <c r="AG468" i="13"/>
  <c r="P2716" i="30"/>
  <c r="Q2717" i="30"/>
  <c r="H2715" i="30"/>
  <c r="I2716" i="30"/>
  <c r="H2716" i="30"/>
  <c r="T2715" i="30"/>
  <c r="Q2715" i="30"/>
  <c r="L2715" i="30"/>
  <c r="G2716" i="30"/>
  <c r="R2716" i="30"/>
  <c r="J2718" i="30"/>
  <c r="T2716" i="30"/>
  <c r="I2717" i="30"/>
  <c r="S2715" i="30"/>
  <c r="L2716" i="30"/>
  <c r="O2716" i="30"/>
  <c r="G2717" i="30"/>
  <c r="N2716" i="30"/>
  <c r="M2718" i="30"/>
  <c r="S2718" i="30"/>
  <c r="P2717" i="30"/>
  <c r="S2716" i="30"/>
  <c r="N2718" i="30"/>
  <c r="K2715" i="30"/>
  <c r="Q2718" i="30"/>
  <c r="R2715" i="30"/>
  <c r="N2717" i="30"/>
  <c r="J2715" i="30"/>
  <c r="L2718" i="30"/>
  <c r="T2718" i="30"/>
  <c r="O2715" i="30"/>
  <c r="R2717" i="30"/>
  <c r="R2718" i="30"/>
  <c r="H2718" i="30"/>
  <c r="K2716" i="30"/>
  <c r="Q2716" i="30"/>
  <c r="P2718" i="30"/>
  <c r="M2716" i="30"/>
  <c r="K2718" i="30"/>
  <c r="S2717" i="30"/>
  <c r="G2715" i="30"/>
  <c r="M2717" i="30"/>
  <c r="K2717" i="30"/>
  <c r="L2717" i="30"/>
  <c r="J2716" i="30"/>
  <c r="M2715" i="30"/>
  <c r="N2715" i="30"/>
  <c r="G2718" i="30"/>
  <c r="O2718" i="30"/>
  <c r="J2717" i="30"/>
  <c r="H2717" i="30"/>
  <c r="T2717" i="30"/>
  <c r="O2717" i="30"/>
  <c r="I2715" i="30"/>
  <c r="I2718" i="30"/>
  <c r="P2715" i="30"/>
  <c r="Q28" i="13"/>
  <c r="D4" i="27"/>
  <c r="U2727" i="30"/>
  <c r="AV848" i="13"/>
  <c r="Z849" i="13"/>
  <c r="AV849" i="13" s="1"/>
  <c r="Y186" i="13"/>
  <c r="AQ186" i="13" s="1"/>
  <c r="AQ185" i="13"/>
  <c r="AA285" i="13"/>
  <c r="G35" i="13" s="1"/>
  <c r="BA271" i="13"/>
  <c r="U2557" i="30"/>
  <c r="O464" i="32" s="1"/>
  <c r="U2559" i="30"/>
  <c r="Q464" i="32" s="1"/>
  <c r="U2558" i="30"/>
  <c r="P464" i="32" s="1"/>
  <c r="U2560" i="30"/>
  <c r="R464" i="32" s="1"/>
  <c r="U2556" i="30"/>
  <c r="N464" i="32" s="1"/>
  <c r="U2555" i="30"/>
  <c r="M464" i="32" s="1"/>
  <c r="AA246" i="13"/>
  <c r="BA246" i="13" s="1"/>
  <c r="BA245" i="13"/>
  <c r="U404" i="30"/>
  <c r="I80" i="32" s="1"/>
  <c r="U403" i="30"/>
  <c r="H80" i="32" s="1"/>
  <c r="U401" i="30"/>
  <c r="F80" i="32" s="1"/>
  <c r="U400" i="30"/>
  <c r="E80" i="32" s="1"/>
  <c r="U402" i="30"/>
  <c r="G80" i="32" s="1"/>
  <c r="Y246" i="13"/>
  <c r="AQ246" i="13" s="1"/>
  <c r="AQ245" i="13"/>
  <c r="AG334" i="13"/>
  <c r="W348" i="13"/>
  <c r="Z265" i="13"/>
  <c r="AV251" i="13"/>
  <c r="U1388" i="30"/>
  <c r="R303" i="32" s="1"/>
  <c r="U1384" i="30"/>
  <c r="N303" i="32" s="1"/>
  <c r="U1385" i="30"/>
  <c r="O303" i="32" s="1"/>
  <c r="U1386" i="30"/>
  <c r="P303" i="32" s="1"/>
  <c r="U1387" i="30"/>
  <c r="Q303" i="32" s="1"/>
  <c r="U2150" i="30"/>
  <c r="P408" i="32" s="1"/>
  <c r="U2149" i="30"/>
  <c r="O408" i="32" s="1"/>
  <c r="U2148" i="30"/>
  <c r="N408" i="32" s="1"/>
  <c r="U2147" i="30"/>
  <c r="M408" i="32" s="1"/>
  <c r="U2151" i="30"/>
  <c r="Q408" i="32" s="1"/>
  <c r="U2152" i="30"/>
  <c r="R408" i="32" s="1"/>
  <c r="AG748" i="13"/>
  <c r="W749" i="13"/>
  <c r="AG749" i="13" s="1"/>
  <c r="X266" i="13"/>
  <c r="AL266" i="13" s="1"/>
  <c r="AL265" i="13"/>
  <c r="Z309" i="13"/>
  <c r="AV309" i="13" s="1"/>
  <c r="AV308" i="13"/>
  <c r="AG285" i="13"/>
  <c r="W286" i="13"/>
  <c r="AG286" i="13" s="1"/>
  <c r="BB574" i="13"/>
  <c r="BC574" i="13" s="1"/>
  <c r="U1588" i="30"/>
  <c r="N331" i="32" s="1"/>
  <c r="U1591" i="30"/>
  <c r="Q331" i="32" s="1"/>
  <c r="U1590" i="30"/>
  <c r="P331" i="32" s="1"/>
  <c r="U1589" i="30"/>
  <c r="O331" i="32" s="1"/>
  <c r="U1592" i="30"/>
  <c r="R331" i="32" s="1"/>
  <c r="U1587" i="30"/>
  <c r="M331" i="32" s="1"/>
  <c r="J2160" i="30"/>
  <c r="K2158" i="30"/>
  <c r="I2158" i="30"/>
  <c r="O2159" i="30"/>
  <c r="S2161" i="30"/>
  <c r="J2159" i="30"/>
  <c r="N2159" i="30"/>
  <c r="Q2158" i="30"/>
  <c r="M2160" i="30"/>
  <c r="L2161" i="30"/>
  <c r="R2158" i="30"/>
  <c r="G2160" i="30"/>
  <c r="R2159" i="30"/>
  <c r="M2158" i="30"/>
  <c r="S2159" i="30"/>
  <c r="I2161" i="30"/>
  <c r="J2158" i="30"/>
  <c r="O2160" i="30"/>
  <c r="N2158" i="30"/>
  <c r="S2160" i="30"/>
  <c r="J2161" i="30"/>
  <c r="R2161" i="30"/>
  <c r="H2158" i="30"/>
  <c r="L2159" i="30"/>
  <c r="T2158" i="30"/>
  <c r="T2159" i="30"/>
  <c r="I2159" i="30"/>
  <c r="G2161" i="30"/>
  <c r="Q2161" i="30"/>
  <c r="P2160" i="30"/>
  <c r="O2161" i="30"/>
  <c r="I2160" i="30"/>
  <c r="H2161" i="30"/>
  <c r="P2158" i="30"/>
  <c r="N2160" i="30"/>
  <c r="H2159" i="30"/>
  <c r="M2159" i="30"/>
  <c r="G2159" i="30"/>
  <c r="S2158" i="30"/>
  <c r="O2158" i="30"/>
  <c r="G2158" i="30"/>
  <c r="Q2159" i="30"/>
  <c r="R2160" i="30"/>
  <c r="M2161" i="30"/>
  <c r="N2161" i="30"/>
  <c r="T2161" i="30"/>
  <c r="H2160" i="30"/>
  <c r="P2161" i="30"/>
  <c r="L2158" i="30"/>
  <c r="L2160" i="30"/>
  <c r="K2160" i="30"/>
  <c r="K2159" i="30"/>
  <c r="Q2160" i="30"/>
  <c r="T2160" i="30"/>
  <c r="P2159" i="30"/>
  <c r="K2161" i="30"/>
  <c r="Q40" i="13"/>
  <c r="D18" i="27"/>
  <c r="AG294" i="13"/>
  <c r="W308" i="13"/>
  <c r="W171" i="13"/>
  <c r="X869" i="13"/>
  <c r="AL869" i="13" s="1"/>
  <c r="AL868" i="13"/>
  <c r="R473" i="11"/>
  <c r="J530" i="11" s="1"/>
  <c r="F536" i="11" s="1"/>
  <c r="F538" i="11" s="1"/>
  <c r="R497" i="11"/>
  <c r="G466" i="30" s="1" a="1"/>
  <c r="D16" i="27"/>
  <c r="Q42" i="13"/>
  <c r="AG265" i="13"/>
  <c r="W266" i="13"/>
  <c r="AG266" i="13" s="1"/>
  <c r="M409" i="32" l="1"/>
  <c r="N409" i="32"/>
  <c r="M486" i="32"/>
  <c r="U1659" i="30"/>
  <c r="U1660" i="30" s="1"/>
  <c r="P340" i="32" s="1"/>
  <c r="U2725" i="30"/>
  <c r="U2726" i="30" s="1"/>
  <c r="O487" i="32" s="1"/>
  <c r="M339" i="32"/>
  <c r="S499" i="32"/>
  <c r="G1332" i="30"/>
  <c r="U1332" i="30" s="1"/>
  <c r="G32" i="13"/>
  <c r="D7" i="27" s="1"/>
  <c r="S296" i="32"/>
  <c r="G466" i="30"/>
  <c r="U472" i="30"/>
  <c r="J89" i="32"/>
  <c r="B23" i="31" s="1"/>
  <c r="G436" i="30"/>
  <c r="U442" i="30"/>
  <c r="J85" i="32"/>
  <c r="U1651" i="30"/>
  <c r="U1652" i="30" s="1"/>
  <c r="N340" i="32" s="1"/>
  <c r="Q339" i="32"/>
  <c r="U2155" i="30"/>
  <c r="U1645" i="30"/>
  <c r="U1646" i="30"/>
  <c r="U2154" i="30"/>
  <c r="U1284" i="30"/>
  <c r="P289" i="32" s="1"/>
  <c r="W151" i="13"/>
  <c r="W185" i="13"/>
  <c r="AG171" i="13"/>
  <c r="U441" i="30"/>
  <c r="I85" i="32" s="1"/>
  <c r="U438" i="30"/>
  <c r="F85" i="32" s="1"/>
  <c r="U440" i="30"/>
  <c r="H85" i="32" s="1"/>
  <c r="U436" i="30"/>
  <c r="D85" i="32" s="1"/>
  <c r="U439" i="30"/>
  <c r="G85" i="32" s="1"/>
  <c r="U437" i="30"/>
  <c r="E85" i="32" s="1"/>
  <c r="W309" i="13"/>
  <c r="AG309" i="13" s="1"/>
  <c r="AG308" i="13"/>
  <c r="U2158" i="30"/>
  <c r="U1281" i="30"/>
  <c r="M289" i="32" s="1"/>
  <c r="Y165" i="13"/>
  <c r="AQ151" i="13"/>
  <c r="Z186" i="13"/>
  <c r="AV186" i="13" s="1"/>
  <c r="AV185" i="13"/>
  <c r="R511" i="11"/>
  <c r="Q36" i="13"/>
  <c r="D13" i="27"/>
  <c r="G2170" i="30" a="1"/>
  <c r="U1285" i="30"/>
  <c r="Q289" i="32" s="1"/>
  <c r="X171" i="13"/>
  <c r="X308" i="13"/>
  <c r="AL294" i="13"/>
  <c r="U2715" i="30"/>
  <c r="U2716" i="30"/>
  <c r="D14" i="27"/>
  <c r="Q38" i="13"/>
  <c r="AQ265" i="13"/>
  <c r="Y266" i="13"/>
  <c r="AQ266" i="13" s="1"/>
  <c r="U2159" i="30"/>
  <c r="R499" i="32"/>
  <c r="U1335" i="30"/>
  <c r="M296" i="32"/>
  <c r="P499" i="32"/>
  <c r="O499" i="32"/>
  <c r="M499" i="32"/>
  <c r="N499" i="32"/>
  <c r="U1336" i="30"/>
  <c r="N296" i="32"/>
  <c r="O296" i="32"/>
  <c r="U1337" i="30"/>
  <c r="U1333" i="30"/>
  <c r="P296" i="32"/>
  <c r="Q499" i="32"/>
  <c r="U1334" i="30"/>
  <c r="Q296" i="32"/>
  <c r="R296" i="32"/>
  <c r="U1487" i="30"/>
  <c r="O317" i="32" s="1"/>
  <c r="U1485" i="30"/>
  <c r="M317" i="32" s="1"/>
  <c r="U1489" i="30"/>
  <c r="Q317" i="32" s="1"/>
  <c r="U1488" i="30"/>
  <c r="P317" i="32" s="1"/>
  <c r="U1490" i="30"/>
  <c r="R317" i="32" s="1"/>
  <c r="U1486" i="30"/>
  <c r="N317" i="32" s="1"/>
  <c r="U1283" i="30"/>
  <c r="O289" i="32" s="1"/>
  <c r="Q35" i="13"/>
  <c r="D22" i="27"/>
  <c r="BA171" i="13"/>
  <c r="AA185" i="13"/>
  <c r="AA151" i="13"/>
  <c r="U1282" i="30"/>
  <c r="N289" i="32" s="1"/>
  <c r="AV265" i="13"/>
  <c r="Z266" i="13"/>
  <c r="AV266" i="13" s="1"/>
  <c r="U1538" i="30"/>
  <c r="O324" i="32" s="1"/>
  <c r="U1537" i="30"/>
  <c r="N324" i="32" s="1"/>
  <c r="U1539" i="30"/>
  <c r="P324" i="32" s="1"/>
  <c r="U1541" i="30"/>
  <c r="R324" i="32" s="1"/>
  <c r="U1536" i="30"/>
  <c r="M324" i="32" s="1"/>
  <c r="U1540" i="30"/>
  <c r="Q324" i="32" s="1"/>
  <c r="U2659" i="30"/>
  <c r="O478" i="32" s="1"/>
  <c r="U2660" i="30"/>
  <c r="P478" i="32" s="1"/>
  <c r="U2661" i="30"/>
  <c r="Q478" i="32" s="1"/>
  <c r="U2658" i="30"/>
  <c r="N478" i="32" s="1"/>
  <c r="U2657" i="30"/>
  <c r="M478" i="32" s="1"/>
  <c r="U2662" i="30"/>
  <c r="R478" i="32" s="1"/>
  <c r="Z869" i="13"/>
  <c r="AV869" i="13" s="1"/>
  <c r="AV868" i="13"/>
  <c r="W868" i="13"/>
  <c r="AG854" i="13"/>
  <c r="Q33" i="13"/>
  <c r="D12" i="27"/>
  <c r="W349" i="13"/>
  <c r="AG349" i="13" s="1"/>
  <c r="AG348" i="13"/>
  <c r="BA285" i="13"/>
  <c r="AA286" i="13"/>
  <c r="BA286" i="13" s="1"/>
  <c r="U2729" i="30"/>
  <c r="U2730" i="30" s="1"/>
  <c r="P487" i="32" s="1"/>
  <c r="W789" i="13"/>
  <c r="AG789" i="13" s="1"/>
  <c r="AG788" i="13"/>
  <c r="U1661" i="30"/>
  <c r="BA329" i="13"/>
  <c r="BA328" i="13"/>
  <c r="U1662" i="30"/>
  <c r="Z165" i="13"/>
  <c r="AV151" i="13"/>
  <c r="Q29" i="13"/>
  <c r="D6" i="27"/>
  <c r="Q32" i="13" l="1"/>
  <c r="U2156" i="30"/>
  <c r="U2157" i="30" s="1"/>
  <c r="M410" i="32" s="1"/>
  <c r="U1647" i="30"/>
  <c r="U1648" i="30" s="1"/>
  <c r="M340" i="32" s="1"/>
  <c r="U2160" i="30"/>
  <c r="U2161" i="30" s="1"/>
  <c r="N410" i="32" s="1"/>
  <c r="U1663" i="30"/>
  <c r="U1664" i="30" s="1"/>
  <c r="Q340" i="32" s="1"/>
  <c r="H1003" i="30"/>
  <c r="F65" i="26"/>
  <c r="Q1003" i="30"/>
  <c r="O65" i="26"/>
  <c r="U2863" i="30"/>
  <c r="O506" i="32" s="1"/>
  <c r="U2862" i="30"/>
  <c r="N506" i="32" s="1"/>
  <c r="U2861" i="30"/>
  <c r="M506" i="32" s="1"/>
  <c r="U2866" i="30"/>
  <c r="R506" i="32" s="1"/>
  <c r="U2865" i="30"/>
  <c r="Q506" i="32" s="1"/>
  <c r="U2864" i="30"/>
  <c r="P506" i="32" s="1"/>
  <c r="P56" i="26"/>
  <c r="R998" i="30"/>
  <c r="BA151" i="13"/>
  <c r="AA165" i="13"/>
  <c r="H2172" i="30"/>
  <c r="O2173" i="30"/>
  <c r="L2172" i="30"/>
  <c r="G2170" i="30"/>
  <c r="R2172" i="30"/>
  <c r="G2173" i="30"/>
  <c r="G2172" i="30"/>
  <c r="J2173" i="30"/>
  <c r="Q2172" i="30"/>
  <c r="O2170" i="30"/>
  <c r="R2170" i="30"/>
  <c r="L2171" i="30"/>
  <c r="G2171" i="30"/>
  <c r="Q2170" i="30"/>
  <c r="O2171" i="30"/>
  <c r="K2170" i="30"/>
  <c r="R2173" i="30"/>
  <c r="I2173" i="30"/>
  <c r="M2172" i="30"/>
  <c r="S2173" i="30"/>
  <c r="T2173" i="30"/>
  <c r="K2172" i="30"/>
  <c r="N2170" i="30"/>
  <c r="N2171" i="30"/>
  <c r="I2170" i="30"/>
  <c r="L2170" i="30"/>
  <c r="P2173" i="30"/>
  <c r="K2173" i="30"/>
  <c r="M2173" i="30"/>
  <c r="H2171" i="30"/>
  <c r="T2171" i="30"/>
  <c r="P2170" i="30"/>
  <c r="J2171" i="30"/>
  <c r="O2172" i="30"/>
  <c r="J2172" i="30"/>
  <c r="S2170" i="30"/>
  <c r="P2171" i="30"/>
  <c r="I2171" i="30"/>
  <c r="M2171" i="30"/>
  <c r="T2170" i="30"/>
  <c r="S2172" i="30"/>
  <c r="P2172" i="30"/>
  <c r="H2173" i="30"/>
  <c r="M2170" i="30"/>
  <c r="S2171" i="30"/>
  <c r="Q2173" i="30"/>
  <c r="N2173" i="30"/>
  <c r="K2171" i="30"/>
  <c r="I2172" i="30"/>
  <c r="Q2171" i="30"/>
  <c r="R2171" i="30"/>
  <c r="T2172" i="30"/>
  <c r="N2172" i="30"/>
  <c r="J2170" i="30"/>
  <c r="L2173" i="30"/>
  <c r="H2170" i="30"/>
  <c r="J1018" i="30"/>
  <c r="S1018" i="30"/>
  <c r="I1018" i="30"/>
  <c r="N1018" i="30"/>
  <c r="P92" i="26"/>
  <c r="I92" i="26"/>
  <c r="Q1018" i="30"/>
  <c r="R92" i="26"/>
  <c r="L1018" i="30"/>
  <c r="H92" i="26"/>
  <c r="O1018" i="30"/>
  <c r="G92" i="26"/>
  <c r="F92" i="26"/>
  <c r="N92" i="26"/>
  <c r="T1018" i="30"/>
  <c r="L92" i="26"/>
  <c r="M1018" i="30"/>
  <c r="Q92" i="26"/>
  <c r="K92" i="26"/>
  <c r="O92" i="26"/>
  <c r="P1018" i="30"/>
  <c r="R1018" i="30"/>
  <c r="K1018" i="30"/>
  <c r="H1018" i="30"/>
  <c r="J92" i="26"/>
  <c r="M92" i="26"/>
  <c r="U471" i="30"/>
  <c r="I89" i="32" s="1"/>
  <c r="U466" i="30"/>
  <c r="D89" i="32" s="1"/>
  <c r="U470" i="30"/>
  <c r="H89" i="32" s="1"/>
  <c r="U467" i="30"/>
  <c r="E89" i="32" s="1"/>
  <c r="U469" i="30"/>
  <c r="G89" i="32" s="1"/>
  <c r="U468" i="30"/>
  <c r="F89" i="32" s="1"/>
  <c r="G1003" i="30"/>
  <c r="E65" i="26"/>
  <c r="E56" i="26"/>
  <c r="G998" i="30"/>
  <c r="G56" i="26"/>
  <c r="I998" i="30"/>
  <c r="AA186" i="13"/>
  <c r="BA186" i="13" s="1"/>
  <c r="BA185" i="13"/>
  <c r="AQ165" i="13"/>
  <c r="Y166" i="13"/>
  <c r="AQ166" i="13" s="1"/>
  <c r="M1003" i="30"/>
  <c r="K65" i="26"/>
  <c r="S998" i="30"/>
  <c r="Q56" i="26"/>
  <c r="F56" i="26"/>
  <c r="H998" i="30"/>
  <c r="X309" i="13"/>
  <c r="AL309" i="13" s="1"/>
  <c r="AL308" i="13"/>
  <c r="P1003" i="30"/>
  <c r="N65" i="26"/>
  <c r="I1003" i="30"/>
  <c r="G65" i="26"/>
  <c r="AG868" i="13"/>
  <c r="W869" i="13"/>
  <c r="AG869" i="13" s="1"/>
  <c r="J998" i="30"/>
  <c r="H56" i="26"/>
  <c r="N998" i="30"/>
  <c r="L56" i="26"/>
  <c r="X185" i="13"/>
  <c r="X151" i="13"/>
  <c r="AL171" i="13"/>
  <c r="K1003" i="30"/>
  <c r="I65" i="26"/>
  <c r="T1003" i="30"/>
  <c r="R65" i="26"/>
  <c r="R56" i="26"/>
  <c r="T998" i="30"/>
  <c r="I56" i="26"/>
  <c r="K998" i="30"/>
  <c r="K56" i="26"/>
  <c r="M998" i="30"/>
  <c r="O998" i="30"/>
  <c r="M56" i="26"/>
  <c r="L1003" i="30"/>
  <c r="J65" i="26"/>
  <c r="J1003" i="30"/>
  <c r="H65" i="26"/>
  <c r="Z166" i="13"/>
  <c r="AV166" i="13" s="1"/>
  <c r="AV165" i="13"/>
  <c r="R1003" i="30"/>
  <c r="P65" i="26"/>
  <c r="O1003" i="30"/>
  <c r="M65" i="26"/>
  <c r="D23" i="27"/>
  <c r="Q34" i="13"/>
  <c r="O56" i="26"/>
  <c r="Q998" i="30"/>
  <c r="J56" i="26"/>
  <c r="L998" i="30"/>
  <c r="U2717" i="30"/>
  <c r="U2718" i="30" s="1"/>
  <c r="M487" i="32" s="1"/>
  <c r="W186" i="13"/>
  <c r="AG186" i="13" s="1"/>
  <c r="AG185" i="13"/>
  <c r="S1003" i="30"/>
  <c r="Q65" i="26"/>
  <c r="N1003" i="30"/>
  <c r="L65" i="26"/>
  <c r="P998" i="30"/>
  <c r="N56" i="26"/>
  <c r="AG151" i="13"/>
  <c r="W165" i="13"/>
  <c r="Q409" i="32" l="1"/>
  <c r="G234" i="32"/>
  <c r="F234" i="32"/>
  <c r="R74" i="26"/>
  <c r="T1008" i="30"/>
  <c r="M1008" i="30"/>
  <c r="K74" i="26"/>
  <c r="Q1020" i="30"/>
  <c r="O94" i="26"/>
  <c r="Q1022" i="30" s="1"/>
  <c r="I1020" i="30"/>
  <c r="G94" i="26"/>
  <c r="I1022" i="30" s="1"/>
  <c r="U2171" i="30"/>
  <c r="L67" i="26"/>
  <c r="N1007" i="30" s="1"/>
  <c r="N1005" i="30"/>
  <c r="M1000" i="30"/>
  <c r="K58" i="26"/>
  <c r="M1002" i="30" s="1"/>
  <c r="N1008" i="30"/>
  <c r="L74" i="26"/>
  <c r="G1008" i="30"/>
  <c r="E74" i="26"/>
  <c r="K1005" i="30"/>
  <c r="I67" i="26"/>
  <c r="K1007" i="30" s="1"/>
  <c r="Q58" i="26"/>
  <c r="S1002" i="30" s="1"/>
  <c r="S1000" i="30"/>
  <c r="K67" i="26"/>
  <c r="M1007" i="30" s="1"/>
  <c r="M1005" i="30"/>
  <c r="K94" i="26"/>
  <c r="M1022" i="30" s="1"/>
  <c r="M1020" i="30"/>
  <c r="U2170" i="30"/>
  <c r="BA165" i="13"/>
  <c r="AA166" i="13"/>
  <c r="BA166" i="13" s="1"/>
  <c r="J74" i="26"/>
  <c r="L1008" i="30"/>
  <c r="H1008" i="30"/>
  <c r="F74" i="26"/>
  <c r="S1005" i="30"/>
  <c r="Q67" i="26"/>
  <c r="S1007" i="30" s="1"/>
  <c r="W166" i="13"/>
  <c r="AG166" i="13" s="1"/>
  <c r="AG165" i="13"/>
  <c r="Q1000" i="30"/>
  <c r="O58" i="26"/>
  <c r="Q1002" i="30" s="1"/>
  <c r="H74" i="26"/>
  <c r="J1008" i="30"/>
  <c r="S1008" i="30"/>
  <c r="Q74" i="26"/>
  <c r="K1000" i="30"/>
  <c r="I58" i="26"/>
  <c r="K1002" i="30" s="1"/>
  <c r="L58" i="26"/>
  <c r="N1002" i="30" s="1"/>
  <c r="N1000" i="30"/>
  <c r="I1000" i="30"/>
  <c r="G58" i="26"/>
  <c r="I1002" i="30" s="1"/>
  <c r="E67" i="26"/>
  <c r="G1007" i="30" s="1"/>
  <c r="G1005" i="30"/>
  <c r="O1020" i="30"/>
  <c r="M94" i="26"/>
  <c r="O1022" i="30" s="1"/>
  <c r="S1020" i="30"/>
  <c r="Q94" i="26"/>
  <c r="S1022" i="30" s="1"/>
  <c r="J1020" i="30"/>
  <c r="H94" i="26"/>
  <c r="J1022" i="30" s="1"/>
  <c r="Q1008" i="30"/>
  <c r="O74" i="26"/>
  <c r="P74" i="26"/>
  <c r="R1008" i="30"/>
  <c r="U1003" i="30"/>
  <c r="U1005" i="30" s="1"/>
  <c r="L1020" i="30"/>
  <c r="J94" i="26"/>
  <c r="L1022" i="30" s="1"/>
  <c r="M67" i="26"/>
  <c r="O1007" i="30" s="1"/>
  <c r="O1005" i="30"/>
  <c r="H67" i="26"/>
  <c r="J1007" i="30" s="1"/>
  <c r="J1005" i="30"/>
  <c r="O1008" i="30"/>
  <c r="M74" i="26"/>
  <c r="AL151" i="13"/>
  <c r="X165" i="13"/>
  <c r="U998" i="30"/>
  <c r="U1000" i="30" s="1"/>
  <c r="L94" i="26"/>
  <c r="N1022" i="30" s="1"/>
  <c r="N1020" i="30"/>
  <c r="T1020" i="30"/>
  <c r="R94" i="26"/>
  <c r="T1022" i="30" s="1"/>
  <c r="E92" i="26"/>
  <c r="G1018" i="30"/>
  <c r="U1018" i="30" s="1"/>
  <c r="J234" i="32" s="1"/>
  <c r="O67" i="26"/>
  <c r="Q1007" i="30" s="1"/>
  <c r="Q1005" i="30"/>
  <c r="P1000" i="30"/>
  <c r="N58" i="26"/>
  <c r="P1002" i="30" s="1"/>
  <c r="P67" i="26"/>
  <c r="R1007" i="30" s="1"/>
  <c r="R1005" i="30"/>
  <c r="L1005" i="30"/>
  <c r="J67" i="26"/>
  <c r="L1007" i="30" s="1"/>
  <c r="M58" i="26"/>
  <c r="O1002" i="30" s="1"/>
  <c r="O1000" i="30"/>
  <c r="K1008" i="30"/>
  <c r="I74" i="26"/>
  <c r="T1000" i="30"/>
  <c r="R58" i="26"/>
  <c r="T1002" i="30" s="1"/>
  <c r="AL185" i="13"/>
  <c r="X186" i="13"/>
  <c r="AL186" i="13" s="1"/>
  <c r="J1000" i="30"/>
  <c r="H58" i="26"/>
  <c r="J1002" i="30" s="1"/>
  <c r="I1005" i="30"/>
  <c r="G67" i="26"/>
  <c r="I1007" i="30" s="1"/>
  <c r="G1000" i="30"/>
  <c r="E58" i="26"/>
  <c r="G1002" i="30" s="1"/>
  <c r="P58" i="26"/>
  <c r="R1002" i="30" s="1"/>
  <c r="R1000" i="30"/>
  <c r="N94" i="26"/>
  <c r="P1022" i="30" s="1"/>
  <c r="P1020" i="30"/>
  <c r="K1020" i="30"/>
  <c r="I94" i="26"/>
  <c r="K1022" i="30" s="1"/>
  <c r="F67" i="26"/>
  <c r="H1007" i="30" s="1"/>
  <c r="H1005" i="30"/>
  <c r="L1000" i="30"/>
  <c r="J58" i="26"/>
  <c r="L1002" i="30" s="1"/>
  <c r="P1008" i="30"/>
  <c r="N74" i="26"/>
  <c r="G74" i="26"/>
  <c r="I1008" i="30"/>
  <c r="T1005" i="30"/>
  <c r="R67" i="26"/>
  <c r="T1007" i="30" s="1"/>
  <c r="N67" i="26"/>
  <c r="P1007" i="30" s="1"/>
  <c r="P1005" i="30"/>
  <c r="H1000" i="30"/>
  <c r="F58" i="26"/>
  <c r="H1002" i="30" s="1"/>
  <c r="H1020" i="30"/>
  <c r="F94" i="26"/>
  <c r="H1022" i="30" s="1"/>
  <c r="R1020" i="30"/>
  <c r="P94" i="26"/>
  <c r="R1022" i="30" s="1"/>
  <c r="G236" i="32" l="1"/>
  <c r="H234" i="32"/>
  <c r="U1002" i="30"/>
  <c r="F238" i="32" s="1"/>
  <c r="AL165" i="13"/>
  <c r="X166" i="13"/>
  <c r="AL166" i="13" s="1"/>
  <c r="K1010" i="30"/>
  <c r="I76" i="26"/>
  <c r="K1012" i="30" s="1"/>
  <c r="L1010" i="30"/>
  <c r="J76" i="26"/>
  <c r="L1012" i="30" s="1"/>
  <c r="M76" i="26"/>
  <c r="O1012" i="30" s="1"/>
  <c r="O1010" i="30"/>
  <c r="G1010" i="30"/>
  <c r="E76" i="26"/>
  <c r="G1012" i="30" s="1"/>
  <c r="M1010" i="30"/>
  <c r="K76" i="26"/>
  <c r="M1012" i="30" s="1"/>
  <c r="G76" i="26"/>
  <c r="I1012" i="30" s="1"/>
  <c r="I1010" i="30"/>
  <c r="Q76" i="26"/>
  <c r="S1012" i="30" s="1"/>
  <c r="S1010" i="30"/>
  <c r="U1008" i="30"/>
  <c r="U1010" i="30" s="1"/>
  <c r="U2172" i="30"/>
  <c r="U2173" i="30" s="1"/>
  <c r="Q410" i="32" s="1"/>
  <c r="N76" i="26"/>
  <c r="P1012" i="30" s="1"/>
  <c r="P1010" i="30"/>
  <c r="E94" i="26"/>
  <c r="G1022" i="30" s="1"/>
  <c r="U1022" i="30" s="1"/>
  <c r="J238" i="32" s="1"/>
  <c r="G1020" i="30"/>
  <c r="U1020" i="30" s="1"/>
  <c r="J236" i="32" s="1"/>
  <c r="F236" i="32"/>
  <c r="P76" i="26"/>
  <c r="R1012" i="30" s="1"/>
  <c r="R1010" i="30"/>
  <c r="H1010" i="30"/>
  <c r="F76" i="26"/>
  <c r="H1012" i="30" s="1"/>
  <c r="I131" i="26" a="1"/>
  <c r="I131" i="26" s="1"/>
  <c r="I140" i="26" a="1"/>
  <c r="I140" i="26" s="1"/>
  <c r="I136" i="26" a="1"/>
  <c r="I136" i="26" s="1"/>
  <c r="I129" i="26" a="1"/>
  <c r="I129" i="26" s="1"/>
  <c r="I139" i="26" a="1"/>
  <c r="I139" i="26" s="1"/>
  <c r="I130" i="26" a="1"/>
  <c r="I130" i="26" s="1"/>
  <c r="I137" i="26" a="1"/>
  <c r="I137" i="26" s="1"/>
  <c r="I138" i="26" a="1"/>
  <c r="I138" i="26" s="1"/>
  <c r="I141" i="26" a="1"/>
  <c r="I141" i="26" s="1"/>
  <c r="I133" i="26" a="1"/>
  <c r="I133" i="26" s="1"/>
  <c r="I134" i="26" a="1"/>
  <c r="I134" i="26" s="1"/>
  <c r="I132" i="26" a="1"/>
  <c r="I132" i="26" s="1"/>
  <c r="I135" i="26" a="1"/>
  <c r="I135" i="26" s="1"/>
  <c r="N1010" i="30"/>
  <c r="L76" i="26"/>
  <c r="N1012" i="30" s="1"/>
  <c r="Q1010" i="30"/>
  <c r="O76" i="26"/>
  <c r="Q1012" i="30" s="1"/>
  <c r="R76" i="26"/>
  <c r="T1012" i="30" s="1"/>
  <c r="T1010" i="30"/>
  <c r="U1007" i="30"/>
  <c r="G238" i="32" s="1"/>
  <c r="J1010" i="30"/>
  <c r="H76" i="26"/>
  <c r="J1012" i="30" s="1"/>
  <c r="H236" i="32" l="1"/>
  <c r="T1013" i="30"/>
  <c r="R83" i="26"/>
  <c r="H83" i="26"/>
  <c r="J1013" i="30"/>
  <c r="M1013" i="30"/>
  <c r="K83" i="26"/>
  <c r="O1013" i="30"/>
  <c r="M83" i="26"/>
  <c r="L1013" i="30"/>
  <c r="J83" i="26"/>
  <c r="Q83" i="26"/>
  <c r="S1013" i="30"/>
  <c r="O83" i="26"/>
  <c r="Q1013" i="30"/>
  <c r="N1013" i="30"/>
  <c r="L83" i="26"/>
  <c r="G83" i="26"/>
  <c r="I1013" i="30"/>
  <c r="N83" i="26"/>
  <c r="P1013" i="30"/>
  <c r="E83" i="26"/>
  <c r="G1013" i="30"/>
  <c r="R1013" i="30"/>
  <c r="P83" i="26"/>
  <c r="K1013" i="30"/>
  <c r="I83" i="26"/>
  <c r="H1013" i="30"/>
  <c r="F83" i="26"/>
  <c r="U1012" i="30"/>
  <c r="H238" i="32" s="1"/>
  <c r="G85" i="26" l="1"/>
  <c r="I1017" i="30" s="1"/>
  <c r="I1015" i="30"/>
  <c r="I150" i="26" a="1"/>
  <c r="I150" i="26" s="1"/>
  <c r="K150" i="26" s="1"/>
  <c r="L150" i="26" s="1"/>
  <c r="I12" i="26"/>
  <c r="K135" i="26"/>
  <c r="L135" i="26" s="1"/>
  <c r="L1015" i="30"/>
  <c r="J85" i="26"/>
  <c r="L1017" i="30" s="1"/>
  <c r="I8" i="26"/>
  <c r="I149" i="26" a="1"/>
  <c r="I149" i="26" s="1"/>
  <c r="K149" i="26" s="1"/>
  <c r="L149" i="26" s="1"/>
  <c r="K131" i="26"/>
  <c r="L131" i="26" s="1"/>
  <c r="I10" i="26"/>
  <c r="K10" i="26" s="1"/>
  <c r="K133" i="26"/>
  <c r="L133" i="26" s="1"/>
  <c r="K85" i="26"/>
  <c r="M1017" i="30" s="1"/>
  <c r="M1015" i="30"/>
  <c r="I16" i="26"/>
  <c r="K16" i="26" s="1"/>
  <c r="K139" i="26"/>
  <c r="L139" i="26" s="1"/>
  <c r="N85" i="26"/>
  <c r="P1017" i="30" s="1"/>
  <c r="P1015" i="30"/>
  <c r="N1015" i="30"/>
  <c r="L85" i="26"/>
  <c r="N1017" i="30" s="1"/>
  <c r="I14" i="26"/>
  <c r="K14" i="26" s="1"/>
  <c r="K137" i="26"/>
  <c r="L137" i="26" s="1"/>
  <c r="I6" i="26"/>
  <c r="I148" i="26" a="1"/>
  <c r="I148" i="26" s="1"/>
  <c r="K148" i="26" s="1"/>
  <c r="L148" i="26" s="1"/>
  <c r="K129" i="26"/>
  <c r="L129" i="26" s="1"/>
  <c r="I151" i="26" a="1"/>
  <c r="I151" i="26" s="1"/>
  <c r="K151" i="26" s="1"/>
  <c r="L151" i="26" s="1"/>
  <c r="I15" i="26"/>
  <c r="K138" i="26"/>
  <c r="L138" i="26" s="1"/>
  <c r="F85" i="26"/>
  <c r="H1017" i="30" s="1"/>
  <c r="H1015" i="30"/>
  <c r="P85" i="26"/>
  <c r="R1017" i="30" s="1"/>
  <c r="R1015" i="30"/>
  <c r="J1015" i="30"/>
  <c r="H85" i="26"/>
  <c r="J1017" i="30" s="1"/>
  <c r="Q1015" i="30"/>
  <c r="O85" i="26"/>
  <c r="Q1017" i="30" s="1"/>
  <c r="I13" i="26"/>
  <c r="K13" i="26" s="1"/>
  <c r="K136" i="26"/>
  <c r="L136" i="26" s="1"/>
  <c r="I18" i="26"/>
  <c r="K18" i="26" s="1"/>
  <c r="K141" i="26"/>
  <c r="L141" i="26" s="1"/>
  <c r="I5" i="26"/>
  <c r="I142" i="26"/>
  <c r="I147" i="26"/>
  <c r="K128" i="26"/>
  <c r="L128" i="26" s="1"/>
  <c r="I152" i="26" a="1"/>
  <c r="I152" i="26" s="1"/>
  <c r="K152" i="26" s="1"/>
  <c r="L152" i="26" s="1"/>
  <c r="I17" i="26"/>
  <c r="K140" i="26"/>
  <c r="L140" i="26" s="1"/>
  <c r="O1015" i="30"/>
  <c r="M85" i="26"/>
  <c r="O1017" i="30" s="1"/>
  <c r="T1015" i="30"/>
  <c r="R85" i="26"/>
  <c r="T1017" i="30" s="1"/>
  <c r="I9" i="26"/>
  <c r="K9" i="26" s="1"/>
  <c r="K132" i="26"/>
  <c r="L132" i="26" s="1"/>
  <c r="I85" i="26"/>
  <c r="K1017" i="30" s="1"/>
  <c r="K1015" i="30"/>
  <c r="U1013" i="30"/>
  <c r="I234" i="32" s="1"/>
  <c r="I7" i="26"/>
  <c r="K7" i="26" s="1"/>
  <c r="K130" i="26"/>
  <c r="L130" i="26" s="1"/>
  <c r="G1015" i="30"/>
  <c r="E85" i="26"/>
  <c r="G1017" i="30" s="1"/>
  <c r="S1015" i="30"/>
  <c r="Q85" i="26"/>
  <c r="S1017" i="30" s="1"/>
  <c r="I11" i="26"/>
  <c r="K11" i="26" s="1"/>
  <c r="K134" i="26"/>
  <c r="L134" i="26" s="1"/>
  <c r="U1015" i="30" l="1"/>
  <c r="I236" i="32" s="1"/>
  <c r="I28" i="26"/>
  <c r="K28" i="26" s="1"/>
  <c r="L28" i="26" s="1"/>
  <c r="K15" i="26"/>
  <c r="E48" i="13"/>
  <c r="K142" i="26"/>
  <c r="L142" i="26" s="1"/>
  <c r="I27" i="26"/>
  <c r="K27" i="26" s="1"/>
  <c r="L27" i="26" s="1"/>
  <c r="K12" i="26"/>
  <c r="I37" i="26"/>
  <c r="L7" i="26"/>
  <c r="I24" i="26"/>
  <c r="I19" i="26"/>
  <c r="K5" i="26"/>
  <c r="I40" i="26"/>
  <c r="L10" i="26"/>
  <c r="I41" i="26"/>
  <c r="L11" i="26"/>
  <c r="L18" i="26"/>
  <c r="I48" i="26"/>
  <c r="K6" i="26"/>
  <c r="I25" i="26"/>
  <c r="K25" i="26" s="1"/>
  <c r="L25" i="26" s="1"/>
  <c r="I46" i="26"/>
  <c r="L16" i="26"/>
  <c r="I29" i="26"/>
  <c r="K29" i="26" s="1"/>
  <c r="L29" i="26" s="1"/>
  <c r="K17" i="26"/>
  <c r="I26" i="26"/>
  <c r="K26" i="26" s="1"/>
  <c r="L26" i="26" s="1"/>
  <c r="K8" i="26"/>
  <c r="L9" i="26"/>
  <c r="I39" i="26"/>
  <c r="I153" i="26"/>
  <c r="K153" i="26" s="1"/>
  <c r="L153" i="26" s="1"/>
  <c r="K147" i="26"/>
  <c r="L147" i="26" s="1"/>
  <c r="U1017" i="30"/>
  <c r="I238" i="32" s="1"/>
  <c r="L13" i="26"/>
  <c r="I43" i="26"/>
  <c r="L14" i="26"/>
  <c r="I44" i="26"/>
  <c r="J37" i="26" l="1"/>
  <c r="K37" i="26"/>
  <c r="I47" i="26"/>
  <c r="L17" i="26"/>
  <c r="J43" i="26"/>
  <c r="K43" i="26"/>
  <c r="L12" i="26"/>
  <c r="I42" i="26"/>
  <c r="K39" i="26"/>
  <c r="J39" i="26"/>
  <c r="L5" i="26"/>
  <c r="I35" i="26"/>
  <c r="K19" i="26"/>
  <c r="L19" i="26" s="1"/>
  <c r="K44" i="26"/>
  <c r="J44" i="26"/>
  <c r="L15" i="26"/>
  <c r="I45" i="26"/>
  <c r="J41" i="26"/>
  <c r="K41" i="26"/>
  <c r="J46" i="26"/>
  <c r="K46" i="26"/>
  <c r="K40" i="26"/>
  <c r="J40" i="26"/>
  <c r="I36" i="26"/>
  <c r="L6" i="26"/>
  <c r="L8" i="26"/>
  <c r="I38" i="26"/>
  <c r="J48" i="26"/>
  <c r="K48" i="26"/>
  <c r="I30" i="26"/>
  <c r="K30" i="26" s="1"/>
  <c r="L30" i="26" s="1"/>
  <c r="K24" i="26"/>
  <c r="L24" i="26" s="1"/>
  <c r="K42" i="26" l="1"/>
  <c r="J42" i="26"/>
  <c r="K36" i="26"/>
  <c r="J36" i="26"/>
  <c r="J35" i="26"/>
  <c r="I49" i="26"/>
  <c r="K35" i="26"/>
  <c r="K38" i="26"/>
  <c r="J38" i="26"/>
  <c r="K47" i="26"/>
  <c r="J47" i="26"/>
  <c r="J45" i="26"/>
  <c r="K45" i="26"/>
  <c r="J49" i="26" l="1"/>
  <c r="K49" i="26"/>
  <c r="BF294" i="13" l="1"/>
  <c r="AB308" i="13"/>
  <c r="AB171" i="13"/>
  <c r="G1128" i="30" s="1" a="1"/>
  <c r="U1134" i="30" l="1"/>
  <c r="G1128" i="30"/>
  <c r="S268" i="32"/>
  <c r="U1436" i="30"/>
  <c r="O310" i="32" s="1"/>
  <c r="U1439" i="30"/>
  <c r="R310" i="32" s="1"/>
  <c r="U1437" i="30"/>
  <c r="P310" i="32" s="1"/>
  <c r="U1434" i="30"/>
  <c r="M310" i="32" s="1"/>
  <c r="U1438" i="30"/>
  <c r="Q310" i="32" s="1"/>
  <c r="U1435" i="30"/>
  <c r="N310" i="32" s="1"/>
  <c r="BF171" i="13"/>
  <c r="AB185" i="13"/>
  <c r="G28" i="13" s="1"/>
  <c r="AB151" i="13"/>
  <c r="AB309" i="13"/>
  <c r="BF309" i="13" s="1"/>
  <c r="BF308" i="13"/>
  <c r="O55" i="13" l="1"/>
  <c r="U1128" i="30"/>
  <c r="M268" i="32" s="1"/>
  <c r="U1130" i="30"/>
  <c r="O268" i="32" s="1"/>
  <c r="U1131" i="30"/>
  <c r="P268" i="32" s="1"/>
  <c r="U1133" i="30"/>
  <c r="R268" i="32" s="1"/>
  <c r="U1129" i="30"/>
  <c r="N268" i="32" s="1"/>
  <c r="U1132" i="30"/>
  <c r="Q268" i="32" s="1"/>
  <c r="BF151" i="13"/>
  <c r="AB165" i="13"/>
  <c r="G33" i="13" s="1"/>
  <c r="BF185" i="13"/>
  <c r="AB186" i="13"/>
  <c r="BF186" i="13" s="1"/>
  <c r="AB166" i="13" l="1"/>
  <c r="BF166" i="13" s="1"/>
  <c r="BF165" i="13"/>
  <c r="D3" i="27"/>
  <c r="Q31" i="13"/>
  <c r="Q7" i="13"/>
  <c r="D8" i="27" l="1"/>
  <c r="M5" i="26" l="1"/>
  <c r="M147" i="26" l="1"/>
  <c r="M153" i="26" s="1"/>
  <c r="M19" i="26" l="1"/>
  <c r="M24" i="26"/>
  <c r="M30" i="26" s="1"/>
  <c r="N5" i="26" l="1"/>
  <c r="N147" i="26"/>
  <c r="N142" i="26"/>
  <c r="O142" i="26" s="1"/>
  <c r="P142" i="26" s="1"/>
  <c r="O128" i="26"/>
  <c r="P128" i="26" s="1"/>
  <c r="N153" i="26" l="1"/>
  <c r="O153" i="26" s="1"/>
  <c r="P153" i="26" s="1"/>
  <c r="O147" i="26"/>
  <c r="P147" i="26" s="1"/>
  <c r="O5" i="26"/>
  <c r="N19" i="26"/>
  <c r="N24" i="26"/>
  <c r="O24" i="26" l="1"/>
  <c r="P24" i="26" s="1"/>
  <c r="N30" i="26"/>
  <c r="O30" i="26" s="1"/>
  <c r="P30" i="26" s="1"/>
  <c r="L35" i="26"/>
  <c r="P5" i="26"/>
  <c r="G976" i="30" s="1" a="1"/>
  <c r="O19" i="26"/>
  <c r="P19" i="26" s="1"/>
  <c r="Q978" i="30" l="1"/>
  <c r="K981" i="30"/>
  <c r="N978" i="30"/>
  <c r="K978" i="30"/>
  <c r="N982" i="30"/>
  <c r="J981" i="30"/>
  <c r="P984" i="30"/>
  <c r="Q987" i="30"/>
  <c r="Q985" i="30"/>
  <c r="Q977" i="30"/>
  <c r="P976" i="30"/>
  <c r="T986" i="30"/>
  <c r="N976" i="30"/>
  <c r="I987" i="30"/>
  <c r="G983" i="30"/>
  <c r="P985" i="30"/>
  <c r="T977" i="30"/>
  <c r="R981" i="30"/>
  <c r="L986" i="30"/>
  <c r="K987" i="30"/>
  <c r="G984" i="30"/>
  <c r="R983" i="30"/>
  <c r="P983" i="30"/>
  <c r="R976" i="30"/>
  <c r="K985" i="30"/>
  <c r="I983" i="30"/>
  <c r="I986" i="30"/>
  <c r="R979" i="30"/>
  <c r="L982" i="30"/>
  <c r="K979" i="30"/>
  <c r="O985" i="30"/>
  <c r="M976" i="30"/>
  <c r="S985" i="30"/>
  <c r="G979" i="30"/>
  <c r="T979" i="30"/>
  <c r="H979" i="30"/>
  <c r="T987" i="30"/>
  <c r="M986" i="30"/>
  <c r="P980" i="30"/>
  <c r="G986" i="30"/>
  <c r="R978" i="30"/>
  <c r="T983" i="30"/>
  <c r="K976" i="30"/>
  <c r="Q981" i="30"/>
  <c r="T978" i="30"/>
  <c r="S982" i="30"/>
  <c r="I985" i="30"/>
  <c r="N983" i="30"/>
  <c r="M983" i="30"/>
  <c r="P978" i="30"/>
  <c r="R987" i="30"/>
  <c r="Q984" i="30"/>
  <c r="N985" i="30"/>
  <c r="M978" i="30"/>
  <c r="O983" i="30"/>
  <c r="R985" i="30"/>
  <c r="J979" i="30"/>
  <c r="P982" i="30"/>
  <c r="H976" i="30"/>
  <c r="T976" i="30"/>
  <c r="J987" i="30"/>
  <c r="H981" i="30"/>
  <c r="H977" i="30"/>
  <c r="H985" i="30"/>
  <c r="S976" i="30"/>
  <c r="K983" i="30"/>
  <c r="S983" i="30"/>
  <c r="O976" i="30"/>
  <c r="O981" i="30"/>
  <c r="K980" i="30"/>
  <c r="N977" i="30"/>
  <c r="P979" i="30"/>
  <c r="L978" i="30"/>
  <c r="Q980" i="30"/>
  <c r="S978" i="30"/>
  <c r="R977" i="30"/>
  <c r="S979" i="30"/>
  <c r="G977" i="30"/>
  <c r="I982" i="30"/>
  <c r="O978" i="30"/>
  <c r="R986" i="30"/>
  <c r="M979" i="30"/>
  <c r="P977" i="30"/>
  <c r="G981" i="30"/>
  <c r="R980" i="30"/>
  <c r="M982" i="30"/>
  <c r="T985" i="30"/>
  <c r="G976" i="30"/>
  <c r="J980" i="30"/>
  <c r="J976" i="30"/>
  <c r="J978" i="30"/>
  <c r="R982" i="30"/>
  <c r="H978" i="30"/>
  <c r="K982" i="30"/>
  <c r="N986" i="30"/>
  <c r="I976" i="30"/>
  <c r="L980" i="30"/>
  <c r="L979" i="30"/>
  <c r="P981" i="30"/>
  <c r="T984" i="30"/>
  <c r="M985" i="30"/>
  <c r="J982" i="30"/>
  <c r="G982" i="30"/>
  <c r="O986" i="30"/>
  <c r="T980" i="30"/>
  <c r="K986" i="30"/>
  <c r="L984" i="30"/>
  <c r="J977" i="30"/>
  <c r="H980" i="30"/>
  <c r="K984" i="30"/>
  <c r="R984" i="30"/>
  <c r="O980" i="30"/>
  <c r="I979" i="30"/>
  <c r="G978" i="30"/>
  <c r="G987" i="30"/>
  <c r="H983" i="30"/>
  <c r="H984" i="30"/>
  <c r="L976" i="30"/>
  <c r="Q982" i="30"/>
  <c r="O984" i="30"/>
  <c r="M980" i="30"/>
  <c r="I984" i="30"/>
  <c r="Q976" i="30"/>
  <c r="O987" i="30"/>
  <c r="N981" i="30"/>
  <c r="O979" i="30"/>
  <c r="I981" i="30"/>
  <c r="S977" i="30"/>
  <c r="I978" i="30"/>
  <c r="L983" i="30"/>
  <c r="G980" i="30"/>
  <c r="S987" i="30"/>
  <c r="J983" i="30"/>
  <c r="L977" i="30"/>
  <c r="S986" i="30"/>
  <c r="O222" i="32" s="1"/>
  <c r="Q986" i="30"/>
  <c r="P987" i="30"/>
  <c r="G985" i="30"/>
  <c r="J986" i="30"/>
  <c r="N979" i="30"/>
  <c r="L985" i="30"/>
  <c r="H986" i="30"/>
  <c r="J985" i="30"/>
  <c r="S980" i="30"/>
  <c r="M984" i="30"/>
  <c r="L987" i="30"/>
  <c r="M977" i="30"/>
  <c r="Q979" i="30"/>
  <c r="N987" i="30"/>
  <c r="S981" i="30"/>
  <c r="N217" i="32" s="1"/>
  <c r="Q983" i="30"/>
  <c r="S984" i="30"/>
  <c r="L981" i="30"/>
  <c r="N984" i="30"/>
  <c r="P986" i="30"/>
  <c r="K977" i="30"/>
  <c r="N980" i="30"/>
  <c r="M987" i="30"/>
  <c r="O977" i="30"/>
  <c r="T981" i="30"/>
  <c r="H982" i="30"/>
  <c r="J984" i="30"/>
  <c r="O982" i="30"/>
  <c r="H987" i="30"/>
  <c r="I977" i="30"/>
  <c r="T982" i="30"/>
  <c r="M981" i="30"/>
  <c r="I980" i="30"/>
  <c r="L49" i="26"/>
  <c r="M35" i="26"/>
  <c r="M49" i="26" s="1"/>
  <c r="N35" i="26"/>
  <c r="N49" i="26" s="1"/>
  <c r="L212" i="32" l="1"/>
  <c r="L215" i="32"/>
  <c r="O221" i="32"/>
  <c r="L213" i="32"/>
  <c r="K214" i="32"/>
  <c r="L214" i="32"/>
  <c r="N218" i="32"/>
  <c r="U976" i="30"/>
  <c r="K212" i="32" s="1"/>
  <c r="U977" i="30"/>
  <c r="U984" i="30"/>
  <c r="O220" i="32" s="1"/>
  <c r="G988" i="30" a="1"/>
  <c r="U981" i="30"/>
  <c r="U980" i="30"/>
  <c r="N216" i="32" s="1"/>
  <c r="U985" i="30"/>
  <c r="U986" i="30" l="1"/>
  <c r="U987" i="30" s="1"/>
  <c r="O223" i="32" s="1"/>
  <c r="U978" i="30"/>
  <c r="U979" i="30" s="1"/>
  <c r="K215" i="32" s="1"/>
  <c r="U982" i="30"/>
  <c r="U983" i="30" s="1"/>
  <c r="N219" i="32" s="1"/>
  <c r="J997" i="30"/>
  <c r="N995" i="30"/>
  <c r="K995" i="30"/>
  <c r="L997" i="30"/>
  <c r="R994" i="30"/>
  <c r="G996" i="30"/>
  <c r="O990" i="30"/>
  <c r="K991" i="30"/>
  <c r="R996" i="30"/>
  <c r="J996" i="30"/>
  <c r="Q994" i="30"/>
  <c r="S989" i="30"/>
  <c r="K997" i="30"/>
  <c r="H996" i="30"/>
  <c r="H992" i="30"/>
  <c r="J990" i="30"/>
  <c r="K993" i="30"/>
  <c r="M988" i="30"/>
  <c r="I995" i="30"/>
  <c r="L990" i="30"/>
  <c r="I992" i="30"/>
  <c r="T989" i="30"/>
  <c r="L988" i="30"/>
  <c r="M996" i="30"/>
  <c r="G993" i="30"/>
  <c r="I991" i="30"/>
  <c r="N994" i="30"/>
  <c r="M997" i="30"/>
  <c r="J991" i="30"/>
  <c r="R988" i="30"/>
  <c r="I996" i="30"/>
  <c r="N997" i="30"/>
  <c r="S992" i="30"/>
  <c r="O988" i="30"/>
  <c r="G992" i="30"/>
  <c r="R990" i="30"/>
  <c r="K989" i="30"/>
  <c r="S994" i="30"/>
  <c r="L993" i="30"/>
  <c r="P995" i="30"/>
  <c r="P988" i="30"/>
  <c r="L996" i="30"/>
  <c r="M994" i="30"/>
  <c r="J989" i="30"/>
  <c r="G989" i="30"/>
  <c r="O992" i="30"/>
  <c r="P994" i="30"/>
  <c r="G991" i="30"/>
  <c r="H995" i="30"/>
  <c r="N996" i="30"/>
  <c r="S997" i="30"/>
  <c r="T990" i="30"/>
  <c r="S993" i="30"/>
  <c r="N993" i="30"/>
  <c r="H994" i="30"/>
  <c r="L991" i="30"/>
  <c r="J992" i="30"/>
  <c r="P992" i="30"/>
  <c r="M993" i="30"/>
  <c r="Q995" i="30"/>
  <c r="N988" i="30"/>
  <c r="G995" i="30"/>
  <c r="H988" i="30"/>
  <c r="T991" i="30"/>
  <c r="O991" i="30"/>
  <c r="Q990" i="30"/>
  <c r="Q988" i="30"/>
  <c r="I989" i="30"/>
  <c r="I993" i="30"/>
  <c r="N990" i="30"/>
  <c r="H990" i="30"/>
  <c r="S990" i="30"/>
  <c r="L226" i="32" s="1"/>
  <c r="J988" i="30"/>
  <c r="O994" i="30"/>
  <c r="P996" i="30"/>
  <c r="R989" i="30"/>
  <c r="P993" i="30"/>
  <c r="R992" i="30"/>
  <c r="M992" i="30"/>
  <c r="R997" i="30"/>
  <c r="S995" i="30"/>
  <c r="N992" i="30"/>
  <c r="O993" i="30"/>
  <c r="P997" i="30"/>
  <c r="R991" i="30"/>
  <c r="S996" i="30"/>
  <c r="L989" i="30"/>
  <c r="J995" i="30"/>
  <c r="Q989" i="30"/>
  <c r="M990" i="30"/>
  <c r="K996" i="30"/>
  <c r="T992" i="30"/>
  <c r="H997" i="30"/>
  <c r="H991" i="30"/>
  <c r="Q996" i="30"/>
  <c r="P991" i="30"/>
  <c r="N989" i="30"/>
  <c r="Q997" i="30"/>
  <c r="G990" i="30"/>
  <c r="K988" i="30"/>
  <c r="L994" i="30"/>
  <c r="I990" i="30"/>
  <c r="H989" i="30"/>
  <c r="J994" i="30"/>
  <c r="P989" i="30"/>
  <c r="G997" i="30"/>
  <c r="I997" i="30"/>
  <c r="K994" i="30"/>
  <c r="T994" i="30"/>
  <c r="O997" i="30"/>
  <c r="I994" i="30"/>
  <c r="P990" i="30"/>
  <c r="Q993" i="30"/>
  <c r="Q992" i="30"/>
  <c r="O989" i="30"/>
  <c r="R995" i="30"/>
  <c r="G994" i="30"/>
  <c r="H993" i="30"/>
  <c r="R993" i="30"/>
  <c r="T997" i="30"/>
  <c r="T993" i="30"/>
  <c r="N991" i="30"/>
  <c r="K990" i="30"/>
  <c r="O995" i="30"/>
  <c r="K992" i="30"/>
  <c r="M995" i="30"/>
  <c r="T995" i="30"/>
  <c r="L992" i="30"/>
  <c r="O996" i="30"/>
  <c r="G988" i="30"/>
  <c r="L995" i="30"/>
  <c r="M991" i="30"/>
  <c r="T988" i="30"/>
  <c r="I988" i="30"/>
  <c r="S991" i="30"/>
  <c r="L227" i="32" s="1"/>
  <c r="Q991" i="30"/>
  <c r="T996" i="30"/>
  <c r="J993" i="30"/>
  <c r="M989" i="30"/>
  <c r="S988" i="30"/>
  <c r="L225" i="32" l="1"/>
  <c r="U995" i="30"/>
  <c r="O231" i="32" s="1"/>
  <c r="U996" i="30"/>
  <c r="O232" i="32" s="1"/>
  <c r="U989" i="30"/>
  <c r="K225" i="32" s="1"/>
  <c r="U990" i="30"/>
  <c r="K226" i="32" s="1"/>
  <c r="U992" i="30"/>
  <c r="N228" i="32" s="1"/>
  <c r="U994" i="30"/>
  <c r="N230" i="32" s="1"/>
  <c r="U988" i="30"/>
  <c r="B224" i="32" s="1"/>
  <c r="U997" i="30"/>
  <c r="O233" i="32" s="1"/>
  <c r="U993" i="30"/>
  <c r="N229" i="32" s="1"/>
  <c r="U991" i="30"/>
  <c r="K227" i="32" s="1"/>
  <c r="G64" i="30" l="1" a="1"/>
  <c r="P64" i="30" l="1"/>
  <c r="R64" i="30"/>
  <c r="H64" i="30"/>
  <c r="J64" i="30"/>
  <c r="I64" i="30"/>
  <c r="G64" i="30"/>
  <c r="N64" i="30"/>
  <c r="S64" i="30"/>
  <c r="T64" i="30"/>
  <c r="Q64" i="30"/>
  <c r="L64" i="30"/>
  <c r="M64" i="30"/>
  <c r="O64" i="30"/>
  <c r="K64" i="30"/>
  <c r="I24" i="32"/>
  <c r="I25" i="32" l="1"/>
  <c r="J25" i="32"/>
  <c r="G73" i="30" a="1"/>
  <c r="N73" i="30" l="1"/>
  <c r="Q73" i="30"/>
  <c r="H73" i="30"/>
  <c r="P73" i="30"/>
  <c r="S73" i="30"/>
  <c r="I73" i="30"/>
  <c r="K73" i="30"/>
  <c r="L73" i="30"/>
  <c r="T73" i="30"/>
  <c r="R73" i="30"/>
  <c r="G73" i="30"/>
  <c r="O73" i="30"/>
  <c r="J73" i="30"/>
  <c r="M73" i="30"/>
  <c r="I26" i="32"/>
  <c r="I27" i="32" l="1"/>
  <c r="J27" i="32"/>
  <c r="F26" i="32"/>
  <c r="H26" i="32"/>
  <c r="E26" i="32"/>
  <c r="D26" i="32"/>
  <c r="G26" i="32"/>
  <c r="H24" i="32"/>
  <c r="D24" i="32"/>
  <c r="G24" i="32"/>
  <c r="F24" i="32"/>
  <c r="E24" i="32"/>
  <c r="N90" i="13" l="1"/>
  <c r="J110" i="13"/>
  <c r="E90" i="13"/>
  <c r="K110" i="13"/>
  <c r="F90" i="13"/>
  <c r="L110" i="13"/>
  <c r="M90" i="13"/>
  <c r="I110" i="13"/>
  <c r="E110" i="13"/>
  <c r="M110" i="13"/>
  <c r="F110" i="13"/>
  <c r="N110" i="13"/>
  <c r="I90" i="13"/>
  <c r="K90" i="13"/>
  <c r="G110" i="13"/>
  <c r="J90" i="13"/>
  <c r="L90" i="13"/>
  <c r="H110" i="13"/>
  <c r="G90" i="13"/>
  <c r="H90" i="13"/>
  <c r="AF747" i="13" l="1"/>
  <c r="AH747" i="13" s="1"/>
  <c r="AI747" i="13" s="1"/>
  <c r="AF767" i="13"/>
  <c r="AH767" i="13" s="1"/>
  <c r="AI767" i="13" s="1"/>
  <c r="AK687" i="13"/>
  <c r="AM687" i="13" s="1"/>
  <c r="AN687" i="13" s="1"/>
  <c r="AK707" i="13"/>
  <c r="AM707" i="13" s="1"/>
  <c r="AN707" i="13" s="1"/>
  <c r="AK747" i="13"/>
  <c r="AM747" i="13" s="1"/>
  <c r="AN747" i="13" s="1"/>
  <c r="AK767" i="13"/>
  <c r="AM767" i="13" s="1"/>
  <c r="AN767" i="13" s="1"/>
  <c r="AP707" i="13"/>
  <c r="AR707" i="13" s="1"/>
  <c r="AS707" i="13" s="1"/>
  <c r="AP767" i="13"/>
  <c r="AR767" i="13" s="1"/>
  <c r="AS767" i="13" s="1"/>
  <c r="AU687" i="13"/>
  <c r="AW687" i="13" s="1"/>
  <c r="AX687" i="13" s="1"/>
  <c r="AU707" i="13"/>
  <c r="AW707" i="13" s="1"/>
  <c r="AX707" i="13" s="1"/>
  <c r="AU747" i="13"/>
  <c r="AW747" i="13" s="1"/>
  <c r="AX747" i="13" s="1"/>
  <c r="AZ687" i="13"/>
  <c r="BB687" i="13" s="1"/>
  <c r="BC687" i="13" s="1"/>
  <c r="AZ707" i="13"/>
  <c r="BB707" i="13" s="1"/>
  <c r="BC707" i="13" s="1"/>
  <c r="AZ747" i="13"/>
  <c r="BB747" i="13" s="1"/>
  <c r="BC747" i="13" s="1"/>
  <c r="AZ767" i="13"/>
  <c r="BB767" i="13" s="1"/>
  <c r="BC767" i="13" s="1"/>
  <c r="L491" i="11"/>
  <c r="AF685" i="13"/>
  <c r="AH685" i="13" s="1"/>
  <c r="AI685" i="13" s="1"/>
  <c r="AF745" i="13"/>
  <c r="AH745" i="13" s="1"/>
  <c r="AI745" i="13" s="1"/>
  <c r="AK685" i="13"/>
  <c r="AM685" i="13" s="1"/>
  <c r="AN685" i="13" s="1"/>
  <c r="AK705" i="13"/>
  <c r="AM705" i="13" s="1"/>
  <c r="AN705" i="13" s="1"/>
  <c r="AK745" i="13"/>
  <c r="AM745" i="13" s="1"/>
  <c r="AN745" i="13" s="1"/>
  <c r="AK765" i="13"/>
  <c r="AM765" i="13" s="1"/>
  <c r="AN765" i="13" s="1"/>
  <c r="AU685" i="13"/>
  <c r="AW685" i="13" s="1"/>
  <c r="AX685" i="13" s="1"/>
  <c r="AU745" i="13"/>
  <c r="AW745" i="13" s="1"/>
  <c r="AX745" i="13" s="1"/>
  <c r="AZ685" i="13"/>
  <c r="BB685" i="13" s="1"/>
  <c r="BC685" i="13" s="1"/>
  <c r="AZ765" i="13"/>
  <c r="BB765" i="13" s="1"/>
  <c r="BC765" i="13" s="1"/>
  <c r="L489" i="11"/>
  <c r="I222" i="13"/>
  <c r="AF704" i="13"/>
  <c r="AH704" i="13" s="1"/>
  <c r="AI704" i="13" s="1"/>
  <c r="AK684" i="13"/>
  <c r="AM684" i="13" s="1"/>
  <c r="AN684" i="13" s="1"/>
  <c r="AK744" i="13"/>
  <c r="AM744" i="13" s="1"/>
  <c r="AN744" i="13" s="1"/>
  <c r="AP684" i="13"/>
  <c r="AR684" i="13" s="1"/>
  <c r="AS684" i="13" s="1"/>
  <c r="AP704" i="13"/>
  <c r="AR704" i="13" s="1"/>
  <c r="AS704" i="13" s="1"/>
  <c r="AP744" i="13"/>
  <c r="AR744" i="13" s="1"/>
  <c r="AS744" i="13" s="1"/>
  <c r="AP764" i="13"/>
  <c r="AR764" i="13" s="1"/>
  <c r="AS764" i="13" s="1"/>
  <c r="AU684" i="13"/>
  <c r="AW684" i="13" s="1"/>
  <c r="AX684" i="13" s="1"/>
  <c r="AU704" i="13"/>
  <c r="AW704" i="13" s="1"/>
  <c r="AX704" i="13" s="1"/>
  <c r="AU744" i="13"/>
  <c r="AW744" i="13" s="1"/>
  <c r="AX744" i="13" s="1"/>
  <c r="AU764" i="13"/>
  <c r="AW764" i="13" s="1"/>
  <c r="AX764" i="13" s="1"/>
  <c r="AZ684" i="13"/>
  <c r="BB684" i="13" s="1"/>
  <c r="BC684" i="13" s="1"/>
  <c r="AZ704" i="13"/>
  <c r="BB704" i="13" s="1"/>
  <c r="BC704" i="13" s="1"/>
  <c r="AZ744" i="13"/>
  <c r="BB744" i="13" s="1"/>
  <c r="BC744" i="13" s="1"/>
  <c r="L488" i="11"/>
  <c r="AK683" i="13"/>
  <c r="AM683" i="13" s="1"/>
  <c r="AN683" i="13" s="1"/>
  <c r="AK743" i="13"/>
  <c r="AM743" i="13" s="1"/>
  <c r="AN743" i="13" s="1"/>
  <c r="AP683" i="13"/>
  <c r="AR683" i="13" s="1"/>
  <c r="AS683" i="13" s="1"/>
  <c r="AP703" i="13"/>
  <c r="AR703" i="13" s="1"/>
  <c r="AS703" i="13" s="1"/>
  <c r="AP763" i="13"/>
  <c r="AR763" i="13" s="1"/>
  <c r="AS763" i="13" s="1"/>
  <c r="AU683" i="13"/>
  <c r="AW683" i="13" s="1"/>
  <c r="AX683" i="13" s="1"/>
  <c r="AU703" i="13"/>
  <c r="AW703" i="13" s="1"/>
  <c r="AX703" i="13" s="1"/>
  <c r="AU763" i="13"/>
  <c r="AW763" i="13" s="1"/>
  <c r="AX763" i="13" s="1"/>
  <c r="AZ683" i="13"/>
  <c r="BB683" i="13" s="1"/>
  <c r="BC683" i="13" s="1"/>
  <c r="AZ703" i="13"/>
  <c r="BB703" i="13" s="1"/>
  <c r="BC703" i="13" s="1"/>
  <c r="AF682" i="13"/>
  <c r="AH682" i="13" s="1"/>
  <c r="AI682" i="13" s="1"/>
  <c r="AF702" i="13"/>
  <c r="AH702" i="13" s="1"/>
  <c r="AI702" i="13" s="1"/>
  <c r="AF762" i="13"/>
  <c r="AH762" i="13" s="1"/>
  <c r="AI762" i="13" s="1"/>
  <c r="AK682" i="13"/>
  <c r="AM682" i="13" s="1"/>
  <c r="AN682" i="13" s="1"/>
  <c r="AK702" i="13"/>
  <c r="AM702" i="13" s="1"/>
  <c r="AN702" i="13" s="1"/>
  <c r="AK742" i="13"/>
  <c r="AM742" i="13" s="1"/>
  <c r="AN742" i="13" s="1"/>
  <c r="AP762" i="13"/>
  <c r="AR762" i="13" s="1"/>
  <c r="AS762" i="13" s="1"/>
  <c r="AU682" i="13"/>
  <c r="AW682" i="13" s="1"/>
  <c r="AX682" i="13" s="1"/>
  <c r="AU742" i="13"/>
  <c r="AW742" i="13" s="1"/>
  <c r="AX742" i="13" s="1"/>
  <c r="AU762" i="13"/>
  <c r="AW762" i="13" s="1"/>
  <c r="AX762" i="13" s="1"/>
  <c r="AZ702" i="13"/>
  <c r="BB702" i="13" s="1"/>
  <c r="BC702" i="13" s="1"/>
  <c r="AZ762" i="13"/>
  <c r="BB762" i="13" s="1"/>
  <c r="BC762" i="13" s="1"/>
  <c r="L486" i="11"/>
  <c r="AF681" i="13"/>
  <c r="AH681" i="13" s="1"/>
  <c r="AI681" i="13" s="1"/>
  <c r="AK681" i="13"/>
  <c r="AM681" i="13" s="1"/>
  <c r="AN681" i="13" s="1"/>
  <c r="AK701" i="13"/>
  <c r="AM701" i="13" s="1"/>
  <c r="AN701" i="13" s="1"/>
  <c r="AK741" i="13"/>
  <c r="AM741" i="13" s="1"/>
  <c r="AN741" i="13" s="1"/>
  <c r="AP681" i="13"/>
  <c r="AR681" i="13" s="1"/>
  <c r="AS681" i="13" s="1"/>
  <c r="AU681" i="13"/>
  <c r="AW681" i="13" s="1"/>
  <c r="AX681" i="13" s="1"/>
  <c r="AU701" i="13"/>
  <c r="AW701" i="13" s="1"/>
  <c r="AX701" i="13" s="1"/>
  <c r="AU741" i="13"/>
  <c r="AW741" i="13" s="1"/>
  <c r="AX741" i="13" s="1"/>
  <c r="AZ701" i="13"/>
  <c r="BB701" i="13" s="1"/>
  <c r="BC701" i="13" s="1"/>
  <c r="AZ761" i="13"/>
  <c r="BB761" i="13" s="1"/>
  <c r="BC761" i="13" s="1"/>
  <c r="L485" i="11"/>
  <c r="AF760" i="13"/>
  <c r="AH760" i="13" s="1"/>
  <c r="AI760" i="13" s="1"/>
  <c r="AK680" i="13"/>
  <c r="AM680" i="13" s="1"/>
  <c r="AN680" i="13" s="1"/>
  <c r="AK700" i="13"/>
  <c r="AM700" i="13" s="1"/>
  <c r="AN700" i="13" s="1"/>
  <c r="AK740" i="13"/>
  <c r="AM740" i="13" s="1"/>
  <c r="AN740" i="13" s="1"/>
  <c r="AK760" i="13"/>
  <c r="AM760" i="13" s="1"/>
  <c r="AN760" i="13" s="1"/>
  <c r="AP760" i="13"/>
  <c r="AR760" i="13" s="1"/>
  <c r="AS760" i="13" s="1"/>
  <c r="AU680" i="13"/>
  <c r="AW680" i="13" s="1"/>
  <c r="AX680" i="13" s="1"/>
  <c r="AU740" i="13"/>
  <c r="AW740" i="13" s="1"/>
  <c r="AX740" i="13" s="1"/>
  <c r="AU760" i="13"/>
  <c r="AW760" i="13" s="1"/>
  <c r="AX760" i="13" s="1"/>
  <c r="AZ700" i="13"/>
  <c r="BB700" i="13" s="1"/>
  <c r="BC700" i="13" s="1"/>
  <c r="AF699" i="13"/>
  <c r="AH699" i="13" s="1"/>
  <c r="AI699" i="13" s="1"/>
  <c r="AF739" i="13"/>
  <c r="AH739" i="13" s="1"/>
  <c r="AI739" i="13" s="1"/>
  <c r="AF759" i="13"/>
  <c r="AH759" i="13" s="1"/>
  <c r="AI759" i="13" s="1"/>
  <c r="AK679" i="13"/>
  <c r="AM679" i="13" s="1"/>
  <c r="AN679" i="13" s="1"/>
  <c r="AK699" i="13"/>
  <c r="AM699" i="13" s="1"/>
  <c r="AN699" i="13" s="1"/>
  <c r="AK739" i="13"/>
  <c r="AM739" i="13" s="1"/>
  <c r="AN739" i="13" s="1"/>
  <c r="AP699" i="13"/>
  <c r="AR699" i="13" s="1"/>
  <c r="AS699" i="13" s="1"/>
  <c r="AP739" i="13"/>
  <c r="AR739" i="13" s="1"/>
  <c r="AS739" i="13" s="1"/>
  <c r="AP759" i="13"/>
  <c r="AR759" i="13" s="1"/>
  <c r="AS759" i="13" s="1"/>
  <c r="AU679" i="13"/>
  <c r="AW679" i="13" s="1"/>
  <c r="AX679" i="13" s="1"/>
  <c r="AU759" i="13"/>
  <c r="AW759" i="13" s="1"/>
  <c r="AX759" i="13" s="1"/>
  <c r="AZ679" i="13"/>
  <c r="BB679" i="13" s="1"/>
  <c r="BC679" i="13" s="1"/>
  <c r="AZ699" i="13"/>
  <c r="BB699" i="13" s="1"/>
  <c r="BC699" i="13" s="1"/>
  <c r="L483" i="11"/>
  <c r="AF678" i="13"/>
  <c r="AH678" i="13" s="1"/>
  <c r="AI678" i="13" s="1"/>
  <c r="AF698" i="13"/>
  <c r="AH698" i="13" s="1"/>
  <c r="AI698" i="13" s="1"/>
  <c r="AF738" i="13"/>
  <c r="AH738" i="13" s="1"/>
  <c r="AI738" i="13" s="1"/>
  <c r="AF758" i="13"/>
  <c r="AH758" i="13" s="1"/>
  <c r="AI758" i="13" s="1"/>
  <c r="AK698" i="13"/>
  <c r="AM698" i="13" s="1"/>
  <c r="AN698" i="13" s="1"/>
  <c r="AK738" i="13"/>
  <c r="AM738" i="13" s="1"/>
  <c r="AN738" i="13" s="1"/>
  <c r="AP698" i="13"/>
  <c r="AR698" i="13" s="1"/>
  <c r="AS698" i="13" s="1"/>
  <c r="AP738" i="13"/>
  <c r="AR738" i="13" s="1"/>
  <c r="AS738" i="13" s="1"/>
  <c r="AP758" i="13"/>
  <c r="AR758" i="13" s="1"/>
  <c r="AS758" i="13" s="1"/>
  <c r="AU678" i="13"/>
  <c r="AW678" i="13" s="1"/>
  <c r="AX678" i="13" s="1"/>
  <c r="AU738" i="13"/>
  <c r="AW738" i="13" s="1"/>
  <c r="AX738" i="13" s="1"/>
  <c r="AU758" i="13"/>
  <c r="AW758" i="13" s="1"/>
  <c r="AX758" i="13" s="1"/>
  <c r="AZ678" i="13"/>
  <c r="BB678" i="13" s="1"/>
  <c r="BC678" i="13" s="1"/>
  <c r="AZ698" i="13"/>
  <c r="BB698" i="13" s="1"/>
  <c r="BC698" i="13" s="1"/>
  <c r="L482" i="11"/>
  <c r="AF697" i="13"/>
  <c r="AH697" i="13" s="1"/>
  <c r="AI697" i="13" s="1"/>
  <c r="AF757" i="13"/>
  <c r="AH757" i="13" s="1"/>
  <c r="AI757" i="13" s="1"/>
  <c r="AK737" i="13"/>
  <c r="AM737" i="13" s="1"/>
  <c r="AN737" i="13" s="1"/>
  <c r="AP677" i="13"/>
  <c r="AR677" i="13" s="1"/>
  <c r="AS677" i="13" s="1"/>
  <c r="AP737" i="13"/>
  <c r="AR737" i="13" s="1"/>
  <c r="AS737" i="13" s="1"/>
  <c r="AP757" i="13"/>
  <c r="AR757" i="13" s="1"/>
  <c r="AS757" i="13" s="1"/>
  <c r="AU677" i="13"/>
  <c r="AW677" i="13" s="1"/>
  <c r="AX677" i="13" s="1"/>
  <c r="AU757" i="13"/>
  <c r="AW757" i="13" s="1"/>
  <c r="AX757" i="13" s="1"/>
  <c r="AZ677" i="13"/>
  <c r="BB677" i="13" s="1"/>
  <c r="BC677" i="13" s="1"/>
  <c r="AZ697" i="13"/>
  <c r="BB697" i="13" s="1"/>
  <c r="BC697" i="13" s="1"/>
  <c r="I214" i="13"/>
  <c r="AF696" i="13"/>
  <c r="AH696" i="13" s="1"/>
  <c r="AI696" i="13" s="1"/>
  <c r="AK676" i="13"/>
  <c r="AM676" i="13" s="1"/>
  <c r="AN676" i="13" s="1"/>
  <c r="AK736" i="13"/>
  <c r="AM736" i="13" s="1"/>
  <c r="AN736" i="13" s="1"/>
  <c r="AK756" i="13"/>
  <c r="AM756" i="13" s="1"/>
  <c r="AN756" i="13" s="1"/>
  <c r="AP676" i="13"/>
  <c r="AR676" i="13" s="1"/>
  <c r="AS676" i="13" s="1"/>
  <c r="AP696" i="13"/>
  <c r="AR696" i="13" s="1"/>
  <c r="AS696" i="13" s="1"/>
  <c r="AP736" i="13"/>
  <c r="AR736" i="13" s="1"/>
  <c r="AS736" i="13" s="1"/>
  <c r="AP756" i="13"/>
  <c r="AR756" i="13" s="1"/>
  <c r="AS756" i="13" s="1"/>
  <c r="AU696" i="13"/>
  <c r="AW696" i="13" s="1"/>
  <c r="AX696" i="13" s="1"/>
  <c r="AU756" i="13"/>
  <c r="AW756" i="13" s="1"/>
  <c r="AX756" i="13" s="1"/>
  <c r="AZ736" i="13"/>
  <c r="BB736" i="13" s="1"/>
  <c r="BC736" i="13" s="1"/>
  <c r="L480" i="11"/>
  <c r="AF675" i="13"/>
  <c r="AH675" i="13" s="1"/>
  <c r="AI675" i="13" s="1"/>
  <c r="AK695" i="13"/>
  <c r="AM695" i="13" s="1"/>
  <c r="AN695" i="13" s="1"/>
  <c r="AP675" i="13"/>
  <c r="AR675" i="13" s="1"/>
  <c r="AS675" i="13" s="1"/>
  <c r="AU675" i="13"/>
  <c r="AW675" i="13" s="1"/>
  <c r="AX675" i="13" s="1"/>
  <c r="AU695" i="13"/>
  <c r="AW695" i="13" s="1"/>
  <c r="AX695" i="13" s="1"/>
  <c r="AU735" i="13"/>
  <c r="AW735" i="13" s="1"/>
  <c r="AX735" i="13" s="1"/>
  <c r="AZ695" i="13"/>
  <c r="BB695" i="13" s="1"/>
  <c r="BC695" i="13" s="1"/>
  <c r="AZ755" i="13"/>
  <c r="BB755" i="13" s="1"/>
  <c r="BC755" i="13" s="1"/>
  <c r="L479" i="11"/>
  <c r="AF467" i="13"/>
  <c r="AH467" i="13" s="1"/>
  <c r="AI467" i="13" s="1"/>
  <c r="AF527" i="13"/>
  <c r="AH527" i="13" s="1"/>
  <c r="AI527" i="13" s="1"/>
  <c r="AF627" i="13"/>
  <c r="AH627" i="13" s="1"/>
  <c r="AI627" i="13" s="1"/>
  <c r="AF647" i="13"/>
  <c r="AH647" i="13" s="1"/>
  <c r="AI647" i="13" s="1"/>
  <c r="AK367" i="13"/>
  <c r="AM367" i="13" s="1"/>
  <c r="AN367" i="13" s="1"/>
  <c r="AK427" i="13"/>
  <c r="AM427" i="13" s="1"/>
  <c r="AN427" i="13" s="1"/>
  <c r="AK507" i="13"/>
  <c r="AM507" i="13" s="1"/>
  <c r="AN507" i="13" s="1"/>
  <c r="AK527" i="13"/>
  <c r="AM527" i="13" s="1"/>
  <c r="AN527" i="13" s="1"/>
  <c r="AK547" i="13"/>
  <c r="AM547" i="13" s="1"/>
  <c r="AN547" i="13" s="1"/>
  <c r="AK607" i="13"/>
  <c r="AM607" i="13" s="1"/>
  <c r="AN607" i="13" s="1"/>
  <c r="AK647" i="13"/>
  <c r="AM647" i="13" s="1"/>
  <c r="AN647" i="13" s="1"/>
  <c r="AP427" i="13"/>
  <c r="AR427" i="13" s="1"/>
  <c r="AS427" i="13" s="1"/>
  <c r="AP467" i="13"/>
  <c r="AR467" i="13" s="1"/>
  <c r="AS467" i="13" s="1"/>
  <c r="AP507" i="13"/>
  <c r="AR507" i="13" s="1"/>
  <c r="AS507" i="13" s="1"/>
  <c r="AP527" i="13"/>
  <c r="AR527" i="13" s="1"/>
  <c r="AS527" i="13" s="1"/>
  <c r="AP607" i="13"/>
  <c r="AR607" i="13" s="1"/>
  <c r="AS607" i="13" s="1"/>
  <c r="AU367" i="13"/>
  <c r="AW367" i="13" s="1"/>
  <c r="AX367" i="13" s="1"/>
  <c r="AU427" i="13"/>
  <c r="AW427" i="13" s="1"/>
  <c r="AX427" i="13" s="1"/>
  <c r="AU467" i="13"/>
  <c r="AW467" i="13" s="1"/>
  <c r="AX467" i="13" s="1"/>
  <c r="AU547" i="13"/>
  <c r="AW547" i="13" s="1"/>
  <c r="AX547" i="13" s="1"/>
  <c r="AU607" i="13"/>
  <c r="AW607" i="13" s="1"/>
  <c r="AX607" i="13" s="1"/>
  <c r="AU627" i="13"/>
  <c r="AW627" i="13" s="1"/>
  <c r="AX627" i="13" s="1"/>
  <c r="AU647" i="13"/>
  <c r="AW647" i="13" s="1"/>
  <c r="AX647" i="13" s="1"/>
  <c r="AZ507" i="13"/>
  <c r="BB507" i="13" s="1"/>
  <c r="BC507" i="13" s="1"/>
  <c r="AZ607" i="13"/>
  <c r="BB607" i="13" s="1"/>
  <c r="BC607" i="13" s="1"/>
  <c r="L453" i="11"/>
  <c r="AF365" i="13"/>
  <c r="AH365" i="13" s="1"/>
  <c r="AI365" i="13" s="1"/>
  <c r="AF525" i="13"/>
  <c r="AH525" i="13" s="1"/>
  <c r="AI525" i="13" s="1"/>
  <c r="AF605" i="13"/>
  <c r="AH605" i="13" s="1"/>
  <c r="AI605" i="13" s="1"/>
  <c r="AK365" i="13"/>
  <c r="AM365" i="13" s="1"/>
  <c r="AN365" i="13" s="1"/>
  <c r="AK465" i="13"/>
  <c r="AM465" i="13" s="1"/>
  <c r="AN465" i="13" s="1"/>
  <c r="AK505" i="13"/>
  <c r="AM505" i="13" s="1"/>
  <c r="AN505" i="13" s="1"/>
  <c r="AK525" i="13"/>
  <c r="AM525" i="13" s="1"/>
  <c r="AN525" i="13" s="1"/>
  <c r="AK545" i="13"/>
  <c r="AM545" i="13" s="1"/>
  <c r="AN545" i="13" s="1"/>
  <c r="AK605" i="13"/>
  <c r="AM605" i="13" s="1"/>
  <c r="AN605" i="13" s="1"/>
  <c r="AK625" i="13"/>
  <c r="AM625" i="13" s="1"/>
  <c r="AN625" i="13" s="1"/>
  <c r="AP465" i="13"/>
  <c r="AR465" i="13" s="1"/>
  <c r="AS465" i="13" s="1"/>
  <c r="AP525" i="13"/>
  <c r="AR525" i="13" s="1"/>
  <c r="AS525" i="13" s="1"/>
  <c r="AP545" i="13"/>
  <c r="AR545" i="13" s="1"/>
  <c r="AS545" i="13" s="1"/>
  <c r="AP605" i="13"/>
  <c r="AR605" i="13" s="1"/>
  <c r="AS605" i="13" s="1"/>
  <c r="AP645" i="13"/>
  <c r="AR645" i="13" s="1"/>
  <c r="AS645" i="13" s="1"/>
  <c r="AU365" i="13"/>
  <c r="AW365" i="13" s="1"/>
  <c r="AX365" i="13" s="1"/>
  <c r="AU425" i="13"/>
  <c r="AW425" i="13" s="1"/>
  <c r="AX425" i="13" s="1"/>
  <c r="AU465" i="13"/>
  <c r="AW465" i="13" s="1"/>
  <c r="AX465" i="13" s="1"/>
  <c r="AU505" i="13"/>
  <c r="AW505" i="13" s="1"/>
  <c r="AX505" i="13" s="1"/>
  <c r="AU545" i="13"/>
  <c r="AW545" i="13" s="1"/>
  <c r="AX545" i="13" s="1"/>
  <c r="AU625" i="13"/>
  <c r="AW625" i="13" s="1"/>
  <c r="AX625" i="13" s="1"/>
  <c r="AU645" i="13"/>
  <c r="AW645" i="13" s="1"/>
  <c r="AX645" i="13" s="1"/>
  <c r="AZ525" i="13"/>
  <c r="BB525" i="13" s="1"/>
  <c r="BC525" i="13" s="1"/>
  <c r="AZ605" i="13"/>
  <c r="BB605" i="13" s="1"/>
  <c r="BC605" i="13" s="1"/>
  <c r="L451" i="11"/>
  <c r="AF464" i="13"/>
  <c r="AH464" i="13" s="1"/>
  <c r="AI464" i="13" s="1"/>
  <c r="AF504" i="13"/>
  <c r="AH504" i="13" s="1"/>
  <c r="AI504" i="13" s="1"/>
  <c r="AF524" i="13"/>
  <c r="AH524" i="13" s="1"/>
  <c r="AI524" i="13" s="1"/>
  <c r="AF544" i="13"/>
  <c r="AH544" i="13" s="1"/>
  <c r="AI544" i="13" s="1"/>
  <c r="AF604" i="13"/>
  <c r="AH604" i="13" s="1"/>
  <c r="AI604" i="13" s="1"/>
  <c r="AF624" i="13"/>
  <c r="AH624" i="13" s="1"/>
  <c r="AI624" i="13" s="1"/>
  <c r="AF644" i="13"/>
  <c r="AH644" i="13" s="1"/>
  <c r="AI644" i="13" s="1"/>
  <c r="AK364" i="13"/>
  <c r="AM364" i="13" s="1"/>
  <c r="AN364" i="13" s="1"/>
  <c r="AK424" i="13"/>
  <c r="AM424" i="13" s="1"/>
  <c r="AN424" i="13" s="1"/>
  <c r="AK464" i="13"/>
  <c r="AM464" i="13" s="1"/>
  <c r="AN464" i="13" s="1"/>
  <c r="AK504" i="13"/>
  <c r="AM504" i="13" s="1"/>
  <c r="AN504" i="13" s="1"/>
  <c r="AK544" i="13"/>
  <c r="AM544" i="13" s="1"/>
  <c r="AN544" i="13" s="1"/>
  <c r="AK624" i="13"/>
  <c r="AM624" i="13" s="1"/>
  <c r="AN624" i="13" s="1"/>
  <c r="AK644" i="13"/>
  <c r="AM644" i="13" s="1"/>
  <c r="AN644" i="13" s="1"/>
  <c r="AP424" i="13"/>
  <c r="AR424" i="13" s="1"/>
  <c r="AS424" i="13" s="1"/>
  <c r="AP504" i="13"/>
  <c r="AR504" i="13" s="1"/>
  <c r="AS504" i="13" s="1"/>
  <c r="AP524" i="13"/>
  <c r="AR524" i="13" s="1"/>
  <c r="AS524" i="13" s="1"/>
  <c r="AP604" i="13"/>
  <c r="AR604" i="13" s="1"/>
  <c r="AS604" i="13" s="1"/>
  <c r="AU364" i="13"/>
  <c r="AW364" i="13" s="1"/>
  <c r="AX364" i="13" s="1"/>
  <c r="AU464" i="13"/>
  <c r="AW464" i="13" s="1"/>
  <c r="AX464" i="13" s="1"/>
  <c r="AU504" i="13"/>
  <c r="AW504" i="13" s="1"/>
  <c r="AX504" i="13" s="1"/>
  <c r="AU524" i="13"/>
  <c r="AW524" i="13" s="1"/>
  <c r="AX524" i="13" s="1"/>
  <c r="AU544" i="13"/>
  <c r="AW544" i="13" s="1"/>
  <c r="AX544" i="13" s="1"/>
  <c r="AU604" i="13"/>
  <c r="AW604" i="13" s="1"/>
  <c r="AX604" i="13" s="1"/>
  <c r="AU624" i="13"/>
  <c r="AW624" i="13" s="1"/>
  <c r="AX624" i="13" s="1"/>
  <c r="AZ364" i="13"/>
  <c r="BB364" i="13" s="1"/>
  <c r="BC364" i="13" s="1"/>
  <c r="AZ464" i="13"/>
  <c r="BB464" i="13" s="1"/>
  <c r="BC464" i="13" s="1"/>
  <c r="AZ524" i="13"/>
  <c r="BB524" i="13" s="1"/>
  <c r="BC524" i="13" s="1"/>
  <c r="AZ604" i="13"/>
  <c r="BB604" i="13" s="1"/>
  <c r="BC604" i="13" s="1"/>
  <c r="AZ624" i="13"/>
  <c r="BB624" i="13" s="1"/>
  <c r="BC624" i="13" s="1"/>
  <c r="AZ644" i="13"/>
  <c r="BB644" i="13" s="1"/>
  <c r="BC644" i="13" s="1"/>
  <c r="L450" i="11"/>
  <c r="AF363" i="13"/>
  <c r="AH363" i="13" s="1"/>
  <c r="AI363" i="13" s="1"/>
  <c r="AF603" i="13"/>
  <c r="AH603" i="13" s="1"/>
  <c r="AI603" i="13" s="1"/>
  <c r="AF623" i="13"/>
  <c r="AH623" i="13" s="1"/>
  <c r="AI623" i="13" s="1"/>
  <c r="AF643" i="13"/>
  <c r="AH643" i="13" s="1"/>
  <c r="AI643" i="13" s="1"/>
  <c r="AK463" i="13"/>
  <c r="AM463" i="13" s="1"/>
  <c r="AN463" i="13" s="1"/>
  <c r="AK503" i="13"/>
  <c r="AM503" i="13" s="1"/>
  <c r="AN503" i="13" s="1"/>
  <c r="AK603" i="13"/>
  <c r="AM603" i="13" s="1"/>
  <c r="AN603" i="13" s="1"/>
  <c r="AK623" i="13"/>
  <c r="AM623" i="13" s="1"/>
  <c r="AN623" i="13" s="1"/>
  <c r="AP463" i="13"/>
  <c r="AR463" i="13" s="1"/>
  <c r="AS463" i="13" s="1"/>
  <c r="AP503" i="13"/>
  <c r="AR503" i="13" s="1"/>
  <c r="AS503" i="13" s="1"/>
  <c r="AP523" i="13"/>
  <c r="AR523" i="13" s="1"/>
  <c r="AS523" i="13" s="1"/>
  <c r="AP543" i="13"/>
  <c r="AR543" i="13" s="1"/>
  <c r="AS543" i="13" s="1"/>
  <c r="AP603" i="13"/>
  <c r="AR603" i="13" s="1"/>
  <c r="AS603" i="13" s="1"/>
  <c r="AP623" i="13"/>
  <c r="AR623" i="13" s="1"/>
  <c r="AS623" i="13" s="1"/>
  <c r="AP643" i="13"/>
  <c r="AR643" i="13" s="1"/>
  <c r="AS643" i="13" s="1"/>
  <c r="AU363" i="13"/>
  <c r="AW363" i="13" s="1"/>
  <c r="AX363" i="13" s="1"/>
  <c r="AU463" i="13"/>
  <c r="AW463" i="13" s="1"/>
  <c r="AX463" i="13" s="1"/>
  <c r="AU523" i="13"/>
  <c r="AW523" i="13" s="1"/>
  <c r="AX523" i="13" s="1"/>
  <c r="AU543" i="13"/>
  <c r="AW543" i="13" s="1"/>
  <c r="AX543" i="13" s="1"/>
  <c r="AU603" i="13"/>
  <c r="AW603" i="13" s="1"/>
  <c r="AX603" i="13" s="1"/>
  <c r="AU623" i="13"/>
  <c r="AW623" i="13" s="1"/>
  <c r="AX623" i="13" s="1"/>
  <c r="AZ623" i="13"/>
  <c r="BB623" i="13" s="1"/>
  <c r="BC623" i="13" s="1"/>
  <c r="AZ643" i="13"/>
  <c r="BB643" i="13" s="1"/>
  <c r="BC643" i="13" s="1"/>
  <c r="L449" i="11"/>
  <c r="AF422" i="13"/>
  <c r="AH422" i="13" s="1"/>
  <c r="AI422" i="13" s="1"/>
  <c r="AF462" i="13"/>
  <c r="AH462" i="13" s="1"/>
  <c r="AI462" i="13" s="1"/>
  <c r="AF542" i="13"/>
  <c r="AH542" i="13" s="1"/>
  <c r="AI542" i="13" s="1"/>
  <c r="AF622" i="13"/>
  <c r="AH622" i="13" s="1"/>
  <c r="AI622" i="13" s="1"/>
  <c r="AF642" i="13"/>
  <c r="AH642" i="13" s="1"/>
  <c r="AI642" i="13" s="1"/>
  <c r="AK362" i="13"/>
  <c r="AM362" i="13" s="1"/>
  <c r="AN362" i="13" s="1"/>
  <c r="AK422" i="13"/>
  <c r="AM422" i="13" s="1"/>
  <c r="AN422" i="13" s="1"/>
  <c r="AK462" i="13"/>
  <c r="AM462" i="13" s="1"/>
  <c r="AN462" i="13" s="1"/>
  <c r="AK502" i="13"/>
  <c r="AM502" i="13" s="1"/>
  <c r="AN502" i="13" s="1"/>
  <c r="AK602" i="13"/>
  <c r="AM602" i="13" s="1"/>
  <c r="AN602" i="13" s="1"/>
  <c r="AP422" i="13"/>
  <c r="AR422" i="13" s="1"/>
  <c r="AS422" i="13" s="1"/>
  <c r="AP462" i="13"/>
  <c r="AR462" i="13" s="1"/>
  <c r="AS462" i="13" s="1"/>
  <c r="AP502" i="13"/>
  <c r="AR502" i="13" s="1"/>
  <c r="AS502" i="13" s="1"/>
  <c r="AP522" i="13"/>
  <c r="AR522" i="13" s="1"/>
  <c r="AS522" i="13" s="1"/>
  <c r="AP602" i="13"/>
  <c r="AR602" i="13" s="1"/>
  <c r="AS602" i="13" s="1"/>
  <c r="AP622" i="13"/>
  <c r="AR622" i="13" s="1"/>
  <c r="AS622" i="13" s="1"/>
  <c r="AU362" i="13"/>
  <c r="AW362" i="13" s="1"/>
  <c r="AX362" i="13" s="1"/>
  <c r="AU502" i="13"/>
  <c r="AW502" i="13" s="1"/>
  <c r="AX502" i="13" s="1"/>
  <c r="AU522" i="13"/>
  <c r="AW522" i="13" s="1"/>
  <c r="AX522" i="13" s="1"/>
  <c r="AU542" i="13"/>
  <c r="AW542" i="13" s="1"/>
  <c r="AX542" i="13" s="1"/>
  <c r="AU602" i="13"/>
  <c r="AW602" i="13" s="1"/>
  <c r="AX602" i="13" s="1"/>
  <c r="AU622" i="13"/>
  <c r="AW622" i="13" s="1"/>
  <c r="AX622" i="13" s="1"/>
  <c r="AU642" i="13"/>
  <c r="AW642" i="13" s="1"/>
  <c r="AX642" i="13" s="1"/>
  <c r="AZ502" i="13"/>
  <c r="BB502" i="13" s="1"/>
  <c r="BC502" i="13" s="1"/>
  <c r="AZ522" i="13"/>
  <c r="BB522" i="13" s="1"/>
  <c r="BC522" i="13" s="1"/>
  <c r="AZ642" i="13"/>
  <c r="BB642" i="13" s="1"/>
  <c r="BC642" i="13" s="1"/>
  <c r="L448" i="11"/>
  <c r="AF501" i="13"/>
  <c r="AH501" i="13" s="1"/>
  <c r="AI501" i="13" s="1"/>
  <c r="AF521" i="13"/>
  <c r="AH521" i="13" s="1"/>
  <c r="AI521" i="13" s="1"/>
  <c r="AF641" i="13"/>
  <c r="AH641" i="13" s="1"/>
  <c r="AI641" i="13" s="1"/>
  <c r="AK361" i="13"/>
  <c r="AM361" i="13" s="1"/>
  <c r="AN361" i="13" s="1"/>
  <c r="AK421" i="13"/>
  <c r="AM421" i="13" s="1"/>
  <c r="AN421" i="13" s="1"/>
  <c r="AK521" i="13"/>
  <c r="AM521" i="13" s="1"/>
  <c r="AN521" i="13" s="1"/>
  <c r="AK541" i="13"/>
  <c r="AM541" i="13" s="1"/>
  <c r="AN541" i="13" s="1"/>
  <c r="AK601" i="13"/>
  <c r="AM601" i="13" s="1"/>
  <c r="AN601" i="13" s="1"/>
  <c r="AP361" i="13"/>
  <c r="AR361" i="13" s="1"/>
  <c r="AS361" i="13" s="1"/>
  <c r="AP461" i="13"/>
  <c r="AR461" i="13" s="1"/>
  <c r="AS461" i="13" s="1"/>
  <c r="AP521" i="13"/>
  <c r="AR521" i="13" s="1"/>
  <c r="AS521" i="13" s="1"/>
  <c r="AP541" i="13"/>
  <c r="AR541" i="13" s="1"/>
  <c r="AS541" i="13" s="1"/>
  <c r="AP601" i="13"/>
  <c r="AR601" i="13" s="1"/>
  <c r="AS601" i="13" s="1"/>
  <c r="AP621" i="13"/>
  <c r="AR621" i="13" s="1"/>
  <c r="AS621" i="13" s="1"/>
  <c r="AU361" i="13"/>
  <c r="AW361" i="13" s="1"/>
  <c r="AX361" i="13" s="1"/>
  <c r="AU421" i="13"/>
  <c r="AW421" i="13" s="1"/>
  <c r="AX421" i="13" s="1"/>
  <c r="AU461" i="13"/>
  <c r="AW461" i="13" s="1"/>
  <c r="AX461" i="13" s="1"/>
  <c r="AU541" i="13"/>
  <c r="AW541" i="13" s="1"/>
  <c r="AX541" i="13" s="1"/>
  <c r="AU601" i="13"/>
  <c r="AW601" i="13" s="1"/>
  <c r="AX601" i="13" s="1"/>
  <c r="AU621" i="13"/>
  <c r="AW621" i="13" s="1"/>
  <c r="AX621" i="13" s="1"/>
  <c r="AZ421" i="13"/>
  <c r="BB421" i="13" s="1"/>
  <c r="BC421" i="13" s="1"/>
  <c r="AZ601" i="13"/>
  <c r="BB601" i="13" s="1"/>
  <c r="BC601" i="13" s="1"/>
  <c r="AZ641" i="13"/>
  <c r="BB641" i="13" s="1"/>
  <c r="BC641" i="13" s="1"/>
  <c r="L447" i="11"/>
  <c r="AF360" i="13"/>
  <c r="AH360" i="13" s="1"/>
  <c r="AI360" i="13" s="1"/>
  <c r="AF540" i="13"/>
  <c r="AH540" i="13" s="1"/>
  <c r="AI540" i="13" s="1"/>
  <c r="AF600" i="13"/>
  <c r="AH600" i="13" s="1"/>
  <c r="AI600" i="13" s="1"/>
  <c r="AK360" i="13"/>
  <c r="AM360" i="13" s="1"/>
  <c r="AN360" i="13" s="1"/>
  <c r="AK460" i="13"/>
  <c r="AM460" i="13" s="1"/>
  <c r="AN460" i="13" s="1"/>
  <c r="AK500" i="13"/>
  <c r="AM500" i="13" s="1"/>
  <c r="AN500" i="13" s="1"/>
  <c r="AK540" i="13"/>
  <c r="AM540" i="13" s="1"/>
  <c r="AN540" i="13" s="1"/>
  <c r="AK600" i="13"/>
  <c r="AM600" i="13" s="1"/>
  <c r="AN600" i="13" s="1"/>
  <c r="AP500" i="13"/>
  <c r="AR500" i="13" s="1"/>
  <c r="AS500" i="13" s="1"/>
  <c r="AP540" i="13"/>
  <c r="AR540" i="13" s="1"/>
  <c r="AS540" i="13" s="1"/>
  <c r="AU420" i="13"/>
  <c r="AW420" i="13" s="1"/>
  <c r="AX420" i="13" s="1"/>
  <c r="AU500" i="13"/>
  <c r="AW500" i="13" s="1"/>
  <c r="AX500" i="13" s="1"/>
  <c r="AU540" i="13"/>
  <c r="AW540" i="13" s="1"/>
  <c r="AX540" i="13" s="1"/>
  <c r="AU600" i="13"/>
  <c r="AW600" i="13" s="1"/>
  <c r="AX600" i="13" s="1"/>
  <c r="AZ360" i="13"/>
  <c r="BB360" i="13" s="1"/>
  <c r="BC360" i="13" s="1"/>
  <c r="AZ460" i="13"/>
  <c r="BB460" i="13" s="1"/>
  <c r="BC460" i="13" s="1"/>
  <c r="AZ540" i="13"/>
  <c r="BB540" i="13" s="1"/>
  <c r="BC540" i="13" s="1"/>
  <c r="AZ600" i="13"/>
  <c r="BB600" i="13" s="1"/>
  <c r="BC600" i="13" s="1"/>
  <c r="L446" i="11"/>
  <c r="AF419" i="13"/>
  <c r="AH419" i="13" s="1"/>
  <c r="AI419" i="13" s="1"/>
  <c r="AF459" i="13"/>
  <c r="AH459" i="13" s="1"/>
  <c r="AI459" i="13" s="1"/>
  <c r="AF499" i="13"/>
  <c r="AH499" i="13" s="1"/>
  <c r="AI499" i="13" s="1"/>
  <c r="AF599" i="13"/>
  <c r="AH599" i="13" s="1"/>
  <c r="AI599" i="13" s="1"/>
  <c r="AK459" i="13"/>
  <c r="AM459" i="13" s="1"/>
  <c r="AN459" i="13" s="1"/>
  <c r="AK539" i="13"/>
  <c r="AM539" i="13" s="1"/>
  <c r="AN539" i="13" s="1"/>
  <c r="AK639" i="13"/>
  <c r="AM639" i="13" s="1"/>
  <c r="AN639" i="13" s="1"/>
  <c r="AP359" i="13"/>
  <c r="AR359" i="13" s="1"/>
  <c r="AS359" i="13" s="1"/>
  <c r="AP499" i="13"/>
  <c r="AR499" i="13" s="1"/>
  <c r="AS499" i="13" s="1"/>
  <c r="AP539" i="13"/>
  <c r="AR539" i="13" s="1"/>
  <c r="AS539" i="13" s="1"/>
  <c r="AP639" i="13"/>
  <c r="AR639" i="13" s="1"/>
  <c r="AS639" i="13" s="1"/>
  <c r="AU359" i="13"/>
  <c r="AW359" i="13" s="1"/>
  <c r="AX359" i="13" s="1"/>
  <c r="AU419" i="13"/>
  <c r="AW419" i="13" s="1"/>
  <c r="AX419" i="13" s="1"/>
  <c r="AU499" i="13"/>
  <c r="AW499" i="13" s="1"/>
  <c r="AX499" i="13" s="1"/>
  <c r="AU539" i="13"/>
  <c r="AW539" i="13" s="1"/>
  <c r="AX539" i="13" s="1"/>
  <c r="AZ359" i="13"/>
  <c r="BB359" i="13" s="1"/>
  <c r="BC359" i="13" s="1"/>
  <c r="AZ419" i="13"/>
  <c r="BB419" i="13" s="1"/>
  <c r="BC419" i="13" s="1"/>
  <c r="AZ539" i="13"/>
  <c r="BB539" i="13" s="1"/>
  <c r="BC539" i="13" s="1"/>
  <c r="AF358" i="13"/>
  <c r="AH358" i="13" s="1"/>
  <c r="AI358" i="13" s="1"/>
  <c r="AF458" i="13"/>
  <c r="AH458" i="13" s="1"/>
  <c r="AI458" i="13" s="1"/>
  <c r="AF498" i="13"/>
  <c r="AH498" i="13" s="1"/>
  <c r="AI498" i="13" s="1"/>
  <c r="AF538" i="13"/>
  <c r="AH538" i="13" s="1"/>
  <c r="AI538" i="13" s="1"/>
  <c r="AK358" i="13"/>
  <c r="AM358" i="13" s="1"/>
  <c r="AN358" i="13" s="1"/>
  <c r="AK418" i="13"/>
  <c r="AM418" i="13" s="1"/>
  <c r="AN418" i="13" s="1"/>
  <c r="AK498" i="13"/>
  <c r="AM498" i="13" s="1"/>
  <c r="AN498" i="13" s="1"/>
  <c r="AK538" i="13"/>
  <c r="AM538" i="13" s="1"/>
  <c r="AN538" i="13" s="1"/>
  <c r="AK598" i="13"/>
  <c r="AM598" i="13" s="1"/>
  <c r="AN598" i="13" s="1"/>
  <c r="AK638" i="13"/>
  <c r="AM638" i="13" s="1"/>
  <c r="AN638" i="13" s="1"/>
  <c r="AP358" i="13"/>
  <c r="AR358" i="13" s="1"/>
  <c r="AS358" i="13" s="1"/>
  <c r="AP418" i="13"/>
  <c r="AR418" i="13" s="1"/>
  <c r="AS418" i="13" s="1"/>
  <c r="AP458" i="13"/>
  <c r="AR458" i="13" s="1"/>
  <c r="AS458" i="13" s="1"/>
  <c r="AP498" i="13"/>
  <c r="AR498" i="13" s="1"/>
  <c r="AS498" i="13" s="1"/>
  <c r="AP538" i="13"/>
  <c r="AR538" i="13" s="1"/>
  <c r="AS538" i="13" s="1"/>
  <c r="AP598" i="13"/>
  <c r="AR598" i="13" s="1"/>
  <c r="AS598" i="13" s="1"/>
  <c r="AU358" i="13"/>
  <c r="AW358" i="13" s="1"/>
  <c r="AX358" i="13" s="1"/>
  <c r="AU418" i="13"/>
  <c r="AW418" i="13" s="1"/>
  <c r="AX418" i="13" s="1"/>
  <c r="AU458" i="13"/>
  <c r="AW458" i="13" s="1"/>
  <c r="AX458" i="13" s="1"/>
  <c r="AU598" i="13"/>
  <c r="AW598" i="13" s="1"/>
  <c r="AX598" i="13" s="1"/>
  <c r="AU638" i="13"/>
  <c r="AW638" i="13" s="1"/>
  <c r="AX638" i="13" s="1"/>
  <c r="AZ498" i="13"/>
  <c r="BB498" i="13" s="1"/>
  <c r="BC498" i="13" s="1"/>
  <c r="AZ598" i="13"/>
  <c r="BB598" i="13" s="1"/>
  <c r="BC598" i="13" s="1"/>
  <c r="L444" i="11"/>
  <c r="AK357" i="13"/>
  <c r="AM357" i="13" s="1"/>
  <c r="AN357" i="13" s="1"/>
  <c r="AK417" i="13"/>
  <c r="AM417" i="13" s="1"/>
  <c r="AN417" i="13" s="1"/>
  <c r="AK537" i="13"/>
  <c r="AM537" i="13" s="1"/>
  <c r="AN537" i="13" s="1"/>
  <c r="AK597" i="13"/>
  <c r="AM597" i="13" s="1"/>
  <c r="AN597" i="13" s="1"/>
  <c r="AP357" i="13"/>
  <c r="AR357" i="13" s="1"/>
  <c r="AS357" i="13" s="1"/>
  <c r="AP457" i="13"/>
  <c r="AR457" i="13" s="1"/>
  <c r="AS457" i="13" s="1"/>
  <c r="AP497" i="13"/>
  <c r="AR497" i="13" s="1"/>
  <c r="AS497" i="13" s="1"/>
  <c r="AP537" i="13"/>
  <c r="AR537" i="13" s="1"/>
  <c r="AS537" i="13" s="1"/>
  <c r="AP597" i="13"/>
  <c r="AR597" i="13" s="1"/>
  <c r="AS597" i="13" s="1"/>
  <c r="AU357" i="13"/>
  <c r="AW357" i="13" s="1"/>
  <c r="AX357" i="13" s="1"/>
  <c r="AU417" i="13"/>
  <c r="AW417" i="13" s="1"/>
  <c r="AX417" i="13" s="1"/>
  <c r="AU457" i="13"/>
  <c r="AW457" i="13" s="1"/>
  <c r="AX457" i="13" s="1"/>
  <c r="AU537" i="13"/>
  <c r="AW537" i="13" s="1"/>
  <c r="AX537" i="13" s="1"/>
  <c r="AU637" i="13"/>
  <c r="AW637" i="13" s="1"/>
  <c r="AX637" i="13" s="1"/>
  <c r="AZ417" i="13"/>
  <c r="BB417" i="13" s="1"/>
  <c r="BC417" i="13" s="1"/>
  <c r="AZ537" i="13"/>
  <c r="BB537" i="13" s="1"/>
  <c r="BC537" i="13" s="1"/>
  <c r="AZ597" i="13"/>
  <c r="BB597" i="13" s="1"/>
  <c r="BC597" i="13" s="1"/>
  <c r="AZ637" i="13"/>
  <c r="BB637" i="13" s="1"/>
  <c r="BC637" i="13" s="1"/>
  <c r="L443" i="11"/>
  <c r="AF356" i="13"/>
  <c r="AH356" i="13" s="1"/>
  <c r="AI356" i="13" s="1"/>
  <c r="AF456" i="13"/>
  <c r="AH456" i="13" s="1"/>
  <c r="AI456" i="13" s="1"/>
  <c r="AF496" i="13"/>
  <c r="AH496" i="13" s="1"/>
  <c r="AI496" i="13" s="1"/>
  <c r="AF516" i="13"/>
  <c r="AH516" i="13" s="1"/>
  <c r="AI516" i="13" s="1"/>
  <c r="AF536" i="13"/>
  <c r="AH536" i="13" s="1"/>
  <c r="AI536" i="13" s="1"/>
  <c r="AF596" i="13"/>
  <c r="AH596" i="13" s="1"/>
  <c r="AI596" i="13" s="1"/>
  <c r="AF616" i="13"/>
  <c r="AH616" i="13" s="1"/>
  <c r="AI616" i="13" s="1"/>
  <c r="AF636" i="13"/>
  <c r="AH636" i="13" s="1"/>
  <c r="AI636" i="13" s="1"/>
  <c r="AK356" i="13"/>
  <c r="AM356" i="13" s="1"/>
  <c r="AN356" i="13" s="1"/>
  <c r="AK456" i="13"/>
  <c r="AM456" i="13" s="1"/>
  <c r="AN456" i="13" s="1"/>
  <c r="AK496" i="13"/>
  <c r="AM496" i="13" s="1"/>
  <c r="AN496" i="13" s="1"/>
  <c r="AK516" i="13"/>
  <c r="AM516" i="13" s="1"/>
  <c r="AN516" i="13" s="1"/>
  <c r="AK536" i="13"/>
  <c r="AM536" i="13" s="1"/>
  <c r="AN536" i="13" s="1"/>
  <c r="AK636" i="13"/>
  <c r="AM636" i="13" s="1"/>
  <c r="AN636" i="13" s="1"/>
  <c r="AP356" i="13"/>
  <c r="AR356" i="13" s="1"/>
  <c r="AS356" i="13" s="1"/>
  <c r="AP416" i="13"/>
  <c r="AR416" i="13" s="1"/>
  <c r="AS416" i="13" s="1"/>
  <c r="AU416" i="13"/>
  <c r="AW416" i="13" s="1"/>
  <c r="AX416" i="13" s="1"/>
  <c r="AU496" i="13"/>
  <c r="AW496" i="13" s="1"/>
  <c r="AX496" i="13" s="1"/>
  <c r="AU516" i="13"/>
  <c r="AW516" i="13" s="1"/>
  <c r="AX516" i="13" s="1"/>
  <c r="AU536" i="13"/>
  <c r="AW536" i="13" s="1"/>
  <c r="AX536" i="13" s="1"/>
  <c r="AZ516" i="13"/>
  <c r="BB516" i="13" s="1"/>
  <c r="BC516" i="13" s="1"/>
  <c r="AZ596" i="13"/>
  <c r="BB596" i="13" s="1"/>
  <c r="BC596" i="13" s="1"/>
  <c r="L442" i="11"/>
  <c r="AF515" i="13"/>
  <c r="AH515" i="13" s="1"/>
  <c r="AI515" i="13" s="1"/>
  <c r="AF595" i="13"/>
  <c r="AH595" i="13" s="1"/>
  <c r="AI595" i="13" s="1"/>
  <c r="AF635" i="13"/>
  <c r="AH635" i="13" s="1"/>
  <c r="AI635" i="13" s="1"/>
  <c r="AK355" i="13"/>
  <c r="AM355" i="13" s="1"/>
  <c r="AN355" i="13" s="1"/>
  <c r="AK455" i="13"/>
  <c r="AM455" i="13" s="1"/>
  <c r="AN455" i="13" s="1"/>
  <c r="AK495" i="13"/>
  <c r="AM495" i="13" s="1"/>
  <c r="AN495" i="13" s="1"/>
  <c r="AK515" i="13"/>
  <c r="AM515" i="13" s="1"/>
  <c r="AN515" i="13" s="1"/>
  <c r="AK535" i="13"/>
  <c r="AM535" i="13" s="1"/>
  <c r="AN535" i="13" s="1"/>
  <c r="AK595" i="13"/>
  <c r="AM595" i="13" s="1"/>
  <c r="AN595" i="13" s="1"/>
  <c r="AK615" i="13"/>
  <c r="AM615" i="13" s="1"/>
  <c r="AN615" i="13" s="1"/>
  <c r="AK635" i="13"/>
  <c r="AM635" i="13" s="1"/>
  <c r="AN635" i="13" s="1"/>
  <c r="AP415" i="13"/>
  <c r="AR415" i="13" s="1"/>
  <c r="AS415" i="13" s="1"/>
  <c r="AP495" i="13"/>
  <c r="AR495" i="13" s="1"/>
  <c r="AS495" i="13" s="1"/>
  <c r="AP635" i="13"/>
  <c r="AR635" i="13" s="1"/>
  <c r="AS635" i="13" s="1"/>
  <c r="AU355" i="13"/>
  <c r="AW355" i="13" s="1"/>
  <c r="AX355" i="13" s="1"/>
  <c r="AU415" i="13"/>
  <c r="AW415" i="13" s="1"/>
  <c r="AX415" i="13" s="1"/>
  <c r="AU495" i="13"/>
  <c r="AW495" i="13" s="1"/>
  <c r="AX495" i="13" s="1"/>
  <c r="AU515" i="13"/>
  <c r="AW515" i="13" s="1"/>
  <c r="AX515" i="13" s="1"/>
  <c r="AU595" i="13"/>
  <c r="AW595" i="13" s="1"/>
  <c r="AX595" i="13" s="1"/>
  <c r="AZ355" i="13"/>
  <c r="BB355" i="13" s="1"/>
  <c r="BC355" i="13" s="1"/>
  <c r="AZ415" i="13"/>
  <c r="BB415" i="13" s="1"/>
  <c r="BC415" i="13" s="1"/>
  <c r="AZ455" i="13"/>
  <c r="BB455" i="13" s="1"/>
  <c r="BC455" i="13" s="1"/>
  <c r="AZ515" i="13"/>
  <c r="BB515" i="13" s="1"/>
  <c r="BC515" i="13" s="1"/>
  <c r="AZ535" i="13"/>
  <c r="BB535" i="13" s="1"/>
  <c r="BC535" i="13" s="1"/>
  <c r="AZ595" i="13"/>
  <c r="BB595" i="13" s="1"/>
  <c r="BC595" i="13" s="1"/>
  <c r="AZ615" i="13"/>
  <c r="BB615" i="13" s="1"/>
  <c r="BC615" i="13" s="1"/>
  <c r="L441" i="11"/>
  <c r="AF323" i="13"/>
  <c r="AH323" i="13" s="1"/>
  <c r="AI323" i="13" s="1"/>
  <c r="AF343" i="13"/>
  <c r="AH343" i="13" s="1"/>
  <c r="AI343" i="13" s="1"/>
  <c r="AK343" i="13"/>
  <c r="AM343" i="13" s="1"/>
  <c r="AN343" i="13" s="1"/>
  <c r="AP323" i="13"/>
  <c r="AR323" i="13" s="1"/>
  <c r="AS323" i="13" s="1"/>
  <c r="AP343" i="13"/>
  <c r="AR343" i="13" s="1"/>
  <c r="AS343" i="13" s="1"/>
  <c r="AU323" i="13"/>
  <c r="AW323" i="13" s="1"/>
  <c r="AX323" i="13" s="1"/>
  <c r="AU343" i="13"/>
  <c r="AW343" i="13" s="1"/>
  <c r="AX343" i="13" s="1"/>
  <c r="AZ323" i="13"/>
  <c r="BB323" i="13" s="1"/>
  <c r="BC323" i="13" s="1"/>
  <c r="AZ343" i="13"/>
  <c r="BB343" i="13" s="1"/>
  <c r="BC343" i="13" s="1"/>
  <c r="AF322" i="13"/>
  <c r="AH322" i="13" s="1"/>
  <c r="AI322" i="13" s="1"/>
  <c r="AF342" i="13"/>
  <c r="AH342" i="13" s="1"/>
  <c r="AI342" i="13" s="1"/>
  <c r="AK322" i="13"/>
  <c r="AM322" i="13" s="1"/>
  <c r="AN322" i="13" s="1"/>
  <c r="AK342" i="13"/>
  <c r="AM342" i="13" s="1"/>
  <c r="AN342" i="13" s="1"/>
  <c r="AP322" i="13"/>
  <c r="AR322" i="13" s="1"/>
  <c r="AS322" i="13" s="1"/>
  <c r="AP342" i="13"/>
  <c r="AR342" i="13" s="1"/>
  <c r="AS342" i="13" s="1"/>
  <c r="AU322" i="13"/>
  <c r="AW322" i="13" s="1"/>
  <c r="AX322" i="13" s="1"/>
  <c r="AU342" i="13"/>
  <c r="AW342" i="13" s="1"/>
  <c r="AX342" i="13" s="1"/>
  <c r="AZ322" i="13"/>
  <c r="BB322" i="13" s="1"/>
  <c r="BC322" i="13" s="1"/>
  <c r="AF315" i="13"/>
  <c r="AH315" i="13" s="1"/>
  <c r="AI315" i="13" s="1"/>
  <c r="AF335" i="13"/>
  <c r="AH335" i="13" s="1"/>
  <c r="AI335" i="13" s="1"/>
  <c r="AK315" i="13"/>
  <c r="AM315" i="13" s="1"/>
  <c r="AN315" i="13" s="1"/>
  <c r="AK335" i="13"/>
  <c r="AM335" i="13" s="1"/>
  <c r="AN335" i="13" s="1"/>
  <c r="AP335" i="13"/>
  <c r="AR335" i="13" s="1"/>
  <c r="AS335" i="13" s="1"/>
  <c r="AU315" i="13"/>
  <c r="AW315" i="13" s="1"/>
  <c r="AX315" i="13" s="1"/>
  <c r="AZ315" i="13"/>
  <c r="BB315" i="13" s="1"/>
  <c r="BC315" i="13" s="1"/>
  <c r="AF316" i="13"/>
  <c r="AH316" i="13" s="1"/>
  <c r="AI316" i="13" s="1"/>
  <c r="AK316" i="13"/>
  <c r="AM316" i="13" s="1"/>
  <c r="AN316" i="13" s="1"/>
  <c r="AP316" i="13"/>
  <c r="AR316" i="13" s="1"/>
  <c r="AS316" i="13" s="1"/>
  <c r="AP336" i="13"/>
  <c r="AR336" i="13" s="1"/>
  <c r="AS336" i="13" s="1"/>
  <c r="AU316" i="13"/>
  <c r="AW316" i="13" s="1"/>
  <c r="AX316" i="13" s="1"/>
  <c r="AU336" i="13"/>
  <c r="AW336" i="13" s="1"/>
  <c r="AX336" i="13" s="1"/>
  <c r="AZ336" i="13"/>
  <c r="BB336" i="13" s="1"/>
  <c r="BC336" i="13" s="1"/>
  <c r="AF317" i="13"/>
  <c r="AH317" i="13" s="1"/>
  <c r="AI317" i="13" s="1"/>
  <c r="AP337" i="13"/>
  <c r="AR337" i="13" s="1"/>
  <c r="AS337" i="13" s="1"/>
  <c r="AU317" i="13"/>
  <c r="AW317" i="13" s="1"/>
  <c r="AX317" i="13" s="1"/>
  <c r="AU337" i="13"/>
  <c r="AW337" i="13" s="1"/>
  <c r="AX337" i="13" s="1"/>
  <c r="AF318" i="13"/>
  <c r="AH318" i="13" s="1"/>
  <c r="AI318" i="13" s="1"/>
  <c r="AF338" i="13"/>
  <c r="AH338" i="13" s="1"/>
  <c r="AI338" i="13" s="1"/>
  <c r="AK338" i="13"/>
  <c r="AM338" i="13" s="1"/>
  <c r="AN338" i="13" s="1"/>
  <c r="AP318" i="13"/>
  <c r="AR318" i="13" s="1"/>
  <c r="AS318" i="13" s="1"/>
  <c r="AU318" i="13"/>
  <c r="AW318" i="13" s="1"/>
  <c r="AX318" i="13" s="1"/>
  <c r="AU338" i="13"/>
  <c r="AW338" i="13" s="1"/>
  <c r="AX338" i="13" s="1"/>
  <c r="AZ338" i="13"/>
  <c r="BB338" i="13" s="1"/>
  <c r="BC338" i="13" s="1"/>
  <c r="AF319" i="13"/>
  <c r="AH319" i="13" s="1"/>
  <c r="AI319" i="13" s="1"/>
  <c r="AK339" i="13"/>
  <c r="AM339" i="13" s="1"/>
  <c r="AN339" i="13" s="1"/>
  <c r="AP319" i="13"/>
  <c r="AR319" i="13" s="1"/>
  <c r="AS319" i="13" s="1"/>
  <c r="AU339" i="13"/>
  <c r="AW339" i="13" s="1"/>
  <c r="AX339" i="13" s="1"/>
  <c r="AK320" i="13"/>
  <c r="AM320" i="13" s="1"/>
  <c r="AN320" i="13" s="1"/>
  <c r="AP320" i="13"/>
  <c r="AR320" i="13" s="1"/>
  <c r="AS320" i="13" s="1"/>
  <c r="AP340" i="13"/>
  <c r="AR340" i="13" s="1"/>
  <c r="AS340" i="13" s="1"/>
  <c r="AU320" i="13"/>
  <c r="AW320" i="13" s="1"/>
  <c r="AX320" i="13" s="1"/>
  <c r="AU340" i="13"/>
  <c r="AW340" i="13" s="1"/>
  <c r="AX340" i="13" s="1"/>
  <c r="AZ320" i="13"/>
  <c r="BB320" i="13" s="1"/>
  <c r="BC320" i="13" s="1"/>
  <c r="AZ340" i="13"/>
  <c r="BB340" i="13" s="1"/>
  <c r="BC340" i="13" s="1"/>
  <c r="AF321" i="13"/>
  <c r="AH321" i="13" s="1"/>
  <c r="AI321" i="13" s="1"/>
  <c r="AK341" i="13"/>
  <c r="AM341" i="13" s="1"/>
  <c r="AN341" i="13" s="1"/>
  <c r="AP321" i="13"/>
  <c r="AR321" i="13" s="1"/>
  <c r="AS321" i="13" s="1"/>
  <c r="AP341" i="13"/>
  <c r="AR341" i="13" s="1"/>
  <c r="AS341" i="13" s="1"/>
  <c r="AU341" i="13"/>
  <c r="AW341" i="13" s="1"/>
  <c r="AX341" i="13" s="1"/>
  <c r="AZ321" i="13"/>
  <c r="BB321" i="13" s="1"/>
  <c r="BC321" i="13" s="1"/>
  <c r="AZ341" i="13"/>
  <c r="BB341" i="13" s="1"/>
  <c r="BC341" i="13" s="1"/>
  <c r="AF324" i="13"/>
  <c r="AH324" i="13" s="1"/>
  <c r="AI324" i="13" s="1"/>
  <c r="AK324" i="13"/>
  <c r="AM324" i="13" s="1"/>
  <c r="AN324" i="13" s="1"/>
  <c r="AK344" i="13"/>
  <c r="AM344" i="13" s="1"/>
  <c r="AN344" i="13" s="1"/>
  <c r="AP324" i="13"/>
  <c r="AR324" i="13" s="1"/>
  <c r="AS324" i="13" s="1"/>
  <c r="AP344" i="13"/>
  <c r="AR344" i="13" s="1"/>
  <c r="AS344" i="13" s="1"/>
  <c r="AU324" i="13"/>
  <c r="AW324" i="13" s="1"/>
  <c r="AX324" i="13" s="1"/>
  <c r="AU344" i="13"/>
  <c r="AW344" i="13" s="1"/>
  <c r="AX344" i="13" s="1"/>
  <c r="AF325" i="13"/>
  <c r="AH325" i="13" s="1"/>
  <c r="AI325" i="13" s="1"/>
  <c r="AF345" i="13"/>
  <c r="AH345" i="13" s="1"/>
  <c r="AI345" i="13" s="1"/>
  <c r="AK325" i="13"/>
  <c r="AM325" i="13" s="1"/>
  <c r="AN325" i="13" s="1"/>
  <c r="AK345" i="13"/>
  <c r="AM345" i="13" s="1"/>
  <c r="AN345" i="13" s="1"/>
  <c r="AP325" i="13"/>
  <c r="AR325" i="13" s="1"/>
  <c r="AS325" i="13" s="1"/>
  <c r="AP345" i="13"/>
  <c r="AR345" i="13" s="1"/>
  <c r="AS345" i="13" s="1"/>
  <c r="AU345" i="13"/>
  <c r="AW345" i="13" s="1"/>
  <c r="AX345" i="13" s="1"/>
  <c r="AZ325" i="13"/>
  <c r="BB325" i="13" s="1"/>
  <c r="BC325" i="13" s="1"/>
  <c r="AF327" i="13"/>
  <c r="AH327" i="13" s="1"/>
  <c r="AI327" i="13" s="1"/>
  <c r="AF347" i="13"/>
  <c r="AH347" i="13" s="1"/>
  <c r="AI347" i="13" s="1"/>
  <c r="AK327" i="13"/>
  <c r="AM327" i="13" s="1"/>
  <c r="AN327" i="13" s="1"/>
  <c r="AK347" i="13"/>
  <c r="AM347" i="13" s="1"/>
  <c r="AN347" i="13" s="1"/>
  <c r="AP327" i="13"/>
  <c r="AR327" i="13" s="1"/>
  <c r="AS327" i="13" s="1"/>
  <c r="AP347" i="13"/>
  <c r="AR347" i="13" s="1"/>
  <c r="AS347" i="13" s="1"/>
  <c r="AU327" i="13"/>
  <c r="AW327" i="13" s="1"/>
  <c r="AX327" i="13" s="1"/>
  <c r="AU347" i="13"/>
  <c r="AW347" i="13" s="1"/>
  <c r="AX347" i="13" s="1"/>
  <c r="AZ327" i="13"/>
  <c r="BB327" i="13" s="1"/>
  <c r="BC327" i="13" s="1"/>
  <c r="AZ347" i="13"/>
  <c r="BB347" i="13" s="1"/>
  <c r="BC347" i="13" s="1"/>
  <c r="L264" i="13"/>
  <c r="K264" i="13"/>
  <c r="J264" i="13"/>
  <c r="I264" i="13"/>
  <c r="H264" i="13"/>
  <c r="G264" i="13"/>
  <c r="F264" i="13"/>
  <c r="U262" i="13"/>
  <c r="L262" i="13"/>
  <c r="K262" i="13"/>
  <c r="J262" i="13"/>
  <c r="I262" i="13"/>
  <c r="H262" i="13"/>
  <c r="F262" i="13"/>
  <c r="E262" i="13"/>
  <c r="U261" i="13"/>
  <c r="L261" i="13"/>
  <c r="K261" i="13"/>
  <c r="J261" i="13"/>
  <c r="I261" i="13"/>
  <c r="G261" i="13"/>
  <c r="F261" i="13"/>
  <c r="E261" i="13"/>
  <c r="L260" i="13"/>
  <c r="K260" i="13"/>
  <c r="J260" i="13"/>
  <c r="I260" i="13"/>
  <c r="H260" i="13"/>
  <c r="F260" i="13"/>
  <c r="E260" i="13"/>
  <c r="U259" i="13"/>
  <c r="L259" i="13"/>
  <c r="K259" i="13"/>
  <c r="J259" i="13"/>
  <c r="I259" i="13"/>
  <c r="H259" i="13"/>
  <c r="F259" i="13"/>
  <c r="E259" i="13"/>
  <c r="U258" i="13"/>
  <c r="L258" i="13"/>
  <c r="K258" i="13"/>
  <c r="J258" i="13"/>
  <c r="I258" i="13"/>
  <c r="H258" i="13"/>
  <c r="G258" i="13"/>
  <c r="E258" i="13"/>
  <c r="L257" i="13"/>
  <c r="K257" i="13"/>
  <c r="J257" i="13"/>
  <c r="I257" i="13"/>
  <c r="H257" i="13"/>
  <c r="G257" i="13"/>
  <c r="F257" i="13"/>
  <c r="U256" i="13"/>
  <c r="L256" i="13"/>
  <c r="K256" i="13"/>
  <c r="J256" i="13"/>
  <c r="I256" i="13"/>
  <c r="H256" i="13"/>
  <c r="G256" i="13"/>
  <c r="E256" i="13"/>
  <c r="L255" i="13"/>
  <c r="K255" i="13"/>
  <c r="J255" i="13"/>
  <c r="I255" i="13"/>
  <c r="H255" i="13"/>
  <c r="G255" i="13"/>
  <c r="E255" i="13"/>
  <c r="L254" i="13"/>
  <c r="K254" i="13"/>
  <c r="J254" i="13"/>
  <c r="I254" i="13"/>
  <c r="H254" i="13"/>
  <c r="G254" i="13"/>
  <c r="F254" i="13"/>
  <c r="E254" i="13"/>
  <c r="L253" i="13"/>
  <c r="K253" i="13"/>
  <c r="J253" i="13"/>
  <c r="I253" i="13"/>
  <c r="H253" i="13"/>
  <c r="G253" i="13"/>
  <c r="E253" i="13"/>
  <c r="U252" i="13"/>
  <c r="L252" i="13"/>
  <c r="K252" i="13"/>
  <c r="J252" i="13"/>
  <c r="I252" i="13"/>
  <c r="H252" i="13"/>
  <c r="G252" i="13"/>
  <c r="E252" i="13"/>
  <c r="U244" i="13"/>
  <c r="L244" i="13"/>
  <c r="K244" i="13"/>
  <c r="J244" i="13"/>
  <c r="I244" i="13"/>
  <c r="H244" i="13"/>
  <c r="G244" i="13"/>
  <c r="F244" i="13"/>
  <c r="U242" i="13"/>
  <c r="L242" i="13"/>
  <c r="K242" i="13"/>
  <c r="J242" i="13"/>
  <c r="I242" i="13"/>
  <c r="H242" i="13"/>
  <c r="G242" i="13"/>
  <c r="E242" i="13"/>
  <c r="U241" i="13"/>
  <c r="L241" i="13"/>
  <c r="K241" i="13"/>
  <c r="J241" i="13"/>
  <c r="I241" i="13"/>
  <c r="H241" i="13"/>
  <c r="F241" i="13"/>
  <c r="E241" i="13"/>
  <c r="U240" i="13"/>
  <c r="L240" i="13"/>
  <c r="K240" i="13"/>
  <c r="J240" i="13"/>
  <c r="I240" i="13"/>
  <c r="H240" i="13"/>
  <c r="F240" i="13"/>
  <c r="E240" i="13"/>
  <c r="U239" i="13"/>
  <c r="L239" i="13"/>
  <c r="K239" i="13"/>
  <c r="J239" i="13"/>
  <c r="I239" i="13"/>
  <c r="H239" i="13"/>
  <c r="G239" i="13"/>
  <c r="F239" i="13"/>
  <c r="U238" i="13"/>
  <c r="L238" i="13"/>
  <c r="K238" i="13"/>
  <c r="J238" i="13"/>
  <c r="I238" i="13"/>
  <c r="H238" i="13"/>
  <c r="G238" i="13"/>
  <c r="F238" i="13"/>
  <c r="E238" i="13"/>
  <c r="L237" i="13"/>
  <c r="K237" i="13"/>
  <c r="J237" i="13"/>
  <c r="I237" i="13"/>
  <c r="H237" i="13"/>
  <c r="G237" i="13"/>
  <c r="F237" i="13"/>
  <c r="L236" i="13"/>
  <c r="K236" i="13"/>
  <c r="J236" i="13"/>
  <c r="I236" i="13"/>
  <c r="H236" i="13"/>
  <c r="G236" i="13"/>
  <c r="F236" i="13"/>
  <c r="L235" i="13"/>
  <c r="K235" i="13"/>
  <c r="J235" i="13"/>
  <c r="H235" i="13"/>
  <c r="G235" i="13"/>
  <c r="F235" i="13"/>
  <c r="E235" i="13"/>
  <c r="U234" i="13"/>
  <c r="L234" i="13"/>
  <c r="K234" i="13"/>
  <c r="J234" i="13"/>
  <c r="I234" i="13"/>
  <c r="H234" i="13"/>
  <c r="G234" i="13"/>
  <c r="F234" i="13"/>
  <c r="E234" i="13"/>
  <c r="U233" i="13"/>
  <c r="L233" i="13"/>
  <c r="K233" i="13"/>
  <c r="J233" i="13"/>
  <c r="I233" i="13"/>
  <c r="H233" i="13"/>
  <c r="G233" i="13"/>
  <c r="F233" i="13"/>
  <c r="L232" i="13"/>
  <c r="K232" i="13"/>
  <c r="I232" i="13"/>
  <c r="H232" i="13"/>
  <c r="G232" i="13"/>
  <c r="F232" i="13"/>
  <c r="E232" i="13"/>
  <c r="AU787" i="13"/>
  <c r="AW787" i="13" s="1"/>
  <c r="AX787" i="13" s="1"/>
  <c r="AP787" i="13"/>
  <c r="AR787" i="13" s="1"/>
  <c r="AS787" i="13" s="1"/>
  <c r="AK787" i="13"/>
  <c r="AM787" i="13" s="1"/>
  <c r="AN787" i="13" s="1"/>
  <c r="AZ785" i="13"/>
  <c r="BB785" i="13" s="1"/>
  <c r="BC785" i="13" s="1"/>
  <c r="AP785" i="13"/>
  <c r="AR785" i="13" s="1"/>
  <c r="AS785" i="13" s="1"/>
  <c r="AU784" i="13"/>
  <c r="AW784" i="13" s="1"/>
  <c r="AX784" i="13" s="1"/>
  <c r="AP784" i="13"/>
  <c r="AR784" i="13" s="1"/>
  <c r="AS784" i="13" s="1"/>
  <c r="AK784" i="13"/>
  <c r="AM784" i="13" s="1"/>
  <c r="AN784" i="13" s="1"/>
  <c r="AU783" i="13"/>
  <c r="AW783" i="13" s="1"/>
  <c r="AX783" i="13" s="1"/>
  <c r="AP783" i="13"/>
  <c r="AR783" i="13" s="1"/>
  <c r="AS783" i="13" s="1"/>
  <c r="AK783" i="13"/>
  <c r="AM783" i="13" s="1"/>
  <c r="AN783" i="13" s="1"/>
  <c r="AU782" i="13"/>
  <c r="AW782" i="13" s="1"/>
  <c r="AX782" i="13" s="1"/>
  <c r="AP782" i="13"/>
  <c r="AR782" i="13" s="1"/>
  <c r="AS782" i="13" s="1"/>
  <c r="AK782" i="13"/>
  <c r="AM782" i="13" s="1"/>
  <c r="AN782" i="13" s="1"/>
  <c r="AF782" i="13"/>
  <c r="AH782" i="13" s="1"/>
  <c r="AI782" i="13" s="1"/>
  <c r="AU781" i="13"/>
  <c r="AW781" i="13" s="1"/>
  <c r="AX781" i="13" s="1"/>
  <c r="AP781" i="13"/>
  <c r="AR781" i="13" s="1"/>
  <c r="AS781" i="13" s="1"/>
  <c r="AK781" i="13"/>
  <c r="AM781" i="13" s="1"/>
  <c r="AN781" i="13" s="1"/>
  <c r="AP780" i="13"/>
  <c r="AR780" i="13" s="1"/>
  <c r="AS780" i="13" s="1"/>
  <c r="AK780" i="13"/>
  <c r="AM780" i="13" s="1"/>
  <c r="AN780" i="13" s="1"/>
  <c r="AF780" i="13"/>
  <c r="AH780" i="13" s="1"/>
  <c r="AI780" i="13" s="1"/>
  <c r="AU779" i="13"/>
  <c r="AW779" i="13" s="1"/>
  <c r="AX779" i="13" s="1"/>
  <c r="AP779" i="13"/>
  <c r="AR779" i="13" s="1"/>
  <c r="AS779" i="13" s="1"/>
  <c r="AK779" i="13"/>
  <c r="AM779" i="13" s="1"/>
  <c r="AN779" i="13" s="1"/>
  <c r="AF779" i="13"/>
  <c r="AH779" i="13" s="1"/>
  <c r="AI779" i="13" s="1"/>
  <c r="AU778" i="13"/>
  <c r="AW778" i="13" s="1"/>
  <c r="AX778" i="13" s="1"/>
  <c r="AK778" i="13"/>
  <c r="AM778" i="13" s="1"/>
  <c r="AN778" i="13" s="1"/>
  <c r="AF778" i="13"/>
  <c r="AH778" i="13" s="1"/>
  <c r="AI778" i="13" s="1"/>
  <c r="AP777" i="13"/>
  <c r="AR777" i="13" s="1"/>
  <c r="AS777" i="13" s="1"/>
  <c r="AF777" i="13"/>
  <c r="AH777" i="13" s="1"/>
  <c r="AI777" i="13" s="1"/>
  <c r="AU776" i="13"/>
  <c r="AW776" i="13" s="1"/>
  <c r="AX776" i="13" s="1"/>
  <c r="AP776" i="13"/>
  <c r="AR776" i="13" s="1"/>
  <c r="AS776" i="13" s="1"/>
  <c r="AF776" i="13"/>
  <c r="AH776" i="13" s="1"/>
  <c r="AI776" i="13" s="1"/>
  <c r="AU775" i="13"/>
  <c r="AW775" i="13" s="1"/>
  <c r="AX775" i="13" s="1"/>
  <c r="F279" i="13" l="1"/>
  <c r="G277" i="13"/>
  <c r="J184" i="13"/>
  <c r="U182" i="13"/>
  <c r="L182" i="13"/>
  <c r="G216" i="13"/>
  <c r="L218" i="13"/>
  <c r="L179" i="13"/>
  <c r="I215" i="13"/>
  <c r="G220" i="13"/>
  <c r="E279" i="13"/>
  <c r="F181" i="13"/>
  <c r="I174" i="13"/>
  <c r="J274" i="13"/>
  <c r="J220" i="13"/>
  <c r="L178" i="13"/>
  <c r="K272" i="13"/>
  <c r="G221" i="13"/>
  <c r="G212" i="13"/>
  <c r="F213" i="13"/>
  <c r="G214" i="13"/>
  <c r="G219" i="13"/>
  <c r="U179" i="13"/>
  <c r="I180" i="13"/>
  <c r="G273" i="13"/>
  <c r="F274" i="13"/>
  <c r="F275" i="13"/>
  <c r="K277" i="13"/>
  <c r="K184" i="13"/>
  <c r="J173" i="13"/>
  <c r="I276" i="13"/>
  <c r="J278" i="13"/>
  <c r="I279" i="13"/>
  <c r="K273" i="13"/>
  <c r="F280" i="13"/>
  <c r="K214" i="13"/>
  <c r="G217" i="13"/>
  <c r="J221" i="13"/>
  <c r="J275" i="13"/>
  <c r="J279" i="13"/>
  <c r="I217" i="13"/>
  <c r="I216" i="13"/>
  <c r="H224" i="13"/>
  <c r="E280" i="13"/>
  <c r="K215" i="13"/>
  <c r="K217" i="13"/>
  <c r="L222" i="13"/>
  <c r="I224" i="13"/>
  <c r="K216" i="13"/>
  <c r="I177" i="13"/>
  <c r="L172" i="13"/>
  <c r="J280" i="13"/>
  <c r="U213" i="13"/>
  <c r="L224" i="13"/>
  <c r="AF822" i="13"/>
  <c r="AH822" i="13" s="1"/>
  <c r="AI822" i="13" s="1"/>
  <c r="N239" i="13"/>
  <c r="AF239" i="13" s="1"/>
  <c r="AH239" i="13" s="1"/>
  <c r="AI239" i="13" s="1"/>
  <c r="AU478" i="13"/>
  <c r="AW478" i="13" s="1"/>
  <c r="AX478" i="13" s="1"/>
  <c r="H425" i="11"/>
  <c r="Q275" i="13"/>
  <c r="AU275" i="13" s="1"/>
  <c r="AW275" i="13" s="1"/>
  <c r="AX275" i="13" s="1"/>
  <c r="P232" i="13"/>
  <c r="AP232" i="13" s="1"/>
  <c r="AR232" i="13" s="1"/>
  <c r="AS232" i="13" s="1"/>
  <c r="AP815" i="13"/>
  <c r="AR815" i="13" s="1"/>
  <c r="AS815" i="13" s="1"/>
  <c r="AP816" i="13"/>
  <c r="AR816" i="13" s="1"/>
  <c r="AS816" i="13" s="1"/>
  <c r="P233" i="13"/>
  <c r="AP233" i="13" s="1"/>
  <c r="AR233" i="13" s="1"/>
  <c r="AS233" i="13" s="1"/>
  <c r="AP817" i="13"/>
  <c r="AR817" i="13" s="1"/>
  <c r="AS817" i="13" s="1"/>
  <c r="P234" i="13"/>
  <c r="AP234" i="13" s="1"/>
  <c r="AR234" i="13" s="1"/>
  <c r="AS234" i="13" s="1"/>
  <c r="AP818" i="13"/>
  <c r="AR818" i="13" s="1"/>
  <c r="AS818" i="13" s="1"/>
  <c r="P235" i="13"/>
  <c r="AP235" i="13" s="1"/>
  <c r="AR235" i="13" s="1"/>
  <c r="AS235" i="13" s="1"/>
  <c r="P236" i="13"/>
  <c r="AP236" i="13" s="1"/>
  <c r="AR236" i="13" s="1"/>
  <c r="AS236" i="13" s="1"/>
  <c r="AP819" i="13"/>
  <c r="AR819" i="13" s="1"/>
  <c r="AS819" i="13" s="1"/>
  <c r="AP820" i="13"/>
  <c r="AR820" i="13" s="1"/>
  <c r="AS820" i="13" s="1"/>
  <c r="P237" i="13"/>
  <c r="AP237" i="13" s="1"/>
  <c r="AR237" i="13" s="1"/>
  <c r="AS237" i="13" s="1"/>
  <c r="P239" i="13"/>
  <c r="AP239" i="13" s="1"/>
  <c r="AR239" i="13" s="1"/>
  <c r="AS239" i="13" s="1"/>
  <c r="AP822" i="13"/>
  <c r="AR822" i="13" s="1"/>
  <c r="AS822" i="13" s="1"/>
  <c r="P252" i="13"/>
  <c r="AP252" i="13" s="1"/>
  <c r="AR252" i="13" s="1"/>
  <c r="AS252" i="13" s="1"/>
  <c r="AP835" i="13"/>
  <c r="AR835" i="13" s="1"/>
  <c r="AS835" i="13" s="1"/>
  <c r="AP836" i="13"/>
  <c r="AR836" i="13" s="1"/>
  <c r="AS836" i="13" s="1"/>
  <c r="P253" i="13"/>
  <c r="AP253" i="13" s="1"/>
  <c r="AR253" i="13" s="1"/>
  <c r="AS253" i="13" s="1"/>
  <c r="AP837" i="13"/>
  <c r="AR837" i="13" s="1"/>
  <c r="AS837" i="13" s="1"/>
  <c r="P254" i="13"/>
  <c r="AP254" i="13" s="1"/>
  <c r="AR254" i="13" s="1"/>
  <c r="AS254" i="13" s="1"/>
  <c r="P255" i="13"/>
  <c r="AP255" i="13" s="1"/>
  <c r="AR255" i="13" s="1"/>
  <c r="AS255" i="13" s="1"/>
  <c r="AP838" i="13"/>
  <c r="AR838" i="13" s="1"/>
  <c r="AS838" i="13" s="1"/>
  <c r="AP839" i="13"/>
  <c r="AR839" i="13" s="1"/>
  <c r="AS839" i="13" s="1"/>
  <c r="P256" i="13"/>
  <c r="AP256" i="13" s="1"/>
  <c r="AR256" i="13" s="1"/>
  <c r="AS256" i="13" s="1"/>
  <c r="AP840" i="13"/>
  <c r="AR840" i="13" s="1"/>
  <c r="AS840" i="13" s="1"/>
  <c r="P257" i="13"/>
  <c r="AP257" i="13" s="1"/>
  <c r="AR257" i="13" s="1"/>
  <c r="AS257" i="13" s="1"/>
  <c r="AP841" i="13"/>
  <c r="AR841" i="13" s="1"/>
  <c r="AS841" i="13" s="1"/>
  <c r="P258" i="13"/>
  <c r="AP258" i="13" s="1"/>
  <c r="AR258" i="13" s="1"/>
  <c r="AS258" i="13" s="1"/>
  <c r="AP842" i="13"/>
  <c r="AR842" i="13" s="1"/>
  <c r="AS842" i="13" s="1"/>
  <c r="P259" i="13"/>
  <c r="AP259" i="13" s="1"/>
  <c r="AR259" i="13" s="1"/>
  <c r="AS259" i="13" s="1"/>
  <c r="P260" i="13"/>
  <c r="AP260" i="13" s="1"/>
  <c r="AR260" i="13" s="1"/>
  <c r="AS260" i="13" s="1"/>
  <c r="AP843" i="13"/>
  <c r="AR843" i="13" s="1"/>
  <c r="AS843" i="13" s="1"/>
  <c r="AP844" i="13"/>
  <c r="AR844" i="13" s="1"/>
  <c r="AS844" i="13" s="1"/>
  <c r="P261" i="13"/>
  <c r="AP261" i="13" s="1"/>
  <c r="AR261" i="13" s="1"/>
  <c r="AS261" i="13" s="1"/>
  <c r="AP845" i="13"/>
  <c r="AR845" i="13" s="1"/>
  <c r="AS845" i="13" s="1"/>
  <c r="P262" i="13"/>
  <c r="AP262" i="13" s="1"/>
  <c r="AR262" i="13" s="1"/>
  <c r="AS262" i="13" s="1"/>
  <c r="AP847" i="13"/>
  <c r="AR847" i="13" s="1"/>
  <c r="AS847" i="13" s="1"/>
  <c r="P264" i="13"/>
  <c r="AP264" i="13" s="1"/>
  <c r="AR264" i="13" s="1"/>
  <c r="AS264" i="13" s="1"/>
  <c r="U184" i="13"/>
  <c r="AF305" i="13"/>
  <c r="AH305" i="13" s="1"/>
  <c r="AI305" i="13" s="1"/>
  <c r="N182" i="13"/>
  <c r="E182" i="13"/>
  <c r="AP304" i="13"/>
  <c r="AR304" i="13" s="1"/>
  <c r="AS304" i="13" s="1"/>
  <c r="P181" i="13"/>
  <c r="G181" i="13"/>
  <c r="E179" i="13"/>
  <c r="AF301" i="13"/>
  <c r="AH301" i="13" s="1"/>
  <c r="AI301" i="13" s="1"/>
  <c r="J177" i="13"/>
  <c r="G176" i="13"/>
  <c r="AP298" i="13"/>
  <c r="AR298" i="13" s="1"/>
  <c r="AS298" i="13" s="1"/>
  <c r="G175" i="13"/>
  <c r="K174" i="13"/>
  <c r="K173" i="13"/>
  <c r="O172" i="13"/>
  <c r="AK295" i="13"/>
  <c r="AM295" i="13" s="1"/>
  <c r="AN295" i="13" s="1"/>
  <c r="F172" i="13"/>
  <c r="AK302" i="13"/>
  <c r="AM302" i="13" s="1"/>
  <c r="AN302" i="13" s="1"/>
  <c r="O179" i="13"/>
  <c r="J180" i="13"/>
  <c r="L272" i="13"/>
  <c r="AU555" i="13"/>
  <c r="AW555" i="13" s="1"/>
  <c r="AX555" i="13" s="1"/>
  <c r="H441" i="11"/>
  <c r="AF855" i="13"/>
  <c r="AH855" i="13" s="1"/>
  <c r="AI855" i="13" s="1"/>
  <c r="L273" i="13"/>
  <c r="H273" i="13"/>
  <c r="K274" i="13"/>
  <c r="AK557" i="13"/>
  <c r="AM557" i="13" s="1"/>
  <c r="AN557" i="13" s="1"/>
  <c r="F443" i="11"/>
  <c r="K275" i="13"/>
  <c r="G278" i="13"/>
  <c r="AU862" i="13"/>
  <c r="AW862" i="13" s="1"/>
  <c r="AX862" i="13" s="1"/>
  <c r="AP482" i="13"/>
  <c r="AR482" i="13" s="1"/>
  <c r="AS482" i="13" s="1"/>
  <c r="G429" i="11"/>
  <c r="P279" i="13"/>
  <c r="AP279" i="13" s="1"/>
  <c r="AR279" i="13" s="1"/>
  <c r="AS279" i="13" s="1"/>
  <c r="AU863" i="13"/>
  <c r="AW863" i="13" s="1"/>
  <c r="AX863" i="13" s="1"/>
  <c r="AP483" i="13"/>
  <c r="AR483" i="13" s="1"/>
  <c r="AS483" i="13" s="1"/>
  <c r="G430" i="11"/>
  <c r="L281" i="13"/>
  <c r="L431" i="11"/>
  <c r="L507" i="11" s="1"/>
  <c r="U281" i="13"/>
  <c r="AF864" i="13"/>
  <c r="AH864" i="13" s="1"/>
  <c r="AI864" i="13" s="1"/>
  <c r="L282" i="13"/>
  <c r="H282" i="13"/>
  <c r="L432" i="11"/>
  <c r="L508" i="11" s="1"/>
  <c r="U282" i="13"/>
  <c r="AU565" i="13"/>
  <c r="AW565" i="13" s="1"/>
  <c r="AX565" i="13" s="1"/>
  <c r="H451" i="11"/>
  <c r="AZ567" i="13"/>
  <c r="BB567" i="13" s="1"/>
  <c r="BC567" i="13" s="1"/>
  <c r="I453" i="11"/>
  <c r="AK867" i="13"/>
  <c r="AM867" i="13" s="1"/>
  <c r="AN867" i="13" s="1"/>
  <c r="AF487" i="13"/>
  <c r="AH487" i="13" s="1"/>
  <c r="AI487" i="13" s="1"/>
  <c r="E434" i="11"/>
  <c r="AP655" i="13"/>
  <c r="AR655" i="13" s="1"/>
  <c r="AS655" i="13" s="1"/>
  <c r="AZ716" i="13"/>
  <c r="BB716" i="13" s="1"/>
  <c r="BC716" i="13" s="1"/>
  <c r="I480" i="11"/>
  <c r="AK656" i="13"/>
  <c r="AM656" i="13" s="1"/>
  <c r="AN656" i="13" s="1"/>
  <c r="AK717" i="13"/>
  <c r="AM717" i="13" s="1"/>
  <c r="AN717" i="13" s="1"/>
  <c r="F481" i="11"/>
  <c r="AK718" i="13"/>
  <c r="AM718" i="13" s="1"/>
  <c r="AN718" i="13" s="1"/>
  <c r="F482" i="11"/>
  <c r="AK719" i="13"/>
  <c r="AM719" i="13" s="1"/>
  <c r="AN719" i="13" s="1"/>
  <c r="F483" i="11"/>
  <c r="AU661" i="13"/>
  <c r="AW661" i="13" s="1"/>
  <c r="AX661" i="13" s="1"/>
  <c r="Q218" i="13"/>
  <c r="AU218" i="13" s="1"/>
  <c r="AW218" i="13" s="1"/>
  <c r="AX218" i="13" s="1"/>
  <c r="AK722" i="13"/>
  <c r="AM722" i="13" s="1"/>
  <c r="AN722" i="13" s="1"/>
  <c r="F486" i="11"/>
  <c r="F220" i="13"/>
  <c r="AK663" i="13"/>
  <c r="AM663" i="13" s="1"/>
  <c r="AN663" i="13" s="1"/>
  <c r="F221" i="13"/>
  <c r="AZ724" i="13"/>
  <c r="BB724" i="13" s="1"/>
  <c r="BC724" i="13" s="1"/>
  <c r="I488" i="11"/>
  <c r="AK664" i="13"/>
  <c r="AM664" i="13" s="1"/>
  <c r="AN664" i="13" s="1"/>
  <c r="H222" i="13"/>
  <c r="AU665" i="13"/>
  <c r="AW665" i="13" s="1"/>
  <c r="AX665" i="13" s="1"/>
  <c r="F224" i="13"/>
  <c r="AF827" i="13"/>
  <c r="AH827" i="13" s="1"/>
  <c r="AI827" i="13" s="1"/>
  <c r="N244" i="13"/>
  <c r="AF244" i="13" s="1"/>
  <c r="AH244" i="13" s="1"/>
  <c r="AI244" i="13" s="1"/>
  <c r="AF847" i="13"/>
  <c r="AH847" i="13" s="1"/>
  <c r="AI847" i="13" s="1"/>
  <c r="N264" i="13"/>
  <c r="AF264" i="13" s="1"/>
  <c r="AH264" i="13" s="1"/>
  <c r="AI264" i="13" s="1"/>
  <c r="AF304" i="13"/>
  <c r="AH304" i="13" s="1"/>
  <c r="AI304" i="13" s="1"/>
  <c r="AF299" i="13"/>
  <c r="AH299" i="13" s="1"/>
  <c r="AI299" i="13" s="1"/>
  <c r="AK555" i="13"/>
  <c r="AM555" i="13" s="1"/>
  <c r="AN555" i="13" s="1"/>
  <c r="F441" i="11"/>
  <c r="H424" i="11"/>
  <c r="AU477" i="13"/>
  <c r="AW477" i="13" s="1"/>
  <c r="AX477" i="13" s="1"/>
  <c r="Q274" i="13"/>
  <c r="AU274" i="13" s="1"/>
  <c r="AW274" i="13" s="1"/>
  <c r="AX274" i="13" s="1"/>
  <c r="AU815" i="13"/>
  <c r="AW815" i="13" s="1"/>
  <c r="AX815" i="13" s="1"/>
  <c r="Q232" i="13"/>
  <c r="AU232" i="13" s="1"/>
  <c r="AW232" i="13" s="1"/>
  <c r="AX232" i="13" s="1"/>
  <c r="AU818" i="13"/>
  <c r="AW818" i="13" s="1"/>
  <c r="AX818" i="13" s="1"/>
  <c r="Q235" i="13"/>
  <c r="AU235" i="13" s="1"/>
  <c r="AW235" i="13" s="1"/>
  <c r="AX235" i="13" s="1"/>
  <c r="AU822" i="13"/>
  <c r="AW822" i="13" s="1"/>
  <c r="AX822" i="13" s="1"/>
  <c r="Q239" i="13"/>
  <c r="AU239" i="13" s="1"/>
  <c r="AW239" i="13" s="1"/>
  <c r="AX239" i="13" s="1"/>
  <c r="AU827" i="13"/>
  <c r="AW827" i="13" s="1"/>
  <c r="AX827" i="13" s="1"/>
  <c r="Q244" i="13"/>
  <c r="AU244" i="13" s="1"/>
  <c r="AW244" i="13" s="1"/>
  <c r="AX244" i="13" s="1"/>
  <c r="AU836" i="13"/>
  <c r="AW836" i="13" s="1"/>
  <c r="AX836" i="13" s="1"/>
  <c r="Q253" i="13"/>
  <c r="AU253" i="13" s="1"/>
  <c r="AW253" i="13" s="1"/>
  <c r="AX253" i="13" s="1"/>
  <c r="AU837" i="13"/>
  <c r="AW837" i="13" s="1"/>
  <c r="AX837" i="13" s="1"/>
  <c r="Q254" i="13"/>
  <c r="AU254" i="13" s="1"/>
  <c r="AW254" i="13" s="1"/>
  <c r="AX254" i="13" s="1"/>
  <c r="AU838" i="13"/>
  <c r="AW838" i="13" s="1"/>
  <c r="AX838" i="13" s="1"/>
  <c r="Q255" i="13"/>
  <c r="AU255" i="13" s="1"/>
  <c r="AW255" i="13" s="1"/>
  <c r="AX255" i="13" s="1"/>
  <c r="AU839" i="13"/>
  <c r="AW839" i="13" s="1"/>
  <c r="AX839" i="13" s="1"/>
  <c r="Q256" i="13"/>
  <c r="AU256" i="13" s="1"/>
  <c r="AW256" i="13" s="1"/>
  <c r="AX256" i="13" s="1"/>
  <c r="AU840" i="13"/>
  <c r="AW840" i="13" s="1"/>
  <c r="AX840" i="13" s="1"/>
  <c r="Q257" i="13"/>
  <c r="AU257" i="13" s="1"/>
  <c r="AW257" i="13" s="1"/>
  <c r="AX257" i="13" s="1"/>
  <c r="AU841" i="13"/>
  <c r="AW841" i="13" s="1"/>
  <c r="AX841" i="13" s="1"/>
  <c r="Q258" i="13"/>
  <c r="AU258" i="13" s="1"/>
  <c r="AW258" i="13" s="1"/>
  <c r="AX258" i="13" s="1"/>
  <c r="AU842" i="13"/>
  <c r="AW842" i="13" s="1"/>
  <c r="AX842" i="13" s="1"/>
  <c r="Q259" i="13"/>
  <c r="AU259" i="13" s="1"/>
  <c r="AW259" i="13" s="1"/>
  <c r="AX259" i="13" s="1"/>
  <c r="AU843" i="13"/>
  <c r="AW843" i="13" s="1"/>
  <c r="AX843" i="13" s="1"/>
  <c r="Q260" i="13"/>
  <c r="AU260" i="13" s="1"/>
  <c r="AW260" i="13" s="1"/>
  <c r="AX260" i="13" s="1"/>
  <c r="AU844" i="13"/>
  <c r="AW844" i="13" s="1"/>
  <c r="AX844" i="13" s="1"/>
  <c r="Q261" i="13"/>
  <c r="AU261" i="13" s="1"/>
  <c r="AW261" i="13" s="1"/>
  <c r="AX261" i="13" s="1"/>
  <c r="I184" i="13"/>
  <c r="J182" i="13"/>
  <c r="U181" i="13"/>
  <c r="L181" i="13"/>
  <c r="J179" i="13"/>
  <c r="J178" i="13"/>
  <c r="AP300" i="13"/>
  <c r="AR300" i="13" s="1"/>
  <c r="AS300" i="13" s="1"/>
  <c r="P177" i="13"/>
  <c r="G177" i="13"/>
  <c r="L176" i="13"/>
  <c r="U175" i="13"/>
  <c r="L175" i="13"/>
  <c r="AU297" i="13"/>
  <c r="AW297" i="13" s="1"/>
  <c r="AX297" i="13" s="1"/>
  <c r="Q174" i="13"/>
  <c r="H174" i="13"/>
  <c r="AU296" i="13"/>
  <c r="AW296" i="13" s="1"/>
  <c r="AX296" i="13" s="1"/>
  <c r="Q173" i="13"/>
  <c r="H173" i="13"/>
  <c r="K172" i="13"/>
  <c r="AP303" i="13"/>
  <c r="AR303" i="13" s="1"/>
  <c r="AS303" i="13" s="1"/>
  <c r="P180" i="13"/>
  <c r="AZ555" i="13"/>
  <c r="BB555" i="13" s="1"/>
  <c r="BC555" i="13" s="1"/>
  <c r="I441" i="11"/>
  <c r="AK855" i="13"/>
  <c r="AM855" i="13" s="1"/>
  <c r="AN855" i="13" s="1"/>
  <c r="AF475" i="13"/>
  <c r="AH475" i="13" s="1"/>
  <c r="AI475" i="13" s="1"/>
  <c r="E422" i="11"/>
  <c r="AK856" i="13"/>
  <c r="AM856" i="13" s="1"/>
  <c r="AN856" i="13" s="1"/>
  <c r="AF476" i="13"/>
  <c r="AH476" i="13" s="1"/>
  <c r="AI476" i="13" s="1"/>
  <c r="E423" i="11"/>
  <c r="AP557" i="13"/>
  <c r="AR557" i="13" s="1"/>
  <c r="AS557" i="13" s="1"/>
  <c r="G443" i="11"/>
  <c r="AP558" i="13"/>
  <c r="AR558" i="13" s="1"/>
  <c r="AS558" i="13" s="1"/>
  <c r="G444" i="11"/>
  <c r="AP859" i="13"/>
  <c r="AR859" i="13" s="1"/>
  <c r="AS859" i="13" s="1"/>
  <c r="AK479" i="13"/>
  <c r="AM479" i="13" s="1"/>
  <c r="AN479" i="13" s="1"/>
  <c r="F426" i="11"/>
  <c r="AZ560" i="13"/>
  <c r="BB560" i="13" s="1"/>
  <c r="BC560" i="13" s="1"/>
  <c r="I446" i="11"/>
  <c r="AK860" i="13"/>
  <c r="AM860" i="13" s="1"/>
  <c r="AN860" i="13" s="1"/>
  <c r="AP561" i="13"/>
  <c r="AR561" i="13" s="1"/>
  <c r="AS561" i="13" s="1"/>
  <c r="G447" i="11"/>
  <c r="AZ862" i="13"/>
  <c r="BB862" i="13" s="1"/>
  <c r="BC862" i="13" s="1"/>
  <c r="H429" i="11"/>
  <c r="AU482" i="13"/>
  <c r="AW482" i="13" s="1"/>
  <c r="AX482" i="13" s="1"/>
  <c r="H430" i="11"/>
  <c r="AU483" i="13"/>
  <c r="AW483" i="13" s="1"/>
  <c r="AX483" i="13" s="1"/>
  <c r="AZ564" i="13"/>
  <c r="BB564" i="13" s="1"/>
  <c r="BC564" i="13" s="1"/>
  <c r="I450" i="11"/>
  <c r="AK864" i="13"/>
  <c r="AM864" i="13" s="1"/>
  <c r="AN864" i="13" s="1"/>
  <c r="AF484" i="13"/>
  <c r="AH484" i="13" s="1"/>
  <c r="AI484" i="13" s="1"/>
  <c r="E431" i="11"/>
  <c r="N281" i="13"/>
  <c r="AF281" i="13" s="1"/>
  <c r="AH281" i="13" s="1"/>
  <c r="AI281" i="13" s="1"/>
  <c r="AK865" i="13"/>
  <c r="AM865" i="13" s="1"/>
  <c r="AN865" i="13" s="1"/>
  <c r="H212" i="13"/>
  <c r="G213" i="13"/>
  <c r="AP656" i="13"/>
  <c r="AR656" i="13" s="1"/>
  <c r="AS656" i="13" s="1"/>
  <c r="P213" i="13"/>
  <c r="AP213" i="13" s="1"/>
  <c r="AR213" i="13" s="1"/>
  <c r="AS213" i="13" s="1"/>
  <c r="L214" i="13"/>
  <c r="U214" i="13"/>
  <c r="L215" i="13"/>
  <c r="U215" i="13"/>
  <c r="AP718" i="13"/>
  <c r="AR718" i="13" s="1"/>
  <c r="AS718" i="13" s="1"/>
  <c r="G482" i="11"/>
  <c r="L216" i="13"/>
  <c r="U216" i="13"/>
  <c r="L217" i="13"/>
  <c r="U217" i="13"/>
  <c r="AP720" i="13"/>
  <c r="AR720" i="13" s="1"/>
  <c r="AS720" i="13" s="1"/>
  <c r="G484" i="11"/>
  <c r="I218" i="13"/>
  <c r="L219" i="13"/>
  <c r="U219" i="13"/>
  <c r="AP722" i="13"/>
  <c r="AR722" i="13" s="1"/>
  <c r="AS722" i="13" s="1"/>
  <c r="G486" i="11"/>
  <c r="P220" i="13"/>
  <c r="AP220" i="13" s="1"/>
  <c r="AR220" i="13" s="1"/>
  <c r="AS220" i="13" s="1"/>
  <c r="AP663" i="13"/>
  <c r="AR663" i="13" s="1"/>
  <c r="AS663" i="13" s="1"/>
  <c r="AP664" i="13"/>
  <c r="AR664" i="13" s="1"/>
  <c r="AS664" i="13" s="1"/>
  <c r="P221" i="13"/>
  <c r="AP221" i="13" s="1"/>
  <c r="AR221" i="13" s="1"/>
  <c r="AS221" i="13" s="1"/>
  <c r="AZ665" i="13"/>
  <c r="BB665" i="13" s="1"/>
  <c r="BC665" i="13" s="1"/>
  <c r="AP667" i="13"/>
  <c r="AR667" i="13" s="1"/>
  <c r="AS667" i="13" s="1"/>
  <c r="AF823" i="13"/>
  <c r="AH823" i="13" s="1"/>
  <c r="AI823" i="13" s="1"/>
  <c r="N240" i="13"/>
  <c r="AF240" i="13" s="1"/>
  <c r="AH240" i="13" s="1"/>
  <c r="AI240" i="13" s="1"/>
  <c r="AF835" i="13"/>
  <c r="AH835" i="13" s="1"/>
  <c r="AI835" i="13" s="1"/>
  <c r="N252" i="13"/>
  <c r="AF252" i="13" s="1"/>
  <c r="AH252" i="13" s="1"/>
  <c r="AI252" i="13" s="1"/>
  <c r="AF838" i="13"/>
  <c r="AH838" i="13" s="1"/>
  <c r="AI838" i="13" s="1"/>
  <c r="N255" i="13"/>
  <c r="AF255" i="13" s="1"/>
  <c r="AH255" i="13" s="1"/>
  <c r="AI255" i="13" s="1"/>
  <c r="AF842" i="13"/>
  <c r="AH842" i="13" s="1"/>
  <c r="AI842" i="13" s="1"/>
  <c r="N259" i="13"/>
  <c r="AF259" i="13" s="1"/>
  <c r="AH259" i="13" s="1"/>
  <c r="AI259" i="13" s="1"/>
  <c r="AZ296" i="13"/>
  <c r="BB296" i="13" s="1"/>
  <c r="BC296" i="13" s="1"/>
  <c r="AZ837" i="13"/>
  <c r="BB837" i="13" s="1"/>
  <c r="BC837" i="13" s="1"/>
  <c r="R254" i="13"/>
  <c r="AZ254" i="13" s="1"/>
  <c r="BB254" i="13" s="1"/>
  <c r="BC254" i="13" s="1"/>
  <c r="R261" i="13"/>
  <c r="AZ261" i="13" s="1"/>
  <c r="BB261" i="13" s="1"/>
  <c r="BC261" i="13" s="1"/>
  <c r="AZ844" i="13"/>
  <c r="BB844" i="13" s="1"/>
  <c r="BC844" i="13" s="1"/>
  <c r="AZ845" i="13"/>
  <c r="BB845" i="13" s="1"/>
  <c r="BC845" i="13" s="1"/>
  <c r="R262" i="13"/>
  <c r="AZ262" i="13" s="1"/>
  <c r="BB262" i="13" s="1"/>
  <c r="BC262" i="13" s="1"/>
  <c r="AZ847" i="13"/>
  <c r="BB847" i="13" s="1"/>
  <c r="BC847" i="13" s="1"/>
  <c r="R264" i="13"/>
  <c r="AZ264" i="13" s="1"/>
  <c r="BB264" i="13" s="1"/>
  <c r="BC264" i="13" s="1"/>
  <c r="O184" i="13"/>
  <c r="AK307" i="13"/>
  <c r="AM307" i="13" s="1"/>
  <c r="AN307" i="13" s="1"/>
  <c r="F184" i="13"/>
  <c r="AP305" i="13"/>
  <c r="AR305" i="13" s="1"/>
  <c r="AS305" i="13" s="1"/>
  <c r="P182" i="13"/>
  <c r="AZ304" i="13"/>
  <c r="BB304" i="13" s="1"/>
  <c r="BC304" i="13" s="1"/>
  <c r="I181" i="13"/>
  <c r="G179" i="13"/>
  <c r="AP301" i="13"/>
  <c r="AR301" i="13" s="1"/>
  <c r="AS301" i="13" s="1"/>
  <c r="P178" i="13"/>
  <c r="G178" i="13"/>
  <c r="L177" i="13"/>
  <c r="AZ299" i="13"/>
  <c r="BB299" i="13" s="1"/>
  <c r="BC299" i="13" s="1"/>
  <c r="I176" i="13"/>
  <c r="AZ298" i="13"/>
  <c r="BB298" i="13" s="1"/>
  <c r="BC298" i="13" s="1"/>
  <c r="I175" i="13"/>
  <c r="AF297" i="13"/>
  <c r="AH297" i="13" s="1"/>
  <c r="AI297" i="13" s="1"/>
  <c r="E174" i="13"/>
  <c r="AF296" i="13"/>
  <c r="AH296" i="13" s="1"/>
  <c r="AI296" i="13" s="1"/>
  <c r="AU302" i="13"/>
  <c r="AW302" i="13" s="1"/>
  <c r="AX302" i="13" s="1"/>
  <c r="Q179" i="13"/>
  <c r="L180" i="13"/>
  <c r="I272" i="13"/>
  <c r="AP855" i="13"/>
  <c r="AR855" i="13" s="1"/>
  <c r="AS855" i="13" s="1"/>
  <c r="AK475" i="13"/>
  <c r="AM475" i="13" s="1"/>
  <c r="AN475" i="13" s="1"/>
  <c r="F422" i="11"/>
  <c r="O272" i="13"/>
  <c r="AK272" i="13" s="1"/>
  <c r="AM272" i="13" s="1"/>
  <c r="AN272" i="13" s="1"/>
  <c r="I273" i="13"/>
  <c r="AP856" i="13"/>
  <c r="AR856" i="13" s="1"/>
  <c r="AS856" i="13" s="1"/>
  <c r="AK476" i="13"/>
  <c r="AM476" i="13" s="1"/>
  <c r="AN476" i="13" s="1"/>
  <c r="F423" i="11"/>
  <c r="O273" i="13"/>
  <c r="AK273" i="13" s="1"/>
  <c r="AM273" i="13" s="1"/>
  <c r="AN273" i="13" s="1"/>
  <c r="L274" i="13"/>
  <c r="H274" i="13"/>
  <c r="L424" i="11"/>
  <c r="AU557" i="13"/>
  <c r="AW557" i="13" s="1"/>
  <c r="AX557" i="13" s="1"/>
  <c r="H443" i="11"/>
  <c r="L275" i="13"/>
  <c r="H275" i="13"/>
  <c r="L425" i="11"/>
  <c r="L501" i="11" s="1"/>
  <c r="U275" i="13"/>
  <c r="AU558" i="13"/>
  <c r="AW558" i="13" s="1"/>
  <c r="AX558" i="13" s="1"/>
  <c r="H444" i="11"/>
  <c r="AF858" i="13"/>
  <c r="AH858" i="13" s="1"/>
  <c r="AI858" i="13" s="1"/>
  <c r="AU859" i="13"/>
  <c r="AW859" i="13" s="1"/>
  <c r="AX859" i="13" s="1"/>
  <c r="AP479" i="13"/>
  <c r="AR479" i="13" s="1"/>
  <c r="AS479" i="13" s="1"/>
  <c r="G426" i="11"/>
  <c r="E277" i="13"/>
  <c r="L278" i="13"/>
  <c r="L428" i="11"/>
  <c r="L504" i="11" s="1"/>
  <c r="U278" i="13"/>
  <c r="AU561" i="13"/>
  <c r="AW561" i="13" s="1"/>
  <c r="AX561" i="13" s="1"/>
  <c r="H447" i="11"/>
  <c r="AF861" i="13"/>
  <c r="AH861" i="13" s="1"/>
  <c r="AI861" i="13" s="1"/>
  <c r="E448" i="11"/>
  <c r="AF562" i="13"/>
  <c r="AH562" i="13" s="1"/>
  <c r="AI562" i="13" s="1"/>
  <c r="AZ483" i="13"/>
  <c r="BB483" i="13" s="1"/>
  <c r="BC483" i="13" s="1"/>
  <c r="I430" i="11"/>
  <c r="I281" i="13"/>
  <c r="AP864" i="13"/>
  <c r="AR864" i="13" s="1"/>
  <c r="AS864" i="13" s="1"/>
  <c r="AK484" i="13"/>
  <c r="AM484" i="13" s="1"/>
  <c r="AN484" i="13" s="1"/>
  <c r="F431" i="11"/>
  <c r="O281" i="13"/>
  <c r="AK281" i="13" s="1"/>
  <c r="AM281" i="13" s="1"/>
  <c r="AN281" i="13" s="1"/>
  <c r="E282" i="13"/>
  <c r="AU867" i="13"/>
  <c r="AW867" i="13" s="1"/>
  <c r="AX867" i="13" s="1"/>
  <c r="I212" i="13"/>
  <c r="H213" i="13"/>
  <c r="AU656" i="13"/>
  <c r="AW656" i="13" s="1"/>
  <c r="AX656" i="13" s="1"/>
  <c r="E214" i="13"/>
  <c r="AU717" i="13"/>
  <c r="AW717" i="13" s="1"/>
  <c r="AX717" i="13" s="1"/>
  <c r="H481" i="11"/>
  <c r="E215" i="13"/>
  <c r="AU718" i="13"/>
  <c r="AW718" i="13" s="1"/>
  <c r="AX718" i="13" s="1"/>
  <c r="H482" i="11"/>
  <c r="AF658" i="13"/>
  <c r="AH658" i="13" s="1"/>
  <c r="AI658" i="13" s="1"/>
  <c r="N215" i="13"/>
  <c r="AF215" i="13" s="1"/>
  <c r="AH215" i="13" s="1"/>
  <c r="AI215" i="13" s="1"/>
  <c r="E216" i="13"/>
  <c r="E217" i="13"/>
  <c r="AU720" i="13"/>
  <c r="AW720" i="13" s="1"/>
  <c r="AX720" i="13" s="1"/>
  <c r="H484" i="11"/>
  <c r="J218" i="13"/>
  <c r="AF721" i="13"/>
  <c r="AH721" i="13" s="1"/>
  <c r="AI721" i="13" s="1"/>
  <c r="E485" i="11"/>
  <c r="E219" i="13"/>
  <c r="AF662" i="13"/>
  <c r="AH662" i="13" s="1"/>
  <c r="AI662" i="13" s="1"/>
  <c r="N219" i="13"/>
  <c r="AF219" i="13" s="1"/>
  <c r="AH219" i="13" s="1"/>
  <c r="AI219" i="13" s="1"/>
  <c r="H220" i="13"/>
  <c r="H221" i="13"/>
  <c r="AU664" i="13"/>
  <c r="AW664" i="13" s="1"/>
  <c r="AX664" i="13" s="1"/>
  <c r="Q221" i="13"/>
  <c r="AU221" i="13" s="1"/>
  <c r="AW221" i="13" s="1"/>
  <c r="AX221" i="13" s="1"/>
  <c r="J222" i="13"/>
  <c r="AF725" i="13"/>
  <c r="AH725" i="13" s="1"/>
  <c r="AI725" i="13" s="1"/>
  <c r="E489" i="11"/>
  <c r="AU667" i="13"/>
  <c r="AW667" i="13" s="1"/>
  <c r="AX667" i="13" s="1"/>
  <c r="Q224" i="13"/>
  <c r="AU224" i="13" s="1"/>
  <c r="AW224" i="13" s="1"/>
  <c r="AX224" i="13" s="1"/>
  <c r="AF821" i="13"/>
  <c r="AH821" i="13" s="1"/>
  <c r="AI821" i="13" s="1"/>
  <c r="N238" i="13"/>
  <c r="AF238" i="13" s="1"/>
  <c r="AH238" i="13" s="1"/>
  <c r="AI238" i="13" s="1"/>
  <c r="AF839" i="13"/>
  <c r="AH839" i="13" s="1"/>
  <c r="AI839" i="13" s="1"/>
  <c r="N256" i="13"/>
  <c r="AF256" i="13" s="1"/>
  <c r="AH256" i="13" s="1"/>
  <c r="AI256" i="13" s="1"/>
  <c r="AK304" i="13"/>
  <c r="AM304" i="13" s="1"/>
  <c r="AN304" i="13" s="1"/>
  <c r="O181" i="13"/>
  <c r="AZ300" i="13"/>
  <c r="BB300" i="13" s="1"/>
  <c r="BC300" i="13" s="1"/>
  <c r="R177" i="13"/>
  <c r="AK299" i="13"/>
  <c r="AM299" i="13" s="1"/>
  <c r="AN299" i="13" s="1"/>
  <c r="AK298" i="13"/>
  <c r="AM298" i="13" s="1"/>
  <c r="AN298" i="13" s="1"/>
  <c r="R180" i="13"/>
  <c r="AZ303" i="13"/>
  <c r="BB303" i="13" s="1"/>
  <c r="BC303" i="13" s="1"/>
  <c r="AU855" i="13"/>
  <c r="AW855" i="13" s="1"/>
  <c r="AX855" i="13" s="1"/>
  <c r="AP475" i="13"/>
  <c r="AR475" i="13" s="1"/>
  <c r="AS475" i="13" s="1"/>
  <c r="G422" i="11"/>
  <c r="P272" i="13"/>
  <c r="AP272" i="13" s="1"/>
  <c r="AR272" i="13" s="1"/>
  <c r="AS272" i="13" s="1"/>
  <c r="AU856" i="13"/>
  <c r="AW856" i="13" s="1"/>
  <c r="AX856" i="13" s="1"/>
  <c r="AK857" i="13"/>
  <c r="AM857" i="13" s="1"/>
  <c r="AN857" i="13" s="1"/>
  <c r="AK858" i="13"/>
  <c r="AM858" i="13" s="1"/>
  <c r="AN858" i="13" s="1"/>
  <c r="AF478" i="13"/>
  <c r="AH478" i="13" s="1"/>
  <c r="AI478" i="13" s="1"/>
  <c r="E425" i="11"/>
  <c r="N275" i="13"/>
  <c r="AF275" i="13" s="1"/>
  <c r="AH275" i="13" s="1"/>
  <c r="AI275" i="13" s="1"/>
  <c r="J276" i="13"/>
  <c r="AU860" i="13"/>
  <c r="AW860" i="13" s="1"/>
  <c r="AX860" i="13" s="1"/>
  <c r="AP480" i="13"/>
  <c r="AR480" i="13" s="1"/>
  <c r="AS480" i="13" s="1"/>
  <c r="G427" i="11"/>
  <c r="P277" i="13"/>
  <c r="AP277" i="13" s="1"/>
  <c r="AR277" i="13" s="1"/>
  <c r="AS277" i="13" s="1"/>
  <c r="AK861" i="13"/>
  <c r="AM861" i="13" s="1"/>
  <c r="AN861" i="13" s="1"/>
  <c r="AF481" i="13"/>
  <c r="AH481" i="13" s="1"/>
  <c r="AI481" i="13" s="1"/>
  <c r="E428" i="11"/>
  <c r="N278" i="13"/>
  <c r="AF278" i="13" s="1"/>
  <c r="AH278" i="13" s="1"/>
  <c r="AI278" i="13" s="1"/>
  <c r="K279" i="13"/>
  <c r="AK562" i="13"/>
  <c r="AM562" i="13" s="1"/>
  <c r="AN562" i="13" s="1"/>
  <c r="F448" i="11"/>
  <c r="AK563" i="13"/>
  <c r="AM563" i="13" s="1"/>
  <c r="AN563" i="13" s="1"/>
  <c r="F449" i="11"/>
  <c r="AU864" i="13"/>
  <c r="AW864" i="13" s="1"/>
  <c r="AX864" i="13" s="1"/>
  <c r="AP484" i="13"/>
  <c r="AR484" i="13" s="1"/>
  <c r="AS484" i="13" s="1"/>
  <c r="G431" i="11"/>
  <c r="AU865" i="13"/>
  <c r="AW865" i="13" s="1"/>
  <c r="AX865" i="13" s="1"/>
  <c r="AP485" i="13"/>
  <c r="AR485" i="13" s="1"/>
  <c r="AS485" i="13" s="1"/>
  <c r="G432" i="11"/>
  <c r="P282" i="13"/>
  <c r="AP282" i="13" s="1"/>
  <c r="AR282" i="13" s="1"/>
  <c r="AS282" i="13" s="1"/>
  <c r="J284" i="13"/>
  <c r="F284" i="13"/>
  <c r="AZ867" i="13"/>
  <c r="BB867" i="13" s="1"/>
  <c r="BC867" i="13" s="1"/>
  <c r="J212" i="13"/>
  <c r="I213" i="13"/>
  <c r="F214" i="13"/>
  <c r="AK657" i="13"/>
  <c r="AM657" i="13" s="1"/>
  <c r="AN657" i="13" s="1"/>
  <c r="F215" i="13"/>
  <c r="F216" i="13"/>
  <c r="F217" i="13"/>
  <c r="K218" i="13"/>
  <c r="F219" i="13"/>
  <c r="I220" i="13"/>
  <c r="I221" i="13"/>
  <c r="K222" i="13"/>
  <c r="AZ667" i="13"/>
  <c r="BB667" i="13" s="1"/>
  <c r="BC667" i="13" s="1"/>
  <c r="R224" i="13"/>
  <c r="AZ224" i="13" s="1"/>
  <c r="BB224" i="13" s="1"/>
  <c r="BC224" i="13" s="1"/>
  <c r="AF825" i="13"/>
  <c r="AH825" i="13" s="1"/>
  <c r="AI825" i="13" s="1"/>
  <c r="N242" i="13"/>
  <c r="AF242" i="13" s="1"/>
  <c r="AH242" i="13" s="1"/>
  <c r="AI242" i="13" s="1"/>
  <c r="AF837" i="13"/>
  <c r="AH837" i="13" s="1"/>
  <c r="AI837" i="13" s="1"/>
  <c r="N254" i="13"/>
  <c r="AF254" i="13" s="1"/>
  <c r="AH254" i="13" s="1"/>
  <c r="AI254" i="13" s="1"/>
  <c r="AF840" i="13"/>
  <c r="AH840" i="13" s="1"/>
  <c r="AI840" i="13" s="1"/>
  <c r="N257" i="13"/>
  <c r="AF257" i="13" s="1"/>
  <c r="AH257" i="13" s="1"/>
  <c r="AI257" i="13" s="1"/>
  <c r="AF843" i="13"/>
  <c r="AH843" i="13" s="1"/>
  <c r="AI843" i="13" s="1"/>
  <c r="N260" i="13"/>
  <c r="AF260" i="13" s="1"/>
  <c r="AH260" i="13" s="1"/>
  <c r="AI260" i="13" s="1"/>
  <c r="AU307" i="13"/>
  <c r="AW307" i="13" s="1"/>
  <c r="AX307" i="13" s="1"/>
  <c r="Q184" i="13"/>
  <c r="AZ305" i="13"/>
  <c r="BB305" i="13" s="1"/>
  <c r="BC305" i="13" s="1"/>
  <c r="I182" i="13"/>
  <c r="K181" i="13"/>
  <c r="I179" i="13"/>
  <c r="AZ301" i="13"/>
  <c r="BB301" i="13" s="1"/>
  <c r="BC301" i="13" s="1"/>
  <c r="R178" i="13"/>
  <c r="I178" i="13"/>
  <c r="AK300" i="13"/>
  <c r="AM300" i="13" s="1"/>
  <c r="AN300" i="13" s="1"/>
  <c r="K176" i="13"/>
  <c r="J172" i="13"/>
  <c r="F180" i="13"/>
  <c r="J272" i="13"/>
  <c r="H422" i="11"/>
  <c r="AU475" i="13"/>
  <c r="AW475" i="13" s="1"/>
  <c r="AX475" i="13" s="1"/>
  <c r="Q272" i="13"/>
  <c r="AU272" i="13" s="1"/>
  <c r="AW272" i="13" s="1"/>
  <c r="AX272" i="13" s="1"/>
  <c r="J273" i="13"/>
  <c r="H423" i="11"/>
  <c r="AU476" i="13"/>
  <c r="AW476" i="13" s="1"/>
  <c r="AX476" i="13" s="1"/>
  <c r="I274" i="13"/>
  <c r="AP857" i="13"/>
  <c r="AR857" i="13" s="1"/>
  <c r="AS857" i="13" s="1"/>
  <c r="AK477" i="13"/>
  <c r="AM477" i="13" s="1"/>
  <c r="AN477" i="13" s="1"/>
  <c r="F424" i="11"/>
  <c r="O274" i="13"/>
  <c r="AK274" i="13" s="1"/>
  <c r="AM274" i="13" s="1"/>
  <c r="AN274" i="13" s="1"/>
  <c r="I275" i="13"/>
  <c r="AP858" i="13"/>
  <c r="AR858" i="13" s="1"/>
  <c r="AS858" i="13" s="1"/>
  <c r="AK478" i="13"/>
  <c r="AM478" i="13" s="1"/>
  <c r="AN478" i="13" s="1"/>
  <c r="F425" i="11"/>
  <c r="J277" i="13"/>
  <c r="F277" i="13"/>
  <c r="I278" i="13"/>
  <c r="E278" i="13"/>
  <c r="AP861" i="13"/>
  <c r="AR861" i="13" s="1"/>
  <c r="AS861" i="13" s="1"/>
  <c r="F428" i="11"/>
  <c r="AK481" i="13"/>
  <c r="AM481" i="13" s="1"/>
  <c r="AN481" i="13" s="1"/>
  <c r="AP562" i="13"/>
  <c r="AR562" i="13" s="1"/>
  <c r="AS562" i="13" s="1"/>
  <c r="G448" i="11"/>
  <c r="J281" i="13"/>
  <c r="F281" i="13"/>
  <c r="F282" i="13"/>
  <c r="H432" i="11"/>
  <c r="AU485" i="13"/>
  <c r="AW485" i="13" s="1"/>
  <c r="AX485" i="13" s="1"/>
  <c r="Q282" i="13"/>
  <c r="AU282" i="13" s="1"/>
  <c r="AW282" i="13" s="1"/>
  <c r="AX282" i="13" s="1"/>
  <c r="AZ487" i="13"/>
  <c r="BB487" i="13" s="1"/>
  <c r="BC487" i="13" s="1"/>
  <c r="I434" i="11"/>
  <c r="AF567" i="13"/>
  <c r="AH567" i="13" s="1"/>
  <c r="AI567" i="13" s="1"/>
  <c r="E453" i="11"/>
  <c r="AK715" i="13"/>
  <c r="AM715" i="13" s="1"/>
  <c r="AN715" i="13" s="1"/>
  <c r="F479" i="11"/>
  <c r="AF716" i="13"/>
  <c r="AH716" i="13" s="1"/>
  <c r="AI716" i="13" s="1"/>
  <c r="E480" i="11"/>
  <c r="AP657" i="13"/>
  <c r="AR657" i="13" s="1"/>
  <c r="AS657" i="13" s="1"/>
  <c r="G215" i="13"/>
  <c r="AP658" i="13"/>
  <c r="AR658" i="13" s="1"/>
  <c r="AS658" i="13" s="1"/>
  <c r="AP659" i="13"/>
  <c r="AR659" i="13" s="1"/>
  <c r="AS659" i="13" s="1"/>
  <c r="AP660" i="13"/>
  <c r="AR660" i="13" s="1"/>
  <c r="AS660" i="13" s="1"/>
  <c r="AP721" i="13"/>
  <c r="AR721" i="13" s="1"/>
  <c r="AS721" i="13" s="1"/>
  <c r="G485" i="11"/>
  <c r="AP662" i="13"/>
  <c r="AR662" i="13" s="1"/>
  <c r="AS662" i="13" s="1"/>
  <c r="AF723" i="13"/>
  <c r="AH723" i="13" s="1"/>
  <c r="AI723" i="13" s="1"/>
  <c r="E487" i="11"/>
  <c r="AF724" i="13"/>
  <c r="AH724" i="13" s="1"/>
  <c r="AI724" i="13" s="1"/>
  <c r="E488" i="11"/>
  <c r="AP725" i="13"/>
  <c r="AR725" i="13" s="1"/>
  <c r="AS725" i="13" s="1"/>
  <c r="G489" i="11"/>
  <c r="J224" i="13"/>
  <c r="AF824" i="13"/>
  <c r="AH824" i="13" s="1"/>
  <c r="AI824" i="13" s="1"/>
  <c r="N241" i="13"/>
  <c r="AF241" i="13" s="1"/>
  <c r="AH241" i="13" s="1"/>
  <c r="AI241" i="13" s="1"/>
  <c r="AF844" i="13"/>
  <c r="AH844" i="13" s="1"/>
  <c r="AI844" i="13" s="1"/>
  <c r="N261" i="13"/>
  <c r="AF261" i="13" s="1"/>
  <c r="AH261" i="13" s="1"/>
  <c r="AI261" i="13" s="1"/>
  <c r="AU303" i="13"/>
  <c r="AW303" i="13" s="1"/>
  <c r="AX303" i="13" s="1"/>
  <c r="Q180" i="13"/>
  <c r="AK556" i="13"/>
  <c r="AM556" i="13" s="1"/>
  <c r="AN556" i="13" s="1"/>
  <c r="F442" i="11"/>
  <c r="AZ857" i="13"/>
  <c r="BB857" i="13" s="1"/>
  <c r="BC857" i="13" s="1"/>
  <c r="N184" i="13"/>
  <c r="AF307" i="13"/>
  <c r="AH307" i="13" s="1"/>
  <c r="AI307" i="13" s="1"/>
  <c r="AK305" i="13"/>
  <c r="AM305" i="13" s="1"/>
  <c r="AN305" i="13" s="1"/>
  <c r="O182" i="13"/>
  <c r="AU304" i="13"/>
  <c r="AW304" i="13" s="1"/>
  <c r="AX304" i="13" s="1"/>
  <c r="Q181" i="13"/>
  <c r="AK301" i="13"/>
  <c r="AM301" i="13" s="1"/>
  <c r="AN301" i="13" s="1"/>
  <c r="AU298" i="13"/>
  <c r="AW298" i="13" s="1"/>
  <c r="AX298" i="13" s="1"/>
  <c r="Q175" i="13"/>
  <c r="H175" i="13"/>
  <c r="L174" i="13"/>
  <c r="U173" i="13"/>
  <c r="L173" i="13"/>
  <c r="G172" i="13"/>
  <c r="AP302" i="13"/>
  <c r="AR302" i="13" s="1"/>
  <c r="AS302" i="13" s="1"/>
  <c r="P179" i="13"/>
  <c r="K180" i="13"/>
  <c r="I423" i="11"/>
  <c r="AZ476" i="13"/>
  <c r="BB476" i="13" s="1"/>
  <c r="BC476" i="13" s="1"/>
  <c r="K276" i="13"/>
  <c r="G276" i="13"/>
  <c r="H279" i="13"/>
  <c r="L280" i="13"/>
  <c r="H280" i="13"/>
  <c r="L430" i="11"/>
  <c r="AU563" i="13"/>
  <c r="AW563" i="13" s="1"/>
  <c r="AX563" i="13" s="1"/>
  <c r="H449" i="11"/>
  <c r="I431" i="11"/>
  <c r="AZ484" i="13"/>
  <c r="BB484" i="13" s="1"/>
  <c r="BC484" i="13" s="1"/>
  <c r="R281" i="13"/>
  <c r="AZ281" i="13" s="1"/>
  <c r="BB281" i="13" s="1"/>
  <c r="BC281" i="13" s="1"/>
  <c r="AF564" i="13"/>
  <c r="AH564" i="13" s="1"/>
  <c r="AI564" i="13" s="1"/>
  <c r="E450" i="11"/>
  <c r="AF565" i="13"/>
  <c r="AH565" i="13" s="1"/>
  <c r="AI565" i="13" s="1"/>
  <c r="E451" i="11"/>
  <c r="K284" i="13"/>
  <c r="AK567" i="13"/>
  <c r="AM567" i="13" s="1"/>
  <c r="AN567" i="13" s="1"/>
  <c r="F453" i="11"/>
  <c r="AP715" i="13"/>
  <c r="AR715" i="13" s="1"/>
  <c r="AS715" i="13" s="1"/>
  <c r="G479" i="11"/>
  <c r="AK716" i="13"/>
  <c r="AM716" i="13" s="1"/>
  <c r="AN716" i="13" s="1"/>
  <c r="F480" i="11"/>
  <c r="H214" i="13"/>
  <c r="AU657" i="13"/>
  <c r="AW657" i="13" s="1"/>
  <c r="AX657" i="13" s="1"/>
  <c r="H215" i="13"/>
  <c r="AU658" i="13"/>
  <c r="AW658" i="13" s="1"/>
  <c r="AX658" i="13" s="1"/>
  <c r="H216" i="13"/>
  <c r="AU659" i="13"/>
  <c r="AW659" i="13" s="1"/>
  <c r="AX659" i="13" s="1"/>
  <c r="H217" i="13"/>
  <c r="AU660" i="13"/>
  <c r="AW660" i="13" s="1"/>
  <c r="AX660" i="13" s="1"/>
  <c r="E218" i="13"/>
  <c r="AU721" i="13"/>
  <c r="AW721" i="13" s="1"/>
  <c r="AX721" i="13" s="1"/>
  <c r="H485" i="11"/>
  <c r="H219" i="13"/>
  <c r="K220" i="13"/>
  <c r="AK723" i="13"/>
  <c r="AM723" i="13" s="1"/>
  <c r="AN723" i="13" s="1"/>
  <c r="F487" i="11"/>
  <c r="K221" i="13"/>
  <c r="AK724" i="13"/>
  <c r="AM724" i="13" s="1"/>
  <c r="AN724" i="13" s="1"/>
  <c r="F488" i="11"/>
  <c r="E222" i="13"/>
  <c r="AU725" i="13"/>
  <c r="AW725" i="13" s="1"/>
  <c r="AX725" i="13" s="1"/>
  <c r="H489" i="11"/>
  <c r="K224" i="13"/>
  <c r="AP559" i="13"/>
  <c r="AR559" i="13" s="1"/>
  <c r="AS559" i="13" s="1"/>
  <c r="G445" i="11"/>
  <c r="AK560" i="13"/>
  <c r="AM560" i="13" s="1"/>
  <c r="AN560" i="13" s="1"/>
  <c r="F446" i="11"/>
  <c r="AZ861" i="13"/>
  <c r="BB861" i="13" s="1"/>
  <c r="BC861" i="13" s="1"/>
  <c r="H428" i="11"/>
  <c r="AU481" i="13"/>
  <c r="AW481" i="13" s="1"/>
  <c r="AX481" i="13" s="1"/>
  <c r="Q278" i="13"/>
  <c r="AU278" i="13" s="1"/>
  <c r="AW278" i="13" s="1"/>
  <c r="AX278" i="13" s="1"/>
  <c r="AK862" i="13"/>
  <c r="AM862" i="13" s="1"/>
  <c r="AN862" i="13" s="1"/>
  <c r="AZ563" i="13"/>
  <c r="BB563" i="13" s="1"/>
  <c r="BC563" i="13" s="1"/>
  <c r="I449" i="11"/>
  <c r="G281" i="13"/>
  <c r="AK564" i="13"/>
  <c r="AM564" i="13" s="1"/>
  <c r="AN564" i="13" s="1"/>
  <c r="F450" i="11"/>
  <c r="K282" i="13"/>
  <c r="AP567" i="13"/>
  <c r="AR567" i="13" s="1"/>
  <c r="AS567" i="13" s="1"/>
  <c r="G453" i="11"/>
  <c r="AU715" i="13"/>
  <c r="AW715" i="13" s="1"/>
  <c r="AX715" i="13" s="1"/>
  <c r="H479" i="11"/>
  <c r="F218" i="13"/>
  <c r="AZ721" i="13"/>
  <c r="BB721" i="13" s="1"/>
  <c r="BC721" i="13" s="1"/>
  <c r="I485" i="11"/>
  <c r="AK661" i="13"/>
  <c r="AM661" i="13" s="1"/>
  <c r="AN661" i="13" s="1"/>
  <c r="O218" i="13"/>
  <c r="AK218" i="13" s="1"/>
  <c r="AM218" i="13" s="1"/>
  <c r="AN218" i="13" s="1"/>
  <c r="I219" i="13"/>
  <c r="AZ662" i="13"/>
  <c r="BB662" i="13" s="1"/>
  <c r="BC662" i="13" s="1"/>
  <c r="L220" i="13"/>
  <c r="AP723" i="13"/>
  <c r="AR723" i="13" s="1"/>
  <c r="AS723" i="13" s="1"/>
  <c r="G487" i="11"/>
  <c r="L221" i="13"/>
  <c r="U221" i="13"/>
  <c r="F222" i="13"/>
  <c r="AZ725" i="13"/>
  <c r="BB725" i="13" s="1"/>
  <c r="BC725" i="13" s="1"/>
  <c r="I489" i="11"/>
  <c r="AK665" i="13"/>
  <c r="AM665" i="13" s="1"/>
  <c r="AN665" i="13" s="1"/>
  <c r="O222" i="13"/>
  <c r="AK222" i="13" s="1"/>
  <c r="AM222" i="13" s="1"/>
  <c r="AN222" i="13" s="1"/>
  <c r="AP727" i="13"/>
  <c r="AR727" i="13" s="1"/>
  <c r="AS727" i="13" s="1"/>
  <c r="G491" i="11"/>
  <c r="AF820" i="13"/>
  <c r="AH820" i="13" s="1"/>
  <c r="AI820" i="13" s="1"/>
  <c r="N237" i="13"/>
  <c r="AF237" i="13" s="1"/>
  <c r="AH237" i="13" s="1"/>
  <c r="AI237" i="13" s="1"/>
  <c r="AF841" i="13"/>
  <c r="AH841" i="13" s="1"/>
  <c r="AI841" i="13" s="1"/>
  <c r="N258" i="13"/>
  <c r="AF258" i="13" s="1"/>
  <c r="AH258" i="13" s="1"/>
  <c r="AI258" i="13" s="1"/>
  <c r="AK818" i="13"/>
  <c r="AM818" i="13" s="1"/>
  <c r="AN818" i="13" s="1"/>
  <c r="O235" i="13"/>
  <c r="AK235" i="13" s="1"/>
  <c r="AM235" i="13" s="1"/>
  <c r="AN235" i="13" s="1"/>
  <c r="AK819" i="13"/>
  <c r="AM819" i="13" s="1"/>
  <c r="AN819" i="13" s="1"/>
  <c r="O236" i="13"/>
  <c r="AK236" i="13" s="1"/>
  <c r="AM236" i="13" s="1"/>
  <c r="AN236" i="13" s="1"/>
  <c r="AK822" i="13"/>
  <c r="AM822" i="13" s="1"/>
  <c r="AN822" i="13" s="1"/>
  <c r="O239" i="13"/>
  <c r="AK239" i="13" s="1"/>
  <c r="AM239" i="13" s="1"/>
  <c r="AN239" i="13" s="1"/>
  <c r="AK823" i="13"/>
  <c r="AM823" i="13" s="1"/>
  <c r="AN823" i="13" s="1"/>
  <c r="O240" i="13"/>
  <c r="AK240" i="13" s="1"/>
  <c r="AM240" i="13" s="1"/>
  <c r="AN240" i="13" s="1"/>
  <c r="AK825" i="13"/>
  <c r="AM825" i="13" s="1"/>
  <c r="AN825" i="13" s="1"/>
  <c r="O242" i="13"/>
  <c r="AK242" i="13" s="1"/>
  <c r="AM242" i="13" s="1"/>
  <c r="AN242" i="13" s="1"/>
  <c r="AK839" i="13"/>
  <c r="AM839" i="13" s="1"/>
  <c r="AN839" i="13" s="1"/>
  <c r="O256" i="13"/>
  <c r="AK256" i="13" s="1"/>
  <c r="AM256" i="13" s="1"/>
  <c r="AN256" i="13" s="1"/>
  <c r="AK841" i="13"/>
  <c r="AM841" i="13" s="1"/>
  <c r="AN841" i="13" s="1"/>
  <c r="O258" i="13"/>
  <c r="AK258" i="13" s="1"/>
  <c r="AM258" i="13" s="1"/>
  <c r="AN258" i="13" s="1"/>
  <c r="AK843" i="13"/>
  <c r="AM843" i="13" s="1"/>
  <c r="AN843" i="13" s="1"/>
  <c r="O260" i="13"/>
  <c r="AK260" i="13" s="1"/>
  <c r="AM260" i="13" s="1"/>
  <c r="AN260" i="13" s="1"/>
  <c r="AK844" i="13"/>
  <c r="AM844" i="13" s="1"/>
  <c r="AN844" i="13" s="1"/>
  <c r="O261" i="13"/>
  <c r="AK261" i="13" s="1"/>
  <c r="AM261" i="13" s="1"/>
  <c r="AN261" i="13" s="1"/>
  <c r="AK845" i="13"/>
  <c r="AM845" i="13" s="1"/>
  <c r="AN845" i="13" s="1"/>
  <c r="O262" i="13"/>
  <c r="AK262" i="13" s="1"/>
  <c r="AM262" i="13" s="1"/>
  <c r="AN262" i="13" s="1"/>
  <c r="AK847" i="13"/>
  <c r="AM847" i="13" s="1"/>
  <c r="AN847" i="13" s="1"/>
  <c r="O264" i="13"/>
  <c r="AK264" i="13" s="1"/>
  <c r="AM264" i="13" s="1"/>
  <c r="AN264" i="13" s="1"/>
  <c r="AP307" i="13"/>
  <c r="AR307" i="13" s="1"/>
  <c r="AS307" i="13" s="1"/>
  <c r="P184" i="13"/>
  <c r="G184" i="13"/>
  <c r="AU305" i="13"/>
  <c r="AW305" i="13" s="1"/>
  <c r="AX305" i="13" s="1"/>
  <c r="H182" i="13"/>
  <c r="AU301" i="13"/>
  <c r="AW301" i="13" s="1"/>
  <c r="AX301" i="13" s="1"/>
  <c r="E178" i="13"/>
  <c r="AF300" i="13"/>
  <c r="AH300" i="13" s="1"/>
  <c r="AI300" i="13" s="1"/>
  <c r="E177" i="13"/>
  <c r="J176" i="13"/>
  <c r="J175" i="13"/>
  <c r="AK297" i="13"/>
  <c r="AM297" i="13" s="1"/>
  <c r="AN297" i="13" s="1"/>
  <c r="F174" i="13"/>
  <c r="AK296" i="13"/>
  <c r="AM296" i="13" s="1"/>
  <c r="AN296" i="13" s="1"/>
  <c r="F173" i="13"/>
  <c r="AZ295" i="13"/>
  <c r="BB295" i="13" s="1"/>
  <c r="BC295" i="13" s="1"/>
  <c r="AZ302" i="13"/>
  <c r="BB302" i="13" s="1"/>
  <c r="BC302" i="13" s="1"/>
  <c r="N180" i="13"/>
  <c r="AF303" i="13"/>
  <c r="AH303" i="13" s="1"/>
  <c r="AI303" i="13" s="1"/>
  <c r="E180" i="13"/>
  <c r="G441" i="11"/>
  <c r="AP555" i="13"/>
  <c r="AR555" i="13" s="1"/>
  <c r="AS555" i="13" s="1"/>
  <c r="AP556" i="13"/>
  <c r="AR556" i="13" s="1"/>
  <c r="AS556" i="13" s="1"/>
  <c r="G442" i="11"/>
  <c r="AZ477" i="13"/>
  <c r="BB477" i="13" s="1"/>
  <c r="BC477" i="13" s="1"/>
  <c r="I424" i="11"/>
  <c r="AF557" i="13"/>
  <c r="AH557" i="13" s="1"/>
  <c r="AI557" i="13" s="1"/>
  <c r="E443" i="11"/>
  <c r="AF558" i="13"/>
  <c r="AH558" i="13" s="1"/>
  <c r="AI558" i="13" s="1"/>
  <c r="E444" i="11"/>
  <c r="L276" i="13"/>
  <c r="H276" i="13"/>
  <c r="L426" i="11"/>
  <c r="AU559" i="13"/>
  <c r="AW559" i="13" s="1"/>
  <c r="AX559" i="13" s="1"/>
  <c r="H445" i="11"/>
  <c r="AF859" i="13"/>
  <c r="AH859" i="13" s="1"/>
  <c r="AI859" i="13" s="1"/>
  <c r="AP560" i="13"/>
  <c r="AR560" i="13" s="1"/>
  <c r="AS560" i="13" s="1"/>
  <c r="G446" i="11"/>
  <c r="AZ481" i="13"/>
  <c r="BB481" i="13" s="1"/>
  <c r="BC481" i="13" s="1"/>
  <c r="I428" i="11"/>
  <c r="AF561" i="13"/>
  <c r="AH561" i="13" s="1"/>
  <c r="AI561" i="13" s="1"/>
  <c r="E447" i="11"/>
  <c r="AP862" i="13"/>
  <c r="AR862" i="13" s="1"/>
  <c r="AS862" i="13" s="1"/>
  <c r="AK482" i="13"/>
  <c r="AM482" i="13" s="1"/>
  <c r="AN482" i="13" s="1"/>
  <c r="F429" i="11"/>
  <c r="O279" i="13"/>
  <c r="AK279" i="13" s="1"/>
  <c r="AM279" i="13" s="1"/>
  <c r="AN279" i="13" s="1"/>
  <c r="AP863" i="13"/>
  <c r="AR863" i="13" s="1"/>
  <c r="AS863" i="13" s="1"/>
  <c r="AK483" i="13"/>
  <c r="AM483" i="13" s="1"/>
  <c r="AN483" i="13" s="1"/>
  <c r="F430" i="11"/>
  <c r="O280" i="13"/>
  <c r="AK280" i="13" s="1"/>
  <c r="AM280" i="13" s="1"/>
  <c r="AN280" i="13" s="1"/>
  <c r="AP564" i="13"/>
  <c r="AR564" i="13" s="1"/>
  <c r="AS564" i="13" s="1"/>
  <c r="G450" i="11"/>
  <c r="AP565" i="13"/>
  <c r="AR565" i="13" s="1"/>
  <c r="AS565" i="13" s="1"/>
  <c r="G451" i="11"/>
  <c r="L284" i="13"/>
  <c r="H284" i="13"/>
  <c r="L434" i="11"/>
  <c r="L510" i="11" s="1"/>
  <c r="U284" i="13"/>
  <c r="AF867" i="13"/>
  <c r="AH867" i="13" s="1"/>
  <c r="AI867" i="13" s="1"/>
  <c r="F212" i="13"/>
  <c r="AZ715" i="13"/>
  <c r="BB715" i="13" s="1"/>
  <c r="BC715" i="13" s="1"/>
  <c r="I479" i="11"/>
  <c r="AK655" i="13"/>
  <c r="AM655" i="13" s="1"/>
  <c r="AN655" i="13" s="1"/>
  <c r="E213" i="13"/>
  <c r="AU716" i="13"/>
  <c r="AW716" i="13" s="1"/>
  <c r="AX716" i="13" s="1"/>
  <c r="H480" i="11"/>
  <c r="AF656" i="13"/>
  <c r="AH656" i="13" s="1"/>
  <c r="AI656" i="13" s="1"/>
  <c r="J214" i="13"/>
  <c r="AF717" i="13"/>
  <c r="AH717" i="13" s="1"/>
  <c r="AI717" i="13" s="1"/>
  <c r="E481" i="11"/>
  <c r="J215" i="13"/>
  <c r="AF718" i="13"/>
  <c r="AH718" i="13" s="1"/>
  <c r="AI718" i="13" s="1"/>
  <c r="E482" i="11"/>
  <c r="J216" i="13"/>
  <c r="AF719" i="13"/>
  <c r="AH719" i="13" s="1"/>
  <c r="AI719" i="13" s="1"/>
  <c r="E483" i="11"/>
  <c r="J217" i="13"/>
  <c r="AF720" i="13"/>
  <c r="AH720" i="13" s="1"/>
  <c r="AI720" i="13" s="1"/>
  <c r="E484" i="11"/>
  <c r="G218" i="13"/>
  <c r="AP661" i="13"/>
  <c r="AR661" i="13" s="1"/>
  <c r="AS661" i="13" s="1"/>
  <c r="J219" i="13"/>
  <c r="AF722" i="13"/>
  <c r="AH722" i="13" s="1"/>
  <c r="AI722" i="13" s="1"/>
  <c r="E486" i="11"/>
  <c r="E220" i="13"/>
  <c r="AF663" i="13"/>
  <c r="AH663" i="13" s="1"/>
  <c r="AI663" i="13" s="1"/>
  <c r="E221" i="13"/>
  <c r="AU724" i="13"/>
  <c r="AW724" i="13" s="1"/>
  <c r="AX724" i="13" s="1"/>
  <c r="H488" i="11"/>
  <c r="G222" i="13"/>
  <c r="AP665" i="13"/>
  <c r="AR665" i="13" s="1"/>
  <c r="AS665" i="13" s="1"/>
  <c r="E224" i="13"/>
  <c r="AU727" i="13"/>
  <c r="AW727" i="13" s="1"/>
  <c r="AX727" i="13" s="1"/>
  <c r="H491" i="11"/>
  <c r="AF667" i="13"/>
  <c r="AH667" i="13" s="1"/>
  <c r="AI667" i="13" s="1"/>
  <c r="AF455" i="13"/>
  <c r="AH455" i="13" s="1"/>
  <c r="AI455" i="13" s="1"/>
  <c r="BJ775" i="13"/>
  <c r="BL775" i="13" s="1"/>
  <c r="BM775" i="13" s="1"/>
  <c r="BJ776" i="13"/>
  <c r="BL776" i="13" s="1"/>
  <c r="BM776" i="13" s="1"/>
  <c r="BJ778" i="13"/>
  <c r="BL778" i="13" s="1"/>
  <c r="BM778" i="13" s="1"/>
  <c r="BJ779" i="13"/>
  <c r="BL779" i="13" s="1"/>
  <c r="BM779" i="13" s="1"/>
  <c r="BJ780" i="13"/>
  <c r="BL780" i="13" s="1"/>
  <c r="BM780" i="13" s="1"/>
  <c r="BJ783" i="13"/>
  <c r="BL783" i="13" s="1"/>
  <c r="BM783" i="13" s="1"/>
  <c r="BJ784" i="13"/>
  <c r="BL784" i="13" s="1"/>
  <c r="BM784" i="13" s="1"/>
  <c r="BJ785" i="13"/>
  <c r="BL785" i="13" s="1"/>
  <c r="BM785" i="13" s="1"/>
  <c r="BJ787" i="13"/>
  <c r="BL787" i="13" s="1"/>
  <c r="BM787" i="13" s="1"/>
  <c r="BJ635" i="13"/>
  <c r="BL635" i="13" s="1"/>
  <c r="BM635" i="13" s="1"/>
  <c r="BJ615" i="13"/>
  <c r="BL615" i="13" s="1"/>
  <c r="BM615" i="13" s="1"/>
  <c r="BJ595" i="13"/>
  <c r="BL595" i="13" s="1"/>
  <c r="BM595" i="13" s="1"/>
  <c r="BJ495" i="13"/>
  <c r="BL495" i="13" s="1"/>
  <c r="BM495" i="13" s="1"/>
  <c r="BJ455" i="13"/>
  <c r="BL455" i="13" s="1"/>
  <c r="BM455" i="13" s="1"/>
  <c r="BJ355" i="13"/>
  <c r="BL355" i="13" s="1"/>
  <c r="BM355" i="13" s="1"/>
  <c r="BJ636" i="13"/>
  <c r="BL636" i="13" s="1"/>
  <c r="BM636" i="13" s="1"/>
  <c r="BJ616" i="13"/>
  <c r="BL616" i="13" s="1"/>
  <c r="BM616" i="13" s="1"/>
  <c r="BJ536" i="13"/>
  <c r="BL536" i="13" s="1"/>
  <c r="BM536" i="13" s="1"/>
  <c r="BJ456" i="13"/>
  <c r="BL456" i="13" s="1"/>
  <c r="BM456" i="13" s="1"/>
  <c r="BJ356" i="13"/>
  <c r="BL356" i="13" s="1"/>
  <c r="BM356" i="13" s="1"/>
  <c r="BJ637" i="13"/>
  <c r="BL637" i="13" s="1"/>
  <c r="BM637" i="13" s="1"/>
  <c r="BJ597" i="13"/>
  <c r="BL597" i="13" s="1"/>
  <c r="BM597" i="13" s="1"/>
  <c r="BJ497" i="13"/>
  <c r="BL497" i="13" s="1"/>
  <c r="BM497" i="13" s="1"/>
  <c r="BJ457" i="13"/>
  <c r="BL457" i="13" s="1"/>
  <c r="BM457" i="13" s="1"/>
  <c r="BJ417" i="13"/>
  <c r="BL417" i="13" s="1"/>
  <c r="BM417" i="13" s="1"/>
  <c r="BJ357" i="13"/>
  <c r="BL357" i="13" s="1"/>
  <c r="BM357" i="13" s="1"/>
  <c r="BJ638" i="13"/>
  <c r="BL638" i="13" s="1"/>
  <c r="BM638" i="13" s="1"/>
  <c r="BJ598" i="13"/>
  <c r="BL598" i="13" s="1"/>
  <c r="BM598" i="13" s="1"/>
  <c r="BJ498" i="13"/>
  <c r="BL498" i="13" s="1"/>
  <c r="BM498" i="13" s="1"/>
  <c r="BJ458" i="13"/>
  <c r="BL458" i="13" s="1"/>
  <c r="BM458" i="13" s="1"/>
  <c r="BJ418" i="13"/>
  <c r="BL418" i="13" s="1"/>
  <c r="BM418" i="13" s="1"/>
  <c r="BJ358" i="13"/>
  <c r="BL358" i="13" s="1"/>
  <c r="BM358" i="13" s="1"/>
  <c r="BJ599" i="13"/>
  <c r="BL599" i="13" s="1"/>
  <c r="BM599" i="13" s="1"/>
  <c r="BJ459" i="13"/>
  <c r="BL459" i="13" s="1"/>
  <c r="BM459" i="13" s="1"/>
  <c r="BJ419" i="13"/>
  <c r="BL419" i="13" s="1"/>
  <c r="BM419" i="13" s="1"/>
  <c r="BJ359" i="13"/>
  <c r="BL359" i="13" s="1"/>
  <c r="BM359" i="13" s="1"/>
  <c r="BJ640" i="13"/>
  <c r="BL640" i="13" s="1"/>
  <c r="BM640" i="13" s="1"/>
  <c r="BJ600" i="13"/>
  <c r="BL600" i="13" s="1"/>
  <c r="BM600" i="13" s="1"/>
  <c r="BJ540" i="13"/>
  <c r="BL540" i="13" s="1"/>
  <c r="BM540" i="13" s="1"/>
  <c r="BJ460" i="13"/>
  <c r="BL460" i="13" s="1"/>
  <c r="BM460" i="13" s="1"/>
  <c r="BJ420" i="13"/>
  <c r="BL420" i="13" s="1"/>
  <c r="BM420" i="13" s="1"/>
  <c r="BJ360" i="13"/>
  <c r="BL360" i="13" s="1"/>
  <c r="BM360" i="13" s="1"/>
  <c r="BJ641" i="13"/>
  <c r="BL641" i="13" s="1"/>
  <c r="BM641" i="13" s="1"/>
  <c r="BJ621" i="13"/>
  <c r="BL621" i="13" s="1"/>
  <c r="BM621" i="13" s="1"/>
  <c r="BJ601" i="13"/>
  <c r="BL601" i="13" s="1"/>
  <c r="BM601" i="13" s="1"/>
  <c r="BJ541" i="13"/>
  <c r="BL541" i="13" s="1"/>
  <c r="BM541" i="13" s="1"/>
  <c r="BJ521" i="13"/>
  <c r="BL521" i="13" s="1"/>
  <c r="BM521" i="13" s="1"/>
  <c r="BJ461" i="13"/>
  <c r="BL461" i="13" s="1"/>
  <c r="BM461" i="13" s="1"/>
  <c r="BJ361" i="13"/>
  <c r="BL361" i="13" s="1"/>
  <c r="BM361" i="13" s="1"/>
  <c r="BJ642" i="13"/>
  <c r="BL642" i="13" s="1"/>
  <c r="BM642" i="13" s="1"/>
  <c r="BJ602" i="13"/>
  <c r="BL602" i="13" s="1"/>
  <c r="BM602" i="13" s="1"/>
  <c r="BJ542" i="13"/>
  <c r="BL542" i="13" s="1"/>
  <c r="BM542" i="13" s="1"/>
  <c r="BJ522" i="13"/>
  <c r="BL522" i="13" s="1"/>
  <c r="BM522" i="13" s="1"/>
  <c r="BJ502" i="13"/>
  <c r="BL502" i="13" s="1"/>
  <c r="BM502" i="13" s="1"/>
  <c r="BJ422" i="13"/>
  <c r="BL422" i="13" s="1"/>
  <c r="BM422" i="13" s="1"/>
  <c r="BJ362" i="13"/>
  <c r="BL362" i="13" s="1"/>
  <c r="BM362" i="13" s="1"/>
  <c r="BJ603" i="13"/>
  <c r="BL603" i="13" s="1"/>
  <c r="BM603" i="13" s="1"/>
  <c r="BJ543" i="13"/>
  <c r="BL543" i="13" s="1"/>
  <c r="BM543" i="13" s="1"/>
  <c r="BJ523" i="13"/>
  <c r="BL523" i="13" s="1"/>
  <c r="BM523" i="13" s="1"/>
  <c r="BJ503" i="13"/>
  <c r="BL503" i="13" s="1"/>
  <c r="BM503" i="13" s="1"/>
  <c r="BJ423" i="13"/>
  <c r="BL423" i="13" s="1"/>
  <c r="BM423" i="13" s="1"/>
  <c r="BJ363" i="13"/>
  <c r="BL363" i="13" s="1"/>
  <c r="BM363" i="13" s="1"/>
  <c r="BJ644" i="13"/>
  <c r="BL644" i="13" s="1"/>
  <c r="BM644" i="13" s="1"/>
  <c r="BJ624" i="13"/>
  <c r="BL624" i="13" s="1"/>
  <c r="BM624" i="13" s="1"/>
  <c r="BJ604" i="13"/>
  <c r="BL604" i="13" s="1"/>
  <c r="BM604" i="13" s="1"/>
  <c r="BJ524" i="13"/>
  <c r="BL524" i="13" s="1"/>
  <c r="BM524" i="13" s="1"/>
  <c r="BJ504" i="13"/>
  <c r="BL504" i="13" s="1"/>
  <c r="BM504" i="13" s="1"/>
  <c r="BJ424" i="13"/>
  <c r="BL424" i="13" s="1"/>
  <c r="BM424" i="13" s="1"/>
  <c r="BJ645" i="13"/>
  <c r="BL645" i="13" s="1"/>
  <c r="BM645" i="13" s="1"/>
  <c r="BJ625" i="13"/>
  <c r="BL625" i="13" s="1"/>
  <c r="BM625" i="13" s="1"/>
  <c r="BJ605" i="13"/>
  <c r="BL605" i="13" s="1"/>
  <c r="BM605" i="13" s="1"/>
  <c r="BJ545" i="13"/>
  <c r="BL545" i="13" s="1"/>
  <c r="BM545" i="13" s="1"/>
  <c r="BJ525" i="13"/>
  <c r="BL525" i="13" s="1"/>
  <c r="BM525" i="13" s="1"/>
  <c r="BJ465" i="13"/>
  <c r="BL465" i="13" s="1"/>
  <c r="BM465" i="13" s="1"/>
  <c r="BJ647" i="13"/>
  <c r="BL647" i="13" s="1"/>
  <c r="BM647" i="13" s="1"/>
  <c r="BJ627" i="13"/>
  <c r="BL627" i="13" s="1"/>
  <c r="BM627" i="13" s="1"/>
  <c r="BJ607" i="13"/>
  <c r="BL607" i="13" s="1"/>
  <c r="BM607" i="13" s="1"/>
  <c r="BJ547" i="13"/>
  <c r="BL547" i="13" s="1"/>
  <c r="BM547" i="13" s="1"/>
  <c r="BJ527" i="13"/>
  <c r="BL527" i="13" s="1"/>
  <c r="BM527" i="13" s="1"/>
  <c r="BJ507" i="13"/>
  <c r="BL507" i="13" s="1"/>
  <c r="BM507" i="13" s="1"/>
  <c r="BJ427" i="13"/>
  <c r="BL427" i="13" s="1"/>
  <c r="BM427" i="13" s="1"/>
  <c r="BJ367" i="13"/>
  <c r="BL367" i="13" s="1"/>
  <c r="BM367" i="13" s="1"/>
  <c r="BJ755" i="13"/>
  <c r="BL755" i="13" s="1"/>
  <c r="BM755" i="13" s="1"/>
  <c r="BJ735" i="13"/>
  <c r="BL735" i="13" s="1"/>
  <c r="BM735" i="13" s="1"/>
  <c r="BJ695" i="13"/>
  <c r="BL695" i="13" s="1"/>
  <c r="BM695" i="13" s="1"/>
  <c r="BJ756" i="13"/>
  <c r="BL756" i="13" s="1"/>
  <c r="BM756" i="13" s="1"/>
  <c r="BJ676" i="13"/>
  <c r="BL676" i="13" s="1"/>
  <c r="BM676" i="13" s="1"/>
  <c r="BJ737" i="13"/>
  <c r="BL737" i="13" s="1"/>
  <c r="BM737" i="13" s="1"/>
  <c r="BJ677" i="13"/>
  <c r="BL677" i="13" s="1"/>
  <c r="BM677" i="13" s="1"/>
  <c r="BJ738" i="13"/>
  <c r="BL738" i="13" s="1"/>
  <c r="BM738" i="13" s="1"/>
  <c r="BJ698" i="13"/>
  <c r="BL698" i="13" s="1"/>
  <c r="BM698" i="13" s="1"/>
  <c r="BJ678" i="13"/>
  <c r="BL678" i="13" s="1"/>
  <c r="BM678" i="13" s="1"/>
  <c r="BJ739" i="13"/>
  <c r="BL739" i="13" s="1"/>
  <c r="BM739" i="13" s="1"/>
  <c r="BJ699" i="13"/>
  <c r="BL699" i="13" s="1"/>
  <c r="BM699" i="13" s="1"/>
  <c r="BJ679" i="13"/>
  <c r="BL679" i="13" s="1"/>
  <c r="BM679" i="13" s="1"/>
  <c r="BJ740" i="13"/>
  <c r="BL740" i="13" s="1"/>
  <c r="BM740" i="13" s="1"/>
  <c r="BJ700" i="13"/>
  <c r="BL700" i="13" s="1"/>
  <c r="BM700" i="13" s="1"/>
  <c r="BJ680" i="13"/>
  <c r="BL680" i="13" s="1"/>
  <c r="BM680" i="13" s="1"/>
  <c r="BJ741" i="13"/>
  <c r="BL741" i="13" s="1"/>
  <c r="BM741" i="13" s="1"/>
  <c r="BJ701" i="13"/>
  <c r="BL701" i="13" s="1"/>
  <c r="BM701" i="13" s="1"/>
  <c r="BJ742" i="13"/>
  <c r="BL742" i="13" s="1"/>
  <c r="BM742" i="13" s="1"/>
  <c r="BJ682" i="13"/>
  <c r="BL682" i="13" s="1"/>
  <c r="BM682" i="13" s="1"/>
  <c r="BJ763" i="13"/>
  <c r="BL763" i="13" s="1"/>
  <c r="BM763" i="13" s="1"/>
  <c r="BJ743" i="13"/>
  <c r="BL743" i="13" s="1"/>
  <c r="BM743" i="13" s="1"/>
  <c r="BJ683" i="13"/>
  <c r="BL683" i="13" s="1"/>
  <c r="BM683" i="13" s="1"/>
  <c r="BJ764" i="13"/>
  <c r="BL764" i="13" s="1"/>
  <c r="BM764" i="13" s="1"/>
  <c r="BJ744" i="13"/>
  <c r="BL744" i="13" s="1"/>
  <c r="BM744" i="13" s="1"/>
  <c r="BJ704" i="13"/>
  <c r="BL704" i="13" s="1"/>
  <c r="BM704" i="13" s="1"/>
  <c r="BJ684" i="13"/>
  <c r="BL684" i="13" s="1"/>
  <c r="BM684" i="13" s="1"/>
  <c r="BJ765" i="13"/>
  <c r="BL765" i="13" s="1"/>
  <c r="BM765" i="13" s="1"/>
  <c r="BJ705" i="13"/>
  <c r="BL705" i="13" s="1"/>
  <c r="BM705" i="13" s="1"/>
  <c r="BJ685" i="13"/>
  <c r="BL685" i="13" s="1"/>
  <c r="BM685" i="13" s="1"/>
  <c r="BJ767" i="13"/>
  <c r="BL767" i="13" s="1"/>
  <c r="BM767" i="13" s="1"/>
  <c r="BJ747" i="13"/>
  <c r="BL747" i="13" s="1"/>
  <c r="BM747" i="13" s="1"/>
  <c r="BJ707" i="13"/>
  <c r="BL707" i="13" s="1"/>
  <c r="BM707" i="13" s="1"/>
  <c r="AK637" i="13"/>
  <c r="AM637" i="13" s="1"/>
  <c r="AN637" i="13" s="1"/>
  <c r="AP599" i="13"/>
  <c r="AR599" i="13" s="1"/>
  <c r="AS599" i="13" s="1"/>
  <c r="AP460" i="13"/>
  <c r="AR460" i="13" s="1"/>
  <c r="AS460" i="13" s="1"/>
  <c r="AZ361" i="13"/>
  <c r="BB361" i="13" s="1"/>
  <c r="BC361" i="13" s="1"/>
  <c r="AU521" i="13"/>
  <c r="AW521" i="13" s="1"/>
  <c r="AX521" i="13" s="1"/>
  <c r="AK622" i="13"/>
  <c r="AM622" i="13" s="1"/>
  <c r="AN622" i="13" s="1"/>
  <c r="AZ505" i="13"/>
  <c r="BB505" i="13" s="1"/>
  <c r="BC505" i="13" s="1"/>
  <c r="AP365" i="13"/>
  <c r="AR365" i="13" s="1"/>
  <c r="AS365" i="13" s="1"/>
  <c r="AF425" i="13"/>
  <c r="AH425" i="13" s="1"/>
  <c r="AI425" i="13" s="1"/>
  <c r="AF547" i="13"/>
  <c r="AH547" i="13" s="1"/>
  <c r="AI547" i="13" s="1"/>
  <c r="AK755" i="13"/>
  <c r="AM755" i="13" s="1"/>
  <c r="AN755" i="13" s="1"/>
  <c r="AK675" i="13"/>
  <c r="AM675" i="13" s="1"/>
  <c r="AN675" i="13" s="1"/>
  <c r="AU736" i="13"/>
  <c r="AW736" i="13" s="1"/>
  <c r="AX736" i="13" s="1"/>
  <c r="AK696" i="13"/>
  <c r="AM696" i="13" s="1"/>
  <c r="AN696" i="13" s="1"/>
  <c r="AF756" i="13"/>
  <c r="AH756" i="13" s="1"/>
  <c r="AI756" i="13" s="1"/>
  <c r="AK677" i="13"/>
  <c r="AM677" i="13" s="1"/>
  <c r="AN677" i="13" s="1"/>
  <c r="AK758" i="13"/>
  <c r="AM758" i="13" s="1"/>
  <c r="AN758" i="13" s="1"/>
  <c r="AK678" i="13"/>
  <c r="AM678" i="13" s="1"/>
  <c r="AN678" i="13" s="1"/>
  <c r="L484" i="11"/>
  <c r="AZ740" i="13"/>
  <c r="BB740" i="13" s="1"/>
  <c r="BC740" i="13" s="1"/>
  <c r="AP700" i="13"/>
  <c r="AR700" i="13" s="1"/>
  <c r="AS700" i="13" s="1"/>
  <c r="AF740" i="13"/>
  <c r="AH740" i="13" s="1"/>
  <c r="AI740" i="13" s="1"/>
  <c r="BJ761" i="13"/>
  <c r="BL761" i="13" s="1"/>
  <c r="BM761" i="13" s="1"/>
  <c r="BJ681" i="13"/>
  <c r="BL681" i="13" s="1"/>
  <c r="BM681" i="13" s="1"/>
  <c r="AP761" i="13"/>
  <c r="AR761" i="13" s="1"/>
  <c r="AS761" i="13" s="1"/>
  <c r="BJ702" i="13"/>
  <c r="BL702" i="13" s="1"/>
  <c r="BM702" i="13" s="1"/>
  <c r="AZ742" i="13"/>
  <c r="BB742" i="13" s="1"/>
  <c r="BC742" i="13" s="1"/>
  <c r="AP702" i="13"/>
  <c r="AR702" i="13" s="1"/>
  <c r="AS702" i="13" s="1"/>
  <c r="AK762" i="13"/>
  <c r="AM762" i="13" s="1"/>
  <c r="AN762" i="13" s="1"/>
  <c r="AF742" i="13"/>
  <c r="AH742" i="13" s="1"/>
  <c r="AI742" i="13" s="1"/>
  <c r="U220" i="13"/>
  <c r="AZ763" i="13"/>
  <c r="BB763" i="13" s="1"/>
  <c r="BC763" i="13" s="1"/>
  <c r="AU743" i="13"/>
  <c r="AW743" i="13" s="1"/>
  <c r="AX743" i="13" s="1"/>
  <c r="AK703" i="13"/>
  <c r="AM703" i="13" s="1"/>
  <c r="AN703" i="13" s="1"/>
  <c r="AF763" i="13"/>
  <c r="AH763" i="13" s="1"/>
  <c r="AI763" i="13" s="1"/>
  <c r="AF683" i="13"/>
  <c r="AH683" i="13" s="1"/>
  <c r="AI683" i="13" s="1"/>
  <c r="AZ764" i="13"/>
  <c r="BB764" i="13" s="1"/>
  <c r="BC764" i="13" s="1"/>
  <c r="P281" i="13"/>
  <c r="AP281" i="13" s="1"/>
  <c r="AR281" i="13" s="1"/>
  <c r="AS281" i="13" s="1"/>
  <c r="AK704" i="13"/>
  <c r="AM704" i="13" s="1"/>
  <c r="AN704" i="13" s="1"/>
  <c r="AF764" i="13"/>
  <c r="AH764" i="13" s="1"/>
  <c r="AI764" i="13" s="1"/>
  <c r="AF684" i="13"/>
  <c r="AH684" i="13" s="1"/>
  <c r="AI684" i="13" s="1"/>
  <c r="U222" i="13"/>
  <c r="AU705" i="13"/>
  <c r="AW705" i="13" s="1"/>
  <c r="AX705" i="13" s="1"/>
  <c r="AP765" i="13"/>
  <c r="AR765" i="13" s="1"/>
  <c r="AS765" i="13" s="1"/>
  <c r="AP685" i="13"/>
  <c r="AR685" i="13" s="1"/>
  <c r="AS685" i="13" s="1"/>
  <c r="U224" i="13"/>
  <c r="BJ687" i="13"/>
  <c r="BL687" i="13" s="1"/>
  <c r="BM687" i="13" s="1"/>
  <c r="AP687" i="13"/>
  <c r="AR687" i="13" s="1"/>
  <c r="AS687" i="13" s="1"/>
  <c r="AP360" i="13"/>
  <c r="AR360" i="13" s="1"/>
  <c r="AS360" i="13" s="1"/>
  <c r="AU503" i="13"/>
  <c r="AW503" i="13" s="1"/>
  <c r="AX503" i="13" s="1"/>
  <c r="BJ464" i="13"/>
  <c r="BL464" i="13" s="1"/>
  <c r="BM464" i="13" s="1"/>
  <c r="AP364" i="13"/>
  <c r="AR364" i="13" s="1"/>
  <c r="AS364" i="13" s="1"/>
  <c r="AP625" i="13"/>
  <c r="AR625" i="13" s="1"/>
  <c r="AS625" i="13" s="1"/>
  <c r="AP501" i="13"/>
  <c r="AR501" i="13" s="1"/>
  <c r="AS501" i="13" s="1"/>
  <c r="AP642" i="13"/>
  <c r="AR642" i="13" s="1"/>
  <c r="AS642" i="13" s="1"/>
  <c r="AZ523" i="13"/>
  <c r="BB523" i="13" s="1"/>
  <c r="BC523" i="13" s="1"/>
  <c r="AK524" i="13"/>
  <c r="AM524" i="13" s="1"/>
  <c r="AN524" i="13" s="1"/>
  <c r="BJ365" i="13"/>
  <c r="BL365" i="13" s="1"/>
  <c r="BM365" i="13" s="1"/>
  <c r="AP616" i="13"/>
  <c r="AR616" i="13" s="1"/>
  <c r="AS616" i="13" s="1"/>
  <c r="BJ501" i="13"/>
  <c r="BL501" i="13" s="1"/>
  <c r="BM501" i="13" s="1"/>
  <c r="AZ621" i="13"/>
  <c r="BB621" i="13" s="1"/>
  <c r="BC621" i="13" s="1"/>
  <c r="AZ424" i="13"/>
  <c r="BB424" i="13" s="1"/>
  <c r="BC424" i="13" s="1"/>
  <c r="AP544" i="13"/>
  <c r="AR544" i="13" s="1"/>
  <c r="AS544" i="13" s="1"/>
  <c r="U180" i="13"/>
  <c r="BJ535" i="13"/>
  <c r="BL535" i="13" s="1"/>
  <c r="BM535" i="13" s="1"/>
  <c r="AP535" i="13"/>
  <c r="AR535" i="13" s="1"/>
  <c r="AS535" i="13" s="1"/>
  <c r="AP355" i="13"/>
  <c r="AR355" i="13" s="1"/>
  <c r="AS355" i="13" s="1"/>
  <c r="AF495" i="13"/>
  <c r="AH495" i="13" s="1"/>
  <c r="AI495" i="13" s="1"/>
  <c r="AP536" i="13"/>
  <c r="AR536" i="13" s="1"/>
  <c r="AS536" i="13" s="1"/>
  <c r="AP456" i="13"/>
  <c r="AR456" i="13" s="1"/>
  <c r="AS456" i="13" s="1"/>
  <c r="AK596" i="13"/>
  <c r="AM596" i="13" s="1"/>
  <c r="AN596" i="13" s="1"/>
  <c r="AZ538" i="13"/>
  <c r="BB538" i="13" s="1"/>
  <c r="BC538" i="13" s="1"/>
  <c r="AU459" i="13"/>
  <c r="AW459" i="13" s="1"/>
  <c r="AX459" i="13" s="1"/>
  <c r="AF420" i="13"/>
  <c r="AH420" i="13" s="1"/>
  <c r="AI420" i="13" s="1"/>
  <c r="AU777" i="13"/>
  <c r="AW777" i="13" s="1"/>
  <c r="AX777" i="13" s="1"/>
  <c r="AU780" i="13"/>
  <c r="AW780" i="13" s="1"/>
  <c r="AX780" i="13" s="1"/>
  <c r="U232" i="13"/>
  <c r="U235" i="13"/>
  <c r="U253" i="13"/>
  <c r="U254" i="13"/>
  <c r="U255" i="13"/>
  <c r="U257" i="13"/>
  <c r="U260" i="13"/>
  <c r="AF775" i="13"/>
  <c r="AH775" i="13" s="1"/>
  <c r="AI775" i="13" s="1"/>
  <c r="AZ781" i="13"/>
  <c r="BB781" i="13" s="1"/>
  <c r="BC781" i="13" s="1"/>
  <c r="AF784" i="13"/>
  <c r="AH784" i="13" s="1"/>
  <c r="AI784" i="13" s="1"/>
  <c r="AF787" i="13"/>
  <c r="AH787" i="13" s="1"/>
  <c r="AI787" i="13" s="1"/>
  <c r="BJ415" i="13"/>
  <c r="BL415" i="13" s="1"/>
  <c r="BM415" i="13" s="1"/>
  <c r="AF615" i="13"/>
  <c r="AH615" i="13" s="1"/>
  <c r="AI615" i="13" s="1"/>
  <c r="AF535" i="13"/>
  <c r="AH535" i="13" s="1"/>
  <c r="AI535" i="13" s="1"/>
  <c r="AF355" i="13"/>
  <c r="AH355" i="13" s="1"/>
  <c r="AI355" i="13" s="1"/>
  <c r="BJ496" i="13"/>
  <c r="BL496" i="13" s="1"/>
  <c r="BM496" i="13" s="1"/>
  <c r="AZ616" i="13"/>
  <c r="BB616" i="13" s="1"/>
  <c r="BC616" i="13" s="1"/>
  <c r="AZ456" i="13"/>
  <c r="BB456" i="13" s="1"/>
  <c r="BC456" i="13" s="1"/>
  <c r="AZ356" i="13"/>
  <c r="BB356" i="13" s="1"/>
  <c r="BC356" i="13" s="1"/>
  <c r="AU596" i="13"/>
  <c r="AW596" i="13" s="1"/>
  <c r="AX596" i="13" s="1"/>
  <c r="AP496" i="13"/>
  <c r="AR496" i="13" s="1"/>
  <c r="AS496" i="13" s="1"/>
  <c r="BJ537" i="13"/>
  <c r="BL537" i="13" s="1"/>
  <c r="BM537" i="13" s="1"/>
  <c r="AZ497" i="13"/>
  <c r="BB497" i="13" s="1"/>
  <c r="BC497" i="13" s="1"/>
  <c r="AF497" i="13"/>
  <c r="AH497" i="13" s="1"/>
  <c r="AI497" i="13" s="1"/>
  <c r="AF417" i="13"/>
  <c r="AH417" i="13" s="1"/>
  <c r="AI417" i="13" s="1"/>
  <c r="BJ538" i="13"/>
  <c r="BL538" i="13" s="1"/>
  <c r="BM538" i="13" s="1"/>
  <c r="AZ418" i="13"/>
  <c r="BB418" i="13" s="1"/>
  <c r="BC418" i="13" s="1"/>
  <c r="AF418" i="13"/>
  <c r="AH418" i="13" s="1"/>
  <c r="AI418" i="13" s="1"/>
  <c r="BJ639" i="13"/>
  <c r="BL639" i="13" s="1"/>
  <c r="BM639" i="13" s="1"/>
  <c r="AZ599" i="13"/>
  <c r="BB599" i="13" s="1"/>
  <c r="BC599" i="13" s="1"/>
  <c r="AK359" i="13"/>
  <c r="AM359" i="13" s="1"/>
  <c r="AN359" i="13" s="1"/>
  <c r="BJ500" i="13"/>
  <c r="BL500" i="13" s="1"/>
  <c r="BM500" i="13" s="1"/>
  <c r="AP420" i="13"/>
  <c r="AR420" i="13" s="1"/>
  <c r="AS420" i="13" s="1"/>
  <c r="AK640" i="13"/>
  <c r="AM640" i="13" s="1"/>
  <c r="AN640" i="13" s="1"/>
  <c r="AF460" i="13"/>
  <c r="AH460" i="13" s="1"/>
  <c r="AI460" i="13" s="1"/>
  <c r="AF421" i="13"/>
  <c r="AH421" i="13" s="1"/>
  <c r="AI421" i="13" s="1"/>
  <c r="AU462" i="13"/>
  <c r="AW462" i="13" s="1"/>
  <c r="AX462" i="13" s="1"/>
  <c r="AK423" i="13"/>
  <c r="AM423" i="13" s="1"/>
  <c r="AN423" i="13" s="1"/>
  <c r="AZ544" i="13"/>
  <c r="BB544" i="13" s="1"/>
  <c r="BC544" i="13" s="1"/>
  <c r="BJ505" i="13"/>
  <c r="BL505" i="13" s="1"/>
  <c r="BM505" i="13" s="1"/>
  <c r="AZ625" i="13"/>
  <c r="BB625" i="13" s="1"/>
  <c r="BC625" i="13" s="1"/>
  <c r="AZ465" i="13"/>
  <c r="BB465" i="13" s="1"/>
  <c r="BC465" i="13" s="1"/>
  <c r="AU605" i="13"/>
  <c r="AW605" i="13" s="1"/>
  <c r="AX605" i="13" s="1"/>
  <c r="AP425" i="13"/>
  <c r="AR425" i="13" s="1"/>
  <c r="AS425" i="13" s="1"/>
  <c r="AF545" i="13"/>
  <c r="AH545" i="13" s="1"/>
  <c r="AI545" i="13" s="1"/>
  <c r="BJ467" i="13"/>
  <c r="BL467" i="13" s="1"/>
  <c r="BM467" i="13" s="1"/>
  <c r="AZ427" i="13"/>
  <c r="BB427" i="13" s="1"/>
  <c r="BC427" i="13" s="1"/>
  <c r="AP627" i="13"/>
  <c r="AR627" i="13" s="1"/>
  <c r="AS627" i="13" s="1"/>
  <c r="AP547" i="13"/>
  <c r="AR547" i="13" s="1"/>
  <c r="AS547" i="13" s="1"/>
  <c r="AP367" i="13"/>
  <c r="AR367" i="13" s="1"/>
  <c r="AS367" i="13" s="1"/>
  <c r="AF507" i="13"/>
  <c r="AH507" i="13" s="1"/>
  <c r="AI507" i="13" s="1"/>
  <c r="AF427" i="13"/>
  <c r="AH427" i="13" s="1"/>
  <c r="AI427" i="13" s="1"/>
  <c r="AF781" i="13"/>
  <c r="AH781" i="13" s="1"/>
  <c r="AI781" i="13" s="1"/>
  <c r="AF783" i="13"/>
  <c r="AH783" i="13" s="1"/>
  <c r="AI783" i="13" s="1"/>
  <c r="AF785" i="13"/>
  <c r="AH785" i="13" s="1"/>
  <c r="AI785" i="13" s="1"/>
  <c r="AZ787" i="13"/>
  <c r="BB787" i="13" s="1"/>
  <c r="BC787" i="13" s="1"/>
  <c r="AZ527" i="13"/>
  <c r="BB527" i="13" s="1"/>
  <c r="BC527" i="13" s="1"/>
  <c r="AU507" i="13"/>
  <c r="AW507" i="13" s="1"/>
  <c r="AX507" i="13" s="1"/>
  <c r="AP647" i="13"/>
  <c r="AR647" i="13" s="1"/>
  <c r="AS647" i="13" s="1"/>
  <c r="AK627" i="13"/>
  <c r="AM627" i="13" s="1"/>
  <c r="AN627" i="13" s="1"/>
  <c r="AK467" i="13"/>
  <c r="AM467" i="13" s="1"/>
  <c r="AN467" i="13" s="1"/>
  <c r="AF607" i="13"/>
  <c r="AH607" i="13" s="1"/>
  <c r="AI607" i="13" s="1"/>
  <c r="U212" i="13"/>
  <c r="BJ675" i="13"/>
  <c r="BL675" i="13" s="1"/>
  <c r="BM675" i="13" s="1"/>
  <c r="AP755" i="13"/>
  <c r="AR755" i="13" s="1"/>
  <c r="AS755" i="13" s="1"/>
  <c r="AK735" i="13"/>
  <c r="AM735" i="13" s="1"/>
  <c r="AN735" i="13" s="1"/>
  <c r="BJ696" i="13"/>
  <c r="BL696" i="13" s="1"/>
  <c r="BM696" i="13" s="1"/>
  <c r="AF736" i="13"/>
  <c r="AH736" i="13" s="1"/>
  <c r="AI736" i="13" s="1"/>
  <c r="BJ757" i="13"/>
  <c r="BL757" i="13" s="1"/>
  <c r="BM757" i="13" s="1"/>
  <c r="AU697" i="13"/>
  <c r="AW697" i="13" s="1"/>
  <c r="AX697" i="13" s="1"/>
  <c r="BJ758" i="13"/>
  <c r="BL758" i="13" s="1"/>
  <c r="BM758" i="13" s="1"/>
  <c r="AU698" i="13"/>
  <c r="AW698" i="13" s="1"/>
  <c r="AX698" i="13" s="1"/>
  <c r="AP678" i="13"/>
  <c r="AR678" i="13" s="1"/>
  <c r="AS678" i="13" s="1"/>
  <c r="BJ759" i="13"/>
  <c r="BL759" i="13" s="1"/>
  <c r="BM759" i="13" s="1"/>
  <c r="AU699" i="13"/>
  <c r="AW699" i="13" s="1"/>
  <c r="AX699" i="13" s="1"/>
  <c r="AP679" i="13"/>
  <c r="AR679" i="13" s="1"/>
  <c r="AS679" i="13" s="1"/>
  <c r="BJ760" i="13"/>
  <c r="BL760" i="13" s="1"/>
  <c r="BM760" i="13" s="1"/>
  <c r="AU700" i="13"/>
  <c r="AW700" i="13" s="1"/>
  <c r="AX700" i="13" s="1"/>
  <c r="AP680" i="13"/>
  <c r="AR680" i="13" s="1"/>
  <c r="AS680" i="13" s="1"/>
  <c r="AU761" i="13"/>
  <c r="AW761" i="13" s="1"/>
  <c r="AX761" i="13" s="1"/>
  <c r="AP741" i="13"/>
  <c r="AR741" i="13" s="1"/>
  <c r="AS741" i="13" s="1"/>
  <c r="AF701" i="13"/>
  <c r="AH701" i="13" s="1"/>
  <c r="AI701" i="13" s="1"/>
  <c r="BJ762" i="13"/>
  <c r="BL762" i="13" s="1"/>
  <c r="BM762" i="13" s="1"/>
  <c r="AU702" i="13"/>
  <c r="AW702" i="13" s="1"/>
  <c r="AX702" i="13" s="1"/>
  <c r="AP682" i="13"/>
  <c r="AR682" i="13" s="1"/>
  <c r="AS682" i="13" s="1"/>
  <c r="L487" i="11"/>
  <c r="BJ703" i="13"/>
  <c r="BL703" i="13" s="1"/>
  <c r="BM703" i="13" s="1"/>
  <c r="AK763" i="13"/>
  <c r="AM763" i="13" s="1"/>
  <c r="AN763" i="13" s="1"/>
  <c r="AF743" i="13"/>
  <c r="AH743" i="13" s="1"/>
  <c r="AI743" i="13" s="1"/>
  <c r="AK764" i="13"/>
  <c r="AM764" i="13" s="1"/>
  <c r="AN764" i="13" s="1"/>
  <c r="AF744" i="13"/>
  <c r="AH744" i="13" s="1"/>
  <c r="AI744" i="13" s="1"/>
  <c r="AU765" i="13"/>
  <c r="AW765" i="13" s="1"/>
  <c r="AX765" i="13" s="1"/>
  <c r="AP745" i="13"/>
  <c r="AR745" i="13" s="1"/>
  <c r="AS745" i="13" s="1"/>
  <c r="AF705" i="13"/>
  <c r="AH705" i="13" s="1"/>
  <c r="AI705" i="13" s="1"/>
  <c r="AU767" i="13"/>
  <c r="AW767" i="13" s="1"/>
  <c r="AX767" i="13" s="1"/>
  <c r="AP747" i="13"/>
  <c r="AR747" i="13" s="1"/>
  <c r="AS747" i="13" s="1"/>
  <c r="AF707" i="13"/>
  <c r="AH707" i="13" s="1"/>
  <c r="AI707" i="13" s="1"/>
  <c r="BJ643" i="13"/>
  <c r="BL643" i="13" s="1"/>
  <c r="BM643" i="13" s="1"/>
  <c r="AZ603" i="13"/>
  <c r="BB603" i="13" s="1"/>
  <c r="BC603" i="13" s="1"/>
  <c r="AU423" i="13"/>
  <c r="AW423" i="13" s="1"/>
  <c r="AX423" i="13" s="1"/>
  <c r="AK543" i="13"/>
  <c r="AM543" i="13" s="1"/>
  <c r="AN543" i="13" s="1"/>
  <c r="AK363" i="13"/>
  <c r="AM363" i="13" s="1"/>
  <c r="AN363" i="13" s="1"/>
  <c r="AF523" i="13"/>
  <c r="AH523" i="13" s="1"/>
  <c r="AI523" i="13" s="1"/>
  <c r="BJ544" i="13"/>
  <c r="BL544" i="13" s="1"/>
  <c r="BM544" i="13" s="1"/>
  <c r="AZ504" i="13"/>
  <c r="BB504" i="13" s="1"/>
  <c r="BC504" i="13" s="1"/>
  <c r="AP624" i="13"/>
  <c r="AR624" i="13" s="1"/>
  <c r="AS624" i="13" s="1"/>
  <c r="AP464" i="13"/>
  <c r="AR464" i="13" s="1"/>
  <c r="AS464" i="13" s="1"/>
  <c r="AK604" i="13"/>
  <c r="AM604" i="13" s="1"/>
  <c r="AN604" i="13" s="1"/>
  <c r="AZ545" i="13"/>
  <c r="BB545" i="13" s="1"/>
  <c r="BC545" i="13" s="1"/>
  <c r="AZ365" i="13"/>
  <c r="BB365" i="13" s="1"/>
  <c r="BC365" i="13" s="1"/>
  <c r="AU525" i="13"/>
  <c r="AW525" i="13" s="1"/>
  <c r="AX525" i="13" s="1"/>
  <c r="AU616" i="13"/>
  <c r="AW616" i="13" s="1"/>
  <c r="AX616" i="13" s="1"/>
  <c r="AU456" i="13"/>
  <c r="AW456" i="13" s="1"/>
  <c r="AX456" i="13" s="1"/>
  <c r="AP596" i="13"/>
  <c r="AR596" i="13" s="1"/>
  <c r="AS596" i="13" s="1"/>
  <c r="AK416" i="13"/>
  <c r="AM416" i="13" s="1"/>
  <c r="AN416" i="13" s="1"/>
  <c r="N273" i="13"/>
  <c r="AF273" i="13" s="1"/>
  <c r="AH273" i="13" s="1"/>
  <c r="AI273" i="13" s="1"/>
  <c r="AU497" i="13"/>
  <c r="AW497" i="13" s="1"/>
  <c r="AX497" i="13" s="1"/>
  <c r="AP637" i="13"/>
  <c r="AR637" i="13" s="1"/>
  <c r="AS637" i="13" s="1"/>
  <c r="AK457" i="13"/>
  <c r="AM457" i="13" s="1"/>
  <c r="AN457" i="13" s="1"/>
  <c r="AF597" i="13"/>
  <c r="AH597" i="13" s="1"/>
  <c r="AI597" i="13" s="1"/>
  <c r="AU498" i="13"/>
  <c r="AW498" i="13" s="1"/>
  <c r="AX498" i="13" s="1"/>
  <c r="AP638" i="13"/>
  <c r="AR638" i="13" s="1"/>
  <c r="AS638" i="13" s="1"/>
  <c r="AK458" i="13"/>
  <c r="AM458" i="13" s="1"/>
  <c r="AN458" i="13" s="1"/>
  <c r="AF598" i="13"/>
  <c r="AH598" i="13" s="1"/>
  <c r="AI598" i="13" s="1"/>
  <c r="BJ499" i="13"/>
  <c r="BL499" i="13" s="1"/>
  <c r="BM499" i="13" s="1"/>
  <c r="AZ459" i="13"/>
  <c r="BB459" i="13" s="1"/>
  <c r="BC459" i="13" s="1"/>
  <c r="AU599" i="13"/>
  <c r="AW599" i="13" s="1"/>
  <c r="AX599" i="13" s="1"/>
  <c r="AF539" i="13"/>
  <c r="AH539" i="13" s="1"/>
  <c r="AI539" i="13" s="1"/>
  <c r="AZ640" i="13"/>
  <c r="BB640" i="13" s="1"/>
  <c r="BC640" i="13" s="1"/>
  <c r="AU460" i="13"/>
  <c r="AW460" i="13" s="1"/>
  <c r="AX460" i="13" s="1"/>
  <c r="AP600" i="13"/>
  <c r="AR600" i="13" s="1"/>
  <c r="AS600" i="13" s="1"/>
  <c r="AK420" i="13"/>
  <c r="AM420" i="13" s="1"/>
  <c r="AN420" i="13" s="1"/>
  <c r="AZ521" i="13"/>
  <c r="BB521" i="13" s="1"/>
  <c r="BC521" i="13" s="1"/>
  <c r="AU501" i="13"/>
  <c r="AW501" i="13" s="1"/>
  <c r="AX501" i="13" s="1"/>
  <c r="AK621" i="13"/>
  <c r="AM621" i="13" s="1"/>
  <c r="AN621" i="13" s="1"/>
  <c r="AK461" i="13"/>
  <c r="AM461" i="13" s="1"/>
  <c r="AN461" i="13" s="1"/>
  <c r="AF601" i="13"/>
  <c r="AH601" i="13" s="1"/>
  <c r="AI601" i="13" s="1"/>
  <c r="BJ622" i="13"/>
  <c r="BL622" i="13" s="1"/>
  <c r="BM622" i="13" s="1"/>
  <c r="BJ462" i="13"/>
  <c r="BL462" i="13" s="1"/>
  <c r="BM462" i="13" s="1"/>
  <c r="AZ422" i="13"/>
  <c r="BB422" i="13" s="1"/>
  <c r="BC422" i="13" s="1"/>
  <c r="AP542" i="13"/>
  <c r="AR542" i="13" s="1"/>
  <c r="AS542" i="13" s="1"/>
  <c r="AP362" i="13"/>
  <c r="AR362" i="13" s="1"/>
  <c r="AS362" i="13" s="1"/>
  <c r="AK522" i="13"/>
  <c r="AM522" i="13" s="1"/>
  <c r="AN522" i="13" s="1"/>
  <c r="AF502" i="13"/>
  <c r="AH502" i="13" s="1"/>
  <c r="AI502" i="13" s="1"/>
  <c r="AZ636" i="13"/>
  <c r="BB636" i="13" s="1"/>
  <c r="BC636" i="13" s="1"/>
  <c r="AF687" i="13"/>
  <c r="AH687" i="13" s="1"/>
  <c r="AI687" i="13" s="1"/>
  <c r="AZ680" i="13"/>
  <c r="BB680" i="13" s="1"/>
  <c r="BC680" i="13" s="1"/>
  <c r="AZ741" i="13"/>
  <c r="BB741" i="13" s="1"/>
  <c r="BC741" i="13" s="1"/>
  <c r="AP701" i="13"/>
  <c r="AR701" i="13" s="1"/>
  <c r="AS701" i="13" s="1"/>
  <c r="AZ682" i="13"/>
  <c r="BB682" i="13" s="1"/>
  <c r="BC682" i="13" s="1"/>
  <c r="AP743" i="13"/>
  <c r="AR743" i="13" s="1"/>
  <c r="AS743" i="13" s="1"/>
  <c r="AF703" i="13"/>
  <c r="AH703" i="13" s="1"/>
  <c r="AI703" i="13" s="1"/>
  <c r="AZ745" i="13"/>
  <c r="BB745" i="13" s="1"/>
  <c r="BC745" i="13" s="1"/>
  <c r="AP705" i="13"/>
  <c r="AR705" i="13" s="1"/>
  <c r="AS705" i="13" s="1"/>
  <c r="AZ416" i="13"/>
  <c r="BB416" i="13" s="1"/>
  <c r="BC416" i="13" s="1"/>
  <c r="AU597" i="13"/>
  <c r="AW597" i="13" s="1"/>
  <c r="AX597" i="13" s="1"/>
  <c r="AP417" i="13"/>
  <c r="AR417" i="13" s="1"/>
  <c r="AS417" i="13" s="1"/>
  <c r="AF537" i="13"/>
  <c r="AH537" i="13" s="1"/>
  <c r="AI537" i="13" s="1"/>
  <c r="AF357" i="13"/>
  <c r="AH357" i="13" s="1"/>
  <c r="AI357" i="13" s="1"/>
  <c r="AZ458" i="13"/>
  <c r="BB458" i="13" s="1"/>
  <c r="BC458" i="13" s="1"/>
  <c r="AK499" i="13"/>
  <c r="AM499" i="13" s="1"/>
  <c r="AN499" i="13" s="1"/>
  <c r="AF639" i="13"/>
  <c r="AH639" i="13" s="1"/>
  <c r="AI639" i="13" s="1"/>
  <c r="AZ420" i="13"/>
  <c r="BB420" i="13" s="1"/>
  <c r="BC420" i="13" s="1"/>
  <c r="AF500" i="13"/>
  <c r="AH500" i="13" s="1"/>
  <c r="AI500" i="13" s="1"/>
  <c r="AZ461" i="13"/>
  <c r="BB461" i="13" s="1"/>
  <c r="BC461" i="13" s="1"/>
  <c r="AF602" i="13"/>
  <c r="AH602" i="13" s="1"/>
  <c r="AI602" i="13" s="1"/>
  <c r="AZ543" i="13"/>
  <c r="BB543" i="13" s="1"/>
  <c r="BC543" i="13" s="1"/>
  <c r="AZ363" i="13"/>
  <c r="BB363" i="13" s="1"/>
  <c r="BC363" i="13" s="1"/>
  <c r="AK643" i="13"/>
  <c r="AM643" i="13" s="1"/>
  <c r="AN643" i="13" s="1"/>
  <c r="AF463" i="13"/>
  <c r="AH463" i="13" s="1"/>
  <c r="AI463" i="13" s="1"/>
  <c r="AU424" i="13"/>
  <c r="AW424" i="13" s="1"/>
  <c r="AX424" i="13" s="1"/>
  <c r="AZ645" i="13"/>
  <c r="BB645" i="13" s="1"/>
  <c r="BC645" i="13" s="1"/>
  <c r="AK425" i="13"/>
  <c r="AM425" i="13" s="1"/>
  <c r="AN425" i="13" s="1"/>
  <c r="AZ627" i="13"/>
  <c r="BB627" i="13" s="1"/>
  <c r="BC627" i="13" s="1"/>
  <c r="AZ467" i="13"/>
  <c r="BB467" i="13" s="1"/>
  <c r="BC467" i="13" s="1"/>
  <c r="AF367" i="13"/>
  <c r="AH367" i="13" s="1"/>
  <c r="AI367" i="13" s="1"/>
  <c r="AZ735" i="13"/>
  <c r="BB735" i="13" s="1"/>
  <c r="BC735" i="13" s="1"/>
  <c r="AP695" i="13"/>
  <c r="AR695" i="13" s="1"/>
  <c r="AS695" i="13" s="1"/>
  <c r="AZ756" i="13"/>
  <c r="BB756" i="13" s="1"/>
  <c r="BC756" i="13" s="1"/>
  <c r="AF676" i="13"/>
  <c r="AH676" i="13" s="1"/>
  <c r="AI676" i="13" s="1"/>
  <c r="L481" i="11"/>
  <c r="BJ697" i="13"/>
  <c r="BL697" i="13" s="1"/>
  <c r="BM697" i="13" s="1"/>
  <c r="AK757" i="13"/>
  <c r="AM757" i="13" s="1"/>
  <c r="AN757" i="13" s="1"/>
  <c r="AF737" i="13"/>
  <c r="AH737" i="13" s="1"/>
  <c r="AI737" i="13" s="1"/>
  <c r="AK759" i="13"/>
  <c r="AM759" i="13" s="1"/>
  <c r="AN759" i="13" s="1"/>
  <c r="AK776" i="13"/>
  <c r="AM776" i="13" s="1"/>
  <c r="AN776" i="13" s="1"/>
  <c r="AK777" i="13"/>
  <c r="AM777" i="13" s="1"/>
  <c r="AN777" i="13" s="1"/>
  <c r="AK785" i="13"/>
  <c r="AM785" i="13" s="1"/>
  <c r="AN785" i="13" s="1"/>
  <c r="AU535" i="13"/>
  <c r="AW535" i="13" s="1"/>
  <c r="AX535" i="13" s="1"/>
  <c r="AP515" i="13"/>
  <c r="AR515" i="13" s="1"/>
  <c r="AS515" i="13" s="1"/>
  <c r="BJ596" i="13"/>
  <c r="BL596" i="13" s="1"/>
  <c r="BM596" i="13" s="1"/>
  <c r="G224" i="13"/>
  <c r="AZ681" i="13"/>
  <c r="BB681" i="13" s="1"/>
  <c r="BC681" i="13" s="1"/>
  <c r="R280" i="13"/>
  <c r="AZ280" i="13" s="1"/>
  <c r="BB280" i="13" s="1"/>
  <c r="BC280" i="13" s="1"/>
  <c r="AF765" i="13"/>
  <c r="AH765" i="13" s="1"/>
  <c r="AI765" i="13" s="1"/>
  <c r="AP459" i="13"/>
  <c r="AR459" i="13" s="1"/>
  <c r="AS459" i="13" s="1"/>
  <c r="AP640" i="13"/>
  <c r="AR640" i="13" s="1"/>
  <c r="AS640" i="13" s="1"/>
  <c r="AK501" i="13"/>
  <c r="AM501" i="13" s="1"/>
  <c r="AN501" i="13" s="1"/>
  <c r="AZ622" i="13"/>
  <c r="BB622" i="13" s="1"/>
  <c r="BC622" i="13" s="1"/>
  <c r="AZ462" i="13"/>
  <c r="BB462" i="13" s="1"/>
  <c r="BC462" i="13" s="1"/>
  <c r="AZ425" i="13"/>
  <c r="BB425" i="13" s="1"/>
  <c r="BC425" i="13" s="1"/>
  <c r="AF505" i="13"/>
  <c r="AH505" i="13" s="1"/>
  <c r="AI505" i="13" s="1"/>
  <c r="AZ760" i="13"/>
  <c r="BB760" i="13" s="1"/>
  <c r="BC760" i="13" s="1"/>
  <c r="AF680" i="13"/>
  <c r="AH680" i="13" s="1"/>
  <c r="AI680" i="13" s="1"/>
  <c r="AK761" i="13"/>
  <c r="AM761" i="13" s="1"/>
  <c r="AN761" i="13" s="1"/>
  <c r="AF741" i="13"/>
  <c r="AH741" i="13" s="1"/>
  <c r="AI741" i="13" s="1"/>
  <c r="AZ775" i="13"/>
  <c r="BB775" i="13" s="1"/>
  <c r="BC775" i="13" s="1"/>
  <c r="AZ776" i="13"/>
  <c r="BB776" i="13" s="1"/>
  <c r="BC776" i="13" s="1"/>
  <c r="AZ777" i="13"/>
  <c r="BB777" i="13" s="1"/>
  <c r="BC777" i="13" s="1"/>
  <c r="AZ778" i="13"/>
  <c r="BB778" i="13" s="1"/>
  <c r="BC778" i="13" s="1"/>
  <c r="AZ779" i="13"/>
  <c r="BB779" i="13" s="1"/>
  <c r="BC779" i="13" s="1"/>
  <c r="AZ780" i="13"/>
  <c r="BB780" i="13" s="1"/>
  <c r="BC780" i="13" s="1"/>
  <c r="AZ783" i="13"/>
  <c r="BB783" i="13" s="1"/>
  <c r="BC783" i="13" s="1"/>
  <c r="AZ784" i="13"/>
  <c r="BB784" i="13" s="1"/>
  <c r="BC784" i="13" s="1"/>
  <c r="AZ495" i="13"/>
  <c r="BB495" i="13" s="1"/>
  <c r="BC495" i="13" s="1"/>
  <c r="AU635" i="13"/>
  <c r="AW635" i="13" s="1"/>
  <c r="AX635" i="13" s="1"/>
  <c r="AP615" i="13"/>
  <c r="AR615" i="13" s="1"/>
  <c r="AS615" i="13" s="1"/>
  <c r="AP455" i="13"/>
  <c r="AR455" i="13" s="1"/>
  <c r="AS455" i="13" s="1"/>
  <c r="AF415" i="13"/>
  <c r="AH415" i="13" s="1"/>
  <c r="AI415" i="13" s="1"/>
  <c r="AU636" i="13"/>
  <c r="AW636" i="13" s="1"/>
  <c r="AX636" i="13" s="1"/>
  <c r="AF416" i="13"/>
  <c r="AH416" i="13" s="1"/>
  <c r="AI416" i="13" s="1"/>
  <c r="AZ357" i="13"/>
  <c r="BB357" i="13" s="1"/>
  <c r="BC357" i="13" s="1"/>
  <c r="AF457" i="13"/>
  <c r="AH457" i="13" s="1"/>
  <c r="AI457" i="13" s="1"/>
  <c r="AZ358" i="13"/>
  <c r="BB358" i="13" s="1"/>
  <c r="BC358" i="13" s="1"/>
  <c r="AZ639" i="13"/>
  <c r="BB639" i="13" s="1"/>
  <c r="BC639" i="13" s="1"/>
  <c r="AK419" i="13"/>
  <c r="AM419" i="13" s="1"/>
  <c r="AN419" i="13" s="1"/>
  <c r="AZ500" i="13"/>
  <c r="BB500" i="13" s="1"/>
  <c r="BC500" i="13" s="1"/>
  <c r="AU640" i="13"/>
  <c r="AW640" i="13" s="1"/>
  <c r="AX640" i="13" s="1"/>
  <c r="BJ421" i="13"/>
  <c r="BL421" i="13" s="1"/>
  <c r="BM421" i="13" s="1"/>
  <c r="AZ541" i="13"/>
  <c r="BB541" i="13" s="1"/>
  <c r="BC541" i="13" s="1"/>
  <c r="AK641" i="13"/>
  <c r="AM641" i="13" s="1"/>
  <c r="AN641" i="13" s="1"/>
  <c r="AF621" i="13"/>
  <c r="AH621" i="13" s="1"/>
  <c r="AI621" i="13" s="1"/>
  <c r="AF461" i="13"/>
  <c r="AH461" i="13" s="1"/>
  <c r="AI461" i="13" s="1"/>
  <c r="AZ463" i="13"/>
  <c r="BB463" i="13" s="1"/>
  <c r="BC463" i="13" s="1"/>
  <c r="AP423" i="13"/>
  <c r="AR423" i="13" s="1"/>
  <c r="AS423" i="13" s="1"/>
  <c r="AF543" i="13"/>
  <c r="AH543" i="13" s="1"/>
  <c r="AI543" i="13" s="1"/>
  <c r="AP644" i="13"/>
  <c r="AR644" i="13" s="1"/>
  <c r="AS644" i="13" s="1"/>
  <c r="AZ547" i="13"/>
  <c r="BB547" i="13" s="1"/>
  <c r="BC547" i="13" s="1"/>
  <c r="AF735" i="13"/>
  <c r="AH735" i="13" s="1"/>
  <c r="AI735" i="13" s="1"/>
  <c r="AZ676" i="13"/>
  <c r="BB676" i="13" s="1"/>
  <c r="BC676" i="13" s="1"/>
  <c r="AZ737" i="13"/>
  <c r="BB737" i="13" s="1"/>
  <c r="BC737" i="13" s="1"/>
  <c r="AP697" i="13"/>
  <c r="AR697" i="13" s="1"/>
  <c r="AS697" i="13" s="1"/>
  <c r="AZ738" i="13"/>
  <c r="BB738" i="13" s="1"/>
  <c r="BC738" i="13" s="1"/>
  <c r="AZ739" i="13"/>
  <c r="BB739" i="13" s="1"/>
  <c r="BC739" i="13" s="1"/>
  <c r="AP421" i="13"/>
  <c r="AR421" i="13" s="1"/>
  <c r="AS421" i="13" s="1"/>
  <c r="AF541" i="13"/>
  <c r="AH541" i="13" s="1"/>
  <c r="AI541" i="13" s="1"/>
  <c r="AF361" i="13"/>
  <c r="AH361" i="13" s="1"/>
  <c r="AI361" i="13" s="1"/>
  <c r="AF640" i="13"/>
  <c r="AH640" i="13" s="1"/>
  <c r="AI640" i="13" s="1"/>
  <c r="AZ743" i="13"/>
  <c r="BB743" i="13" s="1"/>
  <c r="BC743" i="13" s="1"/>
  <c r="BJ745" i="13"/>
  <c r="BL745" i="13" s="1"/>
  <c r="BM745" i="13" s="1"/>
  <c r="AZ705" i="13"/>
  <c r="BB705" i="13" s="1"/>
  <c r="BC705" i="13" s="1"/>
  <c r="R284" i="13"/>
  <c r="AZ284" i="13" s="1"/>
  <c r="BB284" i="13" s="1"/>
  <c r="BC284" i="13" s="1"/>
  <c r="AZ496" i="13"/>
  <c r="BB496" i="13" s="1"/>
  <c r="BC496" i="13" s="1"/>
  <c r="AP636" i="13"/>
  <c r="AR636" i="13" s="1"/>
  <c r="AS636" i="13" s="1"/>
  <c r="AK616" i="13"/>
  <c r="AM616" i="13" s="1"/>
  <c r="AN616" i="13" s="1"/>
  <c r="AK497" i="13"/>
  <c r="AM497" i="13" s="1"/>
  <c r="AN497" i="13" s="1"/>
  <c r="AF637" i="13"/>
  <c r="AH637" i="13" s="1"/>
  <c r="AI637" i="13" s="1"/>
  <c r="AU538" i="13"/>
  <c r="AW538" i="13" s="1"/>
  <c r="AX538" i="13" s="1"/>
  <c r="AF638" i="13"/>
  <c r="AH638" i="13" s="1"/>
  <c r="AI638" i="13" s="1"/>
  <c r="F276" i="13"/>
  <c r="L445" i="11"/>
  <c r="BJ539" i="13"/>
  <c r="BL539" i="13" s="1"/>
  <c r="BM539" i="13" s="1"/>
  <c r="AZ499" i="13"/>
  <c r="BB499" i="13" s="1"/>
  <c r="BC499" i="13" s="1"/>
  <c r="AU639" i="13"/>
  <c r="AW639" i="13" s="1"/>
  <c r="AX639" i="13" s="1"/>
  <c r="AK599" i="13"/>
  <c r="AM599" i="13" s="1"/>
  <c r="AN599" i="13" s="1"/>
  <c r="AZ675" i="13"/>
  <c r="BB675" i="13" s="1"/>
  <c r="BC675" i="13" s="1"/>
  <c r="AF755" i="13"/>
  <c r="AH755" i="13" s="1"/>
  <c r="AI755" i="13" s="1"/>
  <c r="BJ736" i="13"/>
  <c r="BL736" i="13" s="1"/>
  <c r="BM736" i="13" s="1"/>
  <c r="AZ696" i="13"/>
  <c r="BB696" i="13" s="1"/>
  <c r="BC696" i="13" s="1"/>
  <c r="AU676" i="13"/>
  <c r="AW676" i="13" s="1"/>
  <c r="AX676" i="13" s="1"/>
  <c r="AZ757" i="13"/>
  <c r="BB757" i="13" s="1"/>
  <c r="BC757" i="13" s="1"/>
  <c r="AU737" i="13"/>
  <c r="AW737" i="13" s="1"/>
  <c r="AX737" i="13" s="1"/>
  <c r="AK697" i="13"/>
  <c r="AM697" i="13" s="1"/>
  <c r="AN697" i="13" s="1"/>
  <c r="AF677" i="13"/>
  <c r="AH677" i="13" s="1"/>
  <c r="AI677" i="13" s="1"/>
  <c r="G275" i="13"/>
  <c r="AZ758" i="13"/>
  <c r="BB758" i="13" s="1"/>
  <c r="BC758" i="13" s="1"/>
  <c r="AZ759" i="13"/>
  <c r="BB759" i="13" s="1"/>
  <c r="BC759" i="13" s="1"/>
  <c r="AU739" i="13"/>
  <c r="AW739" i="13" s="1"/>
  <c r="AX739" i="13" s="1"/>
  <c r="P276" i="13"/>
  <c r="AP276" i="13" s="1"/>
  <c r="AR276" i="13" s="1"/>
  <c r="AS276" i="13" s="1"/>
  <c r="AF679" i="13"/>
  <c r="AH679" i="13" s="1"/>
  <c r="AI679" i="13" s="1"/>
  <c r="AP740" i="13"/>
  <c r="AR740" i="13" s="1"/>
  <c r="AS740" i="13" s="1"/>
  <c r="AF700" i="13"/>
  <c r="AH700" i="13" s="1"/>
  <c r="AI700" i="13" s="1"/>
  <c r="K278" i="13"/>
  <c r="H218" i="13"/>
  <c r="AF761" i="13"/>
  <c r="AH761" i="13" s="1"/>
  <c r="AI761" i="13" s="1"/>
  <c r="K219" i="13"/>
  <c r="AP742" i="13"/>
  <c r="AR742" i="13" s="1"/>
  <c r="AS742" i="13" s="1"/>
  <c r="G272" i="13"/>
  <c r="BJ515" i="13"/>
  <c r="BL515" i="13" s="1"/>
  <c r="BM515" i="13" s="1"/>
  <c r="AP595" i="13"/>
  <c r="AR595" i="13" s="1"/>
  <c r="AS595" i="13" s="1"/>
  <c r="AK415" i="13"/>
  <c r="AM415" i="13" s="1"/>
  <c r="AN415" i="13" s="1"/>
  <c r="BJ516" i="13"/>
  <c r="BL516" i="13" s="1"/>
  <c r="BM516" i="13" s="1"/>
  <c r="AF645" i="13"/>
  <c r="AH645" i="13" s="1"/>
  <c r="AI645" i="13" s="1"/>
  <c r="G284" i="13"/>
  <c r="E284" i="13"/>
  <c r="AZ367" i="13"/>
  <c r="BB367" i="13" s="1"/>
  <c r="BC367" i="13" s="1"/>
  <c r="AU527" i="13"/>
  <c r="AW527" i="13" s="1"/>
  <c r="AX527" i="13" s="1"/>
  <c r="BJ777" i="13"/>
  <c r="BL777" i="13" s="1"/>
  <c r="BM777" i="13" s="1"/>
  <c r="BJ781" i="13"/>
  <c r="BL781" i="13" s="1"/>
  <c r="BM781" i="13" s="1"/>
  <c r="BJ364" i="13"/>
  <c r="BL364" i="13" s="1"/>
  <c r="BM364" i="13" s="1"/>
  <c r="AU644" i="13"/>
  <c r="AW644" i="13" s="1"/>
  <c r="AX644" i="13" s="1"/>
  <c r="AF424" i="13"/>
  <c r="AH424" i="13" s="1"/>
  <c r="AI424" i="13" s="1"/>
  <c r="BJ623" i="13"/>
  <c r="BL623" i="13" s="1"/>
  <c r="BM623" i="13" s="1"/>
  <c r="BJ463" i="13"/>
  <c r="BL463" i="13" s="1"/>
  <c r="BM463" i="13" s="1"/>
  <c r="AZ423" i="13"/>
  <c r="BB423" i="13" s="1"/>
  <c r="BC423" i="13" s="1"/>
  <c r="AP363" i="13"/>
  <c r="AR363" i="13" s="1"/>
  <c r="AS363" i="13" s="1"/>
  <c r="AK523" i="13"/>
  <c r="AM523" i="13" s="1"/>
  <c r="AN523" i="13" s="1"/>
  <c r="AF503" i="13"/>
  <c r="AH503" i="13" s="1"/>
  <c r="AI503" i="13" s="1"/>
  <c r="G279" i="13"/>
  <c r="AZ542" i="13"/>
  <c r="BB542" i="13" s="1"/>
  <c r="BC542" i="13" s="1"/>
  <c r="AZ362" i="13"/>
  <c r="BB362" i="13" s="1"/>
  <c r="BC362" i="13" s="1"/>
  <c r="AK642" i="13"/>
  <c r="AM642" i="13" s="1"/>
  <c r="AN642" i="13" s="1"/>
  <c r="G280" i="13"/>
  <c r="E173" i="13"/>
  <c r="AP419" i="13"/>
  <c r="AR419" i="13" s="1"/>
  <c r="AS419" i="13" s="1"/>
  <c r="AF359" i="13"/>
  <c r="AH359" i="13" s="1"/>
  <c r="AI359" i="13" s="1"/>
  <c r="BJ425" i="13"/>
  <c r="BL425" i="13" s="1"/>
  <c r="BM425" i="13" s="1"/>
  <c r="AP505" i="13"/>
  <c r="AR505" i="13" s="1"/>
  <c r="AS505" i="13" s="1"/>
  <c r="AK645" i="13"/>
  <c r="AM645" i="13" s="1"/>
  <c r="AN645" i="13" s="1"/>
  <c r="AF625" i="13"/>
  <c r="AH625" i="13" s="1"/>
  <c r="AI625" i="13" s="1"/>
  <c r="AF465" i="13"/>
  <c r="AH465" i="13" s="1"/>
  <c r="AI465" i="13" s="1"/>
  <c r="F182" i="13"/>
  <c r="J181" i="13"/>
  <c r="F178" i="13"/>
  <c r="AZ638" i="13"/>
  <c r="BB638" i="13" s="1"/>
  <c r="BC638" i="13" s="1"/>
  <c r="AF364" i="13"/>
  <c r="AH364" i="13" s="1"/>
  <c r="AI364" i="13" s="1"/>
  <c r="E274" i="13"/>
  <c r="AZ457" i="13"/>
  <c r="BB457" i="13" s="1"/>
  <c r="BC457" i="13" s="1"/>
  <c r="AZ503" i="13"/>
  <c r="BB503" i="13" s="1"/>
  <c r="BC503" i="13" s="1"/>
  <c r="AU643" i="13"/>
  <c r="AW643" i="13" s="1"/>
  <c r="AX643" i="13" s="1"/>
  <c r="AF423" i="13"/>
  <c r="AH423" i="13" s="1"/>
  <c r="AI423" i="13" s="1"/>
  <c r="AU360" i="13"/>
  <c r="AW360" i="13" s="1"/>
  <c r="AX360" i="13" s="1"/>
  <c r="J232" i="13"/>
  <c r="I235" i="13"/>
  <c r="H261" i="13"/>
  <c r="AZ635" i="13"/>
  <c r="BB635" i="13" s="1"/>
  <c r="BC635" i="13" s="1"/>
  <c r="AU615" i="13"/>
  <c r="AW615" i="13" s="1"/>
  <c r="AX615" i="13" s="1"/>
  <c r="AU455" i="13"/>
  <c r="AW455" i="13" s="1"/>
  <c r="AX455" i="13" s="1"/>
  <c r="N272" i="13"/>
  <c r="AF272" i="13" s="1"/>
  <c r="AH272" i="13" s="1"/>
  <c r="AI272" i="13" s="1"/>
  <c r="BJ416" i="13"/>
  <c r="BL416" i="13" s="1"/>
  <c r="BM416" i="13" s="1"/>
  <c r="AZ536" i="13"/>
  <c r="BB536" i="13" s="1"/>
  <c r="BC536" i="13" s="1"/>
  <c r="AU356" i="13"/>
  <c r="AW356" i="13" s="1"/>
  <c r="AX356" i="13" s="1"/>
  <c r="AP516" i="13"/>
  <c r="AR516" i="13" s="1"/>
  <c r="AS516" i="13" s="1"/>
  <c r="H278" i="13"/>
  <c r="AZ501" i="13"/>
  <c r="BB501" i="13" s="1"/>
  <c r="BC501" i="13" s="1"/>
  <c r="AU641" i="13"/>
  <c r="AW641" i="13" s="1"/>
  <c r="AX641" i="13" s="1"/>
  <c r="AP641" i="13"/>
  <c r="AR641" i="13" s="1"/>
  <c r="AS641" i="13" s="1"/>
  <c r="AZ602" i="13"/>
  <c r="BB602" i="13" s="1"/>
  <c r="BC602" i="13" s="1"/>
  <c r="AU422" i="13"/>
  <c r="AW422" i="13" s="1"/>
  <c r="AX422" i="13" s="1"/>
  <c r="AK542" i="13"/>
  <c r="AM542" i="13" s="1"/>
  <c r="AN542" i="13" s="1"/>
  <c r="AF522" i="13"/>
  <c r="AH522" i="13" s="1"/>
  <c r="AI522" i="13" s="1"/>
  <c r="AF362" i="13"/>
  <c r="AH362" i="13" s="1"/>
  <c r="AI362" i="13" s="1"/>
  <c r="K280" i="13"/>
  <c r="I280" i="13"/>
  <c r="E172" i="13"/>
  <c r="E272" i="13"/>
  <c r="AZ647" i="13"/>
  <c r="BB647" i="13" s="1"/>
  <c r="BC647" i="13" s="1"/>
  <c r="L212" i="13"/>
  <c r="K212" i="13"/>
  <c r="F272" i="13"/>
  <c r="E212" i="13"/>
  <c r="AU755" i="13"/>
  <c r="AW755" i="13" s="1"/>
  <c r="AX755" i="13" s="1"/>
  <c r="AP735" i="13"/>
  <c r="AR735" i="13" s="1"/>
  <c r="AS735" i="13" s="1"/>
  <c r="AF695" i="13"/>
  <c r="AH695" i="13" s="1"/>
  <c r="AI695" i="13" s="1"/>
  <c r="L213" i="13"/>
  <c r="K213" i="13"/>
  <c r="J213" i="13"/>
  <c r="BE415" i="13"/>
  <c r="BG415" i="13" s="1"/>
  <c r="BH415" i="13" s="1"/>
  <c r="BE496" i="13"/>
  <c r="BG496" i="13" s="1"/>
  <c r="BH496" i="13" s="1"/>
  <c r="BE417" i="13"/>
  <c r="BG417" i="13" s="1"/>
  <c r="BH417" i="13" s="1"/>
  <c r="BE638" i="13"/>
  <c r="BG638" i="13" s="1"/>
  <c r="BH638" i="13" s="1"/>
  <c r="BE521" i="13"/>
  <c r="BG521" i="13" s="1"/>
  <c r="BH521" i="13" s="1"/>
  <c r="BE642" i="13"/>
  <c r="BG642" i="13" s="1"/>
  <c r="BH642" i="13" s="1"/>
  <c r="BE503" i="13"/>
  <c r="BG503" i="13" s="1"/>
  <c r="BH503" i="13" s="1"/>
  <c r="BE604" i="13"/>
  <c r="BG604" i="13" s="1"/>
  <c r="BH604" i="13" s="1"/>
  <c r="BE625" i="13"/>
  <c r="BG625" i="13" s="1"/>
  <c r="BH625" i="13" s="1"/>
  <c r="BE465" i="13"/>
  <c r="BG465" i="13" s="1"/>
  <c r="BH465" i="13" s="1"/>
  <c r="BE607" i="13"/>
  <c r="BG607" i="13" s="1"/>
  <c r="BH607" i="13" s="1"/>
  <c r="BE695" i="13"/>
  <c r="BG695" i="13" s="1"/>
  <c r="BH695" i="13" s="1"/>
  <c r="BE738" i="13"/>
  <c r="BG738" i="13" s="1"/>
  <c r="BH738" i="13" s="1"/>
  <c r="BE759" i="13"/>
  <c r="BG759" i="13" s="1"/>
  <c r="BH759" i="13" s="1"/>
  <c r="BE682" i="13"/>
  <c r="BG682" i="13" s="1"/>
  <c r="BH682" i="13" s="1"/>
  <c r="BE705" i="13"/>
  <c r="BG705" i="13" s="1"/>
  <c r="BH705" i="13" s="1"/>
  <c r="BE636" i="13"/>
  <c r="BG636" i="13" s="1"/>
  <c r="BH636" i="13" s="1"/>
  <c r="BE458" i="13"/>
  <c r="BG458" i="13" s="1"/>
  <c r="BH458" i="13" s="1"/>
  <c r="BE539" i="13"/>
  <c r="BG539" i="13" s="1"/>
  <c r="BH539" i="13" s="1"/>
  <c r="BE359" i="13"/>
  <c r="BG359" i="13" s="1"/>
  <c r="BH359" i="13" s="1"/>
  <c r="BE500" i="13"/>
  <c r="BG500" i="13" s="1"/>
  <c r="BH500" i="13" s="1"/>
  <c r="BE501" i="13"/>
  <c r="BG501" i="13" s="1"/>
  <c r="BH501" i="13" s="1"/>
  <c r="BE622" i="13"/>
  <c r="BG622" i="13" s="1"/>
  <c r="BH622" i="13" s="1"/>
  <c r="BE462" i="13"/>
  <c r="BG462" i="13" s="1"/>
  <c r="BH462" i="13" s="1"/>
  <c r="BE643" i="13"/>
  <c r="BG643" i="13" s="1"/>
  <c r="BH643" i="13" s="1"/>
  <c r="BE424" i="13"/>
  <c r="BG424" i="13" s="1"/>
  <c r="BH424" i="13" s="1"/>
  <c r="BE605" i="13"/>
  <c r="BG605" i="13" s="1"/>
  <c r="BH605" i="13" s="1"/>
  <c r="BE427" i="13"/>
  <c r="BG427" i="13" s="1"/>
  <c r="BH427" i="13" s="1"/>
  <c r="BE675" i="13"/>
  <c r="BG675" i="13" s="1"/>
  <c r="BH675" i="13" s="1"/>
  <c r="BE696" i="13"/>
  <c r="BG696" i="13" s="1"/>
  <c r="BH696" i="13" s="1"/>
  <c r="BE739" i="13"/>
  <c r="BG739" i="13" s="1"/>
  <c r="BH739" i="13" s="1"/>
  <c r="BE760" i="13"/>
  <c r="BG760" i="13" s="1"/>
  <c r="BH760" i="13" s="1"/>
  <c r="BE701" i="13"/>
  <c r="BG701" i="13" s="1"/>
  <c r="BH701" i="13" s="1"/>
  <c r="BE685" i="13"/>
  <c r="BG685" i="13" s="1"/>
  <c r="BH685" i="13" s="1"/>
  <c r="BE707" i="13"/>
  <c r="BG707" i="13" s="1"/>
  <c r="BH707" i="13" s="1"/>
  <c r="BE535" i="13"/>
  <c r="BG535" i="13" s="1"/>
  <c r="BH535" i="13" s="1"/>
  <c r="BE355" i="13"/>
  <c r="BG355" i="13" s="1"/>
  <c r="BH355" i="13" s="1"/>
  <c r="BE616" i="13"/>
  <c r="BG616" i="13" s="1"/>
  <c r="BH616" i="13" s="1"/>
  <c r="BE456" i="13"/>
  <c r="BG456" i="13" s="1"/>
  <c r="BH456" i="13" s="1"/>
  <c r="BE537" i="13"/>
  <c r="BG537" i="13" s="1"/>
  <c r="BH537" i="13" s="1"/>
  <c r="BE357" i="13"/>
  <c r="BG357" i="13" s="1"/>
  <c r="BH357" i="13" s="1"/>
  <c r="BE598" i="13"/>
  <c r="BG598" i="13" s="1"/>
  <c r="BH598" i="13" s="1"/>
  <c r="BE640" i="13"/>
  <c r="BG640" i="13" s="1"/>
  <c r="BH640" i="13" s="1"/>
  <c r="BE641" i="13"/>
  <c r="BG641" i="13" s="1"/>
  <c r="BH641" i="13" s="1"/>
  <c r="BE602" i="13"/>
  <c r="BG602" i="13" s="1"/>
  <c r="BH602" i="13" s="1"/>
  <c r="BE623" i="13"/>
  <c r="BG623" i="13" s="1"/>
  <c r="BH623" i="13" s="1"/>
  <c r="BE463" i="13"/>
  <c r="BG463" i="13" s="1"/>
  <c r="BH463" i="13" s="1"/>
  <c r="BE425" i="13"/>
  <c r="BG425" i="13" s="1"/>
  <c r="BH425" i="13" s="1"/>
  <c r="BE676" i="13"/>
  <c r="BG676" i="13" s="1"/>
  <c r="BH676" i="13" s="1"/>
  <c r="BE698" i="13"/>
  <c r="BG698" i="13" s="1"/>
  <c r="BH698" i="13" s="1"/>
  <c r="BE740" i="13"/>
  <c r="BG740" i="13" s="1"/>
  <c r="BH740" i="13" s="1"/>
  <c r="BE681" i="13"/>
  <c r="BG681" i="13" s="1"/>
  <c r="BH681" i="13" s="1"/>
  <c r="BE763" i="13"/>
  <c r="BG763" i="13" s="1"/>
  <c r="BH763" i="13" s="1"/>
  <c r="BE764" i="13"/>
  <c r="BG764" i="13" s="1"/>
  <c r="BH764" i="13" s="1"/>
  <c r="BE687" i="13"/>
  <c r="BG687" i="13" s="1"/>
  <c r="BH687" i="13" s="1"/>
  <c r="BE515" i="13"/>
  <c r="BG515" i="13" s="1"/>
  <c r="BH515" i="13" s="1"/>
  <c r="BE596" i="13"/>
  <c r="BG596" i="13" s="1"/>
  <c r="BH596" i="13" s="1"/>
  <c r="BE418" i="13"/>
  <c r="BG418" i="13" s="1"/>
  <c r="BH418" i="13" s="1"/>
  <c r="BE499" i="13"/>
  <c r="BG499" i="13" s="1"/>
  <c r="BH499" i="13" s="1"/>
  <c r="BE460" i="13"/>
  <c r="BG460" i="13" s="1"/>
  <c r="BH460" i="13" s="1"/>
  <c r="BE621" i="13"/>
  <c r="BG621" i="13" s="1"/>
  <c r="BH621" i="13" s="1"/>
  <c r="BE461" i="13"/>
  <c r="BG461" i="13" s="1"/>
  <c r="BH461" i="13" s="1"/>
  <c r="BE422" i="13"/>
  <c r="BG422" i="13" s="1"/>
  <c r="BH422" i="13" s="1"/>
  <c r="BE603" i="13"/>
  <c r="BG603" i="13" s="1"/>
  <c r="BH603" i="13" s="1"/>
  <c r="BE544" i="13"/>
  <c r="BG544" i="13" s="1"/>
  <c r="BH544" i="13" s="1"/>
  <c r="BE364" i="13"/>
  <c r="BG364" i="13" s="1"/>
  <c r="BH364" i="13" s="1"/>
  <c r="BE547" i="13"/>
  <c r="BG547" i="13" s="1"/>
  <c r="BH547" i="13" s="1"/>
  <c r="BE367" i="13"/>
  <c r="BG367" i="13" s="1"/>
  <c r="BH367" i="13" s="1"/>
  <c r="BE757" i="13"/>
  <c r="BG757" i="13" s="1"/>
  <c r="BH757" i="13" s="1"/>
  <c r="BE678" i="13"/>
  <c r="BG678" i="13" s="1"/>
  <c r="BH678" i="13" s="1"/>
  <c r="BE699" i="13"/>
  <c r="BG699" i="13" s="1"/>
  <c r="BH699" i="13" s="1"/>
  <c r="BE743" i="13"/>
  <c r="BG743" i="13" s="1"/>
  <c r="BH743" i="13" s="1"/>
  <c r="BE744" i="13"/>
  <c r="BG744" i="13" s="1"/>
  <c r="BH744" i="13" s="1"/>
  <c r="BE495" i="13"/>
  <c r="BG495" i="13" s="1"/>
  <c r="BH495" i="13" s="1"/>
  <c r="BE416" i="13"/>
  <c r="BG416" i="13" s="1"/>
  <c r="BH416" i="13" s="1"/>
  <c r="BE497" i="13"/>
  <c r="BG497" i="13" s="1"/>
  <c r="BH497" i="13" s="1"/>
  <c r="BE639" i="13"/>
  <c r="BG639" i="13" s="1"/>
  <c r="BH639" i="13" s="1"/>
  <c r="BE600" i="13"/>
  <c r="BG600" i="13" s="1"/>
  <c r="BH600" i="13" s="1"/>
  <c r="BE601" i="13"/>
  <c r="BG601" i="13" s="1"/>
  <c r="BH601" i="13" s="1"/>
  <c r="BE423" i="13"/>
  <c r="BG423" i="13" s="1"/>
  <c r="BH423" i="13" s="1"/>
  <c r="BE524" i="13"/>
  <c r="BG524" i="13" s="1"/>
  <c r="BH524" i="13" s="1"/>
  <c r="BE545" i="13"/>
  <c r="BG545" i="13" s="1"/>
  <c r="BH545" i="13" s="1"/>
  <c r="BE365" i="13"/>
  <c r="BG365" i="13" s="1"/>
  <c r="BH365" i="13" s="1"/>
  <c r="BE527" i="13"/>
  <c r="BG527" i="13" s="1"/>
  <c r="BH527" i="13" s="1"/>
  <c r="BE737" i="13"/>
  <c r="BG737" i="13" s="1"/>
  <c r="BH737" i="13" s="1"/>
  <c r="BE679" i="13"/>
  <c r="BG679" i="13" s="1"/>
  <c r="BH679" i="13" s="1"/>
  <c r="BE700" i="13"/>
  <c r="BG700" i="13" s="1"/>
  <c r="BH700" i="13" s="1"/>
  <c r="BE762" i="13"/>
  <c r="BG762" i="13" s="1"/>
  <c r="BH762" i="13" s="1"/>
  <c r="BE635" i="13"/>
  <c r="BG635" i="13" s="1"/>
  <c r="BH635" i="13" s="1"/>
  <c r="BE637" i="13"/>
  <c r="BG637" i="13" s="1"/>
  <c r="BH637" i="13" s="1"/>
  <c r="BE538" i="13"/>
  <c r="BG538" i="13" s="1"/>
  <c r="BH538" i="13" s="1"/>
  <c r="BE358" i="13"/>
  <c r="BG358" i="13" s="1"/>
  <c r="BH358" i="13" s="1"/>
  <c r="BE459" i="13"/>
  <c r="BG459" i="13" s="1"/>
  <c r="BH459" i="13" s="1"/>
  <c r="BE420" i="13"/>
  <c r="BG420" i="13" s="1"/>
  <c r="BH420" i="13" s="1"/>
  <c r="BE421" i="13"/>
  <c r="BG421" i="13" s="1"/>
  <c r="BH421" i="13" s="1"/>
  <c r="BE542" i="13"/>
  <c r="BG542" i="13" s="1"/>
  <c r="BH542" i="13" s="1"/>
  <c r="BE362" i="13"/>
  <c r="BG362" i="13" s="1"/>
  <c r="BH362" i="13" s="1"/>
  <c r="BE504" i="13"/>
  <c r="BG504" i="13" s="1"/>
  <c r="BH504" i="13" s="1"/>
  <c r="BE525" i="13"/>
  <c r="BG525" i="13" s="1"/>
  <c r="BH525" i="13" s="1"/>
  <c r="BE507" i="13"/>
  <c r="BG507" i="13" s="1"/>
  <c r="BH507" i="13" s="1"/>
  <c r="BE755" i="13"/>
  <c r="BG755" i="13" s="1"/>
  <c r="BH755" i="13" s="1"/>
  <c r="BE680" i="13"/>
  <c r="BG680" i="13" s="1"/>
  <c r="BH680" i="13" s="1"/>
  <c r="BE742" i="13"/>
  <c r="BG742" i="13" s="1"/>
  <c r="BH742" i="13" s="1"/>
  <c r="BE703" i="13"/>
  <c r="BG703" i="13" s="1"/>
  <c r="BH703" i="13" s="1"/>
  <c r="BE765" i="13"/>
  <c r="BG765" i="13" s="1"/>
  <c r="BH765" i="13" s="1"/>
  <c r="BE775" i="13"/>
  <c r="BG775" i="13" s="1"/>
  <c r="BH775" i="13" s="1"/>
  <c r="BE776" i="13"/>
  <c r="BG776" i="13" s="1"/>
  <c r="BH776" i="13" s="1"/>
  <c r="BE777" i="13"/>
  <c r="BG777" i="13" s="1"/>
  <c r="BH777" i="13" s="1"/>
  <c r="BE778" i="13"/>
  <c r="BG778" i="13" s="1"/>
  <c r="BH778" i="13" s="1"/>
  <c r="BE779" i="13"/>
  <c r="BG779" i="13" s="1"/>
  <c r="BH779" i="13" s="1"/>
  <c r="BE780" i="13"/>
  <c r="BG780" i="13" s="1"/>
  <c r="BH780" i="13" s="1"/>
  <c r="BE781" i="13"/>
  <c r="BG781" i="13" s="1"/>
  <c r="BH781" i="13" s="1"/>
  <c r="BE782" i="13"/>
  <c r="BG782" i="13" s="1"/>
  <c r="BH782" i="13" s="1"/>
  <c r="BE783" i="13"/>
  <c r="BG783" i="13" s="1"/>
  <c r="BH783" i="13" s="1"/>
  <c r="BE784" i="13"/>
  <c r="BG784" i="13" s="1"/>
  <c r="BH784" i="13" s="1"/>
  <c r="BE785" i="13"/>
  <c r="BG785" i="13" s="1"/>
  <c r="BH785" i="13" s="1"/>
  <c r="BE787" i="13"/>
  <c r="BG787" i="13" s="1"/>
  <c r="BH787" i="13" s="1"/>
  <c r="BE615" i="13"/>
  <c r="BG615" i="13" s="1"/>
  <c r="BH615" i="13" s="1"/>
  <c r="BE455" i="13"/>
  <c r="BG455" i="13" s="1"/>
  <c r="BH455" i="13" s="1"/>
  <c r="BE536" i="13"/>
  <c r="BG536" i="13" s="1"/>
  <c r="BH536" i="13" s="1"/>
  <c r="BE356" i="13"/>
  <c r="BG356" i="13" s="1"/>
  <c r="BH356" i="13" s="1"/>
  <c r="BE457" i="13"/>
  <c r="BG457" i="13" s="1"/>
  <c r="BH457" i="13" s="1"/>
  <c r="BE599" i="13"/>
  <c r="BG599" i="13" s="1"/>
  <c r="BH599" i="13" s="1"/>
  <c r="BE522" i="13"/>
  <c r="BG522" i="13" s="1"/>
  <c r="BH522" i="13" s="1"/>
  <c r="BE543" i="13"/>
  <c r="BG543" i="13" s="1"/>
  <c r="BH543" i="13" s="1"/>
  <c r="BE363" i="13"/>
  <c r="BG363" i="13" s="1"/>
  <c r="BH363" i="13" s="1"/>
  <c r="BE644" i="13"/>
  <c r="BG644" i="13" s="1"/>
  <c r="BH644" i="13" s="1"/>
  <c r="BE505" i="13"/>
  <c r="BG505" i="13" s="1"/>
  <c r="BH505" i="13" s="1"/>
  <c r="BE647" i="13"/>
  <c r="BG647" i="13" s="1"/>
  <c r="BH647" i="13" s="1"/>
  <c r="BE735" i="13"/>
  <c r="BG735" i="13" s="1"/>
  <c r="BH735" i="13" s="1"/>
  <c r="BE756" i="13"/>
  <c r="BG756" i="13" s="1"/>
  <c r="BH756" i="13" s="1"/>
  <c r="BE697" i="13"/>
  <c r="BG697" i="13" s="1"/>
  <c r="BH697" i="13" s="1"/>
  <c r="BE761" i="13"/>
  <c r="BG761" i="13" s="1"/>
  <c r="BH761" i="13" s="1"/>
  <c r="BE683" i="13"/>
  <c r="BG683" i="13" s="1"/>
  <c r="BH683" i="13" s="1"/>
  <c r="BE704" i="13"/>
  <c r="BG704" i="13" s="1"/>
  <c r="BH704" i="13" s="1"/>
  <c r="BE745" i="13"/>
  <c r="BG745" i="13" s="1"/>
  <c r="BH745" i="13" s="1"/>
  <c r="BE767" i="13"/>
  <c r="BG767" i="13" s="1"/>
  <c r="BH767" i="13" s="1"/>
  <c r="BE595" i="13"/>
  <c r="BG595" i="13" s="1"/>
  <c r="BH595" i="13" s="1"/>
  <c r="BE516" i="13"/>
  <c r="BG516" i="13" s="1"/>
  <c r="BH516" i="13" s="1"/>
  <c r="BE597" i="13"/>
  <c r="BG597" i="13" s="1"/>
  <c r="BH597" i="13" s="1"/>
  <c r="BE498" i="13"/>
  <c r="BG498" i="13" s="1"/>
  <c r="BH498" i="13" s="1"/>
  <c r="BE419" i="13"/>
  <c r="BG419" i="13" s="1"/>
  <c r="BH419" i="13" s="1"/>
  <c r="BE540" i="13"/>
  <c r="BG540" i="13" s="1"/>
  <c r="BH540" i="13" s="1"/>
  <c r="BE360" i="13"/>
  <c r="BG360" i="13" s="1"/>
  <c r="BH360" i="13" s="1"/>
  <c r="BE541" i="13"/>
  <c r="BG541" i="13" s="1"/>
  <c r="BH541" i="13" s="1"/>
  <c r="BE361" i="13"/>
  <c r="BG361" i="13" s="1"/>
  <c r="BH361" i="13" s="1"/>
  <c r="BE502" i="13"/>
  <c r="BG502" i="13" s="1"/>
  <c r="BH502" i="13" s="1"/>
  <c r="BE523" i="13"/>
  <c r="BG523" i="13" s="1"/>
  <c r="BH523" i="13" s="1"/>
  <c r="BE624" i="13"/>
  <c r="BG624" i="13" s="1"/>
  <c r="BH624" i="13" s="1"/>
  <c r="BE464" i="13"/>
  <c r="BG464" i="13" s="1"/>
  <c r="BH464" i="13" s="1"/>
  <c r="BE645" i="13"/>
  <c r="BG645" i="13" s="1"/>
  <c r="BH645" i="13" s="1"/>
  <c r="BE627" i="13"/>
  <c r="BG627" i="13" s="1"/>
  <c r="BH627" i="13" s="1"/>
  <c r="BE467" i="13"/>
  <c r="BG467" i="13" s="1"/>
  <c r="BH467" i="13" s="1"/>
  <c r="BE736" i="13"/>
  <c r="BG736" i="13" s="1"/>
  <c r="BH736" i="13" s="1"/>
  <c r="BE677" i="13"/>
  <c r="BG677" i="13" s="1"/>
  <c r="BH677" i="13" s="1"/>
  <c r="BE758" i="13"/>
  <c r="BG758" i="13" s="1"/>
  <c r="BH758" i="13" s="1"/>
  <c r="BE741" i="13"/>
  <c r="BG741" i="13" s="1"/>
  <c r="BH741" i="13" s="1"/>
  <c r="BE702" i="13"/>
  <c r="BG702" i="13" s="1"/>
  <c r="BH702" i="13" s="1"/>
  <c r="BE684" i="13"/>
  <c r="BG684" i="13" s="1"/>
  <c r="BH684" i="13" s="1"/>
  <c r="BE747" i="13"/>
  <c r="BG747" i="13" s="1"/>
  <c r="BH747" i="13" s="1"/>
  <c r="AP775" i="13"/>
  <c r="AR775" i="13" s="1"/>
  <c r="AS775" i="13" s="1"/>
  <c r="U237" i="13"/>
  <c r="E236" i="13"/>
  <c r="U236" i="13"/>
  <c r="G240" i="13"/>
  <c r="G241" i="13"/>
  <c r="F253" i="13"/>
  <c r="F255" i="13"/>
  <c r="F256" i="13"/>
  <c r="U264" i="13"/>
  <c r="E237" i="13"/>
  <c r="G259" i="13"/>
  <c r="G260" i="13"/>
  <c r="E264" i="13"/>
  <c r="E233" i="13"/>
  <c r="F242" i="13"/>
  <c r="F252" i="13"/>
  <c r="E257" i="13"/>
  <c r="F258" i="13"/>
  <c r="I277" i="13"/>
  <c r="K281" i="13"/>
  <c r="E281" i="13"/>
  <c r="E239" i="13"/>
  <c r="H272" i="13"/>
  <c r="F273" i="13"/>
  <c r="I284" i="13"/>
  <c r="E244" i="13"/>
  <c r="H281" i="13"/>
  <c r="G262" i="13"/>
  <c r="G282" i="13"/>
  <c r="AU785" i="13"/>
  <c r="AW785" i="13" s="1"/>
  <c r="AX785" i="13" s="1"/>
  <c r="AP778" i="13"/>
  <c r="AR778" i="13" s="1"/>
  <c r="AS778" i="13" s="1"/>
  <c r="AZ782" i="13"/>
  <c r="BB782" i="13" s="1"/>
  <c r="BC782" i="13" s="1"/>
  <c r="AK775" i="13"/>
  <c r="AM775" i="13" s="1"/>
  <c r="AN775" i="13" s="1"/>
  <c r="BJ782" i="13"/>
  <c r="BL782" i="13" s="1"/>
  <c r="BM782" i="13" s="1"/>
  <c r="U218" i="13" l="1"/>
  <c r="L502" i="11"/>
  <c r="L506" i="11"/>
  <c r="F499" i="11"/>
  <c r="G274" i="13"/>
  <c r="H508" i="11"/>
  <c r="F498" i="11"/>
  <c r="L500" i="11"/>
  <c r="E273" i="13"/>
  <c r="H498" i="11"/>
  <c r="H501" i="11"/>
  <c r="H504" i="11"/>
  <c r="E276" i="13"/>
  <c r="BE838" i="13"/>
  <c r="BG838" i="13" s="1"/>
  <c r="BH838" i="13" s="1"/>
  <c r="S255" i="13"/>
  <c r="BE255" i="13" s="1"/>
  <c r="BG255" i="13" s="1"/>
  <c r="BH255" i="13" s="1"/>
  <c r="BE836" i="13"/>
  <c r="BG836" i="13" s="1"/>
  <c r="BH836" i="13" s="1"/>
  <c r="S253" i="13"/>
  <c r="BE253" i="13" s="1"/>
  <c r="BG253" i="13" s="1"/>
  <c r="BH253" i="13" s="1"/>
  <c r="AP824" i="13"/>
  <c r="AR824" i="13" s="1"/>
  <c r="AS824" i="13" s="1"/>
  <c r="P241" i="13"/>
  <c r="AP241" i="13" s="1"/>
  <c r="AR241" i="13" s="1"/>
  <c r="AS241" i="13" s="1"/>
  <c r="AU819" i="13"/>
  <c r="AW819" i="13" s="1"/>
  <c r="AX819" i="13" s="1"/>
  <c r="Q236" i="13"/>
  <c r="AU236" i="13" s="1"/>
  <c r="AW236" i="13" s="1"/>
  <c r="AX236" i="13" s="1"/>
  <c r="BE663" i="13"/>
  <c r="BG663" i="13" s="1"/>
  <c r="BH663" i="13" s="1"/>
  <c r="S220" i="13"/>
  <c r="BE220" i="13" s="1"/>
  <c r="BG220" i="13" s="1"/>
  <c r="BH220" i="13" s="1"/>
  <c r="BE715" i="13"/>
  <c r="BG715" i="13" s="1"/>
  <c r="BH715" i="13" s="1"/>
  <c r="J479" i="11"/>
  <c r="AP854" i="13"/>
  <c r="BE864" i="13"/>
  <c r="BG864" i="13" s="1"/>
  <c r="BH864" i="13" s="1"/>
  <c r="BE556" i="13"/>
  <c r="BG556" i="13" s="1"/>
  <c r="BH556" i="13" s="1"/>
  <c r="J442" i="11"/>
  <c r="BE295" i="13"/>
  <c r="BG295" i="13" s="1"/>
  <c r="BH295" i="13" s="1"/>
  <c r="BE723" i="13"/>
  <c r="BG723" i="13" s="1"/>
  <c r="BH723" i="13" s="1"/>
  <c r="J487" i="11"/>
  <c r="BE298" i="13"/>
  <c r="BG298" i="13" s="1"/>
  <c r="BH298" i="13" s="1"/>
  <c r="BE842" i="13"/>
  <c r="BG842" i="13" s="1"/>
  <c r="BH842" i="13" s="1"/>
  <c r="S259" i="13"/>
  <c r="BE259" i="13" s="1"/>
  <c r="BG259" i="13" s="1"/>
  <c r="BH259" i="13" s="1"/>
  <c r="BE859" i="13"/>
  <c r="BG859" i="13" s="1"/>
  <c r="BH859" i="13" s="1"/>
  <c r="BJ854" i="13"/>
  <c r="AZ863" i="13"/>
  <c r="BB863" i="13" s="1"/>
  <c r="BC863" i="13" s="1"/>
  <c r="AP867" i="13"/>
  <c r="AR867" i="13" s="1"/>
  <c r="AS867" i="13" s="1"/>
  <c r="AZ842" i="13"/>
  <c r="BB842" i="13" s="1"/>
  <c r="BC842" i="13" s="1"/>
  <c r="R259" i="13"/>
  <c r="AZ259" i="13" s="1"/>
  <c r="BB259" i="13" s="1"/>
  <c r="BC259" i="13" s="1"/>
  <c r="AZ815" i="13"/>
  <c r="BB815" i="13" s="1"/>
  <c r="BC815" i="13" s="1"/>
  <c r="R232" i="13"/>
  <c r="AZ232" i="13" s="1"/>
  <c r="BB232" i="13" s="1"/>
  <c r="BC232" i="13" s="1"/>
  <c r="AZ485" i="13"/>
  <c r="BB485" i="13" s="1"/>
  <c r="BC485" i="13" s="1"/>
  <c r="I432" i="11"/>
  <c r="R282" i="13"/>
  <c r="AZ282" i="13" s="1"/>
  <c r="BB282" i="13" s="1"/>
  <c r="BC282" i="13" s="1"/>
  <c r="AF661" i="13"/>
  <c r="AH661" i="13" s="1"/>
  <c r="AI661" i="13" s="1"/>
  <c r="N218" i="13"/>
  <c r="AF218" i="13" s="1"/>
  <c r="AH218" i="13" s="1"/>
  <c r="AI218" i="13" s="1"/>
  <c r="AP296" i="13"/>
  <c r="AR296" i="13" s="1"/>
  <c r="AS296" i="13" s="1"/>
  <c r="P173" i="13"/>
  <c r="AU299" i="13"/>
  <c r="AW299" i="13" s="1"/>
  <c r="AX299" i="13" s="1"/>
  <c r="L429" i="11"/>
  <c r="L505" i="11" s="1"/>
  <c r="U279" i="13"/>
  <c r="BJ665" i="13"/>
  <c r="BL665" i="13" s="1"/>
  <c r="BM665" i="13" s="1"/>
  <c r="T222" i="13"/>
  <c r="BJ222" i="13" s="1"/>
  <c r="AK662" i="13"/>
  <c r="AM662" i="13" s="1"/>
  <c r="AN662" i="13" s="1"/>
  <c r="O219" i="13"/>
  <c r="AK219" i="13" s="1"/>
  <c r="AM219" i="13" s="1"/>
  <c r="AN219" i="13" s="1"/>
  <c r="AZ722" i="13"/>
  <c r="BB722" i="13" s="1"/>
  <c r="BC722" i="13" s="1"/>
  <c r="I486" i="11"/>
  <c r="AZ720" i="13"/>
  <c r="BB720" i="13" s="1"/>
  <c r="BC720" i="13" s="1"/>
  <c r="I484" i="11"/>
  <c r="AF715" i="13"/>
  <c r="AH715" i="13" s="1"/>
  <c r="AI715" i="13" s="1"/>
  <c r="E479" i="11"/>
  <c r="H434" i="11"/>
  <c r="AU487" i="13"/>
  <c r="AW487" i="13" s="1"/>
  <c r="AX487" i="13" s="1"/>
  <c r="Q284" i="13"/>
  <c r="AU284" i="13" s="1"/>
  <c r="AW284" i="13" s="1"/>
  <c r="AX284" i="13" s="1"/>
  <c r="BJ865" i="13"/>
  <c r="BL865" i="13" s="1"/>
  <c r="BM865" i="13" s="1"/>
  <c r="AZ838" i="13"/>
  <c r="BB838" i="13" s="1"/>
  <c r="BC838" i="13" s="1"/>
  <c r="R255" i="13"/>
  <c r="AZ255" i="13" s="1"/>
  <c r="BB255" i="13" s="1"/>
  <c r="BC255" i="13" s="1"/>
  <c r="N234" i="13"/>
  <c r="AF234" i="13" s="1"/>
  <c r="AH234" i="13" s="1"/>
  <c r="AI234" i="13" s="1"/>
  <c r="AF817" i="13"/>
  <c r="AH817" i="13" s="1"/>
  <c r="AI817" i="13" s="1"/>
  <c r="AU825" i="13"/>
  <c r="AW825" i="13" s="1"/>
  <c r="AX825" i="13" s="1"/>
  <c r="Q242" i="13"/>
  <c r="AU242" i="13" s="1"/>
  <c r="AW242" i="13" s="1"/>
  <c r="AX242" i="13" s="1"/>
  <c r="AU817" i="13"/>
  <c r="AW817" i="13" s="1"/>
  <c r="AX817" i="13" s="1"/>
  <c r="Q234" i="13"/>
  <c r="AU234" i="13" s="1"/>
  <c r="AW234" i="13" s="1"/>
  <c r="AX234" i="13" s="1"/>
  <c r="AK561" i="13"/>
  <c r="AM561" i="13" s="1"/>
  <c r="AN561" i="13" s="1"/>
  <c r="F447" i="11"/>
  <c r="BJ724" i="13"/>
  <c r="BL724" i="13" s="1"/>
  <c r="BM724" i="13" s="1"/>
  <c r="K488" i="11"/>
  <c r="AF660" i="13"/>
  <c r="AH660" i="13" s="1"/>
  <c r="AI660" i="13" s="1"/>
  <c r="N217" i="13"/>
  <c r="AF217" i="13" s="1"/>
  <c r="AH217" i="13" s="1"/>
  <c r="AI217" i="13" s="1"/>
  <c r="AZ660" i="13"/>
  <c r="BB660" i="13" s="1"/>
  <c r="BC660" i="13" s="1"/>
  <c r="R217" i="13"/>
  <c r="AZ217" i="13" s="1"/>
  <c r="BB217" i="13" s="1"/>
  <c r="BC217" i="13" s="1"/>
  <c r="BJ720" i="13"/>
  <c r="BL720" i="13" s="1"/>
  <c r="BM720" i="13" s="1"/>
  <c r="K484" i="11"/>
  <c r="BJ659" i="13"/>
  <c r="BL659" i="13" s="1"/>
  <c r="BM659" i="13" s="1"/>
  <c r="T216" i="13"/>
  <c r="BJ216" i="13" s="1"/>
  <c r="BJ717" i="13"/>
  <c r="BL717" i="13" s="1"/>
  <c r="BM717" i="13" s="1"/>
  <c r="K481" i="11"/>
  <c r="BJ482" i="13"/>
  <c r="BL482" i="13" s="1"/>
  <c r="BM482" i="13" s="1"/>
  <c r="K429" i="11"/>
  <c r="T279" i="13"/>
  <c r="BJ279" i="13" s="1"/>
  <c r="BL279" i="13" s="1"/>
  <c r="BM279" i="13" s="1"/>
  <c r="BJ562" i="13"/>
  <c r="BL562" i="13" s="1"/>
  <c r="BM562" i="13" s="1"/>
  <c r="K448" i="11"/>
  <c r="BJ300" i="13"/>
  <c r="BL300" i="13" s="1"/>
  <c r="BM300" i="13" s="1"/>
  <c r="BJ842" i="13"/>
  <c r="BL842" i="13" s="1"/>
  <c r="BM842" i="13" s="1"/>
  <c r="T259" i="13"/>
  <c r="BJ259" i="13" s="1"/>
  <c r="BJ838" i="13"/>
  <c r="BL838" i="13" s="1"/>
  <c r="BM838" i="13" s="1"/>
  <c r="T255" i="13"/>
  <c r="BJ255" i="13" s="1"/>
  <c r="BJ816" i="13"/>
  <c r="BL816" i="13" s="1"/>
  <c r="BM816" i="13" s="1"/>
  <c r="T233" i="13"/>
  <c r="BJ233" i="13" s="1"/>
  <c r="P218" i="13"/>
  <c r="AP218" i="13" s="1"/>
  <c r="AR218" i="13" s="1"/>
  <c r="AS218" i="13" s="1"/>
  <c r="Q216" i="13"/>
  <c r="AU216" i="13" s="1"/>
  <c r="AW216" i="13" s="1"/>
  <c r="AX216" i="13" s="1"/>
  <c r="AU180" i="13"/>
  <c r="AW180" i="13" s="1"/>
  <c r="AX180" i="13" s="1"/>
  <c r="G508" i="11"/>
  <c r="P219" i="13"/>
  <c r="AP219" i="13" s="1"/>
  <c r="AR219" i="13" s="1"/>
  <c r="AS219" i="13" s="1"/>
  <c r="P215" i="13"/>
  <c r="AP215" i="13" s="1"/>
  <c r="AR215" i="13" s="1"/>
  <c r="AS215" i="13" s="1"/>
  <c r="O214" i="13"/>
  <c r="AK214" i="13" s="1"/>
  <c r="AM214" i="13" s="1"/>
  <c r="AN214" i="13" s="1"/>
  <c r="G505" i="11"/>
  <c r="AK172" i="13"/>
  <c r="AM172" i="13" s="1"/>
  <c r="AN172" i="13" s="1"/>
  <c r="AK835" i="13"/>
  <c r="AM835" i="13" s="1"/>
  <c r="AN835" i="13" s="1"/>
  <c r="O252" i="13"/>
  <c r="AK252" i="13" s="1"/>
  <c r="AM252" i="13" s="1"/>
  <c r="AN252" i="13" s="1"/>
  <c r="AP821" i="13"/>
  <c r="AR821" i="13" s="1"/>
  <c r="AS821" i="13" s="1"/>
  <c r="P238" i="13"/>
  <c r="AP238" i="13" s="1"/>
  <c r="AR238" i="13" s="1"/>
  <c r="AS238" i="13" s="1"/>
  <c r="BE660" i="13"/>
  <c r="BG660" i="13" s="1"/>
  <c r="BH660" i="13" s="1"/>
  <c r="S217" i="13"/>
  <c r="BE217" i="13" s="1"/>
  <c r="BG217" i="13" s="1"/>
  <c r="BH217" i="13" s="1"/>
  <c r="BE659" i="13"/>
  <c r="BG659" i="13" s="1"/>
  <c r="BH659" i="13" s="1"/>
  <c r="S216" i="13"/>
  <c r="BE216" i="13" s="1"/>
  <c r="BG216" i="13" s="1"/>
  <c r="BH216" i="13" s="1"/>
  <c r="BE475" i="13"/>
  <c r="BG475" i="13" s="1"/>
  <c r="BH475" i="13" s="1"/>
  <c r="J422" i="11"/>
  <c r="S272" i="13"/>
  <c r="BE272" i="13" s="1"/>
  <c r="BG272" i="13" s="1"/>
  <c r="BH272" i="13" s="1"/>
  <c r="BE847" i="13"/>
  <c r="BG847" i="13" s="1"/>
  <c r="BH847" i="13" s="1"/>
  <c r="S264" i="13"/>
  <c r="BE264" i="13" s="1"/>
  <c r="BG264" i="13" s="1"/>
  <c r="BH264" i="13" s="1"/>
  <c r="BE479" i="13"/>
  <c r="BG479" i="13" s="1"/>
  <c r="BH479" i="13" s="1"/>
  <c r="J426" i="11"/>
  <c r="S276" i="13"/>
  <c r="BE276" i="13" s="1"/>
  <c r="BG276" i="13" s="1"/>
  <c r="BH276" i="13" s="1"/>
  <c r="BE299" i="13"/>
  <c r="BG299" i="13" s="1"/>
  <c r="BH299" i="13" s="1"/>
  <c r="BE841" i="13"/>
  <c r="BG841" i="13" s="1"/>
  <c r="BH841" i="13" s="1"/>
  <c r="S258" i="13"/>
  <c r="BE258" i="13" s="1"/>
  <c r="BG258" i="13" s="1"/>
  <c r="BH258" i="13" s="1"/>
  <c r="BE567" i="13"/>
  <c r="BG567" i="13" s="1"/>
  <c r="BH567" i="13" s="1"/>
  <c r="J453" i="11"/>
  <c r="BE481" i="13"/>
  <c r="BG481" i="13" s="1"/>
  <c r="BH481" i="13" s="1"/>
  <c r="J428" i="11"/>
  <c r="S278" i="13"/>
  <c r="BE278" i="13" s="1"/>
  <c r="BG278" i="13" s="1"/>
  <c r="BH278" i="13" s="1"/>
  <c r="BE297" i="13"/>
  <c r="BG297" i="13" s="1"/>
  <c r="BH297" i="13" s="1"/>
  <c r="BE727" i="13"/>
  <c r="BG727" i="13" s="1"/>
  <c r="BH727" i="13" s="1"/>
  <c r="J491" i="11"/>
  <c r="BE657" i="13"/>
  <c r="BG657" i="13" s="1"/>
  <c r="BH657" i="13" s="1"/>
  <c r="S214" i="13"/>
  <c r="BE214" i="13" s="1"/>
  <c r="BG214" i="13" s="1"/>
  <c r="BH214" i="13" s="1"/>
  <c r="BE863" i="13"/>
  <c r="BG863" i="13" s="1"/>
  <c r="BH863" i="13" s="1"/>
  <c r="BE478" i="13"/>
  <c r="BG478" i="13" s="1"/>
  <c r="BH478" i="13" s="1"/>
  <c r="J425" i="11"/>
  <c r="S275" i="13"/>
  <c r="BE275" i="13" s="1"/>
  <c r="BG275" i="13" s="1"/>
  <c r="BH275" i="13" s="1"/>
  <c r="AU854" i="13"/>
  <c r="AU845" i="13"/>
  <c r="AW845" i="13" s="1"/>
  <c r="AX845" i="13" s="1"/>
  <c r="Q262" i="13"/>
  <c r="AU262" i="13" s="1"/>
  <c r="AW262" i="13" s="1"/>
  <c r="AX262" i="13" s="1"/>
  <c r="BJ819" i="13"/>
  <c r="BL819" i="13" s="1"/>
  <c r="BM819" i="13" s="1"/>
  <c r="T236" i="13"/>
  <c r="BJ236" i="13" s="1"/>
  <c r="AU723" i="13"/>
  <c r="AW723" i="13" s="1"/>
  <c r="AX723" i="13" s="1"/>
  <c r="H487" i="11"/>
  <c r="H506" i="11" s="1"/>
  <c r="I282" i="13"/>
  <c r="AF559" i="13"/>
  <c r="AH559" i="13" s="1"/>
  <c r="AI559" i="13" s="1"/>
  <c r="E445" i="11"/>
  <c r="AZ827" i="13"/>
  <c r="BB827" i="13" s="1"/>
  <c r="BC827" i="13" s="1"/>
  <c r="R244" i="13"/>
  <c r="AZ244" i="13" s="1"/>
  <c r="BB244" i="13" s="1"/>
  <c r="BC244" i="13" s="1"/>
  <c r="AZ823" i="13"/>
  <c r="BB823" i="13" s="1"/>
  <c r="BC823" i="13" s="1"/>
  <c r="R240" i="13"/>
  <c r="AZ240" i="13" s="1"/>
  <c r="BB240" i="13" s="1"/>
  <c r="BC240" i="13" s="1"/>
  <c r="AF563" i="13"/>
  <c r="AH563" i="13" s="1"/>
  <c r="AI563" i="13" s="1"/>
  <c r="E449" i="11"/>
  <c r="AK827" i="13"/>
  <c r="AM827" i="13" s="1"/>
  <c r="AN827" i="13" s="1"/>
  <c r="O244" i="13"/>
  <c r="AK244" i="13" s="1"/>
  <c r="AM244" i="13" s="1"/>
  <c r="AN244" i="13" s="1"/>
  <c r="AK817" i="13"/>
  <c r="AM817" i="13" s="1"/>
  <c r="AN817" i="13" s="1"/>
  <c r="O234" i="13"/>
  <c r="AK234" i="13" s="1"/>
  <c r="AM234" i="13" s="1"/>
  <c r="AN234" i="13" s="1"/>
  <c r="AZ475" i="13"/>
  <c r="BB475" i="13" s="1"/>
  <c r="BC475" i="13" s="1"/>
  <c r="I422" i="11"/>
  <c r="R272" i="13"/>
  <c r="AZ272" i="13" s="1"/>
  <c r="BB272" i="13" s="1"/>
  <c r="BC272" i="13" s="1"/>
  <c r="F432" i="11"/>
  <c r="AK485" i="13"/>
  <c r="AM485" i="13" s="1"/>
  <c r="AN485" i="13" s="1"/>
  <c r="O282" i="13"/>
  <c r="AK282" i="13" s="1"/>
  <c r="AM282" i="13" s="1"/>
  <c r="AN282" i="13" s="1"/>
  <c r="AP563" i="13"/>
  <c r="AR563" i="13" s="1"/>
  <c r="AS563" i="13" s="1"/>
  <c r="G449" i="11"/>
  <c r="G506" i="11" s="1"/>
  <c r="AK727" i="13"/>
  <c r="AM727" i="13" s="1"/>
  <c r="AN727" i="13" s="1"/>
  <c r="F491" i="11"/>
  <c r="AZ663" i="13"/>
  <c r="BB663" i="13" s="1"/>
  <c r="BC663" i="13" s="1"/>
  <c r="R220" i="13"/>
  <c r="AZ220" i="13" s="1"/>
  <c r="BB220" i="13" s="1"/>
  <c r="BC220" i="13" s="1"/>
  <c r="BJ661" i="13"/>
  <c r="BL661" i="13" s="1"/>
  <c r="BM661" i="13" s="1"/>
  <c r="T218" i="13"/>
  <c r="BJ218" i="13" s="1"/>
  <c r="AZ717" i="13"/>
  <c r="BB717" i="13" s="1"/>
  <c r="BC717" i="13" s="1"/>
  <c r="I481" i="11"/>
  <c r="AF819" i="13"/>
  <c r="AH819" i="13" s="1"/>
  <c r="AI819" i="13" s="1"/>
  <c r="N236" i="13"/>
  <c r="AF236" i="13" s="1"/>
  <c r="AH236" i="13" s="1"/>
  <c r="AI236" i="13" s="1"/>
  <c r="AK863" i="13"/>
  <c r="AM863" i="13" s="1"/>
  <c r="AN863" i="13" s="1"/>
  <c r="AK667" i="13"/>
  <c r="AM667" i="13" s="1"/>
  <c r="AN667" i="13" s="1"/>
  <c r="O224" i="13"/>
  <c r="AK224" i="13" s="1"/>
  <c r="AM224" i="13" s="1"/>
  <c r="AN224" i="13" s="1"/>
  <c r="AU722" i="13"/>
  <c r="AW722" i="13" s="1"/>
  <c r="AX722" i="13" s="1"/>
  <c r="H486" i="11"/>
  <c r="AK487" i="13"/>
  <c r="AM487" i="13" s="1"/>
  <c r="AN487" i="13" s="1"/>
  <c r="F434" i="11"/>
  <c r="O284" i="13"/>
  <c r="AK284" i="13" s="1"/>
  <c r="AM284" i="13" s="1"/>
  <c r="AN284" i="13" s="1"/>
  <c r="BJ723" i="13"/>
  <c r="BL723" i="13" s="1"/>
  <c r="BM723" i="13" s="1"/>
  <c r="K487" i="11"/>
  <c r="BJ662" i="13"/>
  <c r="BL662" i="13" s="1"/>
  <c r="BM662" i="13" s="1"/>
  <c r="T219" i="13"/>
  <c r="BJ219" i="13" s="1"/>
  <c r="BJ721" i="13"/>
  <c r="BL721" i="13" s="1"/>
  <c r="BM721" i="13" s="1"/>
  <c r="K485" i="11"/>
  <c r="BJ862" i="13"/>
  <c r="BL862" i="13" s="1"/>
  <c r="BM862" i="13" s="1"/>
  <c r="BJ560" i="13"/>
  <c r="BL560" i="13" s="1"/>
  <c r="BM560" i="13" s="1"/>
  <c r="K446" i="11"/>
  <c r="BJ559" i="13"/>
  <c r="BL559" i="13" s="1"/>
  <c r="BM559" i="13" s="1"/>
  <c r="K445" i="11"/>
  <c r="BJ558" i="13"/>
  <c r="BL558" i="13" s="1"/>
  <c r="BM558" i="13" s="1"/>
  <c r="K444" i="11"/>
  <c r="BJ304" i="13"/>
  <c r="BL304" i="13" s="1"/>
  <c r="BM304" i="13" s="1"/>
  <c r="E501" i="11"/>
  <c r="AP184" i="13"/>
  <c r="AR184" i="13" s="1"/>
  <c r="AS184" i="13" s="1"/>
  <c r="U280" i="13"/>
  <c r="Q213" i="13"/>
  <c r="AU213" i="13" s="1"/>
  <c r="AW213" i="13" s="1"/>
  <c r="AX213" i="13" s="1"/>
  <c r="R222" i="13"/>
  <c r="AZ222" i="13" s="1"/>
  <c r="BB222" i="13" s="1"/>
  <c r="BC222" i="13" s="1"/>
  <c r="AP177" i="13"/>
  <c r="AR177" i="13" s="1"/>
  <c r="AS177" i="13" s="1"/>
  <c r="I507" i="11"/>
  <c r="O213" i="13"/>
  <c r="AK213" i="13" s="1"/>
  <c r="AM213" i="13" s="1"/>
  <c r="AN213" i="13" s="1"/>
  <c r="AK840" i="13"/>
  <c r="AM840" i="13" s="1"/>
  <c r="AN840" i="13" s="1"/>
  <c r="O257" i="13"/>
  <c r="AK257" i="13" s="1"/>
  <c r="AM257" i="13" s="1"/>
  <c r="AN257" i="13" s="1"/>
  <c r="AK838" i="13"/>
  <c r="AM838" i="13" s="1"/>
  <c r="AN838" i="13" s="1"/>
  <c r="O255" i="13"/>
  <c r="AK255" i="13" s="1"/>
  <c r="AM255" i="13" s="1"/>
  <c r="AN255" i="13" s="1"/>
  <c r="BJ822" i="13"/>
  <c r="BL822" i="13" s="1"/>
  <c r="BM822" i="13" s="1"/>
  <c r="T239" i="13"/>
  <c r="BJ239" i="13" s="1"/>
  <c r="BE302" i="13"/>
  <c r="BG302" i="13" s="1"/>
  <c r="BH302" i="13" s="1"/>
  <c r="BE717" i="13"/>
  <c r="BG717" i="13" s="1"/>
  <c r="BH717" i="13" s="1"/>
  <c r="J481" i="11"/>
  <c r="BE563" i="13"/>
  <c r="BG563" i="13" s="1"/>
  <c r="BH563" i="13" s="1"/>
  <c r="J449" i="11"/>
  <c r="BE300" i="13"/>
  <c r="BG300" i="13" s="1"/>
  <c r="BH300" i="13" s="1"/>
  <c r="BE827" i="13"/>
  <c r="BG827" i="13" s="1"/>
  <c r="BH827" i="13" s="1"/>
  <c r="S244" i="13"/>
  <c r="BE244" i="13" s="1"/>
  <c r="BG244" i="13" s="1"/>
  <c r="BH244" i="13" s="1"/>
  <c r="BE667" i="13"/>
  <c r="BG667" i="13" s="1"/>
  <c r="BH667" i="13" s="1"/>
  <c r="S224" i="13"/>
  <c r="BE224" i="13" s="1"/>
  <c r="BG224" i="13" s="1"/>
  <c r="BH224" i="13" s="1"/>
  <c r="BE665" i="13"/>
  <c r="BG665" i="13" s="1"/>
  <c r="BH665" i="13" s="1"/>
  <c r="S222" i="13"/>
  <c r="BE222" i="13" s="1"/>
  <c r="BG222" i="13" s="1"/>
  <c r="BH222" i="13" s="1"/>
  <c r="BE719" i="13"/>
  <c r="BG719" i="13" s="1"/>
  <c r="BH719" i="13" s="1"/>
  <c r="J483" i="11"/>
  <c r="BE861" i="13"/>
  <c r="BG861" i="13" s="1"/>
  <c r="BH861" i="13" s="1"/>
  <c r="BE557" i="13"/>
  <c r="BG557" i="13" s="1"/>
  <c r="BH557" i="13" s="1"/>
  <c r="J443" i="11"/>
  <c r="BE716" i="13"/>
  <c r="BG716" i="13" s="1"/>
  <c r="BH716" i="13" s="1"/>
  <c r="J480" i="11"/>
  <c r="BE482" i="13"/>
  <c r="BG482" i="13" s="1"/>
  <c r="BH482" i="13" s="1"/>
  <c r="J429" i="11"/>
  <c r="S279" i="13"/>
  <c r="BE279" i="13" s="1"/>
  <c r="BG279" i="13" s="1"/>
  <c r="BH279" i="13" s="1"/>
  <c r="AF863" i="13"/>
  <c r="AH863" i="13" s="1"/>
  <c r="AI863" i="13" s="1"/>
  <c r="AZ856" i="13"/>
  <c r="BB856" i="13" s="1"/>
  <c r="BC856" i="13" s="1"/>
  <c r="AZ841" i="13"/>
  <c r="BB841" i="13" s="1"/>
  <c r="BC841" i="13" s="1"/>
  <c r="R258" i="13"/>
  <c r="AZ258" i="13" s="1"/>
  <c r="BB258" i="13" s="1"/>
  <c r="BC258" i="13" s="1"/>
  <c r="BJ725" i="13"/>
  <c r="BL725" i="13" s="1"/>
  <c r="BM725" i="13" s="1"/>
  <c r="K489" i="11"/>
  <c r="AF655" i="13"/>
  <c r="AH655" i="13" s="1"/>
  <c r="AI655" i="13" s="1"/>
  <c r="N212" i="13"/>
  <c r="AF212" i="13" s="1"/>
  <c r="AH212" i="13" s="1"/>
  <c r="AI212" i="13" s="1"/>
  <c r="AP297" i="13"/>
  <c r="AR297" i="13" s="1"/>
  <c r="AS297" i="13" s="1"/>
  <c r="AU562" i="13"/>
  <c r="AW562" i="13" s="1"/>
  <c r="AX562" i="13" s="1"/>
  <c r="H448" i="11"/>
  <c r="AU861" i="13"/>
  <c r="AW861" i="13" s="1"/>
  <c r="AX861" i="13" s="1"/>
  <c r="AF560" i="13"/>
  <c r="AH560" i="13" s="1"/>
  <c r="AI560" i="13" s="1"/>
  <c r="E446" i="11"/>
  <c r="I427" i="11"/>
  <c r="AZ480" i="13"/>
  <c r="BB480" i="13" s="1"/>
  <c r="BC480" i="13" s="1"/>
  <c r="R277" i="13"/>
  <c r="AZ277" i="13" s="1"/>
  <c r="BB277" i="13" s="1"/>
  <c r="BC277" i="13" s="1"/>
  <c r="AK559" i="13"/>
  <c r="AM559" i="13" s="1"/>
  <c r="AN559" i="13" s="1"/>
  <c r="F445" i="11"/>
  <c r="F502" i="11" s="1"/>
  <c r="AU858" i="13"/>
  <c r="AW858" i="13" s="1"/>
  <c r="AX858" i="13" s="1"/>
  <c r="BJ557" i="13"/>
  <c r="BL557" i="13" s="1"/>
  <c r="BM557" i="13" s="1"/>
  <c r="K443" i="11"/>
  <c r="AK725" i="13"/>
  <c r="AM725" i="13" s="1"/>
  <c r="AN725" i="13" s="1"/>
  <c r="F489" i="11"/>
  <c r="AZ656" i="13"/>
  <c r="BB656" i="13" s="1"/>
  <c r="BC656" i="13" s="1"/>
  <c r="R213" i="13"/>
  <c r="AZ213" i="13" s="1"/>
  <c r="BB213" i="13" s="1"/>
  <c r="BC213" i="13" s="1"/>
  <c r="AU567" i="13"/>
  <c r="AW567" i="13" s="1"/>
  <c r="AX567" i="13" s="1"/>
  <c r="H453" i="11"/>
  <c r="AP860" i="13"/>
  <c r="AR860" i="13" s="1"/>
  <c r="AS860" i="13" s="1"/>
  <c r="BJ296" i="13"/>
  <c r="BL296" i="13" s="1"/>
  <c r="BM296" i="13" s="1"/>
  <c r="AF845" i="13"/>
  <c r="AH845" i="13" s="1"/>
  <c r="AI845" i="13" s="1"/>
  <c r="N262" i="13"/>
  <c r="AF262" i="13" s="1"/>
  <c r="AH262" i="13" s="1"/>
  <c r="AI262" i="13" s="1"/>
  <c r="AF836" i="13"/>
  <c r="AH836" i="13" s="1"/>
  <c r="AI836" i="13" s="1"/>
  <c r="N253" i="13"/>
  <c r="AF253" i="13" s="1"/>
  <c r="AH253" i="13" s="1"/>
  <c r="AI253" i="13" s="1"/>
  <c r="AF815" i="13"/>
  <c r="AH815" i="13" s="1"/>
  <c r="AI815" i="13" s="1"/>
  <c r="N232" i="13"/>
  <c r="AF232" i="13" s="1"/>
  <c r="AH232" i="13" s="1"/>
  <c r="AI232" i="13" s="1"/>
  <c r="AU824" i="13"/>
  <c r="AW824" i="13" s="1"/>
  <c r="AX824" i="13" s="1"/>
  <c r="Q241" i="13"/>
  <c r="AU241" i="13" s="1"/>
  <c r="AW241" i="13" s="1"/>
  <c r="AX241" i="13" s="1"/>
  <c r="AU816" i="13"/>
  <c r="AW816" i="13" s="1"/>
  <c r="AX816" i="13" s="1"/>
  <c r="Q233" i="13"/>
  <c r="AU233" i="13" s="1"/>
  <c r="AW233" i="13" s="1"/>
  <c r="AX233" i="13" s="1"/>
  <c r="AK558" i="13"/>
  <c r="AM558" i="13" s="1"/>
  <c r="AN558" i="13" s="1"/>
  <c r="F444" i="11"/>
  <c r="F501" i="11" s="1"/>
  <c r="AU564" i="13"/>
  <c r="AW564" i="13" s="1"/>
  <c r="AX564" i="13" s="1"/>
  <c r="H450" i="11"/>
  <c r="AU719" i="13"/>
  <c r="AW719" i="13" s="1"/>
  <c r="AX719" i="13" s="1"/>
  <c r="H483" i="11"/>
  <c r="AZ658" i="13"/>
  <c r="BB658" i="13" s="1"/>
  <c r="BC658" i="13" s="1"/>
  <c r="R215" i="13"/>
  <c r="AZ215" i="13" s="1"/>
  <c r="BB215" i="13" s="1"/>
  <c r="BC215" i="13" s="1"/>
  <c r="BJ660" i="13"/>
  <c r="BL660" i="13" s="1"/>
  <c r="BM660" i="13" s="1"/>
  <c r="T217" i="13"/>
  <c r="BJ217" i="13" s="1"/>
  <c r="BJ655" i="13"/>
  <c r="BL655" i="13" s="1"/>
  <c r="BM655" i="13" s="1"/>
  <c r="T212" i="13"/>
  <c r="BJ212" i="13" s="1"/>
  <c r="BJ481" i="13"/>
  <c r="BL481" i="13" s="1"/>
  <c r="BM481" i="13" s="1"/>
  <c r="K428" i="11"/>
  <c r="T278" i="13"/>
  <c r="BJ278" i="13" s="1"/>
  <c r="BL278" i="13" s="1"/>
  <c r="BM278" i="13" s="1"/>
  <c r="BJ860" i="13"/>
  <c r="BL860" i="13" s="1"/>
  <c r="BM860" i="13" s="1"/>
  <c r="BJ478" i="13"/>
  <c r="BL478" i="13" s="1"/>
  <c r="BM478" i="13" s="1"/>
  <c r="K425" i="11"/>
  <c r="T275" i="13"/>
  <c r="BJ275" i="13" s="1"/>
  <c r="BL275" i="13" s="1"/>
  <c r="BM275" i="13" s="1"/>
  <c r="BJ858" i="13"/>
  <c r="BL858" i="13" s="1"/>
  <c r="BM858" i="13" s="1"/>
  <c r="BJ303" i="13"/>
  <c r="BL303" i="13" s="1"/>
  <c r="BM303" i="13" s="1"/>
  <c r="BJ299" i="13"/>
  <c r="BL299" i="13" s="1"/>
  <c r="BM299" i="13" s="1"/>
  <c r="BJ847" i="13"/>
  <c r="BL847" i="13" s="1"/>
  <c r="BM847" i="13" s="1"/>
  <c r="T264" i="13"/>
  <c r="BJ264" i="13" s="1"/>
  <c r="BJ841" i="13"/>
  <c r="BL841" i="13" s="1"/>
  <c r="BM841" i="13" s="1"/>
  <c r="T258" i="13"/>
  <c r="BJ258" i="13" s="1"/>
  <c r="BJ837" i="13"/>
  <c r="BL837" i="13" s="1"/>
  <c r="BM837" i="13" s="1"/>
  <c r="T254" i="13"/>
  <c r="BJ254" i="13" s="1"/>
  <c r="BJ815" i="13"/>
  <c r="BL815" i="13" s="1"/>
  <c r="BM815" i="13" s="1"/>
  <c r="T232" i="13"/>
  <c r="BJ232" i="13" s="1"/>
  <c r="N220" i="13"/>
  <c r="AF220" i="13" s="1"/>
  <c r="AH220" i="13" s="1"/>
  <c r="AI220" i="13" s="1"/>
  <c r="AF184" i="13"/>
  <c r="AH184" i="13" s="1"/>
  <c r="AI184" i="13" s="1"/>
  <c r="AK181" i="13"/>
  <c r="AM181" i="13" s="1"/>
  <c r="AN181" i="13" s="1"/>
  <c r="E504" i="11"/>
  <c r="AK184" i="13"/>
  <c r="AM184" i="13" s="1"/>
  <c r="AN184" i="13" s="1"/>
  <c r="AU174" i="13"/>
  <c r="AW174" i="13" s="1"/>
  <c r="AX174" i="13" s="1"/>
  <c r="AK836" i="13"/>
  <c r="AM836" i="13" s="1"/>
  <c r="AN836" i="13" s="1"/>
  <c r="O253" i="13"/>
  <c r="AK253" i="13" s="1"/>
  <c r="AM253" i="13" s="1"/>
  <c r="AN253" i="13" s="1"/>
  <c r="BJ827" i="13"/>
  <c r="BL827" i="13" s="1"/>
  <c r="BM827" i="13" s="1"/>
  <c r="T244" i="13"/>
  <c r="BJ244" i="13" s="1"/>
  <c r="AP825" i="13"/>
  <c r="AR825" i="13" s="1"/>
  <c r="AS825" i="13" s="1"/>
  <c r="P242" i="13"/>
  <c r="AP242" i="13" s="1"/>
  <c r="AR242" i="13" s="1"/>
  <c r="AS242" i="13" s="1"/>
  <c r="BJ823" i="13"/>
  <c r="BL823" i="13" s="1"/>
  <c r="BM823" i="13" s="1"/>
  <c r="T240" i="13"/>
  <c r="BJ240" i="13" s="1"/>
  <c r="AU820" i="13"/>
  <c r="AW820" i="13" s="1"/>
  <c r="AX820" i="13" s="1"/>
  <c r="Q237" i="13"/>
  <c r="AU237" i="13" s="1"/>
  <c r="AW237" i="13" s="1"/>
  <c r="AX237" i="13" s="1"/>
  <c r="BE815" i="13"/>
  <c r="BG815" i="13" s="1"/>
  <c r="BH815" i="13" s="1"/>
  <c r="S232" i="13"/>
  <c r="BE232" i="13" s="1"/>
  <c r="BG232" i="13" s="1"/>
  <c r="BH232" i="13" s="1"/>
  <c r="BE865" i="13"/>
  <c r="BG865" i="13" s="1"/>
  <c r="BH865" i="13" s="1"/>
  <c r="BE561" i="13"/>
  <c r="BG561" i="13" s="1"/>
  <c r="BH561" i="13" s="1"/>
  <c r="J447" i="11"/>
  <c r="AF854" i="13"/>
  <c r="BE855" i="13"/>
  <c r="BG855" i="13" s="1"/>
  <c r="BH855" i="13" s="1"/>
  <c r="BE301" i="13"/>
  <c r="BG301" i="13" s="1"/>
  <c r="BH301" i="13" s="1"/>
  <c r="BE825" i="13"/>
  <c r="BG825" i="13" s="1"/>
  <c r="BH825" i="13" s="1"/>
  <c r="S242" i="13"/>
  <c r="BE242" i="13" s="1"/>
  <c r="BG242" i="13" s="1"/>
  <c r="BH242" i="13" s="1"/>
  <c r="BE656" i="13"/>
  <c r="BG656" i="13" s="1"/>
  <c r="BH656" i="13" s="1"/>
  <c r="S213" i="13"/>
  <c r="BE213" i="13" s="1"/>
  <c r="BG213" i="13" s="1"/>
  <c r="BH213" i="13" s="1"/>
  <c r="BE820" i="13"/>
  <c r="BG820" i="13" s="1"/>
  <c r="BH820" i="13" s="1"/>
  <c r="S237" i="13"/>
  <c r="BE237" i="13" s="1"/>
  <c r="BG237" i="13" s="1"/>
  <c r="BH237" i="13" s="1"/>
  <c r="BE480" i="13"/>
  <c r="BG480" i="13" s="1"/>
  <c r="BH480" i="13" s="1"/>
  <c r="J427" i="11"/>
  <c r="S277" i="13"/>
  <c r="BE277" i="13" s="1"/>
  <c r="BG277" i="13" s="1"/>
  <c r="BH277" i="13" s="1"/>
  <c r="BE818" i="13"/>
  <c r="BG818" i="13" s="1"/>
  <c r="BH818" i="13" s="1"/>
  <c r="S235" i="13"/>
  <c r="BE235" i="13" s="1"/>
  <c r="BG235" i="13" s="1"/>
  <c r="BH235" i="13" s="1"/>
  <c r="BE662" i="13"/>
  <c r="BG662" i="13" s="1"/>
  <c r="BH662" i="13" s="1"/>
  <c r="S219" i="13"/>
  <c r="BE219" i="13" s="1"/>
  <c r="BG219" i="13" s="1"/>
  <c r="BH219" i="13" s="1"/>
  <c r="BE476" i="13"/>
  <c r="BG476" i="13" s="1"/>
  <c r="BH476" i="13" s="1"/>
  <c r="J423" i="11"/>
  <c r="S273" i="13"/>
  <c r="BE273" i="13" s="1"/>
  <c r="BG273" i="13" s="1"/>
  <c r="BH273" i="13" s="1"/>
  <c r="BE816" i="13"/>
  <c r="BG816" i="13" s="1"/>
  <c r="BH816" i="13" s="1"/>
  <c r="S233" i="13"/>
  <c r="BE233" i="13" s="1"/>
  <c r="BG233" i="13" s="1"/>
  <c r="BH233" i="13" s="1"/>
  <c r="BE664" i="13"/>
  <c r="BG664" i="13" s="1"/>
  <c r="BH664" i="13" s="1"/>
  <c r="S221" i="13"/>
  <c r="BE221" i="13" s="1"/>
  <c r="BG221" i="13" s="1"/>
  <c r="BH221" i="13" s="1"/>
  <c r="AU295" i="13"/>
  <c r="AW295" i="13" s="1"/>
  <c r="AX295" i="13" s="1"/>
  <c r="AZ864" i="13"/>
  <c r="BB864" i="13" s="1"/>
  <c r="BC864" i="13" s="1"/>
  <c r="AP295" i="13"/>
  <c r="AR295" i="13" s="1"/>
  <c r="AS295" i="13" s="1"/>
  <c r="BJ818" i="13"/>
  <c r="BL818" i="13" s="1"/>
  <c r="BM818" i="13" s="1"/>
  <c r="T235" i="13"/>
  <c r="BJ235" i="13" s="1"/>
  <c r="AZ558" i="13"/>
  <c r="BB558" i="13" s="1"/>
  <c r="BC558" i="13" s="1"/>
  <c r="I444" i="11"/>
  <c r="AF657" i="13"/>
  <c r="AH657" i="13" s="1"/>
  <c r="AI657" i="13" s="1"/>
  <c r="N214" i="13"/>
  <c r="AF214" i="13" s="1"/>
  <c r="AH214" i="13" s="1"/>
  <c r="AI214" i="13" s="1"/>
  <c r="BJ716" i="13"/>
  <c r="BL716" i="13" s="1"/>
  <c r="BM716" i="13" s="1"/>
  <c r="K480" i="11"/>
  <c r="AZ821" i="13"/>
  <c r="BB821" i="13" s="1"/>
  <c r="BC821" i="13" s="1"/>
  <c r="R238" i="13"/>
  <c r="AZ238" i="13" s="1"/>
  <c r="BB238" i="13" s="1"/>
  <c r="BC238" i="13" s="1"/>
  <c r="AK824" i="13"/>
  <c r="AM824" i="13" s="1"/>
  <c r="AN824" i="13" s="1"/>
  <c r="O241" i="13"/>
  <c r="AK241" i="13" s="1"/>
  <c r="AM241" i="13" s="1"/>
  <c r="AN241" i="13" s="1"/>
  <c r="AK816" i="13"/>
  <c r="AM816" i="13" s="1"/>
  <c r="AN816" i="13" s="1"/>
  <c r="O233" i="13"/>
  <c r="AK233" i="13" s="1"/>
  <c r="AM233" i="13" s="1"/>
  <c r="AN233" i="13" s="1"/>
  <c r="L427" i="11"/>
  <c r="L503" i="11" s="1"/>
  <c r="U277" i="13"/>
  <c r="AU556" i="13"/>
  <c r="AW556" i="13" s="1"/>
  <c r="AX556" i="13" s="1"/>
  <c r="H442" i="11"/>
  <c r="AF862" i="13"/>
  <c r="AH862" i="13" s="1"/>
  <c r="AI862" i="13" s="1"/>
  <c r="AP478" i="13"/>
  <c r="AR478" i="13" s="1"/>
  <c r="AS478" i="13" s="1"/>
  <c r="G425" i="11"/>
  <c r="G501" i="11" s="1"/>
  <c r="P275" i="13"/>
  <c r="AP275" i="13" s="1"/>
  <c r="AR275" i="13" s="1"/>
  <c r="AS275" i="13" s="1"/>
  <c r="AP477" i="13"/>
  <c r="AR477" i="13" s="1"/>
  <c r="AS477" i="13" s="1"/>
  <c r="G424" i="11"/>
  <c r="P274" i="13"/>
  <c r="AP274" i="13" s="1"/>
  <c r="AR274" i="13" s="1"/>
  <c r="AS274" i="13" s="1"/>
  <c r="AK303" i="13"/>
  <c r="AM303" i="13" s="1"/>
  <c r="AN303" i="13" s="1"/>
  <c r="AZ664" i="13"/>
  <c r="BB664" i="13" s="1"/>
  <c r="BC664" i="13" s="1"/>
  <c r="R221" i="13"/>
  <c r="AZ221" i="13" s="1"/>
  <c r="BB221" i="13" s="1"/>
  <c r="BC221" i="13" s="1"/>
  <c r="AP487" i="13"/>
  <c r="AR487" i="13" s="1"/>
  <c r="AS487" i="13" s="1"/>
  <c r="G434" i="11"/>
  <c r="P284" i="13"/>
  <c r="AP284" i="13" s="1"/>
  <c r="AR284" i="13" s="1"/>
  <c r="AS284" i="13" s="1"/>
  <c r="AF816" i="13"/>
  <c r="AH816" i="13" s="1"/>
  <c r="AI816" i="13" s="1"/>
  <c r="N233" i="13"/>
  <c r="AF233" i="13" s="1"/>
  <c r="AH233" i="13" s="1"/>
  <c r="AI233" i="13" s="1"/>
  <c r="AZ858" i="13"/>
  <c r="BB858" i="13" s="1"/>
  <c r="BC858" i="13" s="1"/>
  <c r="AF857" i="13"/>
  <c r="AH857" i="13" s="1"/>
  <c r="AI857" i="13" s="1"/>
  <c r="L423" i="11"/>
  <c r="L499" i="11" s="1"/>
  <c r="U273" i="13"/>
  <c r="AP724" i="13"/>
  <c r="AR724" i="13" s="1"/>
  <c r="AS724" i="13" s="1"/>
  <c r="G488" i="11"/>
  <c r="G507" i="11" s="1"/>
  <c r="AU663" i="13"/>
  <c r="AW663" i="13" s="1"/>
  <c r="AX663" i="13" s="1"/>
  <c r="Q220" i="13"/>
  <c r="AU220" i="13" s="1"/>
  <c r="AW220" i="13" s="1"/>
  <c r="AX220" i="13" s="1"/>
  <c r="BJ727" i="13"/>
  <c r="BL727" i="13" s="1"/>
  <c r="BM727" i="13" s="1"/>
  <c r="K491" i="11"/>
  <c r="BJ718" i="13"/>
  <c r="BL718" i="13" s="1"/>
  <c r="BM718" i="13" s="1"/>
  <c r="K482" i="11"/>
  <c r="BJ657" i="13"/>
  <c r="BL657" i="13" s="1"/>
  <c r="BM657" i="13" s="1"/>
  <c r="T214" i="13"/>
  <c r="BJ214" i="13" s="1"/>
  <c r="BJ480" i="13"/>
  <c r="BL480" i="13" s="1"/>
  <c r="BM480" i="13" s="1"/>
  <c r="K427" i="11"/>
  <c r="T277" i="13"/>
  <c r="BJ277" i="13" s="1"/>
  <c r="BL277" i="13" s="1"/>
  <c r="BM277" i="13" s="1"/>
  <c r="BJ857" i="13"/>
  <c r="BL857" i="13" s="1"/>
  <c r="BM857" i="13" s="1"/>
  <c r="BJ556" i="13"/>
  <c r="BL556" i="13" s="1"/>
  <c r="BM556" i="13" s="1"/>
  <c r="K442" i="11"/>
  <c r="BJ555" i="13"/>
  <c r="BL555" i="13" s="1"/>
  <c r="BM555" i="13" s="1"/>
  <c r="K441" i="11"/>
  <c r="F507" i="11"/>
  <c r="Q215" i="13"/>
  <c r="AU215" i="13" s="1"/>
  <c r="AW215" i="13" s="1"/>
  <c r="AX215" i="13" s="1"/>
  <c r="E507" i="11"/>
  <c r="P214" i="13"/>
  <c r="AP214" i="13" s="1"/>
  <c r="AR214" i="13" s="1"/>
  <c r="AS214" i="13" s="1"/>
  <c r="AZ180" i="13"/>
  <c r="BB180" i="13" s="1"/>
  <c r="BC180" i="13" s="1"/>
  <c r="Q280" i="13"/>
  <c r="AU280" i="13" s="1"/>
  <c r="AW280" i="13" s="1"/>
  <c r="AX280" i="13" s="1"/>
  <c r="AP180" i="13"/>
  <c r="AR180" i="13" s="1"/>
  <c r="AS180" i="13" s="1"/>
  <c r="P280" i="13"/>
  <c r="AP280" i="13" s="1"/>
  <c r="AR280" i="13" s="1"/>
  <c r="AS280" i="13" s="1"/>
  <c r="H277" i="13"/>
  <c r="BE839" i="13"/>
  <c r="BG839" i="13" s="1"/>
  <c r="BH839" i="13" s="1"/>
  <c r="S256" i="13"/>
  <c r="BE256" i="13" s="1"/>
  <c r="BG256" i="13" s="1"/>
  <c r="BH256" i="13" s="1"/>
  <c r="BJ824" i="13"/>
  <c r="BL824" i="13" s="1"/>
  <c r="BM824" i="13" s="1"/>
  <c r="T241" i="13"/>
  <c r="BJ241" i="13" s="1"/>
  <c r="BE862" i="13"/>
  <c r="BG862" i="13" s="1"/>
  <c r="BH862" i="13" s="1"/>
  <c r="BE858" i="13"/>
  <c r="BG858" i="13" s="1"/>
  <c r="BH858" i="13" s="1"/>
  <c r="BE724" i="13"/>
  <c r="BG724" i="13" s="1"/>
  <c r="BH724" i="13" s="1"/>
  <c r="J488" i="11"/>
  <c r="BE867" i="13"/>
  <c r="BG867" i="13" s="1"/>
  <c r="BH867" i="13" s="1"/>
  <c r="BE658" i="13"/>
  <c r="BG658" i="13" s="1"/>
  <c r="BH658" i="13" s="1"/>
  <c r="S215" i="13"/>
  <c r="BE215" i="13" s="1"/>
  <c r="BG215" i="13" s="1"/>
  <c r="BH215" i="13" s="1"/>
  <c r="BE824" i="13"/>
  <c r="BG824" i="13" s="1"/>
  <c r="BH824" i="13" s="1"/>
  <c r="S241" i="13"/>
  <c r="BE241" i="13" s="1"/>
  <c r="BG241" i="13" s="1"/>
  <c r="BH241" i="13" s="1"/>
  <c r="BE565" i="13"/>
  <c r="BG565" i="13" s="1"/>
  <c r="BH565" i="13" s="1"/>
  <c r="J451" i="11"/>
  <c r="BE819" i="13"/>
  <c r="BG819" i="13" s="1"/>
  <c r="BH819" i="13" s="1"/>
  <c r="S236" i="13"/>
  <c r="BE236" i="13" s="1"/>
  <c r="BG236" i="13" s="1"/>
  <c r="BH236" i="13" s="1"/>
  <c r="BE817" i="13"/>
  <c r="BG817" i="13" s="1"/>
  <c r="BH817" i="13" s="1"/>
  <c r="S234" i="13"/>
  <c r="BE234" i="13" s="1"/>
  <c r="BG234" i="13" s="1"/>
  <c r="BH234" i="13" s="1"/>
  <c r="BE483" i="13"/>
  <c r="BG483" i="13" s="1"/>
  <c r="BH483" i="13" s="1"/>
  <c r="J430" i="11"/>
  <c r="S280" i="13"/>
  <c r="BE280" i="13" s="1"/>
  <c r="BG280" i="13" s="1"/>
  <c r="BH280" i="13" s="1"/>
  <c r="BE860" i="13"/>
  <c r="BG860" i="13" s="1"/>
  <c r="BH860" i="13" s="1"/>
  <c r="AF485" i="13"/>
  <c r="AH485" i="13" s="1"/>
  <c r="AI485" i="13" s="1"/>
  <c r="E432" i="11"/>
  <c r="N282" i="13"/>
  <c r="AF282" i="13" s="1"/>
  <c r="AH282" i="13" s="1"/>
  <c r="AI282" i="13" s="1"/>
  <c r="AK720" i="13"/>
  <c r="AM720" i="13" s="1"/>
  <c r="AN720" i="13" s="1"/>
  <c r="F484" i="11"/>
  <c r="AP719" i="13"/>
  <c r="AR719" i="13" s="1"/>
  <c r="AS719" i="13" s="1"/>
  <c r="G483" i="11"/>
  <c r="BJ715" i="13"/>
  <c r="BL715" i="13" s="1"/>
  <c r="BM715" i="13" s="1"/>
  <c r="K479" i="11"/>
  <c r="AZ859" i="13"/>
  <c r="BB859" i="13" s="1"/>
  <c r="BC859" i="13" s="1"/>
  <c r="AZ557" i="13"/>
  <c r="BB557" i="13" s="1"/>
  <c r="BC557" i="13" s="1"/>
  <c r="I443" i="11"/>
  <c r="AP476" i="13"/>
  <c r="AR476" i="13" s="1"/>
  <c r="AS476" i="13" s="1"/>
  <c r="G423" i="11"/>
  <c r="P273" i="13"/>
  <c r="AP273" i="13" s="1"/>
  <c r="AR273" i="13" s="1"/>
  <c r="AS273" i="13" s="1"/>
  <c r="AF480" i="13"/>
  <c r="AH480" i="13" s="1"/>
  <c r="AI480" i="13" s="1"/>
  <c r="E427" i="11"/>
  <c r="N277" i="13"/>
  <c r="AF277" i="13" s="1"/>
  <c r="AH277" i="13" s="1"/>
  <c r="AI277" i="13" s="1"/>
  <c r="AZ855" i="13"/>
  <c r="BB855" i="13" s="1"/>
  <c r="BC855" i="13" s="1"/>
  <c r="N179" i="13"/>
  <c r="AF302" i="13"/>
  <c r="AH302" i="13" s="1"/>
  <c r="AI302" i="13" s="1"/>
  <c r="AZ839" i="13"/>
  <c r="BB839" i="13" s="1"/>
  <c r="BC839" i="13" s="1"/>
  <c r="R256" i="13"/>
  <c r="AZ256" i="13" s="1"/>
  <c r="BB256" i="13" s="1"/>
  <c r="BC256" i="13" s="1"/>
  <c r="AZ825" i="13"/>
  <c r="BB825" i="13" s="1"/>
  <c r="BC825" i="13" s="1"/>
  <c r="R242" i="13"/>
  <c r="AZ242" i="13" s="1"/>
  <c r="BB242" i="13" s="1"/>
  <c r="BC242" i="13" s="1"/>
  <c r="AP717" i="13"/>
  <c r="AR717" i="13" s="1"/>
  <c r="AS717" i="13" s="1"/>
  <c r="G481" i="11"/>
  <c r="AF865" i="13"/>
  <c r="AH865" i="13" s="1"/>
  <c r="AI865" i="13" s="1"/>
  <c r="AZ556" i="13"/>
  <c r="BB556" i="13" s="1"/>
  <c r="BC556" i="13" s="1"/>
  <c r="I442" i="11"/>
  <c r="I499" i="11" s="1"/>
  <c r="R184" i="13"/>
  <c r="AZ307" i="13"/>
  <c r="BB307" i="13" s="1"/>
  <c r="BC307" i="13" s="1"/>
  <c r="AU662" i="13"/>
  <c r="AW662" i="13" s="1"/>
  <c r="AX662" i="13" s="1"/>
  <c r="Q219" i="13"/>
  <c r="AU219" i="13" s="1"/>
  <c r="AW219" i="13" s="1"/>
  <c r="AX219" i="13" s="1"/>
  <c r="BJ561" i="13"/>
  <c r="BL561" i="13" s="1"/>
  <c r="BM561" i="13" s="1"/>
  <c r="K447" i="11"/>
  <c r="AU857" i="13"/>
  <c r="AW857" i="13" s="1"/>
  <c r="AX857" i="13" s="1"/>
  <c r="H431" i="11"/>
  <c r="AU484" i="13"/>
  <c r="AW484" i="13" s="1"/>
  <c r="AX484" i="13" s="1"/>
  <c r="Q281" i="13"/>
  <c r="AU281" i="13" s="1"/>
  <c r="AW281" i="13" s="1"/>
  <c r="AX281" i="13" s="1"/>
  <c r="BJ667" i="13"/>
  <c r="BL667" i="13" s="1"/>
  <c r="BM667" i="13" s="1"/>
  <c r="T224" i="13"/>
  <c r="BJ224" i="13" s="1"/>
  <c r="AK721" i="13"/>
  <c r="AM721" i="13" s="1"/>
  <c r="AN721" i="13" s="1"/>
  <c r="F485" i="11"/>
  <c r="F504" i="11" s="1"/>
  <c r="AK659" i="13"/>
  <c r="AM659" i="13" s="1"/>
  <c r="AN659" i="13" s="1"/>
  <c r="O216" i="13"/>
  <c r="AK216" i="13" s="1"/>
  <c r="AM216" i="13" s="1"/>
  <c r="AN216" i="13" s="1"/>
  <c r="AK658" i="13"/>
  <c r="AM658" i="13" s="1"/>
  <c r="AN658" i="13" s="1"/>
  <c r="O215" i="13"/>
  <c r="AK215" i="13" s="1"/>
  <c r="AM215" i="13" s="1"/>
  <c r="AN215" i="13" s="1"/>
  <c r="AZ482" i="13"/>
  <c r="BB482" i="13" s="1"/>
  <c r="BC482" i="13" s="1"/>
  <c r="I429" i="11"/>
  <c r="R279" i="13"/>
  <c r="AZ279" i="13" s="1"/>
  <c r="BB279" i="13" s="1"/>
  <c r="BC279" i="13" s="1"/>
  <c r="AK480" i="13"/>
  <c r="AM480" i="13" s="1"/>
  <c r="AN480" i="13" s="1"/>
  <c r="F427" i="11"/>
  <c r="O277" i="13"/>
  <c r="AK277" i="13" s="1"/>
  <c r="AM277" i="13" s="1"/>
  <c r="AN277" i="13" s="1"/>
  <c r="AZ843" i="13"/>
  <c r="BB843" i="13" s="1"/>
  <c r="BC843" i="13" s="1"/>
  <c r="R260" i="13"/>
  <c r="AZ260" i="13" s="1"/>
  <c r="BB260" i="13" s="1"/>
  <c r="BC260" i="13" s="1"/>
  <c r="AZ835" i="13"/>
  <c r="BB835" i="13" s="1"/>
  <c r="BC835" i="13" s="1"/>
  <c r="R252" i="13"/>
  <c r="AZ252" i="13" s="1"/>
  <c r="BB252" i="13" s="1"/>
  <c r="BC252" i="13" s="1"/>
  <c r="AU821" i="13"/>
  <c r="AW821" i="13" s="1"/>
  <c r="AX821" i="13" s="1"/>
  <c r="Q238" i="13"/>
  <c r="AU238" i="13" s="1"/>
  <c r="AW238" i="13" s="1"/>
  <c r="AX238" i="13" s="1"/>
  <c r="AU480" i="13"/>
  <c r="AW480" i="13" s="1"/>
  <c r="AX480" i="13" s="1"/>
  <c r="H427" i="11"/>
  <c r="Q277" i="13"/>
  <c r="AU277" i="13" s="1"/>
  <c r="AW277" i="13" s="1"/>
  <c r="AX277" i="13" s="1"/>
  <c r="AF856" i="13"/>
  <c r="AH856" i="13" s="1"/>
  <c r="AI856" i="13" s="1"/>
  <c r="L422" i="11"/>
  <c r="L498" i="11" s="1"/>
  <c r="U272" i="13"/>
  <c r="AZ659" i="13"/>
  <c r="BB659" i="13" s="1"/>
  <c r="BC659" i="13" s="1"/>
  <c r="R216" i="13"/>
  <c r="AZ216" i="13" s="1"/>
  <c r="BB216" i="13" s="1"/>
  <c r="BC216" i="13" s="1"/>
  <c r="BJ663" i="13"/>
  <c r="BL663" i="13" s="1"/>
  <c r="BM663" i="13" s="1"/>
  <c r="T220" i="13"/>
  <c r="BJ220" i="13" s="1"/>
  <c r="BJ487" i="13"/>
  <c r="BL487" i="13" s="1"/>
  <c r="BM487" i="13" s="1"/>
  <c r="K434" i="11"/>
  <c r="T284" i="13"/>
  <c r="BJ284" i="13" s="1"/>
  <c r="BL284" i="13" s="1"/>
  <c r="BM284" i="13" s="1"/>
  <c r="BJ567" i="13"/>
  <c r="BL567" i="13" s="1"/>
  <c r="BM567" i="13" s="1"/>
  <c r="K453" i="11"/>
  <c r="BJ479" i="13"/>
  <c r="BL479" i="13" s="1"/>
  <c r="BM479" i="13" s="1"/>
  <c r="K426" i="11"/>
  <c r="T276" i="13"/>
  <c r="BJ276" i="13" s="1"/>
  <c r="BL276" i="13" s="1"/>
  <c r="BM276" i="13" s="1"/>
  <c r="BJ477" i="13"/>
  <c r="BL477" i="13" s="1"/>
  <c r="BM477" i="13" s="1"/>
  <c r="K424" i="11"/>
  <c r="T274" i="13"/>
  <c r="BJ274" i="13" s="1"/>
  <c r="BL274" i="13" s="1"/>
  <c r="BM274" i="13" s="1"/>
  <c r="BJ856" i="13"/>
  <c r="BL856" i="13" s="1"/>
  <c r="BM856" i="13" s="1"/>
  <c r="BJ298" i="13"/>
  <c r="BL298" i="13" s="1"/>
  <c r="BM298" i="13" s="1"/>
  <c r="BJ307" i="13"/>
  <c r="BL307" i="13" s="1"/>
  <c r="BM307" i="13" s="1"/>
  <c r="BJ845" i="13"/>
  <c r="BL845" i="13" s="1"/>
  <c r="BM845" i="13" s="1"/>
  <c r="T262" i="13"/>
  <c r="BJ262" i="13" s="1"/>
  <c r="BJ840" i="13"/>
  <c r="BL840" i="13" s="1"/>
  <c r="BM840" i="13" s="1"/>
  <c r="T257" i="13"/>
  <c r="BJ257" i="13" s="1"/>
  <c r="BJ836" i="13"/>
  <c r="BL836" i="13" s="1"/>
  <c r="BM836" i="13" s="1"/>
  <c r="T253" i="13"/>
  <c r="BJ253" i="13" s="1"/>
  <c r="P222" i="13"/>
  <c r="AP222" i="13" s="1"/>
  <c r="AR222" i="13" s="1"/>
  <c r="AS222" i="13" s="1"/>
  <c r="O212" i="13"/>
  <c r="AK212" i="13" s="1"/>
  <c r="AM212" i="13" s="1"/>
  <c r="AN212" i="13" s="1"/>
  <c r="U276" i="13"/>
  <c r="R219" i="13"/>
  <c r="AZ219" i="13" s="1"/>
  <c r="BB219" i="13" s="1"/>
  <c r="BC219" i="13" s="1"/>
  <c r="G498" i="11"/>
  <c r="AU181" i="13"/>
  <c r="AW181" i="13" s="1"/>
  <c r="AX181" i="13" s="1"/>
  <c r="P217" i="13"/>
  <c r="AP217" i="13" s="1"/>
  <c r="AR217" i="13" s="1"/>
  <c r="AS217" i="13" s="1"/>
  <c r="J282" i="13"/>
  <c r="O278" i="13"/>
  <c r="AK278" i="13" s="1"/>
  <c r="AM278" i="13" s="1"/>
  <c r="AN278" i="13" s="1"/>
  <c r="Q273" i="13"/>
  <c r="AU273" i="13" s="1"/>
  <c r="AW273" i="13" s="1"/>
  <c r="AX273" i="13" s="1"/>
  <c r="AZ177" i="13"/>
  <c r="BB177" i="13" s="1"/>
  <c r="BC177" i="13" s="1"/>
  <c r="U274" i="13"/>
  <c r="O276" i="13"/>
  <c r="AK276" i="13" s="1"/>
  <c r="AM276" i="13" s="1"/>
  <c r="AN276" i="13" s="1"/>
  <c r="Q222" i="13"/>
  <c r="AU222" i="13" s="1"/>
  <c r="AW222" i="13" s="1"/>
  <c r="AX222" i="13" s="1"/>
  <c r="O220" i="13"/>
  <c r="AK220" i="13" s="1"/>
  <c r="AM220" i="13" s="1"/>
  <c r="AN220" i="13" s="1"/>
  <c r="L277" i="13"/>
  <c r="AK179" i="13"/>
  <c r="AM179" i="13" s="1"/>
  <c r="AN179" i="13" s="1"/>
  <c r="AP181" i="13"/>
  <c r="AR181" i="13" s="1"/>
  <c r="AS181" i="13" s="1"/>
  <c r="BE837" i="13"/>
  <c r="BG837" i="13" s="1"/>
  <c r="BH837" i="13" s="1"/>
  <c r="S254" i="13"/>
  <c r="BE254" i="13" s="1"/>
  <c r="BG254" i="13" s="1"/>
  <c r="BH254" i="13" s="1"/>
  <c r="P244" i="13"/>
  <c r="AP244" i="13" s="1"/>
  <c r="AR244" i="13" s="1"/>
  <c r="AS244" i="13" s="1"/>
  <c r="AP827" i="13"/>
  <c r="AR827" i="13" s="1"/>
  <c r="AS827" i="13" s="1"/>
  <c r="BE725" i="13"/>
  <c r="BG725" i="13" s="1"/>
  <c r="BH725" i="13" s="1"/>
  <c r="J489" i="11"/>
  <c r="BE484" i="13"/>
  <c r="BG484" i="13" s="1"/>
  <c r="BH484" i="13" s="1"/>
  <c r="J431" i="11"/>
  <c r="S281" i="13"/>
  <c r="BE281" i="13" s="1"/>
  <c r="BG281" i="13" s="1"/>
  <c r="BH281" i="13" s="1"/>
  <c r="BE560" i="13"/>
  <c r="BG560" i="13" s="1"/>
  <c r="BH560" i="13" s="1"/>
  <c r="J446" i="11"/>
  <c r="BE477" i="13"/>
  <c r="BG477" i="13" s="1"/>
  <c r="BH477" i="13" s="1"/>
  <c r="J424" i="11"/>
  <c r="S274" i="13"/>
  <c r="BE274" i="13" s="1"/>
  <c r="BG274" i="13" s="1"/>
  <c r="BH274" i="13" s="1"/>
  <c r="BE558" i="13"/>
  <c r="BG558" i="13" s="1"/>
  <c r="BH558" i="13" s="1"/>
  <c r="J444" i="11"/>
  <c r="BE845" i="13"/>
  <c r="BG845" i="13" s="1"/>
  <c r="BH845" i="13" s="1"/>
  <c r="S262" i="13"/>
  <c r="BE262" i="13" s="1"/>
  <c r="BG262" i="13" s="1"/>
  <c r="BH262" i="13" s="1"/>
  <c r="BE823" i="13"/>
  <c r="BG823" i="13" s="1"/>
  <c r="BH823" i="13" s="1"/>
  <c r="S240" i="13"/>
  <c r="BE240" i="13" s="1"/>
  <c r="BG240" i="13" s="1"/>
  <c r="BH240" i="13" s="1"/>
  <c r="BE305" i="13"/>
  <c r="BG305" i="13" s="1"/>
  <c r="BH305" i="13" s="1"/>
  <c r="BE564" i="13"/>
  <c r="BG564" i="13" s="1"/>
  <c r="BH564" i="13" s="1"/>
  <c r="J450" i="11"/>
  <c r="BE854" i="13"/>
  <c r="BG854" i="13" s="1"/>
  <c r="BH854" i="13" s="1"/>
  <c r="BE721" i="13"/>
  <c r="BG721" i="13" s="1"/>
  <c r="BH721" i="13" s="1"/>
  <c r="J485" i="11"/>
  <c r="J504" i="11" s="1"/>
  <c r="AU823" i="13"/>
  <c r="AW823" i="13" s="1"/>
  <c r="AX823" i="13" s="1"/>
  <c r="Q240" i="13"/>
  <c r="AU240" i="13" s="1"/>
  <c r="AW240" i="13" s="1"/>
  <c r="AX240" i="13" s="1"/>
  <c r="AZ817" i="13"/>
  <c r="BB817" i="13" s="1"/>
  <c r="BC817" i="13" s="1"/>
  <c r="R234" i="13"/>
  <c r="AZ234" i="13" s="1"/>
  <c r="BB234" i="13" s="1"/>
  <c r="BC234" i="13" s="1"/>
  <c r="AZ478" i="13"/>
  <c r="BB478" i="13" s="1"/>
  <c r="BC478" i="13" s="1"/>
  <c r="I425" i="11"/>
  <c r="R275" i="13"/>
  <c r="AZ275" i="13" s="1"/>
  <c r="BB275" i="13" s="1"/>
  <c r="BC275" i="13" s="1"/>
  <c r="BJ843" i="13"/>
  <c r="BL843" i="13" s="1"/>
  <c r="BM843" i="13" s="1"/>
  <c r="T260" i="13"/>
  <c r="BJ260" i="13" s="1"/>
  <c r="BJ817" i="13"/>
  <c r="BL817" i="13" s="1"/>
  <c r="BM817" i="13" s="1"/>
  <c r="T234" i="13"/>
  <c r="BJ234" i="13" s="1"/>
  <c r="H426" i="11"/>
  <c r="AU479" i="13"/>
  <c r="AW479" i="13" s="1"/>
  <c r="AX479" i="13" s="1"/>
  <c r="Q276" i="13"/>
  <c r="AU276" i="13" s="1"/>
  <c r="AW276" i="13" s="1"/>
  <c r="AX276" i="13" s="1"/>
  <c r="AF664" i="13"/>
  <c r="AH664" i="13" s="1"/>
  <c r="AI664" i="13" s="1"/>
  <c r="N221" i="13"/>
  <c r="AF221" i="13" s="1"/>
  <c r="AH221" i="13" s="1"/>
  <c r="AI221" i="13" s="1"/>
  <c r="E275" i="13"/>
  <c r="AZ820" i="13"/>
  <c r="BB820" i="13" s="1"/>
  <c r="BC820" i="13" s="1"/>
  <c r="R237" i="13"/>
  <c r="AZ237" i="13" s="1"/>
  <c r="BB237" i="13" s="1"/>
  <c r="BC237" i="13" s="1"/>
  <c r="AZ661" i="13"/>
  <c r="BB661" i="13" s="1"/>
  <c r="BC661" i="13" s="1"/>
  <c r="R218" i="13"/>
  <c r="AZ218" i="13" s="1"/>
  <c r="BB218" i="13" s="1"/>
  <c r="BC218" i="13" s="1"/>
  <c r="AZ561" i="13"/>
  <c r="BB561" i="13" s="1"/>
  <c r="BC561" i="13" s="1"/>
  <c r="I447" i="11"/>
  <c r="AK821" i="13"/>
  <c r="AM821" i="13" s="1"/>
  <c r="AN821" i="13" s="1"/>
  <c r="O238" i="13"/>
  <c r="AK238" i="13" s="1"/>
  <c r="AM238" i="13" s="1"/>
  <c r="AN238" i="13" s="1"/>
  <c r="AK815" i="13"/>
  <c r="AM815" i="13" s="1"/>
  <c r="AN815" i="13" s="1"/>
  <c r="O232" i="13"/>
  <c r="AK232" i="13" s="1"/>
  <c r="AM232" i="13" s="1"/>
  <c r="AN232" i="13" s="1"/>
  <c r="AK859" i="13"/>
  <c r="AM859" i="13" s="1"/>
  <c r="AN859" i="13" s="1"/>
  <c r="AF556" i="13"/>
  <c r="AH556" i="13" s="1"/>
  <c r="AI556" i="13" s="1"/>
  <c r="E442" i="11"/>
  <c r="E499" i="11" s="1"/>
  <c r="AP865" i="13"/>
  <c r="AR865" i="13" s="1"/>
  <c r="AS865" i="13" s="1"/>
  <c r="AZ719" i="13"/>
  <c r="BB719" i="13" s="1"/>
  <c r="BC719" i="13" s="1"/>
  <c r="I483" i="11"/>
  <c r="AZ718" i="13"/>
  <c r="BB718" i="13" s="1"/>
  <c r="BC718" i="13" s="1"/>
  <c r="I482" i="11"/>
  <c r="AF483" i="13"/>
  <c r="AH483" i="13" s="1"/>
  <c r="AI483" i="13" s="1"/>
  <c r="E430" i="11"/>
  <c r="N280" i="13"/>
  <c r="AF280" i="13" s="1"/>
  <c r="AH280" i="13" s="1"/>
  <c r="AI280" i="13" s="1"/>
  <c r="BJ861" i="13"/>
  <c r="BL861" i="13" s="1"/>
  <c r="BM861" i="13" s="1"/>
  <c r="BJ658" i="13"/>
  <c r="BL658" i="13" s="1"/>
  <c r="BM658" i="13" s="1"/>
  <c r="T215" i="13"/>
  <c r="BJ215" i="13" s="1"/>
  <c r="BJ476" i="13"/>
  <c r="BL476" i="13" s="1"/>
  <c r="BM476" i="13" s="1"/>
  <c r="K423" i="11"/>
  <c r="T273" i="13"/>
  <c r="BJ273" i="13" s="1"/>
  <c r="BL273" i="13" s="1"/>
  <c r="BM273" i="13" s="1"/>
  <c r="BJ475" i="13"/>
  <c r="BL475" i="13" s="1"/>
  <c r="BM475" i="13" s="1"/>
  <c r="K422" i="11"/>
  <c r="T272" i="13"/>
  <c r="BJ272" i="13" s="1"/>
  <c r="BL272" i="13" s="1"/>
  <c r="BM272" i="13" s="1"/>
  <c r="BJ295" i="13"/>
  <c r="BL295" i="13" s="1"/>
  <c r="BM295" i="13" s="1"/>
  <c r="BJ301" i="13"/>
  <c r="BL301" i="13" s="1"/>
  <c r="BM301" i="13" s="1"/>
  <c r="Q217" i="13"/>
  <c r="AU217" i="13" s="1"/>
  <c r="AW217" i="13" s="1"/>
  <c r="AX217" i="13" s="1"/>
  <c r="AU184" i="13"/>
  <c r="AW184" i="13" s="1"/>
  <c r="AX184" i="13" s="1"/>
  <c r="P212" i="13"/>
  <c r="AP212" i="13" s="1"/>
  <c r="AR212" i="13" s="1"/>
  <c r="AS212" i="13" s="1"/>
  <c r="AZ818" i="13"/>
  <c r="BB818" i="13" s="1"/>
  <c r="BC818" i="13" s="1"/>
  <c r="R235" i="13"/>
  <c r="AZ235" i="13" s="1"/>
  <c r="BB235" i="13" s="1"/>
  <c r="BC235" i="13" s="1"/>
  <c r="AU847" i="13"/>
  <c r="AW847" i="13" s="1"/>
  <c r="AX847" i="13" s="1"/>
  <c r="Q264" i="13"/>
  <c r="AU264" i="13" s="1"/>
  <c r="AW264" i="13" s="1"/>
  <c r="AX264" i="13" s="1"/>
  <c r="AP823" i="13"/>
  <c r="AR823" i="13" s="1"/>
  <c r="AS823" i="13" s="1"/>
  <c r="P240" i="13"/>
  <c r="AP240" i="13" s="1"/>
  <c r="AR240" i="13" s="1"/>
  <c r="AS240" i="13" s="1"/>
  <c r="BJ821" i="13"/>
  <c r="BL821" i="13" s="1"/>
  <c r="BM821" i="13" s="1"/>
  <c r="T238" i="13"/>
  <c r="BJ238" i="13" s="1"/>
  <c r="BE485" i="13"/>
  <c r="BG485" i="13" s="1"/>
  <c r="BH485" i="13" s="1"/>
  <c r="J432" i="11"/>
  <c r="S282" i="13"/>
  <c r="BE282" i="13" s="1"/>
  <c r="BG282" i="13" s="1"/>
  <c r="BH282" i="13" s="1"/>
  <c r="BE303" i="13"/>
  <c r="BG303" i="13" s="1"/>
  <c r="BH303" i="13" s="1"/>
  <c r="BE562" i="13"/>
  <c r="BG562" i="13" s="1"/>
  <c r="BH562" i="13" s="1"/>
  <c r="J448" i="11"/>
  <c r="BE844" i="13"/>
  <c r="BG844" i="13" s="1"/>
  <c r="BH844" i="13" s="1"/>
  <c r="S261" i="13"/>
  <c r="BE261" i="13" s="1"/>
  <c r="BG261" i="13" s="1"/>
  <c r="BH261" i="13" s="1"/>
  <c r="BE822" i="13"/>
  <c r="BG822" i="13" s="1"/>
  <c r="BH822" i="13" s="1"/>
  <c r="S239" i="13"/>
  <c r="BE239" i="13" s="1"/>
  <c r="BG239" i="13" s="1"/>
  <c r="BH239" i="13" s="1"/>
  <c r="BE661" i="13"/>
  <c r="BG661" i="13" s="1"/>
  <c r="BH661" i="13" s="1"/>
  <c r="S218" i="13"/>
  <c r="BE218" i="13" s="1"/>
  <c r="BG218" i="13" s="1"/>
  <c r="BH218" i="13" s="1"/>
  <c r="BE296" i="13"/>
  <c r="BG296" i="13" s="1"/>
  <c r="BH296" i="13" s="1"/>
  <c r="BE307" i="13"/>
  <c r="BG307" i="13" s="1"/>
  <c r="BH307" i="13" s="1"/>
  <c r="BE655" i="13"/>
  <c r="BG655" i="13" s="1"/>
  <c r="BH655" i="13" s="1"/>
  <c r="S212" i="13"/>
  <c r="BE212" i="13" s="1"/>
  <c r="BG212" i="13" s="1"/>
  <c r="BH212" i="13" s="1"/>
  <c r="BE304" i="13"/>
  <c r="BG304" i="13" s="1"/>
  <c r="BH304" i="13" s="1"/>
  <c r="BE555" i="13"/>
  <c r="BG555" i="13" s="1"/>
  <c r="BH555" i="13" s="1"/>
  <c r="J441" i="11"/>
  <c r="BE856" i="13"/>
  <c r="BG856" i="13" s="1"/>
  <c r="BH856" i="13" s="1"/>
  <c r="AF860" i="13"/>
  <c r="AH860" i="13" s="1"/>
  <c r="AI860" i="13" s="1"/>
  <c r="N175" i="13"/>
  <c r="AF298" i="13"/>
  <c r="AH298" i="13" s="1"/>
  <c r="AI298" i="13" s="1"/>
  <c r="N172" i="13"/>
  <c r="AF295" i="13"/>
  <c r="AH295" i="13" s="1"/>
  <c r="AI295" i="13" s="1"/>
  <c r="AZ836" i="13"/>
  <c r="BB836" i="13" s="1"/>
  <c r="BC836" i="13" s="1"/>
  <c r="R253" i="13"/>
  <c r="AZ253" i="13" s="1"/>
  <c r="BB253" i="13" s="1"/>
  <c r="BC253" i="13" s="1"/>
  <c r="AZ824" i="13"/>
  <c r="BB824" i="13" s="1"/>
  <c r="BC824" i="13" s="1"/>
  <c r="R241" i="13"/>
  <c r="AZ241" i="13" s="1"/>
  <c r="BB241" i="13" s="1"/>
  <c r="BC241" i="13" s="1"/>
  <c r="AZ723" i="13"/>
  <c r="BB723" i="13" s="1"/>
  <c r="BC723" i="13" s="1"/>
  <c r="I487" i="11"/>
  <c r="I506" i="11" s="1"/>
  <c r="AK842" i="13"/>
  <c r="AM842" i="13" s="1"/>
  <c r="AN842" i="13" s="1"/>
  <c r="O259" i="13"/>
  <c r="AK259" i="13" s="1"/>
  <c r="AM259" i="13" s="1"/>
  <c r="AN259" i="13" s="1"/>
  <c r="AZ657" i="13"/>
  <c r="BB657" i="13" s="1"/>
  <c r="BC657" i="13" s="1"/>
  <c r="R214" i="13"/>
  <c r="AZ214" i="13" s="1"/>
  <c r="BB214" i="13" s="1"/>
  <c r="BC214" i="13" s="1"/>
  <c r="AP716" i="13"/>
  <c r="AR716" i="13" s="1"/>
  <c r="AS716" i="13" s="1"/>
  <c r="G480" i="11"/>
  <c r="AF665" i="13"/>
  <c r="AH665" i="13" s="1"/>
  <c r="AI665" i="13" s="1"/>
  <c r="N222" i="13"/>
  <c r="AF222" i="13" s="1"/>
  <c r="AH222" i="13" s="1"/>
  <c r="AI222" i="13" s="1"/>
  <c r="AP481" i="13"/>
  <c r="AR481" i="13" s="1"/>
  <c r="AS481" i="13" s="1"/>
  <c r="G428" i="11"/>
  <c r="G504" i="11" s="1"/>
  <c r="P278" i="13"/>
  <c r="AP278" i="13" s="1"/>
  <c r="AR278" i="13" s="1"/>
  <c r="AS278" i="13" s="1"/>
  <c r="BJ859" i="13"/>
  <c r="BL859" i="13" s="1"/>
  <c r="BM859" i="13" s="1"/>
  <c r="AK660" i="13"/>
  <c r="AM660" i="13" s="1"/>
  <c r="AN660" i="13" s="1"/>
  <c r="O217" i="13"/>
  <c r="AK217" i="13" s="1"/>
  <c r="AM217" i="13" s="1"/>
  <c r="AN217" i="13" s="1"/>
  <c r="AF482" i="13"/>
  <c r="AH482" i="13" s="1"/>
  <c r="AI482" i="13" s="1"/>
  <c r="E429" i="11"/>
  <c r="N279" i="13"/>
  <c r="AF279" i="13" s="1"/>
  <c r="AH279" i="13" s="1"/>
  <c r="AI279" i="13" s="1"/>
  <c r="AZ562" i="13"/>
  <c r="BB562" i="13" s="1"/>
  <c r="BC562" i="13" s="1"/>
  <c r="I448" i="11"/>
  <c r="AP299" i="13"/>
  <c r="AR299" i="13" s="1"/>
  <c r="AS299" i="13" s="1"/>
  <c r="AZ840" i="13"/>
  <c r="BB840" i="13" s="1"/>
  <c r="BC840" i="13" s="1"/>
  <c r="R257" i="13"/>
  <c r="AZ257" i="13" s="1"/>
  <c r="BB257" i="13" s="1"/>
  <c r="BC257" i="13" s="1"/>
  <c r="AF818" i="13"/>
  <c r="AH818" i="13" s="1"/>
  <c r="AI818" i="13" s="1"/>
  <c r="N235" i="13"/>
  <c r="AF235" i="13" s="1"/>
  <c r="AH235" i="13" s="1"/>
  <c r="AI235" i="13" s="1"/>
  <c r="AU835" i="13"/>
  <c r="AW835" i="13" s="1"/>
  <c r="AX835" i="13" s="1"/>
  <c r="Q252" i="13"/>
  <c r="AU252" i="13" s="1"/>
  <c r="AW252" i="13" s="1"/>
  <c r="AX252" i="13" s="1"/>
  <c r="AU560" i="13"/>
  <c r="AW560" i="13" s="1"/>
  <c r="AX560" i="13" s="1"/>
  <c r="H446" i="11"/>
  <c r="AZ559" i="13"/>
  <c r="BB559" i="13" s="1"/>
  <c r="BC559" i="13" s="1"/>
  <c r="I445" i="11"/>
  <c r="AU300" i="13"/>
  <c r="AW300" i="13" s="1"/>
  <c r="AX300" i="13" s="1"/>
  <c r="Q177" i="13"/>
  <c r="AZ865" i="13"/>
  <c r="BB865" i="13" s="1"/>
  <c r="BC865" i="13" s="1"/>
  <c r="BJ483" i="13"/>
  <c r="BL483" i="13" s="1"/>
  <c r="BM483" i="13" s="1"/>
  <c r="K430" i="11"/>
  <c r="T280" i="13"/>
  <c r="BJ280" i="13" s="1"/>
  <c r="BL280" i="13" s="1"/>
  <c r="BM280" i="13" s="1"/>
  <c r="AF659" i="13"/>
  <c r="AH659" i="13" s="1"/>
  <c r="AI659" i="13" s="1"/>
  <c r="N216" i="13"/>
  <c r="AF216" i="13" s="1"/>
  <c r="AH216" i="13" s="1"/>
  <c r="AI216" i="13" s="1"/>
  <c r="BJ664" i="13"/>
  <c r="BL664" i="13" s="1"/>
  <c r="BM664" i="13" s="1"/>
  <c r="T221" i="13"/>
  <c r="BJ221" i="13" s="1"/>
  <c r="BJ722" i="13"/>
  <c r="BL722" i="13" s="1"/>
  <c r="BM722" i="13" s="1"/>
  <c r="K486" i="11"/>
  <c r="BJ719" i="13"/>
  <c r="BL719" i="13" s="1"/>
  <c r="BM719" i="13" s="1"/>
  <c r="K483" i="11"/>
  <c r="BJ656" i="13"/>
  <c r="BL656" i="13" s="1"/>
  <c r="BM656" i="13" s="1"/>
  <c r="T213" i="13"/>
  <c r="BJ213" i="13" s="1"/>
  <c r="BJ867" i="13"/>
  <c r="BL867" i="13" s="1"/>
  <c r="BM867" i="13" s="1"/>
  <c r="BJ565" i="13"/>
  <c r="BL565" i="13" s="1"/>
  <c r="BM565" i="13" s="1"/>
  <c r="K451" i="11"/>
  <c r="BJ564" i="13"/>
  <c r="BL564" i="13" s="1"/>
  <c r="BM564" i="13" s="1"/>
  <c r="K450" i="11"/>
  <c r="BJ844" i="13"/>
  <c r="BL844" i="13" s="1"/>
  <c r="BM844" i="13" s="1"/>
  <c r="T261" i="13"/>
  <c r="BJ261" i="13" s="1"/>
  <c r="BJ839" i="13"/>
  <c r="BL839" i="13" s="1"/>
  <c r="BM839" i="13" s="1"/>
  <c r="T256" i="13"/>
  <c r="BJ256" i="13" s="1"/>
  <c r="BJ835" i="13"/>
  <c r="BL835" i="13" s="1"/>
  <c r="BM835" i="13" s="1"/>
  <c r="T252" i="13"/>
  <c r="BJ252" i="13" s="1"/>
  <c r="I498" i="11"/>
  <c r="R278" i="13"/>
  <c r="AZ278" i="13" s="1"/>
  <c r="BB278" i="13" s="1"/>
  <c r="BC278" i="13" s="1"/>
  <c r="R274" i="13"/>
  <c r="AZ274" i="13" s="1"/>
  <c r="BB274" i="13" s="1"/>
  <c r="BC274" i="13" s="1"/>
  <c r="F506" i="11"/>
  <c r="Q214" i="13"/>
  <c r="AU214" i="13" s="1"/>
  <c r="AW214" i="13" s="1"/>
  <c r="AX214" i="13" s="1"/>
  <c r="AP179" i="13"/>
  <c r="AR179" i="13" s="1"/>
  <c r="AS179" i="13" s="1"/>
  <c r="AU175" i="13"/>
  <c r="AW175" i="13" s="1"/>
  <c r="AX175" i="13" s="1"/>
  <c r="AK182" i="13"/>
  <c r="AM182" i="13" s="1"/>
  <c r="AN182" i="13" s="1"/>
  <c r="P216" i="13"/>
  <c r="AP216" i="13" s="1"/>
  <c r="AR216" i="13" s="1"/>
  <c r="AS216" i="13" s="1"/>
  <c r="AZ178" i="13"/>
  <c r="BB178" i="13" s="1"/>
  <c r="BC178" i="13" s="1"/>
  <c r="H500" i="11"/>
  <c r="AU179" i="13"/>
  <c r="AW179" i="13" s="1"/>
  <c r="AX179" i="13" s="1"/>
  <c r="AP182" i="13"/>
  <c r="AR182" i="13" s="1"/>
  <c r="AS182" i="13" s="1"/>
  <c r="G503" i="11"/>
  <c r="Q279" i="13"/>
  <c r="AU279" i="13" s="1"/>
  <c r="AW279" i="13" s="1"/>
  <c r="AX279" i="13" s="1"/>
  <c r="BE840" i="13"/>
  <c r="BG840" i="13" s="1"/>
  <c r="BH840" i="13" s="1"/>
  <c r="S257" i="13"/>
  <c r="BE257" i="13" s="1"/>
  <c r="BG257" i="13" s="1"/>
  <c r="BH257" i="13" s="1"/>
  <c r="AK837" i="13"/>
  <c r="AM837" i="13" s="1"/>
  <c r="AN837" i="13" s="1"/>
  <c r="O254" i="13"/>
  <c r="AK254" i="13" s="1"/>
  <c r="AM254" i="13" s="1"/>
  <c r="AN254" i="13" s="1"/>
  <c r="BE835" i="13"/>
  <c r="BG835" i="13" s="1"/>
  <c r="BH835" i="13" s="1"/>
  <c r="S252" i="13"/>
  <c r="BE252" i="13" s="1"/>
  <c r="BG252" i="13" s="1"/>
  <c r="BH252" i="13" s="1"/>
  <c r="BJ825" i="13"/>
  <c r="BL825" i="13" s="1"/>
  <c r="BM825" i="13" s="1"/>
  <c r="T242" i="13"/>
  <c r="BJ242" i="13" s="1"/>
  <c r="BE722" i="13"/>
  <c r="BG722" i="13" s="1"/>
  <c r="BH722" i="13" s="1"/>
  <c r="J486" i="11"/>
  <c r="BE487" i="13"/>
  <c r="BG487" i="13" s="1"/>
  <c r="BH487" i="13" s="1"/>
  <c r="J434" i="11"/>
  <c r="S284" i="13"/>
  <c r="BE284" i="13" s="1"/>
  <c r="BG284" i="13" s="1"/>
  <c r="BH284" i="13" s="1"/>
  <c r="AK854" i="13"/>
  <c r="BE857" i="13"/>
  <c r="BG857" i="13" s="1"/>
  <c r="BH857" i="13" s="1"/>
  <c r="BE843" i="13"/>
  <c r="BG843" i="13" s="1"/>
  <c r="BH843" i="13" s="1"/>
  <c r="S260" i="13"/>
  <c r="BE260" i="13" s="1"/>
  <c r="BG260" i="13" s="1"/>
  <c r="BH260" i="13" s="1"/>
  <c r="BE821" i="13"/>
  <c r="BG821" i="13" s="1"/>
  <c r="BH821" i="13" s="1"/>
  <c r="S238" i="13"/>
  <c r="BE238" i="13" s="1"/>
  <c r="BG238" i="13" s="1"/>
  <c r="BH238" i="13" s="1"/>
  <c r="BE720" i="13"/>
  <c r="BG720" i="13" s="1"/>
  <c r="BH720" i="13" s="1"/>
  <c r="J484" i="11"/>
  <c r="BE718" i="13"/>
  <c r="BG718" i="13" s="1"/>
  <c r="BH718" i="13" s="1"/>
  <c r="J482" i="11"/>
  <c r="AZ854" i="13"/>
  <c r="BE559" i="13"/>
  <c r="BG559" i="13" s="1"/>
  <c r="BH559" i="13" s="1"/>
  <c r="J445" i="11"/>
  <c r="BJ855" i="13"/>
  <c r="BL855" i="13" s="1"/>
  <c r="BM855" i="13" s="1"/>
  <c r="AF555" i="13"/>
  <c r="AH555" i="13" s="1"/>
  <c r="AI555" i="13" s="1"/>
  <c r="E441" i="11"/>
  <c r="AZ819" i="13"/>
  <c r="BB819" i="13" s="1"/>
  <c r="BC819" i="13" s="1"/>
  <c r="R236" i="13"/>
  <c r="AZ236" i="13" s="1"/>
  <c r="BB236" i="13" s="1"/>
  <c r="BC236" i="13" s="1"/>
  <c r="AZ816" i="13"/>
  <c r="BB816" i="13" s="1"/>
  <c r="BC816" i="13" s="1"/>
  <c r="R233" i="13"/>
  <c r="AZ233" i="13" s="1"/>
  <c r="BB233" i="13" s="1"/>
  <c r="BC233" i="13" s="1"/>
  <c r="BJ820" i="13"/>
  <c r="BL820" i="13" s="1"/>
  <c r="BM820" i="13" s="1"/>
  <c r="T237" i="13"/>
  <c r="BJ237" i="13" s="1"/>
  <c r="AU655" i="13"/>
  <c r="AW655" i="13" s="1"/>
  <c r="AX655" i="13" s="1"/>
  <c r="Q212" i="13"/>
  <c r="AU212" i="13" s="1"/>
  <c r="AW212" i="13" s="1"/>
  <c r="AX212" i="13" s="1"/>
  <c r="AF477" i="13"/>
  <c r="AH477" i="13" s="1"/>
  <c r="AI477" i="13" s="1"/>
  <c r="E424" i="11"/>
  <c r="N274" i="13"/>
  <c r="AF274" i="13" s="1"/>
  <c r="AH274" i="13" s="1"/>
  <c r="AI274" i="13" s="1"/>
  <c r="AZ727" i="13"/>
  <c r="BB727" i="13" s="1"/>
  <c r="BC727" i="13" s="1"/>
  <c r="I491" i="11"/>
  <c r="I510" i="11" s="1"/>
  <c r="AZ655" i="13"/>
  <c r="BB655" i="13" s="1"/>
  <c r="BC655" i="13" s="1"/>
  <c r="R212" i="13"/>
  <c r="AZ212" i="13" s="1"/>
  <c r="BB212" i="13" s="1"/>
  <c r="BC212" i="13" s="1"/>
  <c r="AZ565" i="13"/>
  <c r="BB565" i="13" s="1"/>
  <c r="BC565" i="13" s="1"/>
  <c r="I451" i="11"/>
  <c r="I508" i="11" s="1"/>
  <c r="AZ479" i="13"/>
  <c r="BB479" i="13" s="1"/>
  <c r="BC479" i="13" s="1"/>
  <c r="I426" i="11"/>
  <c r="R276" i="13"/>
  <c r="AZ276" i="13" s="1"/>
  <c r="BB276" i="13" s="1"/>
  <c r="BC276" i="13" s="1"/>
  <c r="AK820" i="13"/>
  <c r="AM820" i="13" s="1"/>
  <c r="AN820" i="13" s="1"/>
  <c r="O237" i="13"/>
  <c r="AK237" i="13" s="1"/>
  <c r="AM237" i="13" s="1"/>
  <c r="AN237" i="13" s="1"/>
  <c r="AF479" i="13"/>
  <c r="AH479" i="13" s="1"/>
  <c r="AI479" i="13" s="1"/>
  <c r="E426" i="11"/>
  <c r="N276" i="13"/>
  <c r="AF276" i="13" s="1"/>
  <c r="AH276" i="13" s="1"/>
  <c r="AI276" i="13" s="1"/>
  <c r="AZ822" i="13"/>
  <c r="BB822" i="13" s="1"/>
  <c r="BC822" i="13" s="1"/>
  <c r="R239" i="13"/>
  <c r="AZ239" i="13" s="1"/>
  <c r="BB239" i="13" s="1"/>
  <c r="BC239" i="13" s="1"/>
  <c r="AK565" i="13"/>
  <c r="AM565" i="13" s="1"/>
  <c r="AN565" i="13" s="1"/>
  <c r="F451" i="11"/>
  <c r="AZ860" i="13"/>
  <c r="BB860" i="13" s="1"/>
  <c r="BC860" i="13" s="1"/>
  <c r="AF727" i="13"/>
  <c r="AH727" i="13" s="1"/>
  <c r="AI727" i="13" s="1"/>
  <c r="E491" i="11"/>
  <c r="AZ297" i="13"/>
  <c r="BB297" i="13" s="1"/>
  <c r="BC297" i="13" s="1"/>
  <c r="BJ485" i="13"/>
  <c r="BL485" i="13" s="1"/>
  <c r="BM485" i="13" s="1"/>
  <c r="K432" i="11"/>
  <c r="T282" i="13"/>
  <c r="BJ282" i="13" s="1"/>
  <c r="BL282" i="13" s="1"/>
  <c r="BM282" i="13" s="1"/>
  <c r="BJ484" i="13"/>
  <c r="BL484" i="13" s="1"/>
  <c r="BM484" i="13" s="1"/>
  <c r="K431" i="11"/>
  <c r="T281" i="13"/>
  <c r="BJ281" i="13" s="1"/>
  <c r="BL281" i="13" s="1"/>
  <c r="BM281" i="13" s="1"/>
  <c r="BJ864" i="13"/>
  <c r="BL864" i="13" s="1"/>
  <c r="BM864" i="13" s="1"/>
  <c r="BJ563" i="13"/>
  <c r="BL563" i="13" s="1"/>
  <c r="BM563" i="13" s="1"/>
  <c r="K449" i="11"/>
  <c r="BJ863" i="13"/>
  <c r="BL863" i="13" s="1"/>
  <c r="BM863" i="13" s="1"/>
  <c r="BJ302" i="13"/>
  <c r="BL302" i="13" s="1"/>
  <c r="BM302" i="13" s="1"/>
  <c r="BJ297" i="13"/>
  <c r="BL297" i="13" s="1"/>
  <c r="BM297" i="13" s="1"/>
  <c r="BJ305" i="13"/>
  <c r="BL305" i="13" s="1"/>
  <c r="BM305" i="13" s="1"/>
  <c r="N224" i="13"/>
  <c r="AF224" i="13" s="1"/>
  <c r="AH224" i="13" s="1"/>
  <c r="AI224" i="13" s="1"/>
  <c r="N213" i="13"/>
  <c r="AF213" i="13" s="1"/>
  <c r="AH213" i="13" s="1"/>
  <c r="AI213" i="13" s="1"/>
  <c r="AF180" i="13"/>
  <c r="AH180" i="13" s="1"/>
  <c r="AI180" i="13" s="1"/>
  <c r="G510" i="11"/>
  <c r="R273" i="13"/>
  <c r="AZ273" i="13" s="1"/>
  <c r="BB273" i="13" s="1"/>
  <c r="BC273" i="13" s="1"/>
  <c r="O275" i="13"/>
  <c r="AK275" i="13" s="1"/>
  <c r="AM275" i="13" s="1"/>
  <c r="AN275" i="13" s="1"/>
  <c r="AP178" i="13"/>
  <c r="AR178" i="13" s="1"/>
  <c r="AS178" i="13" s="1"/>
  <c r="P224" i="13"/>
  <c r="AP224" i="13" s="1"/>
  <c r="AR224" i="13" s="1"/>
  <c r="AS224" i="13" s="1"/>
  <c r="AU173" i="13"/>
  <c r="AW173" i="13" s="1"/>
  <c r="AX173" i="13" s="1"/>
  <c r="O221" i="13"/>
  <c r="AK221" i="13" s="1"/>
  <c r="AM221" i="13" s="1"/>
  <c r="AN221" i="13" s="1"/>
  <c r="F505" i="11"/>
  <c r="F500" i="11"/>
  <c r="N284" i="13"/>
  <c r="AF284" i="13" s="1"/>
  <c r="AH284" i="13" s="1"/>
  <c r="AI284" i="13" s="1"/>
  <c r="AF182" i="13"/>
  <c r="AH182" i="13" s="1"/>
  <c r="AI182" i="13" s="1"/>
  <c r="BE315" i="13"/>
  <c r="BG315" i="13" s="1"/>
  <c r="BH315" i="13" s="1"/>
  <c r="BE325" i="13"/>
  <c r="BG325" i="13" s="1"/>
  <c r="BH325" i="13" s="1"/>
  <c r="BE347" i="13"/>
  <c r="BG347" i="13" s="1"/>
  <c r="BH347" i="13" s="1"/>
  <c r="BJ315" i="13"/>
  <c r="BL315" i="13" s="1"/>
  <c r="BM315" i="13" s="1"/>
  <c r="AP315" i="13"/>
  <c r="AR315" i="13" s="1"/>
  <c r="AS315" i="13" s="1"/>
  <c r="BJ323" i="13"/>
  <c r="BL323" i="13" s="1"/>
  <c r="BM323" i="13" s="1"/>
  <c r="AZ337" i="13"/>
  <c r="BB337" i="13" s="1"/>
  <c r="BC337" i="13" s="1"/>
  <c r="BJ319" i="13"/>
  <c r="BL319" i="13" s="1"/>
  <c r="BM319" i="13" s="1"/>
  <c r="BE318" i="13"/>
  <c r="BG318" i="13" s="1"/>
  <c r="BH318" i="13" s="1"/>
  <c r="BE316" i="13"/>
  <c r="BG316" i="13" s="1"/>
  <c r="BH316" i="13" s="1"/>
  <c r="BE327" i="13"/>
  <c r="BG327" i="13" s="1"/>
  <c r="BH327" i="13" s="1"/>
  <c r="AF340" i="13"/>
  <c r="AH340" i="13" s="1"/>
  <c r="AI340" i="13" s="1"/>
  <c r="BJ343" i="13"/>
  <c r="BL343" i="13" s="1"/>
  <c r="BM343" i="13" s="1"/>
  <c r="BJ336" i="13"/>
  <c r="BL336" i="13" s="1"/>
  <c r="BM336" i="13" s="1"/>
  <c r="BJ344" i="13"/>
  <c r="BL344" i="13" s="1"/>
  <c r="BM344" i="13" s="1"/>
  <c r="BE319" i="13"/>
  <c r="BG319" i="13" s="1"/>
  <c r="BH319" i="13" s="1"/>
  <c r="BE336" i="13"/>
  <c r="BG336" i="13" s="1"/>
  <c r="BH336" i="13" s="1"/>
  <c r="U177" i="13"/>
  <c r="AZ344" i="13"/>
  <c r="BB344" i="13" s="1"/>
  <c r="BC344" i="13" s="1"/>
  <c r="BJ327" i="13"/>
  <c r="BL327" i="13" s="1"/>
  <c r="BM327" i="13" s="1"/>
  <c r="BE320" i="13"/>
  <c r="BG320" i="13" s="1"/>
  <c r="BH320" i="13" s="1"/>
  <c r="BE338" i="13"/>
  <c r="BG338" i="13" s="1"/>
  <c r="BH338" i="13" s="1"/>
  <c r="J174" i="13"/>
  <c r="K175" i="13"/>
  <c r="H177" i="13"/>
  <c r="U172" i="13"/>
  <c r="BE322" i="13"/>
  <c r="BG322" i="13" s="1"/>
  <c r="BH322" i="13" s="1"/>
  <c r="BE324" i="13"/>
  <c r="BG324" i="13" s="1"/>
  <c r="BH324" i="13" s="1"/>
  <c r="AK337" i="13"/>
  <c r="AM337" i="13" s="1"/>
  <c r="AN337" i="13" s="1"/>
  <c r="AK323" i="13"/>
  <c r="AM323" i="13" s="1"/>
  <c r="AN323" i="13" s="1"/>
  <c r="AU319" i="13"/>
  <c r="AW319" i="13" s="1"/>
  <c r="AX319" i="13" s="1"/>
  <c r="AU335" i="13"/>
  <c r="AW335" i="13" s="1"/>
  <c r="AX335" i="13" s="1"/>
  <c r="AZ339" i="13"/>
  <c r="BB339" i="13" s="1"/>
  <c r="BC339" i="13" s="1"/>
  <c r="BJ345" i="13"/>
  <c r="BL345" i="13" s="1"/>
  <c r="BM345" i="13" s="1"/>
  <c r="U178" i="13"/>
  <c r="BJ335" i="13"/>
  <c r="BL335" i="13" s="1"/>
  <c r="BM335" i="13" s="1"/>
  <c r="BJ347" i="13"/>
  <c r="BL347" i="13" s="1"/>
  <c r="BM347" i="13" s="1"/>
  <c r="BE342" i="13"/>
  <c r="BG342" i="13" s="1"/>
  <c r="BH342" i="13" s="1"/>
  <c r="H178" i="13"/>
  <c r="BE340" i="13"/>
  <c r="BG340" i="13" s="1"/>
  <c r="BH340" i="13" s="1"/>
  <c r="BE345" i="13"/>
  <c r="BG345" i="13" s="1"/>
  <c r="BH345" i="13" s="1"/>
  <c r="AP317" i="13"/>
  <c r="AR317" i="13" s="1"/>
  <c r="AS317" i="13" s="1"/>
  <c r="BJ322" i="13"/>
  <c r="BL322" i="13" s="1"/>
  <c r="BM322" i="13" s="1"/>
  <c r="BJ317" i="13"/>
  <c r="BL317" i="13" s="1"/>
  <c r="BM317" i="13" s="1"/>
  <c r="BJ337" i="13"/>
  <c r="BL337" i="13" s="1"/>
  <c r="BM337" i="13" s="1"/>
  <c r="AZ317" i="13"/>
  <c r="BB317" i="13" s="1"/>
  <c r="BC317" i="13" s="1"/>
  <c r="U176" i="13"/>
  <c r="BE341" i="13"/>
  <c r="BG341" i="13" s="1"/>
  <c r="BH341" i="13" s="1"/>
  <c r="BE337" i="13"/>
  <c r="BG337" i="13" s="1"/>
  <c r="BH337" i="13" s="1"/>
  <c r="BE344" i="13"/>
  <c r="BG344" i="13" s="1"/>
  <c r="BH344" i="13" s="1"/>
  <c r="U174" i="13"/>
  <c r="BJ320" i="13"/>
  <c r="BL320" i="13" s="1"/>
  <c r="BM320" i="13" s="1"/>
  <c r="BJ342" i="13"/>
  <c r="BL342" i="13" s="1"/>
  <c r="BM342" i="13" s="1"/>
  <c r="BJ316" i="13"/>
  <c r="BL316" i="13" s="1"/>
  <c r="BM316" i="13" s="1"/>
  <c r="BJ340" i="13"/>
  <c r="BL340" i="13" s="1"/>
  <c r="BM340" i="13" s="1"/>
  <c r="BJ324" i="13"/>
  <c r="BL324" i="13" s="1"/>
  <c r="BM324" i="13" s="1"/>
  <c r="BJ442" i="13"/>
  <c r="BL442" i="13" s="1"/>
  <c r="BM442" i="13" s="1"/>
  <c r="AK437" i="13"/>
  <c r="AM437" i="13" s="1"/>
  <c r="AN437" i="13" s="1"/>
  <c r="BE437" i="13"/>
  <c r="BG437" i="13" s="1"/>
  <c r="BH437" i="13" s="1"/>
  <c r="AU437" i="13"/>
  <c r="AW437" i="13" s="1"/>
  <c r="AX437" i="13" s="1"/>
  <c r="J198" i="13"/>
  <c r="J158" i="13" s="1"/>
  <c r="AP443" i="13"/>
  <c r="AR443" i="13" s="1"/>
  <c r="AS443" i="13" s="1"/>
  <c r="AF441" i="13"/>
  <c r="AH441" i="13" s="1"/>
  <c r="AI441" i="13" s="1"/>
  <c r="BJ447" i="13"/>
  <c r="BL447" i="13" s="1"/>
  <c r="BM447" i="13" s="1"/>
  <c r="H197" i="13"/>
  <c r="AU439" i="13"/>
  <c r="AW439" i="13" s="1"/>
  <c r="AX439" i="13" s="1"/>
  <c r="AZ442" i="13"/>
  <c r="BB442" i="13" s="1"/>
  <c r="BC442" i="13" s="1"/>
  <c r="F200" i="13"/>
  <c r="F160" i="13" s="1"/>
  <c r="AZ444" i="13"/>
  <c r="BB444" i="13" s="1"/>
  <c r="BC444" i="13" s="1"/>
  <c r="I196" i="13"/>
  <c r="I156" i="13" s="1"/>
  <c r="I198" i="13"/>
  <c r="I158" i="13" s="1"/>
  <c r="K200" i="13"/>
  <c r="K160" i="13" s="1"/>
  <c r="F194" i="13"/>
  <c r="F154" i="13" s="1"/>
  <c r="AF442" i="13"/>
  <c r="AH442" i="13" s="1"/>
  <c r="AI442" i="13" s="1"/>
  <c r="G201" i="13"/>
  <c r="G161" i="13" s="1"/>
  <c r="AU435" i="13"/>
  <c r="AW435" i="13" s="1"/>
  <c r="AX435" i="13" s="1"/>
  <c r="AU438" i="13"/>
  <c r="AW438" i="13" s="1"/>
  <c r="AX438" i="13" s="1"/>
  <c r="AP435" i="13"/>
  <c r="AR435" i="13" s="1"/>
  <c r="AS435" i="13" s="1"/>
  <c r="BE439" i="13"/>
  <c r="BG439" i="13" s="1"/>
  <c r="BH439" i="13" s="1"/>
  <c r="BE447" i="13"/>
  <c r="BG447" i="13" s="1"/>
  <c r="BH447" i="13" s="1"/>
  <c r="AK444" i="13"/>
  <c r="AM444" i="13" s="1"/>
  <c r="AN444" i="13" s="1"/>
  <c r="K204" i="13"/>
  <c r="K164" i="13" s="1"/>
  <c r="G204" i="13"/>
  <c r="G164" i="13" s="1"/>
  <c r="BE436" i="13"/>
  <c r="BG436" i="13" s="1"/>
  <c r="BH436" i="13" s="1"/>
  <c r="BE435" i="13"/>
  <c r="BG435" i="13" s="1"/>
  <c r="BH435" i="13" s="1"/>
  <c r="I200" i="13"/>
  <c r="I160" i="13" s="1"/>
  <c r="AU443" i="13"/>
  <c r="AW443" i="13" s="1"/>
  <c r="AX443" i="13" s="1"/>
  <c r="AU440" i="13"/>
  <c r="AW440" i="13" s="1"/>
  <c r="AX440" i="13" s="1"/>
  <c r="AP447" i="13"/>
  <c r="AR447" i="13" s="1"/>
  <c r="AS447" i="13" s="1"/>
  <c r="AZ443" i="13"/>
  <c r="BB443" i="13" s="1"/>
  <c r="BC443" i="13" s="1"/>
  <c r="BJ445" i="13"/>
  <c r="BL445" i="13" s="1"/>
  <c r="BM445" i="13" s="1"/>
  <c r="AP441" i="13"/>
  <c r="AR441" i="13" s="1"/>
  <c r="AS441" i="13" s="1"/>
  <c r="AP437" i="13"/>
  <c r="AR437" i="13" s="1"/>
  <c r="AS437" i="13" s="1"/>
  <c r="BJ437" i="13"/>
  <c r="BL437" i="13" s="1"/>
  <c r="BM437" i="13" s="1"/>
  <c r="BE443" i="13"/>
  <c r="BG443" i="13" s="1"/>
  <c r="BH443" i="13" s="1"/>
  <c r="BJ436" i="13"/>
  <c r="BL436" i="13" s="1"/>
  <c r="BM436" i="13" s="1"/>
  <c r="F198" i="13"/>
  <c r="F158" i="13" s="1"/>
  <c r="BE441" i="13"/>
  <c r="BG441" i="13" s="1"/>
  <c r="BH441" i="13" s="1"/>
  <c r="G194" i="13"/>
  <c r="AZ439" i="13"/>
  <c r="BB439" i="13" s="1"/>
  <c r="BC439" i="13" s="1"/>
  <c r="AP440" i="13"/>
  <c r="AR440" i="13" s="1"/>
  <c r="AS440" i="13" s="1"/>
  <c r="AZ437" i="13"/>
  <c r="BB437" i="13" s="1"/>
  <c r="BC437" i="13" s="1"/>
  <c r="E503" i="11" l="1"/>
  <c r="E517" i="11"/>
  <c r="E506" i="11"/>
  <c r="G519" i="11"/>
  <c r="G499" i="11"/>
  <c r="E520" i="11"/>
  <c r="J501" i="11"/>
  <c r="K502" i="11"/>
  <c r="F196" i="13"/>
  <c r="G520" i="11"/>
  <c r="E903" i="13"/>
  <c r="H198" i="13"/>
  <c r="J195" i="13"/>
  <c r="J155" i="13" s="1"/>
  <c r="H201" i="13"/>
  <c r="K505" i="11"/>
  <c r="L904" i="13"/>
  <c r="J193" i="13"/>
  <c r="J153" i="13" s="1"/>
  <c r="E524" i="11"/>
  <c r="U200" i="13"/>
  <c r="U160" i="13" s="1"/>
  <c r="E522" i="11"/>
  <c r="K201" i="13"/>
  <c r="K161" i="13" s="1"/>
  <c r="H196" i="13"/>
  <c r="F204" i="13"/>
  <c r="F164" i="13" s="1"/>
  <c r="E518" i="11"/>
  <c r="H507" i="11"/>
  <c r="F195" i="13"/>
  <c r="E519" i="11"/>
  <c r="G902" i="13"/>
  <c r="G500" i="11"/>
  <c r="J192" i="13"/>
  <c r="J152" i="13" s="1"/>
  <c r="J503" i="11"/>
  <c r="K193" i="13"/>
  <c r="K153" i="13" s="1"/>
  <c r="G522" i="11"/>
  <c r="H192" i="13"/>
  <c r="L197" i="13"/>
  <c r="L157" i="13" s="1"/>
  <c r="J907" i="13"/>
  <c r="K194" i="13"/>
  <c r="K154" i="13" s="1"/>
  <c r="E523" i="11"/>
  <c r="F907" i="13"/>
  <c r="F192" i="13"/>
  <c r="F152" i="13" s="1"/>
  <c r="K195" i="13"/>
  <c r="K155" i="13" s="1"/>
  <c r="G198" i="13"/>
  <c r="G158" i="13" s="1"/>
  <c r="U197" i="13"/>
  <c r="H200" i="13"/>
  <c r="I193" i="13"/>
  <c r="J197" i="13"/>
  <c r="J157" i="13" s="1"/>
  <c r="L200" i="13"/>
  <c r="L160" i="13" s="1"/>
  <c r="G527" i="11"/>
  <c r="J505" i="11"/>
  <c r="K196" i="13"/>
  <c r="K156" i="13" s="1"/>
  <c r="K526" i="11"/>
  <c r="H195" i="13"/>
  <c r="H155" i="13" s="1"/>
  <c r="I202" i="13"/>
  <c r="I162" i="13" s="1"/>
  <c r="G202" i="13"/>
  <c r="G523" i="11"/>
  <c r="U895" i="13"/>
  <c r="L192" i="13"/>
  <c r="L152" i="13" s="1"/>
  <c r="I199" i="13"/>
  <c r="I159" i="13" s="1"/>
  <c r="E194" i="13"/>
  <c r="E154" i="13" s="1"/>
  <c r="I898" i="13"/>
  <c r="F193" i="13"/>
  <c r="F153" i="13" s="1"/>
  <c r="G517" i="11"/>
  <c r="K519" i="11"/>
  <c r="J903" i="13"/>
  <c r="H202" i="13"/>
  <c r="H162" i="13" s="1"/>
  <c r="H901" i="13"/>
  <c r="K896" i="13"/>
  <c r="G199" i="13"/>
  <c r="G159" i="13" s="1"/>
  <c r="K903" i="13"/>
  <c r="U900" i="13"/>
  <c r="F903" i="13"/>
  <c r="F901" i="13"/>
  <c r="J899" i="13"/>
  <c r="J900" i="13"/>
  <c r="H898" i="13"/>
  <c r="L895" i="13"/>
  <c r="E897" i="13"/>
  <c r="F897" i="13"/>
  <c r="L903" i="13"/>
  <c r="F896" i="13"/>
  <c r="F895" i="13"/>
  <c r="G901" i="13"/>
  <c r="J895" i="13"/>
  <c r="E521" i="11"/>
  <c r="G904" i="13"/>
  <c r="U903" i="13"/>
  <c r="I905" i="13"/>
  <c r="J896" i="13"/>
  <c r="J901" i="13"/>
  <c r="K518" i="11"/>
  <c r="I195" i="13"/>
  <c r="I155" i="13" s="1"/>
  <c r="K904" i="13"/>
  <c r="L905" i="13"/>
  <c r="H204" i="13"/>
  <c r="F503" i="11"/>
  <c r="G529" i="11"/>
  <c r="L900" i="13"/>
  <c r="H510" i="11"/>
  <c r="E529" i="11"/>
  <c r="AK403" i="13"/>
  <c r="AM403" i="13" s="1"/>
  <c r="AN403" i="13" s="1"/>
  <c r="AP401" i="13"/>
  <c r="AR401" i="13" s="1"/>
  <c r="AS401" i="13" s="1"/>
  <c r="P198" i="13"/>
  <c r="AP402" i="13"/>
  <c r="AR402" i="13" s="1"/>
  <c r="AS402" i="13" s="1"/>
  <c r="Q200" i="13"/>
  <c r="AU403" i="13"/>
  <c r="AW403" i="13" s="1"/>
  <c r="AX403" i="13" s="1"/>
  <c r="BE396" i="13"/>
  <c r="BG396" i="13" s="1"/>
  <c r="BH396" i="13" s="1"/>
  <c r="S193" i="13"/>
  <c r="BE193" i="13" s="1"/>
  <c r="BG193" i="13" s="1"/>
  <c r="BH193" i="13" s="1"/>
  <c r="BJ403" i="13"/>
  <c r="BL403" i="13" s="1"/>
  <c r="BM403" i="13" s="1"/>
  <c r="BJ402" i="13"/>
  <c r="BL402" i="13" s="1"/>
  <c r="BM402" i="13" s="1"/>
  <c r="T199" i="13"/>
  <c r="BJ199" i="13" s="1"/>
  <c r="J196" i="13"/>
  <c r="J156" i="13" s="1"/>
  <c r="H172" i="13"/>
  <c r="H152" i="13" s="1"/>
  <c r="AK319" i="13"/>
  <c r="AM319" i="13" s="1"/>
  <c r="AN319" i="13" s="1"/>
  <c r="O176" i="13"/>
  <c r="E176" i="13"/>
  <c r="H157" i="13"/>
  <c r="AU321" i="13"/>
  <c r="AW321" i="13" s="1"/>
  <c r="AX321" i="13" s="1"/>
  <c r="Q178" i="13"/>
  <c r="H184" i="13"/>
  <c r="P901" i="13"/>
  <c r="AP901" i="13" s="1"/>
  <c r="T179" i="13"/>
  <c r="K529" i="11"/>
  <c r="E510" i="11"/>
  <c r="BB854" i="13"/>
  <c r="BC854" i="13" s="1"/>
  <c r="AM854" i="13"/>
  <c r="AN854" i="13" s="1"/>
  <c r="BL261" i="13"/>
  <c r="BM261" i="13" s="1"/>
  <c r="X65" i="13" s="1"/>
  <c r="V65" i="13"/>
  <c r="BL213" i="13"/>
  <c r="BM213" i="13" s="1"/>
  <c r="M57" i="13" s="1"/>
  <c r="K57" i="13"/>
  <c r="AU177" i="13"/>
  <c r="AW177" i="13" s="1"/>
  <c r="AX177" i="13" s="1"/>
  <c r="S184" i="13"/>
  <c r="I501" i="11"/>
  <c r="S182" i="13"/>
  <c r="E500" i="11"/>
  <c r="BL224" i="13"/>
  <c r="BM224" i="13" s="1"/>
  <c r="M68" i="13" s="1"/>
  <c r="K68" i="13"/>
  <c r="AF179" i="13"/>
  <c r="AH179" i="13" s="1"/>
  <c r="AI179" i="13" s="1"/>
  <c r="BL241" i="13"/>
  <c r="BM241" i="13" s="1"/>
  <c r="U65" i="13" s="1"/>
  <c r="S65" i="13"/>
  <c r="K58" i="13"/>
  <c r="BL214" i="13"/>
  <c r="BM214" i="13" s="1"/>
  <c r="M58" i="13" s="1"/>
  <c r="O180" i="13"/>
  <c r="AH854" i="13"/>
  <c r="AI854" i="13" s="1"/>
  <c r="K523" i="11"/>
  <c r="BL264" i="13"/>
  <c r="BM264" i="13" s="1"/>
  <c r="X68" i="13" s="1"/>
  <c r="V68" i="13"/>
  <c r="K56" i="13"/>
  <c r="BL212" i="13"/>
  <c r="BM212" i="13" s="1"/>
  <c r="M56" i="13" s="1"/>
  <c r="G526" i="11"/>
  <c r="F508" i="11"/>
  <c r="BL233" i="13"/>
  <c r="BM233" i="13" s="1"/>
  <c r="U57" i="13" s="1"/>
  <c r="S57" i="13"/>
  <c r="K517" i="11"/>
  <c r="E498" i="11"/>
  <c r="BL222" i="13"/>
  <c r="BM222" i="13" s="1"/>
  <c r="M66" i="13" s="1"/>
  <c r="K66" i="13"/>
  <c r="BJ407" i="13"/>
  <c r="BL407" i="13" s="1"/>
  <c r="BM407" i="13" s="1"/>
  <c r="T204" i="13"/>
  <c r="BJ204" i="13" s="1"/>
  <c r="AZ396" i="13"/>
  <c r="BB396" i="13" s="1"/>
  <c r="BC396" i="13" s="1"/>
  <c r="AZ405" i="13"/>
  <c r="BB405" i="13" s="1"/>
  <c r="BC405" i="13" s="1"/>
  <c r="AF407" i="13"/>
  <c r="AH407" i="13" s="1"/>
  <c r="AI407" i="13" s="1"/>
  <c r="AF396" i="13"/>
  <c r="AH396" i="13" s="1"/>
  <c r="AI396" i="13" s="1"/>
  <c r="Q192" i="13"/>
  <c r="AU192" i="13" s="1"/>
  <c r="AW192" i="13" s="1"/>
  <c r="AX192" i="13" s="1"/>
  <c r="AU395" i="13"/>
  <c r="AW395" i="13" s="1"/>
  <c r="AX395" i="13" s="1"/>
  <c r="BJ399" i="13"/>
  <c r="BL399" i="13" s="1"/>
  <c r="BM399" i="13" s="1"/>
  <c r="I902" i="13"/>
  <c r="AP399" i="13"/>
  <c r="AR399" i="13" s="1"/>
  <c r="AS399" i="13" s="1"/>
  <c r="AK336" i="13"/>
  <c r="AM336" i="13" s="1"/>
  <c r="AN336" i="13" s="1"/>
  <c r="O173" i="13"/>
  <c r="I172" i="13"/>
  <c r="AF320" i="13"/>
  <c r="AH320" i="13" s="1"/>
  <c r="AI320" i="13" s="1"/>
  <c r="N177" i="13"/>
  <c r="BE343" i="13"/>
  <c r="BG343" i="13" s="1"/>
  <c r="BH343" i="13" s="1"/>
  <c r="L902" i="13"/>
  <c r="AZ335" i="13"/>
  <c r="BB335" i="13" s="1"/>
  <c r="BC335" i="13" s="1"/>
  <c r="R172" i="13"/>
  <c r="G182" i="13"/>
  <c r="AZ319" i="13"/>
  <c r="BB319" i="13" s="1"/>
  <c r="BC319" i="13" s="1"/>
  <c r="R176" i="13"/>
  <c r="AF172" i="13"/>
  <c r="AH172" i="13" s="1"/>
  <c r="AI172" i="13" s="1"/>
  <c r="BL238" i="13"/>
  <c r="BM238" i="13" s="1"/>
  <c r="U62" i="13" s="1"/>
  <c r="S62" i="13"/>
  <c r="T172" i="13"/>
  <c r="BL215" i="13"/>
  <c r="BM215" i="13" s="1"/>
  <c r="M59" i="13" s="1"/>
  <c r="K59" i="13"/>
  <c r="T184" i="13"/>
  <c r="Q172" i="13"/>
  <c r="P174" i="13"/>
  <c r="T181" i="13"/>
  <c r="T902" i="13"/>
  <c r="BJ902" i="13" s="1"/>
  <c r="G525" i="11"/>
  <c r="F278" i="13"/>
  <c r="K503" i="11"/>
  <c r="J498" i="11"/>
  <c r="Q900" i="13"/>
  <c r="AU900" i="13" s="1"/>
  <c r="AZ400" i="13"/>
  <c r="BB400" i="13" s="1"/>
  <c r="BC400" i="13" s="1"/>
  <c r="AK405" i="13"/>
  <c r="AM405" i="13" s="1"/>
  <c r="AN405" i="13" s="1"/>
  <c r="BE400" i="13"/>
  <c r="BG400" i="13" s="1"/>
  <c r="BH400" i="13" s="1"/>
  <c r="AU401" i="13"/>
  <c r="AW401" i="13" s="1"/>
  <c r="AX401" i="13" s="1"/>
  <c r="AK400" i="13"/>
  <c r="AM400" i="13" s="1"/>
  <c r="AN400" i="13" s="1"/>
  <c r="AF399" i="13"/>
  <c r="AH399" i="13" s="1"/>
  <c r="AI399" i="13" s="1"/>
  <c r="AZ407" i="13"/>
  <c r="BB407" i="13" s="1"/>
  <c r="BC407" i="13" s="1"/>
  <c r="BJ396" i="13"/>
  <c r="BL396" i="13" s="1"/>
  <c r="BM396" i="13" s="1"/>
  <c r="T193" i="13"/>
  <c r="BJ193" i="13" s="1"/>
  <c r="E200" i="13"/>
  <c r="E160" i="13" s="1"/>
  <c r="J898" i="13"/>
  <c r="H905" i="13"/>
  <c r="AF404" i="13"/>
  <c r="AH404" i="13" s="1"/>
  <c r="AI404" i="13" s="1"/>
  <c r="L199" i="13"/>
  <c r="L159" i="13" s="1"/>
  <c r="K899" i="13"/>
  <c r="H181" i="13"/>
  <c r="F177" i="13"/>
  <c r="Q903" i="13"/>
  <c r="AU903" i="13" s="1"/>
  <c r="O904" i="13"/>
  <c r="AK904" i="13" s="1"/>
  <c r="Q899" i="13"/>
  <c r="AU899" i="13" s="1"/>
  <c r="S181" i="13"/>
  <c r="S173" i="13"/>
  <c r="H503" i="11"/>
  <c r="I502" i="11"/>
  <c r="BL220" i="13"/>
  <c r="BM220" i="13" s="1"/>
  <c r="M64" i="13" s="1"/>
  <c r="K64" i="13"/>
  <c r="J507" i="11"/>
  <c r="K501" i="11"/>
  <c r="G518" i="11"/>
  <c r="BL232" i="13"/>
  <c r="BM232" i="13" s="1"/>
  <c r="U56" i="13" s="1"/>
  <c r="S56" i="13"/>
  <c r="BL217" i="13"/>
  <c r="BM217" i="13" s="1"/>
  <c r="M61" i="13" s="1"/>
  <c r="K61" i="13"/>
  <c r="F510" i="11"/>
  <c r="BL255" i="13"/>
  <c r="BM255" i="13" s="1"/>
  <c r="X59" i="13" s="1"/>
  <c r="V59" i="13"/>
  <c r="I503" i="11"/>
  <c r="K907" i="13"/>
  <c r="AP395" i="13"/>
  <c r="AR395" i="13" s="1"/>
  <c r="AS395" i="13" s="1"/>
  <c r="P192" i="13"/>
  <c r="AP192" i="13" s="1"/>
  <c r="AR192" i="13" s="1"/>
  <c r="AS192" i="13" s="1"/>
  <c r="BE397" i="13"/>
  <c r="BG397" i="13" s="1"/>
  <c r="BH397" i="13" s="1"/>
  <c r="S194" i="13"/>
  <c r="BE194" i="13" s="1"/>
  <c r="BG194" i="13" s="1"/>
  <c r="BH194" i="13" s="1"/>
  <c r="AP398" i="13"/>
  <c r="AR398" i="13" s="1"/>
  <c r="AS398" i="13" s="1"/>
  <c r="AZ398" i="13"/>
  <c r="BB398" i="13" s="1"/>
  <c r="BC398" i="13" s="1"/>
  <c r="J204" i="13"/>
  <c r="J164" i="13" s="1"/>
  <c r="H176" i="13"/>
  <c r="BE335" i="13"/>
  <c r="BG335" i="13" s="1"/>
  <c r="BH335" i="13" s="1"/>
  <c r="AU325" i="13"/>
  <c r="AW325" i="13" s="1"/>
  <c r="AX325" i="13" s="1"/>
  <c r="Q182" i="13"/>
  <c r="F176" i="13"/>
  <c r="F179" i="13"/>
  <c r="E175" i="13"/>
  <c r="AK340" i="13"/>
  <c r="AM340" i="13" s="1"/>
  <c r="AN340" i="13" s="1"/>
  <c r="O177" i="13"/>
  <c r="BL237" i="13"/>
  <c r="BM237" i="13" s="1"/>
  <c r="U61" i="13" s="1"/>
  <c r="S61" i="13"/>
  <c r="G907" i="13"/>
  <c r="E502" i="11"/>
  <c r="AF175" i="13"/>
  <c r="AH175" i="13" s="1"/>
  <c r="AI175" i="13" s="1"/>
  <c r="K525" i="11"/>
  <c r="BL234" i="13"/>
  <c r="BM234" i="13" s="1"/>
  <c r="U58" i="13" s="1"/>
  <c r="S58" i="13"/>
  <c r="BL253" i="13"/>
  <c r="BM253" i="13" s="1"/>
  <c r="X57" i="13" s="1"/>
  <c r="V57" i="13"/>
  <c r="Y57" i="13" s="1"/>
  <c r="AA57" i="13" s="1"/>
  <c r="R899" i="13"/>
  <c r="AZ899" i="13" s="1"/>
  <c r="T897" i="13"/>
  <c r="BJ897" i="13" s="1"/>
  <c r="BL235" i="13"/>
  <c r="BM235" i="13" s="1"/>
  <c r="U59" i="13" s="1"/>
  <c r="S59" i="13"/>
  <c r="BL240" i="13"/>
  <c r="BM240" i="13" s="1"/>
  <c r="U64" i="13" s="1"/>
  <c r="S64" i="13"/>
  <c r="I504" i="11"/>
  <c r="J502" i="11"/>
  <c r="S177" i="13"/>
  <c r="S179" i="13"/>
  <c r="K504" i="11"/>
  <c r="AW854" i="13"/>
  <c r="AX854" i="13" s="1"/>
  <c r="I903" i="13"/>
  <c r="R897" i="13"/>
  <c r="AZ897" i="13" s="1"/>
  <c r="AU399" i="13"/>
  <c r="AW399" i="13" s="1"/>
  <c r="AX399" i="13" s="1"/>
  <c r="Q196" i="13"/>
  <c r="AU196" i="13" s="1"/>
  <c r="AW196" i="13" s="1"/>
  <c r="AX196" i="13" s="1"/>
  <c r="AU404" i="13"/>
  <c r="AW404" i="13" s="1"/>
  <c r="AX404" i="13" s="1"/>
  <c r="BE399" i="13"/>
  <c r="BG399" i="13" s="1"/>
  <c r="BH399" i="13" s="1"/>
  <c r="S196" i="13"/>
  <c r="BE196" i="13" s="1"/>
  <c r="BG196" i="13" s="1"/>
  <c r="BH196" i="13" s="1"/>
  <c r="BE405" i="13"/>
  <c r="BG405" i="13" s="1"/>
  <c r="BH405" i="13" s="1"/>
  <c r="F197" i="13"/>
  <c r="AU398" i="13"/>
  <c r="AW398" i="13" s="1"/>
  <c r="AX398" i="13" s="1"/>
  <c r="Q195" i="13"/>
  <c r="AZ402" i="13"/>
  <c r="BB402" i="13" s="1"/>
  <c r="BC402" i="13" s="1"/>
  <c r="R199" i="13"/>
  <c r="AZ199" i="13" s="1"/>
  <c r="BB199" i="13" s="1"/>
  <c r="BC199" i="13" s="1"/>
  <c r="G200" i="13"/>
  <c r="I899" i="13"/>
  <c r="K897" i="13"/>
  <c r="I901" i="13"/>
  <c r="H158" i="13"/>
  <c r="BJ338" i="13"/>
  <c r="BL338" i="13" s="1"/>
  <c r="BM338" i="13" s="1"/>
  <c r="R904" i="13"/>
  <c r="AZ904" i="13" s="1"/>
  <c r="F175" i="13"/>
  <c r="F155" i="13" s="1"/>
  <c r="G180" i="13"/>
  <c r="AK317" i="13"/>
  <c r="AM317" i="13" s="1"/>
  <c r="AN317" i="13" s="1"/>
  <c r="O174" i="13"/>
  <c r="G173" i="13"/>
  <c r="AF344" i="13"/>
  <c r="AH344" i="13" s="1"/>
  <c r="AI344" i="13" s="1"/>
  <c r="N181" i="13"/>
  <c r="BL252" i="13"/>
  <c r="BM252" i="13" s="1"/>
  <c r="X56" i="13" s="1"/>
  <c r="V56" i="13"/>
  <c r="E526" i="11"/>
  <c r="AZ184" i="13"/>
  <c r="BB184" i="13" s="1"/>
  <c r="BC184" i="13" s="1"/>
  <c r="E527" i="11"/>
  <c r="K510" i="11"/>
  <c r="BL254" i="13"/>
  <c r="BM254" i="13" s="1"/>
  <c r="X58" i="13" s="1"/>
  <c r="V58" i="13"/>
  <c r="T180" i="13"/>
  <c r="Q898" i="13"/>
  <c r="AU898" i="13" s="1"/>
  <c r="H499" i="11"/>
  <c r="H505" i="11"/>
  <c r="I500" i="11"/>
  <c r="J510" i="11"/>
  <c r="BL259" i="13"/>
  <c r="BM259" i="13" s="1"/>
  <c r="X63" i="13" s="1"/>
  <c r="V63" i="13"/>
  <c r="I505" i="11"/>
  <c r="Q176" i="13"/>
  <c r="S175" i="13"/>
  <c r="H900" i="13"/>
  <c r="AU396" i="13"/>
  <c r="AW396" i="13" s="1"/>
  <c r="AX396" i="13" s="1"/>
  <c r="AU407" i="13"/>
  <c r="AW407" i="13" s="1"/>
  <c r="AX407" i="13" s="1"/>
  <c r="AK407" i="13"/>
  <c r="AM407" i="13" s="1"/>
  <c r="AN407" i="13" s="1"/>
  <c r="AZ399" i="13"/>
  <c r="BB399" i="13" s="1"/>
  <c r="BC399" i="13" s="1"/>
  <c r="R196" i="13"/>
  <c r="AZ196" i="13" s="1"/>
  <c r="BB196" i="13" s="1"/>
  <c r="BC196" i="13" s="1"/>
  <c r="BE402" i="13"/>
  <c r="BG402" i="13" s="1"/>
  <c r="BH402" i="13" s="1"/>
  <c r="L201" i="13"/>
  <c r="L161" i="13" s="1"/>
  <c r="K898" i="13"/>
  <c r="I192" i="13"/>
  <c r="AK402" i="13"/>
  <c r="AM402" i="13" s="1"/>
  <c r="AN402" i="13" s="1"/>
  <c r="BJ400" i="13"/>
  <c r="BL400" i="13" s="1"/>
  <c r="BM400" i="13" s="1"/>
  <c r="AK321" i="13"/>
  <c r="AM321" i="13" s="1"/>
  <c r="AN321" i="13" s="1"/>
  <c r="O178" i="13"/>
  <c r="L184" i="13"/>
  <c r="H179" i="13"/>
  <c r="U157" i="13"/>
  <c r="BJ341" i="13"/>
  <c r="BL341" i="13" s="1"/>
  <c r="BM341" i="13" s="1"/>
  <c r="K182" i="13"/>
  <c r="E505" i="11"/>
  <c r="BL260" i="13"/>
  <c r="BM260" i="13" s="1"/>
  <c r="X64" i="13" s="1"/>
  <c r="V64" i="13"/>
  <c r="J508" i="11"/>
  <c r="BL257" i="13"/>
  <c r="BM257" i="13" s="1"/>
  <c r="X61" i="13" s="1"/>
  <c r="V61" i="13"/>
  <c r="T896" i="13"/>
  <c r="BJ896" i="13" s="1"/>
  <c r="K498" i="11"/>
  <c r="K499" i="11"/>
  <c r="P172" i="13"/>
  <c r="K508" i="11"/>
  <c r="J499" i="11"/>
  <c r="BL239" i="13"/>
  <c r="BM239" i="13" s="1"/>
  <c r="U63" i="13" s="1"/>
  <c r="S63" i="13"/>
  <c r="BL219" i="13"/>
  <c r="BM219" i="13" s="1"/>
  <c r="M63" i="13" s="1"/>
  <c r="K63" i="13"/>
  <c r="BL236" i="13"/>
  <c r="BM236" i="13" s="1"/>
  <c r="U60" i="13" s="1"/>
  <c r="S60" i="13"/>
  <c r="K500" i="11"/>
  <c r="AU402" i="13"/>
  <c r="AW402" i="13" s="1"/>
  <c r="AX402" i="13" s="1"/>
  <c r="BJ398" i="13"/>
  <c r="BL398" i="13" s="1"/>
  <c r="BM398" i="13" s="1"/>
  <c r="AU405" i="13"/>
  <c r="AW405" i="13" s="1"/>
  <c r="AX405" i="13" s="1"/>
  <c r="AK398" i="13"/>
  <c r="AM398" i="13" s="1"/>
  <c r="AN398" i="13" s="1"/>
  <c r="AU400" i="13"/>
  <c r="AW400" i="13" s="1"/>
  <c r="AX400" i="13" s="1"/>
  <c r="Q197" i="13"/>
  <c r="AU197" i="13" s="1"/>
  <c r="AW197" i="13" s="1"/>
  <c r="AX197" i="13" s="1"/>
  <c r="AK395" i="13"/>
  <c r="AM395" i="13" s="1"/>
  <c r="AN395" i="13" s="1"/>
  <c r="AZ401" i="13"/>
  <c r="BB401" i="13" s="1"/>
  <c r="BC401" i="13" s="1"/>
  <c r="AP405" i="13"/>
  <c r="AR405" i="13" s="1"/>
  <c r="AS405" i="13" s="1"/>
  <c r="K202" i="13"/>
  <c r="BE404" i="13"/>
  <c r="BG404" i="13" s="1"/>
  <c r="BH404" i="13" s="1"/>
  <c r="J200" i="13"/>
  <c r="J160" i="13" s="1"/>
  <c r="U192" i="13"/>
  <c r="U152" i="13" s="1"/>
  <c r="BE398" i="13"/>
  <c r="BG398" i="13" s="1"/>
  <c r="BH398" i="13" s="1"/>
  <c r="AK404" i="13"/>
  <c r="AM404" i="13" s="1"/>
  <c r="AN404" i="13" s="1"/>
  <c r="O201" i="13"/>
  <c r="AZ397" i="13"/>
  <c r="BB397" i="13" s="1"/>
  <c r="BC397" i="13" s="1"/>
  <c r="R194" i="13"/>
  <c r="AZ194" i="13" s="1"/>
  <c r="BB194" i="13" s="1"/>
  <c r="BC194" i="13" s="1"/>
  <c r="AZ345" i="13"/>
  <c r="BB345" i="13" s="1"/>
  <c r="BC345" i="13" s="1"/>
  <c r="R182" i="13"/>
  <c r="I173" i="13"/>
  <c r="E184" i="13"/>
  <c r="AF336" i="13"/>
  <c r="AH336" i="13" s="1"/>
  <c r="AI336" i="13" s="1"/>
  <c r="N173" i="13"/>
  <c r="E181" i="13"/>
  <c r="T174" i="13"/>
  <c r="S66" i="13"/>
  <c r="BL242" i="13"/>
  <c r="BM242" i="13" s="1"/>
  <c r="U66" i="13" s="1"/>
  <c r="BL256" i="13"/>
  <c r="BM256" i="13" s="1"/>
  <c r="X60" i="13" s="1"/>
  <c r="V60" i="13"/>
  <c r="T907" i="13"/>
  <c r="BJ907" i="13" s="1"/>
  <c r="K65" i="13"/>
  <c r="BL221" i="13"/>
  <c r="BM221" i="13" s="1"/>
  <c r="M65" i="13" s="1"/>
  <c r="S896" i="13"/>
  <c r="BE896" i="13" s="1"/>
  <c r="K524" i="11"/>
  <c r="E525" i="11"/>
  <c r="L279" i="13"/>
  <c r="K522" i="11"/>
  <c r="BL258" i="13"/>
  <c r="BM258" i="13" s="1"/>
  <c r="X62" i="13" s="1"/>
  <c r="V62" i="13"/>
  <c r="H502" i="11"/>
  <c r="K520" i="11"/>
  <c r="BL218" i="13"/>
  <c r="BM218" i="13" s="1"/>
  <c r="M62" i="13" s="1"/>
  <c r="K62" i="13"/>
  <c r="E508" i="11"/>
  <c r="T177" i="13"/>
  <c r="AP173" i="13"/>
  <c r="AR173" i="13" s="1"/>
  <c r="AS173" i="13" s="1"/>
  <c r="J506" i="11"/>
  <c r="Q895" i="13"/>
  <c r="AU895" i="13" s="1"/>
  <c r="AZ404" i="13"/>
  <c r="BB404" i="13" s="1"/>
  <c r="BC404" i="13" s="1"/>
  <c r="R201" i="13"/>
  <c r="AZ201" i="13" s="1"/>
  <c r="BB201" i="13" s="1"/>
  <c r="BC201" i="13" s="1"/>
  <c r="AZ395" i="13"/>
  <c r="BB395" i="13" s="1"/>
  <c r="BC395" i="13" s="1"/>
  <c r="AP396" i="13"/>
  <c r="AR396" i="13" s="1"/>
  <c r="AS396" i="13" s="1"/>
  <c r="AF397" i="13"/>
  <c r="AH397" i="13" s="1"/>
  <c r="AI397" i="13" s="1"/>
  <c r="BJ397" i="13"/>
  <c r="BL397" i="13" s="1"/>
  <c r="BM397" i="13" s="1"/>
  <c r="T194" i="13"/>
  <c r="BJ194" i="13" s="1"/>
  <c r="E196" i="13"/>
  <c r="L202" i="13"/>
  <c r="L162" i="13" s="1"/>
  <c r="K179" i="13"/>
  <c r="K177" i="13"/>
  <c r="H180" i="13"/>
  <c r="H160" i="13" s="1"/>
  <c r="BE339" i="13"/>
  <c r="BG339" i="13" s="1"/>
  <c r="BH339" i="13" s="1"/>
  <c r="BJ339" i="13"/>
  <c r="BL339" i="13" s="1"/>
  <c r="BM339" i="13" s="1"/>
  <c r="AF339" i="13"/>
  <c r="AH339" i="13" s="1"/>
  <c r="AI339" i="13" s="1"/>
  <c r="N176" i="13"/>
  <c r="K178" i="13"/>
  <c r="R174" i="13"/>
  <c r="BL262" i="13"/>
  <c r="BM262" i="13" s="1"/>
  <c r="X66" i="13" s="1"/>
  <c r="V66" i="13"/>
  <c r="K521" i="11"/>
  <c r="G502" i="11"/>
  <c r="BL244" i="13"/>
  <c r="BM244" i="13" s="1"/>
  <c r="U68" i="13" s="1"/>
  <c r="S68" i="13"/>
  <c r="T173" i="13"/>
  <c r="G524" i="11"/>
  <c r="J500" i="11"/>
  <c r="P895" i="13"/>
  <c r="AP895" i="13" s="1"/>
  <c r="K506" i="11"/>
  <c r="G521" i="11"/>
  <c r="K527" i="11"/>
  <c r="BL216" i="13"/>
  <c r="BM216" i="13" s="1"/>
  <c r="M60" i="13" s="1"/>
  <c r="K60" i="13"/>
  <c r="K507" i="11"/>
  <c r="BL854" i="13"/>
  <c r="BM854" i="13" s="1"/>
  <c r="AR854" i="13"/>
  <c r="AS854" i="13" s="1"/>
  <c r="U202" i="13"/>
  <c r="U162" i="13" s="1"/>
  <c r="R204" i="13"/>
  <c r="J199" i="13"/>
  <c r="J159" i="13" s="1"/>
  <c r="G193" i="13"/>
  <c r="H897" i="13"/>
  <c r="L198" i="13"/>
  <c r="L158" i="13" s="1"/>
  <c r="F199" i="13"/>
  <c r="H193" i="13"/>
  <c r="H153" i="13" s="1"/>
  <c r="K192" i="13"/>
  <c r="K152" i="13" s="1"/>
  <c r="J201" i="13"/>
  <c r="J161" i="13" s="1"/>
  <c r="E902" i="13"/>
  <c r="I194" i="13"/>
  <c r="I154" i="13" s="1"/>
  <c r="I904" i="13"/>
  <c r="E195" i="13"/>
  <c r="J897" i="13"/>
  <c r="H199" i="13"/>
  <c r="J202" i="13"/>
  <c r="J162" i="13" s="1"/>
  <c r="L204" i="13"/>
  <c r="L898" i="13"/>
  <c r="L897" i="13"/>
  <c r="E895" i="13"/>
  <c r="L896" i="13"/>
  <c r="F905" i="13"/>
  <c r="I900" i="13"/>
  <c r="Q199" i="13"/>
  <c r="R198" i="13"/>
  <c r="R195" i="13"/>
  <c r="AZ195" i="13" s="1"/>
  <c r="BB195" i="13" s="1"/>
  <c r="BC195" i="13" s="1"/>
  <c r="U899" i="13"/>
  <c r="O204" i="13"/>
  <c r="O200" i="13"/>
  <c r="AK200" i="13" s="1"/>
  <c r="AM200" i="13" s="1"/>
  <c r="AN200" i="13" s="1"/>
  <c r="O195" i="13"/>
  <c r="AK195" i="13" s="1"/>
  <c r="AM195" i="13" s="1"/>
  <c r="AN195" i="13" s="1"/>
  <c r="E901" i="13"/>
  <c r="U907" i="13"/>
  <c r="G900" i="13"/>
  <c r="R193" i="13"/>
  <c r="AZ193" i="13" s="1"/>
  <c r="BB193" i="13" s="1"/>
  <c r="BC193" i="13" s="1"/>
  <c r="O199" i="13"/>
  <c r="S197" i="13"/>
  <c r="BE197" i="13" s="1"/>
  <c r="BG197" i="13" s="1"/>
  <c r="BH197" i="13" s="1"/>
  <c r="P903" i="13"/>
  <c r="AP903" i="13" s="1"/>
  <c r="E193" i="13"/>
  <c r="E153" i="13" s="1"/>
  <c r="G195" i="13"/>
  <c r="G155" i="13" s="1"/>
  <c r="Q897" i="13"/>
  <c r="AU897" i="13" s="1"/>
  <c r="E202" i="13"/>
  <c r="E162" i="13" s="1"/>
  <c r="P900" i="13"/>
  <c r="AP900" i="13" s="1"/>
  <c r="P199" i="13"/>
  <c r="N902" i="13"/>
  <c r="AF902" i="13" s="1"/>
  <c r="P907" i="13"/>
  <c r="AP907" i="13" s="1"/>
  <c r="E197" i="13"/>
  <c r="E157" i="13" s="1"/>
  <c r="U904" i="13"/>
  <c r="R903" i="13"/>
  <c r="AZ903" i="13" s="1"/>
  <c r="N193" i="13"/>
  <c r="AF193" i="13" s="1"/>
  <c r="AH193" i="13" s="1"/>
  <c r="AI193" i="13" s="1"/>
  <c r="R192" i="13"/>
  <c r="AZ192" i="13" s="1"/>
  <c r="BB192" i="13" s="1"/>
  <c r="BC192" i="13" s="1"/>
  <c r="Y62" i="13" l="1"/>
  <c r="AA62" i="13" s="1"/>
  <c r="F156" i="13"/>
  <c r="H161" i="13"/>
  <c r="I153" i="13"/>
  <c r="H156" i="13"/>
  <c r="N901" i="13"/>
  <c r="AF901" i="13" s="1"/>
  <c r="E907" i="13"/>
  <c r="Y66" i="13"/>
  <c r="AA66" i="13" s="1"/>
  <c r="G174" i="13"/>
  <c r="G154" i="13" s="1"/>
  <c r="Y56" i="13"/>
  <c r="AA56" i="13" s="1"/>
  <c r="Y61" i="13"/>
  <c r="AA61" i="13" s="1"/>
  <c r="K902" i="13"/>
  <c r="U902" i="13"/>
  <c r="H164" i="13"/>
  <c r="U901" i="13"/>
  <c r="K901" i="13"/>
  <c r="G162" i="13"/>
  <c r="Y64" i="13"/>
  <c r="AA64" i="13" s="1"/>
  <c r="E904" i="13"/>
  <c r="Y58" i="13"/>
  <c r="AA58" i="13" s="1"/>
  <c r="Y65" i="13"/>
  <c r="AA65" i="13" s="1"/>
  <c r="G897" i="13"/>
  <c r="K900" i="13"/>
  <c r="I896" i="13"/>
  <c r="G905" i="13"/>
  <c r="Y60" i="13"/>
  <c r="AA60" i="13" s="1"/>
  <c r="Y59" i="13"/>
  <c r="AA59" i="13" s="1"/>
  <c r="G160" i="13"/>
  <c r="AU199" i="13"/>
  <c r="AW199" i="13" s="1"/>
  <c r="AX199" i="13" s="1"/>
  <c r="Q159" i="13"/>
  <c r="AU159" i="13" s="1"/>
  <c r="AW159" i="13" s="1"/>
  <c r="AX159" i="13" s="1"/>
  <c r="AZ204" i="13"/>
  <c r="BB204" i="13" s="1"/>
  <c r="BC204" i="13" s="1"/>
  <c r="R164" i="13"/>
  <c r="AZ164" i="13" s="1"/>
  <c r="BB164" i="13" s="1"/>
  <c r="BC164" i="13" s="1"/>
  <c r="AP199" i="13"/>
  <c r="AR199" i="13" s="1"/>
  <c r="AS199" i="13" s="1"/>
  <c r="P159" i="13"/>
  <c r="AP159" i="13" s="1"/>
  <c r="AR159" i="13" s="1"/>
  <c r="AS159" i="13" s="1"/>
  <c r="AK199" i="13"/>
  <c r="AM199" i="13" s="1"/>
  <c r="AN199" i="13" s="1"/>
  <c r="O159" i="13"/>
  <c r="AK159" i="13" s="1"/>
  <c r="AM159" i="13" s="1"/>
  <c r="AN159" i="13" s="1"/>
  <c r="AK204" i="13"/>
  <c r="AM204" i="13" s="1"/>
  <c r="AN204" i="13" s="1"/>
  <c r="O164" i="13"/>
  <c r="AK164" i="13" s="1"/>
  <c r="AM164" i="13" s="1"/>
  <c r="AN164" i="13" s="1"/>
  <c r="AZ198" i="13"/>
  <c r="BB198" i="13" s="1"/>
  <c r="BC198" i="13" s="1"/>
  <c r="R158" i="13"/>
  <c r="AZ158" i="13" s="1"/>
  <c r="BB158" i="13" s="1"/>
  <c r="BC158" i="13" s="1"/>
  <c r="AF443" i="13"/>
  <c r="AH443" i="13" s="1"/>
  <c r="AI443" i="13" s="1"/>
  <c r="N903" i="13"/>
  <c r="AF903" i="13" s="1"/>
  <c r="AK396" i="13"/>
  <c r="AM396" i="13" s="1"/>
  <c r="AN396" i="13" s="1"/>
  <c r="O193" i="13"/>
  <c r="AK193" i="13" s="1"/>
  <c r="AM193" i="13" s="1"/>
  <c r="AN193" i="13" s="1"/>
  <c r="AK399" i="13"/>
  <c r="AM399" i="13" s="1"/>
  <c r="AN399" i="13" s="1"/>
  <c r="AP404" i="13"/>
  <c r="AR404" i="13" s="1"/>
  <c r="AS404" i="13" s="1"/>
  <c r="P201" i="13"/>
  <c r="AF439" i="13"/>
  <c r="AH439" i="13" s="1"/>
  <c r="AI439" i="13" s="1"/>
  <c r="N899" i="13"/>
  <c r="AF899" i="13" s="1"/>
  <c r="AK441" i="13"/>
  <c r="AM441" i="13" s="1"/>
  <c r="AN441" i="13" s="1"/>
  <c r="O901" i="13"/>
  <c r="AK901" i="13" s="1"/>
  <c r="BJ443" i="13"/>
  <c r="BL443" i="13" s="1"/>
  <c r="BM443" i="13" s="1"/>
  <c r="T903" i="13"/>
  <c r="BJ903" i="13" s="1"/>
  <c r="BE442" i="13"/>
  <c r="BG442" i="13" s="1"/>
  <c r="BH442" i="13" s="1"/>
  <c r="S902" i="13"/>
  <c r="BE902" i="13" s="1"/>
  <c r="AP444" i="13"/>
  <c r="AR444" i="13" s="1"/>
  <c r="AS444" i="13" s="1"/>
  <c r="P904" i="13"/>
  <c r="AP904" i="13" s="1"/>
  <c r="BE438" i="13"/>
  <c r="BG438" i="13" s="1"/>
  <c r="BH438" i="13" s="1"/>
  <c r="S898" i="13"/>
  <c r="BE898" i="13" s="1"/>
  <c r="BE401" i="13"/>
  <c r="BG401" i="13" s="1"/>
  <c r="BH401" i="13" s="1"/>
  <c r="S198" i="13"/>
  <c r="BE198" i="13" s="1"/>
  <c r="BG198" i="13" s="1"/>
  <c r="BH198" i="13" s="1"/>
  <c r="G192" i="13"/>
  <c r="G152" i="13" s="1"/>
  <c r="BJ177" i="13"/>
  <c r="N153" i="13"/>
  <c r="AF153" i="13" s="1"/>
  <c r="AH153" i="13" s="1"/>
  <c r="AI153" i="13" s="1"/>
  <c r="AF173" i="13"/>
  <c r="AH173" i="13" s="1"/>
  <c r="AI173" i="13" s="1"/>
  <c r="E192" i="13"/>
  <c r="E152" i="13" s="1"/>
  <c r="U196" i="13"/>
  <c r="U156" i="13" s="1"/>
  <c r="L907" i="13"/>
  <c r="AF181" i="13"/>
  <c r="AH181" i="13" s="1"/>
  <c r="AI181" i="13" s="1"/>
  <c r="J194" i="13"/>
  <c r="J154" i="13" s="1"/>
  <c r="AK318" i="13"/>
  <c r="AM318" i="13" s="1"/>
  <c r="AN318" i="13" s="1"/>
  <c r="O175" i="13"/>
  <c r="Q157" i="13"/>
  <c r="AU157" i="13" s="1"/>
  <c r="AW157" i="13" s="1"/>
  <c r="AX157" i="13" s="1"/>
  <c r="G903" i="13"/>
  <c r="H895" i="13"/>
  <c r="F898" i="13"/>
  <c r="AF400" i="13"/>
  <c r="AH400" i="13" s="1"/>
  <c r="AI400" i="13" s="1"/>
  <c r="N197" i="13"/>
  <c r="AF197" i="13" s="1"/>
  <c r="AH197" i="13" s="1"/>
  <c r="AI197" i="13" s="1"/>
  <c r="BJ404" i="13"/>
  <c r="BL404" i="13" s="1"/>
  <c r="BM404" i="13" s="1"/>
  <c r="T201" i="13"/>
  <c r="BJ201" i="13" s="1"/>
  <c r="BE444" i="13"/>
  <c r="BG444" i="13" s="1"/>
  <c r="BH444" i="13" s="1"/>
  <c r="S904" i="13"/>
  <c r="BE904" i="13" s="1"/>
  <c r="BE445" i="13"/>
  <c r="BG445" i="13" s="1"/>
  <c r="BH445" i="13" s="1"/>
  <c r="S905" i="13"/>
  <c r="BE905" i="13" s="1"/>
  <c r="AP445" i="13"/>
  <c r="AR445" i="13" s="1"/>
  <c r="AS445" i="13" s="1"/>
  <c r="P905" i="13"/>
  <c r="AP905" i="13" s="1"/>
  <c r="BE407" i="13"/>
  <c r="BG407" i="13" s="1"/>
  <c r="BH407" i="13" s="1"/>
  <c r="S204" i="13"/>
  <c r="BE204" i="13" s="1"/>
  <c r="BG204" i="13" s="1"/>
  <c r="BH204" i="13" s="1"/>
  <c r="AU441" i="13"/>
  <c r="AW441" i="13" s="1"/>
  <c r="AX441" i="13" s="1"/>
  <c r="Q901" i="13"/>
  <c r="AU901" i="13" s="1"/>
  <c r="BJ435" i="13"/>
  <c r="BL435" i="13" s="1"/>
  <c r="BM435" i="13" s="1"/>
  <c r="T895" i="13"/>
  <c r="BJ895" i="13" s="1"/>
  <c r="AZ342" i="13"/>
  <c r="BB342" i="13" s="1"/>
  <c r="BC342" i="13" s="1"/>
  <c r="R179" i="13"/>
  <c r="S201" i="13"/>
  <c r="BE201" i="13" s="1"/>
  <c r="BG201" i="13" s="1"/>
  <c r="BH201" i="13" s="1"/>
  <c r="F202" i="13"/>
  <c r="F162" i="13" s="1"/>
  <c r="AF337" i="13"/>
  <c r="AH337" i="13" s="1"/>
  <c r="AI337" i="13" s="1"/>
  <c r="N174" i="13"/>
  <c r="BE175" i="13"/>
  <c r="BG175" i="13" s="1"/>
  <c r="BH175" i="13" s="1"/>
  <c r="AK177" i="13"/>
  <c r="AM177" i="13" s="1"/>
  <c r="AN177" i="13" s="1"/>
  <c r="AU182" i="13"/>
  <c r="AW182" i="13" s="1"/>
  <c r="AX182" i="13" s="1"/>
  <c r="E201" i="13"/>
  <c r="E161" i="13" s="1"/>
  <c r="BL193" i="13"/>
  <c r="BM193" i="13" s="1"/>
  <c r="G57" i="13" s="1"/>
  <c r="E57" i="13"/>
  <c r="Q198" i="13"/>
  <c r="AU198" i="13" s="1"/>
  <c r="AW198" i="13" s="1"/>
  <c r="AX198" i="13" s="1"/>
  <c r="BJ181" i="13"/>
  <c r="BJ172" i="13"/>
  <c r="BJ325" i="13"/>
  <c r="BL325" i="13" s="1"/>
  <c r="BM325" i="13" s="1"/>
  <c r="T182" i="13"/>
  <c r="K905" i="13"/>
  <c r="AK180" i="13"/>
  <c r="AM180" i="13" s="1"/>
  <c r="AN180" i="13" s="1"/>
  <c r="O160" i="13"/>
  <c r="AK160" i="13" s="1"/>
  <c r="AM160" i="13" s="1"/>
  <c r="AN160" i="13" s="1"/>
  <c r="AP339" i="13"/>
  <c r="AR339" i="13" s="1"/>
  <c r="AS339" i="13" s="1"/>
  <c r="P176" i="13"/>
  <c r="BE321" i="13"/>
  <c r="BG321" i="13" s="1"/>
  <c r="BH321" i="13" s="1"/>
  <c r="S178" i="13"/>
  <c r="AF341" i="13"/>
  <c r="AH341" i="13" s="1"/>
  <c r="AI341" i="13" s="1"/>
  <c r="N178" i="13"/>
  <c r="T200" i="13"/>
  <c r="BJ200" i="13" s="1"/>
  <c r="H899" i="13"/>
  <c r="H902" i="13"/>
  <c r="I895" i="13"/>
  <c r="AZ435" i="13"/>
  <c r="BB435" i="13" s="1"/>
  <c r="BC435" i="13" s="1"/>
  <c r="R895" i="13"/>
  <c r="AZ895" i="13" s="1"/>
  <c r="AF437" i="13"/>
  <c r="AH437" i="13" s="1"/>
  <c r="AI437" i="13" s="1"/>
  <c r="N897" i="13"/>
  <c r="AF897" i="13" s="1"/>
  <c r="AP438" i="13"/>
  <c r="AR438" i="13" s="1"/>
  <c r="AS438" i="13" s="1"/>
  <c r="P898" i="13"/>
  <c r="AP898" i="13" s="1"/>
  <c r="BJ395" i="13"/>
  <c r="BL395" i="13" s="1"/>
  <c r="BM395" i="13" s="1"/>
  <c r="T192" i="13"/>
  <c r="BJ192" i="13" s="1"/>
  <c r="AU445" i="13"/>
  <c r="AW445" i="13" s="1"/>
  <c r="AX445" i="13" s="1"/>
  <c r="Q905" i="13"/>
  <c r="AU905" i="13" s="1"/>
  <c r="BJ439" i="13"/>
  <c r="BL439" i="13" s="1"/>
  <c r="BM439" i="13" s="1"/>
  <c r="T899" i="13"/>
  <c r="BJ899" i="13" s="1"/>
  <c r="O194" i="13"/>
  <c r="AK194" i="13" s="1"/>
  <c r="AM194" i="13" s="1"/>
  <c r="AN194" i="13" s="1"/>
  <c r="AK397" i="13"/>
  <c r="AM397" i="13" s="1"/>
  <c r="AN397" i="13" s="1"/>
  <c r="AK401" i="13"/>
  <c r="AM401" i="13" s="1"/>
  <c r="AN401" i="13" s="1"/>
  <c r="O198" i="13"/>
  <c r="AK198" i="13" s="1"/>
  <c r="AM198" i="13" s="1"/>
  <c r="AN198" i="13" s="1"/>
  <c r="BJ173" i="13"/>
  <c r="T153" i="13"/>
  <c r="BJ153" i="13" s="1"/>
  <c r="BL153" i="13" s="1"/>
  <c r="BM153" i="13" s="1"/>
  <c r="R154" i="13"/>
  <c r="AZ154" i="13" s="1"/>
  <c r="BB154" i="13" s="1"/>
  <c r="BC154" i="13" s="1"/>
  <c r="AZ174" i="13"/>
  <c r="BB174" i="13" s="1"/>
  <c r="BC174" i="13" s="1"/>
  <c r="BL194" i="13"/>
  <c r="BM194" i="13" s="1"/>
  <c r="G58" i="13" s="1"/>
  <c r="E58" i="13"/>
  <c r="AK201" i="13"/>
  <c r="AM201" i="13" s="1"/>
  <c r="AN201" i="13" s="1"/>
  <c r="O161" i="13"/>
  <c r="AK161" i="13" s="1"/>
  <c r="AM161" i="13" s="1"/>
  <c r="AN161" i="13" s="1"/>
  <c r="P202" i="13"/>
  <c r="E198" i="13"/>
  <c r="E158" i="13" s="1"/>
  <c r="K162" i="13"/>
  <c r="I897" i="13"/>
  <c r="Q156" i="13"/>
  <c r="AU156" i="13" s="1"/>
  <c r="AW156" i="13" s="1"/>
  <c r="AX156" i="13" s="1"/>
  <c r="AU176" i="13"/>
  <c r="AW176" i="13" s="1"/>
  <c r="AX176" i="13" s="1"/>
  <c r="G153" i="13"/>
  <c r="S202" i="13"/>
  <c r="BE202" i="13" s="1"/>
  <c r="BG202" i="13" s="1"/>
  <c r="BH202" i="13" s="1"/>
  <c r="I201" i="13"/>
  <c r="I161" i="13" s="1"/>
  <c r="S901" i="13"/>
  <c r="BE901" i="13" s="1"/>
  <c r="R152" i="13"/>
  <c r="AZ152" i="13" s="1"/>
  <c r="BB152" i="13" s="1"/>
  <c r="BC152" i="13" s="1"/>
  <c r="AZ172" i="13"/>
  <c r="BB172" i="13" s="1"/>
  <c r="BC172" i="13" s="1"/>
  <c r="AP198" i="13"/>
  <c r="AR198" i="13" s="1"/>
  <c r="AS198" i="13" s="1"/>
  <c r="P158" i="13"/>
  <c r="AP158" i="13" s="1"/>
  <c r="AR158" i="13" s="1"/>
  <c r="AS158" i="13" s="1"/>
  <c r="E896" i="13"/>
  <c r="E898" i="13"/>
  <c r="AF436" i="13"/>
  <c r="AH436" i="13" s="1"/>
  <c r="AI436" i="13" s="1"/>
  <c r="N896" i="13"/>
  <c r="AF896" i="13" s="1"/>
  <c r="AF447" i="13"/>
  <c r="AH447" i="13" s="1"/>
  <c r="AI447" i="13" s="1"/>
  <c r="N907" i="13"/>
  <c r="AF907" i="13" s="1"/>
  <c r="AF440" i="13"/>
  <c r="AH440" i="13" s="1"/>
  <c r="AI440" i="13" s="1"/>
  <c r="N900" i="13"/>
  <c r="AF900" i="13" s="1"/>
  <c r="AU397" i="13"/>
  <c r="AW397" i="13" s="1"/>
  <c r="AX397" i="13" s="1"/>
  <c r="Q194" i="13"/>
  <c r="BJ444" i="13"/>
  <c r="BL444" i="13" s="1"/>
  <c r="BM444" i="13" s="1"/>
  <c r="T904" i="13"/>
  <c r="BJ904" i="13" s="1"/>
  <c r="AZ436" i="13"/>
  <c r="BB436" i="13" s="1"/>
  <c r="BC436" i="13" s="1"/>
  <c r="R896" i="13"/>
  <c r="AZ896" i="13" s="1"/>
  <c r="AF438" i="13"/>
  <c r="AH438" i="13" s="1"/>
  <c r="AI438" i="13" s="1"/>
  <c r="N898" i="13"/>
  <c r="AF898" i="13" s="1"/>
  <c r="BE403" i="13"/>
  <c r="BG403" i="13" s="1"/>
  <c r="BH403" i="13" s="1"/>
  <c r="S200" i="13"/>
  <c r="BE200" i="13" s="1"/>
  <c r="BG200" i="13" s="1"/>
  <c r="BH200" i="13" s="1"/>
  <c r="BE317" i="13"/>
  <c r="BG317" i="13" s="1"/>
  <c r="BH317" i="13" s="1"/>
  <c r="S174" i="13"/>
  <c r="AZ182" i="13"/>
  <c r="BB182" i="13" s="1"/>
  <c r="BC182" i="13" s="1"/>
  <c r="L164" i="13"/>
  <c r="K199" i="13"/>
  <c r="K159" i="13" s="1"/>
  <c r="I197" i="13"/>
  <c r="I157" i="13" s="1"/>
  <c r="R902" i="13"/>
  <c r="AZ902" i="13" s="1"/>
  <c r="E155" i="13"/>
  <c r="L194" i="13"/>
  <c r="L154" i="13" s="1"/>
  <c r="AP174" i="13"/>
  <c r="AR174" i="13" s="1"/>
  <c r="AS174" i="13" s="1"/>
  <c r="L195" i="13"/>
  <c r="L155" i="13" s="1"/>
  <c r="E68" i="13"/>
  <c r="BL204" i="13"/>
  <c r="BM204" i="13" s="1"/>
  <c r="G68" i="13" s="1"/>
  <c r="Y68" i="13"/>
  <c r="AA68" i="13" s="1"/>
  <c r="BJ179" i="13"/>
  <c r="T159" i="13"/>
  <c r="BJ159" i="13" s="1"/>
  <c r="BL159" i="13" s="1"/>
  <c r="BM159" i="13" s="1"/>
  <c r="BJ318" i="13"/>
  <c r="BL318" i="13" s="1"/>
  <c r="BM318" i="13" s="1"/>
  <c r="T175" i="13"/>
  <c r="E156" i="13"/>
  <c r="H896" i="13"/>
  <c r="E905" i="13"/>
  <c r="F900" i="13"/>
  <c r="H903" i="13"/>
  <c r="AP397" i="13"/>
  <c r="AR397" i="13" s="1"/>
  <c r="AS397" i="13" s="1"/>
  <c r="P194" i="13"/>
  <c r="AP194" i="13" s="1"/>
  <c r="AR194" i="13" s="1"/>
  <c r="AS194" i="13" s="1"/>
  <c r="AF403" i="13"/>
  <c r="AH403" i="13" s="1"/>
  <c r="AI403" i="13" s="1"/>
  <c r="N200" i="13"/>
  <c r="AF398" i="13"/>
  <c r="AH398" i="13" s="1"/>
  <c r="AI398" i="13" s="1"/>
  <c r="N195" i="13"/>
  <c r="AP442" i="13"/>
  <c r="AR442" i="13" s="1"/>
  <c r="AS442" i="13" s="1"/>
  <c r="P902" i="13"/>
  <c r="AP902" i="13" s="1"/>
  <c r="BJ401" i="13"/>
  <c r="BL401" i="13" s="1"/>
  <c r="BM401" i="13" s="1"/>
  <c r="AU447" i="13"/>
  <c r="AW447" i="13" s="1"/>
  <c r="AX447" i="13" s="1"/>
  <c r="Q907" i="13"/>
  <c r="AU907" i="13" s="1"/>
  <c r="N194" i="13"/>
  <c r="AF194" i="13" s="1"/>
  <c r="AH194" i="13" s="1"/>
  <c r="AI194" i="13" s="1"/>
  <c r="Y63" i="13"/>
  <c r="AA63" i="13" s="1"/>
  <c r="BJ180" i="13"/>
  <c r="AK174" i="13"/>
  <c r="AM174" i="13" s="1"/>
  <c r="AN174" i="13" s="1"/>
  <c r="AZ318" i="13"/>
  <c r="BB318" i="13" s="1"/>
  <c r="BC318" i="13" s="1"/>
  <c r="R175" i="13"/>
  <c r="O897" i="13"/>
  <c r="AK897" i="13" s="1"/>
  <c r="BE179" i="13"/>
  <c r="BG179" i="13" s="1"/>
  <c r="BH179" i="13" s="1"/>
  <c r="U201" i="13"/>
  <c r="U161" i="13" s="1"/>
  <c r="T176" i="13"/>
  <c r="F157" i="13"/>
  <c r="AK173" i="13"/>
  <c r="AM173" i="13" s="1"/>
  <c r="AN173" i="13" s="1"/>
  <c r="N204" i="13"/>
  <c r="BE182" i="13"/>
  <c r="BG182" i="13" s="1"/>
  <c r="BH182" i="13" s="1"/>
  <c r="K198" i="13"/>
  <c r="K158" i="13" s="1"/>
  <c r="H907" i="13"/>
  <c r="J905" i="13"/>
  <c r="J904" i="13"/>
  <c r="BE395" i="13"/>
  <c r="BG395" i="13" s="1"/>
  <c r="BH395" i="13" s="1"/>
  <c r="S192" i="13"/>
  <c r="BE192" i="13" s="1"/>
  <c r="BG192" i="13" s="1"/>
  <c r="BH192" i="13" s="1"/>
  <c r="AK445" i="13"/>
  <c r="AM445" i="13" s="1"/>
  <c r="AN445" i="13" s="1"/>
  <c r="O905" i="13"/>
  <c r="AK905" i="13" s="1"/>
  <c r="AF402" i="13"/>
  <c r="AH402" i="13" s="1"/>
  <c r="AI402" i="13" s="1"/>
  <c r="N199" i="13"/>
  <c r="AP400" i="13"/>
  <c r="AR400" i="13" s="1"/>
  <c r="AS400" i="13" s="1"/>
  <c r="P197" i="13"/>
  <c r="AK435" i="13"/>
  <c r="AM435" i="13" s="1"/>
  <c r="AN435" i="13" s="1"/>
  <c r="O895" i="13"/>
  <c r="AK895" i="13" s="1"/>
  <c r="BE440" i="13"/>
  <c r="BG440" i="13" s="1"/>
  <c r="BH440" i="13" s="1"/>
  <c r="S900" i="13"/>
  <c r="BE900" i="13" s="1"/>
  <c r="AK442" i="13"/>
  <c r="AM442" i="13" s="1"/>
  <c r="AN442" i="13" s="1"/>
  <c r="O902" i="13"/>
  <c r="AK902" i="13" s="1"/>
  <c r="BJ438" i="13"/>
  <c r="BL438" i="13" s="1"/>
  <c r="BM438" i="13" s="1"/>
  <c r="T898" i="13"/>
  <c r="BJ898" i="13" s="1"/>
  <c r="AU444" i="13"/>
  <c r="AW444" i="13" s="1"/>
  <c r="AX444" i="13" s="1"/>
  <c r="Q904" i="13"/>
  <c r="AU904" i="13" s="1"/>
  <c r="AK438" i="13"/>
  <c r="AM438" i="13" s="1"/>
  <c r="AN438" i="13" s="1"/>
  <c r="O898" i="13"/>
  <c r="AK898" i="13" s="1"/>
  <c r="AK447" i="13"/>
  <c r="AM447" i="13" s="1"/>
  <c r="AN447" i="13" s="1"/>
  <c r="O907" i="13"/>
  <c r="AK907" i="13" s="1"/>
  <c r="AZ438" i="13"/>
  <c r="BB438" i="13" s="1"/>
  <c r="BC438" i="13" s="1"/>
  <c r="R898" i="13"/>
  <c r="AZ898" i="13" s="1"/>
  <c r="AF176" i="13"/>
  <c r="AH176" i="13" s="1"/>
  <c r="AI176" i="13" s="1"/>
  <c r="AP338" i="13"/>
  <c r="AR338" i="13" s="1"/>
  <c r="AS338" i="13" s="1"/>
  <c r="P175" i="13"/>
  <c r="BJ174" i="13"/>
  <c r="T154" i="13"/>
  <c r="BJ154" i="13" s="1"/>
  <c r="BL154" i="13" s="1"/>
  <c r="BM154" i="13" s="1"/>
  <c r="BE323" i="13"/>
  <c r="BG323" i="13" s="1"/>
  <c r="BH323" i="13" s="1"/>
  <c r="S180" i="13"/>
  <c r="S195" i="13"/>
  <c r="BE195" i="13" s="1"/>
  <c r="BG195" i="13" s="1"/>
  <c r="BH195" i="13" s="1"/>
  <c r="E199" i="13"/>
  <c r="E159" i="13" s="1"/>
  <c r="Q202" i="13"/>
  <c r="AU202" i="13" s="1"/>
  <c r="AW202" i="13" s="1"/>
  <c r="AX202" i="13" s="1"/>
  <c r="S895" i="13"/>
  <c r="BE895" i="13" s="1"/>
  <c r="AK178" i="13"/>
  <c r="AM178" i="13" s="1"/>
  <c r="AN178" i="13" s="1"/>
  <c r="Q204" i="13"/>
  <c r="S157" i="13"/>
  <c r="BE157" i="13" s="1"/>
  <c r="BG157" i="13" s="1"/>
  <c r="BH157" i="13" s="1"/>
  <c r="BE177" i="13"/>
  <c r="BG177" i="13" s="1"/>
  <c r="BH177" i="13" s="1"/>
  <c r="F159" i="13"/>
  <c r="P195" i="13"/>
  <c r="AP195" i="13" s="1"/>
  <c r="AR195" i="13" s="1"/>
  <c r="AS195" i="13" s="1"/>
  <c r="N196" i="13"/>
  <c r="AF196" i="13" s="1"/>
  <c r="AH196" i="13" s="1"/>
  <c r="AI196" i="13" s="1"/>
  <c r="O202" i="13"/>
  <c r="S176" i="13"/>
  <c r="Q152" i="13"/>
  <c r="AU152" i="13" s="1"/>
  <c r="AW152" i="13" s="1"/>
  <c r="AX152" i="13" s="1"/>
  <c r="AU172" i="13"/>
  <c r="AW172" i="13" s="1"/>
  <c r="AX172" i="13" s="1"/>
  <c r="AF177" i="13"/>
  <c r="AH177" i="13" s="1"/>
  <c r="AI177" i="13" s="1"/>
  <c r="E204" i="13"/>
  <c r="E164" i="13" s="1"/>
  <c r="P897" i="13"/>
  <c r="AP897" i="13" s="1"/>
  <c r="AK176" i="13"/>
  <c r="AM176" i="13" s="1"/>
  <c r="AN176" i="13" s="1"/>
  <c r="U905" i="13"/>
  <c r="K895" i="13"/>
  <c r="AZ403" i="13"/>
  <c r="BB403" i="13" s="1"/>
  <c r="BC403" i="13" s="1"/>
  <c r="R200" i="13"/>
  <c r="AF401" i="13"/>
  <c r="AH401" i="13" s="1"/>
  <c r="AI401" i="13" s="1"/>
  <c r="N198" i="13"/>
  <c r="AF198" i="13" s="1"/>
  <c r="AH198" i="13" s="1"/>
  <c r="AI198" i="13" s="1"/>
  <c r="AF405" i="13"/>
  <c r="AH405" i="13" s="1"/>
  <c r="AI405" i="13" s="1"/>
  <c r="N202" i="13"/>
  <c r="AP403" i="13"/>
  <c r="AR403" i="13" s="1"/>
  <c r="AS403" i="13" s="1"/>
  <c r="P200" i="13"/>
  <c r="AU436" i="13"/>
  <c r="AW436" i="13" s="1"/>
  <c r="AX436" i="13" s="1"/>
  <c r="Q896" i="13"/>
  <c r="AU896" i="13" s="1"/>
  <c r="U199" i="13"/>
  <c r="U159" i="13" s="1"/>
  <c r="AK440" i="13"/>
  <c r="AM440" i="13" s="1"/>
  <c r="AN440" i="13" s="1"/>
  <c r="O900" i="13"/>
  <c r="AK900" i="13" s="1"/>
  <c r="AK436" i="13"/>
  <c r="AM436" i="13" s="1"/>
  <c r="AN436" i="13" s="1"/>
  <c r="O896" i="13"/>
  <c r="AK896" i="13" s="1"/>
  <c r="AZ441" i="13"/>
  <c r="BB441" i="13" s="1"/>
  <c r="BC441" i="13" s="1"/>
  <c r="R901" i="13"/>
  <c r="AZ901" i="13" s="1"/>
  <c r="AZ445" i="13"/>
  <c r="BB445" i="13" s="1"/>
  <c r="BC445" i="13" s="1"/>
  <c r="R905" i="13"/>
  <c r="AZ905" i="13" s="1"/>
  <c r="AF445" i="13"/>
  <c r="AH445" i="13" s="1"/>
  <c r="AI445" i="13" s="1"/>
  <c r="N905" i="13"/>
  <c r="AF905" i="13" s="1"/>
  <c r="K197" i="13"/>
  <c r="K157" i="13" s="1"/>
  <c r="U198" i="13"/>
  <c r="U158" i="13" s="1"/>
  <c r="J902" i="13"/>
  <c r="O192" i="13"/>
  <c r="T195" i="13"/>
  <c r="BJ195" i="13" s="1"/>
  <c r="P152" i="13"/>
  <c r="AP152" i="13" s="1"/>
  <c r="AR152" i="13" s="1"/>
  <c r="AS152" i="13" s="1"/>
  <c r="AP172" i="13"/>
  <c r="AR172" i="13" s="1"/>
  <c r="AS172" i="13" s="1"/>
  <c r="L901" i="13"/>
  <c r="S199" i="13"/>
  <c r="BE199" i="13" s="1"/>
  <c r="BG199" i="13" s="1"/>
  <c r="BH199" i="13" s="1"/>
  <c r="Q193" i="13"/>
  <c r="S897" i="13"/>
  <c r="BE897" i="13" s="1"/>
  <c r="AU195" i="13"/>
  <c r="AW195" i="13" s="1"/>
  <c r="AX195" i="13" s="1"/>
  <c r="Q155" i="13"/>
  <c r="AU155" i="13" s="1"/>
  <c r="AW155" i="13" s="1"/>
  <c r="AX155" i="13" s="1"/>
  <c r="Q201" i="13"/>
  <c r="S153" i="13"/>
  <c r="BE153" i="13" s="1"/>
  <c r="BG153" i="13" s="1"/>
  <c r="BH153" i="13" s="1"/>
  <c r="BE173" i="13"/>
  <c r="BG173" i="13" s="1"/>
  <c r="BH173" i="13" s="1"/>
  <c r="BJ184" i="13"/>
  <c r="T164" i="13"/>
  <c r="BJ164" i="13" s="1"/>
  <c r="BL164" i="13" s="1"/>
  <c r="BM164" i="13" s="1"/>
  <c r="AZ176" i="13"/>
  <c r="BB176" i="13" s="1"/>
  <c r="BC176" i="13" s="1"/>
  <c r="R156" i="13"/>
  <c r="AZ156" i="13" s="1"/>
  <c r="BB156" i="13" s="1"/>
  <c r="BC156" i="13" s="1"/>
  <c r="AZ316" i="13"/>
  <c r="BB316" i="13" s="1"/>
  <c r="BC316" i="13" s="1"/>
  <c r="R173" i="13"/>
  <c r="T196" i="13"/>
  <c r="BJ196" i="13" s="1"/>
  <c r="R202" i="13"/>
  <c r="AZ202" i="13" s="1"/>
  <c r="BB202" i="13" s="1"/>
  <c r="BC202" i="13" s="1"/>
  <c r="S172" i="13"/>
  <c r="S903" i="13"/>
  <c r="BE903" i="13" s="1"/>
  <c r="S907" i="13"/>
  <c r="BE907" i="13" s="1"/>
  <c r="BE184" i="13"/>
  <c r="BG184" i="13" s="1"/>
  <c r="BH184" i="13" s="1"/>
  <c r="AU200" i="13"/>
  <c r="AW200" i="13" s="1"/>
  <c r="AX200" i="13" s="1"/>
  <c r="Q160" i="13"/>
  <c r="AU160" i="13" s="1"/>
  <c r="AW160" i="13" s="1"/>
  <c r="AX160" i="13" s="1"/>
  <c r="G896" i="13"/>
  <c r="H904" i="13"/>
  <c r="E900" i="13"/>
  <c r="AF395" i="13"/>
  <c r="AH395" i="13" s="1"/>
  <c r="AI395" i="13" s="1"/>
  <c r="AP407" i="13"/>
  <c r="AR407" i="13" s="1"/>
  <c r="AS407" i="13" s="1"/>
  <c r="P204" i="13"/>
  <c r="AK443" i="13"/>
  <c r="AM443" i="13" s="1"/>
  <c r="AN443" i="13" s="1"/>
  <c r="O903" i="13"/>
  <c r="AK903" i="13" s="1"/>
  <c r="AU442" i="13"/>
  <c r="AW442" i="13" s="1"/>
  <c r="AX442" i="13" s="1"/>
  <c r="Q902" i="13"/>
  <c r="AU902" i="13" s="1"/>
  <c r="AZ447" i="13"/>
  <c r="BB447" i="13" s="1"/>
  <c r="BC447" i="13" s="1"/>
  <c r="R907" i="13"/>
  <c r="AZ907" i="13" s="1"/>
  <c r="U204" i="13"/>
  <c r="U164" i="13" s="1"/>
  <c r="L193" i="13"/>
  <c r="L153" i="13" s="1"/>
  <c r="H159" i="13"/>
  <c r="G197" i="13"/>
  <c r="G157" i="13" s="1"/>
  <c r="AZ324" i="13"/>
  <c r="BB324" i="13" s="1"/>
  <c r="BC324" i="13" s="1"/>
  <c r="R181" i="13"/>
  <c r="BE181" i="13"/>
  <c r="BG181" i="13" s="1"/>
  <c r="BH181" i="13" s="1"/>
  <c r="H194" i="13"/>
  <c r="H154" i="13" s="1"/>
  <c r="F902" i="13"/>
  <c r="O197" i="13"/>
  <c r="AK197" i="13" s="1"/>
  <c r="AM197" i="13" s="1"/>
  <c r="AN197" i="13" s="1"/>
  <c r="I152" i="13"/>
  <c r="S899" i="13"/>
  <c r="BE899" i="13" s="1"/>
  <c r="AU178" i="13"/>
  <c r="AW178" i="13" s="1"/>
  <c r="AX178" i="13" s="1"/>
  <c r="BJ321" i="13"/>
  <c r="BL321" i="13" s="1"/>
  <c r="BM321" i="13" s="1"/>
  <c r="T178" i="13"/>
  <c r="BL199" i="13"/>
  <c r="BM199" i="13" s="1"/>
  <c r="G63" i="13" s="1"/>
  <c r="E63" i="13"/>
  <c r="F899" i="13"/>
  <c r="G898" i="13"/>
  <c r="E899" i="13"/>
  <c r="N192" i="13"/>
  <c r="O154" i="13" l="1"/>
  <c r="AK154" i="13" s="1"/>
  <c r="AM154" i="13" s="1"/>
  <c r="AN154" i="13" s="1"/>
  <c r="S161" i="13"/>
  <c r="BE161" i="13" s="1"/>
  <c r="BG161" i="13" s="1"/>
  <c r="BH161" i="13" s="1"/>
  <c r="Q158" i="13"/>
  <c r="AU158" i="13" s="1"/>
  <c r="AW158" i="13" s="1"/>
  <c r="AX158" i="13" s="1"/>
  <c r="O158" i="13"/>
  <c r="AK158" i="13" s="1"/>
  <c r="AM158" i="13" s="1"/>
  <c r="AN158" i="13" s="1"/>
  <c r="N157" i="13"/>
  <c r="AF157" i="13" s="1"/>
  <c r="AH157" i="13" s="1"/>
  <c r="AI157" i="13" s="1"/>
  <c r="G895" i="13"/>
  <c r="O153" i="13"/>
  <c r="AK153" i="13" s="1"/>
  <c r="AM153" i="13" s="1"/>
  <c r="AN153" i="13" s="1"/>
  <c r="S164" i="13"/>
  <c r="BE164" i="13" s="1"/>
  <c r="BG164" i="13" s="1"/>
  <c r="BH164" i="13" s="1"/>
  <c r="T161" i="13"/>
  <c r="BJ161" i="13" s="1"/>
  <c r="BL161" i="13" s="1"/>
  <c r="BM161" i="13" s="1"/>
  <c r="N156" i="13"/>
  <c r="AF156" i="13" s="1"/>
  <c r="AH156" i="13" s="1"/>
  <c r="AI156" i="13" s="1"/>
  <c r="AF192" i="13"/>
  <c r="AH192" i="13" s="1"/>
  <c r="AI192" i="13" s="1"/>
  <c r="N152" i="13"/>
  <c r="AF152" i="13" s="1"/>
  <c r="AH152" i="13" s="1"/>
  <c r="AI152" i="13" s="1"/>
  <c r="AZ440" i="13"/>
  <c r="BB440" i="13" s="1"/>
  <c r="BC440" i="13" s="1"/>
  <c r="R900" i="13"/>
  <c r="AZ900" i="13" s="1"/>
  <c r="R197" i="13"/>
  <c r="G899" i="13"/>
  <c r="G196" i="13"/>
  <c r="G156" i="13" s="1"/>
  <c r="BL195" i="13"/>
  <c r="BM195" i="13" s="1"/>
  <c r="G59" i="13" s="1"/>
  <c r="E59" i="13"/>
  <c r="P155" i="13"/>
  <c r="AP155" i="13" s="1"/>
  <c r="AR155" i="13" s="1"/>
  <c r="AS155" i="13" s="1"/>
  <c r="AP175" i="13"/>
  <c r="AR175" i="13" s="1"/>
  <c r="AS175" i="13" s="1"/>
  <c r="AF199" i="13"/>
  <c r="AH199" i="13" s="1"/>
  <c r="AI199" i="13" s="1"/>
  <c r="N159" i="13"/>
  <c r="AF159" i="13" s="1"/>
  <c r="AH159" i="13" s="1"/>
  <c r="AI159" i="13" s="1"/>
  <c r="BJ176" i="13"/>
  <c r="T156" i="13"/>
  <c r="BJ156" i="13" s="1"/>
  <c r="BL156" i="13" s="1"/>
  <c r="BM156" i="13" s="1"/>
  <c r="P154" i="13"/>
  <c r="AP154" i="13" s="1"/>
  <c r="AR154" i="13" s="1"/>
  <c r="AS154" i="13" s="1"/>
  <c r="AU194" i="13"/>
  <c r="AW194" i="13" s="1"/>
  <c r="AX194" i="13" s="1"/>
  <c r="Q154" i="13"/>
  <c r="AU154" i="13" s="1"/>
  <c r="AW154" i="13" s="1"/>
  <c r="AX154" i="13" s="1"/>
  <c r="AF178" i="13"/>
  <c r="AH178" i="13" s="1"/>
  <c r="AI178" i="13" s="1"/>
  <c r="N158" i="13"/>
  <c r="AF158" i="13" s="1"/>
  <c r="AH158" i="13" s="1"/>
  <c r="AI158" i="13" s="1"/>
  <c r="BL181" i="13"/>
  <c r="BM181" i="13" s="1"/>
  <c r="J65" i="13" s="1"/>
  <c r="H65" i="13"/>
  <c r="AZ179" i="13"/>
  <c r="BB179" i="13" s="1"/>
  <c r="BC179" i="13" s="1"/>
  <c r="R159" i="13"/>
  <c r="AZ159" i="13" s="1"/>
  <c r="BB159" i="13" s="1"/>
  <c r="BC159" i="13" s="1"/>
  <c r="BL201" i="13"/>
  <c r="BM201" i="13" s="1"/>
  <c r="G65" i="13" s="1"/>
  <c r="E65" i="13"/>
  <c r="L196" i="13"/>
  <c r="L156" i="13" s="1"/>
  <c r="L899" i="13"/>
  <c r="AZ181" i="13"/>
  <c r="BB181" i="13" s="1"/>
  <c r="BC181" i="13" s="1"/>
  <c r="R161" i="13"/>
  <c r="AZ161" i="13" s="1"/>
  <c r="BB161" i="13" s="1"/>
  <c r="BC161" i="13" s="1"/>
  <c r="AK192" i="13"/>
  <c r="AM192" i="13" s="1"/>
  <c r="AN192" i="13" s="1"/>
  <c r="O152" i="13"/>
  <c r="AK152" i="13" s="1"/>
  <c r="AM152" i="13" s="1"/>
  <c r="AN152" i="13" s="1"/>
  <c r="T160" i="13"/>
  <c r="BJ160" i="13" s="1"/>
  <c r="BL160" i="13" s="1"/>
  <c r="BM160" i="13" s="1"/>
  <c r="AK175" i="13"/>
  <c r="AM175" i="13" s="1"/>
  <c r="AN175" i="13" s="1"/>
  <c r="O155" i="13"/>
  <c r="AK155" i="13" s="1"/>
  <c r="AM155" i="13" s="1"/>
  <c r="AN155" i="13" s="1"/>
  <c r="AZ200" i="13"/>
  <c r="BB200" i="13" s="1"/>
  <c r="BC200" i="13" s="1"/>
  <c r="R160" i="13"/>
  <c r="AZ160" i="13" s="1"/>
  <c r="BB160" i="13" s="1"/>
  <c r="BC160" i="13" s="1"/>
  <c r="S162" i="13"/>
  <c r="BE162" i="13" s="1"/>
  <c r="BG162" i="13" s="1"/>
  <c r="BH162" i="13" s="1"/>
  <c r="S159" i="13"/>
  <c r="BE159" i="13" s="1"/>
  <c r="BG159" i="13" s="1"/>
  <c r="BH159" i="13" s="1"/>
  <c r="BL180" i="13"/>
  <c r="BM180" i="13" s="1"/>
  <c r="J64" i="13" s="1"/>
  <c r="H64" i="13"/>
  <c r="BL179" i="13"/>
  <c r="BM179" i="13" s="1"/>
  <c r="J63" i="13" s="1"/>
  <c r="H63" i="13"/>
  <c r="N63" i="13" s="1"/>
  <c r="P63" i="13" s="1"/>
  <c r="R162" i="13"/>
  <c r="AZ162" i="13" s="1"/>
  <c r="BB162" i="13" s="1"/>
  <c r="BC162" i="13" s="1"/>
  <c r="AP202" i="13"/>
  <c r="AR202" i="13" s="1"/>
  <c r="AS202" i="13" s="1"/>
  <c r="P162" i="13"/>
  <c r="AP162" i="13" s="1"/>
  <c r="AR162" i="13" s="1"/>
  <c r="AS162" i="13" s="1"/>
  <c r="BL173" i="13"/>
  <c r="BM173" i="13" s="1"/>
  <c r="J57" i="13" s="1"/>
  <c r="H57" i="13"/>
  <c r="N57" i="13" s="1"/>
  <c r="P57" i="13" s="1"/>
  <c r="BE178" i="13"/>
  <c r="BG178" i="13" s="1"/>
  <c r="BH178" i="13" s="1"/>
  <c r="S158" i="13"/>
  <c r="BE158" i="13" s="1"/>
  <c r="BG158" i="13" s="1"/>
  <c r="BH158" i="13" s="1"/>
  <c r="S155" i="13"/>
  <c r="BE155" i="13" s="1"/>
  <c r="BG155" i="13" s="1"/>
  <c r="BH155" i="13" s="1"/>
  <c r="AP201" i="13"/>
  <c r="AR201" i="13" s="1"/>
  <c r="AS201" i="13" s="1"/>
  <c r="P161" i="13"/>
  <c r="AP161" i="13" s="1"/>
  <c r="AR161" i="13" s="1"/>
  <c r="AS161" i="13" s="1"/>
  <c r="AU193" i="13"/>
  <c r="AW193" i="13" s="1"/>
  <c r="AX193" i="13" s="1"/>
  <c r="Q153" i="13"/>
  <c r="AU153" i="13" s="1"/>
  <c r="AW153" i="13" s="1"/>
  <c r="AX153" i="13" s="1"/>
  <c r="BJ182" i="13"/>
  <c r="AF174" i="13"/>
  <c r="AH174" i="13" s="1"/>
  <c r="AI174" i="13" s="1"/>
  <c r="N154" i="13"/>
  <c r="AF154" i="13" s="1"/>
  <c r="AH154" i="13" s="1"/>
  <c r="AI154" i="13" s="1"/>
  <c r="AP439" i="13"/>
  <c r="AR439" i="13" s="1"/>
  <c r="AS439" i="13" s="1"/>
  <c r="P899" i="13"/>
  <c r="AP899" i="13" s="1"/>
  <c r="P196" i="13"/>
  <c r="AP196" i="13" s="1"/>
  <c r="AR196" i="13" s="1"/>
  <c r="AS196" i="13" s="1"/>
  <c r="BJ440" i="13"/>
  <c r="BL440" i="13" s="1"/>
  <c r="BM440" i="13" s="1"/>
  <c r="T900" i="13"/>
  <c r="BJ900" i="13" s="1"/>
  <c r="T197" i="13"/>
  <c r="BE172" i="13"/>
  <c r="BG172" i="13" s="1"/>
  <c r="BH172" i="13" s="1"/>
  <c r="S152" i="13"/>
  <c r="BE152" i="13" s="1"/>
  <c r="BG152" i="13" s="1"/>
  <c r="BH152" i="13" s="1"/>
  <c r="BL184" i="13"/>
  <c r="BM184" i="13" s="1"/>
  <c r="J68" i="13" s="1"/>
  <c r="H68" i="13"/>
  <c r="N68" i="13" s="1"/>
  <c r="P68" i="13" s="1"/>
  <c r="AP200" i="13"/>
  <c r="AR200" i="13" s="1"/>
  <c r="AS200" i="13" s="1"/>
  <c r="P160" i="13"/>
  <c r="AP160" i="13" s="1"/>
  <c r="AR160" i="13" s="1"/>
  <c r="AS160" i="13" s="1"/>
  <c r="BE180" i="13"/>
  <c r="BG180" i="13" s="1"/>
  <c r="BH180" i="13" s="1"/>
  <c r="S160" i="13"/>
  <c r="BE160" i="13" s="1"/>
  <c r="BG160" i="13" s="1"/>
  <c r="BH160" i="13" s="1"/>
  <c r="AF204" i="13"/>
  <c r="AH204" i="13" s="1"/>
  <c r="AI204" i="13" s="1"/>
  <c r="N164" i="13"/>
  <c r="AF164" i="13" s="1"/>
  <c r="AH164" i="13" s="1"/>
  <c r="AI164" i="13" s="1"/>
  <c r="AF195" i="13"/>
  <c r="AH195" i="13" s="1"/>
  <c r="AI195" i="13" s="1"/>
  <c r="N155" i="13"/>
  <c r="AF155" i="13" s="1"/>
  <c r="AH155" i="13" s="1"/>
  <c r="AI155" i="13" s="1"/>
  <c r="BE174" i="13"/>
  <c r="BG174" i="13" s="1"/>
  <c r="BH174" i="13" s="1"/>
  <c r="S154" i="13"/>
  <c r="BE154" i="13" s="1"/>
  <c r="BG154" i="13" s="1"/>
  <c r="BH154" i="13" s="1"/>
  <c r="BL192" i="13"/>
  <c r="BM192" i="13" s="1"/>
  <c r="G56" i="13" s="1"/>
  <c r="E56" i="13"/>
  <c r="AP176" i="13"/>
  <c r="AR176" i="13" s="1"/>
  <c r="AS176" i="13" s="1"/>
  <c r="BL177" i="13"/>
  <c r="BM177" i="13" s="1"/>
  <c r="J61" i="13" s="1"/>
  <c r="H61" i="13"/>
  <c r="BJ178" i="13"/>
  <c r="AU204" i="13"/>
  <c r="AW204" i="13" s="1"/>
  <c r="AX204" i="13" s="1"/>
  <c r="Q164" i="13"/>
  <c r="AU164" i="13" s="1"/>
  <c r="AW164" i="13" s="1"/>
  <c r="AX164" i="13" s="1"/>
  <c r="AZ175" i="13"/>
  <c r="BB175" i="13" s="1"/>
  <c r="BC175" i="13" s="1"/>
  <c r="R155" i="13"/>
  <c r="AZ155" i="13" s="1"/>
  <c r="BB155" i="13" s="1"/>
  <c r="BC155" i="13" s="1"/>
  <c r="T152" i="13"/>
  <c r="BJ152" i="13" s="1"/>
  <c r="BL152" i="13" s="1"/>
  <c r="BM152" i="13" s="1"/>
  <c r="BL196" i="13"/>
  <c r="BM196" i="13" s="1"/>
  <c r="G60" i="13" s="1"/>
  <c r="E60" i="13"/>
  <c r="AF202" i="13"/>
  <c r="AH202" i="13" s="1"/>
  <c r="AI202" i="13" s="1"/>
  <c r="N162" i="13"/>
  <c r="AF162" i="13" s="1"/>
  <c r="AH162" i="13" s="1"/>
  <c r="AI162" i="13" s="1"/>
  <c r="BE176" i="13"/>
  <c r="BG176" i="13" s="1"/>
  <c r="BH176" i="13" s="1"/>
  <c r="S156" i="13"/>
  <c r="BE156" i="13" s="1"/>
  <c r="BG156" i="13" s="1"/>
  <c r="BH156" i="13" s="1"/>
  <c r="AP197" i="13"/>
  <c r="AR197" i="13" s="1"/>
  <c r="AS197" i="13" s="1"/>
  <c r="P157" i="13"/>
  <c r="AP157" i="13" s="1"/>
  <c r="AR157" i="13" s="1"/>
  <c r="AS157" i="13" s="1"/>
  <c r="AF200" i="13"/>
  <c r="AH200" i="13" s="1"/>
  <c r="AI200" i="13" s="1"/>
  <c r="N160" i="13"/>
  <c r="AF160" i="13" s="1"/>
  <c r="AH160" i="13" s="1"/>
  <c r="AI160" i="13" s="1"/>
  <c r="H56" i="13"/>
  <c r="BL172" i="13"/>
  <c r="BM172" i="13" s="1"/>
  <c r="J56" i="13" s="1"/>
  <c r="Q162" i="13"/>
  <c r="AU162" i="13" s="1"/>
  <c r="AW162" i="13" s="1"/>
  <c r="AX162" i="13" s="1"/>
  <c r="AF435" i="13"/>
  <c r="AH435" i="13" s="1"/>
  <c r="AI435" i="13" s="1"/>
  <c r="N895" i="13"/>
  <c r="AF895" i="13" s="1"/>
  <c r="U898" i="13"/>
  <c r="U195" i="13"/>
  <c r="U155" i="13" s="1"/>
  <c r="AF444" i="13"/>
  <c r="AH444" i="13" s="1"/>
  <c r="AI444" i="13" s="1"/>
  <c r="N904" i="13"/>
  <c r="AF904" i="13" s="1"/>
  <c r="N201" i="13"/>
  <c r="U896" i="13"/>
  <c r="U193" i="13"/>
  <c r="U153" i="13" s="1"/>
  <c r="AP204" i="13"/>
  <c r="AR204" i="13" s="1"/>
  <c r="AS204" i="13" s="1"/>
  <c r="P164" i="13"/>
  <c r="AP164" i="13" s="1"/>
  <c r="AR164" i="13" s="1"/>
  <c r="AS164" i="13" s="1"/>
  <c r="AZ173" i="13"/>
  <c r="BB173" i="13" s="1"/>
  <c r="BC173" i="13" s="1"/>
  <c r="R153" i="13"/>
  <c r="AZ153" i="13" s="1"/>
  <c r="BB153" i="13" s="1"/>
  <c r="BC153" i="13" s="1"/>
  <c r="AU201" i="13"/>
  <c r="AW201" i="13" s="1"/>
  <c r="AX201" i="13" s="1"/>
  <c r="Q161" i="13"/>
  <c r="AU161" i="13" s="1"/>
  <c r="AW161" i="13" s="1"/>
  <c r="AX161" i="13" s="1"/>
  <c r="AK202" i="13"/>
  <c r="AM202" i="13" s="1"/>
  <c r="AN202" i="13" s="1"/>
  <c r="O162" i="13"/>
  <c r="AK162" i="13" s="1"/>
  <c r="AM162" i="13" s="1"/>
  <c r="AN162" i="13" s="1"/>
  <c r="BL174" i="13"/>
  <c r="BM174" i="13" s="1"/>
  <c r="J58" i="13" s="1"/>
  <c r="H58" i="13"/>
  <c r="N58" i="13" s="1"/>
  <c r="P58" i="13" s="1"/>
  <c r="BJ175" i="13"/>
  <c r="T155" i="13"/>
  <c r="BJ155" i="13" s="1"/>
  <c r="BL155" i="13" s="1"/>
  <c r="BM155" i="13" s="1"/>
  <c r="BL200" i="13"/>
  <c r="BM200" i="13" s="1"/>
  <c r="G64" i="13" s="1"/>
  <c r="E64" i="13"/>
  <c r="O157" i="13"/>
  <c r="AK157" i="13" s="1"/>
  <c r="AM157" i="13" s="1"/>
  <c r="AN157" i="13" s="1"/>
  <c r="U897" i="13"/>
  <c r="N56" i="13" l="1"/>
  <c r="P56" i="13" s="1"/>
  <c r="N65" i="13"/>
  <c r="P65" i="13" s="1"/>
  <c r="P156" i="13"/>
  <c r="AP156" i="13" s="1"/>
  <c r="AR156" i="13" s="1"/>
  <c r="AS156" i="13" s="1"/>
  <c r="BJ441" i="13"/>
  <c r="BL441" i="13" s="1"/>
  <c r="BM441" i="13" s="1"/>
  <c r="T901" i="13"/>
  <c r="BJ901" i="13" s="1"/>
  <c r="T198" i="13"/>
  <c r="AK439" i="13"/>
  <c r="AM439" i="13" s="1"/>
  <c r="AN439" i="13" s="1"/>
  <c r="O899" i="13"/>
  <c r="AK899" i="13" s="1"/>
  <c r="O196" i="13"/>
  <c r="AP436" i="13"/>
  <c r="AR436" i="13" s="1"/>
  <c r="AS436" i="13" s="1"/>
  <c r="P896" i="13"/>
  <c r="AP896" i="13" s="1"/>
  <c r="P193" i="13"/>
  <c r="AF201" i="13"/>
  <c r="AH201" i="13" s="1"/>
  <c r="AI201" i="13" s="1"/>
  <c r="N161" i="13"/>
  <c r="AF161" i="13" s="1"/>
  <c r="AH161" i="13" s="1"/>
  <c r="AI161" i="13" s="1"/>
  <c r="BL175" i="13"/>
  <c r="BM175" i="13" s="1"/>
  <c r="J59" i="13" s="1"/>
  <c r="H59" i="13"/>
  <c r="N59" i="13" s="1"/>
  <c r="P59" i="13" s="1"/>
  <c r="BJ405" i="13"/>
  <c r="BL405" i="13" s="1"/>
  <c r="BM405" i="13" s="1"/>
  <c r="T202" i="13"/>
  <c r="T905" i="13"/>
  <c r="BJ905" i="13" s="1"/>
  <c r="BL176" i="13"/>
  <c r="BM176" i="13" s="1"/>
  <c r="J60" i="13" s="1"/>
  <c r="H60" i="13"/>
  <c r="N60" i="13" s="1"/>
  <c r="P60" i="13" s="1"/>
  <c r="AZ197" i="13"/>
  <c r="BB197" i="13" s="1"/>
  <c r="BC197" i="13" s="1"/>
  <c r="R157" i="13"/>
  <c r="AZ157" i="13" s="1"/>
  <c r="BB157" i="13" s="1"/>
  <c r="BC157" i="13" s="1"/>
  <c r="U194" i="13"/>
  <c r="U154" i="13" s="1"/>
  <c r="BL178" i="13"/>
  <c r="BM178" i="13" s="1"/>
  <c r="J62" i="13" s="1"/>
  <c r="H62" i="13"/>
  <c r="BJ197" i="13"/>
  <c r="T157" i="13"/>
  <c r="BJ157" i="13" s="1"/>
  <c r="BL157" i="13" s="1"/>
  <c r="BM157" i="13" s="1"/>
  <c r="I907" i="13"/>
  <c r="I204" i="13"/>
  <c r="I164" i="13" s="1"/>
  <c r="BL182" i="13"/>
  <c r="BM182" i="13" s="1"/>
  <c r="J66" i="13" s="1"/>
  <c r="H66" i="13"/>
  <c r="N64" i="13"/>
  <c r="P64" i="13" s="1"/>
  <c r="BJ202" i="13" l="1"/>
  <c r="T162" i="13"/>
  <c r="BJ162" i="13" s="1"/>
  <c r="BL162" i="13" s="1"/>
  <c r="BM162" i="13" s="1"/>
  <c r="AK196" i="13"/>
  <c r="AM196" i="13" s="1"/>
  <c r="AN196" i="13" s="1"/>
  <c r="O156" i="13"/>
  <c r="AK156" i="13" s="1"/>
  <c r="AM156" i="13" s="1"/>
  <c r="AN156" i="13" s="1"/>
  <c r="F201" i="13"/>
  <c r="F161" i="13" s="1"/>
  <c r="F904" i="13"/>
  <c r="BJ198" i="13"/>
  <c r="T158" i="13"/>
  <c r="BJ158" i="13" s="1"/>
  <c r="BL158" i="13" s="1"/>
  <c r="BM158" i="13" s="1"/>
  <c r="BL197" i="13"/>
  <c r="BM197" i="13" s="1"/>
  <c r="G61" i="13" s="1"/>
  <c r="E61" i="13"/>
  <c r="N61" i="13" s="1"/>
  <c r="P61" i="13" s="1"/>
  <c r="AP193" i="13"/>
  <c r="AR193" i="13" s="1"/>
  <c r="AS193" i="13" s="1"/>
  <c r="P153" i="13"/>
  <c r="AP153" i="13" s="1"/>
  <c r="AR153" i="13" s="1"/>
  <c r="AS153" i="13" s="1"/>
  <c r="E66" i="13" l="1"/>
  <c r="N66" i="13" s="1"/>
  <c r="P66" i="13" s="1"/>
  <c r="BL202" i="13"/>
  <c r="BM202" i="13" s="1"/>
  <c r="G66" i="13" s="1"/>
  <c r="BL198" i="13"/>
  <c r="BM198" i="13" s="1"/>
  <c r="G62" i="13" s="1"/>
  <c r="E62" i="13"/>
  <c r="N62" i="13" s="1"/>
  <c r="P62" i="13" s="1"/>
  <c r="L263" i="13" l="1"/>
  <c r="K263" i="13"/>
  <c r="J263" i="13"/>
  <c r="I263" i="13"/>
  <c r="H263" i="13"/>
  <c r="G263" i="13"/>
  <c r="F263" i="13"/>
  <c r="L243" i="13"/>
  <c r="K243" i="13"/>
  <c r="J243" i="13"/>
  <c r="I243" i="13"/>
  <c r="H243" i="13"/>
  <c r="G243" i="13"/>
  <c r="F243" i="13"/>
  <c r="K183" i="13"/>
  <c r="J183" i="13"/>
  <c r="L223" i="13" l="1"/>
  <c r="L183" i="13"/>
  <c r="I223" i="13"/>
  <c r="F223" i="13"/>
  <c r="I183" i="13"/>
  <c r="G223" i="13"/>
  <c r="H223" i="13"/>
  <c r="H183" i="13"/>
  <c r="J223" i="13"/>
  <c r="K223" i="13"/>
  <c r="F283" i="13"/>
  <c r="G283" i="13"/>
  <c r="H283" i="13"/>
  <c r="I283" i="13"/>
  <c r="J283" i="13"/>
  <c r="K283" i="13"/>
  <c r="L283" i="13"/>
  <c r="F183" i="13"/>
  <c r="G183" i="13"/>
  <c r="E243" i="13"/>
  <c r="E263" i="13"/>
  <c r="J203" i="13" l="1"/>
  <c r="J163" i="13" s="1"/>
  <c r="F203" i="13"/>
  <c r="K203" i="13"/>
  <c r="K163" i="13" s="1"/>
  <c r="G203" i="13"/>
  <c r="E283" i="13"/>
  <c r="F163" i="13"/>
  <c r="K906" i="13"/>
  <c r="K868" i="13"/>
  <c r="K869" i="13" s="1"/>
  <c r="G906" i="13"/>
  <c r="G868" i="13"/>
  <c r="G869" i="13" s="1"/>
  <c r="L203" i="13"/>
  <c r="L163" i="13" s="1"/>
  <c r="H203" i="13"/>
  <c r="H163" i="13" s="1"/>
  <c r="E183" i="13"/>
  <c r="J906" i="13"/>
  <c r="J868" i="13"/>
  <c r="J869" i="13" s="1"/>
  <c r="F906" i="13"/>
  <c r="F868" i="13"/>
  <c r="F869" i="13" s="1"/>
  <c r="I906" i="13"/>
  <c r="I868" i="13"/>
  <c r="I869" i="13" s="1"/>
  <c r="G2845" i="30" a="1"/>
  <c r="E868" i="13"/>
  <c r="E869" i="13" s="1"/>
  <c r="H906" i="13"/>
  <c r="H868" i="13"/>
  <c r="H869" i="13" s="1"/>
  <c r="E223" i="13"/>
  <c r="L906" i="13"/>
  <c r="L868" i="13"/>
  <c r="L869" i="13" s="1"/>
  <c r="I203" i="13"/>
  <c r="I163" i="13" s="1"/>
  <c r="G163" i="13"/>
  <c r="E906" i="13"/>
  <c r="E203" i="13" l="1"/>
  <c r="E163" i="13" s="1"/>
  <c r="O2852" i="30"/>
  <c r="K2850" i="30"/>
  <c r="G2848" i="30"/>
  <c r="Q2845" i="30"/>
  <c r="L2851" i="30"/>
  <c r="H2849" i="30"/>
  <c r="R2846" i="30"/>
  <c r="M2852" i="30"/>
  <c r="I2850" i="30"/>
  <c r="S2847" i="30"/>
  <c r="O2845" i="30"/>
  <c r="P2846" i="30"/>
  <c r="J2845" i="30"/>
  <c r="L2850" i="30"/>
  <c r="K2852" i="30"/>
  <c r="G2850" i="30"/>
  <c r="Q2847" i="30"/>
  <c r="M2845" i="30"/>
  <c r="H2851" i="30"/>
  <c r="R2848" i="30"/>
  <c r="N2846" i="30"/>
  <c r="I2852" i="30"/>
  <c r="S2849" i="30"/>
  <c r="O2847" i="30"/>
  <c r="K2845" i="30"/>
  <c r="N2845" i="30"/>
  <c r="T2852" i="30"/>
  <c r="R2845" i="30"/>
  <c r="M2851" i="30"/>
  <c r="I2849" i="30"/>
  <c r="S2846" i="30"/>
  <c r="N2852" i="30"/>
  <c r="J2850" i="30"/>
  <c r="T2847" i="30"/>
  <c r="P2845" i="30"/>
  <c r="K2851" i="30"/>
  <c r="G2849" i="30"/>
  <c r="Q2846" i="30"/>
  <c r="J2851" i="30"/>
  <c r="R2849" i="30"/>
  <c r="N2849" i="30"/>
  <c r="H2848" i="30"/>
  <c r="I2851" i="30"/>
  <c r="S2848" i="30"/>
  <c r="O2846" i="30"/>
  <c r="J2852" i="30"/>
  <c r="T2849" i="30"/>
  <c r="P2847" i="30"/>
  <c r="L2845" i="30"/>
  <c r="G2851" i="30"/>
  <c r="Q2848" i="30"/>
  <c r="M2846" i="30"/>
  <c r="H2850" i="30"/>
  <c r="P2848" i="30"/>
  <c r="L2848" i="30"/>
  <c r="T2846" i="30"/>
  <c r="O2850" i="30"/>
  <c r="G2846" i="30"/>
  <c r="L2849" i="30"/>
  <c r="Q2852" i="30"/>
  <c r="I2848" i="30"/>
  <c r="R2847" i="30"/>
  <c r="H2846" i="30"/>
  <c r="M2849" i="30"/>
  <c r="R2852" i="30"/>
  <c r="J2848" i="30"/>
  <c r="O2851" i="30"/>
  <c r="G2847" i="30"/>
  <c r="T2850" i="30"/>
  <c r="P2852" i="30"/>
  <c r="O2848" i="30"/>
  <c r="T2851" i="30"/>
  <c r="L2847" i="30"/>
  <c r="Q2850" i="30"/>
  <c r="I2846" i="30"/>
  <c r="N2847" i="30"/>
  <c r="N2851" i="30"/>
  <c r="S2852" i="30"/>
  <c r="K2848" i="30"/>
  <c r="P2851" i="30"/>
  <c r="H2847" i="30"/>
  <c r="M2850" i="30"/>
  <c r="S2845" i="30"/>
  <c r="L2846" i="30"/>
  <c r="G2852" i="30"/>
  <c r="M2847" i="30"/>
  <c r="R2850" i="30"/>
  <c r="J2846" i="30"/>
  <c r="O2849" i="30"/>
  <c r="G2845" i="30"/>
  <c r="R2851" i="30"/>
  <c r="Q2851" i="30"/>
  <c r="I2847" i="30"/>
  <c r="N2850" i="30"/>
  <c r="T2845" i="30"/>
  <c r="K2849" i="30"/>
  <c r="L2852" i="30"/>
  <c r="P2850" i="30"/>
  <c r="S2850" i="30"/>
  <c r="M2848" i="30"/>
  <c r="Q2849" i="30"/>
  <c r="K2847" i="30"/>
  <c r="K2846" i="30"/>
  <c r="T2848" i="30"/>
  <c r="P2849" i="30"/>
  <c r="J2847" i="30"/>
  <c r="N2848" i="30"/>
  <c r="J2849" i="30"/>
  <c r="I2845" i="30"/>
  <c r="H2845" i="30"/>
  <c r="S2851" i="30"/>
  <c r="H2852" i="30"/>
  <c r="U2850" i="30" l="1"/>
  <c r="R504" i="32" s="1"/>
  <c r="U2852" i="30"/>
  <c r="T504" i="32" s="1"/>
  <c r="U2849" i="30"/>
  <c r="Q504" i="32" s="1"/>
  <c r="U2847" i="30"/>
  <c r="O504" i="32" s="1"/>
  <c r="U2848" i="30"/>
  <c r="P504" i="32" s="1"/>
  <c r="U2845" i="30"/>
  <c r="M504" i="32" s="1"/>
  <c r="U2846" i="30"/>
  <c r="N504" i="32" s="1"/>
  <c r="U2851" i="30"/>
  <c r="S504" i="32" s="1"/>
  <c r="BJ866" i="13" l="1"/>
  <c r="T868" i="13"/>
  <c r="AZ866" i="13"/>
  <c r="R868" i="13"/>
  <c r="AK866" i="13"/>
  <c r="O868" i="13"/>
  <c r="U868" i="13"/>
  <c r="U869" i="13" s="1"/>
  <c r="AP866" i="13"/>
  <c r="P868" i="13"/>
  <c r="BE866" i="13"/>
  <c r="S868" i="13"/>
  <c r="AU866" i="13"/>
  <c r="Q868" i="13"/>
  <c r="AF866" i="13"/>
  <c r="G2853" i="30" a="1"/>
  <c r="N868" i="13"/>
  <c r="E44" i="13" l="1"/>
  <c r="N869" i="13"/>
  <c r="AF869" i="13" s="1"/>
  <c r="AH869" i="13" s="1"/>
  <c r="AI869" i="13" s="1"/>
  <c r="AF868" i="13"/>
  <c r="AH868" i="13" s="1"/>
  <c r="AI868" i="13" s="1"/>
  <c r="N2860" i="30"/>
  <c r="J2858" i="30"/>
  <c r="T2855" i="30"/>
  <c r="P2853" i="30"/>
  <c r="K2859" i="30"/>
  <c r="G2857" i="30"/>
  <c r="Q2854" i="30"/>
  <c r="P2860" i="30"/>
  <c r="L2858" i="30"/>
  <c r="H2856" i="30"/>
  <c r="R2853" i="30"/>
  <c r="O2854" i="30"/>
  <c r="I2853" i="30"/>
  <c r="M2859" i="30"/>
  <c r="J2860" i="30"/>
  <c r="T2857" i="30"/>
  <c r="P2855" i="30"/>
  <c r="L2853" i="30"/>
  <c r="G2859" i="30"/>
  <c r="Q2856" i="30"/>
  <c r="M2854" i="30"/>
  <c r="L2860" i="30"/>
  <c r="H2858" i="30"/>
  <c r="R2855" i="30"/>
  <c r="N2853" i="30"/>
  <c r="M2853" i="30"/>
  <c r="S2860" i="30"/>
  <c r="S2854" i="30"/>
  <c r="L2859" i="30"/>
  <c r="H2857" i="30"/>
  <c r="R2854" i="30"/>
  <c r="M2860" i="30"/>
  <c r="I2858" i="30"/>
  <c r="S2855" i="30"/>
  <c r="O2853" i="30"/>
  <c r="N2859" i="30"/>
  <c r="J2857" i="30"/>
  <c r="T2854" i="30"/>
  <c r="I2859" i="30"/>
  <c r="Q2857" i="30"/>
  <c r="M2857" i="30"/>
  <c r="I2857" i="30"/>
  <c r="H2859" i="30"/>
  <c r="R2856" i="30"/>
  <c r="N2854" i="30"/>
  <c r="I2860" i="30"/>
  <c r="S2857" i="30"/>
  <c r="O2855" i="30"/>
  <c r="K2853" i="30"/>
  <c r="J2859" i="30"/>
  <c r="T2856" i="30"/>
  <c r="P2854" i="30"/>
  <c r="G2858" i="30"/>
  <c r="O2856" i="30"/>
  <c r="K2856" i="30"/>
  <c r="O2860" i="30"/>
  <c r="N2856" i="30"/>
  <c r="S2859" i="30"/>
  <c r="K2855" i="30"/>
  <c r="T2858" i="30"/>
  <c r="L2854" i="30"/>
  <c r="M2855" i="30"/>
  <c r="G2856" i="30"/>
  <c r="R2860" i="30"/>
  <c r="J2856" i="30"/>
  <c r="O2859" i="30"/>
  <c r="G2855" i="30"/>
  <c r="P2858" i="30"/>
  <c r="H2854" i="30"/>
  <c r="K2854" i="30"/>
  <c r="T2859" i="30"/>
  <c r="L2855" i="30"/>
  <c r="Q2858" i="30"/>
  <c r="I2854" i="30"/>
  <c r="R2857" i="30"/>
  <c r="J2853" i="30"/>
  <c r="Q2859" i="30"/>
  <c r="P2859" i="30"/>
  <c r="H2855" i="30"/>
  <c r="M2858" i="30"/>
  <c r="S2853" i="30"/>
  <c r="N2857" i="30"/>
  <c r="K2860" i="30"/>
  <c r="O2858" i="30"/>
  <c r="R2858" i="30"/>
  <c r="J2854" i="30"/>
  <c r="O2857" i="30"/>
  <c r="G2853" i="30"/>
  <c r="P2856" i="30"/>
  <c r="S2856" i="30"/>
  <c r="I2855" i="30"/>
  <c r="N2858" i="30"/>
  <c r="T2853" i="30"/>
  <c r="K2857" i="30"/>
  <c r="T2860" i="30"/>
  <c r="L2856" i="30"/>
  <c r="Q2855" i="30"/>
  <c r="G2854" i="30"/>
  <c r="P2857" i="30"/>
  <c r="H2853" i="30"/>
  <c r="M2856" i="30"/>
  <c r="H2860" i="30"/>
  <c r="N2855" i="30"/>
  <c r="G2860" i="30"/>
  <c r="K2858" i="30"/>
  <c r="Q2860" i="30"/>
  <c r="R2859" i="30"/>
  <c r="J2855" i="30"/>
  <c r="S2858" i="30"/>
  <c r="I2856" i="30"/>
  <c r="Q2853" i="30"/>
  <c r="L2857" i="30"/>
  <c r="BG866" i="13"/>
  <c r="BH866" i="13" s="1"/>
  <c r="G2888" i="30" a="1"/>
  <c r="AM866" i="13"/>
  <c r="AN866" i="13" s="1"/>
  <c r="AP868" i="13"/>
  <c r="AR868" i="13" s="1"/>
  <c r="AS868" i="13" s="1"/>
  <c r="P869" i="13"/>
  <c r="AP869" i="13" s="1"/>
  <c r="AR869" i="13" s="1"/>
  <c r="AS869" i="13" s="1"/>
  <c r="R869" i="13"/>
  <c r="AZ869" i="13" s="1"/>
  <c r="BB869" i="13" s="1"/>
  <c r="BC869" i="13" s="1"/>
  <c r="AZ868" i="13"/>
  <c r="BB868" i="13" s="1"/>
  <c r="BC868" i="13" s="1"/>
  <c r="AH866" i="13"/>
  <c r="AI866" i="13" s="1"/>
  <c r="G2868" i="30" a="1"/>
  <c r="AU868" i="13"/>
  <c r="AW868" i="13" s="1"/>
  <c r="AX868" i="13" s="1"/>
  <c r="Q869" i="13"/>
  <c r="AU869" i="13" s="1"/>
  <c r="AW869" i="13" s="1"/>
  <c r="AX869" i="13" s="1"/>
  <c r="AR866" i="13"/>
  <c r="AS866" i="13" s="1"/>
  <c r="BB866" i="13"/>
  <c r="BC866" i="13" s="1"/>
  <c r="E20" i="13"/>
  <c r="T869" i="13"/>
  <c r="BJ869" i="13" s="1"/>
  <c r="BL869" i="13" s="1"/>
  <c r="BM869" i="13" s="1"/>
  <c r="BJ868" i="13"/>
  <c r="BL868" i="13" s="1"/>
  <c r="BM868" i="13" s="1"/>
  <c r="AW866" i="13"/>
  <c r="AX866" i="13" s="1"/>
  <c r="S869" i="13"/>
  <c r="BE869" i="13" s="1"/>
  <c r="BG869" i="13" s="1"/>
  <c r="BH869" i="13" s="1"/>
  <c r="BE868" i="13"/>
  <c r="BG868" i="13" s="1"/>
  <c r="BH868" i="13" s="1"/>
  <c r="AK868" i="13"/>
  <c r="AM868" i="13" s="1"/>
  <c r="AN868" i="13" s="1"/>
  <c r="O869" i="13"/>
  <c r="AK869" i="13" s="1"/>
  <c r="AM869" i="13" s="1"/>
  <c r="AN869" i="13" s="1"/>
  <c r="BL866" i="13"/>
  <c r="BM866" i="13" s="1"/>
  <c r="G2872" i="30" l="1" a="1"/>
  <c r="L2874" i="30" s="1"/>
  <c r="G2884" i="30" a="1"/>
  <c r="M2887" i="30" s="1"/>
  <c r="G2880" i="30" a="1"/>
  <c r="U2858" i="30"/>
  <c r="R505" i="32" s="1"/>
  <c r="G2892" i="30" a="1"/>
  <c r="U2855" i="30"/>
  <c r="O505" i="32" s="1"/>
  <c r="U2859" i="30"/>
  <c r="S505" i="32" s="1"/>
  <c r="R508" i="32"/>
  <c r="U2890" i="30"/>
  <c r="U2889" i="30"/>
  <c r="R507" i="32"/>
  <c r="G2888" i="30"/>
  <c r="U2888" i="30" s="1"/>
  <c r="U2854" i="30"/>
  <c r="N505" i="32" s="1"/>
  <c r="P2871" i="30"/>
  <c r="I2870" i="30"/>
  <c r="N2868" i="30"/>
  <c r="O2869" i="30"/>
  <c r="M2868" i="30"/>
  <c r="J2871" i="30"/>
  <c r="R2871" i="30"/>
  <c r="J2868" i="30"/>
  <c r="M2871" i="30"/>
  <c r="I2868" i="30"/>
  <c r="R2870" i="30"/>
  <c r="I2871" i="30"/>
  <c r="S2870" i="30"/>
  <c r="T2870" i="30"/>
  <c r="O2870" i="30"/>
  <c r="G2868" i="30"/>
  <c r="S2868" i="30"/>
  <c r="P2870" i="30"/>
  <c r="O2871" i="30"/>
  <c r="T2871" i="30"/>
  <c r="S2871" i="30"/>
  <c r="N2869" i="30"/>
  <c r="K2871" i="30"/>
  <c r="P2868" i="30"/>
  <c r="J2870" i="30"/>
  <c r="I2869" i="30"/>
  <c r="Q2868" i="30"/>
  <c r="H2871" i="30"/>
  <c r="M2869" i="30"/>
  <c r="G2870" i="30"/>
  <c r="G2869" i="30"/>
  <c r="H2870" i="30"/>
  <c r="S2869" i="30"/>
  <c r="K2868" i="30"/>
  <c r="H2868" i="30"/>
  <c r="L2870" i="30"/>
  <c r="P2869" i="30"/>
  <c r="L2868" i="30"/>
  <c r="Q2869" i="30"/>
  <c r="O2868" i="30"/>
  <c r="Q2871" i="30"/>
  <c r="G2871" i="30"/>
  <c r="N2871" i="30"/>
  <c r="T2868" i="30"/>
  <c r="J2869" i="30"/>
  <c r="H2869" i="30"/>
  <c r="T2869" i="30"/>
  <c r="R2868" i="30"/>
  <c r="R2869" i="30"/>
  <c r="M2870" i="30"/>
  <c r="L2871" i="30"/>
  <c r="Q2870" i="30"/>
  <c r="L2869" i="30"/>
  <c r="K2870" i="30"/>
  <c r="K2869" i="30"/>
  <c r="N2870" i="30"/>
  <c r="P15" i="13"/>
  <c r="U2860" i="30"/>
  <c r="T505" i="32" s="1"/>
  <c r="U2853" i="30"/>
  <c r="M505" i="32" s="1"/>
  <c r="U2856" i="30"/>
  <c r="P505" i="32" s="1"/>
  <c r="G2876" i="30" a="1"/>
  <c r="U2857" i="30"/>
  <c r="Q505" i="32" s="1"/>
  <c r="B19" i="27"/>
  <c r="P39" i="13"/>
  <c r="G2872" i="30" l="1"/>
  <c r="P2875" i="30"/>
  <c r="N2872" i="30"/>
  <c r="S2873" i="30"/>
  <c r="J2873" i="30"/>
  <c r="T2873" i="30"/>
  <c r="G2875" i="30"/>
  <c r="R2873" i="30"/>
  <c r="R2875" i="30"/>
  <c r="P2874" i="30"/>
  <c r="R2874" i="30"/>
  <c r="I2874" i="30"/>
  <c r="S2875" i="30"/>
  <c r="S2874" i="30"/>
  <c r="H2874" i="30"/>
  <c r="T2875" i="30"/>
  <c r="T2872" i="30"/>
  <c r="K2872" i="30"/>
  <c r="Q2872" i="30"/>
  <c r="H2872" i="30"/>
  <c r="M2873" i="30"/>
  <c r="M2872" i="30"/>
  <c r="T2874" i="30"/>
  <c r="Q2874" i="30"/>
  <c r="O2872" i="30"/>
  <c r="G2874" i="30"/>
  <c r="I2873" i="30"/>
  <c r="M2874" i="30"/>
  <c r="L2875" i="30"/>
  <c r="O2873" i="30"/>
  <c r="J2872" i="30"/>
  <c r="L2872" i="30"/>
  <c r="S2872" i="30"/>
  <c r="K2873" i="30"/>
  <c r="Q2873" i="30"/>
  <c r="I2875" i="30"/>
  <c r="N2874" i="30"/>
  <c r="J2874" i="30"/>
  <c r="R2872" i="30"/>
  <c r="O2875" i="30"/>
  <c r="K2874" i="30"/>
  <c r="N2873" i="30"/>
  <c r="K2875" i="30"/>
  <c r="M2875" i="30"/>
  <c r="O2874" i="30"/>
  <c r="N2875" i="30"/>
  <c r="Q2875" i="30"/>
  <c r="H2873" i="30"/>
  <c r="J2875" i="30"/>
  <c r="H2875" i="30"/>
  <c r="I2872" i="30"/>
  <c r="L2873" i="30"/>
  <c r="P2872" i="30"/>
  <c r="G2873" i="30"/>
  <c r="P2873" i="30"/>
  <c r="P2886" i="30"/>
  <c r="G2887" i="30"/>
  <c r="G2884" i="30"/>
  <c r="J2887" i="30"/>
  <c r="T2887" i="30"/>
  <c r="I2885" i="30"/>
  <c r="J2886" i="30"/>
  <c r="Q507" i="32" s="1"/>
  <c r="O2886" i="30"/>
  <c r="N2885" i="30"/>
  <c r="S2884" i="30"/>
  <c r="N2884" i="30"/>
  <c r="K2887" i="30"/>
  <c r="O2884" i="30"/>
  <c r="R2886" i="30"/>
  <c r="K2886" i="30"/>
  <c r="L2887" i="30"/>
  <c r="M2886" i="30"/>
  <c r="M2884" i="30"/>
  <c r="M2885" i="30"/>
  <c r="I2884" i="30"/>
  <c r="T2884" i="30"/>
  <c r="R2887" i="30"/>
  <c r="L2885" i="30"/>
  <c r="S2887" i="30"/>
  <c r="N2886" i="30"/>
  <c r="P2887" i="30"/>
  <c r="P2885" i="30"/>
  <c r="R2885" i="30"/>
  <c r="N2887" i="30"/>
  <c r="J2884" i="30"/>
  <c r="T2885" i="30"/>
  <c r="Q2886" i="30"/>
  <c r="O2887" i="30"/>
  <c r="S2886" i="30"/>
  <c r="H2887" i="30"/>
  <c r="Q2884" i="30"/>
  <c r="K2885" i="30"/>
  <c r="K2884" i="30"/>
  <c r="L2884" i="30"/>
  <c r="R2884" i="30"/>
  <c r="S2885" i="30"/>
  <c r="I2886" i="30"/>
  <c r="G2885" i="30"/>
  <c r="G2886" i="30"/>
  <c r="I2887" i="30"/>
  <c r="Q2885" i="30"/>
  <c r="H2884" i="30"/>
  <c r="H2885" i="30"/>
  <c r="O2885" i="30"/>
  <c r="H2886" i="30"/>
  <c r="L2886" i="30"/>
  <c r="J2885" i="30"/>
  <c r="P2884" i="30"/>
  <c r="T2886" i="30"/>
  <c r="Q2887" i="30"/>
  <c r="M507" i="32"/>
  <c r="U2891" i="30"/>
  <c r="U2868" i="30"/>
  <c r="G2892" i="30"/>
  <c r="U2892" i="30" s="1"/>
  <c r="U2893" i="30"/>
  <c r="U2894" i="30"/>
  <c r="S507" i="32"/>
  <c r="H52" i="31" s="1"/>
  <c r="S508" i="32"/>
  <c r="I52" i="31" s="1"/>
  <c r="U2869" i="30"/>
  <c r="Q2876" i="30"/>
  <c r="K2877" i="30"/>
  <c r="S2878" i="30"/>
  <c r="R2878" i="30"/>
  <c r="S2879" i="30"/>
  <c r="G2878" i="30"/>
  <c r="H2877" i="30"/>
  <c r="L2877" i="30"/>
  <c r="M2878" i="30"/>
  <c r="R2876" i="30"/>
  <c r="G2876" i="30"/>
  <c r="N2879" i="30"/>
  <c r="I2877" i="30"/>
  <c r="T2879" i="30"/>
  <c r="I2876" i="30"/>
  <c r="O2876" i="30"/>
  <c r="R2877" i="30"/>
  <c r="S2877" i="30"/>
  <c r="T2876" i="30"/>
  <c r="Q2877" i="30"/>
  <c r="L2879" i="30"/>
  <c r="L2876" i="30"/>
  <c r="J2877" i="30"/>
  <c r="P2879" i="30"/>
  <c r="G2879" i="30"/>
  <c r="J2878" i="30"/>
  <c r="R2879" i="30"/>
  <c r="N2877" i="30"/>
  <c r="P2876" i="30"/>
  <c r="M2879" i="30"/>
  <c r="I2878" i="30"/>
  <c r="Q2878" i="30"/>
  <c r="K2878" i="30"/>
  <c r="G2877" i="30"/>
  <c r="K2879" i="30"/>
  <c r="P2878" i="30"/>
  <c r="T2877" i="30"/>
  <c r="H2879" i="30"/>
  <c r="H2876" i="30"/>
  <c r="O2877" i="30"/>
  <c r="N2876" i="30"/>
  <c r="I2879" i="30"/>
  <c r="N2878" i="30"/>
  <c r="Q2879" i="30"/>
  <c r="T2878" i="30"/>
  <c r="O2879" i="30"/>
  <c r="M2877" i="30"/>
  <c r="O2878" i="30"/>
  <c r="P2877" i="30"/>
  <c r="L2878" i="30"/>
  <c r="M2876" i="30"/>
  <c r="H2878" i="30"/>
  <c r="J2876" i="30"/>
  <c r="S2876" i="30"/>
  <c r="J2879" i="30"/>
  <c r="K2876" i="30"/>
  <c r="N507" i="32"/>
  <c r="T2881" i="30"/>
  <c r="H2880" i="30"/>
  <c r="K2882" i="30"/>
  <c r="O2880" i="30"/>
  <c r="Q2880" i="30"/>
  <c r="K2883" i="30"/>
  <c r="L2881" i="30"/>
  <c r="L2880" i="30"/>
  <c r="H2883" i="30"/>
  <c r="O2881" i="30"/>
  <c r="I2883" i="30"/>
  <c r="I2880" i="30"/>
  <c r="R2883" i="30"/>
  <c r="Q2882" i="30"/>
  <c r="S2882" i="30"/>
  <c r="H2882" i="30"/>
  <c r="R2881" i="30"/>
  <c r="S2880" i="30"/>
  <c r="T2880" i="30"/>
  <c r="O2883" i="30"/>
  <c r="J2881" i="30"/>
  <c r="P2881" i="30"/>
  <c r="G2883" i="30"/>
  <c r="H2881" i="30"/>
  <c r="Q2883" i="30"/>
  <c r="N2883" i="30"/>
  <c r="P2882" i="30"/>
  <c r="S2883" i="30"/>
  <c r="O2882" i="30"/>
  <c r="R2882" i="30"/>
  <c r="R2880" i="30"/>
  <c r="K2880" i="30"/>
  <c r="I2882" i="30"/>
  <c r="N2882" i="30"/>
  <c r="M2883" i="30"/>
  <c r="Q2881" i="30"/>
  <c r="K2881" i="30"/>
  <c r="J2883" i="30"/>
  <c r="L2882" i="30"/>
  <c r="S2881" i="30"/>
  <c r="G2881" i="30"/>
  <c r="M2881" i="30"/>
  <c r="G2882" i="30"/>
  <c r="T2882" i="30"/>
  <c r="P2880" i="30"/>
  <c r="J2882" i="30"/>
  <c r="M2882" i="30"/>
  <c r="I2881" i="30"/>
  <c r="P2883" i="30"/>
  <c r="N2880" i="30"/>
  <c r="N2881" i="30"/>
  <c r="J2880" i="30"/>
  <c r="M2880" i="30"/>
  <c r="G2880" i="30"/>
  <c r="L2883" i="30"/>
  <c r="T2883" i="30"/>
  <c r="U2872" i="30" l="1"/>
  <c r="U2873" i="30"/>
  <c r="U2874" i="30"/>
  <c r="U2875" i="30" s="1"/>
  <c r="N508" i="32" s="1"/>
  <c r="U2884" i="30"/>
  <c r="U2885" i="30"/>
  <c r="U2886" i="30"/>
  <c r="U2870" i="30"/>
  <c r="U2871" i="30" s="1"/>
  <c r="M508" i="32" s="1"/>
  <c r="U2895" i="30"/>
  <c r="U2880" i="30"/>
  <c r="U2878" i="30"/>
  <c r="O507" i="32"/>
  <c r="U2882" i="30"/>
  <c r="P507" i="32"/>
  <c r="U2881" i="30"/>
  <c r="U2876" i="30"/>
  <c r="U2877" i="30"/>
  <c r="F368" i="13"/>
  <c r="F369" i="13" s="1"/>
  <c r="G368" i="13"/>
  <c r="G369" i="13" s="1"/>
  <c r="H368" i="13"/>
  <c r="H369" i="13" s="1"/>
  <c r="I368" i="13"/>
  <c r="I369" i="13" s="1"/>
  <c r="J368" i="13"/>
  <c r="J369" i="13" s="1"/>
  <c r="K368" i="13"/>
  <c r="K369" i="13" s="1"/>
  <c r="L368" i="13"/>
  <c r="L369" i="13" s="1"/>
  <c r="F388" i="13"/>
  <c r="F389" i="13" s="1"/>
  <c r="G388" i="13"/>
  <c r="G389" i="13" s="1"/>
  <c r="H388" i="13"/>
  <c r="H389" i="13" s="1"/>
  <c r="I388" i="13"/>
  <c r="I389" i="13" s="1"/>
  <c r="J388" i="13"/>
  <c r="J389" i="13" s="1"/>
  <c r="K388" i="13"/>
  <c r="K389" i="13" s="1"/>
  <c r="L388" i="13"/>
  <c r="L389" i="13" s="1"/>
  <c r="F328" i="13"/>
  <c r="F329" i="13" s="1"/>
  <c r="G328" i="13"/>
  <c r="G329" i="13" s="1"/>
  <c r="H328" i="13"/>
  <c r="H329" i="13" s="1"/>
  <c r="I328" i="13"/>
  <c r="I329" i="13" s="1"/>
  <c r="J328" i="13"/>
  <c r="J329" i="13" s="1"/>
  <c r="K328" i="13"/>
  <c r="K329" i="13" s="1"/>
  <c r="L328" i="13"/>
  <c r="L329" i="13" s="1"/>
  <c r="F348" i="13"/>
  <c r="F349" i="13" s="1"/>
  <c r="G348" i="13"/>
  <c r="G349" i="13" s="1"/>
  <c r="H348" i="13"/>
  <c r="H349" i="13" s="1"/>
  <c r="I348" i="13"/>
  <c r="I349" i="13" s="1"/>
  <c r="J348" i="13"/>
  <c r="J349" i="13" s="1"/>
  <c r="K348" i="13"/>
  <c r="K349" i="13" s="1"/>
  <c r="L348" i="13"/>
  <c r="L349" i="13" s="1"/>
  <c r="F628" i="13"/>
  <c r="F629" i="13" s="1"/>
  <c r="G628" i="13"/>
  <c r="G629" i="13" s="1"/>
  <c r="H628" i="13"/>
  <c r="H629" i="13" s="1"/>
  <c r="I628" i="13"/>
  <c r="I629" i="13" s="1"/>
  <c r="J628" i="13"/>
  <c r="J629" i="13" s="1"/>
  <c r="K628" i="13"/>
  <c r="K629" i="13" s="1"/>
  <c r="L628" i="13"/>
  <c r="L629" i="13" s="1"/>
  <c r="F428" i="13"/>
  <c r="F429" i="13" s="1"/>
  <c r="G428" i="13"/>
  <c r="G429" i="13" s="1"/>
  <c r="H428" i="13"/>
  <c r="H429" i="13" s="1"/>
  <c r="I428" i="13"/>
  <c r="I429" i="13" s="1"/>
  <c r="J428" i="13"/>
  <c r="J429" i="13" s="1"/>
  <c r="K428" i="13"/>
  <c r="K429" i="13" s="1"/>
  <c r="L428" i="13"/>
  <c r="L429" i="13" s="1"/>
  <c r="F468" i="13"/>
  <c r="F469" i="13" s="1"/>
  <c r="G468" i="13"/>
  <c r="G469" i="13" s="1"/>
  <c r="H468" i="13"/>
  <c r="H469" i="13" s="1"/>
  <c r="I468" i="13"/>
  <c r="I469" i="13" s="1"/>
  <c r="J468" i="13"/>
  <c r="J469" i="13" s="1"/>
  <c r="K468" i="13"/>
  <c r="K469" i="13" s="1"/>
  <c r="L468" i="13"/>
  <c r="L469" i="13" s="1"/>
  <c r="F528" i="13"/>
  <c r="F529" i="13" s="1"/>
  <c r="G528" i="13"/>
  <c r="G529" i="13" s="1"/>
  <c r="H528" i="13"/>
  <c r="H529" i="13" s="1"/>
  <c r="I528" i="13"/>
  <c r="I529" i="13" s="1"/>
  <c r="J528" i="13"/>
  <c r="J529" i="13" s="1"/>
  <c r="K528" i="13"/>
  <c r="K529" i="13" s="1"/>
  <c r="L528" i="13"/>
  <c r="L529" i="13" s="1"/>
  <c r="F548" i="13"/>
  <c r="F549" i="13" s="1"/>
  <c r="G548" i="13"/>
  <c r="G549" i="13" s="1"/>
  <c r="H548" i="13"/>
  <c r="H549" i="13" s="1"/>
  <c r="I548" i="13"/>
  <c r="I549" i="13" s="1"/>
  <c r="J548" i="13"/>
  <c r="J549" i="13" s="1"/>
  <c r="K548" i="13"/>
  <c r="K549" i="13" s="1"/>
  <c r="L548" i="13"/>
  <c r="L549" i="13" s="1"/>
  <c r="F568" i="13"/>
  <c r="F569" i="13" s="1"/>
  <c r="G568" i="13"/>
  <c r="G569" i="13" s="1"/>
  <c r="H568" i="13"/>
  <c r="H569" i="13" s="1"/>
  <c r="I568" i="13"/>
  <c r="I569" i="13" s="1"/>
  <c r="J568" i="13"/>
  <c r="J569" i="13" s="1"/>
  <c r="K568" i="13"/>
  <c r="K569" i="13" s="1"/>
  <c r="L568" i="13"/>
  <c r="L569" i="13" s="1"/>
  <c r="F508" i="13"/>
  <c r="F509" i="13" s="1"/>
  <c r="G508" i="13"/>
  <c r="G509" i="13" s="1"/>
  <c r="H508" i="13"/>
  <c r="H509" i="13" s="1"/>
  <c r="I508" i="13"/>
  <c r="I509" i="13" s="1"/>
  <c r="J508" i="13"/>
  <c r="J509" i="13" s="1"/>
  <c r="K508" i="13"/>
  <c r="K509" i="13" s="1"/>
  <c r="L508" i="13"/>
  <c r="L509" i="13" s="1"/>
  <c r="F648" i="13"/>
  <c r="F649" i="13" s="1"/>
  <c r="G648" i="13"/>
  <c r="G649" i="13" s="1"/>
  <c r="H648" i="13"/>
  <c r="H649" i="13" s="1"/>
  <c r="I648" i="13"/>
  <c r="I649" i="13" s="1"/>
  <c r="J648" i="13"/>
  <c r="J649" i="13" s="1"/>
  <c r="K648" i="13"/>
  <c r="K649" i="13" s="1"/>
  <c r="L648" i="13"/>
  <c r="L649" i="13" s="1"/>
  <c r="F588" i="13"/>
  <c r="F589" i="13" s="1"/>
  <c r="G588" i="13"/>
  <c r="G589" i="13" s="1"/>
  <c r="H588" i="13"/>
  <c r="H589" i="13" s="1"/>
  <c r="I588" i="13"/>
  <c r="I589" i="13" s="1"/>
  <c r="J588" i="13"/>
  <c r="J589" i="13" s="1"/>
  <c r="K588" i="13"/>
  <c r="K589" i="13" s="1"/>
  <c r="L588" i="13"/>
  <c r="L589" i="13" s="1"/>
  <c r="F608" i="13"/>
  <c r="F609" i="13" s="1"/>
  <c r="G608" i="13"/>
  <c r="G609" i="13" s="1"/>
  <c r="H608" i="13"/>
  <c r="H609" i="13" s="1"/>
  <c r="I608" i="13"/>
  <c r="I609" i="13" s="1"/>
  <c r="J608" i="13"/>
  <c r="J609" i="13" s="1"/>
  <c r="K608" i="13"/>
  <c r="K609" i="13" s="1"/>
  <c r="L608" i="13"/>
  <c r="L609" i="13" s="1"/>
  <c r="F708" i="13"/>
  <c r="F709" i="13" s="1"/>
  <c r="G708" i="13"/>
  <c r="G709" i="13" s="1"/>
  <c r="H708" i="13"/>
  <c r="H709" i="13" s="1"/>
  <c r="I708" i="13"/>
  <c r="I709" i="13" s="1"/>
  <c r="J708" i="13"/>
  <c r="J709" i="13" s="1"/>
  <c r="K708" i="13"/>
  <c r="K709" i="13" s="1"/>
  <c r="L708" i="13"/>
  <c r="L709" i="13" s="1"/>
  <c r="F688" i="13"/>
  <c r="F689" i="13" s="1"/>
  <c r="G688" i="13"/>
  <c r="G689" i="13" s="1"/>
  <c r="H688" i="13"/>
  <c r="H689" i="13" s="1"/>
  <c r="I688" i="13"/>
  <c r="I689" i="13" s="1"/>
  <c r="J688" i="13"/>
  <c r="J689" i="13" s="1"/>
  <c r="K688" i="13"/>
  <c r="K689" i="13" s="1"/>
  <c r="L688" i="13"/>
  <c r="L689" i="13" s="1"/>
  <c r="F748" i="13"/>
  <c r="F749" i="13" s="1"/>
  <c r="G748" i="13"/>
  <c r="G749" i="13" s="1"/>
  <c r="H748" i="13"/>
  <c r="H749" i="13" s="1"/>
  <c r="I748" i="13"/>
  <c r="I749" i="13" s="1"/>
  <c r="J748" i="13"/>
  <c r="J749" i="13" s="1"/>
  <c r="K748" i="13"/>
  <c r="K749" i="13" s="1"/>
  <c r="L748" i="13"/>
  <c r="L749" i="13" s="1"/>
  <c r="F728" i="13"/>
  <c r="F729" i="13" s="1"/>
  <c r="G728" i="13"/>
  <c r="G729" i="13" s="1"/>
  <c r="H728" i="13"/>
  <c r="H729" i="13" s="1"/>
  <c r="I728" i="13"/>
  <c r="I729" i="13" s="1"/>
  <c r="J728" i="13"/>
  <c r="J729" i="13" s="1"/>
  <c r="K728" i="13"/>
  <c r="K729" i="13" s="1"/>
  <c r="L728" i="13"/>
  <c r="L729" i="13" s="1"/>
  <c r="F768" i="13"/>
  <c r="F769" i="13" s="1"/>
  <c r="G768" i="13"/>
  <c r="G769" i="13" s="1"/>
  <c r="H768" i="13"/>
  <c r="H769" i="13" s="1"/>
  <c r="I768" i="13"/>
  <c r="I769" i="13" s="1"/>
  <c r="J768" i="13"/>
  <c r="J769" i="13" s="1"/>
  <c r="K768" i="13"/>
  <c r="K769" i="13" s="1"/>
  <c r="L768" i="13"/>
  <c r="L769" i="13" s="1"/>
  <c r="F808" i="13"/>
  <c r="F809" i="13" s="1"/>
  <c r="G808" i="13"/>
  <c r="G809" i="13" s="1"/>
  <c r="H808" i="13"/>
  <c r="H809" i="13" s="1"/>
  <c r="I808" i="13"/>
  <c r="I809" i="13" s="1"/>
  <c r="J808" i="13"/>
  <c r="J809" i="13" s="1"/>
  <c r="K808" i="13"/>
  <c r="K809" i="13" s="1"/>
  <c r="L808" i="13"/>
  <c r="L809" i="13" s="1"/>
  <c r="F788" i="13"/>
  <c r="F789" i="13" s="1"/>
  <c r="G788" i="13"/>
  <c r="G789" i="13" s="1"/>
  <c r="H788" i="13"/>
  <c r="H789" i="13" s="1"/>
  <c r="I788" i="13"/>
  <c r="I789" i="13" s="1"/>
  <c r="J788" i="13"/>
  <c r="J789" i="13" s="1"/>
  <c r="K788" i="13"/>
  <c r="K789" i="13" s="1"/>
  <c r="L788" i="13"/>
  <c r="L789" i="13" s="1"/>
  <c r="AZ526" i="13"/>
  <c r="BB526" i="13" s="1"/>
  <c r="BC526" i="13" s="1"/>
  <c r="U2887" i="30" l="1"/>
  <c r="Q508" i="32" s="1"/>
  <c r="U2883" i="30"/>
  <c r="P508" i="32" s="1"/>
  <c r="H251" i="13"/>
  <c r="H265" i="13" s="1"/>
  <c r="H266" i="13" s="1"/>
  <c r="H848" i="13"/>
  <c r="H849" i="13" s="1"/>
  <c r="H231" i="13"/>
  <c r="H245" i="13" s="1"/>
  <c r="H246" i="13" s="1"/>
  <c r="H828" i="13"/>
  <c r="H829" i="13" s="1"/>
  <c r="H211" i="13"/>
  <c r="H225" i="13" s="1"/>
  <c r="H226" i="13" s="1"/>
  <c r="H668" i="13"/>
  <c r="H669" i="13" s="1"/>
  <c r="L271" i="13"/>
  <c r="L285" i="13" s="1"/>
  <c r="L286" i="13" s="1"/>
  <c r="L488" i="13"/>
  <c r="L489" i="13" s="1"/>
  <c r="H488" i="13"/>
  <c r="H489" i="13" s="1"/>
  <c r="H271" i="13"/>
  <c r="H285" i="13" s="1"/>
  <c r="H286" i="13" s="1"/>
  <c r="E628" i="13"/>
  <c r="E629" i="13" s="1"/>
  <c r="G2233" i="30" a="1"/>
  <c r="E348" i="13"/>
  <c r="E349" i="13" s="1"/>
  <c r="G1520" i="30" a="1"/>
  <c r="G1469" i="30" a="1"/>
  <c r="E328" i="13"/>
  <c r="E329" i="13" s="1"/>
  <c r="E388" i="13"/>
  <c r="E389" i="13" s="1"/>
  <c r="G1622" i="30" a="1"/>
  <c r="G1571" i="30" a="1"/>
  <c r="E368" i="13"/>
  <c r="E369" i="13" s="1"/>
  <c r="L251" i="13"/>
  <c r="L265" i="13" s="1"/>
  <c r="L266" i="13" s="1"/>
  <c r="L848" i="13"/>
  <c r="L849" i="13" s="1"/>
  <c r="AZ846" i="13"/>
  <c r="BB846" i="13" s="1"/>
  <c r="BC846" i="13" s="1"/>
  <c r="R263" i="13"/>
  <c r="AZ263" i="13" s="1"/>
  <c r="BB263" i="13" s="1"/>
  <c r="BC263" i="13" s="1"/>
  <c r="K251" i="13"/>
  <c r="K265" i="13" s="1"/>
  <c r="K266" i="13" s="1"/>
  <c r="K848" i="13"/>
  <c r="K849" i="13" s="1"/>
  <c r="G251" i="13"/>
  <c r="G265" i="13" s="1"/>
  <c r="G266" i="13" s="1"/>
  <c r="G848" i="13"/>
  <c r="G849" i="13" s="1"/>
  <c r="I171" i="13"/>
  <c r="I308" i="13"/>
  <c r="I309" i="13" s="1"/>
  <c r="K231" i="13"/>
  <c r="K245" i="13" s="1"/>
  <c r="K246" i="13" s="1"/>
  <c r="K828" i="13"/>
  <c r="K829" i="13" s="1"/>
  <c r="G231" i="13"/>
  <c r="G245" i="13" s="1"/>
  <c r="G246" i="13" s="1"/>
  <c r="G828" i="13"/>
  <c r="G829" i="13" s="1"/>
  <c r="K668" i="13"/>
  <c r="K669" i="13" s="1"/>
  <c r="K211" i="13"/>
  <c r="K225" i="13" s="1"/>
  <c r="K226" i="13" s="1"/>
  <c r="G668" i="13"/>
  <c r="G669" i="13" s="1"/>
  <c r="G211" i="13"/>
  <c r="G225" i="13" s="1"/>
  <c r="G226" i="13" s="1"/>
  <c r="K271" i="13"/>
  <c r="K285" i="13" s="1"/>
  <c r="K286" i="13" s="1"/>
  <c r="K488" i="13"/>
  <c r="K489" i="13" s="1"/>
  <c r="G488" i="13"/>
  <c r="G489" i="13" s="1"/>
  <c r="G271" i="13"/>
  <c r="G285" i="13" s="1"/>
  <c r="G286" i="13" s="1"/>
  <c r="F848" i="13"/>
  <c r="F849" i="13" s="1"/>
  <c r="F251" i="13"/>
  <c r="F265" i="13" s="1"/>
  <c r="F266" i="13" s="1"/>
  <c r="F488" i="13"/>
  <c r="F489" i="13" s="1"/>
  <c r="F271" i="13"/>
  <c r="F285" i="13" s="1"/>
  <c r="F286" i="13" s="1"/>
  <c r="L171" i="13"/>
  <c r="L308" i="13"/>
  <c r="L309" i="13" s="1"/>
  <c r="H171" i="13"/>
  <c r="H308" i="13"/>
  <c r="H309" i="13" s="1"/>
  <c r="J848" i="13"/>
  <c r="J849" i="13" s="1"/>
  <c r="J251" i="13"/>
  <c r="J265" i="13" s="1"/>
  <c r="J266" i="13" s="1"/>
  <c r="J231" i="13"/>
  <c r="J245" i="13" s="1"/>
  <c r="J246" i="13" s="1"/>
  <c r="J828" i="13"/>
  <c r="J829" i="13" s="1"/>
  <c r="F231" i="13"/>
  <c r="F245" i="13" s="1"/>
  <c r="F246" i="13" s="1"/>
  <c r="F828" i="13"/>
  <c r="F829" i="13" s="1"/>
  <c r="J211" i="13"/>
  <c r="J225" i="13" s="1"/>
  <c r="J226" i="13" s="1"/>
  <c r="J668" i="13"/>
  <c r="J669" i="13" s="1"/>
  <c r="F211" i="13"/>
  <c r="F225" i="13" s="1"/>
  <c r="F226" i="13" s="1"/>
  <c r="F668" i="13"/>
  <c r="F669" i="13" s="1"/>
  <c r="J488" i="13"/>
  <c r="J489" i="13" s="1"/>
  <c r="J271" i="13"/>
  <c r="J285" i="13" s="1"/>
  <c r="J286" i="13" s="1"/>
  <c r="G171" i="13"/>
  <c r="G308" i="13"/>
  <c r="G309" i="13" s="1"/>
  <c r="E808" i="13"/>
  <c r="E809" i="13" s="1"/>
  <c r="G2692" i="30" a="1"/>
  <c r="G2590" i="30" a="1"/>
  <c r="E768" i="13"/>
  <c r="E769" i="13" s="1"/>
  <c r="G2488" i="30" a="1"/>
  <c r="E728" i="13"/>
  <c r="E729" i="13" s="1"/>
  <c r="E748" i="13"/>
  <c r="E749" i="13" s="1"/>
  <c r="G2539" i="30" a="1"/>
  <c r="E688" i="13"/>
  <c r="E689" i="13" s="1"/>
  <c r="G2386" i="30" a="1"/>
  <c r="E211" i="13"/>
  <c r="G2335" i="30" a="1"/>
  <c r="E668" i="13"/>
  <c r="E669" i="13" s="1"/>
  <c r="G2182" i="30" a="1"/>
  <c r="E608" i="13"/>
  <c r="E609" i="13" s="1"/>
  <c r="E271" i="13"/>
  <c r="E488" i="13"/>
  <c r="E489" i="13" s="1"/>
  <c r="G1876" i="30" a="1"/>
  <c r="E588" i="13"/>
  <c r="E589" i="13" s="1"/>
  <c r="G2131" i="30" a="1"/>
  <c r="G2284" i="30" a="1"/>
  <c r="E648" i="13"/>
  <c r="E649" i="13" s="1"/>
  <c r="G1927" i="30" a="1"/>
  <c r="E508" i="13"/>
  <c r="E509" i="13" s="1"/>
  <c r="E568" i="13"/>
  <c r="E569" i="13" s="1"/>
  <c r="G2080" i="30" a="1"/>
  <c r="G2029" i="30" a="1"/>
  <c r="E548" i="13"/>
  <c r="E549" i="13" s="1"/>
  <c r="E528" i="13"/>
  <c r="E529" i="13" s="1"/>
  <c r="G1978" i="30" a="1"/>
  <c r="G1825" i="30" a="1"/>
  <c r="E468" i="13"/>
  <c r="E469" i="13" s="1"/>
  <c r="K308" i="13"/>
  <c r="K309" i="13" s="1"/>
  <c r="K171" i="13"/>
  <c r="F171" i="13"/>
  <c r="F308" i="13"/>
  <c r="F309" i="13" s="1"/>
  <c r="AZ566" i="13"/>
  <c r="BB566" i="13" s="1"/>
  <c r="BC566" i="13" s="1"/>
  <c r="I452" i="11"/>
  <c r="G2641" i="30" a="1"/>
  <c r="E788" i="13"/>
  <c r="E789" i="13" s="1"/>
  <c r="I251" i="13"/>
  <c r="I265" i="13" s="1"/>
  <c r="I266" i="13" s="1"/>
  <c r="I848" i="13"/>
  <c r="I849" i="13" s="1"/>
  <c r="E251" i="13"/>
  <c r="G2794" i="30" a="1"/>
  <c r="E848" i="13"/>
  <c r="E849" i="13" s="1"/>
  <c r="I231" i="13"/>
  <c r="I245" i="13" s="1"/>
  <c r="I246" i="13" s="1"/>
  <c r="I828" i="13"/>
  <c r="I829" i="13" s="1"/>
  <c r="E231" i="13"/>
  <c r="G2743" i="30" a="1"/>
  <c r="E828" i="13"/>
  <c r="E829" i="13" s="1"/>
  <c r="G2437" i="30" a="1"/>
  <c r="E708" i="13"/>
  <c r="E709" i="13" s="1"/>
  <c r="I668" i="13"/>
  <c r="I669" i="13" s="1"/>
  <c r="I211" i="13"/>
  <c r="I225" i="13" s="1"/>
  <c r="I226" i="13" s="1"/>
  <c r="I488" i="13"/>
  <c r="I489" i="13" s="1"/>
  <c r="I271" i="13"/>
  <c r="I285" i="13" s="1"/>
  <c r="I286" i="13" s="1"/>
  <c r="E428" i="13"/>
  <c r="E429" i="13" s="1"/>
  <c r="G1723" i="30" a="1"/>
  <c r="J308" i="13"/>
  <c r="J309" i="13" s="1"/>
  <c r="J171" i="13"/>
  <c r="E171" i="13"/>
  <c r="E308" i="13"/>
  <c r="E309" i="13" s="1"/>
  <c r="G1418" i="30" a="1"/>
  <c r="U2879" i="30"/>
  <c r="O508" i="32" s="1"/>
  <c r="L231" i="13"/>
  <c r="L245" i="13" s="1"/>
  <c r="L246" i="13" s="1"/>
  <c r="L828" i="13"/>
  <c r="L829" i="13" s="1"/>
  <c r="L211" i="13"/>
  <c r="L225" i="13" s="1"/>
  <c r="L226" i="13" s="1"/>
  <c r="L668" i="13"/>
  <c r="L669" i="13" s="1"/>
  <c r="AU746" i="13"/>
  <c r="AW746" i="13" s="1"/>
  <c r="AX746" i="13" s="1"/>
  <c r="AF786" i="13"/>
  <c r="AH786" i="13" s="1"/>
  <c r="AI786" i="13" s="1"/>
  <c r="AZ786" i="13"/>
  <c r="BB786" i="13" s="1"/>
  <c r="BC786" i="13" s="1"/>
  <c r="AZ766" i="13"/>
  <c r="BB766" i="13" s="1"/>
  <c r="BC766" i="13" s="1"/>
  <c r="BJ746" i="13"/>
  <c r="BL746" i="13" s="1"/>
  <c r="BM746" i="13" s="1"/>
  <c r="AP746" i="13"/>
  <c r="AR746" i="13" s="1"/>
  <c r="AS746" i="13" s="1"/>
  <c r="BE686" i="13"/>
  <c r="BG686" i="13" s="1"/>
  <c r="BH686" i="13" s="1"/>
  <c r="AZ706" i="13"/>
  <c r="BB706" i="13" s="1"/>
  <c r="BC706" i="13" s="1"/>
  <c r="AF706" i="13"/>
  <c r="AH706" i="13" s="1"/>
  <c r="AI706" i="13" s="1"/>
  <c r="AU766" i="13"/>
  <c r="AW766" i="13" s="1"/>
  <c r="AX766" i="13" s="1"/>
  <c r="AK746" i="13"/>
  <c r="AM746" i="13" s="1"/>
  <c r="AN746" i="13" s="1"/>
  <c r="AZ686" i="13"/>
  <c r="BB686" i="13" s="1"/>
  <c r="BC686" i="13" s="1"/>
  <c r="AU706" i="13"/>
  <c r="AW706" i="13" s="1"/>
  <c r="AX706" i="13" s="1"/>
  <c r="AU526" i="13"/>
  <c r="AW526" i="13" s="1"/>
  <c r="AX526" i="13" s="1"/>
  <c r="AK606" i="13"/>
  <c r="AM606" i="13" s="1"/>
  <c r="AN606" i="13" s="1"/>
  <c r="AU606" i="13"/>
  <c r="AW606" i="13" s="1"/>
  <c r="AX606" i="13" s="1"/>
  <c r="BJ506" i="13"/>
  <c r="BL506" i="13" s="1"/>
  <c r="BM506" i="13" s="1"/>
  <c r="L452" i="11"/>
  <c r="BE546" i="13"/>
  <c r="BG546" i="13" s="1"/>
  <c r="BH546" i="13" s="1"/>
  <c r="AF546" i="13"/>
  <c r="AH546" i="13" s="1"/>
  <c r="AI546" i="13" s="1"/>
  <c r="AZ546" i="13"/>
  <c r="BB546" i="13" s="1"/>
  <c r="BC546" i="13" s="1"/>
  <c r="AP426" i="13"/>
  <c r="AR426" i="13" s="1"/>
  <c r="AS426" i="13" s="1"/>
  <c r="AZ626" i="13"/>
  <c r="BB626" i="13" s="1"/>
  <c r="BC626" i="13" s="1"/>
  <c r="AZ326" i="13"/>
  <c r="BB326" i="13" s="1"/>
  <c r="BC326" i="13" s="1"/>
  <c r="AZ746" i="13"/>
  <c r="BB746" i="13" s="1"/>
  <c r="BC746" i="13" s="1"/>
  <c r="AP686" i="13"/>
  <c r="AR686" i="13" s="1"/>
  <c r="AS686" i="13" s="1"/>
  <c r="BE506" i="13"/>
  <c r="BG506" i="13" s="1"/>
  <c r="BH506" i="13" s="1"/>
  <c r="AZ506" i="13"/>
  <c r="BB506" i="13" s="1"/>
  <c r="BC506" i="13" s="1"/>
  <c r="AK426" i="13"/>
  <c r="AM426" i="13" s="1"/>
  <c r="AN426" i="13" s="1"/>
  <c r="BJ346" i="13"/>
  <c r="BL346" i="13" s="1"/>
  <c r="BM346" i="13" s="1"/>
  <c r="AP546" i="13"/>
  <c r="AR546" i="13" s="1"/>
  <c r="AS546" i="13" s="1"/>
  <c r="BE526" i="13"/>
  <c r="BG526" i="13" s="1"/>
  <c r="BH526" i="13" s="1"/>
  <c r="AF526" i="13"/>
  <c r="AH526" i="13" s="1"/>
  <c r="AI526" i="13" s="1"/>
  <c r="AZ466" i="13"/>
  <c r="BB466" i="13" s="1"/>
  <c r="BC466" i="13" s="1"/>
  <c r="AP466" i="13"/>
  <c r="AR466" i="13" s="1"/>
  <c r="AS466" i="13" s="1"/>
  <c r="BJ466" i="13"/>
  <c r="BL466" i="13" s="1"/>
  <c r="BM466" i="13" s="1"/>
  <c r="BE426" i="13"/>
  <c r="BG426" i="13" s="1"/>
  <c r="BH426" i="13" s="1"/>
  <c r="AF426" i="13"/>
  <c r="AH426" i="13" s="1"/>
  <c r="AI426" i="13" s="1"/>
  <c r="AZ426" i="13"/>
  <c r="BB426" i="13" s="1"/>
  <c r="BC426" i="13" s="1"/>
  <c r="AZ346" i="13"/>
  <c r="BB346" i="13" s="1"/>
  <c r="BC346" i="13" s="1"/>
  <c r="AZ366" i="13"/>
  <c r="BB366" i="13" s="1"/>
  <c r="BC366" i="13" s="1"/>
  <c r="AP366" i="13"/>
  <c r="AR366" i="13" s="1"/>
  <c r="AS366" i="13" s="1"/>
  <c r="BJ366" i="13"/>
  <c r="BL366" i="13" s="1"/>
  <c r="BM366" i="13" s="1"/>
  <c r="AF746" i="13"/>
  <c r="AH746" i="13" s="1"/>
  <c r="AI746" i="13" s="1"/>
  <c r="AF646" i="13"/>
  <c r="AH646" i="13" s="1"/>
  <c r="AI646" i="13" s="1"/>
  <c r="AU546" i="13"/>
  <c r="AW546" i="13" s="1"/>
  <c r="AX546" i="13" s="1"/>
  <c r="BJ546" i="13"/>
  <c r="BL546" i="13" s="1"/>
  <c r="BM546" i="13" s="1"/>
  <c r="AP346" i="13"/>
  <c r="AR346" i="13" s="1"/>
  <c r="AS346" i="13" s="1"/>
  <c r="AK506" i="13"/>
  <c r="AM506" i="13" s="1"/>
  <c r="AN506" i="13" s="1"/>
  <c r="AK546" i="13"/>
  <c r="AM546" i="13" s="1"/>
  <c r="AN546" i="13" s="1"/>
  <c r="L448" i="13"/>
  <c r="L449" i="13" s="1"/>
  <c r="K448" i="13"/>
  <c r="K449" i="13" s="1"/>
  <c r="J448" i="13"/>
  <c r="J449" i="13" s="1"/>
  <c r="I448" i="13"/>
  <c r="I449" i="13" s="1"/>
  <c r="H448" i="13"/>
  <c r="H449" i="13" s="1"/>
  <c r="G448" i="13"/>
  <c r="G449" i="13" s="1"/>
  <c r="F448" i="13"/>
  <c r="F449" i="13" s="1"/>
  <c r="E894" i="13"/>
  <c r="E908" i="13" l="1"/>
  <c r="E909" i="13" s="1"/>
  <c r="L191" i="13"/>
  <c r="L205" i="13" s="1"/>
  <c r="L206" i="13" s="1"/>
  <c r="L408" i="13"/>
  <c r="L409" i="13" s="1"/>
  <c r="AP726" i="13"/>
  <c r="AR726" i="13" s="1"/>
  <c r="AS726" i="13" s="1"/>
  <c r="G490" i="11"/>
  <c r="AK846" i="13"/>
  <c r="AM846" i="13" s="1"/>
  <c r="AN846" i="13" s="1"/>
  <c r="O263" i="13"/>
  <c r="AK263" i="13" s="1"/>
  <c r="AM263" i="13" s="1"/>
  <c r="AN263" i="13" s="1"/>
  <c r="AU614" i="13"/>
  <c r="L440" i="11"/>
  <c r="L454" i="11" s="1"/>
  <c r="U568" i="13"/>
  <c r="U569" i="13" s="1"/>
  <c r="R1424" i="30"/>
  <c r="L1422" i="30"/>
  <c r="T1419" i="30"/>
  <c r="O1424" i="30"/>
  <c r="G1423" i="30"/>
  <c r="O1420" i="30"/>
  <c r="I1418" i="30"/>
  <c r="T1425" i="30"/>
  <c r="N1423" i="30"/>
  <c r="H1421" i="30"/>
  <c r="P1418" i="30"/>
  <c r="I1424" i="30"/>
  <c r="I1425" i="30"/>
  <c r="K1419" i="30"/>
  <c r="G1425" i="30"/>
  <c r="K1418" i="30"/>
  <c r="H1423" i="30"/>
  <c r="J1418" i="30"/>
  <c r="N1424" i="30"/>
  <c r="Q1422" i="30"/>
  <c r="J1423" i="30"/>
  <c r="S1423" i="30"/>
  <c r="N1422" i="30"/>
  <c r="H1420" i="30"/>
  <c r="O1425" i="30"/>
  <c r="I1423" i="30"/>
  <c r="Q1420" i="30"/>
  <c r="I1419" i="30"/>
  <c r="R1423" i="30"/>
  <c r="P1423" i="30"/>
  <c r="J1421" i="30"/>
  <c r="R1418" i="30"/>
  <c r="G1420" i="30"/>
  <c r="S1421" i="30"/>
  <c r="Q1423" i="30"/>
  <c r="T1424" i="30"/>
  <c r="J1420" i="30"/>
  <c r="Q1425" i="30"/>
  <c r="K1423" i="30"/>
  <c r="Q1421" i="30"/>
  <c r="M1418" i="30"/>
  <c r="T1423" i="30"/>
  <c r="N1421" i="30"/>
  <c r="L1421" i="30"/>
  <c r="T1418" i="30"/>
  <c r="M1424" i="30"/>
  <c r="O1418" i="30"/>
  <c r="O1419" i="30"/>
  <c r="H1425" i="30"/>
  <c r="P1422" i="30"/>
  <c r="P1419" i="30"/>
  <c r="R1420" i="30"/>
  <c r="S1425" i="30"/>
  <c r="K1424" i="30"/>
  <c r="G1421" i="30"/>
  <c r="K1420" i="30"/>
  <c r="H1424" i="30"/>
  <c r="P1421" i="30"/>
  <c r="J1419" i="30"/>
  <c r="H1419" i="30"/>
  <c r="I1421" i="30"/>
  <c r="I1422" i="30"/>
  <c r="S1424" i="30"/>
  <c r="J1425" i="30"/>
  <c r="R1422" i="30"/>
  <c r="L1420" i="30"/>
  <c r="O1423" i="30"/>
  <c r="S1422" i="30"/>
  <c r="Q1418" i="30"/>
  <c r="J1424" i="30"/>
  <c r="R1421" i="30"/>
  <c r="L1419" i="30"/>
  <c r="K1422" i="30"/>
  <c r="Q1424" i="30"/>
  <c r="Q1419" i="30"/>
  <c r="S1419" i="30"/>
  <c r="L1425" i="30"/>
  <c r="T1422" i="30"/>
  <c r="N1420" i="30"/>
  <c r="H1418" i="30"/>
  <c r="P1420" i="30"/>
  <c r="H1422" i="30"/>
  <c r="M1423" i="30"/>
  <c r="P1425" i="30"/>
  <c r="L1418" i="30"/>
  <c r="K1421" i="30"/>
  <c r="M1421" i="30"/>
  <c r="L1424" i="30"/>
  <c r="T1421" i="30"/>
  <c r="N1419" i="30"/>
  <c r="S1420" i="30"/>
  <c r="M1422" i="30"/>
  <c r="N1425" i="30"/>
  <c r="M1425" i="30"/>
  <c r="M1419" i="30"/>
  <c r="G1424" i="30"/>
  <c r="G1419" i="30"/>
  <c r="I1420" i="30"/>
  <c r="P1424" i="30"/>
  <c r="J1422" i="30"/>
  <c r="R1419" i="30"/>
  <c r="K1425" i="30"/>
  <c r="G1422" i="30"/>
  <c r="M1420" i="30"/>
  <c r="G1418" i="30"/>
  <c r="R1425" i="30"/>
  <c r="L1423" i="30"/>
  <c r="T1420" i="30"/>
  <c r="N1418" i="30"/>
  <c r="S1418" i="30"/>
  <c r="O1421" i="30"/>
  <c r="O1422" i="30"/>
  <c r="L894" i="13"/>
  <c r="L908" i="13" s="1"/>
  <c r="L909" i="13" s="1"/>
  <c r="O1475" i="30"/>
  <c r="K1473" i="30"/>
  <c r="G1471" i="30"/>
  <c r="S1476" i="30"/>
  <c r="O1474" i="30"/>
  <c r="K1472" i="30"/>
  <c r="G1470" i="30"/>
  <c r="G1475" i="30"/>
  <c r="Q1472" i="30"/>
  <c r="M1470" i="30"/>
  <c r="K1476" i="30"/>
  <c r="G1474" i="30"/>
  <c r="Q1471" i="30"/>
  <c r="M1469" i="30"/>
  <c r="Q1474" i="30"/>
  <c r="M1472" i="30"/>
  <c r="I1470" i="30"/>
  <c r="G1476" i="30"/>
  <c r="Q1473" i="30"/>
  <c r="M1471" i="30"/>
  <c r="I1469" i="30"/>
  <c r="I1476" i="30"/>
  <c r="I1472" i="30"/>
  <c r="G1469" i="30"/>
  <c r="I1473" i="30"/>
  <c r="Q1469" i="30"/>
  <c r="T1472" i="30"/>
  <c r="J1476" i="30"/>
  <c r="P1471" i="30"/>
  <c r="T1474" i="30"/>
  <c r="L1470" i="30"/>
  <c r="H1473" i="30"/>
  <c r="P1469" i="30"/>
  <c r="S1475" i="30"/>
  <c r="S1471" i="30"/>
  <c r="O1476" i="30"/>
  <c r="S1472" i="30"/>
  <c r="T1476" i="30"/>
  <c r="L1472" i="30"/>
  <c r="P1475" i="30"/>
  <c r="H1471" i="30"/>
  <c r="L1474" i="30"/>
  <c r="R1469" i="30"/>
  <c r="R1470" i="30"/>
  <c r="I1474" i="30"/>
  <c r="Q1470" i="30"/>
  <c r="I1475" i="30"/>
  <c r="I1471" i="30"/>
  <c r="J1475" i="30"/>
  <c r="P1470" i="30"/>
  <c r="T1473" i="30"/>
  <c r="L1469" i="30"/>
  <c r="P1472" i="30"/>
  <c r="P1473" i="30"/>
  <c r="J1470" i="30"/>
  <c r="S1473" i="30"/>
  <c r="S1469" i="30"/>
  <c r="S1474" i="30"/>
  <c r="S1470" i="30"/>
  <c r="P1474" i="30"/>
  <c r="H1470" i="30"/>
  <c r="L1473" i="30"/>
  <c r="P1476" i="30"/>
  <c r="H1472" i="30"/>
  <c r="L1471" i="30"/>
  <c r="N1476" i="30"/>
  <c r="O1473" i="30"/>
  <c r="K1474" i="30"/>
  <c r="H1474" i="30"/>
  <c r="R1472" i="30"/>
  <c r="N1471" i="30"/>
  <c r="J1474" i="30"/>
  <c r="G1473" i="30"/>
  <c r="M1473" i="30"/>
  <c r="N1473" i="30"/>
  <c r="J1472" i="30"/>
  <c r="T1470" i="30"/>
  <c r="T1471" i="30"/>
  <c r="O1471" i="30"/>
  <c r="O1472" i="30"/>
  <c r="R1471" i="30"/>
  <c r="N1470" i="30"/>
  <c r="J1469" i="30"/>
  <c r="K1471" i="30"/>
  <c r="G1472" i="30"/>
  <c r="J1471" i="30"/>
  <c r="T1469" i="30"/>
  <c r="T1475" i="30"/>
  <c r="Q1476" i="30"/>
  <c r="O1469" i="30"/>
  <c r="O1470" i="30"/>
  <c r="N1469" i="30"/>
  <c r="H1476" i="30"/>
  <c r="H1469" i="30"/>
  <c r="M1476" i="30"/>
  <c r="K1469" i="30"/>
  <c r="K1470" i="30"/>
  <c r="R1476" i="30"/>
  <c r="N1475" i="30"/>
  <c r="L1475" i="30"/>
  <c r="K1475" i="30"/>
  <c r="Q1475" i="30"/>
  <c r="L1476" i="30"/>
  <c r="H1475" i="30"/>
  <c r="R1473" i="30"/>
  <c r="R1474" i="30"/>
  <c r="M1474" i="30"/>
  <c r="R1475" i="30"/>
  <c r="N1474" i="30"/>
  <c r="J1473" i="30"/>
  <c r="M1475" i="30"/>
  <c r="N1472" i="30"/>
  <c r="H408" i="13"/>
  <c r="H409" i="13" s="1"/>
  <c r="H191" i="13"/>
  <c r="H205" i="13" s="1"/>
  <c r="H206" i="13" s="1"/>
  <c r="BE486" i="13"/>
  <c r="BG486" i="13" s="1"/>
  <c r="BH486" i="13" s="1"/>
  <c r="J433" i="11"/>
  <c r="AU566" i="13"/>
  <c r="AW566" i="13" s="1"/>
  <c r="AX566" i="13" s="1"/>
  <c r="H452" i="11"/>
  <c r="BJ726" i="13"/>
  <c r="BL726" i="13" s="1"/>
  <c r="BM726" i="13" s="1"/>
  <c r="K490" i="11"/>
  <c r="AK826" i="13"/>
  <c r="AM826" i="13" s="1"/>
  <c r="AN826" i="13" s="1"/>
  <c r="O243" i="13"/>
  <c r="AK243" i="13" s="1"/>
  <c r="AM243" i="13" s="1"/>
  <c r="AN243" i="13" s="1"/>
  <c r="U251" i="13"/>
  <c r="E285" i="13"/>
  <c r="E286" i="13" s="1"/>
  <c r="G1367" i="30" a="1"/>
  <c r="K2546" i="30"/>
  <c r="G2544" i="30"/>
  <c r="Q2541" i="30"/>
  <c r="M2539" i="30"/>
  <c r="H2545" i="30"/>
  <c r="R2542" i="30"/>
  <c r="N2540" i="30"/>
  <c r="I2546" i="30"/>
  <c r="S2543" i="30"/>
  <c r="O2541" i="30"/>
  <c r="K2539" i="30"/>
  <c r="J2539" i="30"/>
  <c r="P2546" i="30"/>
  <c r="P2540" i="30"/>
  <c r="Q2545" i="30"/>
  <c r="M2543" i="30"/>
  <c r="I2541" i="30"/>
  <c r="R2546" i="30"/>
  <c r="N2544" i="30"/>
  <c r="J2542" i="30"/>
  <c r="T2539" i="30"/>
  <c r="O2545" i="30"/>
  <c r="K2543" i="30"/>
  <c r="G2541" i="30"/>
  <c r="H2546" i="30"/>
  <c r="R2545" i="30"/>
  <c r="L2544" i="30"/>
  <c r="N2539" i="30"/>
  <c r="M2545" i="30"/>
  <c r="I2543" i="30"/>
  <c r="S2540" i="30"/>
  <c r="N2546" i="30"/>
  <c r="J2544" i="30"/>
  <c r="T2541" i="30"/>
  <c r="P2539" i="30"/>
  <c r="K2545" i="30"/>
  <c r="G2543" i="30"/>
  <c r="Q2540" i="30"/>
  <c r="T2544" i="30"/>
  <c r="P2544" i="30"/>
  <c r="J2543" i="30"/>
  <c r="T2542" i="30"/>
  <c r="O2546" i="30"/>
  <c r="O2542" i="30"/>
  <c r="I2539" i="30"/>
  <c r="L2543" i="30"/>
  <c r="L2539" i="30"/>
  <c r="I2544" i="30"/>
  <c r="I2540" i="30"/>
  <c r="T2546" i="30"/>
  <c r="R2539" i="30"/>
  <c r="G2546" i="30"/>
  <c r="K2542" i="30"/>
  <c r="J2546" i="30"/>
  <c r="H2543" i="30"/>
  <c r="H2539" i="30"/>
  <c r="O2543" i="30"/>
  <c r="S2539" i="30"/>
  <c r="N2543" i="30"/>
  <c r="J2545" i="30"/>
  <c r="O2544" i="30"/>
  <c r="O2540" i="30"/>
  <c r="L2545" i="30"/>
  <c r="L2541" i="30"/>
  <c r="S2545" i="30"/>
  <c r="I2542" i="30"/>
  <c r="R2543" i="30"/>
  <c r="H2540" i="30"/>
  <c r="R2541" i="30"/>
  <c r="K2544" i="30"/>
  <c r="K2540" i="30"/>
  <c r="R2544" i="30"/>
  <c r="H2541" i="30"/>
  <c r="G2545" i="30"/>
  <c r="S2541" i="30"/>
  <c r="P2542" i="30"/>
  <c r="N2545" i="30"/>
  <c r="Q2543" i="30"/>
  <c r="T2543" i="30"/>
  <c r="Q2544" i="30"/>
  <c r="N2541" i="30"/>
  <c r="S2542" i="30"/>
  <c r="P2543" i="30"/>
  <c r="M2544" i="30"/>
  <c r="L2540" i="30"/>
  <c r="G2542" i="30"/>
  <c r="N2542" i="30"/>
  <c r="Q2542" i="30"/>
  <c r="L2542" i="30"/>
  <c r="M2541" i="30"/>
  <c r="P2541" i="30"/>
  <c r="M2542" i="30"/>
  <c r="J2541" i="30"/>
  <c r="G2540" i="30"/>
  <c r="R2540" i="30"/>
  <c r="K2541" i="30"/>
  <c r="H2542" i="30"/>
  <c r="S2546" i="30"/>
  <c r="Q2539" i="30"/>
  <c r="J2540" i="30"/>
  <c r="M2540" i="30"/>
  <c r="T2540" i="30"/>
  <c r="I2545" i="30"/>
  <c r="T2545" i="30"/>
  <c r="Q2546" i="30"/>
  <c r="O2539" i="30"/>
  <c r="H2544" i="30"/>
  <c r="P2545" i="30"/>
  <c r="G2539" i="30"/>
  <c r="L2546" i="30"/>
  <c r="M2546" i="30"/>
  <c r="S2544" i="30"/>
  <c r="H185" i="13"/>
  <c r="H186" i="13" s="1"/>
  <c r="J1527" i="30"/>
  <c r="T1524" i="30"/>
  <c r="P1522" i="30"/>
  <c r="L1520" i="30"/>
  <c r="G1526" i="30"/>
  <c r="Q1523" i="30"/>
  <c r="M1521" i="30"/>
  <c r="L1527" i="30"/>
  <c r="H1525" i="30"/>
  <c r="R1522" i="30"/>
  <c r="N1520" i="30"/>
  <c r="I1520" i="30"/>
  <c r="O1527" i="30"/>
  <c r="O1521" i="30"/>
  <c r="T1526" i="30"/>
  <c r="P1526" i="30"/>
  <c r="L1524" i="30"/>
  <c r="H1522" i="30"/>
  <c r="Q1527" i="30"/>
  <c r="M1525" i="30"/>
  <c r="I1523" i="30"/>
  <c r="S1520" i="30"/>
  <c r="R1526" i="30"/>
  <c r="N1524" i="30"/>
  <c r="J1522" i="30"/>
  <c r="G1527" i="30"/>
  <c r="Q1526" i="30"/>
  <c r="K1525" i="30"/>
  <c r="M1520" i="30"/>
  <c r="L1526" i="30"/>
  <c r="H1524" i="30"/>
  <c r="R1521" i="30"/>
  <c r="M1527" i="30"/>
  <c r="I1525" i="30"/>
  <c r="S1522" i="30"/>
  <c r="O1520" i="30"/>
  <c r="N1526" i="30"/>
  <c r="J1524" i="30"/>
  <c r="T1521" i="30"/>
  <c r="S1525" i="30"/>
  <c r="O1525" i="30"/>
  <c r="I1524" i="30"/>
  <c r="S1523" i="30"/>
  <c r="R1525" i="30"/>
  <c r="L1522" i="30"/>
  <c r="O1526" i="30"/>
  <c r="O1522" i="30"/>
  <c r="P1527" i="30"/>
  <c r="P1523" i="30"/>
  <c r="J1520" i="30"/>
  <c r="I1522" i="30"/>
  <c r="K1527" i="30"/>
  <c r="N1525" i="30"/>
  <c r="N1521" i="30"/>
  <c r="K1526" i="30"/>
  <c r="K1522" i="30"/>
  <c r="H1527" i="30"/>
  <c r="L1523" i="30"/>
  <c r="Q1524" i="30"/>
  <c r="G1521" i="30"/>
  <c r="Q1522" i="30"/>
  <c r="J1525" i="30"/>
  <c r="J1521" i="30"/>
  <c r="Q1525" i="30"/>
  <c r="G1522" i="30"/>
  <c r="J1526" i="30"/>
  <c r="H1523" i="30"/>
  <c r="O1523" i="30"/>
  <c r="M1526" i="30"/>
  <c r="R1523" i="30"/>
  <c r="P1520" i="30"/>
  <c r="O1524" i="30"/>
  <c r="I1521" i="30"/>
  <c r="P1525" i="30"/>
  <c r="P1521" i="30"/>
  <c r="K1521" i="30"/>
  <c r="S1521" i="30"/>
  <c r="R1527" i="30"/>
  <c r="N1523" i="30"/>
  <c r="H1520" i="30"/>
  <c r="K1524" i="30"/>
  <c r="K1520" i="30"/>
  <c r="L1525" i="30"/>
  <c r="L1521" i="30"/>
  <c r="S1527" i="30"/>
  <c r="Q1520" i="30"/>
  <c r="T1520" i="30"/>
  <c r="T1527" i="30"/>
  <c r="M1524" i="30"/>
  <c r="I1527" i="30"/>
  <c r="T1525" i="30"/>
  <c r="K1523" i="30"/>
  <c r="S1526" i="30"/>
  <c r="R1524" i="30"/>
  <c r="G1523" i="30"/>
  <c r="N1527" i="30"/>
  <c r="S1524" i="30"/>
  <c r="T1523" i="30"/>
  <c r="I1526" i="30"/>
  <c r="H1526" i="30"/>
  <c r="G1524" i="30"/>
  <c r="N1522" i="30"/>
  <c r="G1525" i="30"/>
  <c r="P1524" i="30"/>
  <c r="M1523" i="30"/>
  <c r="H1521" i="30"/>
  <c r="J1523" i="30"/>
  <c r="Q1521" i="30"/>
  <c r="R1520" i="30"/>
  <c r="T1522" i="30"/>
  <c r="M1522" i="30"/>
  <c r="G1520" i="30"/>
  <c r="I191" i="13"/>
  <c r="I205" i="13" s="1"/>
  <c r="I206" i="13" s="1"/>
  <c r="I408" i="13"/>
  <c r="I409" i="13" s="1"/>
  <c r="J191" i="13"/>
  <c r="J205" i="13" s="1"/>
  <c r="J206" i="13" s="1"/>
  <c r="J408" i="13"/>
  <c r="J409" i="13" s="1"/>
  <c r="BJ846" i="13"/>
  <c r="BL846" i="13" s="1"/>
  <c r="BM846" i="13" s="1"/>
  <c r="T263" i="13"/>
  <c r="BJ263" i="13" s="1"/>
  <c r="AU494" i="13"/>
  <c r="G1112" i="30" a="1"/>
  <c r="E185" i="13"/>
  <c r="E186" i="13" s="1"/>
  <c r="L2648" i="30"/>
  <c r="H2646" i="30"/>
  <c r="R2643" i="30"/>
  <c r="N2641" i="30"/>
  <c r="I2647" i="30"/>
  <c r="S2644" i="30"/>
  <c r="O2642" i="30"/>
  <c r="K2647" i="30"/>
  <c r="Q2642" i="30"/>
  <c r="N2646" i="30"/>
  <c r="T2641" i="30"/>
  <c r="K2645" i="30"/>
  <c r="T2647" i="30"/>
  <c r="N2644" i="30"/>
  <c r="R2647" i="30"/>
  <c r="N2645" i="30"/>
  <c r="J2643" i="30"/>
  <c r="S2648" i="30"/>
  <c r="O2646" i="30"/>
  <c r="K2644" i="30"/>
  <c r="G2642" i="30"/>
  <c r="I2646" i="30"/>
  <c r="O2641" i="30"/>
  <c r="L2645" i="30"/>
  <c r="Q2648" i="30"/>
  <c r="I2644" i="30"/>
  <c r="L2643" i="30"/>
  <c r="P2641" i="30"/>
  <c r="N2647" i="30"/>
  <c r="J2645" i="30"/>
  <c r="T2642" i="30"/>
  <c r="O2648" i="30"/>
  <c r="K2646" i="30"/>
  <c r="G2644" i="30"/>
  <c r="Q2641" i="30"/>
  <c r="O2645" i="30"/>
  <c r="G2641" i="30"/>
  <c r="R2644" i="30"/>
  <c r="I2648" i="30"/>
  <c r="O2643" i="30"/>
  <c r="H2641" i="30"/>
  <c r="N2648" i="30"/>
  <c r="R2645" i="30"/>
  <c r="H2642" i="30"/>
  <c r="G2646" i="30"/>
  <c r="S2642" i="30"/>
  <c r="M2644" i="30"/>
  <c r="T2645" i="30"/>
  <c r="M2646" i="30"/>
  <c r="L2647" i="30"/>
  <c r="T2648" i="30"/>
  <c r="T2644" i="30"/>
  <c r="R2641" i="30"/>
  <c r="Q2645" i="30"/>
  <c r="K2642" i="30"/>
  <c r="S2643" i="30"/>
  <c r="J2644" i="30"/>
  <c r="S2645" i="30"/>
  <c r="H2645" i="30"/>
  <c r="J2647" i="30"/>
  <c r="H2644" i="30"/>
  <c r="G2648" i="30"/>
  <c r="O2644" i="30"/>
  <c r="M2648" i="30"/>
  <c r="R2648" i="30"/>
  <c r="N2642" i="30"/>
  <c r="M2642" i="30"/>
  <c r="J2642" i="30"/>
  <c r="T2646" i="30"/>
  <c r="N2643" i="30"/>
  <c r="Q2647" i="30"/>
  <c r="Q2643" i="30"/>
  <c r="S2647" i="30"/>
  <c r="J2648" i="30"/>
  <c r="L2641" i="30"/>
  <c r="S2641" i="30"/>
  <c r="J2646" i="30"/>
  <c r="P2642" i="30"/>
  <c r="M2643" i="30"/>
  <c r="P2647" i="30"/>
  <c r="K2641" i="30"/>
  <c r="L2642" i="30"/>
  <c r="I2643" i="30"/>
  <c r="H2647" i="30"/>
  <c r="P2645" i="30"/>
  <c r="P2648" i="30"/>
  <c r="J2641" i="30"/>
  <c r="M2641" i="30"/>
  <c r="P2643" i="30"/>
  <c r="R2642" i="30"/>
  <c r="H2648" i="30"/>
  <c r="K2648" i="30"/>
  <c r="I2641" i="30"/>
  <c r="H2643" i="30"/>
  <c r="R2646" i="30"/>
  <c r="P2646" i="30"/>
  <c r="M2647" i="30"/>
  <c r="Q2646" i="30"/>
  <c r="O2647" i="30"/>
  <c r="T2643" i="30"/>
  <c r="L2646" i="30"/>
  <c r="S2646" i="30"/>
  <c r="G2645" i="30"/>
  <c r="G2647" i="30"/>
  <c r="P2644" i="30"/>
  <c r="M2645" i="30"/>
  <c r="K2643" i="30"/>
  <c r="Q2644" i="30"/>
  <c r="L2644" i="30"/>
  <c r="I2645" i="30"/>
  <c r="I2642" i="30"/>
  <c r="G2643" i="30"/>
  <c r="Q1831" i="30"/>
  <c r="M1829" i="30"/>
  <c r="I1827" i="30"/>
  <c r="R1832" i="30"/>
  <c r="N1830" i="30"/>
  <c r="J1828" i="30"/>
  <c r="T1825" i="30"/>
  <c r="I1830" i="30"/>
  <c r="O1825" i="30"/>
  <c r="N1829" i="30"/>
  <c r="Q1832" i="30"/>
  <c r="I1828" i="30"/>
  <c r="H1828" i="30"/>
  <c r="T1826" i="30"/>
  <c r="M1831" i="30"/>
  <c r="I1829" i="30"/>
  <c r="S1826" i="30"/>
  <c r="N1832" i="30"/>
  <c r="J1830" i="30"/>
  <c r="T1827" i="30"/>
  <c r="P1825" i="30"/>
  <c r="O1829" i="30"/>
  <c r="G1825" i="30"/>
  <c r="T1828" i="30"/>
  <c r="I1832" i="30"/>
  <c r="O1827" i="30"/>
  <c r="R1825" i="30"/>
  <c r="T1830" i="30"/>
  <c r="I1831" i="30"/>
  <c r="S1828" i="30"/>
  <c r="O1826" i="30"/>
  <c r="J1832" i="30"/>
  <c r="T1829" i="30"/>
  <c r="P1827" i="30"/>
  <c r="L1825" i="30"/>
  <c r="G1829" i="30"/>
  <c r="T1832" i="30"/>
  <c r="L1828" i="30"/>
  <c r="O1831" i="30"/>
  <c r="G1827" i="30"/>
  <c r="H1832" i="30"/>
  <c r="P1828" i="30"/>
  <c r="S1830" i="30"/>
  <c r="O1828" i="30"/>
  <c r="K1826" i="30"/>
  <c r="T1831" i="30"/>
  <c r="P1829" i="30"/>
  <c r="L1827" i="30"/>
  <c r="H1825" i="30"/>
  <c r="M1828" i="30"/>
  <c r="L1832" i="30"/>
  <c r="R1827" i="30"/>
  <c r="G1831" i="30"/>
  <c r="M1826" i="30"/>
  <c r="R1829" i="30"/>
  <c r="L1826" i="30"/>
  <c r="K1830" i="30"/>
  <c r="Q1825" i="30"/>
  <c r="H1829" i="30"/>
  <c r="S1831" i="30"/>
  <c r="J1831" i="30"/>
  <c r="S1829" i="30"/>
  <c r="J1825" i="30"/>
  <c r="G1830" i="30"/>
  <c r="M1825" i="30"/>
  <c r="R1828" i="30"/>
  <c r="K1831" i="30"/>
  <c r="P1830" i="30"/>
  <c r="K1829" i="30"/>
  <c r="N1831" i="30"/>
  <c r="Q1829" i="30"/>
  <c r="I1825" i="30"/>
  <c r="N1828" i="30"/>
  <c r="Q1830" i="30"/>
  <c r="H1830" i="30"/>
  <c r="Q1828" i="30"/>
  <c r="J1829" i="30"/>
  <c r="O1832" i="30"/>
  <c r="G1828" i="30"/>
  <c r="L1831" i="30"/>
  <c r="R1826" i="30"/>
  <c r="K1827" i="30"/>
  <c r="P1826" i="30"/>
  <c r="K1825" i="30"/>
  <c r="K1832" i="30"/>
  <c r="Q1827" i="30"/>
  <c r="H1831" i="30"/>
  <c r="N1826" i="30"/>
  <c r="Q1826" i="30"/>
  <c r="H1826" i="30"/>
  <c r="P1832" i="30"/>
  <c r="O1830" i="30"/>
  <c r="J1826" i="30"/>
  <c r="S1825" i="30"/>
  <c r="K1828" i="30"/>
  <c r="M1832" i="30"/>
  <c r="L1830" i="30"/>
  <c r="M1827" i="30"/>
  <c r="S1827" i="30"/>
  <c r="N1827" i="30"/>
  <c r="G1826" i="30"/>
  <c r="I1826" i="30"/>
  <c r="P1831" i="30"/>
  <c r="R1831" i="30"/>
  <c r="R1830" i="30"/>
  <c r="J1827" i="30"/>
  <c r="S1832" i="30"/>
  <c r="L1829" i="30"/>
  <c r="N1825" i="30"/>
  <c r="G1832" i="30"/>
  <c r="H1827" i="30"/>
  <c r="M1830" i="30"/>
  <c r="S1933" i="30"/>
  <c r="O1931" i="30"/>
  <c r="K1929" i="30"/>
  <c r="G1927" i="30"/>
  <c r="T1932" i="30"/>
  <c r="P1930" i="30"/>
  <c r="L1928" i="30"/>
  <c r="S1932" i="30"/>
  <c r="K1928" i="30"/>
  <c r="P1931" i="30"/>
  <c r="H1927" i="30"/>
  <c r="S1930" i="30"/>
  <c r="R1930" i="30"/>
  <c r="P1929" i="30"/>
  <c r="O1933" i="30"/>
  <c r="K1931" i="30"/>
  <c r="G1929" i="30"/>
  <c r="T1934" i="30"/>
  <c r="P1932" i="30"/>
  <c r="L1930" i="30"/>
  <c r="H1928" i="30"/>
  <c r="K1932" i="30"/>
  <c r="Q1927" i="30"/>
  <c r="H1931" i="30"/>
  <c r="S1934" i="30"/>
  <c r="K1930" i="30"/>
  <c r="N1928" i="30"/>
  <c r="L1927" i="30"/>
  <c r="K1933" i="30"/>
  <c r="G1931" i="30"/>
  <c r="Q1928" i="30"/>
  <c r="P1934" i="30"/>
  <c r="L1932" i="30"/>
  <c r="H1930" i="30"/>
  <c r="R1927" i="30"/>
  <c r="Q1931" i="30"/>
  <c r="I1927" i="30"/>
  <c r="N1930" i="30"/>
  <c r="K1934" i="30"/>
  <c r="Q1929" i="30"/>
  <c r="R1934" i="30"/>
  <c r="P1933" i="30"/>
  <c r="Q1932" i="30"/>
  <c r="M1930" i="30"/>
  <c r="I1928" i="30"/>
  <c r="H1934" i="30"/>
  <c r="R1931" i="30"/>
  <c r="N1929" i="30"/>
  <c r="J1927" i="30"/>
  <c r="O1930" i="30"/>
  <c r="T1933" i="30"/>
  <c r="L1929" i="30"/>
  <c r="I1933" i="30"/>
  <c r="O1928" i="30"/>
  <c r="J1930" i="30"/>
  <c r="H1929" i="30"/>
  <c r="I1934" i="30"/>
  <c r="O1929" i="30"/>
  <c r="J1933" i="30"/>
  <c r="P1928" i="30"/>
  <c r="S1928" i="30"/>
  <c r="P1927" i="30"/>
  <c r="H1933" i="30"/>
  <c r="M1932" i="30"/>
  <c r="S1927" i="30"/>
  <c r="N1931" i="30"/>
  <c r="O1934" i="30"/>
  <c r="L1933" i="30"/>
  <c r="O1932" i="30"/>
  <c r="T1927" i="30"/>
  <c r="I1932" i="30"/>
  <c r="O1927" i="30"/>
  <c r="J1931" i="30"/>
  <c r="G1934" i="30"/>
  <c r="R1932" i="30"/>
  <c r="G1932" i="30"/>
  <c r="J1934" i="30"/>
  <c r="S1931" i="30"/>
  <c r="K1927" i="30"/>
  <c r="T1930" i="30"/>
  <c r="M1933" i="30"/>
  <c r="J1932" i="30"/>
  <c r="M1931" i="30"/>
  <c r="T1931" i="30"/>
  <c r="Q1934" i="30"/>
  <c r="I1930" i="30"/>
  <c r="R1933" i="30"/>
  <c r="J1929" i="30"/>
  <c r="G1930" i="30"/>
  <c r="R1928" i="30"/>
  <c r="G1928" i="30"/>
  <c r="S1929" i="30"/>
  <c r="I1931" i="30"/>
  <c r="N1932" i="30"/>
  <c r="M1928" i="30"/>
  <c r="M1929" i="30"/>
  <c r="L1931" i="30"/>
  <c r="H1932" i="30"/>
  <c r="J1928" i="30"/>
  <c r="M1934" i="30"/>
  <c r="R1929" i="30"/>
  <c r="Q1933" i="30"/>
  <c r="T1928" i="30"/>
  <c r="N1927" i="30"/>
  <c r="N1934" i="30"/>
  <c r="T1929" i="30"/>
  <c r="G1933" i="30"/>
  <c r="I1929" i="30"/>
  <c r="Q1930" i="30"/>
  <c r="M1927" i="30"/>
  <c r="L1934" i="30"/>
  <c r="N1933" i="30"/>
  <c r="G185" i="13"/>
  <c r="G186" i="13" s="1"/>
  <c r="K894" i="13"/>
  <c r="K908" i="13" s="1"/>
  <c r="K909" i="13" s="1"/>
  <c r="AP486" i="13"/>
  <c r="AR486" i="13" s="1"/>
  <c r="AS486" i="13" s="1"/>
  <c r="G433" i="11"/>
  <c r="BE826" i="13"/>
  <c r="BG826" i="13" s="1"/>
  <c r="BH826" i="13" s="1"/>
  <c r="S243" i="13"/>
  <c r="BE243" i="13" s="1"/>
  <c r="BG243" i="13" s="1"/>
  <c r="BH243" i="13" s="1"/>
  <c r="AF846" i="13"/>
  <c r="AH846" i="13" s="1"/>
  <c r="AI846" i="13" s="1"/>
  <c r="N263" i="13"/>
  <c r="AF263" i="13" s="1"/>
  <c r="AH263" i="13" s="1"/>
  <c r="AI263" i="13" s="1"/>
  <c r="J151" i="13"/>
  <c r="J165" i="13" s="1"/>
  <c r="J166" i="13" s="1"/>
  <c r="J185" i="13"/>
  <c r="J186" i="13" s="1"/>
  <c r="N1985" i="30"/>
  <c r="J1983" i="30"/>
  <c r="T1980" i="30"/>
  <c r="P1978" i="30"/>
  <c r="K1984" i="30"/>
  <c r="G1982" i="30"/>
  <c r="Q1979" i="30"/>
  <c r="P1985" i="30"/>
  <c r="L1983" i="30"/>
  <c r="H1981" i="30"/>
  <c r="R1978" i="30"/>
  <c r="O1979" i="30"/>
  <c r="I1978" i="30"/>
  <c r="M1984" i="30"/>
  <c r="T1984" i="30"/>
  <c r="P1982" i="30"/>
  <c r="L1980" i="30"/>
  <c r="H1978" i="30"/>
  <c r="Q1983" i="30"/>
  <c r="M1981" i="30"/>
  <c r="I1979" i="30"/>
  <c r="H1985" i="30"/>
  <c r="R1982" i="30"/>
  <c r="N1980" i="30"/>
  <c r="J1978" i="30"/>
  <c r="G1985" i="30"/>
  <c r="Q1984" i="30"/>
  <c r="K1983" i="30"/>
  <c r="L1984" i="30"/>
  <c r="H1982" i="30"/>
  <c r="R1979" i="30"/>
  <c r="M1985" i="30"/>
  <c r="I1983" i="30"/>
  <c r="S1980" i="30"/>
  <c r="O1978" i="30"/>
  <c r="N1984" i="30"/>
  <c r="J1982" i="30"/>
  <c r="T1979" i="30"/>
  <c r="I1984" i="30"/>
  <c r="Q1982" i="30"/>
  <c r="M1982" i="30"/>
  <c r="I1982" i="30"/>
  <c r="R1983" i="30"/>
  <c r="H1980" i="30"/>
  <c r="O1984" i="30"/>
  <c r="O1980" i="30"/>
  <c r="L1985" i="30"/>
  <c r="P1981" i="30"/>
  <c r="K1985" i="30"/>
  <c r="K1979" i="30"/>
  <c r="O1985" i="30"/>
  <c r="N1983" i="30"/>
  <c r="N1979" i="30"/>
  <c r="G1984" i="30"/>
  <c r="K1980" i="30"/>
  <c r="R1984" i="30"/>
  <c r="L1981" i="30"/>
  <c r="G1983" i="30"/>
  <c r="S1985" i="30"/>
  <c r="G1981" i="30"/>
  <c r="R1985" i="30"/>
  <c r="R1981" i="30"/>
  <c r="L1978" i="30"/>
  <c r="O1982" i="30"/>
  <c r="S1978" i="30"/>
  <c r="P1983" i="30"/>
  <c r="P1979" i="30"/>
  <c r="M1978" i="30"/>
  <c r="I1980" i="30"/>
  <c r="J1985" i="30"/>
  <c r="N1981" i="30"/>
  <c r="Q1985" i="30"/>
  <c r="K1982" i="30"/>
  <c r="K1978" i="30"/>
  <c r="H1983" i="30"/>
  <c r="L1979" i="30"/>
  <c r="S1983" i="30"/>
  <c r="G1979" i="30"/>
  <c r="T1978" i="30"/>
  <c r="M1979" i="30"/>
  <c r="J1980" i="30"/>
  <c r="K1981" i="30"/>
  <c r="P1984" i="30"/>
  <c r="I1985" i="30"/>
  <c r="G1978" i="30"/>
  <c r="H1979" i="30"/>
  <c r="S1979" i="30"/>
  <c r="H1984" i="30"/>
  <c r="S1984" i="30"/>
  <c r="T1985" i="30"/>
  <c r="N1978" i="30"/>
  <c r="Q1978" i="30"/>
  <c r="T1982" i="30"/>
  <c r="M1983" i="30"/>
  <c r="J1984" i="30"/>
  <c r="S1981" i="30"/>
  <c r="L1982" i="30"/>
  <c r="S1982" i="30"/>
  <c r="T1983" i="30"/>
  <c r="Q1980" i="30"/>
  <c r="J1981" i="30"/>
  <c r="Q1981" i="30"/>
  <c r="N1982" i="30"/>
  <c r="O1981" i="30"/>
  <c r="P1980" i="30"/>
  <c r="I1981" i="30"/>
  <c r="T1981" i="30"/>
  <c r="M1980" i="30"/>
  <c r="J1979" i="30"/>
  <c r="G1980" i="30"/>
  <c r="O1983" i="30"/>
  <c r="R1980" i="30"/>
  <c r="H2189" i="30"/>
  <c r="R2186" i="30"/>
  <c r="N2184" i="30"/>
  <c r="J2182" i="30"/>
  <c r="S2187" i="30"/>
  <c r="O2185" i="30"/>
  <c r="K2183" i="30"/>
  <c r="T2188" i="30"/>
  <c r="P2186" i="30"/>
  <c r="L2184" i="30"/>
  <c r="H2182" i="30"/>
  <c r="M2189" i="30"/>
  <c r="G2188" i="30"/>
  <c r="K2184" i="30"/>
  <c r="N2188" i="30"/>
  <c r="J2186" i="30"/>
  <c r="T2183" i="30"/>
  <c r="O2189" i="30"/>
  <c r="K2187" i="30"/>
  <c r="G2185" i="30"/>
  <c r="Q2182" i="30"/>
  <c r="L2188" i="30"/>
  <c r="H2186" i="30"/>
  <c r="R2183" i="30"/>
  <c r="O2188" i="30"/>
  <c r="I2187" i="30"/>
  <c r="Q2185" i="30"/>
  <c r="I2183" i="30"/>
  <c r="T2187" i="30"/>
  <c r="P2185" i="30"/>
  <c r="L2183" i="30"/>
  <c r="G2189" i="30"/>
  <c r="Q2186" i="30"/>
  <c r="M2184" i="30"/>
  <c r="I2182" i="30"/>
  <c r="R2187" i="30"/>
  <c r="N2185" i="30"/>
  <c r="J2183" i="30"/>
  <c r="K2186" i="30"/>
  <c r="S2184" i="30"/>
  <c r="M2183" i="30"/>
  <c r="G2182" i="30"/>
  <c r="L2189" i="30"/>
  <c r="L2185" i="30"/>
  <c r="S2189" i="30"/>
  <c r="I2186" i="30"/>
  <c r="M2182" i="30"/>
  <c r="T2186" i="30"/>
  <c r="T2182" i="30"/>
  <c r="K2188" i="30"/>
  <c r="M2185" i="30"/>
  <c r="R2188" i="30"/>
  <c r="H2185" i="30"/>
  <c r="K2189" i="30"/>
  <c r="S2185" i="30"/>
  <c r="R2189" i="30"/>
  <c r="L2186" i="30"/>
  <c r="P2182" i="30"/>
  <c r="G2186" i="30"/>
  <c r="S2188" i="30"/>
  <c r="L2187" i="30"/>
  <c r="P2183" i="30"/>
  <c r="I2188" i="30"/>
  <c r="I2184" i="30"/>
  <c r="P2188" i="30"/>
  <c r="T2184" i="30"/>
  <c r="M2187" i="30"/>
  <c r="I2189" i="30"/>
  <c r="H2187" i="30"/>
  <c r="H2183" i="30"/>
  <c r="O2187" i="30"/>
  <c r="S2183" i="30"/>
  <c r="H2188" i="30"/>
  <c r="P2184" i="30"/>
  <c r="I2185" i="30"/>
  <c r="S2186" i="30"/>
  <c r="J2184" i="30"/>
  <c r="Q2184" i="30"/>
  <c r="J2185" i="30"/>
  <c r="O2182" i="30"/>
  <c r="T2189" i="30"/>
  <c r="R2182" i="30"/>
  <c r="O2183" i="30"/>
  <c r="H2184" i="30"/>
  <c r="O2184" i="30"/>
  <c r="P2189" i="30"/>
  <c r="N2182" i="30"/>
  <c r="G2183" i="30"/>
  <c r="N2183" i="30"/>
  <c r="K2182" i="30"/>
  <c r="J2188" i="30"/>
  <c r="Q2188" i="30"/>
  <c r="N2189" i="30"/>
  <c r="L2182" i="30"/>
  <c r="Q2187" i="30"/>
  <c r="P2187" i="30"/>
  <c r="M2188" i="30"/>
  <c r="J2189" i="30"/>
  <c r="Q2189" i="30"/>
  <c r="O2186" i="30"/>
  <c r="N2186" i="30"/>
  <c r="G2187" i="30"/>
  <c r="N2187" i="30"/>
  <c r="G2184" i="30"/>
  <c r="T2185" i="30"/>
  <c r="M2186" i="30"/>
  <c r="J2187" i="30"/>
  <c r="S2182" i="30"/>
  <c r="R2184" i="30"/>
  <c r="K2185" i="30"/>
  <c r="R2185" i="30"/>
  <c r="Q2183" i="30"/>
  <c r="L185" i="13"/>
  <c r="L186" i="13" s="1"/>
  <c r="L151" i="13"/>
  <c r="L165" i="13" s="1"/>
  <c r="L166" i="13" s="1"/>
  <c r="K2239" i="30"/>
  <c r="G2237" i="30"/>
  <c r="Q2234" i="30"/>
  <c r="P2240" i="30"/>
  <c r="L2238" i="30"/>
  <c r="H2236" i="30"/>
  <c r="R2233" i="30"/>
  <c r="M2239" i="30"/>
  <c r="I2237" i="30"/>
  <c r="S2234" i="30"/>
  <c r="H2239" i="30"/>
  <c r="P2237" i="30"/>
  <c r="L2237" i="30"/>
  <c r="R2234" i="30"/>
  <c r="Q2240" i="30"/>
  <c r="M2238" i="30"/>
  <c r="I2236" i="30"/>
  <c r="S2233" i="30"/>
  <c r="R2239" i="30"/>
  <c r="N2237" i="30"/>
  <c r="J2235" i="30"/>
  <c r="S2240" i="30"/>
  <c r="O2238" i="30"/>
  <c r="K2236" i="30"/>
  <c r="G2234" i="30"/>
  <c r="P2235" i="30"/>
  <c r="J2234" i="30"/>
  <c r="T2233" i="30"/>
  <c r="M2240" i="30"/>
  <c r="I2238" i="30"/>
  <c r="S2235" i="30"/>
  <c r="O2233" i="30"/>
  <c r="N2239" i="30"/>
  <c r="J2237" i="30"/>
  <c r="T2234" i="30"/>
  <c r="O2240" i="30"/>
  <c r="K2238" i="30"/>
  <c r="G2236" i="30"/>
  <c r="Q2233" i="30"/>
  <c r="N2234" i="30"/>
  <c r="H2233" i="30"/>
  <c r="H2237" i="30"/>
  <c r="I2240" i="30"/>
  <c r="S2237" i="30"/>
  <c r="O2235" i="30"/>
  <c r="K2233" i="30"/>
  <c r="J2239" i="30"/>
  <c r="T2236" i="30"/>
  <c r="P2234" i="30"/>
  <c r="K2240" i="30"/>
  <c r="G2238" i="30"/>
  <c r="Q2235" i="30"/>
  <c r="M2233" i="30"/>
  <c r="L2233" i="30"/>
  <c r="R2240" i="30"/>
  <c r="N2240" i="30"/>
  <c r="S2239" i="30"/>
  <c r="O2237" i="30"/>
  <c r="K2235" i="30"/>
  <c r="G2233" i="30"/>
  <c r="T2238" i="30"/>
  <c r="P2236" i="30"/>
  <c r="L2234" i="30"/>
  <c r="G2240" i="30"/>
  <c r="Q2237" i="30"/>
  <c r="M2235" i="30"/>
  <c r="I2233" i="30"/>
  <c r="T2239" i="30"/>
  <c r="P2239" i="30"/>
  <c r="T2235" i="30"/>
  <c r="Q2238" i="30"/>
  <c r="L2240" i="30"/>
  <c r="H2234" i="30"/>
  <c r="O2236" i="30"/>
  <c r="N2236" i="30"/>
  <c r="K2237" i="30"/>
  <c r="H2240" i="30"/>
  <c r="N2233" i="30"/>
  <c r="I2235" i="30"/>
  <c r="L2235" i="30"/>
  <c r="Q2236" i="30"/>
  <c r="P2238" i="30"/>
  <c r="J2233" i="30"/>
  <c r="O2234" i="30"/>
  <c r="N2238" i="30"/>
  <c r="G2235" i="30"/>
  <c r="R2237" i="30"/>
  <c r="I2239" i="30"/>
  <c r="J2240" i="30"/>
  <c r="H2235" i="30"/>
  <c r="M2234" i="30"/>
  <c r="L2236" i="30"/>
  <c r="S2238" i="30"/>
  <c r="T2237" i="30"/>
  <c r="L2239" i="30"/>
  <c r="I2234" i="30"/>
  <c r="K2234" i="30"/>
  <c r="T2240" i="30"/>
  <c r="R2236" i="30"/>
  <c r="H2238" i="30"/>
  <c r="R2238" i="30"/>
  <c r="R2235" i="30"/>
  <c r="J2236" i="30"/>
  <c r="N2235" i="30"/>
  <c r="P2233" i="30"/>
  <c r="O2239" i="30"/>
  <c r="Q2239" i="30"/>
  <c r="J2238" i="30"/>
  <c r="G2239" i="30"/>
  <c r="M2237" i="30"/>
  <c r="M2236" i="30"/>
  <c r="S2236" i="30"/>
  <c r="F191" i="13"/>
  <c r="F205" i="13" s="1"/>
  <c r="F206" i="13" s="1"/>
  <c r="F408" i="13"/>
  <c r="F409" i="13" s="1"/>
  <c r="AZ486" i="13"/>
  <c r="BB486" i="13" s="1"/>
  <c r="BC486" i="13" s="1"/>
  <c r="I433" i="11"/>
  <c r="BJ634" i="13"/>
  <c r="S2443" i="30"/>
  <c r="O2441" i="30"/>
  <c r="K2439" i="30"/>
  <c r="G2437" i="30"/>
  <c r="T2442" i="30"/>
  <c r="P2440" i="30"/>
  <c r="L2438" i="30"/>
  <c r="G2444" i="30"/>
  <c r="Q2441" i="30"/>
  <c r="M2439" i="30"/>
  <c r="I2437" i="30"/>
  <c r="J2444" i="30"/>
  <c r="R2442" i="30"/>
  <c r="L2441" i="30"/>
  <c r="O2443" i="30"/>
  <c r="K2441" i="30"/>
  <c r="G2439" i="30"/>
  <c r="T2444" i="30"/>
  <c r="P2442" i="30"/>
  <c r="L2440" i="30"/>
  <c r="H2438" i="30"/>
  <c r="Q2443" i="30"/>
  <c r="M2441" i="30"/>
  <c r="I2439" i="30"/>
  <c r="N2444" i="30"/>
  <c r="H2443" i="30"/>
  <c r="P2441" i="30"/>
  <c r="R2444" i="30"/>
  <c r="K2443" i="30"/>
  <c r="G2441" i="30"/>
  <c r="Q2438" i="30"/>
  <c r="P2444" i="30"/>
  <c r="L2442" i="30"/>
  <c r="H2440" i="30"/>
  <c r="R2437" i="30"/>
  <c r="M2443" i="30"/>
  <c r="I2441" i="30"/>
  <c r="S2438" i="30"/>
  <c r="L2443" i="30"/>
  <c r="T2441" i="30"/>
  <c r="N2440" i="30"/>
  <c r="J2440" i="30"/>
  <c r="G2443" i="30"/>
  <c r="Q2440" i="30"/>
  <c r="M2438" i="30"/>
  <c r="L2444" i="30"/>
  <c r="H2442" i="30"/>
  <c r="R2439" i="30"/>
  <c r="N2437" i="30"/>
  <c r="I2443" i="30"/>
  <c r="S2440" i="30"/>
  <c r="O2438" i="30"/>
  <c r="J2442" i="30"/>
  <c r="R2440" i="30"/>
  <c r="L2439" i="30"/>
  <c r="P2443" i="30"/>
  <c r="Q2442" i="30"/>
  <c r="M2440" i="30"/>
  <c r="I2438" i="30"/>
  <c r="H2444" i="30"/>
  <c r="R2441" i="30"/>
  <c r="N2439" i="30"/>
  <c r="J2437" i="30"/>
  <c r="S2442" i="30"/>
  <c r="O2440" i="30"/>
  <c r="K2438" i="30"/>
  <c r="H2441" i="30"/>
  <c r="P2439" i="30"/>
  <c r="J2438" i="30"/>
  <c r="H2439" i="30"/>
  <c r="Q2444" i="30"/>
  <c r="M2442" i="30"/>
  <c r="I2440" i="30"/>
  <c r="S2437" i="30"/>
  <c r="R2443" i="30"/>
  <c r="N2441" i="30"/>
  <c r="J2439" i="30"/>
  <c r="S2444" i="30"/>
  <c r="O2442" i="30"/>
  <c r="K2440" i="30"/>
  <c r="G2438" i="30"/>
  <c r="T2439" i="30"/>
  <c r="N2438" i="30"/>
  <c r="H2437" i="30"/>
  <c r="I2442" i="30"/>
  <c r="J2441" i="30"/>
  <c r="G2440" i="30"/>
  <c r="N2442" i="30"/>
  <c r="S2439" i="30"/>
  <c r="T2438" i="30"/>
  <c r="Q2437" i="30"/>
  <c r="O2439" i="30"/>
  <c r="P2438" i="30"/>
  <c r="M2437" i="30"/>
  <c r="O2437" i="30"/>
  <c r="O2444" i="30"/>
  <c r="R2438" i="30"/>
  <c r="M2444" i="30"/>
  <c r="N2443" i="30"/>
  <c r="K2442" i="30"/>
  <c r="L2437" i="30"/>
  <c r="J2443" i="30"/>
  <c r="T2440" i="30"/>
  <c r="Q2439" i="30"/>
  <c r="I2444" i="30"/>
  <c r="P2437" i="30"/>
  <c r="T2443" i="30"/>
  <c r="T2437" i="30"/>
  <c r="S2441" i="30"/>
  <c r="K2437" i="30"/>
  <c r="K2444" i="30"/>
  <c r="G2442" i="30"/>
  <c r="J2801" i="30"/>
  <c r="T2800" i="30"/>
  <c r="P2798" i="30"/>
  <c r="L2796" i="30"/>
  <c r="H2794" i="30"/>
  <c r="Q2799" i="30"/>
  <c r="M2797" i="30"/>
  <c r="I2795" i="30"/>
  <c r="H2801" i="30"/>
  <c r="R2798" i="30"/>
  <c r="N2796" i="30"/>
  <c r="J2794" i="30"/>
  <c r="O2801" i="30"/>
  <c r="G2799" i="30"/>
  <c r="S2797" i="30"/>
  <c r="P2800" i="30"/>
  <c r="L2798" i="30"/>
  <c r="H2796" i="30"/>
  <c r="Q2801" i="30"/>
  <c r="M2799" i="30"/>
  <c r="I2797" i="30"/>
  <c r="S2794" i="30"/>
  <c r="R2800" i="30"/>
  <c r="N2798" i="30"/>
  <c r="J2796" i="30"/>
  <c r="S2801" i="30"/>
  <c r="M2800" i="30"/>
  <c r="Q2796" i="30"/>
  <c r="O2795" i="30"/>
  <c r="L2800" i="30"/>
  <c r="H2798" i="30"/>
  <c r="R2795" i="30"/>
  <c r="M2801" i="30"/>
  <c r="I2799" i="30"/>
  <c r="S2796" i="30"/>
  <c r="O2794" i="30"/>
  <c r="N2800" i="30"/>
  <c r="J2798" i="30"/>
  <c r="T2795" i="30"/>
  <c r="Q2800" i="30"/>
  <c r="K2799" i="30"/>
  <c r="M2794" i="30"/>
  <c r="S2799" i="30"/>
  <c r="H2800" i="30"/>
  <c r="R2797" i="30"/>
  <c r="N2795" i="30"/>
  <c r="I2801" i="30"/>
  <c r="S2798" i="30"/>
  <c r="O2796" i="30"/>
  <c r="K2794" i="30"/>
  <c r="J2800" i="30"/>
  <c r="T2797" i="30"/>
  <c r="P2795" i="30"/>
  <c r="O2799" i="30"/>
  <c r="I2798" i="30"/>
  <c r="G2801" i="30"/>
  <c r="O2797" i="30"/>
  <c r="R2799" i="30"/>
  <c r="N2797" i="30"/>
  <c r="J2795" i="30"/>
  <c r="S2800" i="30"/>
  <c r="O2798" i="30"/>
  <c r="K2796" i="30"/>
  <c r="G2794" i="30"/>
  <c r="T2799" i="30"/>
  <c r="P2797" i="30"/>
  <c r="L2795" i="30"/>
  <c r="M2798" i="30"/>
  <c r="G2797" i="30"/>
  <c r="Q2798" i="30"/>
  <c r="K2795" i="30"/>
  <c r="R2801" i="30"/>
  <c r="N2799" i="30"/>
  <c r="J2797" i="30"/>
  <c r="T2794" i="30"/>
  <c r="O2800" i="30"/>
  <c r="K2798" i="30"/>
  <c r="G2796" i="30"/>
  <c r="T2801" i="30"/>
  <c r="P2799" i="30"/>
  <c r="L2797" i="30"/>
  <c r="H2795" i="30"/>
  <c r="K2797" i="30"/>
  <c r="S2795" i="30"/>
  <c r="M2796" i="30"/>
  <c r="P2794" i="30"/>
  <c r="P2801" i="30"/>
  <c r="I2796" i="30"/>
  <c r="K2800" i="30"/>
  <c r="L2799" i="30"/>
  <c r="Q2794" i="30"/>
  <c r="N2801" i="30"/>
  <c r="G2800" i="30"/>
  <c r="H2799" i="30"/>
  <c r="K2801" i="30"/>
  <c r="J2799" i="30"/>
  <c r="G2798" i="30"/>
  <c r="H2797" i="30"/>
  <c r="I2794" i="30"/>
  <c r="T2796" i="30"/>
  <c r="Q2795" i="30"/>
  <c r="R2794" i="30"/>
  <c r="L2794" i="30"/>
  <c r="Q2797" i="30"/>
  <c r="R2796" i="30"/>
  <c r="N2794" i="30"/>
  <c r="G2795" i="30"/>
  <c r="I2800" i="30"/>
  <c r="T2798" i="30"/>
  <c r="P2796" i="30"/>
  <c r="M2795" i="30"/>
  <c r="L2801" i="30"/>
  <c r="T2290" i="30"/>
  <c r="P2288" i="30"/>
  <c r="L2286" i="30"/>
  <c r="H2284" i="30"/>
  <c r="Q2289" i="30"/>
  <c r="M2287" i="30"/>
  <c r="I2285" i="30"/>
  <c r="H2291" i="30"/>
  <c r="R2288" i="30"/>
  <c r="N2286" i="30"/>
  <c r="J2284" i="30"/>
  <c r="G2291" i="30"/>
  <c r="Q2290" i="30"/>
  <c r="I2288" i="30"/>
  <c r="Q2291" i="30"/>
  <c r="P2290" i="30"/>
  <c r="L2288" i="30"/>
  <c r="H2286" i="30"/>
  <c r="M2289" i="30"/>
  <c r="I2287" i="30"/>
  <c r="S2284" i="30"/>
  <c r="R2290" i="30"/>
  <c r="N2288" i="30"/>
  <c r="J2286" i="30"/>
  <c r="K2291" i="30"/>
  <c r="S2289" i="30"/>
  <c r="O2289" i="30"/>
  <c r="O2291" i="30"/>
  <c r="L2290" i="30"/>
  <c r="H2288" i="30"/>
  <c r="R2285" i="30"/>
  <c r="M2291" i="30"/>
  <c r="I2289" i="30"/>
  <c r="S2286" i="30"/>
  <c r="O2284" i="30"/>
  <c r="N2290" i="30"/>
  <c r="J2288" i="30"/>
  <c r="T2285" i="30"/>
  <c r="I2290" i="30"/>
  <c r="Q2288" i="30"/>
  <c r="M2288" i="30"/>
  <c r="G2287" i="30"/>
  <c r="H2290" i="30"/>
  <c r="R2287" i="30"/>
  <c r="N2285" i="30"/>
  <c r="I2291" i="30"/>
  <c r="S2288" i="30"/>
  <c r="O2286" i="30"/>
  <c r="K2284" i="30"/>
  <c r="J2290" i="30"/>
  <c r="T2287" i="30"/>
  <c r="P2285" i="30"/>
  <c r="G2289" i="30"/>
  <c r="O2287" i="30"/>
  <c r="K2287" i="30"/>
  <c r="M2290" i="30"/>
  <c r="R2289" i="30"/>
  <c r="N2287" i="30"/>
  <c r="J2285" i="30"/>
  <c r="S2290" i="30"/>
  <c r="O2288" i="30"/>
  <c r="K2286" i="30"/>
  <c r="G2284" i="30"/>
  <c r="T2289" i="30"/>
  <c r="P2287" i="30"/>
  <c r="L2285" i="30"/>
  <c r="S2287" i="30"/>
  <c r="M2286" i="30"/>
  <c r="I2286" i="30"/>
  <c r="S2285" i="30"/>
  <c r="R2291" i="30"/>
  <c r="N2289" i="30"/>
  <c r="J2287" i="30"/>
  <c r="T2284" i="30"/>
  <c r="O2290" i="30"/>
  <c r="K2288" i="30"/>
  <c r="G2286" i="30"/>
  <c r="T2291" i="30"/>
  <c r="P2289" i="30"/>
  <c r="L2287" i="30"/>
  <c r="H2285" i="30"/>
  <c r="Q2286" i="30"/>
  <c r="K2285" i="30"/>
  <c r="G2285" i="30"/>
  <c r="N2291" i="30"/>
  <c r="J2289" i="30"/>
  <c r="T2286" i="30"/>
  <c r="P2284" i="30"/>
  <c r="K2290" i="30"/>
  <c r="G2288" i="30"/>
  <c r="Q2285" i="30"/>
  <c r="P2291" i="30"/>
  <c r="L2289" i="30"/>
  <c r="H2287" i="30"/>
  <c r="R2284" i="30"/>
  <c r="O2285" i="30"/>
  <c r="I2284" i="30"/>
  <c r="K2289" i="30"/>
  <c r="T2288" i="30"/>
  <c r="R2286" i="30"/>
  <c r="M2284" i="30"/>
  <c r="G2290" i="30"/>
  <c r="S2291" i="30"/>
  <c r="N2284" i="30"/>
  <c r="Q2287" i="30"/>
  <c r="Q2284" i="30"/>
  <c r="P2286" i="30"/>
  <c r="L2284" i="30"/>
  <c r="M2285" i="30"/>
  <c r="H2289" i="30"/>
  <c r="L2291" i="30"/>
  <c r="J2291" i="30"/>
  <c r="N2495" i="30"/>
  <c r="J2493" i="30"/>
  <c r="T2490" i="30"/>
  <c r="P2488" i="30"/>
  <c r="K2494" i="30"/>
  <c r="G2492" i="30"/>
  <c r="Q2489" i="30"/>
  <c r="P2495" i="30"/>
  <c r="L2493" i="30"/>
  <c r="H2491" i="30"/>
  <c r="R2488" i="30"/>
  <c r="S2489" i="30"/>
  <c r="M2488" i="30"/>
  <c r="S2495" i="30"/>
  <c r="J2495" i="30"/>
  <c r="T2492" i="30"/>
  <c r="P2490" i="30"/>
  <c r="L2488" i="30"/>
  <c r="G2494" i="30"/>
  <c r="Q2491" i="30"/>
  <c r="M2489" i="30"/>
  <c r="L2495" i="30"/>
  <c r="H2493" i="30"/>
  <c r="R2490" i="30"/>
  <c r="N2488" i="30"/>
  <c r="Q2488" i="30"/>
  <c r="G2495" i="30"/>
  <c r="K2491" i="30"/>
  <c r="L2494" i="30"/>
  <c r="H2492" i="30"/>
  <c r="R2489" i="30"/>
  <c r="M2495" i="30"/>
  <c r="I2493" i="30"/>
  <c r="S2490" i="30"/>
  <c r="O2488" i="30"/>
  <c r="N2494" i="30"/>
  <c r="J2492" i="30"/>
  <c r="T2489" i="30"/>
  <c r="M2494" i="30"/>
  <c r="G2493" i="30"/>
  <c r="O2491" i="30"/>
  <c r="O2493" i="30"/>
  <c r="H2494" i="30"/>
  <c r="R2491" i="30"/>
  <c r="N2489" i="30"/>
  <c r="I2495" i="30"/>
  <c r="S2492" i="30"/>
  <c r="O2490" i="30"/>
  <c r="K2488" i="30"/>
  <c r="J2494" i="30"/>
  <c r="T2491" i="30"/>
  <c r="P2489" i="30"/>
  <c r="K2493" i="30"/>
  <c r="S2491" i="30"/>
  <c r="M2490" i="30"/>
  <c r="G2489" i="30"/>
  <c r="N2493" i="30"/>
  <c r="T2488" i="30"/>
  <c r="K2492" i="30"/>
  <c r="T2495" i="30"/>
  <c r="L2491" i="30"/>
  <c r="G2491" i="30"/>
  <c r="I2488" i="30"/>
  <c r="L2492" i="30"/>
  <c r="Q2495" i="30"/>
  <c r="I2491" i="30"/>
  <c r="R2494" i="30"/>
  <c r="J2490" i="30"/>
  <c r="I2494" i="30"/>
  <c r="I2490" i="30"/>
  <c r="N2491" i="30"/>
  <c r="S2494" i="30"/>
  <c r="K2490" i="30"/>
  <c r="T2493" i="30"/>
  <c r="L2489" i="30"/>
  <c r="Q2490" i="30"/>
  <c r="M2492" i="30"/>
  <c r="R2495" i="30"/>
  <c r="J2491" i="30"/>
  <c r="O2494" i="30"/>
  <c r="G2490" i="30"/>
  <c r="P2493" i="30"/>
  <c r="H2489" i="30"/>
  <c r="O2489" i="30"/>
  <c r="T2494" i="30"/>
  <c r="L2490" i="30"/>
  <c r="Q2493" i="30"/>
  <c r="I2489" i="30"/>
  <c r="R2492" i="30"/>
  <c r="J2488" i="30"/>
  <c r="S2493" i="30"/>
  <c r="P2494" i="30"/>
  <c r="H2490" i="30"/>
  <c r="M2493" i="30"/>
  <c r="S2488" i="30"/>
  <c r="N2492" i="30"/>
  <c r="O2495" i="30"/>
  <c r="Q2492" i="30"/>
  <c r="O2492" i="30"/>
  <c r="K2489" i="30"/>
  <c r="M2491" i="30"/>
  <c r="Q2494" i="30"/>
  <c r="G2488" i="30"/>
  <c r="R2493" i="30"/>
  <c r="P2491" i="30"/>
  <c r="P2492" i="30"/>
  <c r="N2490" i="30"/>
  <c r="J2489" i="30"/>
  <c r="H2488" i="30"/>
  <c r="H2495" i="30"/>
  <c r="I2492" i="30"/>
  <c r="K2495" i="30"/>
  <c r="M1577" i="30"/>
  <c r="I1575" i="30"/>
  <c r="S1572" i="30"/>
  <c r="N1578" i="30"/>
  <c r="J1576" i="30"/>
  <c r="T1573" i="30"/>
  <c r="P1571" i="30"/>
  <c r="K1577" i="30"/>
  <c r="G1575" i="30"/>
  <c r="Q1572" i="30"/>
  <c r="N1577" i="30"/>
  <c r="H1576" i="30"/>
  <c r="P1574" i="30"/>
  <c r="N1575" i="30"/>
  <c r="I1577" i="30"/>
  <c r="S1574" i="30"/>
  <c r="O1572" i="30"/>
  <c r="S1578" i="30"/>
  <c r="O1576" i="30"/>
  <c r="K1574" i="30"/>
  <c r="G1572" i="30"/>
  <c r="P1577" i="30"/>
  <c r="L1575" i="30"/>
  <c r="H1573" i="30"/>
  <c r="Q1578" i="30"/>
  <c r="M1576" i="30"/>
  <c r="I1574" i="30"/>
  <c r="S1571" i="30"/>
  <c r="H1574" i="30"/>
  <c r="P1572" i="30"/>
  <c r="J1571" i="30"/>
  <c r="O1578" i="30"/>
  <c r="K1576" i="30"/>
  <c r="G1574" i="30"/>
  <c r="Q1571" i="30"/>
  <c r="L1577" i="30"/>
  <c r="H1575" i="30"/>
  <c r="R1572" i="30"/>
  <c r="M1578" i="30"/>
  <c r="I1576" i="30"/>
  <c r="S1573" i="30"/>
  <c r="O1571" i="30"/>
  <c r="T1572" i="30"/>
  <c r="N1571" i="30"/>
  <c r="R1577" i="30"/>
  <c r="K1578" i="30"/>
  <c r="G1576" i="30"/>
  <c r="Q1573" i="30"/>
  <c r="M1571" i="30"/>
  <c r="H1577" i="30"/>
  <c r="R1574" i="30"/>
  <c r="N1572" i="30"/>
  <c r="I1578" i="30"/>
  <c r="S1575" i="30"/>
  <c r="O1573" i="30"/>
  <c r="K1571" i="30"/>
  <c r="R1571" i="30"/>
  <c r="H1578" i="30"/>
  <c r="J1573" i="30"/>
  <c r="G1578" i="30"/>
  <c r="Q1575" i="30"/>
  <c r="M1573" i="30"/>
  <c r="I1571" i="30"/>
  <c r="R1576" i="30"/>
  <c r="N1574" i="30"/>
  <c r="J1572" i="30"/>
  <c r="S1577" i="30"/>
  <c r="O1575" i="30"/>
  <c r="K1573" i="30"/>
  <c r="G1571" i="30"/>
  <c r="L1578" i="30"/>
  <c r="T1576" i="30"/>
  <c r="P1576" i="30"/>
  <c r="M1575" i="30"/>
  <c r="T1575" i="30"/>
  <c r="O1577" i="30"/>
  <c r="I1572" i="30"/>
  <c r="N1573" i="30"/>
  <c r="O1574" i="30"/>
  <c r="Q1576" i="30"/>
  <c r="H1572" i="30"/>
  <c r="K1572" i="30"/>
  <c r="P1573" i="30"/>
  <c r="K1575" i="30"/>
  <c r="J1575" i="30"/>
  <c r="T1578" i="30"/>
  <c r="G1577" i="30"/>
  <c r="L1572" i="30"/>
  <c r="I1573" i="30"/>
  <c r="R1578" i="30"/>
  <c r="L1573" i="30"/>
  <c r="Q1574" i="30"/>
  <c r="J1577" i="30"/>
  <c r="L1574" i="30"/>
  <c r="P1575" i="30"/>
  <c r="P1578" i="30"/>
  <c r="J1574" i="30"/>
  <c r="J1578" i="30"/>
  <c r="T1571" i="30"/>
  <c r="M1574" i="30"/>
  <c r="T1574" i="30"/>
  <c r="H1571" i="30"/>
  <c r="R1575" i="30"/>
  <c r="L1576" i="30"/>
  <c r="Q1577" i="30"/>
  <c r="T1577" i="30"/>
  <c r="L1571" i="30"/>
  <c r="G1573" i="30"/>
  <c r="R1573" i="30"/>
  <c r="S1576" i="30"/>
  <c r="N1576" i="30"/>
  <c r="M1572" i="30"/>
  <c r="E191" i="13"/>
  <c r="E408" i="13"/>
  <c r="E409" i="13" s="1"/>
  <c r="G1673" i="30" a="1"/>
  <c r="G191" i="13"/>
  <c r="G205" i="13" s="1"/>
  <c r="G206" i="13" s="1"/>
  <c r="G408" i="13"/>
  <c r="G409" i="13" s="1"/>
  <c r="AP666" i="13"/>
  <c r="AR666" i="13" s="1"/>
  <c r="AS666" i="13" s="1"/>
  <c r="P263" i="13"/>
  <c r="AP263" i="13" s="1"/>
  <c r="AR263" i="13" s="1"/>
  <c r="AS263" i="13" s="1"/>
  <c r="AP846" i="13"/>
  <c r="AR846" i="13" s="1"/>
  <c r="AS846" i="13" s="1"/>
  <c r="BJ614" i="13"/>
  <c r="T1729" i="30"/>
  <c r="P1727" i="30"/>
  <c r="L1725" i="30"/>
  <c r="H1723" i="30"/>
  <c r="Q1728" i="30"/>
  <c r="M1726" i="30"/>
  <c r="I1724" i="30"/>
  <c r="H1730" i="30"/>
  <c r="R1727" i="30"/>
  <c r="N1725" i="30"/>
  <c r="J1723" i="30"/>
  <c r="G1730" i="30"/>
  <c r="Q1729" i="30"/>
  <c r="I1727" i="30"/>
  <c r="P1729" i="30"/>
  <c r="L1727" i="30"/>
  <c r="H1725" i="30"/>
  <c r="Q1730" i="30"/>
  <c r="M1728" i="30"/>
  <c r="I1726" i="30"/>
  <c r="S1723" i="30"/>
  <c r="R1729" i="30"/>
  <c r="N1727" i="30"/>
  <c r="J1725" i="30"/>
  <c r="K1730" i="30"/>
  <c r="S1728" i="30"/>
  <c r="O1728" i="30"/>
  <c r="O1730" i="30"/>
  <c r="L1729" i="30"/>
  <c r="H1727" i="30"/>
  <c r="R1724" i="30"/>
  <c r="M1730" i="30"/>
  <c r="I1728" i="30"/>
  <c r="S1725" i="30"/>
  <c r="O1723" i="30"/>
  <c r="N1729" i="30"/>
  <c r="J1727" i="30"/>
  <c r="T1724" i="30"/>
  <c r="I1729" i="30"/>
  <c r="Q1727" i="30"/>
  <c r="M1727" i="30"/>
  <c r="G1726" i="30"/>
  <c r="R1728" i="30"/>
  <c r="N1726" i="30"/>
  <c r="J1724" i="30"/>
  <c r="S1729" i="30"/>
  <c r="O1727" i="30"/>
  <c r="K1725" i="30"/>
  <c r="G1723" i="30"/>
  <c r="T1728" i="30"/>
  <c r="P1726" i="30"/>
  <c r="L1724" i="30"/>
  <c r="S1726" i="30"/>
  <c r="M1725" i="30"/>
  <c r="I1725" i="30"/>
  <c r="S1724" i="30"/>
  <c r="J1730" i="30"/>
  <c r="P1725" i="30"/>
  <c r="G1729" i="30"/>
  <c r="M1724" i="30"/>
  <c r="H1728" i="30"/>
  <c r="N1723" i="30"/>
  <c r="S1730" i="30"/>
  <c r="N1728" i="30"/>
  <c r="T1723" i="30"/>
  <c r="K1727" i="30"/>
  <c r="T1730" i="30"/>
  <c r="L1726" i="30"/>
  <c r="Q1725" i="30"/>
  <c r="G1724" i="30"/>
  <c r="J1728" i="30"/>
  <c r="P1723" i="30"/>
  <c r="G1727" i="30"/>
  <c r="P1730" i="30"/>
  <c r="H1726" i="30"/>
  <c r="O1724" i="30"/>
  <c r="K1728" i="30"/>
  <c r="T1727" i="30"/>
  <c r="L1723" i="30"/>
  <c r="Q1726" i="30"/>
  <c r="L1730" i="30"/>
  <c r="R1725" i="30"/>
  <c r="M1723" i="30"/>
  <c r="Q1723" i="30"/>
  <c r="R1730" i="30"/>
  <c r="J1726" i="30"/>
  <c r="O1729" i="30"/>
  <c r="G1725" i="30"/>
  <c r="P1728" i="30"/>
  <c r="H1724" i="30"/>
  <c r="K1724" i="30"/>
  <c r="K1729" i="30"/>
  <c r="P1724" i="30"/>
  <c r="S1727" i="30"/>
  <c r="R1723" i="30"/>
  <c r="R1726" i="30"/>
  <c r="K1723" i="30"/>
  <c r="I1723" i="30"/>
  <c r="T1725" i="30"/>
  <c r="J1729" i="30"/>
  <c r="K1726" i="30"/>
  <c r="N1724" i="30"/>
  <c r="M1729" i="30"/>
  <c r="I1730" i="30"/>
  <c r="O1725" i="30"/>
  <c r="Q1724" i="30"/>
  <c r="L1728" i="30"/>
  <c r="T1726" i="30"/>
  <c r="N1730" i="30"/>
  <c r="G1728" i="30"/>
  <c r="H1729" i="30"/>
  <c r="O1726" i="30"/>
  <c r="E265" i="13"/>
  <c r="E266" i="13" s="1"/>
  <c r="G1316" i="30" a="1"/>
  <c r="S2137" i="30"/>
  <c r="O2135" i="30"/>
  <c r="K2133" i="30"/>
  <c r="G2131" i="30"/>
  <c r="T2136" i="30"/>
  <c r="P2134" i="30"/>
  <c r="L2132" i="30"/>
  <c r="G2138" i="30"/>
  <c r="Q2135" i="30"/>
  <c r="M2133" i="30"/>
  <c r="I2131" i="30"/>
  <c r="J2138" i="30"/>
  <c r="R2136" i="30"/>
  <c r="N2136" i="30"/>
  <c r="O2137" i="30"/>
  <c r="K2135" i="30"/>
  <c r="G2133" i="30"/>
  <c r="T2138" i="30"/>
  <c r="P2136" i="30"/>
  <c r="L2134" i="30"/>
  <c r="H2132" i="30"/>
  <c r="Q2137" i="30"/>
  <c r="M2135" i="30"/>
  <c r="I2133" i="30"/>
  <c r="N2138" i="30"/>
  <c r="H2137" i="30"/>
  <c r="P2135" i="30"/>
  <c r="T2131" i="30"/>
  <c r="K2137" i="30"/>
  <c r="G2135" i="30"/>
  <c r="Q2132" i="30"/>
  <c r="P2138" i="30"/>
  <c r="L2136" i="30"/>
  <c r="H2134" i="30"/>
  <c r="R2131" i="30"/>
  <c r="M2137" i="30"/>
  <c r="I2135" i="30"/>
  <c r="S2132" i="30"/>
  <c r="L2137" i="30"/>
  <c r="T2135" i="30"/>
  <c r="N2134" i="30"/>
  <c r="L2135" i="30"/>
  <c r="Q2136" i="30"/>
  <c r="M2134" i="30"/>
  <c r="I2132" i="30"/>
  <c r="H2138" i="30"/>
  <c r="R2135" i="30"/>
  <c r="N2133" i="30"/>
  <c r="J2131" i="30"/>
  <c r="S2136" i="30"/>
  <c r="O2134" i="30"/>
  <c r="K2132" i="30"/>
  <c r="H2135" i="30"/>
  <c r="P2133" i="30"/>
  <c r="J2132" i="30"/>
  <c r="J2134" i="30"/>
  <c r="I2138" i="30"/>
  <c r="O2133" i="30"/>
  <c r="J2137" i="30"/>
  <c r="P2132" i="30"/>
  <c r="G2136" i="30"/>
  <c r="M2131" i="30"/>
  <c r="T2137" i="30"/>
  <c r="M2136" i="30"/>
  <c r="S2131" i="30"/>
  <c r="N2135" i="30"/>
  <c r="S2138" i="30"/>
  <c r="K2134" i="30"/>
  <c r="T2133" i="30"/>
  <c r="H2131" i="30"/>
  <c r="I2136" i="30"/>
  <c r="O2131" i="30"/>
  <c r="J2135" i="30"/>
  <c r="O2138" i="30"/>
  <c r="G2134" i="30"/>
  <c r="R2132" i="30"/>
  <c r="P2137" i="30"/>
  <c r="S2135" i="30"/>
  <c r="K2131" i="30"/>
  <c r="T2134" i="30"/>
  <c r="K2138" i="30"/>
  <c r="Q2133" i="30"/>
  <c r="P2131" i="30"/>
  <c r="H2133" i="30"/>
  <c r="Q2138" i="30"/>
  <c r="I2134" i="30"/>
  <c r="R2137" i="30"/>
  <c r="J2133" i="30"/>
  <c r="O2136" i="30"/>
  <c r="G2132" i="30"/>
  <c r="N2132" i="30"/>
  <c r="M2138" i="30"/>
  <c r="R2133" i="30"/>
  <c r="J2136" i="30"/>
  <c r="G2137" i="30"/>
  <c r="T2132" i="30"/>
  <c r="R2134" i="30"/>
  <c r="M2132" i="30"/>
  <c r="K2136" i="30"/>
  <c r="R2138" i="30"/>
  <c r="L2138" i="30"/>
  <c r="S2134" i="30"/>
  <c r="O2132" i="30"/>
  <c r="Q2131" i="30"/>
  <c r="Q2134" i="30"/>
  <c r="L2131" i="30"/>
  <c r="S2133" i="30"/>
  <c r="L2133" i="30"/>
  <c r="N2137" i="30"/>
  <c r="H2136" i="30"/>
  <c r="N2131" i="30"/>
  <c r="I2137" i="30"/>
  <c r="G2342" i="30"/>
  <c r="Q2339" i="30"/>
  <c r="M2337" i="30"/>
  <c r="I2335" i="30"/>
  <c r="R2340" i="30"/>
  <c r="N2338" i="30"/>
  <c r="J2336" i="30"/>
  <c r="S2341" i="30"/>
  <c r="O2339" i="30"/>
  <c r="K2337" i="30"/>
  <c r="G2335" i="30"/>
  <c r="P2342" i="30"/>
  <c r="J2341" i="30"/>
  <c r="R2339" i="30"/>
  <c r="Q2341" i="30"/>
  <c r="M2339" i="30"/>
  <c r="I2337" i="30"/>
  <c r="R2342" i="30"/>
  <c r="N2340" i="30"/>
  <c r="J2338" i="30"/>
  <c r="T2335" i="30"/>
  <c r="O2341" i="30"/>
  <c r="K2339" i="30"/>
  <c r="G2337" i="30"/>
  <c r="T2342" i="30"/>
  <c r="N2341" i="30"/>
  <c r="H2340" i="30"/>
  <c r="J2335" i="30"/>
  <c r="M2341" i="30"/>
  <c r="I2339" i="30"/>
  <c r="S2336" i="30"/>
  <c r="N2342" i="30"/>
  <c r="J2340" i="30"/>
  <c r="T2337" i="30"/>
  <c r="P2335" i="30"/>
  <c r="K2341" i="30"/>
  <c r="G2339" i="30"/>
  <c r="Q2336" i="30"/>
  <c r="R2341" i="30"/>
  <c r="L2340" i="30"/>
  <c r="T2338" i="30"/>
  <c r="P2338" i="30"/>
  <c r="I2341" i="30"/>
  <c r="S2338" i="30"/>
  <c r="O2336" i="30"/>
  <c r="J2342" i="30"/>
  <c r="T2339" i="30"/>
  <c r="P2337" i="30"/>
  <c r="L2335" i="30"/>
  <c r="G2341" i="30"/>
  <c r="Q2338" i="30"/>
  <c r="M2336" i="30"/>
  <c r="P2340" i="30"/>
  <c r="J2339" i="30"/>
  <c r="S2340" i="30"/>
  <c r="O2338" i="30"/>
  <c r="K2336" i="30"/>
  <c r="T2341" i="30"/>
  <c r="P2339" i="30"/>
  <c r="L2337" i="30"/>
  <c r="H2335" i="30"/>
  <c r="Q2340" i="30"/>
  <c r="M2338" i="30"/>
  <c r="I2336" i="30"/>
  <c r="N2339" i="30"/>
  <c r="H2338" i="30"/>
  <c r="P2336" i="30"/>
  <c r="N2337" i="30"/>
  <c r="K2338" i="30"/>
  <c r="H2341" i="30"/>
  <c r="M2342" i="30"/>
  <c r="S2335" i="30"/>
  <c r="L2342" i="30"/>
  <c r="S2342" i="30"/>
  <c r="Q2337" i="30"/>
  <c r="H2339" i="30"/>
  <c r="M2340" i="30"/>
  <c r="K2335" i="30"/>
  <c r="N2335" i="30"/>
  <c r="O2342" i="30"/>
  <c r="G2336" i="30"/>
  <c r="R2338" i="30"/>
  <c r="I2340" i="30"/>
  <c r="L2338" i="30"/>
  <c r="T2340" i="30"/>
  <c r="K2342" i="30"/>
  <c r="Q2335" i="30"/>
  <c r="H2337" i="30"/>
  <c r="S2339" i="30"/>
  <c r="J2337" i="30"/>
  <c r="L2336" i="30"/>
  <c r="K2340" i="30"/>
  <c r="P2341" i="30"/>
  <c r="N2336" i="30"/>
  <c r="S2337" i="30"/>
  <c r="T2336" i="30"/>
  <c r="O2340" i="30"/>
  <c r="I2342" i="30"/>
  <c r="G2340" i="30"/>
  <c r="I2338" i="30"/>
  <c r="L2341" i="30"/>
  <c r="H2336" i="30"/>
  <c r="L2339" i="30"/>
  <c r="R2335" i="30"/>
  <c r="R2337" i="30"/>
  <c r="H2342" i="30"/>
  <c r="G2338" i="30"/>
  <c r="M2335" i="30"/>
  <c r="R2336" i="30"/>
  <c r="Q2342" i="30"/>
  <c r="O2337" i="30"/>
  <c r="O2335" i="30"/>
  <c r="J894" i="13"/>
  <c r="J908" i="13" s="1"/>
  <c r="J909" i="13" s="1"/>
  <c r="L1629" i="30"/>
  <c r="H1627" i="30"/>
  <c r="R1624" i="30"/>
  <c r="N1622" i="30"/>
  <c r="I1628" i="30"/>
  <c r="S1625" i="30"/>
  <c r="O1623" i="30"/>
  <c r="J1629" i="30"/>
  <c r="T1626" i="30"/>
  <c r="P1624" i="30"/>
  <c r="L1622" i="30"/>
  <c r="S1622" i="30"/>
  <c r="I1629" i="30"/>
  <c r="S1628" i="30"/>
  <c r="H1629" i="30"/>
  <c r="R1626" i="30"/>
  <c r="N1624" i="30"/>
  <c r="J1622" i="30"/>
  <c r="S1627" i="30"/>
  <c r="O1625" i="30"/>
  <c r="K1623" i="30"/>
  <c r="T1628" i="30"/>
  <c r="P1626" i="30"/>
  <c r="L1624" i="30"/>
  <c r="H1622" i="30"/>
  <c r="M1629" i="30"/>
  <c r="G1628" i="30"/>
  <c r="K1624" i="30"/>
  <c r="R1628" i="30"/>
  <c r="N1626" i="30"/>
  <c r="J1624" i="30"/>
  <c r="S1629" i="30"/>
  <c r="O1627" i="30"/>
  <c r="K1625" i="30"/>
  <c r="G1623" i="30"/>
  <c r="P1628" i="30"/>
  <c r="L1626" i="30"/>
  <c r="H1624" i="30"/>
  <c r="Q1629" i="30"/>
  <c r="K1628" i="30"/>
  <c r="S1626" i="30"/>
  <c r="Q1627" i="30"/>
  <c r="N1628" i="30"/>
  <c r="J1626" i="30"/>
  <c r="T1623" i="30"/>
  <c r="O1629" i="30"/>
  <c r="K1627" i="30"/>
  <c r="G1625" i="30"/>
  <c r="Q1622" i="30"/>
  <c r="L1628" i="30"/>
  <c r="H1626" i="30"/>
  <c r="R1623" i="30"/>
  <c r="O1628" i="30"/>
  <c r="I1627" i="30"/>
  <c r="Q1625" i="30"/>
  <c r="I1623" i="30"/>
  <c r="T1627" i="30"/>
  <c r="L1623" i="30"/>
  <c r="Q1626" i="30"/>
  <c r="I1622" i="30"/>
  <c r="N1625" i="30"/>
  <c r="K1626" i="30"/>
  <c r="M1623" i="30"/>
  <c r="P1627" i="30"/>
  <c r="H1623" i="30"/>
  <c r="M1626" i="30"/>
  <c r="R1629" i="30"/>
  <c r="J1625" i="30"/>
  <c r="I1625" i="30"/>
  <c r="K1622" i="30"/>
  <c r="L1627" i="30"/>
  <c r="R1622" i="30"/>
  <c r="I1626" i="30"/>
  <c r="N1629" i="30"/>
  <c r="T1624" i="30"/>
  <c r="G1624" i="30"/>
  <c r="M1625" i="30"/>
  <c r="P1625" i="30"/>
  <c r="G1629" i="30"/>
  <c r="M1624" i="30"/>
  <c r="R1627" i="30"/>
  <c r="J1623" i="30"/>
  <c r="S1624" i="30"/>
  <c r="G1622" i="30"/>
  <c r="T1629" i="30"/>
  <c r="L1625" i="30"/>
  <c r="Q1628" i="30"/>
  <c r="I1624" i="30"/>
  <c r="N1627" i="30"/>
  <c r="T1622" i="30"/>
  <c r="Q1623" i="30"/>
  <c r="G1627" i="30"/>
  <c r="P1622" i="30"/>
  <c r="P1629" i="30"/>
  <c r="Q1624" i="30"/>
  <c r="M1627" i="30"/>
  <c r="J1628" i="30"/>
  <c r="S1623" i="30"/>
  <c r="G1626" i="30"/>
  <c r="T1625" i="30"/>
  <c r="M1622" i="30"/>
  <c r="O1622" i="30"/>
  <c r="H1625" i="30"/>
  <c r="H1628" i="30"/>
  <c r="O1624" i="30"/>
  <c r="P1623" i="30"/>
  <c r="J1627" i="30"/>
  <c r="O1626" i="30"/>
  <c r="K1629" i="30"/>
  <c r="R1625" i="30"/>
  <c r="M1628" i="30"/>
  <c r="N1623" i="30"/>
  <c r="H894" i="13"/>
  <c r="H908" i="13" s="1"/>
  <c r="H909" i="13" s="1"/>
  <c r="K191" i="13"/>
  <c r="K205" i="13" s="1"/>
  <c r="K206" i="13" s="1"/>
  <c r="K408" i="13"/>
  <c r="K409" i="13" s="1"/>
  <c r="L433" i="11"/>
  <c r="AZ826" i="13"/>
  <c r="BB826" i="13" s="1"/>
  <c r="BC826" i="13" s="1"/>
  <c r="R243" i="13"/>
  <c r="AZ243" i="13" s="1"/>
  <c r="BB243" i="13" s="1"/>
  <c r="BC243" i="13" s="1"/>
  <c r="AP826" i="13"/>
  <c r="AR826" i="13" s="1"/>
  <c r="AS826" i="13" s="1"/>
  <c r="P243" i="13"/>
  <c r="AP243" i="13" s="1"/>
  <c r="AR243" i="13" s="1"/>
  <c r="AS243" i="13" s="1"/>
  <c r="AU846" i="13"/>
  <c r="AW846" i="13" s="1"/>
  <c r="AX846" i="13" s="1"/>
  <c r="Q263" i="13"/>
  <c r="AU263" i="13" s="1"/>
  <c r="AW263" i="13" s="1"/>
  <c r="AX263" i="13" s="1"/>
  <c r="P688" i="13"/>
  <c r="AP674" i="13"/>
  <c r="G2750" i="30"/>
  <c r="Q2747" i="30"/>
  <c r="M2745" i="30"/>
  <c r="N2750" i="30"/>
  <c r="N2747" i="30"/>
  <c r="M2744" i="30"/>
  <c r="P2749" i="30"/>
  <c r="P2746" i="30"/>
  <c r="O2743" i="30"/>
  <c r="N2746" i="30"/>
  <c r="T2747" i="30"/>
  <c r="T2749" i="30"/>
  <c r="S2743" i="30"/>
  <c r="O2747" i="30"/>
  <c r="Q2749" i="30"/>
  <c r="M2747" i="30"/>
  <c r="I2745" i="30"/>
  <c r="I2750" i="30"/>
  <c r="H2747" i="30"/>
  <c r="H2744" i="30"/>
  <c r="K2749" i="30"/>
  <c r="J2746" i="30"/>
  <c r="K2743" i="30"/>
  <c r="R2745" i="30"/>
  <c r="J2747" i="30"/>
  <c r="J2749" i="30"/>
  <c r="J2743" i="30"/>
  <c r="N2744" i="30"/>
  <c r="M2749" i="30"/>
  <c r="I2747" i="30"/>
  <c r="S2744" i="30"/>
  <c r="R2749" i="30"/>
  <c r="Q2746" i="30"/>
  <c r="P2743" i="30"/>
  <c r="T2748" i="30"/>
  <c r="S2745" i="30"/>
  <c r="G2743" i="30"/>
  <c r="G2745" i="30"/>
  <c r="M2746" i="30"/>
  <c r="M2748" i="30"/>
  <c r="H2749" i="30"/>
  <c r="S2749" i="30"/>
  <c r="I2749" i="30"/>
  <c r="S2746" i="30"/>
  <c r="O2744" i="30"/>
  <c r="L2749" i="30"/>
  <c r="L2746" i="30"/>
  <c r="L2743" i="30"/>
  <c r="N2748" i="30"/>
  <c r="N2745" i="30"/>
  <c r="L2750" i="30"/>
  <c r="J2744" i="30"/>
  <c r="P2745" i="30"/>
  <c r="P2747" i="30"/>
  <c r="H2746" i="30"/>
  <c r="R2746" i="30"/>
  <c r="S2748" i="30"/>
  <c r="O2746" i="30"/>
  <c r="K2744" i="30"/>
  <c r="G2749" i="30"/>
  <c r="T2745" i="30"/>
  <c r="H2743" i="30"/>
  <c r="I2748" i="30"/>
  <c r="H2745" i="30"/>
  <c r="O2749" i="30"/>
  <c r="N2743" i="30"/>
  <c r="T2744" i="30"/>
  <c r="T2746" i="30"/>
  <c r="I2743" i="30"/>
  <c r="R2743" i="30"/>
  <c r="S2750" i="30"/>
  <c r="O2748" i="30"/>
  <c r="K2746" i="30"/>
  <c r="G2744" i="30"/>
  <c r="P2748" i="30"/>
  <c r="O2745" i="30"/>
  <c r="R2750" i="30"/>
  <c r="R2747" i="30"/>
  <c r="Q2744" i="30"/>
  <c r="R2748" i="30"/>
  <c r="J2750" i="30"/>
  <c r="I2744" i="30"/>
  <c r="I2746" i="30"/>
  <c r="L2748" i="30"/>
  <c r="K2748" i="30"/>
  <c r="J2745" i="30"/>
  <c r="H2748" i="30"/>
  <c r="K2745" i="30"/>
  <c r="G2746" i="30"/>
  <c r="M2750" i="30"/>
  <c r="N2749" i="30"/>
  <c r="Q2745" i="30"/>
  <c r="H2750" i="30"/>
  <c r="Q2748" i="30"/>
  <c r="Q2743" i="30"/>
  <c r="L2747" i="30"/>
  <c r="M2743" i="30"/>
  <c r="O2750" i="30"/>
  <c r="J2748" i="30"/>
  <c r="L2744" i="30"/>
  <c r="L2745" i="30"/>
  <c r="K2750" i="30"/>
  <c r="Q2750" i="30"/>
  <c r="G2748" i="30"/>
  <c r="P2744" i="30"/>
  <c r="R2744" i="30"/>
  <c r="G2747" i="30"/>
  <c r="T2750" i="30"/>
  <c r="S2747" i="30"/>
  <c r="T2743" i="30"/>
  <c r="K2747" i="30"/>
  <c r="P2750" i="30"/>
  <c r="I894" i="13"/>
  <c r="I908" i="13" s="1"/>
  <c r="I909" i="13" s="1"/>
  <c r="F185" i="13"/>
  <c r="F186" i="13" s="1"/>
  <c r="G2036" i="30"/>
  <c r="Q2033" i="30"/>
  <c r="M2031" i="30"/>
  <c r="I2029" i="30"/>
  <c r="R2034" i="30"/>
  <c r="N2032" i="30"/>
  <c r="J2030" i="30"/>
  <c r="S2035" i="30"/>
  <c r="O2033" i="30"/>
  <c r="K2031" i="30"/>
  <c r="G2029" i="30"/>
  <c r="P2036" i="30"/>
  <c r="J2035" i="30"/>
  <c r="T2034" i="30"/>
  <c r="I2035" i="30"/>
  <c r="S2032" i="30"/>
  <c r="O2030" i="30"/>
  <c r="J2036" i="30"/>
  <c r="T2033" i="30"/>
  <c r="P2031" i="30"/>
  <c r="L2029" i="30"/>
  <c r="G2035" i="30"/>
  <c r="Q2032" i="30"/>
  <c r="M2030" i="30"/>
  <c r="P2034" i="30"/>
  <c r="J2033" i="30"/>
  <c r="R2031" i="30"/>
  <c r="J2029" i="30"/>
  <c r="S2034" i="30"/>
  <c r="O2032" i="30"/>
  <c r="K2030" i="30"/>
  <c r="T2035" i="30"/>
  <c r="P2033" i="30"/>
  <c r="L2031" i="30"/>
  <c r="H2029" i="30"/>
  <c r="Q2034" i="30"/>
  <c r="M2032" i="30"/>
  <c r="I2030" i="30"/>
  <c r="N2033" i="30"/>
  <c r="H2032" i="30"/>
  <c r="P2030" i="30"/>
  <c r="P2032" i="30"/>
  <c r="S2036" i="30"/>
  <c r="O2034" i="30"/>
  <c r="K2032" i="30"/>
  <c r="G2030" i="30"/>
  <c r="P2035" i="30"/>
  <c r="L2033" i="30"/>
  <c r="H2031" i="30"/>
  <c r="Q2036" i="30"/>
  <c r="M2034" i="30"/>
  <c r="I2032" i="30"/>
  <c r="S2029" i="30"/>
  <c r="L2032" i="30"/>
  <c r="T2030" i="30"/>
  <c r="N2029" i="30"/>
  <c r="O2036" i="30"/>
  <c r="K2034" i="30"/>
  <c r="G2032" i="30"/>
  <c r="Q2029" i="30"/>
  <c r="L2035" i="30"/>
  <c r="H2033" i="30"/>
  <c r="R2030" i="30"/>
  <c r="M2036" i="30"/>
  <c r="I2034" i="30"/>
  <c r="S2031" i="30"/>
  <c r="O2029" i="30"/>
  <c r="J2031" i="30"/>
  <c r="R2029" i="30"/>
  <c r="H2036" i="30"/>
  <c r="Q2031" i="30"/>
  <c r="J2034" i="30"/>
  <c r="O2035" i="30"/>
  <c r="K2029" i="30"/>
  <c r="T2032" i="30"/>
  <c r="I2031" i="30"/>
  <c r="R2032" i="30"/>
  <c r="K2035" i="30"/>
  <c r="T2036" i="30"/>
  <c r="N2031" i="30"/>
  <c r="K2036" i="30"/>
  <c r="S2030" i="30"/>
  <c r="J2032" i="30"/>
  <c r="S2033" i="30"/>
  <c r="R2035" i="30"/>
  <c r="L2030" i="30"/>
  <c r="M2035" i="30"/>
  <c r="R2036" i="30"/>
  <c r="N2030" i="30"/>
  <c r="G2033" i="30"/>
  <c r="N2035" i="30"/>
  <c r="G2034" i="30"/>
  <c r="N2036" i="30"/>
  <c r="T2029" i="30"/>
  <c r="O2031" i="30"/>
  <c r="L2034" i="30"/>
  <c r="M2029" i="30"/>
  <c r="Q2030" i="30"/>
  <c r="H2035" i="30"/>
  <c r="H2030" i="30"/>
  <c r="N2034" i="30"/>
  <c r="L2036" i="30"/>
  <c r="T2031" i="30"/>
  <c r="H2034" i="30"/>
  <c r="P2029" i="30"/>
  <c r="R2033" i="30"/>
  <c r="Q2035" i="30"/>
  <c r="I2036" i="30"/>
  <c r="M2033" i="30"/>
  <c r="K2033" i="30"/>
  <c r="I2033" i="30"/>
  <c r="G2031" i="30"/>
  <c r="E225" i="13"/>
  <c r="E226" i="13" s="1"/>
  <c r="G1214" i="30" a="1"/>
  <c r="G2597" i="30"/>
  <c r="Q2594" i="30"/>
  <c r="M2592" i="30"/>
  <c r="I2590" i="30"/>
  <c r="H2595" i="30"/>
  <c r="G2592" i="30"/>
  <c r="S2596" i="30"/>
  <c r="R2593" i="30"/>
  <c r="R2590" i="30"/>
  <c r="G2596" i="30"/>
  <c r="T2592" i="30"/>
  <c r="H2597" i="30"/>
  <c r="H2592" i="30"/>
  <c r="L2594" i="30"/>
  <c r="Q2596" i="30"/>
  <c r="M2594" i="30"/>
  <c r="I2592" i="30"/>
  <c r="Q2597" i="30"/>
  <c r="P2594" i="30"/>
  <c r="P2591" i="30"/>
  <c r="N2596" i="30"/>
  <c r="M2593" i="30"/>
  <c r="L2590" i="30"/>
  <c r="P2595" i="30"/>
  <c r="O2592" i="30"/>
  <c r="N2595" i="30"/>
  <c r="O2590" i="30"/>
  <c r="S2592" i="30"/>
  <c r="M2596" i="30"/>
  <c r="I2594" i="30"/>
  <c r="S2591" i="30"/>
  <c r="L2597" i="30"/>
  <c r="K2594" i="30"/>
  <c r="J2591" i="30"/>
  <c r="H2596" i="30"/>
  <c r="H2593" i="30"/>
  <c r="G2590" i="30"/>
  <c r="J2595" i="30"/>
  <c r="J2592" i="30"/>
  <c r="G2594" i="30"/>
  <c r="R2597" i="30"/>
  <c r="M2597" i="30"/>
  <c r="I2596" i="30"/>
  <c r="S2593" i="30"/>
  <c r="O2591" i="30"/>
  <c r="T2596" i="30"/>
  <c r="T2593" i="30"/>
  <c r="S2590" i="30"/>
  <c r="Q2595" i="30"/>
  <c r="P2592" i="30"/>
  <c r="T2597" i="30"/>
  <c r="S2594" i="30"/>
  <c r="R2591" i="30"/>
  <c r="N2592" i="30"/>
  <c r="K2596" i="30"/>
  <c r="L2591" i="30"/>
  <c r="S2595" i="30"/>
  <c r="O2593" i="30"/>
  <c r="K2591" i="30"/>
  <c r="O2596" i="30"/>
  <c r="N2593" i="30"/>
  <c r="N2590" i="30"/>
  <c r="L2595" i="30"/>
  <c r="K2592" i="30"/>
  <c r="N2597" i="30"/>
  <c r="N2594" i="30"/>
  <c r="M2591" i="30"/>
  <c r="T2590" i="30"/>
  <c r="R2594" i="30"/>
  <c r="T2595" i="30"/>
  <c r="S2597" i="30"/>
  <c r="O2595" i="30"/>
  <c r="K2593" i="30"/>
  <c r="G2591" i="30"/>
  <c r="J2596" i="30"/>
  <c r="I2593" i="30"/>
  <c r="H2590" i="30"/>
  <c r="T2594" i="30"/>
  <c r="T2591" i="30"/>
  <c r="I2597" i="30"/>
  <c r="H2594" i="30"/>
  <c r="H2591" i="30"/>
  <c r="P2596" i="30"/>
  <c r="J2593" i="30"/>
  <c r="Q2590" i="30"/>
  <c r="O2594" i="30"/>
  <c r="P2590" i="30"/>
  <c r="O2597" i="30"/>
  <c r="R2595" i="30"/>
  <c r="N2591" i="30"/>
  <c r="I2595" i="30"/>
  <c r="K2597" i="30"/>
  <c r="M2595" i="30"/>
  <c r="I2591" i="30"/>
  <c r="P2593" i="30"/>
  <c r="K2595" i="30"/>
  <c r="R2592" i="30"/>
  <c r="R2596" i="30"/>
  <c r="Q2591" i="30"/>
  <c r="G2593" i="30"/>
  <c r="P2597" i="30"/>
  <c r="Q2593" i="30"/>
  <c r="J2594" i="30"/>
  <c r="L2596" i="30"/>
  <c r="Q2592" i="30"/>
  <c r="J2590" i="30"/>
  <c r="M2590" i="30"/>
  <c r="L2592" i="30"/>
  <c r="J2597" i="30"/>
  <c r="L2593" i="30"/>
  <c r="K2590" i="30"/>
  <c r="G2595" i="30"/>
  <c r="F894" i="13"/>
  <c r="F908" i="13" s="1"/>
  <c r="F909" i="13" s="1"/>
  <c r="I151" i="13"/>
  <c r="I165" i="13" s="1"/>
  <c r="I166" i="13" s="1"/>
  <c r="I185" i="13"/>
  <c r="I186" i="13" s="1"/>
  <c r="E448" i="13"/>
  <c r="E449" i="13" s="1"/>
  <c r="G1774" i="30" a="1"/>
  <c r="AK486" i="13"/>
  <c r="AM486" i="13" s="1"/>
  <c r="AN486" i="13" s="1"/>
  <c r="F433" i="11"/>
  <c r="BJ566" i="13"/>
  <c r="BL566" i="13" s="1"/>
  <c r="BM566" i="13" s="1"/>
  <c r="K452" i="11"/>
  <c r="AK566" i="13"/>
  <c r="AM566" i="13" s="1"/>
  <c r="AN566" i="13" s="1"/>
  <c r="F452" i="11"/>
  <c r="BJ666" i="13"/>
  <c r="BL666" i="13" s="1"/>
  <c r="BM666" i="13" s="1"/>
  <c r="BE514" i="13"/>
  <c r="BG514" i="13" s="1"/>
  <c r="BH514" i="13" s="1"/>
  <c r="G2021" i="30" s="1" a="1"/>
  <c r="S528" i="13"/>
  <c r="E245" i="13"/>
  <c r="E246" i="13" s="1"/>
  <c r="G1265" i="30" a="1"/>
  <c r="K185" i="13"/>
  <c r="K186" i="13" s="1"/>
  <c r="H2087" i="30"/>
  <c r="R2084" i="30"/>
  <c r="N2082" i="30"/>
  <c r="J2080" i="30"/>
  <c r="S2085" i="30"/>
  <c r="O2083" i="30"/>
  <c r="K2081" i="30"/>
  <c r="T2086" i="30"/>
  <c r="P2084" i="30"/>
  <c r="L2082" i="30"/>
  <c r="H2080" i="30"/>
  <c r="Q2087" i="30"/>
  <c r="K2086" i="30"/>
  <c r="Q2083" i="30"/>
  <c r="N2084" i="30"/>
  <c r="K2083" i="30"/>
  <c r="P2086" i="30"/>
  <c r="H2082" i="30"/>
  <c r="O2086" i="30"/>
  <c r="I2087" i="30"/>
  <c r="R2086" i="30"/>
  <c r="J2082" i="30"/>
  <c r="S2087" i="30"/>
  <c r="O2085" i="30"/>
  <c r="G2081" i="30"/>
  <c r="L2084" i="30"/>
  <c r="S2086" i="30"/>
  <c r="I2085" i="30"/>
  <c r="N2086" i="30"/>
  <c r="J2084" i="30"/>
  <c r="T2081" i="30"/>
  <c r="O2087" i="30"/>
  <c r="K2085" i="30"/>
  <c r="G2083" i="30"/>
  <c r="Q2080" i="30"/>
  <c r="L2086" i="30"/>
  <c r="H2084" i="30"/>
  <c r="R2081" i="30"/>
  <c r="Q2085" i="30"/>
  <c r="M2085" i="30"/>
  <c r="G2084" i="30"/>
  <c r="O2082" i="30"/>
  <c r="J2086" i="30"/>
  <c r="T2083" i="30"/>
  <c r="P2081" i="30"/>
  <c r="K2087" i="30"/>
  <c r="G2085" i="30"/>
  <c r="Q2082" i="30"/>
  <c r="M2080" i="30"/>
  <c r="H2086" i="30"/>
  <c r="R2083" i="30"/>
  <c r="N2081" i="30"/>
  <c r="O2084" i="30"/>
  <c r="K2084" i="30"/>
  <c r="S2082" i="30"/>
  <c r="G2086" i="30"/>
  <c r="T2085" i="30"/>
  <c r="P2083" i="30"/>
  <c r="L2081" i="30"/>
  <c r="G2087" i="30"/>
  <c r="Q2084" i="30"/>
  <c r="M2082" i="30"/>
  <c r="I2080" i="30"/>
  <c r="R2085" i="30"/>
  <c r="N2083" i="30"/>
  <c r="J2081" i="30"/>
  <c r="M2083" i="30"/>
  <c r="I2083" i="30"/>
  <c r="Q2081" i="30"/>
  <c r="M2081" i="30"/>
  <c r="T2087" i="30"/>
  <c r="P2085" i="30"/>
  <c r="L2083" i="30"/>
  <c r="H2081" i="30"/>
  <c r="Q2086" i="30"/>
  <c r="M2084" i="30"/>
  <c r="I2082" i="30"/>
  <c r="R2087" i="30"/>
  <c r="N2085" i="30"/>
  <c r="J2083" i="30"/>
  <c r="T2080" i="30"/>
  <c r="K2082" i="30"/>
  <c r="G2082" i="30"/>
  <c r="O2080" i="30"/>
  <c r="P2087" i="30"/>
  <c r="L2085" i="30"/>
  <c r="H2083" i="30"/>
  <c r="R2080" i="30"/>
  <c r="M2086" i="30"/>
  <c r="I2084" i="30"/>
  <c r="S2081" i="30"/>
  <c r="N2087" i="30"/>
  <c r="J2085" i="30"/>
  <c r="T2082" i="30"/>
  <c r="P2080" i="30"/>
  <c r="I2081" i="30"/>
  <c r="S2080" i="30"/>
  <c r="S2084" i="30"/>
  <c r="N2080" i="30"/>
  <c r="G2080" i="30"/>
  <c r="S2083" i="30"/>
  <c r="O2081" i="30"/>
  <c r="M2087" i="30"/>
  <c r="J2087" i="30"/>
  <c r="I2086" i="30"/>
  <c r="L2087" i="30"/>
  <c r="T2084" i="30"/>
  <c r="L2080" i="30"/>
  <c r="K2080" i="30"/>
  <c r="H2085" i="30"/>
  <c r="P2082" i="30"/>
  <c r="R2082" i="30"/>
  <c r="P1883" i="30"/>
  <c r="L1881" i="30"/>
  <c r="H1879" i="30"/>
  <c r="R1876" i="30"/>
  <c r="M1882" i="30"/>
  <c r="I1880" i="30"/>
  <c r="S1877" i="30"/>
  <c r="J1883" i="30"/>
  <c r="P1878" i="30"/>
  <c r="G1882" i="30"/>
  <c r="M1877" i="30"/>
  <c r="P1880" i="30"/>
  <c r="H1876" i="30"/>
  <c r="Q1881" i="30"/>
  <c r="L1883" i="30"/>
  <c r="R1878" i="30"/>
  <c r="N1876" i="30"/>
  <c r="S1879" i="30"/>
  <c r="O1877" i="30"/>
  <c r="H1878" i="30"/>
  <c r="S1876" i="30"/>
  <c r="S1882" i="30"/>
  <c r="H1881" i="30"/>
  <c r="I1882" i="30"/>
  <c r="P1882" i="30"/>
  <c r="M1881" i="30"/>
  <c r="H1880" i="30"/>
  <c r="M1879" i="30"/>
  <c r="H1883" i="30"/>
  <c r="R1880" i="30"/>
  <c r="N1878" i="30"/>
  <c r="J1876" i="30"/>
  <c r="S1881" i="30"/>
  <c r="O1879" i="30"/>
  <c r="K1877" i="30"/>
  <c r="H1882" i="30"/>
  <c r="N1877" i="30"/>
  <c r="S1880" i="30"/>
  <c r="K1876" i="30"/>
  <c r="N1879" i="30"/>
  <c r="O1880" i="30"/>
  <c r="I1877" i="30"/>
  <c r="R1882" i="30"/>
  <c r="N1880" i="30"/>
  <c r="J1878" i="30"/>
  <c r="S1883" i="30"/>
  <c r="O1881" i="30"/>
  <c r="K1879" i="30"/>
  <c r="G1877" i="30"/>
  <c r="N1881" i="30"/>
  <c r="T1876" i="30"/>
  <c r="K1880" i="30"/>
  <c r="N1883" i="30"/>
  <c r="T1878" i="30"/>
  <c r="K1878" i="30"/>
  <c r="M1883" i="30"/>
  <c r="N1882" i="30"/>
  <c r="J1880" i="30"/>
  <c r="T1877" i="30"/>
  <c r="O1883" i="30"/>
  <c r="K1881" i="30"/>
  <c r="G1879" i="30"/>
  <c r="Q1876" i="30"/>
  <c r="T1880" i="30"/>
  <c r="L1876" i="30"/>
  <c r="Q1879" i="30"/>
  <c r="T1882" i="30"/>
  <c r="L1878" i="30"/>
  <c r="G1876" i="30"/>
  <c r="I1881" i="30"/>
  <c r="J1882" i="30"/>
  <c r="T1879" i="30"/>
  <c r="P1877" i="30"/>
  <c r="K1883" i="30"/>
  <c r="G1881" i="30"/>
  <c r="Q1878" i="30"/>
  <c r="M1876" i="30"/>
  <c r="L1880" i="30"/>
  <c r="Q1883" i="30"/>
  <c r="I1879" i="30"/>
  <c r="L1882" i="30"/>
  <c r="R1877" i="30"/>
  <c r="K1882" i="30"/>
  <c r="S1878" i="30"/>
  <c r="T1881" i="30"/>
  <c r="P1879" i="30"/>
  <c r="L1877" i="30"/>
  <c r="G1883" i="30"/>
  <c r="Q1880" i="30"/>
  <c r="M1878" i="30"/>
  <c r="I1876" i="30"/>
  <c r="R1879" i="30"/>
  <c r="I1883" i="30"/>
  <c r="O1878" i="30"/>
  <c r="R1881" i="30"/>
  <c r="J1877" i="30"/>
  <c r="G1880" i="30"/>
  <c r="O1876" i="30"/>
  <c r="R1883" i="30"/>
  <c r="J1879" i="30"/>
  <c r="L1879" i="30"/>
  <c r="G1878" i="30"/>
  <c r="T1883" i="30"/>
  <c r="H1877" i="30"/>
  <c r="J1881" i="30"/>
  <c r="Q1882" i="30"/>
  <c r="P1876" i="30"/>
  <c r="P1881" i="30"/>
  <c r="O1882" i="30"/>
  <c r="M1880" i="30"/>
  <c r="Q1877" i="30"/>
  <c r="I1878" i="30"/>
  <c r="P2393" i="30"/>
  <c r="L2391" i="30"/>
  <c r="H2389" i="30"/>
  <c r="R2386" i="30"/>
  <c r="M2392" i="30"/>
  <c r="I2390" i="30"/>
  <c r="S2387" i="30"/>
  <c r="N2393" i="30"/>
  <c r="J2391" i="30"/>
  <c r="T2388" i="30"/>
  <c r="P2386" i="30"/>
  <c r="I2387" i="30"/>
  <c r="S2386" i="30"/>
  <c r="Q2389" i="30"/>
  <c r="L2393" i="30"/>
  <c r="H2391" i="30"/>
  <c r="R2388" i="30"/>
  <c r="N2386" i="30"/>
  <c r="I2392" i="30"/>
  <c r="S2389" i="30"/>
  <c r="O2387" i="30"/>
  <c r="J2393" i="30"/>
  <c r="T2390" i="30"/>
  <c r="P2388" i="30"/>
  <c r="L2386" i="30"/>
  <c r="G2386" i="30"/>
  <c r="M2393" i="30"/>
  <c r="I2393" i="30"/>
  <c r="N2392" i="30"/>
  <c r="J2390" i="30"/>
  <c r="T2387" i="30"/>
  <c r="O2393" i="30"/>
  <c r="K2391" i="30"/>
  <c r="G2389" i="30"/>
  <c r="Q2386" i="30"/>
  <c r="L2392" i="30"/>
  <c r="H2390" i="30"/>
  <c r="R2387" i="30"/>
  <c r="Q2391" i="30"/>
  <c r="M2391" i="30"/>
  <c r="G2390" i="30"/>
  <c r="M2387" i="30"/>
  <c r="J2392" i="30"/>
  <c r="T2389" i="30"/>
  <c r="P2387" i="30"/>
  <c r="K2393" i="30"/>
  <c r="G2391" i="30"/>
  <c r="Q2388" i="30"/>
  <c r="M2386" i="30"/>
  <c r="H2392" i="30"/>
  <c r="R2389" i="30"/>
  <c r="N2387" i="30"/>
  <c r="O2390" i="30"/>
  <c r="K2390" i="30"/>
  <c r="S2388" i="30"/>
  <c r="S2390" i="30"/>
  <c r="P2391" i="30"/>
  <c r="H2387" i="30"/>
  <c r="M2390" i="30"/>
  <c r="R2393" i="30"/>
  <c r="J2389" i="30"/>
  <c r="K2388" i="30"/>
  <c r="O2386" i="30"/>
  <c r="N2390" i="30"/>
  <c r="S2393" i="30"/>
  <c r="K2389" i="30"/>
  <c r="P2392" i="30"/>
  <c r="H2388" i="30"/>
  <c r="P2389" i="30"/>
  <c r="G2393" i="30"/>
  <c r="M2388" i="30"/>
  <c r="R2391" i="30"/>
  <c r="J2387" i="30"/>
  <c r="I2389" i="30"/>
  <c r="K2386" i="30"/>
  <c r="T2393" i="30"/>
  <c r="L2389" i="30"/>
  <c r="Q2392" i="30"/>
  <c r="I2388" i="30"/>
  <c r="N2391" i="30"/>
  <c r="T2386" i="30"/>
  <c r="G2388" i="30"/>
  <c r="H2393" i="30"/>
  <c r="N2388" i="30"/>
  <c r="S2391" i="30"/>
  <c r="K2387" i="30"/>
  <c r="P2390" i="30"/>
  <c r="H2386" i="30"/>
  <c r="K2392" i="30"/>
  <c r="R2392" i="30"/>
  <c r="J2388" i="30"/>
  <c r="O2391" i="30"/>
  <c r="G2387" i="30"/>
  <c r="L2390" i="30"/>
  <c r="S2392" i="30"/>
  <c r="I2391" i="30"/>
  <c r="I2386" i="30"/>
  <c r="O2388" i="30"/>
  <c r="T2392" i="30"/>
  <c r="G2392" i="30"/>
  <c r="T2391" i="30"/>
  <c r="N2389" i="30"/>
  <c r="L2387" i="30"/>
  <c r="M2389" i="30"/>
  <c r="J2386" i="30"/>
  <c r="Q2393" i="30"/>
  <c r="R2390" i="30"/>
  <c r="Q2390" i="30"/>
  <c r="O2389" i="30"/>
  <c r="L2388" i="30"/>
  <c r="O2392" i="30"/>
  <c r="Q2387" i="30"/>
  <c r="M2699" i="30"/>
  <c r="I2697" i="30"/>
  <c r="S2694" i="30"/>
  <c r="O2692" i="30"/>
  <c r="N2698" i="30"/>
  <c r="J2696" i="30"/>
  <c r="T2693" i="30"/>
  <c r="J2699" i="30"/>
  <c r="P2694" i="30"/>
  <c r="S2697" i="30"/>
  <c r="K2693" i="30"/>
  <c r="P2696" i="30"/>
  <c r="H2692" i="30"/>
  <c r="K2699" i="30"/>
  <c r="I2699" i="30"/>
  <c r="S2696" i="30"/>
  <c r="O2694" i="30"/>
  <c r="K2692" i="30"/>
  <c r="J2698" i="30"/>
  <c r="T2695" i="30"/>
  <c r="P2693" i="30"/>
  <c r="P2698" i="30"/>
  <c r="H2694" i="30"/>
  <c r="K2697" i="30"/>
  <c r="Q2692" i="30"/>
  <c r="H2696" i="30"/>
  <c r="I2698" i="30"/>
  <c r="G2697" i="30"/>
  <c r="K2698" i="30"/>
  <c r="G2696" i="30"/>
  <c r="Q2693" i="30"/>
  <c r="P2699" i="30"/>
  <c r="L2697" i="30"/>
  <c r="H2695" i="30"/>
  <c r="R2692" i="30"/>
  <c r="T2696" i="30"/>
  <c r="L2692" i="30"/>
  <c r="O2695" i="30"/>
  <c r="T2698" i="30"/>
  <c r="L2694" i="30"/>
  <c r="S2699" i="30"/>
  <c r="M2696" i="30"/>
  <c r="G2698" i="30"/>
  <c r="Q2695" i="30"/>
  <c r="M2693" i="30"/>
  <c r="L2699" i="30"/>
  <c r="H2697" i="30"/>
  <c r="R2694" i="30"/>
  <c r="N2692" i="30"/>
  <c r="L2696" i="30"/>
  <c r="O2699" i="30"/>
  <c r="G2695" i="30"/>
  <c r="L2698" i="30"/>
  <c r="R2693" i="30"/>
  <c r="O2697" i="30"/>
  <c r="I2694" i="30"/>
  <c r="M2697" i="30"/>
  <c r="S2692" i="30"/>
  <c r="N2696" i="30"/>
  <c r="R2699" i="30"/>
  <c r="M2698" i="30"/>
  <c r="J2697" i="30"/>
  <c r="G2693" i="30"/>
  <c r="K2696" i="30"/>
  <c r="T2699" i="30"/>
  <c r="L2695" i="30"/>
  <c r="N2697" i="30"/>
  <c r="I2696" i="30"/>
  <c r="T2694" i="30"/>
  <c r="M2692" i="30"/>
  <c r="M2695" i="30"/>
  <c r="H2699" i="30"/>
  <c r="N2694" i="30"/>
  <c r="R2695" i="30"/>
  <c r="M2694" i="30"/>
  <c r="J2693" i="30"/>
  <c r="Q2698" i="30"/>
  <c r="Q2699" i="30"/>
  <c r="I2695" i="30"/>
  <c r="R2698" i="30"/>
  <c r="J2694" i="30"/>
  <c r="J2695" i="30"/>
  <c r="S2693" i="30"/>
  <c r="P2692" i="30"/>
  <c r="S2698" i="30"/>
  <c r="K2694" i="30"/>
  <c r="T2697" i="30"/>
  <c r="L2693" i="30"/>
  <c r="N2693" i="30"/>
  <c r="I2692" i="30"/>
  <c r="S2695" i="30"/>
  <c r="O2698" i="30"/>
  <c r="G2694" i="30"/>
  <c r="P2697" i="30"/>
  <c r="H2693" i="30"/>
  <c r="T2692" i="30"/>
  <c r="N2699" i="30"/>
  <c r="O2693" i="30"/>
  <c r="I2693" i="30"/>
  <c r="R2697" i="30"/>
  <c r="G2692" i="30"/>
  <c r="N2695" i="30"/>
  <c r="R2696" i="30"/>
  <c r="K2695" i="30"/>
  <c r="J2692" i="30"/>
  <c r="H2698" i="30"/>
  <c r="G2699" i="30"/>
  <c r="Q2696" i="30"/>
  <c r="Q2694" i="30"/>
  <c r="Q2697" i="30"/>
  <c r="O2696" i="30"/>
  <c r="P2695" i="30"/>
  <c r="G894" i="13"/>
  <c r="G908" i="13" s="1"/>
  <c r="G909" i="13" s="1"/>
  <c r="AF366" i="13"/>
  <c r="AH366" i="13" s="1"/>
  <c r="AI366" i="13" s="1"/>
  <c r="BE366" i="13"/>
  <c r="BG366" i="13" s="1"/>
  <c r="BH366" i="13" s="1"/>
  <c r="AK366" i="13"/>
  <c r="AM366" i="13" s="1"/>
  <c r="AN366" i="13" s="1"/>
  <c r="AU366" i="13"/>
  <c r="AW366" i="13" s="1"/>
  <c r="AX366" i="13" s="1"/>
  <c r="AP326" i="13"/>
  <c r="AR326" i="13" s="1"/>
  <c r="AS326" i="13" s="1"/>
  <c r="AF466" i="13"/>
  <c r="AH466" i="13" s="1"/>
  <c r="AI466" i="13" s="1"/>
  <c r="BE466" i="13"/>
  <c r="BG466" i="13" s="1"/>
  <c r="BH466" i="13" s="1"/>
  <c r="AK466" i="13"/>
  <c r="AM466" i="13" s="1"/>
  <c r="AN466" i="13" s="1"/>
  <c r="AU466" i="13"/>
  <c r="AW466" i="13" s="1"/>
  <c r="AX466" i="13" s="1"/>
  <c r="AU786" i="13"/>
  <c r="AW786" i="13" s="1"/>
  <c r="AX786" i="13" s="1"/>
  <c r="BE326" i="13"/>
  <c r="BG326" i="13" s="1"/>
  <c r="BH326" i="13" s="1"/>
  <c r="AP626" i="13"/>
  <c r="AR626" i="13" s="1"/>
  <c r="AS626" i="13" s="1"/>
  <c r="AK646" i="13"/>
  <c r="AM646" i="13" s="1"/>
  <c r="AN646" i="13" s="1"/>
  <c r="AK786" i="13"/>
  <c r="AM786" i="13" s="1"/>
  <c r="AN786" i="13" s="1"/>
  <c r="BJ786" i="13"/>
  <c r="BL786" i="13" s="1"/>
  <c r="BM786" i="13" s="1"/>
  <c r="AU646" i="13"/>
  <c r="AW646" i="13" s="1"/>
  <c r="AX646" i="13" s="1"/>
  <c r="AK626" i="13"/>
  <c r="AM626" i="13" s="1"/>
  <c r="AN626" i="13" s="1"/>
  <c r="BJ646" i="13"/>
  <c r="BL646" i="13" s="1"/>
  <c r="BM646" i="13" s="1"/>
  <c r="AF606" i="13"/>
  <c r="AH606" i="13" s="1"/>
  <c r="AI606" i="13" s="1"/>
  <c r="AU626" i="13"/>
  <c r="AW626" i="13" s="1"/>
  <c r="AX626" i="13" s="1"/>
  <c r="AF626" i="13"/>
  <c r="AH626" i="13" s="1"/>
  <c r="AI626" i="13" s="1"/>
  <c r="BE626" i="13"/>
  <c r="BG626" i="13" s="1"/>
  <c r="BH626" i="13" s="1"/>
  <c r="AZ646" i="13"/>
  <c r="BB646" i="13" s="1"/>
  <c r="BC646" i="13" s="1"/>
  <c r="AK326" i="13"/>
  <c r="AM326" i="13" s="1"/>
  <c r="AN326" i="13" s="1"/>
  <c r="BJ326" i="13"/>
  <c r="BL326" i="13" s="1"/>
  <c r="BM326" i="13" s="1"/>
  <c r="AZ606" i="13"/>
  <c r="BB606" i="13" s="1"/>
  <c r="BC606" i="13" s="1"/>
  <c r="AP506" i="13"/>
  <c r="AR506" i="13" s="1"/>
  <c r="AS506" i="13" s="1"/>
  <c r="AP646" i="13"/>
  <c r="AR646" i="13" s="1"/>
  <c r="AS646" i="13" s="1"/>
  <c r="AF326" i="13"/>
  <c r="AH326" i="13" s="1"/>
  <c r="AI326" i="13" s="1"/>
  <c r="BJ626" i="13"/>
  <c r="BL626" i="13" s="1"/>
  <c r="BM626" i="13" s="1"/>
  <c r="BE646" i="13"/>
  <c r="BG646" i="13" s="1"/>
  <c r="BH646" i="13" s="1"/>
  <c r="AP606" i="13"/>
  <c r="AR606" i="13" s="1"/>
  <c r="AS606" i="13" s="1"/>
  <c r="U608" i="13"/>
  <c r="U609" i="13" s="1"/>
  <c r="O283" i="13"/>
  <c r="AK283" i="13" s="1"/>
  <c r="AM283" i="13" s="1"/>
  <c r="AN283" i="13" s="1"/>
  <c r="U548" i="13"/>
  <c r="U549" i="13" s="1"/>
  <c r="AK706" i="13"/>
  <c r="AM706" i="13" s="1"/>
  <c r="AN706" i="13" s="1"/>
  <c r="AK766" i="13"/>
  <c r="AM766" i="13" s="1"/>
  <c r="AN766" i="13" s="1"/>
  <c r="BJ686" i="13"/>
  <c r="BL686" i="13" s="1"/>
  <c r="BM686" i="13" s="1"/>
  <c r="AK346" i="13"/>
  <c r="AM346" i="13" s="1"/>
  <c r="AN346" i="13" s="1"/>
  <c r="AK526" i="13"/>
  <c r="AM526" i="13" s="1"/>
  <c r="AN526" i="13" s="1"/>
  <c r="BE606" i="13"/>
  <c r="BG606" i="13" s="1"/>
  <c r="BH606" i="13" s="1"/>
  <c r="BE706" i="13"/>
  <c r="BG706" i="13" s="1"/>
  <c r="BH706" i="13" s="1"/>
  <c r="BE766" i="13"/>
  <c r="BG766" i="13" s="1"/>
  <c r="BH766" i="13" s="1"/>
  <c r="BE786" i="13"/>
  <c r="BG786" i="13" s="1"/>
  <c r="BH786" i="13" s="1"/>
  <c r="BJ426" i="13"/>
  <c r="BL426" i="13" s="1"/>
  <c r="BM426" i="13" s="1"/>
  <c r="P283" i="13"/>
  <c r="AP283" i="13" s="1"/>
  <c r="AR283" i="13" s="1"/>
  <c r="AS283" i="13" s="1"/>
  <c r="AP706" i="13"/>
  <c r="AR706" i="13" s="1"/>
  <c r="AS706" i="13" s="1"/>
  <c r="AP766" i="13"/>
  <c r="AR766" i="13" s="1"/>
  <c r="AS766" i="13" s="1"/>
  <c r="AP786" i="13"/>
  <c r="AR786" i="13" s="1"/>
  <c r="AS786" i="13" s="1"/>
  <c r="AU326" i="13"/>
  <c r="AW326" i="13" s="1"/>
  <c r="AX326" i="13" s="1"/>
  <c r="AU426" i="13"/>
  <c r="AW426" i="13" s="1"/>
  <c r="AX426" i="13" s="1"/>
  <c r="AU506" i="13"/>
  <c r="AW506" i="13" s="1"/>
  <c r="AX506" i="13" s="1"/>
  <c r="AU686" i="13"/>
  <c r="AW686" i="13" s="1"/>
  <c r="AX686" i="13" s="1"/>
  <c r="AF346" i="13"/>
  <c r="AH346" i="13" s="1"/>
  <c r="AI346" i="13" s="1"/>
  <c r="AF506" i="13"/>
  <c r="AH506" i="13" s="1"/>
  <c r="AI506" i="13" s="1"/>
  <c r="AF686" i="13"/>
  <c r="AH686" i="13" s="1"/>
  <c r="AI686" i="13" s="1"/>
  <c r="BE346" i="13"/>
  <c r="BG346" i="13" s="1"/>
  <c r="BH346" i="13" s="1"/>
  <c r="BJ606" i="13"/>
  <c r="BL606" i="13" s="1"/>
  <c r="BM606" i="13" s="1"/>
  <c r="AK686" i="13"/>
  <c r="AM686" i="13" s="1"/>
  <c r="AN686" i="13" s="1"/>
  <c r="AF766" i="13"/>
  <c r="AH766" i="13" s="1"/>
  <c r="AI766" i="13" s="1"/>
  <c r="AP526" i="13"/>
  <c r="AR526" i="13" s="1"/>
  <c r="AS526" i="13" s="1"/>
  <c r="BJ706" i="13"/>
  <c r="BL706" i="13" s="1"/>
  <c r="BM706" i="13" s="1"/>
  <c r="BJ766" i="13"/>
  <c r="BL766" i="13" s="1"/>
  <c r="BM766" i="13" s="1"/>
  <c r="U243" i="13"/>
  <c r="U848" i="13"/>
  <c r="U849" i="13" s="1"/>
  <c r="BJ526" i="13"/>
  <c r="BL526" i="13" s="1"/>
  <c r="BM526" i="13" s="1"/>
  <c r="AU346" i="13"/>
  <c r="AW346" i="13" s="1"/>
  <c r="AX346" i="13" s="1"/>
  <c r="L490" i="11"/>
  <c r="L509" i="11" s="1"/>
  <c r="BE446" i="13"/>
  <c r="BG446" i="13" s="1"/>
  <c r="BH446" i="13" s="1"/>
  <c r="AP446" i="13"/>
  <c r="AR446" i="13" s="1"/>
  <c r="AS446" i="13" s="1"/>
  <c r="AZ446" i="13"/>
  <c r="BB446" i="13" s="1"/>
  <c r="BC446" i="13" s="1"/>
  <c r="H151" i="13" l="1"/>
  <c r="H165" i="13" s="1"/>
  <c r="H166" i="13" s="1"/>
  <c r="K151" i="13"/>
  <c r="K165" i="13" s="1"/>
  <c r="K166" i="13" s="1"/>
  <c r="U2695" i="30"/>
  <c r="P483" i="32" s="1"/>
  <c r="U2392" i="30"/>
  <c r="S441" i="32" s="1"/>
  <c r="U508" i="13"/>
  <c r="U509" i="13" s="1"/>
  <c r="U2595" i="30"/>
  <c r="R469" i="32" s="1"/>
  <c r="U2594" i="30"/>
  <c r="Q469" i="32" s="1"/>
  <c r="U2186" i="30"/>
  <c r="Q413" i="32" s="1"/>
  <c r="U223" i="13"/>
  <c r="U1574" i="30"/>
  <c r="P329" i="32" s="1"/>
  <c r="U2288" i="30"/>
  <c r="Q427" i="32" s="1"/>
  <c r="U1626" i="30"/>
  <c r="Q336" i="32" s="1"/>
  <c r="U1728" i="30"/>
  <c r="R350" i="32" s="1"/>
  <c r="U2643" i="30"/>
  <c r="O476" i="32" s="1"/>
  <c r="U2647" i="30"/>
  <c r="S476" i="32" s="1"/>
  <c r="U1418" i="30"/>
  <c r="M308" i="32" s="1"/>
  <c r="U1419" i="30"/>
  <c r="N308" i="32" s="1"/>
  <c r="BE566" i="13"/>
  <c r="BG566" i="13" s="1"/>
  <c r="BH566" i="13" s="1"/>
  <c r="J452" i="11"/>
  <c r="AF566" i="13"/>
  <c r="AH566" i="13" s="1"/>
  <c r="AI566" i="13" s="1"/>
  <c r="E452" i="11"/>
  <c r="G421" i="11"/>
  <c r="G435" i="11" s="1"/>
  <c r="P488" i="13"/>
  <c r="AP474" i="13"/>
  <c r="AR474" i="13" s="1"/>
  <c r="AS474" i="13" s="1"/>
  <c r="G1907" i="30" s="1" a="1"/>
  <c r="U231" i="13"/>
  <c r="U245" i="13" s="1"/>
  <c r="U246" i="13" s="1"/>
  <c r="U828" i="13"/>
  <c r="U829" i="13" s="1"/>
  <c r="N748" i="13"/>
  <c r="AF734" i="13"/>
  <c r="BE726" i="13"/>
  <c r="BG726" i="13" s="1"/>
  <c r="BH726" i="13" s="1"/>
  <c r="J490" i="11"/>
  <c r="AZ666" i="13"/>
  <c r="BB666" i="13" s="1"/>
  <c r="BC666" i="13" s="1"/>
  <c r="R223" i="13"/>
  <c r="AZ223" i="13" s="1"/>
  <c r="BB223" i="13" s="1"/>
  <c r="BC223" i="13" s="1"/>
  <c r="U2692" i="30"/>
  <c r="M483" i="32" s="1"/>
  <c r="U2694" i="30"/>
  <c r="O483" i="32" s="1"/>
  <c r="U2387" i="30"/>
  <c r="N441" i="32" s="1"/>
  <c r="U1876" i="30"/>
  <c r="M371" i="32" s="1"/>
  <c r="U2597" i="30"/>
  <c r="T469" i="32" s="1"/>
  <c r="U2032" i="30"/>
  <c r="P392" i="32" s="1"/>
  <c r="U2029" i="30"/>
  <c r="M392" i="32" s="1"/>
  <c r="U2745" i="30"/>
  <c r="O490" i="32" s="1"/>
  <c r="U1627" i="30"/>
  <c r="R336" i="32" s="1"/>
  <c r="U1622" i="30"/>
  <c r="M336" i="32"/>
  <c r="U1624" i="30"/>
  <c r="O336" i="32" s="1"/>
  <c r="U2339" i="30"/>
  <c r="Q434" i="32" s="1"/>
  <c r="U2136" i="30"/>
  <c r="R406" i="32" s="1"/>
  <c r="BL614" i="13"/>
  <c r="BM614" i="13" s="1"/>
  <c r="Q1678" i="30"/>
  <c r="M1676" i="30"/>
  <c r="I1674" i="30"/>
  <c r="H1680" i="30"/>
  <c r="R1677" i="30"/>
  <c r="N1675" i="30"/>
  <c r="J1673" i="30"/>
  <c r="S1678" i="30"/>
  <c r="O1676" i="30"/>
  <c r="K1674" i="30"/>
  <c r="R1676" i="30"/>
  <c r="L1675" i="30"/>
  <c r="H1675" i="30"/>
  <c r="P1673" i="30"/>
  <c r="M1678" i="30"/>
  <c r="S1673" i="30"/>
  <c r="R1679" i="30"/>
  <c r="J1675" i="30"/>
  <c r="S1680" i="30"/>
  <c r="K1676" i="30"/>
  <c r="P1675" i="30"/>
  <c r="T1673" i="30"/>
  <c r="Q1680" i="30"/>
  <c r="I1676" i="30"/>
  <c r="N1677" i="30"/>
  <c r="O1678" i="30"/>
  <c r="G1674" i="30"/>
  <c r="J1674" i="30"/>
  <c r="I1680" i="30"/>
  <c r="S1677" i="30"/>
  <c r="O1675" i="30"/>
  <c r="K1673" i="30"/>
  <c r="J1679" i="30"/>
  <c r="T1676" i="30"/>
  <c r="P1674" i="30"/>
  <c r="K1680" i="30"/>
  <c r="G1678" i="30"/>
  <c r="Q1675" i="30"/>
  <c r="M1673" i="30"/>
  <c r="L1673" i="30"/>
  <c r="R1680" i="30"/>
  <c r="N1680" i="30"/>
  <c r="S1679" i="30"/>
  <c r="O1677" i="30"/>
  <c r="K1675" i="30"/>
  <c r="G1673" i="30"/>
  <c r="T1678" i="30"/>
  <c r="P1676" i="30"/>
  <c r="L1674" i="30"/>
  <c r="G1680" i="30"/>
  <c r="Q1677" i="30"/>
  <c r="M1675" i="30"/>
  <c r="I1673" i="30"/>
  <c r="T1679" i="30"/>
  <c r="P1679" i="30"/>
  <c r="T1675" i="30"/>
  <c r="O1679" i="30"/>
  <c r="K1677" i="30"/>
  <c r="G1675" i="30"/>
  <c r="T1680" i="30"/>
  <c r="P1678" i="30"/>
  <c r="L1676" i="30"/>
  <c r="H1674" i="30"/>
  <c r="Q1679" i="30"/>
  <c r="M1677" i="30"/>
  <c r="I1675" i="30"/>
  <c r="J1680" i="30"/>
  <c r="R1678" i="30"/>
  <c r="N1678" i="30"/>
  <c r="L1679" i="30"/>
  <c r="K1679" i="30"/>
  <c r="G1677" i="30"/>
  <c r="Q1674" i="30"/>
  <c r="P1680" i="30"/>
  <c r="L1678" i="30"/>
  <c r="H1676" i="30"/>
  <c r="R1673" i="30"/>
  <c r="M1679" i="30"/>
  <c r="I1677" i="30"/>
  <c r="S1674" i="30"/>
  <c r="H1679" i="30"/>
  <c r="P1677" i="30"/>
  <c r="L1677" i="30"/>
  <c r="R1674" i="30"/>
  <c r="L1680" i="30"/>
  <c r="I1679" i="30"/>
  <c r="N1676" i="30"/>
  <c r="S1676" i="30"/>
  <c r="H1678" i="30"/>
  <c r="I1678" i="30"/>
  <c r="J1677" i="30"/>
  <c r="G1676" i="30"/>
  <c r="H1677" i="30"/>
  <c r="M1680" i="30"/>
  <c r="H1673" i="30"/>
  <c r="Q1676" i="30"/>
  <c r="R1675" i="30"/>
  <c r="O1674" i="30"/>
  <c r="J1678" i="30"/>
  <c r="N1679" i="30"/>
  <c r="K1678" i="30"/>
  <c r="S1675" i="30"/>
  <c r="T1674" i="30"/>
  <c r="Q1673" i="30"/>
  <c r="N1674" i="30"/>
  <c r="G1679" i="30"/>
  <c r="J1676" i="30"/>
  <c r="M1674" i="30"/>
  <c r="N1673" i="30"/>
  <c r="T1677" i="30"/>
  <c r="O1673" i="30"/>
  <c r="O1680" i="30"/>
  <c r="U2495" i="30"/>
  <c r="T455" i="32" s="1"/>
  <c r="U2494" i="30"/>
  <c r="S455" i="32" s="1"/>
  <c r="U2795" i="30"/>
  <c r="U2443" i="30"/>
  <c r="S448" i="32" s="1"/>
  <c r="U2237" i="30"/>
  <c r="Q420" i="32" s="1"/>
  <c r="U2185" i="30"/>
  <c r="P413" i="32" s="1"/>
  <c r="U1981" i="30"/>
  <c r="P385" i="32" s="1"/>
  <c r="U1930" i="30"/>
  <c r="P378" i="32" s="1"/>
  <c r="U1929" i="30"/>
  <c r="O378" i="32" s="1"/>
  <c r="BL263" i="13"/>
  <c r="BM263" i="13" s="1"/>
  <c r="X67" i="13" s="1"/>
  <c r="V67" i="13"/>
  <c r="U1525" i="30"/>
  <c r="R322" i="32" s="1"/>
  <c r="U1523" i="30"/>
  <c r="P322" i="32" s="1"/>
  <c r="U1473" i="30"/>
  <c r="Q315" i="32" s="1"/>
  <c r="R668" i="13"/>
  <c r="AZ654" i="13"/>
  <c r="BE354" i="13"/>
  <c r="BG354" i="13" s="1"/>
  <c r="BH354" i="13" s="1"/>
  <c r="G1614" i="30" s="1" a="1"/>
  <c r="S368" i="13"/>
  <c r="E421" i="11"/>
  <c r="AF474" i="13"/>
  <c r="N488" i="13"/>
  <c r="U2697" i="30"/>
  <c r="R483" i="32" s="1"/>
  <c r="U2080" i="30"/>
  <c r="M399" i="32" s="1"/>
  <c r="U2087" i="30"/>
  <c r="T399" i="32" s="1"/>
  <c r="S529" i="13"/>
  <c r="BE529" i="13" s="1"/>
  <c r="BG529" i="13" s="1"/>
  <c r="BH529" i="13" s="1"/>
  <c r="BE528" i="13"/>
  <c r="BG528" i="13" s="1"/>
  <c r="BH528" i="13" s="1"/>
  <c r="J1220" i="30"/>
  <c r="T1217" i="30"/>
  <c r="P1215" i="30"/>
  <c r="K1221" i="30"/>
  <c r="G1219" i="30"/>
  <c r="Q1216" i="30"/>
  <c r="M1214" i="30"/>
  <c r="H1220" i="30"/>
  <c r="R1217" i="30"/>
  <c r="N1215" i="30"/>
  <c r="I1219" i="30"/>
  <c r="Q1217" i="30"/>
  <c r="K1216" i="30"/>
  <c r="S1214" i="30"/>
  <c r="T1219" i="30"/>
  <c r="P1217" i="30"/>
  <c r="L1215" i="30"/>
  <c r="G1221" i="30"/>
  <c r="Q1218" i="30"/>
  <c r="M1216" i="30"/>
  <c r="I1214" i="30"/>
  <c r="R1219" i="30"/>
  <c r="N1217" i="30"/>
  <c r="J1215" i="30"/>
  <c r="G1218" i="30"/>
  <c r="O1216" i="30"/>
  <c r="I1215" i="30"/>
  <c r="K1218" i="30"/>
  <c r="T1221" i="30"/>
  <c r="P1219" i="30"/>
  <c r="L1217" i="30"/>
  <c r="H1215" i="30"/>
  <c r="Q1220" i="30"/>
  <c r="M1218" i="30"/>
  <c r="I1216" i="30"/>
  <c r="R1221" i="30"/>
  <c r="N1219" i="30"/>
  <c r="J1217" i="30"/>
  <c r="T1214" i="30"/>
  <c r="S1216" i="30"/>
  <c r="M1215" i="30"/>
  <c r="G1214" i="30"/>
  <c r="R1216" i="30"/>
  <c r="N1220" i="30"/>
  <c r="G1217" i="30"/>
  <c r="H1218" i="30"/>
  <c r="S1218" i="30"/>
  <c r="P1221" i="30"/>
  <c r="L1219" i="30"/>
  <c r="H1217" i="30"/>
  <c r="R1214" i="30"/>
  <c r="M1220" i="30"/>
  <c r="I1218" i="30"/>
  <c r="S1215" i="30"/>
  <c r="N1221" i="30"/>
  <c r="J1219" i="30"/>
  <c r="T1216" i="30"/>
  <c r="P1214" i="30"/>
  <c r="Q1215" i="30"/>
  <c r="K1214" i="30"/>
  <c r="Q1221" i="30"/>
  <c r="H1219" i="30"/>
  <c r="I1220" i="30"/>
  <c r="O1215" i="30"/>
  <c r="T1218" i="30"/>
  <c r="L1214" i="30"/>
  <c r="O1214" i="30"/>
  <c r="I1217" i="30"/>
  <c r="J1218" i="30"/>
  <c r="L1221" i="30"/>
  <c r="N1214" i="30"/>
  <c r="S1217" i="30"/>
  <c r="J1221" i="30"/>
  <c r="P1216" i="30"/>
  <c r="S1220" i="30"/>
  <c r="O1221" i="30"/>
  <c r="L1220" i="30"/>
  <c r="M1217" i="30"/>
  <c r="H1221" i="30"/>
  <c r="R1218" i="30"/>
  <c r="N1216" i="30"/>
  <c r="J1214" i="30"/>
  <c r="S1219" i="30"/>
  <c r="O1217" i="30"/>
  <c r="K1215" i="30"/>
  <c r="T1220" i="30"/>
  <c r="P1218" i="30"/>
  <c r="L1216" i="30"/>
  <c r="H1214" i="30"/>
  <c r="I1221" i="30"/>
  <c r="Q1219" i="30"/>
  <c r="O1220" i="30"/>
  <c r="R1220" i="30"/>
  <c r="N1218" i="30"/>
  <c r="J1216" i="30"/>
  <c r="S1221" i="30"/>
  <c r="O1219" i="30"/>
  <c r="K1217" i="30"/>
  <c r="G1215" i="30"/>
  <c r="P1220" i="30"/>
  <c r="L1218" i="30"/>
  <c r="H1216" i="30"/>
  <c r="M1221" i="30"/>
  <c r="G1220" i="30"/>
  <c r="O1218" i="30"/>
  <c r="G1216" i="30"/>
  <c r="T1215" i="30"/>
  <c r="Q1214" i="30"/>
  <c r="K1220" i="30"/>
  <c r="K1219" i="30"/>
  <c r="R1215" i="30"/>
  <c r="M1219" i="30"/>
  <c r="U2033" i="30"/>
  <c r="Q392" i="32" s="1"/>
  <c r="U2743" i="30"/>
  <c r="M490" i="32" s="1"/>
  <c r="U1623" i="30"/>
  <c r="N336" i="32" s="1"/>
  <c r="U1628" i="30"/>
  <c r="S336" i="32" s="1"/>
  <c r="U2131" i="30"/>
  <c r="M406" i="32" s="1"/>
  <c r="U1724" i="30"/>
  <c r="N350" i="32" s="1"/>
  <c r="U2287" i="30"/>
  <c r="P427" i="32" s="1"/>
  <c r="U2234" i="30"/>
  <c r="N420" i="32" s="1"/>
  <c r="U1830" i="30"/>
  <c r="R364" i="32" s="1"/>
  <c r="U1827" i="30"/>
  <c r="O364" i="32" s="1"/>
  <c r="U2541" i="30"/>
  <c r="O462" i="32" s="1"/>
  <c r="K1374" i="30"/>
  <c r="G1372" i="30"/>
  <c r="Q1369" i="30"/>
  <c r="M1367" i="30"/>
  <c r="H1373" i="30"/>
  <c r="R1370" i="30"/>
  <c r="N1368" i="30"/>
  <c r="I1374" i="30"/>
  <c r="S1371" i="30"/>
  <c r="O1369" i="30"/>
  <c r="K1367" i="30"/>
  <c r="R1367" i="30"/>
  <c r="H1374" i="30"/>
  <c r="R1373" i="30"/>
  <c r="Q1371" i="30"/>
  <c r="M1369" i="30"/>
  <c r="R1372" i="30"/>
  <c r="J1368" i="30"/>
  <c r="S1373" i="30"/>
  <c r="K1369" i="30"/>
  <c r="L1374" i="30"/>
  <c r="P1372" i="30"/>
  <c r="G1374" i="30"/>
  <c r="I1367" i="30"/>
  <c r="N1370" i="30"/>
  <c r="O1371" i="30"/>
  <c r="G1367" i="30"/>
  <c r="T1372" i="30"/>
  <c r="Q1373" i="30"/>
  <c r="M1371" i="30"/>
  <c r="I1369" i="30"/>
  <c r="R1374" i="30"/>
  <c r="N1372" i="30"/>
  <c r="J1370" i="30"/>
  <c r="T1367" i="30"/>
  <c r="O1373" i="30"/>
  <c r="K1371" i="30"/>
  <c r="G1369" i="30"/>
  <c r="P1374" i="30"/>
  <c r="J1373" i="30"/>
  <c r="R1371" i="30"/>
  <c r="N1371" i="30"/>
  <c r="P1369" i="30"/>
  <c r="M1368" i="30"/>
  <c r="N1369" i="30"/>
  <c r="K1372" i="30"/>
  <c r="H1371" i="30"/>
  <c r="I1372" i="30"/>
  <c r="O1367" i="30"/>
  <c r="T1374" i="30"/>
  <c r="M1373" i="30"/>
  <c r="I1371" i="30"/>
  <c r="S1368" i="30"/>
  <c r="N1374" i="30"/>
  <c r="J1372" i="30"/>
  <c r="T1369" i="30"/>
  <c r="P1367" i="30"/>
  <c r="K1373" i="30"/>
  <c r="G1371" i="30"/>
  <c r="Q1368" i="30"/>
  <c r="N1373" i="30"/>
  <c r="H1372" i="30"/>
  <c r="P1370" i="30"/>
  <c r="L1370" i="30"/>
  <c r="S1370" i="30"/>
  <c r="O1368" i="30"/>
  <c r="T1371" i="30"/>
  <c r="L1367" i="30"/>
  <c r="Q1370" i="30"/>
  <c r="L1372" i="30"/>
  <c r="J1369" i="30"/>
  <c r="Q1367" i="30"/>
  <c r="I1373" i="30"/>
  <c r="J1374" i="30"/>
  <c r="G1373" i="30"/>
  <c r="T1370" i="30"/>
  <c r="G1370" i="30"/>
  <c r="N1367" i="30"/>
  <c r="S1372" i="30"/>
  <c r="O1370" i="30"/>
  <c r="K1368" i="30"/>
  <c r="T1373" i="30"/>
  <c r="P1371" i="30"/>
  <c r="L1369" i="30"/>
  <c r="H1367" i="30"/>
  <c r="Q1372" i="30"/>
  <c r="M1370" i="30"/>
  <c r="I1368" i="30"/>
  <c r="J1371" i="30"/>
  <c r="R1369" i="30"/>
  <c r="L1368" i="30"/>
  <c r="H1368" i="30"/>
  <c r="S1374" i="30"/>
  <c r="O1372" i="30"/>
  <c r="K1370" i="30"/>
  <c r="G1368" i="30"/>
  <c r="P1373" i="30"/>
  <c r="L1371" i="30"/>
  <c r="H1369" i="30"/>
  <c r="Q1374" i="30"/>
  <c r="M1372" i="30"/>
  <c r="I1370" i="30"/>
  <c r="S1367" i="30"/>
  <c r="H1370" i="30"/>
  <c r="P1368" i="30"/>
  <c r="J1367" i="30"/>
  <c r="M1374" i="30"/>
  <c r="O1374" i="30"/>
  <c r="R1368" i="30"/>
  <c r="S1369" i="30"/>
  <c r="T1368" i="30"/>
  <c r="L1373" i="30"/>
  <c r="U1469" i="30"/>
  <c r="M315" i="32" s="1"/>
  <c r="U1475" i="30"/>
  <c r="S315" i="32" s="1"/>
  <c r="U1420" i="30"/>
  <c r="O308" i="32" s="1"/>
  <c r="R231" i="13"/>
  <c r="AZ814" i="13"/>
  <c r="R828" i="13"/>
  <c r="AK454" i="13"/>
  <c r="AM454" i="13" s="1"/>
  <c r="AN454" i="13" s="1"/>
  <c r="G1852" i="30" s="1" a="1"/>
  <c r="O468" i="13"/>
  <c r="P468" i="13"/>
  <c r="AP454" i="13"/>
  <c r="N348" i="13"/>
  <c r="AF334" i="13"/>
  <c r="AH334" i="13" s="1"/>
  <c r="AI334" i="13" s="1"/>
  <c r="G1543" i="30" s="1" a="1"/>
  <c r="P508" i="13"/>
  <c r="AP494" i="13"/>
  <c r="U2699" i="30"/>
  <c r="T483" i="32" s="1"/>
  <c r="U2698" i="30"/>
  <c r="S483" i="32" s="1"/>
  <c r="U1881" i="30"/>
  <c r="R371" i="32" s="1"/>
  <c r="U2082" i="30"/>
  <c r="O399" i="32" s="1"/>
  <c r="G2021" i="30"/>
  <c r="U2021" i="30" s="1"/>
  <c r="R389" i="32"/>
  <c r="U2022" i="30"/>
  <c r="R388" i="32"/>
  <c r="U2036" i="30"/>
  <c r="T392" i="32" s="1"/>
  <c r="U2749" i="30"/>
  <c r="S490" i="32" s="1"/>
  <c r="U2338" i="30"/>
  <c r="P434" i="32" s="1"/>
  <c r="U2340" i="30"/>
  <c r="R434" i="32" s="1"/>
  <c r="U2335" i="30"/>
  <c r="M434" i="32" s="1"/>
  <c r="U2134" i="30"/>
  <c r="P406" i="32" s="1"/>
  <c r="E205" i="13"/>
  <c r="E206" i="13" s="1"/>
  <c r="G1163" i="30" a="1"/>
  <c r="U1575" i="30"/>
  <c r="Q329" i="32" s="1"/>
  <c r="U2490" i="30"/>
  <c r="O455" i="32" s="1"/>
  <c r="U2798" i="30"/>
  <c r="U2438" i="30"/>
  <c r="N448" i="32" s="1"/>
  <c r="U2439" i="30"/>
  <c r="O448" i="32" s="1"/>
  <c r="U2240" i="30"/>
  <c r="T420" i="32" s="1"/>
  <c r="U2182" i="30"/>
  <c r="M413" i="32"/>
  <c r="U1983" i="30"/>
  <c r="R385" i="32" s="1"/>
  <c r="U1985" i="30"/>
  <c r="T385" i="32" s="1"/>
  <c r="U1828" i="30"/>
  <c r="P364" i="32" s="1"/>
  <c r="U1825" i="30"/>
  <c r="M364" i="32" s="1"/>
  <c r="U2645" i="30"/>
  <c r="Q476" i="32" s="1"/>
  <c r="J1112" i="30"/>
  <c r="S1116" i="30"/>
  <c r="O1115" i="30"/>
  <c r="I1114" i="30"/>
  <c r="O1116" i="30"/>
  <c r="R1113" i="30"/>
  <c r="G1113" i="30"/>
  <c r="K1115" i="30"/>
  <c r="N1113" i="30"/>
  <c r="L1113" i="30"/>
  <c r="H1115" i="30"/>
  <c r="R1118" i="30"/>
  <c r="L1118" i="30"/>
  <c r="R1114" i="30"/>
  <c r="R1116" i="30"/>
  <c r="H1118" i="30"/>
  <c r="K1114" i="30"/>
  <c r="P1119" i="30"/>
  <c r="M1118" i="30"/>
  <c r="S1117" i="30"/>
  <c r="L1119" i="30"/>
  <c r="T1112" i="30"/>
  <c r="Q1116" i="30"/>
  <c r="N1115" i="30"/>
  <c r="G1116" i="30"/>
  <c r="I1112" i="30"/>
  <c r="H1119" i="30"/>
  <c r="Q1115" i="30"/>
  <c r="T1119" i="30"/>
  <c r="K1117" i="30"/>
  <c r="G1117" i="30"/>
  <c r="P1112" i="30"/>
  <c r="Q1119" i="30"/>
  <c r="S1113" i="30"/>
  <c r="L1112" i="30"/>
  <c r="M1116" i="30"/>
  <c r="T1113" i="30"/>
  <c r="N1116" i="30"/>
  <c r="J1117" i="30"/>
  <c r="P1113" i="30"/>
  <c r="I1118" i="30"/>
  <c r="T1116" i="30"/>
  <c r="G1112" i="30"/>
  <c r="N1118" i="30"/>
  <c r="M1117" i="30"/>
  <c r="L1114" i="30"/>
  <c r="I1116" i="30"/>
  <c r="O1118" i="30"/>
  <c r="R1112" i="30"/>
  <c r="J1113" i="30"/>
  <c r="S1114" i="30"/>
  <c r="P1118" i="30"/>
  <c r="P1116" i="30"/>
  <c r="O1114" i="30"/>
  <c r="P1117" i="30"/>
  <c r="Q1112" i="30"/>
  <c r="K1113" i="30"/>
  <c r="M1119" i="30"/>
  <c r="K1119" i="30"/>
  <c r="T1118" i="30"/>
  <c r="J1118" i="30"/>
  <c r="G1115" i="30"/>
  <c r="Q1113" i="30"/>
  <c r="J1114" i="30"/>
  <c r="H1116" i="30"/>
  <c r="N1112" i="30"/>
  <c r="L1115" i="30"/>
  <c r="R1115" i="30"/>
  <c r="R1119" i="30"/>
  <c r="L1117" i="30"/>
  <c r="I1115" i="30"/>
  <c r="I1113" i="30"/>
  <c r="H1117" i="30"/>
  <c r="M1112" i="30"/>
  <c r="I1119" i="30"/>
  <c r="S1118" i="30"/>
  <c r="T1114" i="30"/>
  <c r="L1116" i="30"/>
  <c r="M1115" i="30"/>
  <c r="M1113" i="30"/>
  <c r="N1117" i="30"/>
  <c r="S1115" i="30"/>
  <c r="T1117" i="30"/>
  <c r="K1118" i="30"/>
  <c r="N1119" i="30"/>
  <c r="Q1114" i="30"/>
  <c r="Q1117" i="30"/>
  <c r="G1118" i="30"/>
  <c r="K1116" i="30"/>
  <c r="Q1118" i="30"/>
  <c r="S1119" i="30"/>
  <c r="O1119" i="30"/>
  <c r="O1117" i="30"/>
  <c r="H1113" i="30"/>
  <c r="P1114" i="30"/>
  <c r="P1115" i="30"/>
  <c r="J1116" i="30"/>
  <c r="S1112" i="30"/>
  <c r="H1112" i="30"/>
  <c r="T1115" i="30"/>
  <c r="G1114" i="30"/>
  <c r="J1119" i="30"/>
  <c r="O1113" i="30"/>
  <c r="O1112" i="30"/>
  <c r="H1114" i="30"/>
  <c r="N1114" i="30"/>
  <c r="K1112" i="30"/>
  <c r="J1115" i="30"/>
  <c r="G1119" i="30"/>
  <c r="R1117" i="30"/>
  <c r="I1117" i="30"/>
  <c r="M1114" i="30"/>
  <c r="U1524" i="30"/>
  <c r="Q322" i="32" s="1"/>
  <c r="U1526" i="30"/>
  <c r="S322" i="32" s="1"/>
  <c r="U1470" i="30"/>
  <c r="N315" i="32" s="1"/>
  <c r="U1424" i="30"/>
  <c r="S308" i="32" s="1"/>
  <c r="U668" i="13"/>
  <c r="U669" i="13" s="1"/>
  <c r="AF826" i="13"/>
  <c r="AH826" i="13" s="1"/>
  <c r="AI826" i="13" s="1"/>
  <c r="N243" i="13"/>
  <c r="AF243" i="13" s="1"/>
  <c r="AH243" i="13" s="1"/>
  <c r="AI243" i="13" s="1"/>
  <c r="AF486" i="13"/>
  <c r="AH486" i="13" s="1"/>
  <c r="AI486" i="13" s="1"/>
  <c r="E433" i="11"/>
  <c r="N283" i="13"/>
  <c r="AF283" i="13" s="1"/>
  <c r="AH283" i="13" s="1"/>
  <c r="AI283" i="13" s="1"/>
  <c r="BJ826" i="13"/>
  <c r="BL826" i="13" s="1"/>
  <c r="BM826" i="13" s="1"/>
  <c r="T243" i="13"/>
  <c r="BJ243" i="13" s="1"/>
  <c r="AZ694" i="13"/>
  <c r="R708" i="13"/>
  <c r="BE714" i="13"/>
  <c r="BG714" i="13" s="1"/>
  <c r="BH714" i="13" s="1"/>
  <c r="G2531" i="30" s="1" a="1"/>
  <c r="J478" i="11"/>
  <c r="S728" i="13"/>
  <c r="BE666" i="13"/>
  <c r="BG666" i="13" s="1"/>
  <c r="BH666" i="13" s="1"/>
  <c r="S223" i="13"/>
  <c r="BE223" i="13" s="1"/>
  <c r="BG223" i="13" s="1"/>
  <c r="BH223" i="13" s="1"/>
  <c r="U2388" i="30"/>
  <c r="O441" i="32" s="1"/>
  <c r="U2389" i="30"/>
  <c r="P441" i="32" s="1"/>
  <c r="U2386" i="30"/>
  <c r="M441" i="32" s="1"/>
  <c r="U1882" i="30"/>
  <c r="S371" i="32" s="1"/>
  <c r="U2083" i="30"/>
  <c r="P399" i="32" s="1"/>
  <c r="T223" i="13"/>
  <c r="BJ223" i="13" s="1"/>
  <c r="U2592" i="30"/>
  <c r="O469" i="32" s="1"/>
  <c r="U2031" i="30"/>
  <c r="O392" i="32" s="1"/>
  <c r="U2747" i="30"/>
  <c r="Q490" i="32" s="1"/>
  <c r="U2341" i="30"/>
  <c r="S434" i="32" s="1"/>
  <c r="U2132" i="30"/>
  <c r="N406" i="32" s="1"/>
  <c r="U1730" i="30"/>
  <c r="T350" i="32" s="1"/>
  <c r="U2489" i="30"/>
  <c r="N455" i="32" s="1"/>
  <c r="U2493" i="30"/>
  <c r="R455" i="32" s="1"/>
  <c r="U2794" i="30"/>
  <c r="U2801" i="30"/>
  <c r="U2442" i="30"/>
  <c r="R448" i="32" s="1"/>
  <c r="U2444" i="30"/>
  <c r="T448" i="32" s="1"/>
  <c r="T648" i="13"/>
  <c r="U1931" i="30"/>
  <c r="Q378" i="32" s="1"/>
  <c r="U1832" i="30"/>
  <c r="T364" i="32" s="1"/>
  <c r="U2648" i="30"/>
  <c r="T476" i="32" s="1"/>
  <c r="E151" i="13"/>
  <c r="E165" i="13" s="1"/>
  <c r="E166" i="13" s="1"/>
  <c r="U1521" i="30"/>
  <c r="N322" i="32" s="1"/>
  <c r="U2540" i="30"/>
  <c r="N462" i="32" s="1"/>
  <c r="U2542" i="30"/>
  <c r="P462" i="32" s="1"/>
  <c r="U1422" i="30"/>
  <c r="Q308" i="32" s="1"/>
  <c r="U1421" i="30"/>
  <c r="P308" i="32" s="1"/>
  <c r="U1425" i="30"/>
  <c r="T308" i="32" s="1"/>
  <c r="AU726" i="13"/>
  <c r="AW726" i="13" s="1"/>
  <c r="AX726" i="13" s="1"/>
  <c r="H490" i="11"/>
  <c r="AF634" i="13"/>
  <c r="N648" i="13"/>
  <c r="L421" i="11"/>
  <c r="L435" i="11" s="1"/>
  <c r="U488" i="13"/>
  <c r="U489" i="13" s="1"/>
  <c r="R428" i="13"/>
  <c r="AZ414" i="13"/>
  <c r="AZ314" i="13"/>
  <c r="R328" i="13"/>
  <c r="AK726" i="13"/>
  <c r="AM726" i="13" s="1"/>
  <c r="AN726" i="13" s="1"/>
  <c r="F490" i="11"/>
  <c r="F509" i="11" s="1"/>
  <c r="U2390" i="30"/>
  <c r="Q441" i="32" s="1"/>
  <c r="U1880" i="30"/>
  <c r="Q371" i="32" s="1"/>
  <c r="U1877" i="30"/>
  <c r="N371" i="32" s="1"/>
  <c r="U2084" i="30"/>
  <c r="Q399" i="32" s="1"/>
  <c r="U2081" i="30"/>
  <c r="N399" i="32" s="1"/>
  <c r="S1779" i="30"/>
  <c r="O1777" i="30"/>
  <c r="K1775" i="30"/>
  <c r="T1780" i="30"/>
  <c r="P1778" i="30"/>
  <c r="L1776" i="30"/>
  <c r="H1774" i="30"/>
  <c r="Q1779" i="30"/>
  <c r="M1777" i="30"/>
  <c r="I1775" i="30"/>
  <c r="N1778" i="30"/>
  <c r="H1777" i="30"/>
  <c r="P1775" i="30"/>
  <c r="N1776" i="30"/>
  <c r="O1781" i="30"/>
  <c r="K1779" i="30"/>
  <c r="G1777" i="30"/>
  <c r="Q1774" i="30"/>
  <c r="L1780" i="30"/>
  <c r="H1778" i="30"/>
  <c r="R1775" i="30"/>
  <c r="M1781" i="30"/>
  <c r="I1779" i="30"/>
  <c r="S1776" i="30"/>
  <c r="O1774" i="30"/>
  <c r="J1776" i="30"/>
  <c r="R1774" i="30"/>
  <c r="T1779" i="30"/>
  <c r="G1781" i="30"/>
  <c r="Q1778" i="30"/>
  <c r="M1776" i="30"/>
  <c r="I1774" i="30"/>
  <c r="R1779" i="30"/>
  <c r="N1777" i="30"/>
  <c r="J1775" i="30"/>
  <c r="S1780" i="30"/>
  <c r="O1778" i="30"/>
  <c r="K1776" i="30"/>
  <c r="G1774" i="30"/>
  <c r="P1781" i="30"/>
  <c r="J1780" i="30"/>
  <c r="R1778" i="30"/>
  <c r="M1778" i="30"/>
  <c r="G1775" i="30"/>
  <c r="J1779" i="30"/>
  <c r="N1775" i="30"/>
  <c r="G1780" i="30"/>
  <c r="G1776" i="30"/>
  <c r="L1777" i="30"/>
  <c r="T1777" i="30"/>
  <c r="S1781" i="30"/>
  <c r="I1778" i="30"/>
  <c r="M1774" i="30"/>
  <c r="T1778" i="30"/>
  <c r="T1774" i="30"/>
  <c r="M1779" i="30"/>
  <c r="Q1775" i="30"/>
  <c r="H1775" i="30"/>
  <c r="R1776" i="30"/>
  <c r="M1780" i="30"/>
  <c r="Q1776" i="30"/>
  <c r="J1781" i="30"/>
  <c r="J1777" i="30"/>
  <c r="Q1781" i="30"/>
  <c r="G1778" i="30"/>
  <c r="K1774" i="30"/>
  <c r="J1778" i="30"/>
  <c r="J1774" i="30"/>
  <c r="I1780" i="30"/>
  <c r="I1776" i="30"/>
  <c r="P1780" i="30"/>
  <c r="T1776" i="30"/>
  <c r="I1781" i="30"/>
  <c r="Q1777" i="30"/>
  <c r="T1781" i="30"/>
  <c r="T1775" i="30"/>
  <c r="P1777" i="30"/>
  <c r="Q1780" i="30"/>
  <c r="N1781" i="30"/>
  <c r="L1774" i="30"/>
  <c r="S1774" i="30"/>
  <c r="L1775" i="30"/>
  <c r="O1779" i="30"/>
  <c r="H1780" i="30"/>
  <c r="O1780" i="30"/>
  <c r="R1780" i="30"/>
  <c r="H1781" i="30"/>
  <c r="G1779" i="30"/>
  <c r="N1779" i="30"/>
  <c r="K1780" i="30"/>
  <c r="P1779" i="30"/>
  <c r="S1777" i="30"/>
  <c r="L1778" i="30"/>
  <c r="S1778" i="30"/>
  <c r="N1780" i="30"/>
  <c r="K1777" i="30"/>
  <c r="R1777" i="30"/>
  <c r="K1778" i="30"/>
  <c r="L1779" i="30"/>
  <c r="S1775" i="30"/>
  <c r="P1776" i="30"/>
  <c r="I1777" i="30"/>
  <c r="L1781" i="30"/>
  <c r="O1775" i="30"/>
  <c r="H1776" i="30"/>
  <c r="O1776" i="30"/>
  <c r="H1779" i="30"/>
  <c r="K1781" i="30"/>
  <c r="R1781" i="30"/>
  <c r="M1775" i="30"/>
  <c r="N1774" i="30"/>
  <c r="P1774" i="30"/>
  <c r="U2590" i="30"/>
  <c r="M469" i="32" s="1"/>
  <c r="F151" i="13"/>
  <c r="F165" i="13" s="1"/>
  <c r="F166" i="13" s="1"/>
  <c r="U2744" i="30"/>
  <c r="N490" i="32" s="1"/>
  <c r="U1625" i="30"/>
  <c r="P336" i="32" s="1"/>
  <c r="U2336" i="30"/>
  <c r="N434" i="32" s="1"/>
  <c r="U2342" i="30"/>
  <c r="T434" i="32" s="1"/>
  <c r="U2133" i="30"/>
  <c r="O406" i="32" s="1"/>
  <c r="U1729" i="30"/>
  <c r="S350" i="32" s="1"/>
  <c r="P223" i="13"/>
  <c r="AP223" i="13" s="1"/>
  <c r="AR223" i="13" s="1"/>
  <c r="AS223" i="13" s="1"/>
  <c r="U1577" i="30"/>
  <c r="S329" i="32" s="1"/>
  <c r="U1576" i="30"/>
  <c r="R329" i="32" s="1"/>
  <c r="U2488" i="30"/>
  <c r="M455" i="32" s="1"/>
  <c r="U2284" i="30"/>
  <c r="M427" i="32" s="1"/>
  <c r="U2440" i="30"/>
  <c r="P448" i="32" s="1"/>
  <c r="BL634" i="13"/>
  <c r="BM634" i="13" s="1"/>
  <c r="G2331" i="30" a="1"/>
  <c r="U2235" i="30"/>
  <c r="O420" i="32" s="1"/>
  <c r="U2236" i="30"/>
  <c r="P420" i="32" s="1"/>
  <c r="U2184" i="30"/>
  <c r="O413" i="32" s="1"/>
  <c r="N413" i="32"/>
  <c r="U2183" i="30"/>
  <c r="U2189" i="30"/>
  <c r="T413" i="32" s="1"/>
  <c r="U1826" i="30"/>
  <c r="N364" i="32" s="1"/>
  <c r="U1831" i="30"/>
  <c r="S364" i="32" s="1"/>
  <c r="U2646" i="30"/>
  <c r="R476" i="32" s="1"/>
  <c r="U2641" i="30"/>
  <c r="M476" i="32" s="1"/>
  <c r="U2642" i="30"/>
  <c r="N476" i="32" s="1"/>
  <c r="Q508" i="13"/>
  <c r="U2539" i="30"/>
  <c r="M462" i="32" s="1"/>
  <c r="U2543" i="30"/>
  <c r="Q462" i="32" s="1"/>
  <c r="S283" i="13"/>
  <c r="BE283" i="13" s="1"/>
  <c r="BG283" i="13" s="1"/>
  <c r="BH283" i="13" s="1"/>
  <c r="U1472" i="30"/>
  <c r="P315" i="32" s="1"/>
  <c r="Q628" i="13"/>
  <c r="BE846" i="13"/>
  <c r="BG846" i="13" s="1"/>
  <c r="BH846" i="13" s="1"/>
  <c r="S263" i="13"/>
  <c r="BE263" i="13" s="1"/>
  <c r="BG263" i="13" s="1"/>
  <c r="BH263" i="13" s="1"/>
  <c r="AF494" i="13"/>
  <c r="N508" i="13"/>
  <c r="U263" i="13"/>
  <c r="U265" i="13" s="1"/>
  <c r="U266" i="13" s="1"/>
  <c r="AU666" i="13"/>
  <c r="AW666" i="13" s="1"/>
  <c r="AX666" i="13" s="1"/>
  <c r="Q223" i="13"/>
  <c r="AU223" i="13" s="1"/>
  <c r="AW223" i="13" s="1"/>
  <c r="AX223" i="13" s="1"/>
  <c r="AK414" i="13"/>
  <c r="O428" i="13"/>
  <c r="AF666" i="13"/>
  <c r="AH666" i="13" s="1"/>
  <c r="AI666" i="13" s="1"/>
  <c r="N223" i="13"/>
  <c r="AF223" i="13" s="1"/>
  <c r="AH223" i="13" s="1"/>
  <c r="AI223" i="13" s="1"/>
  <c r="BJ486" i="13"/>
  <c r="BL486" i="13" s="1"/>
  <c r="BM486" i="13" s="1"/>
  <c r="K433" i="11"/>
  <c r="K509" i="11" s="1"/>
  <c r="T283" i="13"/>
  <c r="BJ283" i="13" s="1"/>
  <c r="BL283" i="13" s="1"/>
  <c r="BM283" i="13" s="1"/>
  <c r="U1883" i="30"/>
  <c r="T371" i="32" s="1"/>
  <c r="U2086" i="30"/>
  <c r="S399" i="32" s="1"/>
  <c r="U2593" i="30"/>
  <c r="P469" i="32" s="1"/>
  <c r="U2030" i="30"/>
  <c r="N392" i="32" s="1"/>
  <c r="U2035" i="30"/>
  <c r="S392" i="32" s="1"/>
  <c r="U2746" i="30"/>
  <c r="P490" i="32" s="1"/>
  <c r="U2750" i="30"/>
  <c r="T490" i="32" s="1"/>
  <c r="U1629" i="30"/>
  <c r="T336" i="32" s="1"/>
  <c r="U2337" i="30"/>
  <c r="O434" i="32" s="1"/>
  <c r="U2138" i="30"/>
  <c r="T406" i="32" s="1"/>
  <c r="N1323" i="30"/>
  <c r="J1321" i="30"/>
  <c r="T1318" i="30"/>
  <c r="P1316" i="30"/>
  <c r="K1322" i="30"/>
  <c r="G1320" i="30"/>
  <c r="Q1317" i="30"/>
  <c r="P1323" i="30"/>
  <c r="L1321" i="30"/>
  <c r="T1322" i="30"/>
  <c r="P1320" i="30"/>
  <c r="L1318" i="30"/>
  <c r="H1316" i="30"/>
  <c r="Q1321" i="30"/>
  <c r="M1319" i="30"/>
  <c r="I1317" i="30"/>
  <c r="H1323" i="30"/>
  <c r="R1320" i="30"/>
  <c r="L1322" i="30"/>
  <c r="H1320" i="30"/>
  <c r="R1317" i="30"/>
  <c r="M1323" i="30"/>
  <c r="I1321" i="30"/>
  <c r="S1318" i="30"/>
  <c r="O1316" i="30"/>
  <c r="N1322" i="30"/>
  <c r="J1320" i="30"/>
  <c r="H1322" i="30"/>
  <c r="P1318" i="30"/>
  <c r="S1322" i="30"/>
  <c r="I1319" i="30"/>
  <c r="T1323" i="30"/>
  <c r="T1319" i="30"/>
  <c r="P1317" i="30"/>
  <c r="Q1320" i="30"/>
  <c r="M1320" i="30"/>
  <c r="G1319" i="30"/>
  <c r="O1317" i="30"/>
  <c r="R1321" i="30"/>
  <c r="H1318" i="30"/>
  <c r="O1322" i="30"/>
  <c r="O1318" i="30"/>
  <c r="L1323" i="30"/>
  <c r="P1319" i="30"/>
  <c r="L1317" i="30"/>
  <c r="O1319" i="30"/>
  <c r="K1319" i="30"/>
  <c r="S1317" i="30"/>
  <c r="M1316" i="30"/>
  <c r="L1320" i="30"/>
  <c r="T1316" i="30"/>
  <c r="S1320" i="30"/>
  <c r="M1317" i="30"/>
  <c r="T1321" i="30"/>
  <c r="R1318" i="30"/>
  <c r="N1316" i="30"/>
  <c r="I1316" i="30"/>
  <c r="O1323" i="30"/>
  <c r="I1322" i="30"/>
  <c r="R1323" i="30"/>
  <c r="R1319" i="30"/>
  <c r="L1316" i="30"/>
  <c r="O1320" i="30"/>
  <c r="S1316" i="30"/>
  <c r="P1321" i="30"/>
  <c r="N1318" i="30"/>
  <c r="J1316" i="30"/>
  <c r="S1323" i="30"/>
  <c r="M1322" i="30"/>
  <c r="G1321" i="30"/>
  <c r="P1322" i="30"/>
  <c r="I1323" i="30"/>
  <c r="G1316" i="30"/>
  <c r="T1317" i="30"/>
  <c r="O1321" i="30"/>
  <c r="Q1318" i="30"/>
  <c r="N1321" i="30"/>
  <c r="G1322" i="30"/>
  <c r="R1322" i="30"/>
  <c r="H1317" i="30"/>
  <c r="I1318" i="30"/>
  <c r="T1320" i="30"/>
  <c r="M1321" i="30"/>
  <c r="J1322" i="30"/>
  <c r="R1316" i="30"/>
  <c r="G1317" i="30"/>
  <c r="N1319" i="30"/>
  <c r="K1320" i="30"/>
  <c r="H1321" i="30"/>
  <c r="G1323" i="30"/>
  <c r="K1321" i="30"/>
  <c r="J1319" i="30"/>
  <c r="Q1319" i="30"/>
  <c r="N1320" i="30"/>
  <c r="S1321" i="30"/>
  <c r="I1320" i="30"/>
  <c r="N1317" i="30"/>
  <c r="K1318" i="30"/>
  <c r="L1319" i="30"/>
  <c r="M1318" i="30"/>
  <c r="Q1316" i="30"/>
  <c r="J1317" i="30"/>
  <c r="G1318" i="30"/>
  <c r="H1319" i="30"/>
  <c r="K1317" i="30"/>
  <c r="K1323" i="30"/>
  <c r="K1316" i="30"/>
  <c r="J1318" i="30"/>
  <c r="Q1322" i="30"/>
  <c r="J1323" i="30"/>
  <c r="Q1323" i="30"/>
  <c r="S1319" i="30"/>
  <c r="U1726" i="30"/>
  <c r="P350" i="32" s="1"/>
  <c r="U1571" i="30"/>
  <c r="M329" i="32" s="1"/>
  <c r="U2491" i="30"/>
  <c r="P455" i="32" s="1"/>
  <c r="U2492" i="30"/>
  <c r="Q455" i="32" s="1"/>
  <c r="U2290" i="30"/>
  <c r="S427" i="32" s="1"/>
  <c r="U2796" i="30"/>
  <c r="U2799" i="30"/>
  <c r="U2441" i="30"/>
  <c r="Q448" i="32" s="1"/>
  <c r="R283" i="13"/>
  <c r="AZ283" i="13" s="1"/>
  <c r="BB283" i="13" s="1"/>
  <c r="BC283" i="13" s="1"/>
  <c r="U2239" i="30"/>
  <c r="S420" i="32" s="1"/>
  <c r="U1932" i="30"/>
  <c r="R378" i="32" s="1"/>
  <c r="U1927" i="30"/>
  <c r="M378" i="32" s="1"/>
  <c r="U1829" i="30"/>
  <c r="Q364" i="32" s="1"/>
  <c r="AW494" i="13"/>
  <c r="AX494" i="13" s="1"/>
  <c r="G1962" i="30" a="1"/>
  <c r="U1527" i="30"/>
  <c r="T322" i="32" s="1"/>
  <c r="U2546" i="30"/>
  <c r="T462" i="32" s="1"/>
  <c r="U1474" i="30"/>
  <c r="R315" i="32" s="1"/>
  <c r="U1423" i="30"/>
  <c r="R308" i="32" s="1"/>
  <c r="AW614" i="13"/>
  <c r="AX614" i="13" s="1"/>
  <c r="AP694" i="13"/>
  <c r="P708" i="13"/>
  <c r="BE814" i="13"/>
  <c r="BG814" i="13" s="1"/>
  <c r="BH814" i="13" s="1"/>
  <c r="G2786" i="30" s="1" a="1"/>
  <c r="S231" i="13"/>
  <c r="S828" i="13"/>
  <c r="AZ774" i="13"/>
  <c r="R788" i="13"/>
  <c r="AZ726" i="13"/>
  <c r="BB726" i="13" s="1"/>
  <c r="BC726" i="13" s="1"/>
  <c r="I490" i="11"/>
  <c r="I509" i="11" s="1"/>
  <c r="U2693" i="30"/>
  <c r="N483" i="32" s="1"/>
  <c r="U2391" i="30"/>
  <c r="R441" i="32" s="1"/>
  <c r="U2085" i="30"/>
  <c r="R399" i="32" s="1"/>
  <c r="U2748" i="30"/>
  <c r="R490" i="32" s="1"/>
  <c r="AR674" i="13"/>
  <c r="AS674" i="13" s="1"/>
  <c r="G2417" i="30" s="1" a="1"/>
  <c r="U2137" i="30"/>
  <c r="S406" i="32" s="1"/>
  <c r="U1727" i="30"/>
  <c r="Q350" i="32" s="1"/>
  <c r="U1723" i="30"/>
  <c r="M350" i="32" s="1"/>
  <c r="U1572" i="30"/>
  <c r="N329" i="32" s="1"/>
  <c r="U2286" i="30"/>
  <c r="O427" i="32" s="1"/>
  <c r="U2289" i="30"/>
  <c r="R427" i="32" s="1"/>
  <c r="U2800" i="30"/>
  <c r="U2797" i="30"/>
  <c r="U2233" i="30"/>
  <c r="M420" i="32" s="1"/>
  <c r="U2187" i="30"/>
  <c r="R413" i="32" s="1"/>
  <c r="U1980" i="30"/>
  <c r="O385" i="32" s="1"/>
  <c r="U1979" i="30"/>
  <c r="N385" i="32" s="1"/>
  <c r="U1984" i="30"/>
  <c r="S385" i="32" s="1"/>
  <c r="U1982" i="30"/>
  <c r="Q385" i="32" s="1"/>
  <c r="U1933" i="30"/>
  <c r="S378" i="32" s="1"/>
  <c r="U1928" i="30"/>
  <c r="N378" i="32" s="1"/>
  <c r="U1522" i="30"/>
  <c r="O322" i="32" s="1"/>
  <c r="U1471" i="30"/>
  <c r="O315" i="32" s="1"/>
  <c r="G2947" i="30" a="1"/>
  <c r="AZ406" i="13"/>
  <c r="BB406" i="13" s="1"/>
  <c r="BC406" i="13" s="1"/>
  <c r="R203" i="13"/>
  <c r="AZ203" i="13" s="1"/>
  <c r="BB203" i="13" s="1"/>
  <c r="BC203" i="13" s="1"/>
  <c r="AU826" i="13"/>
  <c r="AW826" i="13" s="1"/>
  <c r="AX826" i="13" s="1"/>
  <c r="Q243" i="13"/>
  <c r="AU243" i="13" s="1"/>
  <c r="AW243" i="13" s="1"/>
  <c r="AX243" i="13" s="1"/>
  <c r="H433" i="11"/>
  <c r="AU486" i="13"/>
  <c r="AW486" i="13" s="1"/>
  <c r="AX486" i="13" s="1"/>
  <c r="Q283" i="13"/>
  <c r="AU283" i="13" s="1"/>
  <c r="AW283" i="13" s="1"/>
  <c r="AX283" i="13" s="1"/>
  <c r="AP566" i="13"/>
  <c r="AR566" i="13" s="1"/>
  <c r="AS566" i="13" s="1"/>
  <c r="G452" i="11"/>
  <c r="G509" i="11" s="1"/>
  <c r="N251" i="13"/>
  <c r="N848" i="13"/>
  <c r="AF834" i="13"/>
  <c r="AF726" i="13"/>
  <c r="AH726" i="13" s="1"/>
  <c r="AI726" i="13" s="1"/>
  <c r="E490" i="11"/>
  <c r="AK666" i="13"/>
  <c r="AM666" i="13" s="1"/>
  <c r="AN666" i="13" s="1"/>
  <c r="O223" i="13"/>
  <c r="AK223" i="13" s="1"/>
  <c r="AM223" i="13" s="1"/>
  <c r="AN223" i="13" s="1"/>
  <c r="BE406" i="13"/>
  <c r="BG406" i="13" s="1"/>
  <c r="BH406" i="13" s="1"/>
  <c r="S203" i="13"/>
  <c r="BE203" i="13" s="1"/>
  <c r="BG203" i="13" s="1"/>
  <c r="BH203" i="13" s="1"/>
  <c r="U2696" i="30"/>
  <c r="Q483" i="32" s="1"/>
  <c r="U2393" i="30"/>
  <c r="T441" i="32" s="1"/>
  <c r="U1878" i="30"/>
  <c r="O371" i="32" s="1"/>
  <c r="U1879" i="30"/>
  <c r="P371" i="32" s="1"/>
  <c r="O1271" i="30"/>
  <c r="K1269" i="30"/>
  <c r="G1267" i="30"/>
  <c r="T1272" i="30"/>
  <c r="P1270" i="30"/>
  <c r="L1268" i="30"/>
  <c r="H1266" i="30"/>
  <c r="Q1271" i="30"/>
  <c r="M1269" i="30"/>
  <c r="I1267" i="30"/>
  <c r="T1271" i="30"/>
  <c r="P1271" i="30"/>
  <c r="J1270" i="30"/>
  <c r="J1272" i="30"/>
  <c r="Q1270" i="30"/>
  <c r="M1268" i="30"/>
  <c r="I1266" i="30"/>
  <c r="H1272" i="30"/>
  <c r="R1269" i="30"/>
  <c r="N1267" i="30"/>
  <c r="J1265" i="30"/>
  <c r="S1270" i="30"/>
  <c r="O1268" i="30"/>
  <c r="K1266" i="30"/>
  <c r="N1268" i="30"/>
  <c r="J1268" i="30"/>
  <c r="R1266" i="30"/>
  <c r="N1266" i="30"/>
  <c r="R1271" i="30"/>
  <c r="L1267" i="30"/>
  <c r="Q1272" i="30"/>
  <c r="M1270" i="30"/>
  <c r="I1268" i="30"/>
  <c r="S1265" i="30"/>
  <c r="N1269" i="30"/>
  <c r="J1267" i="30"/>
  <c r="S1272" i="30"/>
  <c r="O1270" i="30"/>
  <c r="K1268" i="30"/>
  <c r="G1266" i="30"/>
  <c r="H1267" i="30"/>
  <c r="P1265" i="30"/>
  <c r="M1272" i="30"/>
  <c r="I1270" i="30"/>
  <c r="S1267" i="30"/>
  <c r="O1265" i="30"/>
  <c r="N1271" i="30"/>
  <c r="J1269" i="30"/>
  <c r="T1266" i="30"/>
  <c r="O1272" i="30"/>
  <c r="K1270" i="30"/>
  <c r="G1268" i="30"/>
  <c r="Q1265" i="30"/>
  <c r="J1266" i="30"/>
  <c r="T1265" i="30"/>
  <c r="T1269" i="30"/>
  <c r="I1272" i="30"/>
  <c r="S1269" i="30"/>
  <c r="O1267" i="30"/>
  <c r="K1265" i="30"/>
  <c r="J1271" i="30"/>
  <c r="T1268" i="30"/>
  <c r="P1266" i="30"/>
  <c r="K1272" i="30"/>
  <c r="G1270" i="30"/>
  <c r="Q1267" i="30"/>
  <c r="M1265" i="30"/>
  <c r="H1265" i="30"/>
  <c r="N1272" i="30"/>
  <c r="L1265" i="30"/>
  <c r="O1269" i="30"/>
  <c r="L1272" i="30"/>
  <c r="R1265" i="30"/>
  <c r="M1267" i="30"/>
  <c r="L1269" i="30"/>
  <c r="L1270" i="30"/>
  <c r="H1269" i="30"/>
  <c r="O1266" i="30"/>
  <c r="K1267" i="30"/>
  <c r="H1270" i="30"/>
  <c r="M1271" i="30"/>
  <c r="I1265" i="30"/>
  <c r="T1267" i="30"/>
  <c r="T1270" i="30"/>
  <c r="S1266" i="30"/>
  <c r="G1272" i="30"/>
  <c r="Q1266" i="30"/>
  <c r="P1268" i="30"/>
  <c r="I1271" i="30"/>
  <c r="R1270" i="30"/>
  <c r="R1268" i="30"/>
  <c r="L1266" i="30"/>
  <c r="N1265" i="30"/>
  <c r="L1271" i="30"/>
  <c r="S1271" i="30"/>
  <c r="M1266" i="30"/>
  <c r="H1268" i="30"/>
  <c r="Q1269" i="30"/>
  <c r="P1269" i="30"/>
  <c r="P1267" i="30"/>
  <c r="P1272" i="30"/>
  <c r="N1270" i="30"/>
  <c r="G1269" i="30"/>
  <c r="Q1268" i="30"/>
  <c r="K1271" i="30"/>
  <c r="G1265" i="30"/>
  <c r="R1267" i="30"/>
  <c r="I1269" i="30"/>
  <c r="R1272" i="30"/>
  <c r="H1271" i="30"/>
  <c r="G1271" i="30"/>
  <c r="S1268" i="30"/>
  <c r="U2591" i="30"/>
  <c r="N469" i="32" s="1"/>
  <c r="U2596" i="30"/>
  <c r="S469" i="32" s="1"/>
  <c r="U2034" i="30"/>
  <c r="R392" i="32" s="1"/>
  <c r="AP688" i="13"/>
  <c r="AR688" i="13" s="1"/>
  <c r="AS688" i="13" s="1"/>
  <c r="P689" i="13"/>
  <c r="AP689" i="13" s="1"/>
  <c r="AR689" i="13" s="1"/>
  <c r="AS689" i="13" s="1"/>
  <c r="U283" i="13"/>
  <c r="U2135" i="30"/>
  <c r="Q406" i="32" s="1"/>
  <c r="U1725" i="30"/>
  <c r="O350" i="32" s="1"/>
  <c r="T628" i="13"/>
  <c r="U1573" i="30"/>
  <c r="O329" i="32" s="1"/>
  <c r="U1578" i="30"/>
  <c r="T329" i="32" s="1"/>
  <c r="U2285" i="30"/>
  <c r="N427" i="32" s="1"/>
  <c r="U2291" i="30"/>
  <c r="T427" i="32" s="1"/>
  <c r="U2437" i="30"/>
  <c r="M448" i="32" s="1"/>
  <c r="U2238" i="30"/>
  <c r="R420" i="32" s="1"/>
  <c r="U2188" i="30"/>
  <c r="S413" i="32" s="1"/>
  <c r="U1978" i="30"/>
  <c r="M385" i="32" s="1"/>
  <c r="G151" i="13"/>
  <c r="G165" i="13" s="1"/>
  <c r="G166" i="13" s="1"/>
  <c r="U1934" i="30"/>
  <c r="T378" i="32" s="1"/>
  <c r="U2644" i="30"/>
  <c r="P476" i="32" s="1"/>
  <c r="U1520" i="30"/>
  <c r="M322" i="32" s="1"/>
  <c r="U2545" i="30"/>
  <c r="S462" i="32" s="1"/>
  <c r="U2544" i="30"/>
  <c r="R462" i="32" s="1"/>
  <c r="U1476" i="30"/>
  <c r="T315" i="32" s="1"/>
  <c r="BE746" i="13"/>
  <c r="BG746" i="13" s="1"/>
  <c r="BH746" i="13" s="1"/>
  <c r="U183" i="13"/>
  <c r="U628" i="13"/>
  <c r="U629" i="13" s="1"/>
  <c r="U428" i="13"/>
  <c r="U429" i="13" s="1"/>
  <c r="U788" i="13"/>
  <c r="U789" i="13" s="1"/>
  <c r="U768" i="13"/>
  <c r="U769" i="13" s="1"/>
  <c r="U348" i="13"/>
  <c r="U349" i="13" s="1"/>
  <c r="U528" i="13"/>
  <c r="U529" i="13" s="1"/>
  <c r="U328" i="13"/>
  <c r="U329" i="13" s="1"/>
  <c r="U648" i="13"/>
  <c r="U649" i="13" s="1"/>
  <c r="U368" i="13"/>
  <c r="U369" i="13" s="1"/>
  <c r="U468" i="13"/>
  <c r="U469" i="13" s="1"/>
  <c r="U708" i="13"/>
  <c r="U709" i="13" s="1"/>
  <c r="U688" i="13"/>
  <c r="U689" i="13" s="1"/>
  <c r="AU446" i="13"/>
  <c r="AW446" i="13" s="1"/>
  <c r="AX446" i="13" s="1"/>
  <c r="BJ446" i="13"/>
  <c r="BL446" i="13" s="1"/>
  <c r="BM446" i="13" s="1"/>
  <c r="AK446" i="13"/>
  <c r="AM446" i="13" s="1"/>
  <c r="AN446" i="13" s="1"/>
  <c r="J509" i="11" l="1"/>
  <c r="T294" i="32"/>
  <c r="U1673" i="30"/>
  <c r="M343" i="32" s="1"/>
  <c r="T287" i="32"/>
  <c r="U1778" i="30"/>
  <c r="Q357" i="32" s="1"/>
  <c r="U1220" i="30"/>
  <c r="S280" i="32" s="1"/>
  <c r="T2418" i="30"/>
  <c r="G2417" i="30"/>
  <c r="J2420" i="30"/>
  <c r="N2418" i="30"/>
  <c r="N2420" i="30"/>
  <c r="O2417" i="30"/>
  <c r="T2417" i="30"/>
  <c r="O2418" i="30"/>
  <c r="H2420" i="30"/>
  <c r="P2417" i="30"/>
  <c r="K2417" i="30"/>
  <c r="Q2419" i="30"/>
  <c r="K2419" i="30"/>
  <c r="S2420" i="30"/>
  <c r="O2419" i="30"/>
  <c r="R2419" i="30"/>
  <c r="R2417" i="30"/>
  <c r="I2419" i="30"/>
  <c r="R2420" i="30"/>
  <c r="K2418" i="30"/>
  <c r="T2419" i="30"/>
  <c r="P2419" i="30"/>
  <c r="L2420" i="30"/>
  <c r="I2420" i="30"/>
  <c r="H2417" i="30"/>
  <c r="T2420" i="30"/>
  <c r="H2419" i="30"/>
  <c r="J2417" i="30"/>
  <c r="M2419" i="30"/>
  <c r="Q2418" i="30"/>
  <c r="Q2420" i="30"/>
  <c r="G2419" i="30"/>
  <c r="O2420" i="30"/>
  <c r="N2419" i="30"/>
  <c r="N2417" i="30"/>
  <c r="L2417" i="30"/>
  <c r="Q2417" i="30"/>
  <c r="M2417" i="30"/>
  <c r="G2420" i="30"/>
  <c r="M2420" i="30"/>
  <c r="S2419" i="30"/>
  <c r="P2420" i="30"/>
  <c r="H2418" i="30"/>
  <c r="P2418" i="30"/>
  <c r="I2417" i="30"/>
  <c r="I2418" i="30"/>
  <c r="J2419" i="30"/>
  <c r="R2418" i="30"/>
  <c r="K2420" i="30"/>
  <c r="J2418" i="30"/>
  <c r="L2418" i="30"/>
  <c r="S2417" i="30"/>
  <c r="L2419" i="30"/>
  <c r="G2418" i="30"/>
  <c r="M2418" i="30"/>
  <c r="S2418" i="30"/>
  <c r="BJ406" i="13"/>
  <c r="BL406" i="13" s="1"/>
  <c r="BM406" i="13" s="1"/>
  <c r="T203" i="13"/>
  <c r="BJ203" i="13" s="1"/>
  <c r="AK514" i="13"/>
  <c r="AM514" i="13" s="1"/>
  <c r="AN514" i="13" s="1"/>
  <c r="G2005" i="30" s="1" a="1"/>
  <c r="O528" i="13"/>
  <c r="G2241" i="30" a="1"/>
  <c r="AF614" i="13"/>
  <c r="N628" i="13"/>
  <c r="AU414" i="13"/>
  <c r="Q428" i="13"/>
  <c r="BE474" i="13"/>
  <c r="BG474" i="13" s="1"/>
  <c r="BH474" i="13" s="1"/>
  <c r="G1919" i="30" s="1" a="1"/>
  <c r="J421" i="11"/>
  <c r="J435" i="11" s="1"/>
  <c r="S488" i="13"/>
  <c r="S271" i="13"/>
  <c r="AP774" i="13"/>
  <c r="P788" i="13"/>
  <c r="BJ474" i="13"/>
  <c r="K421" i="11"/>
  <c r="K435" i="11" s="1"/>
  <c r="T488" i="13"/>
  <c r="T271" i="13"/>
  <c r="AU774" i="13"/>
  <c r="Q788" i="13"/>
  <c r="R628" i="13"/>
  <c r="AZ614" i="13"/>
  <c r="R608" i="13"/>
  <c r="AZ594" i="13"/>
  <c r="P528" i="13"/>
  <c r="AP514" i="13"/>
  <c r="BJ354" i="13"/>
  <c r="T368" i="13"/>
  <c r="R368" i="13"/>
  <c r="AZ354" i="13"/>
  <c r="G2649" i="30" a="1"/>
  <c r="N788" i="13"/>
  <c r="AF774" i="13"/>
  <c r="R251" i="13"/>
  <c r="R848" i="13"/>
  <c r="AZ834" i="13"/>
  <c r="U1265" i="30"/>
  <c r="M287" i="32" s="1"/>
  <c r="AF251" i="13"/>
  <c r="N265" i="13"/>
  <c r="BB774" i="13"/>
  <c r="BC774" i="13" s="1"/>
  <c r="U2332" i="30"/>
  <c r="G2331" i="30"/>
  <c r="U2331" i="30" s="1"/>
  <c r="S431" i="32"/>
  <c r="I41" i="31" s="1"/>
  <c r="S430" i="32"/>
  <c r="H41" i="31" s="1"/>
  <c r="U1779" i="30"/>
  <c r="R357" i="32" s="1"/>
  <c r="U1776" i="30"/>
  <c r="O357" i="32" s="1"/>
  <c r="BB314" i="13"/>
  <c r="BC314" i="13" s="1"/>
  <c r="AH634" i="13"/>
  <c r="AI634" i="13" s="1"/>
  <c r="BL243" i="13"/>
  <c r="BM243" i="13" s="1"/>
  <c r="U67" i="13" s="1"/>
  <c r="S67" i="13"/>
  <c r="Y67" i="13" s="1"/>
  <c r="AA67" i="13" s="1"/>
  <c r="U211" i="13"/>
  <c r="U225" i="13" s="1"/>
  <c r="U226" i="13" s="1"/>
  <c r="U1115" i="30"/>
  <c r="P266" i="32" s="1"/>
  <c r="AR454" i="13"/>
  <c r="AS454" i="13" s="1"/>
  <c r="U1373" i="30"/>
  <c r="S301" i="32" s="1"/>
  <c r="U1371" i="30"/>
  <c r="Q301" i="32" s="1"/>
  <c r="U1367" i="30"/>
  <c r="M301" i="32" s="1"/>
  <c r="E435" i="11"/>
  <c r="U1678" i="30"/>
  <c r="R343" i="32" s="1"/>
  <c r="AP488" i="13"/>
  <c r="AR488" i="13" s="1"/>
  <c r="AS488" i="13" s="1"/>
  <c r="P489" i="13"/>
  <c r="AP489" i="13" s="1"/>
  <c r="AR489" i="13" s="1"/>
  <c r="AS489" i="13" s="1"/>
  <c r="BE454" i="13"/>
  <c r="BG454" i="13" s="1"/>
  <c r="BH454" i="13" s="1"/>
  <c r="G1868" i="30" s="1" a="1"/>
  <c r="S468" i="13"/>
  <c r="AK594" i="13"/>
  <c r="AM594" i="13" s="1"/>
  <c r="AN594" i="13" s="1"/>
  <c r="G2209" i="30" s="1" a="1"/>
  <c r="O608" i="13"/>
  <c r="AU834" i="13"/>
  <c r="Q251" i="13"/>
  <c r="Q848" i="13"/>
  <c r="AP734" i="13"/>
  <c r="P748" i="13"/>
  <c r="AK634" i="13"/>
  <c r="O648" i="13"/>
  <c r="AK334" i="13"/>
  <c r="O348" i="13"/>
  <c r="BJ454" i="13"/>
  <c r="T468" i="13"/>
  <c r="R648" i="13"/>
  <c r="AZ634" i="13"/>
  <c r="BE494" i="13"/>
  <c r="BG494" i="13" s="1"/>
  <c r="BH494" i="13" s="1"/>
  <c r="G1970" i="30" s="1" a="1"/>
  <c r="S508" i="13"/>
  <c r="O328" i="13"/>
  <c r="AK314" i="13"/>
  <c r="BJ628" i="13"/>
  <c r="BL628" i="13" s="1"/>
  <c r="BM628" i="13" s="1"/>
  <c r="T629" i="13"/>
  <c r="BJ629" i="13" s="1"/>
  <c r="BL629" i="13" s="1"/>
  <c r="BM629" i="13" s="1"/>
  <c r="U1270" i="30"/>
  <c r="R287" i="32" s="1"/>
  <c r="S829" i="13"/>
  <c r="BE829" i="13" s="1"/>
  <c r="BG829" i="13" s="1"/>
  <c r="BH829" i="13" s="1"/>
  <c r="BE828" i="13"/>
  <c r="BG828" i="13" s="1"/>
  <c r="BH828" i="13" s="1"/>
  <c r="N509" i="13"/>
  <c r="AF509" i="13" s="1"/>
  <c r="AH509" i="13" s="1"/>
  <c r="AI509" i="13" s="1"/>
  <c r="AF508" i="13"/>
  <c r="AH508" i="13" s="1"/>
  <c r="AI508" i="13" s="1"/>
  <c r="U1780" i="30"/>
  <c r="S357" i="32" s="1"/>
  <c r="U1774" i="30"/>
  <c r="M357" i="32" s="1"/>
  <c r="BB414" i="13"/>
  <c r="BC414" i="13" s="1"/>
  <c r="H509" i="11"/>
  <c r="T266" i="32"/>
  <c r="U1119" i="30"/>
  <c r="U1114" i="30"/>
  <c r="O266" i="32" s="1"/>
  <c r="AP468" i="13"/>
  <c r="AR468" i="13" s="1"/>
  <c r="AS468" i="13" s="1"/>
  <c r="P469" i="13"/>
  <c r="AP469" i="13" s="1"/>
  <c r="AR469" i="13" s="1"/>
  <c r="AS469" i="13" s="1"/>
  <c r="U1372" i="30"/>
  <c r="R301" i="32" s="1"/>
  <c r="S369" i="13"/>
  <c r="BE369" i="13" s="1"/>
  <c r="BG369" i="13" s="1"/>
  <c r="BH369" i="13" s="1"/>
  <c r="BE368" i="13"/>
  <c r="BG368" i="13" s="1"/>
  <c r="BH368" i="13" s="1"/>
  <c r="U1676" i="30"/>
  <c r="P343" i="32" s="1"/>
  <c r="AH734" i="13"/>
  <c r="AI734" i="13" s="1"/>
  <c r="Q203" i="13"/>
  <c r="AU203" i="13" s="1"/>
  <c r="AW203" i="13" s="1"/>
  <c r="AX203" i="13" s="1"/>
  <c r="AU406" i="13"/>
  <c r="AW406" i="13" s="1"/>
  <c r="AX406" i="13" s="1"/>
  <c r="R468" i="13"/>
  <c r="AZ454" i="13"/>
  <c r="BJ674" i="13"/>
  <c r="T688" i="13"/>
  <c r="BJ694" i="13"/>
  <c r="T708" i="13"/>
  <c r="BE734" i="13"/>
  <c r="BG734" i="13" s="1"/>
  <c r="BH734" i="13" s="1"/>
  <c r="G2582" i="30" s="1" a="1"/>
  <c r="S748" i="13"/>
  <c r="BE774" i="13"/>
  <c r="BG774" i="13" s="1"/>
  <c r="BH774" i="13" s="1"/>
  <c r="G2684" i="30" s="1" a="1"/>
  <c r="S788" i="13"/>
  <c r="AZ754" i="13"/>
  <c r="R768" i="13"/>
  <c r="BJ734" i="13"/>
  <c r="T748" i="13"/>
  <c r="BJ414" i="13"/>
  <c r="T428" i="13"/>
  <c r="BE834" i="13"/>
  <c r="BG834" i="13" s="1"/>
  <c r="BH834" i="13" s="1"/>
  <c r="G2837" i="30" s="1" a="1"/>
  <c r="S848" i="13"/>
  <c r="S251" i="13"/>
  <c r="BE674" i="13"/>
  <c r="BG674" i="13" s="1"/>
  <c r="BH674" i="13" s="1"/>
  <c r="G2429" i="30" s="1" a="1"/>
  <c r="S688" i="13"/>
  <c r="AU694" i="13"/>
  <c r="Q708" i="13"/>
  <c r="AF414" i="13"/>
  <c r="N428" i="13"/>
  <c r="E478" i="11"/>
  <c r="N728" i="13"/>
  <c r="AF714" i="13"/>
  <c r="AP406" i="13"/>
  <c r="AR406" i="13" s="1"/>
  <c r="AS406" i="13" s="1"/>
  <c r="P203" i="13"/>
  <c r="AP203" i="13" s="1"/>
  <c r="AR203" i="13" s="1"/>
  <c r="AS203" i="13" s="1"/>
  <c r="U1266" i="30"/>
  <c r="N287" i="32" s="1"/>
  <c r="K528" i="11"/>
  <c r="E509" i="11"/>
  <c r="J2949" i="30"/>
  <c r="S2952" i="30"/>
  <c r="S2951" i="30"/>
  <c r="J2951" i="30"/>
  <c r="R2947" i="30"/>
  <c r="J2954" i="30"/>
  <c r="R2948" i="30"/>
  <c r="H2951" i="30"/>
  <c r="L2947" i="30"/>
  <c r="S2949" i="30"/>
  <c r="I2949" i="30"/>
  <c r="I2952" i="30"/>
  <c r="R2954" i="30"/>
  <c r="M2954" i="30"/>
  <c r="T2951" i="30"/>
  <c r="Q2949" i="30"/>
  <c r="H2949" i="30"/>
  <c r="S2947" i="30"/>
  <c r="T2952" i="30"/>
  <c r="S2948" i="30"/>
  <c r="H2954" i="30"/>
  <c r="N2954" i="30"/>
  <c r="P2949" i="30"/>
  <c r="J2952" i="30"/>
  <c r="G2952" i="30"/>
  <c r="M2953" i="30"/>
  <c r="I2953" i="30"/>
  <c r="K2950" i="30"/>
  <c r="T2947" i="30"/>
  <c r="N2951" i="30"/>
  <c r="N2952" i="30"/>
  <c r="H2948" i="30"/>
  <c r="M2947" i="30"/>
  <c r="G2948" i="30"/>
  <c r="H2953" i="30"/>
  <c r="L2951" i="30"/>
  <c r="P2951" i="30"/>
  <c r="J2950" i="30"/>
  <c r="P2947" i="30"/>
  <c r="R2951" i="30"/>
  <c r="O2954" i="30"/>
  <c r="L2952" i="30"/>
  <c r="G2954" i="30"/>
  <c r="S2950" i="30"/>
  <c r="P2953" i="30"/>
  <c r="J2953" i="30"/>
  <c r="O2952" i="30"/>
  <c r="L2954" i="30"/>
  <c r="R2953" i="30"/>
  <c r="K2954" i="30"/>
  <c r="M2952" i="30"/>
  <c r="N2947" i="30"/>
  <c r="K2951" i="30"/>
  <c r="P2948" i="30"/>
  <c r="I2951" i="30"/>
  <c r="L2949" i="30"/>
  <c r="N2949" i="30"/>
  <c r="Q2951" i="30"/>
  <c r="J2947" i="30"/>
  <c r="G2951" i="30"/>
  <c r="H2947" i="30"/>
  <c r="M2951" i="30"/>
  <c r="G2947" i="30"/>
  <c r="H2952" i="30"/>
  <c r="R2950" i="30"/>
  <c r="I2954" i="30"/>
  <c r="L2953" i="30"/>
  <c r="N2950" i="30"/>
  <c r="L2950" i="30"/>
  <c r="K2947" i="30"/>
  <c r="Q2948" i="30"/>
  <c r="M2948" i="30"/>
  <c r="Q2954" i="30"/>
  <c r="O2949" i="30"/>
  <c r="R2952" i="30"/>
  <c r="Q2953" i="30"/>
  <c r="T2954" i="30"/>
  <c r="P2952" i="30"/>
  <c r="O2950" i="30"/>
  <c r="S2954" i="30"/>
  <c r="M2950" i="30"/>
  <c r="O2948" i="30"/>
  <c r="T2948" i="30"/>
  <c r="J2948" i="30"/>
  <c r="G2953" i="30"/>
  <c r="I2950" i="30"/>
  <c r="I2947" i="30"/>
  <c r="K2953" i="30"/>
  <c r="K2948" i="30"/>
  <c r="N2948" i="30"/>
  <c r="H2950" i="30"/>
  <c r="M2949" i="30"/>
  <c r="Q2950" i="30"/>
  <c r="K2949" i="30"/>
  <c r="P2950" i="30"/>
  <c r="R2949" i="30"/>
  <c r="L2948" i="30"/>
  <c r="O2953" i="30"/>
  <c r="G2949" i="30"/>
  <c r="T2949" i="30"/>
  <c r="T2950" i="30"/>
  <c r="T2953" i="30"/>
  <c r="I2948" i="30"/>
  <c r="N2953" i="30"/>
  <c r="S2953" i="30"/>
  <c r="O2947" i="30"/>
  <c r="P2954" i="30"/>
  <c r="Q2947" i="30"/>
  <c r="O2951" i="30"/>
  <c r="G2950" i="30"/>
  <c r="Q2952" i="30"/>
  <c r="K2952" i="30"/>
  <c r="BE231" i="13"/>
  <c r="S245" i="13"/>
  <c r="U1323" i="30"/>
  <c r="T497" i="32"/>
  <c r="R429" i="13"/>
  <c r="AZ429" i="13" s="1"/>
  <c r="BB429" i="13" s="1"/>
  <c r="BC429" i="13" s="1"/>
  <c r="AZ428" i="13"/>
  <c r="BB428" i="13" s="1"/>
  <c r="BC428" i="13" s="1"/>
  <c r="AK468" i="13"/>
  <c r="AM468" i="13" s="1"/>
  <c r="AN468" i="13" s="1"/>
  <c r="O469" i="13"/>
  <c r="AK469" i="13" s="1"/>
  <c r="AM469" i="13" s="1"/>
  <c r="AN469" i="13" s="1"/>
  <c r="U1217" i="30"/>
  <c r="P280" i="32" s="1"/>
  <c r="U1219" i="30"/>
  <c r="R280" i="32" s="1"/>
  <c r="U1615" i="30"/>
  <c r="R333" i="32"/>
  <c r="G1614" i="30"/>
  <c r="U1614" i="30" s="1"/>
  <c r="R332" i="32"/>
  <c r="U1675" i="30"/>
  <c r="O343" i="32" s="1"/>
  <c r="U1674" i="30"/>
  <c r="N343" i="32" s="1"/>
  <c r="R688" i="13"/>
  <c r="AZ674" i="13"/>
  <c r="R348" i="13"/>
  <c r="AZ334" i="13"/>
  <c r="BE314" i="13"/>
  <c r="BG314" i="13" s="1"/>
  <c r="BH314" i="13" s="1"/>
  <c r="G1512" i="30" s="1" a="1"/>
  <c r="S328" i="13"/>
  <c r="AU474" i="13"/>
  <c r="Q488" i="13"/>
  <c r="H421" i="11"/>
  <c r="Q271" i="13"/>
  <c r="BJ714" i="13"/>
  <c r="K478" i="11"/>
  <c r="T728" i="13"/>
  <c r="I421" i="11"/>
  <c r="I435" i="11" s="1"/>
  <c r="AZ474" i="13"/>
  <c r="R488" i="13"/>
  <c r="R271" i="13"/>
  <c r="G478" i="11"/>
  <c r="AP714" i="13"/>
  <c r="P728" i="13"/>
  <c r="R508" i="13"/>
  <c r="AZ494" i="13"/>
  <c r="BJ554" i="13"/>
  <c r="K440" i="11"/>
  <c r="K454" i="11" s="1"/>
  <c r="T568" i="13"/>
  <c r="N688" i="13"/>
  <c r="AF674" i="13"/>
  <c r="AP354" i="13"/>
  <c r="P368" i="13"/>
  <c r="E440" i="11"/>
  <c r="G2088" i="30" a="1"/>
  <c r="AF554" i="13"/>
  <c r="N568" i="13"/>
  <c r="N548" i="13"/>
  <c r="AF534" i="13"/>
  <c r="I440" i="11"/>
  <c r="I454" i="11" s="1"/>
  <c r="R568" i="13"/>
  <c r="AZ554" i="13"/>
  <c r="AK654" i="13"/>
  <c r="AM654" i="13" s="1"/>
  <c r="AN654" i="13" s="1"/>
  <c r="G2362" i="30" s="1" a="1"/>
  <c r="O668" i="13"/>
  <c r="AU334" i="13"/>
  <c r="Q348" i="13"/>
  <c r="AK554" i="13"/>
  <c r="F440" i="11"/>
  <c r="F454" i="11" s="1"/>
  <c r="O568" i="13"/>
  <c r="G2445" i="30" a="1"/>
  <c r="N708" i="13"/>
  <c r="AF694" i="13"/>
  <c r="AU814" i="13"/>
  <c r="Q231" i="13"/>
  <c r="Q828" i="13"/>
  <c r="BJ306" i="13"/>
  <c r="BL306" i="13" s="1"/>
  <c r="BM306" i="13" s="1"/>
  <c r="T183" i="13"/>
  <c r="U1271" i="30"/>
  <c r="S287" i="32" s="1"/>
  <c r="U1269" i="30"/>
  <c r="Q287" i="32" s="1"/>
  <c r="O906" i="13"/>
  <c r="AK906" i="13" s="1"/>
  <c r="R494" i="32"/>
  <c r="G2786" i="30"/>
  <c r="U2786" i="30" s="1"/>
  <c r="U2787" i="30"/>
  <c r="R493" i="32"/>
  <c r="U1316" i="30"/>
  <c r="M497" i="32"/>
  <c r="M294" i="32"/>
  <c r="O429" i="13"/>
  <c r="AK429" i="13" s="1"/>
  <c r="AM429" i="13" s="1"/>
  <c r="AN429" i="13" s="1"/>
  <c r="AK428" i="13"/>
  <c r="AM428" i="13" s="1"/>
  <c r="AN428" i="13" s="1"/>
  <c r="AH494" i="13"/>
  <c r="AI494" i="13" s="1"/>
  <c r="U1781" i="30"/>
  <c r="T357" i="32" s="1"/>
  <c r="BL223" i="13"/>
  <c r="BM223" i="13" s="1"/>
  <c r="M67" i="13" s="1"/>
  <c r="K67" i="13"/>
  <c r="S729" i="13"/>
  <c r="BE729" i="13" s="1"/>
  <c r="BG729" i="13" s="1"/>
  <c r="BH729" i="13" s="1"/>
  <c r="BE728" i="13"/>
  <c r="BG728" i="13" s="1"/>
  <c r="BH728" i="13" s="1"/>
  <c r="E528" i="11"/>
  <c r="G528" i="11"/>
  <c r="U1112" i="30"/>
  <c r="M266" i="32" s="1"/>
  <c r="G1170" i="30"/>
  <c r="Q1167" i="30"/>
  <c r="M1165" i="30"/>
  <c r="I1163" i="30"/>
  <c r="R1168" i="30"/>
  <c r="N1166" i="30"/>
  <c r="J1164" i="30"/>
  <c r="S1169" i="30"/>
  <c r="O1167" i="30"/>
  <c r="K1165" i="30"/>
  <c r="G1163" i="30"/>
  <c r="H1170" i="30"/>
  <c r="R1169" i="30"/>
  <c r="J1167" i="30"/>
  <c r="Q1169" i="30"/>
  <c r="G1165" i="30"/>
  <c r="M1167" i="30"/>
  <c r="I1165" i="30"/>
  <c r="R1170" i="30"/>
  <c r="N1168" i="30"/>
  <c r="J1166" i="30"/>
  <c r="T1163" i="30"/>
  <c r="O1169" i="30"/>
  <c r="K1167" i="30"/>
  <c r="L1170" i="30"/>
  <c r="T1168" i="30"/>
  <c r="P1168" i="30"/>
  <c r="P1170" i="30"/>
  <c r="M1169" i="30"/>
  <c r="I1167" i="30"/>
  <c r="S1164" i="30"/>
  <c r="N1170" i="30"/>
  <c r="J1168" i="30"/>
  <c r="T1165" i="30"/>
  <c r="P1163" i="30"/>
  <c r="K1169" i="30"/>
  <c r="G1167" i="30"/>
  <c r="Q1164" i="30"/>
  <c r="J1169" i="30"/>
  <c r="R1167" i="30"/>
  <c r="N1167" i="30"/>
  <c r="H1166" i="30"/>
  <c r="O1165" i="30"/>
  <c r="I1169" i="30"/>
  <c r="S1166" i="30"/>
  <c r="O1164" i="30"/>
  <c r="J1170" i="30"/>
  <c r="T1167" i="30"/>
  <c r="P1165" i="30"/>
  <c r="L1163" i="30"/>
  <c r="G1169" i="30"/>
  <c r="Q1166" i="30"/>
  <c r="M1164" i="30"/>
  <c r="H1168" i="30"/>
  <c r="P1166" i="30"/>
  <c r="L1166" i="30"/>
  <c r="N1169" i="30"/>
  <c r="S1168" i="30"/>
  <c r="O1166" i="30"/>
  <c r="K1164" i="30"/>
  <c r="T1169" i="30"/>
  <c r="P1167" i="30"/>
  <c r="L1165" i="30"/>
  <c r="H1163" i="30"/>
  <c r="Q1168" i="30"/>
  <c r="M1166" i="30"/>
  <c r="I1164" i="30"/>
  <c r="T1166" i="30"/>
  <c r="N1165" i="30"/>
  <c r="J1165" i="30"/>
  <c r="T1164" i="30"/>
  <c r="N1163" i="30"/>
  <c r="S1170" i="30"/>
  <c r="O1168" i="30"/>
  <c r="K1166" i="30"/>
  <c r="G1164" i="30"/>
  <c r="P1169" i="30"/>
  <c r="L1167" i="30"/>
  <c r="H1165" i="30"/>
  <c r="Q1170" i="30"/>
  <c r="M1168" i="30"/>
  <c r="I1166" i="30"/>
  <c r="S1163" i="30"/>
  <c r="R1165" i="30"/>
  <c r="L1164" i="30"/>
  <c r="H1164" i="30"/>
  <c r="O1170" i="30"/>
  <c r="K1168" i="30"/>
  <c r="G1166" i="30"/>
  <c r="Q1163" i="30"/>
  <c r="L1169" i="30"/>
  <c r="H1167" i="30"/>
  <c r="R1164" i="30"/>
  <c r="M1170" i="30"/>
  <c r="I1168" i="30"/>
  <c r="S1165" i="30"/>
  <c r="O1163" i="30"/>
  <c r="P1164" i="30"/>
  <c r="J1163" i="30"/>
  <c r="L1168" i="30"/>
  <c r="K1170" i="30"/>
  <c r="G1168" i="30"/>
  <c r="Q1165" i="30"/>
  <c r="M1163" i="30"/>
  <c r="H1169" i="30"/>
  <c r="R1166" i="30"/>
  <c r="N1164" i="30"/>
  <c r="I1170" i="30"/>
  <c r="S1167" i="30"/>
  <c r="K1163" i="30"/>
  <c r="T1170" i="30"/>
  <c r="R1163" i="30"/>
  <c r="AR494" i="13"/>
  <c r="AS494" i="13" s="1"/>
  <c r="Q1855" i="30"/>
  <c r="S1854" i="30"/>
  <c r="I1853" i="30"/>
  <c r="N1854" i="30"/>
  <c r="O1854" i="30"/>
  <c r="I1852" i="30"/>
  <c r="H1854" i="30"/>
  <c r="L1852" i="30"/>
  <c r="M1855" i="30"/>
  <c r="P1854" i="30"/>
  <c r="R1853" i="30"/>
  <c r="K1855" i="30"/>
  <c r="T1852" i="30"/>
  <c r="M1852" i="30"/>
  <c r="Q1853" i="30"/>
  <c r="K1854" i="30"/>
  <c r="T1855" i="30"/>
  <c r="G1852" i="30"/>
  <c r="S1852" i="30"/>
  <c r="G1855" i="30"/>
  <c r="L1854" i="30"/>
  <c r="K1853" i="30"/>
  <c r="M1853" i="30"/>
  <c r="O1852" i="30"/>
  <c r="S1855" i="30"/>
  <c r="R1854" i="30"/>
  <c r="J1852" i="30"/>
  <c r="H1853" i="30"/>
  <c r="G1854" i="30"/>
  <c r="I1855" i="30"/>
  <c r="I1854" i="30"/>
  <c r="H1855" i="30"/>
  <c r="K1852" i="30"/>
  <c r="M1854" i="30"/>
  <c r="Q1854" i="30"/>
  <c r="N1853" i="30"/>
  <c r="J1854" i="30"/>
  <c r="Q1852" i="30"/>
  <c r="H1852" i="30"/>
  <c r="O1855" i="30"/>
  <c r="J1853" i="30"/>
  <c r="T1853" i="30"/>
  <c r="R1852" i="30"/>
  <c r="P1852" i="30"/>
  <c r="O1853" i="30"/>
  <c r="S1853" i="30"/>
  <c r="P1855" i="30"/>
  <c r="T1854" i="30"/>
  <c r="L1853" i="30"/>
  <c r="N1852" i="30"/>
  <c r="R1855" i="30"/>
  <c r="L1855" i="30"/>
  <c r="N1855" i="30"/>
  <c r="J1855" i="30"/>
  <c r="G1853" i="30"/>
  <c r="P1853" i="30"/>
  <c r="U1368" i="30"/>
  <c r="N301" i="32" s="1"/>
  <c r="BB654" i="13"/>
  <c r="BC654" i="13" s="1"/>
  <c r="U1679" i="30"/>
  <c r="S343" i="32" s="1"/>
  <c r="U1680" i="30"/>
  <c r="T343" i="32" s="1"/>
  <c r="AF748" i="13"/>
  <c r="AH748" i="13" s="1"/>
  <c r="AI748" i="13" s="1"/>
  <c r="N749" i="13"/>
  <c r="AF749" i="13" s="1"/>
  <c r="AH749" i="13" s="1"/>
  <c r="AI749" i="13" s="1"/>
  <c r="BJ534" i="13"/>
  <c r="T548" i="13"/>
  <c r="AF354" i="13"/>
  <c r="N368" i="13"/>
  <c r="BE554" i="13"/>
  <c r="BG554" i="13" s="1"/>
  <c r="BH554" i="13" s="1"/>
  <c r="G2123" i="30" s="1" a="1"/>
  <c r="S568" i="13"/>
  <c r="J440" i="11"/>
  <c r="J454" i="11" s="1"/>
  <c r="AP754" i="13"/>
  <c r="P768" i="13"/>
  <c r="AP314" i="13"/>
  <c r="P328" i="13"/>
  <c r="G1986" i="30" a="1"/>
  <c r="N528" i="13"/>
  <c r="AF514" i="13"/>
  <c r="BJ514" i="13"/>
  <c r="T528" i="13"/>
  <c r="BE694" i="13"/>
  <c r="BG694" i="13" s="1"/>
  <c r="BH694" i="13" s="1"/>
  <c r="G2480" i="30" s="1" a="1"/>
  <c r="S708" i="13"/>
  <c r="O848" i="13"/>
  <c r="O251" i="13"/>
  <c r="AK834" i="13"/>
  <c r="AM834" i="13" s="1"/>
  <c r="AN834" i="13" s="1"/>
  <c r="G2821" i="30" s="1" a="1"/>
  <c r="AU554" i="13"/>
  <c r="H440" i="11"/>
  <c r="H454" i="11" s="1"/>
  <c r="Q568" i="13"/>
  <c r="BE614" i="13"/>
  <c r="BG614" i="13" s="1"/>
  <c r="BH614" i="13" s="1"/>
  <c r="G2276" i="30" s="1" a="1"/>
  <c r="S628" i="13"/>
  <c r="BJ754" i="13"/>
  <c r="T768" i="13"/>
  <c r="R748" i="13"/>
  <c r="AZ734" i="13"/>
  <c r="U1272" i="30"/>
  <c r="P709" i="13"/>
  <c r="AP709" i="13" s="1"/>
  <c r="AR709" i="13" s="1"/>
  <c r="AS709" i="13" s="1"/>
  <c r="AP708" i="13"/>
  <c r="AR708" i="13" s="1"/>
  <c r="AS708" i="13" s="1"/>
  <c r="AM414" i="13"/>
  <c r="AN414" i="13" s="1"/>
  <c r="G1750" i="30" a="1"/>
  <c r="Q509" i="13"/>
  <c r="AU509" i="13" s="1"/>
  <c r="AW509" i="13" s="1"/>
  <c r="AX509" i="13" s="1"/>
  <c r="AU508" i="13"/>
  <c r="AW508" i="13" s="1"/>
  <c r="AX508" i="13" s="1"/>
  <c r="U1775" i="30"/>
  <c r="N357" i="32" s="1"/>
  <c r="J492" i="11"/>
  <c r="U2023" i="30"/>
  <c r="U2024" i="30" s="1"/>
  <c r="AP508" i="13"/>
  <c r="AR508" i="13" s="1"/>
  <c r="AS508" i="13" s="1"/>
  <c r="P509" i="13"/>
  <c r="AP509" i="13" s="1"/>
  <c r="AR509" i="13" s="1"/>
  <c r="AS509" i="13" s="1"/>
  <c r="R829" i="13"/>
  <c r="AZ829" i="13" s="1"/>
  <c r="BB829" i="13" s="1"/>
  <c r="BC829" i="13" s="1"/>
  <c r="AZ828" i="13"/>
  <c r="BB828" i="13" s="1"/>
  <c r="BC828" i="13" s="1"/>
  <c r="U1374" i="30"/>
  <c r="T301" i="32"/>
  <c r="U1215" i="30"/>
  <c r="N280" i="32" s="1"/>
  <c r="N271" i="13"/>
  <c r="R669" i="13"/>
  <c r="AZ669" i="13" s="1"/>
  <c r="BB669" i="13" s="1"/>
  <c r="BC669" i="13" s="1"/>
  <c r="AZ668" i="13"/>
  <c r="BB668" i="13" s="1"/>
  <c r="BC668" i="13" s="1"/>
  <c r="BE654" i="13"/>
  <c r="BG654" i="13" s="1"/>
  <c r="BH654" i="13" s="1"/>
  <c r="G2378" i="30" s="1" a="1"/>
  <c r="S211" i="13"/>
  <c r="S668" i="13"/>
  <c r="N608" i="13"/>
  <c r="AF594" i="13"/>
  <c r="BE634" i="13"/>
  <c r="BG634" i="13" s="1"/>
  <c r="BH634" i="13" s="1"/>
  <c r="G2327" i="30" s="1" a="1"/>
  <c r="S648" i="13"/>
  <c r="AU654" i="13"/>
  <c r="Q211" i="13"/>
  <c r="Q668" i="13"/>
  <c r="BJ494" i="13"/>
  <c r="T508" i="13"/>
  <c r="AP634" i="13"/>
  <c r="P648" i="13"/>
  <c r="AK614" i="13"/>
  <c r="O628" i="13"/>
  <c r="AK534" i="13"/>
  <c r="O548" i="13"/>
  <c r="O788" i="13"/>
  <c r="AK774" i="13"/>
  <c r="AU674" i="13"/>
  <c r="Q688" i="13"/>
  <c r="AP834" i="13"/>
  <c r="P848" i="13"/>
  <c r="P251" i="13"/>
  <c r="AP414" i="13"/>
  <c r="AR414" i="13" s="1"/>
  <c r="AS414" i="13" s="1"/>
  <c r="G1754" i="30" s="1" a="1"/>
  <c r="P428" i="13"/>
  <c r="AP554" i="13"/>
  <c r="G440" i="11"/>
  <c r="G454" i="11" s="1"/>
  <c r="P568" i="13"/>
  <c r="F478" i="11"/>
  <c r="AK714" i="13"/>
  <c r="O728" i="13"/>
  <c r="O231" i="13"/>
  <c r="O828" i="13"/>
  <c r="AK814" i="13"/>
  <c r="AM814" i="13" s="1"/>
  <c r="AN814" i="13" s="1"/>
  <c r="G2770" i="30" s="1" a="1"/>
  <c r="AU514" i="13"/>
  <c r="Q528" i="13"/>
  <c r="BJ814" i="13"/>
  <c r="BL814" i="13" s="1"/>
  <c r="BM814" i="13" s="1"/>
  <c r="G2790" i="30" s="1" a="1"/>
  <c r="T828" i="13"/>
  <c r="T231" i="13"/>
  <c r="AK306" i="13"/>
  <c r="AM306" i="13" s="1"/>
  <c r="AN306" i="13" s="1"/>
  <c r="O183" i="13"/>
  <c r="T906" i="13"/>
  <c r="BJ906" i="13" s="1"/>
  <c r="AH834" i="13"/>
  <c r="AI834" i="13" s="1"/>
  <c r="AR694" i="13"/>
  <c r="AS694" i="13" s="1"/>
  <c r="I1962" i="30"/>
  <c r="L1963" i="30"/>
  <c r="T1962" i="30"/>
  <c r="Q1962" i="30"/>
  <c r="R1964" i="30"/>
  <c r="R1963" i="30"/>
  <c r="O1963" i="30"/>
  <c r="H1963" i="30"/>
  <c r="M1962" i="30"/>
  <c r="K1963" i="30"/>
  <c r="Q1963" i="30"/>
  <c r="Q1965" i="30"/>
  <c r="G1964" i="30"/>
  <c r="S1963" i="30"/>
  <c r="I1963" i="30"/>
  <c r="L1965" i="30"/>
  <c r="I1965" i="30"/>
  <c r="J1963" i="30"/>
  <c r="G1965" i="30"/>
  <c r="N1964" i="30"/>
  <c r="M1965" i="30"/>
  <c r="P1965" i="30"/>
  <c r="H1964" i="30"/>
  <c r="P1964" i="30"/>
  <c r="T1963" i="30"/>
  <c r="R1962" i="30"/>
  <c r="S1965" i="30"/>
  <c r="M1963" i="30"/>
  <c r="I1964" i="30"/>
  <c r="H1962" i="30"/>
  <c r="S1964" i="30"/>
  <c r="S1962" i="30"/>
  <c r="P1962" i="30"/>
  <c r="L1964" i="30"/>
  <c r="Q1964" i="30"/>
  <c r="N1963" i="30"/>
  <c r="N1965" i="30"/>
  <c r="N1962" i="30"/>
  <c r="J1962" i="30"/>
  <c r="P1963" i="30"/>
  <c r="R1965" i="30"/>
  <c r="K1965" i="30"/>
  <c r="O1962" i="30"/>
  <c r="T1965" i="30"/>
  <c r="J1964" i="30"/>
  <c r="O1964" i="30"/>
  <c r="G1963" i="30"/>
  <c r="J1965" i="30"/>
  <c r="L1962" i="30"/>
  <c r="M1964" i="30"/>
  <c r="O1965" i="30"/>
  <c r="H1965" i="30"/>
  <c r="T1964" i="30"/>
  <c r="K1962" i="30"/>
  <c r="K1964" i="30"/>
  <c r="G1962" i="30"/>
  <c r="U1318" i="30"/>
  <c r="O497" i="32"/>
  <c r="O294" i="32"/>
  <c r="U2532" i="30"/>
  <c r="G2531" i="30"/>
  <c r="U2531" i="30" s="1"/>
  <c r="R458" i="32"/>
  <c r="R459" i="32"/>
  <c r="U1116" i="30"/>
  <c r="Q266" i="32" s="1"/>
  <c r="BB814" i="13"/>
  <c r="BC814" i="13" s="1"/>
  <c r="U1369" i="30"/>
  <c r="O301" i="32" s="1"/>
  <c r="U1216" i="30"/>
  <c r="O280" i="32" s="1"/>
  <c r="U1214" i="30"/>
  <c r="M280" i="32" s="1"/>
  <c r="U1221" i="30"/>
  <c r="T280" i="32"/>
  <c r="N489" i="13"/>
  <c r="AF489" i="13" s="1"/>
  <c r="AH489" i="13" s="1"/>
  <c r="AI489" i="13" s="1"/>
  <c r="AF488" i="13"/>
  <c r="AH488" i="13" s="1"/>
  <c r="AI488" i="13" s="1"/>
  <c r="R211" i="13"/>
  <c r="U1677" i="30"/>
  <c r="Q343" i="32" s="1"/>
  <c r="G2280" i="30" a="1"/>
  <c r="BJ594" i="13"/>
  <c r="T608" i="13"/>
  <c r="AU754" i="13"/>
  <c r="Q768" i="13"/>
  <c r="N231" i="13"/>
  <c r="G2751" i="30" a="1"/>
  <c r="N828" i="13"/>
  <c r="AF814" i="13"/>
  <c r="AU714" i="13"/>
  <c r="H478" i="11"/>
  <c r="Q728" i="13"/>
  <c r="AP334" i="13"/>
  <c r="P348" i="13"/>
  <c r="BE534" i="13"/>
  <c r="BG534" i="13" s="1"/>
  <c r="BH534" i="13" s="1"/>
  <c r="G2072" i="30" s="1" a="1"/>
  <c r="S548" i="13"/>
  <c r="BE594" i="13"/>
  <c r="BG594" i="13" s="1"/>
  <c r="BH594" i="13" s="1"/>
  <c r="G2225" i="30" s="1" a="1"/>
  <c r="S608" i="13"/>
  <c r="BJ334" i="13"/>
  <c r="T348" i="13"/>
  <c r="BE754" i="13"/>
  <c r="BG754" i="13" s="1"/>
  <c r="BH754" i="13" s="1"/>
  <c r="G2633" i="30" s="1" a="1"/>
  <c r="S768" i="13"/>
  <c r="BJ774" i="13"/>
  <c r="T788" i="13"/>
  <c r="AU314" i="13"/>
  <c r="Q328" i="13"/>
  <c r="N468" i="13"/>
  <c r="AF454" i="13"/>
  <c r="P548" i="13"/>
  <c r="AP534" i="13"/>
  <c r="U1268" i="30"/>
  <c r="P287" i="32" s="1"/>
  <c r="N849" i="13"/>
  <c r="AF849" i="13" s="1"/>
  <c r="AH849" i="13" s="1"/>
  <c r="AI849" i="13" s="1"/>
  <c r="AF848" i="13"/>
  <c r="AH848" i="13" s="1"/>
  <c r="AI848" i="13" s="1"/>
  <c r="G2268" i="30" a="1"/>
  <c r="U1317" i="30"/>
  <c r="N497" i="32"/>
  <c r="N294" i="32"/>
  <c r="U1322" i="30"/>
  <c r="S294" i="32"/>
  <c r="S497" i="32"/>
  <c r="U1321" i="30"/>
  <c r="R497" i="32"/>
  <c r="R294" i="32"/>
  <c r="U1320" i="30"/>
  <c r="Q497" i="32"/>
  <c r="Q294" i="32"/>
  <c r="E17" i="13"/>
  <c r="T649" i="13"/>
  <c r="BJ649" i="13" s="1"/>
  <c r="BL649" i="13" s="1"/>
  <c r="BM649" i="13" s="1"/>
  <c r="BJ648" i="13"/>
  <c r="BL648" i="13" s="1"/>
  <c r="BM648" i="13" s="1"/>
  <c r="R709" i="13"/>
  <c r="AZ709" i="13" s="1"/>
  <c r="BB709" i="13" s="1"/>
  <c r="BC709" i="13" s="1"/>
  <c r="AZ708" i="13"/>
  <c r="BB708" i="13" s="1"/>
  <c r="BC708" i="13" s="1"/>
  <c r="U1118" i="30"/>
  <c r="S266" i="32" s="1"/>
  <c r="K1543" i="30"/>
  <c r="R1545" i="30"/>
  <c r="M1543" i="30"/>
  <c r="K1545" i="30"/>
  <c r="P1543" i="30"/>
  <c r="N1543" i="30"/>
  <c r="P1545" i="30"/>
  <c r="T1546" i="30"/>
  <c r="K1546" i="30"/>
  <c r="G1546" i="30"/>
  <c r="H1545" i="30"/>
  <c r="L1546" i="30"/>
  <c r="P1544" i="30"/>
  <c r="I1544" i="30"/>
  <c r="L1545" i="30"/>
  <c r="I1543" i="30"/>
  <c r="Q1543" i="30"/>
  <c r="S1545" i="30"/>
  <c r="I1546" i="30"/>
  <c r="R1543" i="30"/>
  <c r="O1546" i="30"/>
  <c r="S1543" i="30"/>
  <c r="J1545" i="30"/>
  <c r="H1544" i="30"/>
  <c r="J1543" i="30"/>
  <c r="O1543" i="30"/>
  <c r="S1544" i="30"/>
  <c r="M1545" i="30"/>
  <c r="M1544" i="30"/>
  <c r="Q1545" i="30"/>
  <c r="P1546" i="30"/>
  <c r="N1546" i="30"/>
  <c r="M1546" i="30"/>
  <c r="R1544" i="30"/>
  <c r="L1543" i="30"/>
  <c r="N1545" i="30"/>
  <c r="J1544" i="30"/>
  <c r="L1544" i="30"/>
  <c r="G1544" i="30"/>
  <c r="Q1544" i="30"/>
  <c r="K1544" i="30"/>
  <c r="Q1546" i="30"/>
  <c r="H1546" i="30"/>
  <c r="N1544" i="30"/>
  <c r="R1546" i="30"/>
  <c r="I1545" i="30"/>
  <c r="S1546" i="30"/>
  <c r="T1545" i="30"/>
  <c r="H1543" i="30"/>
  <c r="O1545" i="30"/>
  <c r="G1545" i="30"/>
  <c r="G1543" i="30"/>
  <c r="T1543" i="30"/>
  <c r="J1546" i="30"/>
  <c r="O1544" i="30"/>
  <c r="T1544" i="30"/>
  <c r="R245" i="13"/>
  <c r="AZ231" i="13"/>
  <c r="U1370" i="30"/>
  <c r="P301" i="32" s="1"/>
  <c r="U1218" i="30"/>
  <c r="Q280" i="32" s="1"/>
  <c r="AH474" i="13"/>
  <c r="AI474" i="13" s="1"/>
  <c r="P271" i="13"/>
  <c r="AK406" i="13"/>
  <c r="AM406" i="13" s="1"/>
  <c r="AN406" i="13" s="1"/>
  <c r="O203" i="13"/>
  <c r="AK203" i="13" s="1"/>
  <c r="AM203" i="13" s="1"/>
  <c r="AN203" i="13" s="1"/>
  <c r="AK474" i="13"/>
  <c r="F421" i="11"/>
  <c r="F435" i="11" s="1"/>
  <c r="O488" i="13"/>
  <c r="O271" i="13"/>
  <c r="BJ654" i="13"/>
  <c r="T211" i="13"/>
  <c r="T668" i="13"/>
  <c r="AP654" i="13"/>
  <c r="P668" i="13"/>
  <c r="P211" i="13"/>
  <c r="AU594" i="13"/>
  <c r="Q608" i="13"/>
  <c r="AU734" i="13"/>
  <c r="Q748" i="13"/>
  <c r="O708" i="13"/>
  <c r="AK694" i="13"/>
  <c r="AM694" i="13" s="1"/>
  <c r="AN694" i="13" s="1"/>
  <c r="G2464" i="30" s="1" a="1"/>
  <c r="I478" i="11"/>
  <c r="AZ714" i="13"/>
  <c r="R728" i="13"/>
  <c r="R528" i="13"/>
  <c r="AZ514" i="13"/>
  <c r="P628" i="13"/>
  <c r="AP614" i="13"/>
  <c r="AR614" i="13" s="1"/>
  <c r="AS614" i="13" s="1"/>
  <c r="G2264" i="30" s="1" a="1"/>
  <c r="AP814" i="13"/>
  <c r="P828" i="13"/>
  <c r="P231" i="13"/>
  <c r="AU534" i="13"/>
  <c r="Q548" i="13"/>
  <c r="N768" i="13"/>
  <c r="AF754" i="13"/>
  <c r="AU306" i="13"/>
  <c r="AW306" i="13" s="1"/>
  <c r="AX306" i="13" s="1"/>
  <c r="Q183" i="13"/>
  <c r="U1267" i="30"/>
  <c r="O287" i="32" s="1"/>
  <c r="R789" i="13"/>
  <c r="AZ789" i="13" s="1"/>
  <c r="BB789" i="13" s="1"/>
  <c r="BC789" i="13" s="1"/>
  <c r="AZ788" i="13"/>
  <c r="BB788" i="13" s="1"/>
  <c r="BC788" i="13" s="1"/>
  <c r="U1319" i="30"/>
  <c r="P497" i="32" s="1"/>
  <c r="P294" i="32"/>
  <c r="AU628" i="13"/>
  <c r="AW628" i="13" s="1"/>
  <c r="AX628" i="13" s="1"/>
  <c r="Q629" i="13"/>
  <c r="AU629" i="13" s="1"/>
  <c r="AW629" i="13" s="1"/>
  <c r="AX629" i="13" s="1"/>
  <c r="U1777" i="30"/>
  <c r="P357" i="32" s="1"/>
  <c r="R329" i="13"/>
  <c r="AZ329" i="13" s="1"/>
  <c r="BB329" i="13" s="1"/>
  <c r="BC329" i="13" s="1"/>
  <c r="AZ328" i="13"/>
  <c r="BB328" i="13" s="1"/>
  <c r="BC328" i="13" s="1"/>
  <c r="N649" i="13"/>
  <c r="AF649" i="13" s="1"/>
  <c r="AH649" i="13" s="1"/>
  <c r="AI649" i="13" s="1"/>
  <c r="AF648" i="13"/>
  <c r="AH648" i="13" s="1"/>
  <c r="AI648" i="13" s="1"/>
  <c r="BB694" i="13"/>
  <c r="BC694" i="13" s="1"/>
  <c r="U1117" i="30"/>
  <c r="R266" i="32" s="1"/>
  <c r="U1113" i="30"/>
  <c r="N266" i="32" s="1"/>
  <c r="AF348" i="13"/>
  <c r="AH348" i="13" s="1"/>
  <c r="AI348" i="13" s="1"/>
  <c r="N349" i="13"/>
  <c r="AF349" i="13" s="1"/>
  <c r="AH349" i="13" s="1"/>
  <c r="AI349" i="13" s="1"/>
  <c r="G1884" i="30" a="1"/>
  <c r="K1910" i="30"/>
  <c r="O1907" i="30"/>
  <c r="N1909" i="30"/>
  <c r="P1907" i="30"/>
  <c r="K1907" i="30"/>
  <c r="M1909" i="30"/>
  <c r="G1910" i="30"/>
  <c r="M1907" i="30"/>
  <c r="O1910" i="30"/>
  <c r="P1908" i="30"/>
  <c r="K1909" i="30"/>
  <c r="M1910" i="30"/>
  <c r="H1907" i="30"/>
  <c r="L1910" i="30"/>
  <c r="H1909" i="30"/>
  <c r="R1910" i="30"/>
  <c r="P1910" i="30"/>
  <c r="I1909" i="30"/>
  <c r="S1910" i="30"/>
  <c r="O1909" i="30"/>
  <c r="L1908" i="30"/>
  <c r="S1907" i="30"/>
  <c r="G1909" i="30"/>
  <c r="T1908" i="30"/>
  <c r="J1908" i="30"/>
  <c r="I1907" i="30"/>
  <c r="L1909" i="30"/>
  <c r="T1910" i="30"/>
  <c r="I1908" i="30"/>
  <c r="R1909" i="30"/>
  <c r="J1909" i="30"/>
  <c r="M1908" i="30"/>
  <c r="Q1908" i="30"/>
  <c r="G1907" i="30"/>
  <c r="T1909" i="30"/>
  <c r="O1908" i="30"/>
  <c r="S1908" i="30"/>
  <c r="Q1910" i="30"/>
  <c r="K1908" i="30"/>
  <c r="L1907" i="30"/>
  <c r="P1909" i="30"/>
  <c r="G1908" i="30"/>
  <c r="Q1909" i="30"/>
  <c r="S1909" i="30"/>
  <c r="N1910" i="30"/>
  <c r="J1907" i="30"/>
  <c r="N1908" i="30"/>
  <c r="J1910" i="30"/>
  <c r="H1910" i="30"/>
  <c r="R1907" i="30"/>
  <c r="R1908" i="30"/>
  <c r="T1907" i="30"/>
  <c r="N1907" i="30"/>
  <c r="Q1907" i="30"/>
  <c r="I1910" i="30"/>
  <c r="H1908" i="30"/>
  <c r="Q906" i="13"/>
  <c r="AU906" i="13" s="1"/>
  <c r="U448" i="13"/>
  <c r="U449" i="13" s="1"/>
  <c r="U748" i="13"/>
  <c r="U749" i="13" s="1"/>
  <c r="N367" i="32" l="1"/>
  <c r="O374" i="32"/>
  <c r="P381" i="32"/>
  <c r="M325" i="32"/>
  <c r="G2562" i="30" a="1"/>
  <c r="G2562" i="30" s="1"/>
  <c r="U2333" i="30"/>
  <c r="U2334" i="30" s="1"/>
  <c r="G2374" i="30" a="1"/>
  <c r="G1958" i="30" a="1"/>
  <c r="T1961" i="30" s="1"/>
  <c r="J497" i="11"/>
  <c r="J511" i="11" s="1"/>
  <c r="U2951" i="30"/>
  <c r="Q518" i="32" s="1"/>
  <c r="G1856" i="30" a="1"/>
  <c r="Q1856" i="30" s="1"/>
  <c r="U906" i="13"/>
  <c r="AZ434" i="13"/>
  <c r="R448" i="13"/>
  <c r="BJ394" i="13"/>
  <c r="T408" i="13"/>
  <c r="T191" i="13"/>
  <c r="U191" i="13"/>
  <c r="U408" i="13"/>
  <c r="U409" i="13" s="1"/>
  <c r="BJ294" i="13"/>
  <c r="BL294" i="13" s="1"/>
  <c r="BM294" i="13" s="1"/>
  <c r="G1465" i="30" s="1" a="1"/>
  <c r="T171" i="13"/>
  <c r="T308" i="13"/>
  <c r="AF768" i="13"/>
  <c r="AH768" i="13" s="1"/>
  <c r="AI768" i="13" s="1"/>
  <c r="N769" i="13"/>
  <c r="AF769" i="13" s="1"/>
  <c r="AH769" i="13" s="1"/>
  <c r="AI769" i="13" s="1"/>
  <c r="BB514" i="13"/>
  <c r="BC514" i="13" s="1"/>
  <c r="AW734" i="13"/>
  <c r="AX734" i="13" s="1"/>
  <c r="BL654" i="13"/>
  <c r="BM654" i="13" s="1"/>
  <c r="G1899" i="30" a="1"/>
  <c r="U2634" i="30"/>
  <c r="G2633" i="30"/>
  <c r="U2633" i="30" s="1"/>
  <c r="R472" i="32"/>
  <c r="R473" i="32"/>
  <c r="AR334" i="13"/>
  <c r="AS334" i="13" s="1"/>
  <c r="AU768" i="13"/>
  <c r="AW768" i="13" s="1"/>
  <c r="AX768" i="13" s="1"/>
  <c r="Q769" i="13"/>
  <c r="AU769" i="13" s="1"/>
  <c r="AW769" i="13" s="1"/>
  <c r="AX769" i="13" s="1"/>
  <c r="T245" i="13"/>
  <c r="BJ231" i="13"/>
  <c r="O729" i="13"/>
  <c r="AK729" i="13" s="1"/>
  <c r="AM729" i="13" s="1"/>
  <c r="AN729" i="13" s="1"/>
  <c r="AK728" i="13"/>
  <c r="AM728" i="13" s="1"/>
  <c r="AN728" i="13" s="1"/>
  <c r="AK548" i="13"/>
  <c r="AM548" i="13" s="1"/>
  <c r="AN548" i="13" s="1"/>
  <c r="O549" i="13"/>
  <c r="AK549" i="13" s="1"/>
  <c r="AM549" i="13" s="1"/>
  <c r="AN549" i="13" s="1"/>
  <c r="Q669" i="13"/>
  <c r="AU669" i="13" s="1"/>
  <c r="AW669" i="13" s="1"/>
  <c r="AX669" i="13" s="1"/>
  <c r="AU668" i="13"/>
  <c r="AW668" i="13" s="1"/>
  <c r="AX668" i="13" s="1"/>
  <c r="S669" i="13"/>
  <c r="BE669" i="13" s="1"/>
  <c r="BG669" i="13" s="1"/>
  <c r="BH669" i="13" s="1"/>
  <c r="BE668" i="13"/>
  <c r="BG668" i="13" s="1"/>
  <c r="BH668" i="13" s="1"/>
  <c r="Q569" i="13"/>
  <c r="AU569" i="13" s="1"/>
  <c r="AW569" i="13" s="1"/>
  <c r="AX569" i="13" s="1"/>
  <c r="AU568" i="13"/>
  <c r="AW568" i="13" s="1"/>
  <c r="AX568" i="13" s="1"/>
  <c r="G2480" i="30"/>
  <c r="U2480" i="30" s="1"/>
  <c r="R452" i="32"/>
  <c r="R451" i="32"/>
  <c r="U2481" i="30"/>
  <c r="AP768" i="13"/>
  <c r="AR768" i="13" s="1"/>
  <c r="AS768" i="13" s="1"/>
  <c r="P769" i="13"/>
  <c r="AP769" i="13" s="1"/>
  <c r="AR769" i="13" s="1"/>
  <c r="AS769" i="13" s="1"/>
  <c r="E15" i="13"/>
  <c r="BJ548" i="13"/>
  <c r="BL548" i="13" s="1"/>
  <c r="BM548" i="13" s="1"/>
  <c r="T549" i="13"/>
  <c r="BJ549" i="13" s="1"/>
  <c r="BL549" i="13" s="1"/>
  <c r="BM549" i="13" s="1"/>
  <c r="U1852" i="30"/>
  <c r="U1164" i="30"/>
  <c r="N273" i="32" s="1"/>
  <c r="N709" i="13"/>
  <c r="AF709" i="13" s="1"/>
  <c r="AH709" i="13" s="1"/>
  <c r="AI709" i="13" s="1"/>
  <c r="AF708" i="13"/>
  <c r="AH708" i="13" s="1"/>
  <c r="AI708" i="13" s="1"/>
  <c r="O2363" i="30"/>
  <c r="T2365" i="30"/>
  <c r="R2362" i="30"/>
  <c r="I2363" i="30"/>
  <c r="P2364" i="30"/>
  <c r="S2363" i="30"/>
  <c r="O2362" i="30"/>
  <c r="R2363" i="30"/>
  <c r="T2362" i="30"/>
  <c r="R2364" i="30"/>
  <c r="L2365" i="30"/>
  <c r="P2363" i="30"/>
  <c r="J2363" i="30"/>
  <c r="P2365" i="30"/>
  <c r="N2363" i="30"/>
  <c r="G2362" i="30"/>
  <c r="H2364" i="30"/>
  <c r="P2362" i="30"/>
  <c r="Q2363" i="30"/>
  <c r="G2364" i="30"/>
  <c r="O2365" i="30"/>
  <c r="I2365" i="30"/>
  <c r="O2364" i="30"/>
  <c r="G2365" i="30"/>
  <c r="S2365" i="30"/>
  <c r="L2362" i="30"/>
  <c r="K2363" i="30"/>
  <c r="M2362" i="30"/>
  <c r="K2362" i="30"/>
  <c r="H2365" i="30"/>
  <c r="J2362" i="30"/>
  <c r="N2364" i="30"/>
  <c r="J2365" i="30"/>
  <c r="T2364" i="30"/>
  <c r="M2363" i="30"/>
  <c r="K2365" i="30"/>
  <c r="Q2362" i="30"/>
  <c r="I2362" i="30"/>
  <c r="R2365" i="30"/>
  <c r="N2365" i="30"/>
  <c r="T2363" i="30"/>
  <c r="S2364" i="30"/>
  <c r="H2362" i="30"/>
  <c r="Q2365" i="30"/>
  <c r="I2364" i="30"/>
  <c r="L2364" i="30"/>
  <c r="S2362" i="30"/>
  <c r="G2363" i="30"/>
  <c r="K2364" i="30"/>
  <c r="M2364" i="30"/>
  <c r="J2364" i="30"/>
  <c r="N2362" i="30"/>
  <c r="M2365" i="30"/>
  <c r="H2363" i="30"/>
  <c r="Q2364" i="30"/>
  <c r="L2363" i="30"/>
  <c r="N569" i="13"/>
  <c r="AF569" i="13" s="1"/>
  <c r="AH569" i="13" s="1"/>
  <c r="AI569" i="13" s="1"/>
  <c r="AF568" i="13"/>
  <c r="AH568" i="13" s="1"/>
  <c r="AI568" i="13" s="1"/>
  <c r="N689" i="13"/>
  <c r="AF689" i="13" s="1"/>
  <c r="AH689" i="13" s="1"/>
  <c r="AI689" i="13" s="1"/>
  <c r="AF688" i="13"/>
  <c r="AH688" i="13" s="1"/>
  <c r="AI688" i="13" s="1"/>
  <c r="G492" i="11"/>
  <c r="G497" i="11"/>
  <c r="G511" i="11" s="1"/>
  <c r="Q285" i="13"/>
  <c r="AU271" i="13"/>
  <c r="BB674" i="13"/>
  <c r="BC674" i="13" s="1"/>
  <c r="U1616" i="30"/>
  <c r="U1617" i="30" s="1"/>
  <c r="U2949" i="30"/>
  <c r="O518" i="32" s="1"/>
  <c r="U2954" i="30"/>
  <c r="T518" i="32" s="1"/>
  <c r="AH714" i="13"/>
  <c r="AI714" i="13" s="1"/>
  <c r="AW694" i="13"/>
  <c r="AX694" i="13" s="1"/>
  <c r="BL414" i="13"/>
  <c r="BM414" i="13" s="1"/>
  <c r="U2583" i="30"/>
  <c r="R466" i="32"/>
  <c r="R465" i="32"/>
  <c r="G2582" i="30"/>
  <c r="U2582" i="30" s="1"/>
  <c r="AP294" i="13"/>
  <c r="P308" i="13"/>
  <c r="P171" i="13"/>
  <c r="BB634" i="13"/>
  <c r="BC634" i="13" s="1"/>
  <c r="P749" i="13"/>
  <c r="AP749" i="13" s="1"/>
  <c r="AR749" i="13" s="1"/>
  <c r="AS749" i="13" s="1"/>
  <c r="AP748" i="13"/>
  <c r="AR748" i="13" s="1"/>
  <c r="AS748" i="13" s="1"/>
  <c r="S469" i="13"/>
  <c r="BE469" i="13" s="1"/>
  <c r="BG469" i="13" s="1"/>
  <c r="BH469" i="13" s="1"/>
  <c r="BE468" i="13"/>
  <c r="BG468" i="13" s="1"/>
  <c r="BH468" i="13" s="1"/>
  <c r="G2307" i="30" a="1"/>
  <c r="R369" i="13"/>
  <c r="AZ369" i="13" s="1"/>
  <c r="BB369" i="13" s="1"/>
  <c r="BC369" i="13" s="1"/>
  <c r="AZ368" i="13"/>
  <c r="BB368" i="13" s="1"/>
  <c r="BC368" i="13" s="1"/>
  <c r="R629" i="13"/>
  <c r="AZ629" i="13" s="1"/>
  <c r="BB629" i="13" s="1"/>
  <c r="BC629" i="13" s="1"/>
  <c r="AZ628" i="13"/>
  <c r="BB628" i="13" s="1"/>
  <c r="BC628" i="13" s="1"/>
  <c r="AR774" i="13"/>
  <c r="AS774" i="13" s="1"/>
  <c r="AH614" i="13"/>
  <c r="AI614" i="13" s="1"/>
  <c r="U2418" i="30"/>
  <c r="N191" i="13"/>
  <c r="AF394" i="13"/>
  <c r="N408" i="13"/>
  <c r="AU434" i="13"/>
  <c r="Q448" i="13"/>
  <c r="AK394" i="13"/>
  <c r="O408" i="13"/>
  <c r="AK354" i="13"/>
  <c r="O368" i="13"/>
  <c r="AU548" i="13"/>
  <c r="AW548" i="13" s="1"/>
  <c r="AX548" i="13" s="1"/>
  <c r="Q549" i="13"/>
  <c r="AU549" i="13" s="1"/>
  <c r="AW549" i="13" s="1"/>
  <c r="AX549" i="13" s="1"/>
  <c r="R529" i="13"/>
  <c r="AZ529" i="13" s="1"/>
  <c r="BB529" i="13" s="1"/>
  <c r="BC529" i="13" s="1"/>
  <c r="AZ528" i="13"/>
  <c r="BB528" i="13" s="1"/>
  <c r="BC528" i="13" s="1"/>
  <c r="Q609" i="13"/>
  <c r="AU609" i="13" s="1"/>
  <c r="AW609" i="13" s="1"/>
  <c r="AX609" i="13" s="1"/>
  <c r="AU608" i="13"/>
  <c r="AW608" i="13" s="1"/>
  <c r="AX608" i="13" s="1"/>
  <c r="AK271" i="13"/>
  <c r="O285" i="13"/>
  <c r="AH454" i="13"/>
  <c r="AI454" i="13" s="1"/>
  <c r="T349" i="13"/>
  <c r="BJ349" i="13" s="1"/>
  <c r="BL349" i="13" s="1"/>
  <c r="BM349" i="13" s="1"/>
  <c r="BJ348" i="13"/>
  <c r="BL348" i="13" s="1"/>
  <c r="BM348" i="13" s="1"/>
  <c r="AU728" i="13"/>
  <c r="AW728" i="13" s="1"/>
  <c r="AX728" i="13" s="1"/>
  <c r="Q729" i="13"/>
  <c r="AU729" i="13" s="1"/>
  <c r="AW729" i="13" s="1"/>
  <c r="AX729" i="13" s="1"/>
  <c r="AW754" i="13"/>
  <c r="AX754" i="13" s="1"/>
  <c r="U1962" i="30"/>
  <c r="G2468" i="30" a="1"/>
  <c r="T829" i="13"/>
  <c r="BJ829" i="13" s="1"/>
  <c r="BL829" i="13" s="1"/>
  <c r="BM829" i="13" s="1"/>
  <c r="BJ828" i="13"/>
  <c r="BL828" i="13" s="1"/>
  <c r="BM828" i="13" s="1"/>
  <c r="AM714" i="13"/>
  <c r="AN714" i="13" s="1"/>
  <c r="P265" i="13"/>
  <c r="AP251" i="13"/>
  <c r="AM534" i="13"/>
  <c r="AN534" i="13" s="1"/>
  <c r="AU211" i="13"/>
  <c r="Q225" i="13"/>
  <c r="BE211" i="13"/>
  <c r="S225" i="13"/>
  <c r="BJ528" i="13"/>
  <c r="BL528" i="13" s="1"/>
  <c r="BM528" i="13" s="1"/>
  <c r="E14" i="13"/>
  <c r="T529" i="13"/>
  <c r="BJ529" i="13" s="1"/>
  <c r="BL529" i="13" s="1"/>
  <c r="BM529" i="13" s="1"/>
  <c r="AR754" i="13"/>
  <c r="AS754" i="13" s="1"/>
  <c r="BL534" i="13"/>
  <c r="BM534" i="13" s="1"/>
  <c r="U1169" i="30"/>
  <c r="S273" i="32" s="1"/>
  <c r="U1163" i="30"/>
  <c r="M273" i="32" s="1"/>
  <c r="H2452" i="30"/>
  <c r="R2449" i="30"/>
  <c r="N2447" i="30"/>
  <c r="J2445" i="30"/>
  <c r="S2450" i="30"/>
  <c r="O2448" i="30"/>
  <c r="K2446" i="30"/>
  <c r="T2451" i="30"/>
  <c r="P2449" i="30"/>
  <c r="L2447" i="30"/>
  <c r="H2445" i="30"/>
  <c r="I2452" i="30"/>
  <c r="Q2450" i="30"/>
  <c r="M2450" i="30"/>
  <c r="R2451" i="30"/>
  <c r="N2449" i="30"/>
  <c r="J2447" i="30"/>
  <c r="S2452" i="30"/>
  <c r="O2450" i="30"/>
  <c r="K2448" i="30"/>
  <c r="G2446" i="30"/>
  <c r="P2451" i="30"/>
  <c r="L2449" i="30"/>
  <c r="H2447" i="30"/>
  <c r="M2452" i="30"/>
  <c r="G2451" i="30"/>
  <c r="O2449" i="30"/>
  <c r="S2445" i="30"/>
  <c r="N2451" i="30"/>
  <c r="J2449" i="30"/>
  <c r="T2446" i="30"/>
  <c r="O2452" i="30"/>
  <c r="K2450" i="30"/>
  <c r="G2448" i="30"/>
  <c r="Q2445" i="30"/>
  <c r="L2451" i="30"/>
  <c r="H2449" i="30"/>
  <c r="R2446" i="30"/>
  <c r="K2451" i="30"/>
  <c r="S2449" i="30"/>
  <c r="M2448" i="30"/>
  <c r="K2449" i="30"/>
  <c r="J2451" i="30"/>
  <c r="T2448" i="30"/>
  <c r="P2446" i="30"/>
  <c r="K2452" i="30"/>
  <c r="G2450" i="30"/>
  <c r="Q2447" i="30"/>
  <c r="M2445" i="30"/>
  <c r="H2451" i="30"/>
  <c r="R2448" i="30"/>
  <c r="N2446" i="30"/>
  <c r="I2450" i="30"/>
  <c r="Q2448" i="30"/>
  <c r="K2447" i="30"/>
  <c r="I2448" i="30"/>
  <c r="T2450" i="30"/>
  <c r="P2448" i="30"/>
  <c r="L2446" i="30"/>
  <c r="G2452" i="30"/>
  <c r="Q2449" i="30"/>
  <c r="M2447" i="30"/>
  <c r="I2445" i="30"/>
  <c r="R2450" i="30"/>
  <c r="N2448" i="30"/>
  <c r="J2446" i="30"/>
  <c r="G2449" i="30"/>
  <c r="O2447" i="30"/>
  <c r="I2446" i="30"/>
  <c r="Q2452" i="30"/>
  <c r="T2452" i="30"/>
  <c r="P2450" i="30"/>
  <c r="L2448" i="30"/>
  <c r="H2446" i="30"/>
  <c r="Q2451" i="30"/>
  <c r="M2449" i="30"/>
  <c r="I2447" i="30"/>
  <c r="R2452" i="30"/>
  <c r="N2450" i="30"/>
  <c r="J2448" i="30"/>
  <c r="T2445" i="30"/>
  <c r="S2447" i="30"/>
  <c r="M2446" i="30"/>
  <c r="G2445" i="30"/>
  <c r="P2452" i="30"/>
  <c r="L2450" i="30"/>
  <c r="H2448" i="30"/>
  <c r="R2445" i="30"/>
  <c r="M2451" i="30"/>
  <c r="I2449" i="30"/>
  <c r="S2446" i="30"/>
  <c r="N2452" i="30"/>
  <c r="J2450" i="30"/>
  <c r="T2447" i="30"/>
  <c r="P2445" i="30"/>
  <c r="Q2446" i="30"/>
  <c r="K2445" i="30"/>
  <c r="O2451" i="30"/>
  <c r="N2445" i="30"/>
  <c r="O2445" i="30"/>
  <c r="S2448" i="30"/>
  <c r="G2447" i="30"/>
  <c r="O2446" i="30"/>
  <c r="I2451" i="30"/>
  <c r="J2452" i="30"/>
  <c r="S2451" i="30"/>
  <c r="L2452" i="30"/>
  <c r="T2449" i="30"/>
  <c r="R2447" i="30"/>
  <c r="H2450" i="30"/>
  <c r="P2447" i="30"/>
  <c r="L2445" i="30"/>
  <c r="AH554" i="13"/>
  <c r="AI554" i="13" s="1"/>
  <c r="T569" i="13"/>
  <c r="BJ569" i="13" s="1"/>
  <c r="BL569" i="13" s="1"/>
  <c r="BM569" i="13" s="1"/>
  <c r="BJ568" i="13"/>
  <c r="BL568" i="13" s="1"/>
  <c r="BM568" i="13" s="1"/>
  <c r="AZ271" i="13"/>
  <c r="R285" i="13"/>
  <c r="E516" i="11"/>
  <c r="E530" i="11" s="1"/>
  <c r="E534" i="11" s="1"/>
  <c r="H435" i="11"/>
  <c r="R689" i="13"/>
  <c r="AZ689" i="13" s="1"/>
  <c r="BB689" i="13" s="1"/>
  <c r="BC689" i="13" s="1"/>
  <c r="AZ688" i="13"/>
  <c r="BB688" i="13" s="1"/>
  <c r="BC688" i="13" s="1"/>
  <c r="S246" i="13"/>
  <c r="BE246" i="13" s="1"/>
  <c r="BG246" i="13" s="1"/>
  <c r="BH246" i="13" s="1"/>
  <c r="BE245" i="13"/>
  <c r="BG245" i="13" s="1"/>
  <c r="BH245" i="13" s="1"/>
  <c r="U2948" i="30"/>
  <c r="N518" i="32" s="1"/>
  <c r="AF728" i="13"/>
  <c r="AH728" i="13" s="1"/>
  <c r="AI728" i="13" s="1"/>
  <c r="N729" i="13"/>
  <c r="AF729" i="13" s="1"/>
  <c r="AH729" i="13" s="1"/>
  <c r="AI729" i="13" s="1"/>
  <c r="S689" i="13"/>
  <c r="BE689" i="13" s="1"/>
  <c r="BG689" i="13" s="1"/>
  <c r="BH689" i="13" s="1"/>
  <c r="BE688" i="13"/>
  <c r="BG688" i="13" s="1"/>
  <c r="BH688" i="13" s="1"/>
  <c r="E16" i="13"/>
  <c r="T749" i="13"/>
  <c r="BJ749" i="13" s="1"/>
  <c r="BL749" i="13" s="1"/>
  <c r="BM749" i="13" s="1"/>
  <c r="BJ748" i="13"/>
  <c r="BL748" i="13" s="1"/>
  <c r="BM748" i="13" s="1"/>
  <c r="BJ708" i="13"/>
  <c r="BL708" i="13" s="1"/>
  <c r="BM708" i="13" s="1"/>
  <c r="T709" i="13"/>
  <c r="BJ709" i="13" s="1"/>
  <c r="BL709" i="13" s="1"/>
  <c r="BM709" i="13" s="1"/>
  <c r="P2563" i="30"/>
  <c r="S2565" i="30"/>
  <c r="O2563" i="30"/>
  <c r="H2565" i="30"/>
  <c r="H2562" i="30"/>
  <c r="N2563" i="30"/>
  <c r="R2563" i="30"/>
  <c r="G2565" i="30"/>
  <c r="S2564" i="30"/>
  <c r="Q2563" i="30"/>
  <c r="M2563" i="30"/>
  <c r="N2564" i="30"/>
  <c r="P2565" i="30"/>
  <c r="I2562" i="30"/>
  <c r="K2564" i="30"/>
  <c r="T2565" i="30"/>
  <c r="J2565" i="30"/>
  <c r="K2562" i="30"/>
  <c r="J2562" i="30"/>
  <c r="I2565" i="30"/>
  <c r="N2565" i="30"/>
  <c r="R2562" i="30"/>
  <c r="P2562" i="30"/>
  <c r="G2564" i="30"/>
  <c r="Q2562" i="30"/>
  <c r="O2562" i="30"/>
  <c r="J2563" i="30"/>
  <c r="O2565" i="30"/>
  <c r="R649" i="13"/>
  <c r="AZ649" i="13" s="1"/>
  <c r="BB649" i="13" s="1"/>
  <c r="BC649" i="13" s="1"/>
  <c r="AZ648" i="13"/>
  <c r="BB648" i="13" s="1"/>
  <c r="BC648" i="13" s="1"/>
  <c r="AR734" i="13"/>
  <c r="AS734" i="13" s="1"/>
  <c r="R367" i="32"/>
  <c r="R368" i="32"/>
  <c r="G1868" i="30"/>
  <c r="U1868" i="30" s="1"/>
  <c r="U1869" i="30"/>
  <c r="BB834" i="13"/>
  <c r="BC834" i="13" s="1"/>
  <c r="T369" i="13"/>
  <c r="BJ369" i="13" s="1"/>
  <c r="BL369" i="13" s="1"/>
  <c r="BM369" i="13" s="1"/>
  <c r="BJ368" i="13"/>
  <c r="BL368" i="13" s="1"/>
  <c r="BM368" i="13" s="1"/>
  <c r="E12" i="13"/>
  <c r="AU788" i="13"/>
  <c r="AW788" i="13" s="1"/>
  <c r="AX788" i="13" s="1"/>
  <c r="Q789" i="13"/>
  <c r="AU789" i="13" s="1"/>
  <c r="AW789" i="13" s="1"/>
  <c r="AX789" i="13" s="1"/>
  <c r="BE271" i="13"/>
  <c r="S285" i="13"/>
  <c r="H2248" i="30"/>
  <c r="R2245" i="30"/>
  <c r="N2243" i="30"/>
  <c r="J2241" i="30"/>
  <c r="S2246" i="30"/>
  <c r="O2244" i="30"/>
  <c r="K2242" i="30"/>
  <c r="T2247" i="30"/>
  <c r="P2245" i="30"/>
  <c r="L2243" i="30"/>
  <c r="H2241" i="30"/>
  <c r="S2247" i="30"/>
  <c r="O2247" i="30"/>
  <c r="G2245" i="30"/>
  <c r="N2247" i="30"/>
  <c r="J2245" i="30"/>
  <c r="T2242" i="30"/>
  <c r="O2248" i="30"/>
  <c r="K2246" i="30"/>
  <c r="G2244" i="30"/>
  <c r="Q2241" i="30"/>
  <c r="L2247" i="30"/>
  <c r="H2245" i="30"/>
  <c r="R2242" i="30"/>
  <c r="G2247" i="30"/>
  <c r="O2245" i="30"/>
  <c r="K2245" i="30"/>
  <c r="S2243" i="30"/>
  <c r="T2246" i="30"/>
  <c r="P2244" i="30"/>
  <c r="L2242" i="30"/>
  <c r="G2248" i="30"/>
  <c r="Q2245" i="30"/>
  <c r="M2243" i="30"/>
  <c r="I2241" i="30"/>
  <c r="R2246" i="30"/>
  <c r="N2244" i="30"/>
  <c r="J2242" i="30"/>
  <c r="Q2244" i="30"/>
  <c r="K2243" i="30"/>
  <c r="G2243" i="30"/>
  <c r="Q2242" i="30"/>
  <c r="T2248" i="30"/>
  <c r="N2245" i="30"/>
  <c r="R2241" i="30"/>
  <c r="G2246" i="30"/>
  <c r="O2242" i="30"/>
  <c r="N2246" i="30"/>
  <c r="H2243" i="30"/>
  <c r="M2242" i="30"/>
  <c r="I2244" i="30"/>
  <c r="P2248" i="30"/>
  <c r="T2244" i="30"/>
  <c r="N2241" i="30"/>
  <c r="M2245" i="30"/>
  <c r="G2242" i="30"/>
  <c r="J2246" i="30"/>
  <c r="N2242" i="30"/>
  <c r="K2241" i="30"/>
  <c r="S2241" i="30"/>
  <c r="J2247" i="30"/>
  <c r="R2243" i="30"/>
  <c r="Q2247" i="30"/>
  <c r="K2244" i="30"/>
  <c r="N2248" i="30"/>
  <c r="R2244" i="30"/>
  <c r="L2241" i="30"/>
  <c r="I2242" i="30"/>
  <c r="M2248" i="30"/>
  <c r="P2246" i="30"/>
  <c r="J2243" i="30"/>
  <c r="M2247" i="30"/>
  <c r="Q2243" i="30"/>
  <c r="J2248" i="30"/>
  <c r="J2244" i="30"/>
  <c r="I2248" i="30"/>
  <c r="G2241" i="30"/>
  <c r="K2247" i="30"/>
  <c r="R2247" i="30"/>
  <c r="K2248" i="30"/>
  <c r="R2248" i="30"/>
  <c r="P2241" i="30"/>
  <c r="O2241" i="30"/>
  <c r="L2246" i="30"/>
  <c r="I2247" i="30"/>
  <c r="P2247" i="30"/>
  <c r="S2245" i="30"/>
  <c r="H2246" i="30"/>
  <c r="O2246" i="30"/>
  <c r="H2247" i="30"/>
  <c r="O2243" i="30"/>
  <c r="L2244" i="30"/>
  <c r="I2245" i="30"/>
  <c r="T2245" i="30"/>
  <c r="Q2246" i="30"/>
  <c r="H2244" i="30"/>
  <c r="S2244" i="30"/>
  <c r="L2245" i="30"/>
  <c r="M2244" i="30"/>
  <c r="P2242" i="30"/>
  <c r="I2243" i="30"/>
  <c r="T2243" i="30"/>
  <c r="Q2248" i="30"/>
  <c r="H2242" i="30"/>
  <c r="S2242" i="30"/>
  <c r="P2243" i="30"/>
  <c r="M2246" i="30"/>
  <c r="S2248" i="30"/>
  <c r="M2241" i="30"/>
  <c r="L2248" i="30"/>
  <c r="T2241" i="30"/>
  <c r="I2246" i="30"/>
  <c r="AU354" i="13"/>
  <c r="AW354" i="13" s="1"/>
  <c r="AX354" i="13" s="1"/>
  <c r="G1606" i="30" s="1" a="1"/>
  <c r="Q368" i="13"/>
  <c r="G1477" i="30" a="1"/>
  <c r="N328" i="13"/>
  <c r="AF314" i="13"/>
  <c r="AF406" i="13"/>
  <c r="AH406" i="13" s="1"/>
  <c r="AI406" i="13" s="1"/>
  <c r="N203" i="13"/>
  <c r="AF203" i="13" s="1"/>
  <c r="AH203" i="13" s="1"/>
  <c r="AI203" i="13" s="1"/>
  <c r="U171" i="13"/>
  <c r="U308" i="13"/>
  <c r="U309" i="13" s="1"/>
  <c r="BE306" i="13"/>
  <c r="BG306" i="13" s="1"/>
  <c r="BH306" i="13" s="1"/>
  <c r="S183" i="13"/>
  <c r="R171" i="13"/>
  <c r="R308" i="13"/>
  <c r="AZ294" i="13"/>
  <c r="AW534" i="13"/>
  <c r="AX534" i="13" s="1"/>
  <c r="R729" i="13"/>
  <c r="AZ729" i="13" s="1"/>
  <c r="BB729" i="13" s="1"/>
  <c r="BC729" i="13" s="1"/>
  <c r="AZ728" i="13"/>
  <c r="AW594" i="13"/>
  <c r="AX594" i="13" s="1"/>
  <c r="O489" i="13"/>
  <c r="AK489" i="13" s="1"/>
  <c r="AM489" i="13" s="1"/>
  <c r="AN489" i="13" s="1"/>
  <c r="AK488" i="13"/>
  <c r="AM488" i="13" s="1"/>
  <c r="AN488" i="13" s="1"/>
  <c r="U1543" i="30"/>
  <c r="H2268" i="30"/>
  <c r="M2269" i="30"/>
  <c r="T2271" i="30"/>
  <c r="I2268" i="30"/>
  <c r="H2270" i="30"/>
  <c r="P2270" i="30"/>
  <c r="I2271" i="30"/>
  <c r="M2271" i="30"/>
  <c r="J2269" i="30"/>
  <c r="P2271" i="30"/>
  <c r="T2269" i="30"/>
  <c r="G2268" i="30"/>
  <c r="N2269" i="30"/>
  <c r="M2268" i="30"/>
  <c r="S2269" i="30"/>
  <c r="S2271" i="30"/>
  <c r="T2268" i="30"/>
  <c r="I2269" i="30"/>
  <c r="Q2269" i="30"/>
  <c r="R2269" i="30"/>
  <c r="N2271" i="30"/>
  <c r="K2271" i="30"/>
  <c r="G2270" i="30"/>
  <c r="R2271" i="30"/>
  <c r="K2268" i="30"/>
  <c r="I2270" i="30"/>
  <c r="L2271" i="30"/>
  <c r="L2270" i="30"/>
  <c r="O2271" i="30"/>
  <c r="H2271" i="30"/>
  <c r="L2269" i="30"/>
  <c r="P2268" i="30"/>
  <c r="R2270" i="30"/>
  <c r="J2268" i="30"/>
  <c r="K2269" i="30"/>
  <c r="J2271" i="30"/>
  <c r="N2270" i="30"/>
  <c r="T2270" i="30"/>
  <c r="M2270" i="30"/>
  <c r="O2269" i="30"/>
  <c r="Q2271" i="30"/>
  <c r="R2268" i="30"/>
  <c r="Q2268" i="30"/>
  <c r="O2268" i="30"/>
  <c r="J2270" i="30"/>
  <c r="H2269" i="30"/>
  <c r="G2269" i="30"/>
  <c r="G2271" i="30"/>
  <c r="S2268" i="30"/>
  <c r="Q2270" i="30"/>
  <c r="S2270" i="30"/>
  <c r="L2268" i="30"/>
  <c r="O2270" i="30"/>
  <c r="K2270" i="30"/>
  <c r="N2268" i="30"/>
  <c r="P2269" i="30"/>
  <c r="AF468" i="13"/>
  <c r="AH468" i="13" s="1"/>
  <c r="AI468" i="13" s="1"/>
  <c r="N469" i="13"/>
  <c r="AF469" i="13" s="1"/>
  <c r="AH469" i="13" s="1"/>
  <c r="AI469" i="13" s="1"/>
  <c r="BL334" i="13"/>
  <c r="BM334" i="13" s="1"/>
  <c r="H492" i="11"/>
  <c r="H497" i="11"/>
  <c r="H511" i="11" s="1"/>
  <c r="T609" i="13"/>
  <c r="BJ609" i="13" s="1"/>
  <c r="BL609" i="13" s="1"/>
  <c r="BM609" i="13" s="1"/>
  <c r="BJ608" i="13"/>
  <c r="BL608" i="13" s="1"/>
  <c r="BM608" i="13" s="1"/>
  <c r="U1963" i="30"/>
  <c r="U2791" i="30"/>
  <c r="G2790" i="30"/>
  <c r="U2790" i="30" s="1"/>
  <c r="S494" i="32"/>
  <c r="I50" i="31" s="1"/>
  <c r="S493" i="32"/>
  <c r="H50" i="31" s="1"/>
  <c r="F492" i="11"/>
  <c r="F497" i="11"/>
  <c r="F511" i="11" s="1"/>
  <c r="AP848" i="13"/>
  <c r="AR848" i="13" s="1"/>
  <c r="AS848" i="13" s="1"/>
  <c r="P849" i="13"/>
  <c r="AP849" i="13" s="1"/>
  <c r="AR849" i="13" s="1"/>
  <c r="AS849" i="13" s="1"/>
  <c r="AK628" i="13"/>
  <c r="AM628" i="13" s="1"/>
  <c r="AN628" i="13" s="1"/>
  <c r="O629" i="13"/>
  <c r="AK629" i="13" s="1"/>
  <c r="AM629" i="13" s="1"/>
  <c r="AN629" i="13" s="1"/>
  <c r="AW654" i="13"/>
  <c r="AX654" i="13" s="1"/>
  <c r="G2378" i="30"/>
  <c r="U2378" i="30" s="1"/>
  <c r="R437" i="32"/>
  <c r="U2379" i="30"/>
  <c r="R438" i="32"/>
  <c r="BB734" i="13"/>
  <c r="BC734" i="13" s="1"/>
  <c r="AW554" i="13"/>
  <c r="AX554" i="13" s="1"/>
  <c r="BL514" i="13"/>
  <c r="BM514" i="13" s="1"/>
  <c r="BJ183" i="13"/>
  <c r="T163" i="13"/>
  <c r="BJ163" i="13" s="1"/>
  <c r="BL163" i="13" s="1"/>
  <c r="BM163" i="13" s="1"/>
  <c r="AK568" i="13"/>
  <c r="AM568" i="13" s="1"/>
  <c r="AN568" i="13" s="1"/>
  <c r="O569" i="13"/>
  <c r="AK569" i="13" s="1"/>
  <c r="AM569" i="13" s="1"/>
  <c r="AN569" i="13" s="1"/>
  <c r="BB554" i="13"/>
  <c r="BC554" i="13" s="1"/>
  <c r="G2095" i="30"/>
  <c r="Q2092" i="30"/>
  <c r="M2090" i="30"/>
  <c r="I2088" i="30"/>
  <c r="R2093" i="30"/>
  <c r="N2091" i="30"/>
  <c r="J2089" i="30"/>
  <c r="S2094" i="30"/>
  <c r="O2092" i="30"/>
  <c r="K2090" i="30"/>
  <c r="G2088" i="30"/>
  <c r="P2095" i="30"/>
  <c r="J2094" i="30"/>
  <c r="P2091" i="30"/>
  <c r="I2094" i="30"/>
  <c r="S2091" i="30"/>
  <c r="O2089" i="30"/>
  <c r="J2095" i="30"/>
  <c r="T2092" i="30"/>
  <c r="P2090" i="30"/>
  <c r="L2088" i="30"/>
  <c r="G2094" i="30"/>
  <c r="Q2091" i="30"/>
  <c r="M2089" i="30"/>
  <c r="P2093" i="30"/>
  <c r="J2092" i="30"/>
  <c r="R2090" i="30"/>
  <c r="T2093" i="30"/>
  <c r="S2093" i="30"/>
  <c r="O2091" i="30"/>
  <c r="K2089" i="30"/>
  <c r="T2094" i="30"/>
  <c r="P2092" i="30"/>
  <c r="L2090" i="30"/>
  <c r="H2088" i="30"/>
  <c r="Q2093" i="30"/>
  <c r="M2091" i="30"/>
  <c r="I2089" i="30"/>
  <c r="N2092" i="30"/>
  <c r="H2091" i="30"/>
  <c r="P2089" i="30"/>
  <c r="L2089" i="30"/>
  <c r="S2095" i="30"/>
  <c r="O2093" i="30"/>
  <c r="K2091" i="30"/>
  <c r="G2089" i="30"/>
  <c r="P2094" i="30"/>
  <c r="L2092" i="30"/>
  <c r="H2090" i="30"/>
  <c r="Q2095" i="30"/>
  <c r="M2093" i="30"/>
  <c r="I2091" i="30"/>
  <c r="S2088" i="30"/>
  <c r="L2091" i="30"/>
  <c r="T2089" i="30"/>
  <c r="N2088" i="30"/>
  <c r="O2095" i="30"/>
  <c r="K2093" i="30"/>
  <c r="G2091" i="30"/>
  <c r="Q2088" i="30"/>
  <c r="L2094" i="30"/>
  <c r="H2092" i="30"/>
  <c r="R2089" i="30"/>
  <c r="M2095" i="30"/>
  <c r="I2093" i="30"/>
  <c r="S2090" i="30"/>
  <c r="O2088" i="30"/>
  <c r="J2090" i="30"/>
  <c r="R2088" i="30"/>
  <c r="R2092" i="30"/>
  <c r="K2095" i="30"/>
  <c r="S2089" i="30"/>
  <c r="J2091" i="30"/>
  <c r="S2092" i="30"/>
  <c r="R2094" i="30"/>
  <c r="H2095" i="30"/>
  <c r="Q2094" i="30"/>
  <c r="M2088" i="30"/>
  <c r="T2090" i="30"/>
  <c r="K2092" i="30"/>
  <c r="H2089" i="30"/>
  <c r="N2090" i="30"/>
  <c r="M2094" i="30"/>
  <c r="R2095" i="30"/>
  <c r="N2089" i="30"/>
  <c r="G2092" i="30"/>
  <c r="N2094" i="30"/>
  <c r="M2092" i="30"/>
  <c r="H2094" i="30"/>
  <c r="P2088" i="30"/>
  <c r="G2090" i="30"/>
  <c r="L2095" i="30"/>
  <c r="I2092" i="30"/>
  <c r="N2093" i="30"/>
  <c r="I2095" i="30"/>
  <c r="Q2089" i="30"/>
  <c r="H2093" i="30"/>
  <c r="I2090" i="30"/>
  <c r="K2088" i="30"/>
  <c r="N2095" i="30"/>
  <c r="T2095" i="30"/>
  <c r="J2093" i="30"/>
  <c r="L2093" i="30"/>
  <c r="R2091" i="30"/>
  <c r="T2091" i="30"/>
  <c r="T2088" i="30"/>
  <c r="J2088" i="30"/>
  <c r="O2094" i="30"/>
  <c r="G2093" i="30"/>
  <c r="K2094" i="30"/>
  <c r="Q2090" i="30"/>
  <c r="O2090" i="30"/>
  <c r="R489" i="13"/>
  <c r="AZ489" i="13" s="1"/>
  <c r="BB489" i="13" s="1"/>
  <c r="BC489" i="13" s="1"/>
  <c r="AZ488" i="13"/>
  <c r="BB488" i="13" s="1"/>
  <c r="BC488" i="13" s="1"/>
  <c r="Q489" i="13"/>
  <c r="AU489" i="13" s="1"/>
  <c r="AW489" i="13" s="1"/>
  <c r="AX489" i="13" s="1"/>
  <c r="AU488" i="13"/>
  <c r="AW488" i="13" s="1"/>
  <c r="AX488" i="13" s="1"/>
  <c r="BG231" i="13"/>
  <c r="BH231" i="13" s="1"/>
  <c r="U2952" i="30"/>
  <c r="R518" i="32" s="1"/>
  <c r="R444" i="32"/>
  <c r="R445" i="32"/>
  <c r="U2430" i="30"/>
  <c r="U2431" i="30"/>
  <c r="G2429" i="30"/>
  <c r="U2429" i="30" s="1"/>
  <c r="BL734" i="13"/>
  <c r="BM734" i="13" s="1"/>
  <c r="BL694" i="13"/>
  <c r="BM694" i="13" s="1"/>
  <c r="AP306" i="13"/>
  <c r="AR306" i="13" s="1"/>
  <c r="AS306" i="13" s="1"/>
  <c r="P183" i="13"/>
  <c r="E13" i="13"/>
  <c r="T469" i="13"/>
  <c r="BJ469" i="13" s="1"/>
  <c r="BL469" i="13" s="1"/>
  <c r="BM469" i="13" s="1"/>
  <c r="BJ468" i="13"/>
  <c r="BL468" i="13" s="1"/>
  <c r="BM468" i="13" s="1"/>
  <c r="I1857" i="30"/>
  <c r="P1857" i="30"/>
  <c r="S1859" i="30"/>
  <c r="I1858" i="30"/>
  <c r="T1856" i="30"/>
  <c r="O1858" i="30"/>
  <c r="H1858" i="30"/>
  <c r="G1508" i="30" a="1"/>
  <c r="G2680" i="30" a="1"/>
  <c r="R849" i="13"/>
  <c r="AZ849" i="13" s="1"/>
  <c r="BB849" i="13" s="1"/>
  <c r="BC849" i="13" s="1"/>
  <c r="AZ848" i="13"/>
  <c r="BB848" i="13" s="1"/>
  <c r="BC848" i="13" s="1"/>
  <c r="BL354" i="13"/>
  <c r="BM354" i="13" s="1"/>
  <c r="AW774" i="13"/>
  <c r="AX774" i="13" s="1"/>
  <c r="S489" i="13"/>
  <c r="BE489" i="13" s="1"/>
  <c r="BG489" i="13" s="1"/>
  <c r="BH489" i="13" s="1"/>
  <c r="BE488" i="13"/>
  <c r="BG488" i="13" s="1"/>
  <c r="BH488" i="13" s="1"/>
  <c r="E38" i="13"/>
  <c r="AK528" i="13"/>
  <c r="AM528" i="13" s="1"/>
  <c r="AN528" i="13" s="1"/>
  <c r="O529" i="13"/>
  <c r="AK529" i="13" s="1"/>
  <c r="AM529" i="13" s="1"/>
  <c r="AN529" i="13" s="1"/>
  <c r="AK734" i="13"/>
  <c r="O748" i="13"/>
  <c r="G2547" i="30" a="1"/>
  <c r="U203" i="13"/>
  <c r="U163" i="13" s="1"/>
  <c r="P245" i="13"/>
  <c r="AP231" i="13"/>
  <c r="BB714" i="13"/>
  <c r="BC714" i="13" s="1"/>
  <c r="P225" i="13"/>
  <c r="AP211" i="13"/>
  <c r="P17" i="13"/>
  <c r="R17" i="13" s="1"/>
  <c r="S17" i="13" s="1"/>
  <c r="AU328" i="13"/>
  <c r="AW328" i="13" s="1"/>
  <c r="AX328" i="13" s="1"/>
  <c r="Q329" i="13"/>
  <c r="AU329" i="13" s="1"/>
  <c r="AW329" i="13" s="1"/>
  <c r="AX329" i="13" s="1"/>
  <c r="S609" i="13"/>
  <c r="BE609" i="13" s="1"/>
  <c r="BG609" i="13" s="1"/>
  <c r="BH609" i="13" s="1"/>
  <c r="BE608" i="13"/>
  <c r="BG608" i="13" s="1"/>
  <c r="BH608" i="13" s="1"/>
  <c r="AW714" i="13"/>
  <c r="AX714" i="13" s="1"/>
  <c r="BL594" i="13"/>
  <c r="BM594" i="13" s="1"/>
  <c r="G2817" i="30" a="1"/>
  <c r="AU528" i="13"/>
  <c r="AW528" i="13" s="1"/>
  <c r="AX528" i="13" s="1"/>
  <c r="Q529" i="13"/>
  <c r="AU529" i="13" s="1"/>
  <c r="AW529" i="13" s="1"/>
  <c r="AX529" i="13" s="1"/>
  <c r="AP568" i="13"/>
  <c r="AR568" i="13" s="1"/>
  <c r="AS568" i="13" s="1"/>
  <c r="P569" i="13"/>
  <c r="AP569" i="13" s="1"/>
  <c r="AR569" i="13" s="1"/>
  <c r="AS569" i="13" s="1"/>
  <c r="AR834" i="13"/>
  <c r="AS834" i="13" s="1"/>
  <c r="AM614" i="13"/>
  <c r="AN614" i="13" s="1"/>
  <c r="S649" i="13"/>
  <c r="BE649" i="13" s="1"/>
  <c r="BG649" i="13" s="1"/>
  <c r="BH649" i="13" s="1"/>
  <c r="BE648" i="13"/>
  <c r="BG648" i="13" s="1"/>
  <c r="BH648" i="13" s="1"/>
  <c r="S906" i="13"/>
  <c r="BE906" i="13" s="1"/>
  <c r="R749" i="13"/>
  <c r="AZ749" i="13" s="1"/>
  <c r="BB749" i="13" s="1"/>
  <c r="BC749" i="13" s="1"/>
  <c r="AZ748" i="13"/>
  <c r="BB748" i="13" s="1"/>
  <c r="BC748" i="13" s="1"/>
  <c r="AH514" i="13"/>
  <c r="AI514" i="13" s="1"/>
  <c r="S569" i="13"/>
  <c r="BE569" i="13" s="1"/>
  <c r="BG569" i="13" s="1"/>
  <c r="BH569" i="13" s="1"/>
  <c r="BE568" i="13"/>
  <c r="BG568" i="13" s="1"/>
  <c r="BH568" i="13" s="1"/>
  <c r="U1853" i="30"/>
  <c r="U1166" i="30"/>
  <c r="P273" i="32" s="1"/>
  <c r="U1170" i="30"/>
  <c r="T273" i="32" s="1"/>
  <c r="R569" i="13"/>
  <c r="AZ569" i="13" s="1"/>
  <c r="BB569" i="13" s="1"/>
  <c r="BC569" i="13" s="1"/>
  <c r="AZ568" i="13"/>
  <c r="BB568" i="13" s="1"/>
  <c r="BC568" i="13" s="1"/>
  <c r="G406" i="30" a="1"/>
  <c r="E454" i="11"/>
  <c r="G516" i="11"/>
  <c r="G530" i="11" s="1"/>
  <c r="E535" i="11" s="1"/>
  <c r="BL554" i="13"/>
  <c r="BM554" i="13" s="1"/>
  <c r="BB474" i="13"/>
  <c r="BC474" i="13" s="1"/>
  <c r="AW474" i="13"/>
  <c r="AX474" i="13" s="1"/>
  <c r="K516" i="11"/>
  <c r="K530" i="11" s="1"/>
  <c r="E537" i="11" s="1"/>
  <c r="E492" i="11"/>
  <c r="E497" i="11"/>
  <c r="R769" i="13"/>
  <c r="AZ769" i="13" s="1"/>
  <c r="BB769" i="13" s="1"/>
  <c r="BC769" i="13" s="1"/>
  <c r="AZ768" i="13"/>
  <c r="BB768" i="13" s="1"/>
  <c r="BC768" i="13" s="1"/>
  <c r="T689" i="13"/>
  <c r="BJ689" i="13" s="1"/>
  <c r="BL689" i="13" s="1"/>
  <c r="BM689" i="13" s="1"/>
  <c r="BJ688" i="13"/>
  <c r="BL688" i="13" s="1"/>
  <c r="BM688" i="13" s="1"/>
  <c r="BL454" i="13"/>
  <c r="BM454" i="13" s="1"/>
  <c r="AU848" i="13"/>
  <c r="AW848" i="13" s="1"/>
  <c r="AX848" i="13" s="1"/>
  <c r="Q849" i="13"/>
  <c r="AU849" i="13" s="1"/>
  <c r="AW849" i="13" s="1"/>
  <c r="AX849" i="13" s="1"/>
  <c r="AZ251" i="13"/>
  <c r="R265" i="13"/>
  <c r="AR514" i="13"/>
  <c r="AS514" i="13" s="1"/>
  <c r="BJ271" i="13"/>
  <c r="T285" i="13"/>
  <c r="N2008" i="30"/>
  <c r="T2005" i="30"/>
  <c r="Q2005" i="30"/>
  <c r="J2006" i="30"/>
  <c r="O2007" i="30"/>
  <c r="H2006" i="30"/>
  <c r="R2005" i="30"/>
  <c r="K2005" i="30"/>
  <c r="T2006" i="30"/>
  <c r="G2005" i="30"/>
  <c r="L2008" i="30"/>
  <c r="P2007" i="30"/>
  <c r="K2008" i="30"/>
  <c r="O2005" i="30"/>
  <c r="G2008" i="30"/>
  <c r="M2006" i="30"/>
  <c r="G2006" i="30"/>
  <c r="M2007" i="30"/>
  <c r="Q2006" i="30"/>
  <c r="H2005" i="30"/>
  <c r="T2008" i="30"/>
  <c r="P2006" i="30"/>
  <c r="L2007" i="30"/>
  <c r="J2005" i="30"/>
  <c r="L2005" i="30"/>
  <c r="O2006" i="30"/>
  <c r="H2007" i="30"/>
  <c r="S2007" i="30"/>
  <c r="I2005" i="30"/>
  <c r="S2005" i="30"/>
  <c r="T2007" i="30"/>
  <c r="P2008" i="30"/>
  <c r="Q2008" i="30"/>
  <c r="N2006" i="30"/>
  <c r="M2005" i="30"/>
  <c r="I2006" i="30"/>
  <c r="Q2007" i="30"/>
  <c r="G2007" i="30"/>
  <c r="R2008" i="30"/>
  <c r="S2008" i="30"/>
  <c r="O2008" i="30"/>
  <c r="S2006" i="30"/>
  <c r="H2008" i="30"/>
  <c r="R2007" i="30"/>
  <c r="J2008" i="30"/>
  <c r="L2006" i="30"/>
  <c r="J2007" i="30"/>
  <c r="M2008" i="30"/>
  <c r="R2006" i="30"/>
  <c r="N2005" i="30"/>
  <c r="I2007" i="30"/>
  <c r="K2007" i="30"/>
  <c r="I2008" i="30"/>
  <c r="K2006" i="30"/>
  <c r="N2007" i="30"/>
  <c r="P2005" i="30"/>
  <c r="R191" i="13"/>
  <c r="R408" i="13"/>
  <c r="AZ394" i="13"/>
  <c r="BB394" i="13" s="1"/>
  <c r="BC394" i="13" s="1"/>
  <c r="G1711" i="30" s="1" a="1"/>
  <c r="BE394" i="13"/>
  <c r="BG394" i="13" s="1"/>
  <c r="BH394" i="13" s="1"/>
  <c r="G1715" i="30" s="1" a="1"/>
  <c r="S408" i="13"/>
  <c r="N211" i="13"/>
  <c r="N668" i="13"/>
  <c r="G2343" i="30" a="1"/>
  <c r="AF654" i="13"/>
  <c r="Q408" i="13"/>
  <c r="AU394" i="13"/>
  <c r="Q191" i="13"/>
  <c r="AK434" i="13"/>
  <c r="O448" i="13"/>
  <c r="N171" i="13"/>
  <c r="AF294" i="13"/>
  <c r="Q171" i="13"/>
  <c r="Q308" i="13"/>
  <c r="AU294" i="13"/>
  <c r="AW294" i="13" s="1"/>
  <c r="AX294" i="13" s="1"/>
  <c r="G1453" i="30" s="1" a="1"/>
  <c r="G2476" i="30" a="1"/>
  <c r="Q163" i="13"/>
  <c r="AU163" i="13" s="1"/>
  <c r="AW163" i="13" s="1"/>
  <c r="AX163" i="13" s="1"/>
  <c r="AU183" i="13"/>
  <c r="AW183" i="13" s="1"/>
  <c r="AX183" i="13" s="1"/>
  <c r="P829" i="13"/>
  <c r="AP829" i="13" s="1"/>
  <c r="AR829" i="13" s="1"/>
  <c r="AS829" i="13" s="1"/>
  <c r="AP828" i="13"/>
  <c r="AR828" i="13" s="1"/>
  <c r="AS828" i="13" s="1"/>
  <c r="I492" i="11"/>
  <c r="I497" i="11"/>
  <c r="I511" i="11" s="1"/>
  <c r="P669" i="13"/>
  <c r="AP669" i="13" s="1"/>
  <c r="AR669" i="13" s="1"/>
  <c r="AS669" i="13" s="1"/>
  <c r="AP668" i="13"/>
  <c r="AR668" i="13" s="1"/>
  <c r="AS668" i="13" s="1"/>
  <c r="AM474" i="13"/>
  <c r="AN474" i="13" s="1"/>
  <c r="BB231" i="13"/>
  <c r="BC231" i="13" s="1"/>
  <c r="AW314" i="13"/>
  <c r="AX314" i="13" s="1"/>
  <c r="G2225" i="30"/>
  <c r="U2225" i="30" s="1"/>
  <c r="U2226" i="30"/>
  <c r="R416" i="32"/>
  <c r="R417" i="32"/>
  <c r="AH814" i="13"/>
  <c r="AI814" i="13" s="1"/>
  <c r="U2281" i="30"/>
  <c r="G2280" i="30"/>
  <c r="U2280" i="30" s="1"/>
  <c r="S424" i="32"/>
  <c r="I40" i="31" s="1"/>
  <c r="S423" i="32"/>
  <c r="H40" i="31" s="1"/>
  <c r="AW514" i="13"/>
  <c r="AX514" i="13" s="1"/>
  <c r="AU688" i="13"/>
  <c r="AW688" i="13" s="1"/>
  <c r="AX688" i="13" s="1"/>
  <c r="Q689" i="13"/>
  <c r="AU689" i="13" s="1"/>
  <c r="AW689" i="13" s="1"/>
  <c r="AX689" i="13" s="1"/>
  <c r="AP648" i="13"/>
  <c r="AR648" i="13" s="1"/>
  <c r="AS648" i="13" s="1"/>
  <c r="P649" i="13"/>
  <c r="AP649" i="13" s="1"/>
  <c r="AR649" i="13" s="1"/>
  <c r="AS649" i="13" s="1"/>
  <c r="R431" i="32"/>
  <c r="G2327" i="30"/>
  <c r="U2327" i="30" s="1"/>
  <c r="U2328" i="30"/>
  <c r="R430" i="32"/>
  <c r="P1753" i="30"/>
  <c r="G1750" i="30"/>
  <c r="M1750" i="30"/>
  <c r="S1750" i="30"/>
  <c r="N1751" i="30"/>
  <c r="I1750" i="30"/>
  <c r="I1752" i="30"/>
  <c r="M1753" i="30"/>
  <c r="J1751" i="30"/>
  <c r="L1751" i="30"/>
  <c r="T1750" i="30"/>
  <c r="G1753" i="30"/>
  <c r="L1752" i="30"/>
  <c r="I1753" i="30"/>
  <c r="O1750" i="30"/>
  <c r="N1752" i="30"/>
  <c r="S1751" i="30"/>
  <c r="L1750" i="30"/>
  <c r="O1751" i="30"/>
  <c r="H1751" i="30"/>
  <c r="T1752" i="30"/>
  <c r="N1750" i="30"/>
  <c r="H1753" i="30"/>
  <c r="R1753" i="30"/>
  <c r="N1753" i="30"/>
  <c r="M1751" i="30"/>
  <c r="Q1750" i="30"/>
  <c r="G1751" i="30"/>
  <c r="O1752" i="30"/>
  <c r="P1752" i="30"/>
  <c r="P1751" i="30"/>
  <c r="M1752" i="30"/>
  <c r="S1752" i="30"/>
  <c r="K1750" i="30"/>
  <c r="Q1752" i="30"/>
  <c r="R1751" i="30"/>
  <c r="Q1753" i="30"/>
  <c r="H1752" i="30"/>
  <c r="S1753" i="30"/>
  <c r="J1752" i="30"/>
  <c r="K1752" i="30"/>
  <c r="Q1751" i="30"/>
  <c r="R1752" i="30"/>
  <c r="K1753" i="30"/>
  <c r="I1751" i="30"/>
  <c r="R1750" i="30"/>
  <c r="P1750" i="30"/>
  <c r="L1753" i="30"/>
  <c r="H1750" i="30"/>
  <c r="O1753" i="30"/>
  <c r="J1750" i="30"/>
  <c r="K1751" i="30"/>
  <c r="T1753" i="30"/>
  <c r="G1752" i="30"/>
  <c r="N353" i="32" s="1"/>
  <c r="T1751" i="30"/>
  <c r="J1753" i="30"/>
  <c r="E18" i="13"/>
  <c r="T769" i="13"/>
  <c r="BJ769" i="13" s="1"/>
  <c r="BL769" i="13" s="1"/>
  <c r="BM769" i="13" s="1"/>
  <c r="BJ768" i="13"/>
  <c r="BL768" i="13" s="1"/>
  <c r="BM768" i="13" s="1"/>
  <c r="Q2821" i="30"/>
  <c r="H2824" i="30"/>
  <c r="J2823" i="30"/>
  <c r="M2824" i="30"/>
  <c r="L2822" i="30"/>
  <c r="Q2822" i="30"/>
  <c r="R2823" i="30"/>
  <c r="T2823" i="30"/>
  <c r="T2822" i="30"/>
  <c r="P2821" i="30"/>
  <c r="J2821" i="30"/>
  <c r="K2821" i="30"/>
  <c r="R2821" i="30"/>
  <c r="S2824" i="30"/>
  <c r="R2824" i="30"/>
  <c r="O2824" i="30"/>
  <c r="H2822" i="30"/>
  <c r="L2821" i="30"/>
  <c r="H2821" i="30"/>
  <c r="N2824" i="30"/>
  <c r="K2824" i="30"/>
  <c r="O2823" i="30"/>
  <c r="G2823" i="30"/>
  <c r="I2821" i="30"/>
  <c r="G2824" i="30"/>
  <c r="N2821" i="30"/>
  <c r="J2824" i="30"/>
  <c r="J2822" i="30"/>
  <c r="O2821" i="30"/>
  <c r="M2823" i="30"/>
  <c r="T2824" i="30"/>
  <c r="K2823" i="30"/>
  <c r="T2821" i="30"/>
  <c r="S2823" i="30"/>
  <c r="Q2824" i="30"/>
  <c r="I2824" i="30"/>
  <c r="L2824" i="30"/>
  <c r="S2821" i="30"/>
  <c r="K2822" i="30"/>
  <c r="P2824" i="30"/>
  <c r="M2821" i="30"/>
  <c r="M2822" i="30"/>
  <c r="N2823" i="30"/>
  <c r="G2822" i="30"/>
  <c r="P2823" i="30"/>
  <c r="I2823" i="30"/>
  <c r="S2822" i="30"/>
  <c r="H2823" i="30"/>
  <c r="L2823" i="30"/>
  <c r="O2822" i="30"/>
  <c r="G2821" i="30"/>
  <c r="R2822" i="30"/>
  <c r="N2822" i="30"/>
  <c r="Q2823" i="30"/>
  <c r="P2822" i="30"/>
  <c r="I2822" i="30"/>
  <c r="AF528" i="13"/>
  <c r="AH528" i="13" s="1"/>
  <c r="AI528" i="13" s="1"/>
  <c r="N529" i="13"/>
  <c r="AF529" i="13" s="1"/>
  <c r="AH529" i="13" s="1"/>
  <c r="AI529" i="13" s="1"/>
  <c r="G2123" i="30"/>
  <c r="R402" i="32"/>
  <c r="R403" i="32"/>
  <c r="U1165" i="30"/>
  <c r="O273" i="32" s="1"/>
  <c r="G1950" i="30" a="1"/>
  <c r="U2788" i="30"/>
  <c r="U2789" i="30" s="1"/>
  <c r="AU828" i="13"/>
  <c r="AW828" i="13" s="1"/>
  <c r="AX828" i="13" s="1"/>
  <c r="Q829" i="13"/>
  <c r="AU829" i="13" s="1"/>
  <c r="AW829" i="13" s="1"/>
  <c r="AX829" i="13" s="1"/>
  <c r="AM554" i="13"/>
  <c r="AN554" i="13" s="1"/>
  <c r="AP368" i="13"/>
  <c r="AR368" i="13" s="1"/>
  <c r="AS368" i="13" s="1"/>
  <c r="P369" i="13"/>
  <c r="AP369" i="13" s="1"/>
  <c r="AR369" i="13" s="1"/>
  <c r="AS369" i="13" s="1"/>
  <c r="BB494" i="13"/>
  <c r="BC494" i="13" s="1"/>
  <c r="S329" i="13"/>
  <c r="BE329" i="13" s="1"/>
  <c r="BG329" i="13" s="1"/>
  <c r="BH329" i="13" s="1"/>
  <c r="BE328" i="13"/>
  <c r="BG328" i="13" s="1"/>
  <c r="BH328" i="13" s="1"/>
  <c r="U2947" i="30"/>
  <c r="M518" i="32" s="1"/>
  <c r="BE251" i="13"/>
  <c r="S265" i="13"/>
  <c r="BB754" i="13"/>
  <c r="BC754" i="13" s="1"/>
  <c r="BL674" i="13"/>
  <c r="BM674" i="13" s="1"/>
  <c r="AM314" i="13"/>
  <c r="AN314" i="13" s="1"/>
  <c r="AK348" i="13"/>
  <c r="AM348" i="13" s="1"/>
  <c r="AN348" i="13" s="1"/>
  <c r="O349" i="13"/>
  <c r="AK349" i="13" s="1"/>
  <c r="AM349" i="13" s="1"/>
  <c r="AN349" i="13" s="1"/>
  <c r="AU251" i="13"/>
  <c r="Q265" i="13"/>
  <c r="AH774" i="13"/>
  <c r="AI774" i="13" s="1"/>
  <c r="P529" i="13"/>
  <c r="AP529" i="13" s="1"/>
  <c r="AR529" i="13" s="1"/>
  <c r="AS529" i="13" s="1"/>
  <c r="AP528" i="13"/>
  <c r="AR528" i="13" s="1"/>
  <c r="AS528" i="13" s="1"/>
  <c r="BJ488" i="13"/>
  <c r="BL488" i="13" s="1"/>
  <c r="BM488" i="13" s="1"/>
  <c r="T489" i="13"/>
  <c r="BJ489" i="13" s="1"/>
  <c r="BL489" i="13" s="1"/>
  <c r="BM489" i="13" s="1"/>
  <c r="R374" i="32"/>
  <c r="R375" i="32"/>
  <c r="G1919" i="30"/>
  <c r="U1919" i="30" s="1"/>
  <c r="U1920" i="30"/>
  <c r="BL203" i="13"/>
  <c r="BM203" i="13" s="1"/>
  <c r="G67" i="13" s="1"/>
  <c r="E67" i="13"/>
  <c r="U2417" i="30"/>
  <c r="BE434" i="13"/>
  <c r="BG434" i="13" s="1"/>
  <c r="BH434" i="13" s="1"/>
  <c r="G1817" i="30" s="1" a="1"/>
  <c r="S448" i="13"/>
  <c r="BJ314" i="13"/>
  <c r="T328" i="13"/>
  <c r="U1908" i="30"/>
  <c r="U1907" i="30"/>
  <c r="AR814" i="13"/>
  <c r="AS814" i="13" s="1"/>
  <c r="T2464" i="30"/>
  <c r="N2465" i="30"/>
  <c r="L2466" i="30"/>
  <c r="L2467" i="30"/>
  <c r="H2464" i="30"/>
  <c r="I2465" i="30"/>
  <c r="T2467" i="30"/>
  <c r="K2466" i="30"/>
  <c r="L2464" i="30"/>
  <c r="K2467" i="30"/>
  <c r="N2464" i="30"/>
  <c r="O2467" i="30"/>
  <c r="Q2465" i="30"/>
  <c r="P2464" i="30"/>
  <c r="S2466" i="30"/>
  <c r="J2467" i="30"/>
  <c r="G2467" i="30"/>
  <c r="P2466" i="30"/>
  <c r="K2464" i="30"/>
  <c r="S2467" i="30"/>
  <c r="S2465" i="30"/>
  <c r="I2466" i="30"/>
  <c r="T2465" i="30"/>
  <c r="P2465" i="30"/>
  <c r="Q2464" i="30"/>
  <c r="O2464" i="30"/>
  <c r="T2466" i="30"/>
  <c r="L2465" i="30"/>
  <c r="O2466" i="30"/>
  <c r="H2465" i="30"/>
  <c r="K2465" i="30"/>
  <c r="R2467" i="30"/>
  <c r="J2466" i="30"/>
  <c r="P2467" i="30"/>
  <c r="J2465" i="30"/>
  <c r="M2467" i="30"/>
  <c r="G2465" i="30"/>
  <c r="R2466" i="30"/>
  <c r="S2464" i="30"/>
  <c r="G2466" i="30"/>
  <c r="O2465" i="30"/>
  <c r="M2464" i="30"/>
  <c r="R2464" i="30"/>
  <c r="H2466" i="30"/>
  <c r="I2464" i="30"/>
  <c r="J2464" i="30"/>
  <c r="M2466" i="30"/>
  <c r="G2464" i="30"/>
  <c r="N2467" i="30"/>
  <c r="M2465" i="30"/>
  <c r="I2467" i="30"/>
  <c r="H2467" i="30"/>
  <c r="Q2466" i="30"/>
  <c r="R2465" i="30"/>
  <c r="N2466" i="30"/>
  <c r="Q2467" i="30"/>
  <c r="AR654" i="13"/>
  <c r="AS654" i="13" s="1"/>
  <c r="R246" i="13"/>
  <c r="AZ246" i="13" s="1"/>
  <c r="BB246" i="13" s="1"/>
  <c r="BC246" i="13" s="1"/>
  <c r="AZ245" i="13"/>
  <c r="BB245" i="13" s="1"/>
  <c r="BC245" i="13" s="1"/>
  <c r="E19" i="13"/>
  <c r="BJ788" i="13"/>
  <c r="BL788" i="13" s="1"/>
  <c r="BM788" i="13" s="1"/>
  <c r="T789" i="13"/>
  <c r="BJ789" i="13" s="1"/>
  <c r="BL789" i="13" s="1"/>
  <c r="BM789" i="13" s="1"/>
  <c r="S549" i="13"/>
  <c r="BE549" i="13" s="1"/>
  <c r="BG549" i="13" s="1"/>
  <c r="BH549" i="13" s="1"/>
  <c r="BE548" i="13"/>
  <c r="BG548" i="13" s="1"/>
  <c r="BH548" i="13" s="1"/>
  <c r="N829" i="13"/>
  <c r="AF829" i="13" s="1"/>
  <c r="AH829" i="13" s="1"/>
  <c r="AI829" i="13" s="1"/>
  <c r="AF828" i="13"/>
  <c r="AH828" i="13" s="1"/>
  <c r="AI828" i="13" s="1"/>
  <c r="U2533" i="30"/>
  <c r="U2534" i="30" s="1"/>
  <c r="O2770" i="30"/>
  <c r="T2771" i="30"/>
  <c r="K2771" i="30"/>
  <c r="L2771" i="30"/>
  <c r="H2770" i="30"/>
  <c r="I2773" i="30"/>
  <c r="K2770" i="30"/>
  <c r="I2772" i="30"/>
  <c r="J2771" i="30"/>
  <c r="O2773" i="30"/>
  <c r="S2771" i="30"/>
  <c r="L2772" i="30"/>
  <c r="P2772" i="30"/>
  <c r="N2773" i="30"/>
  <c r="M2770" i="30"/>
  <c r="L2773" i="30"/>
  <c r="T2772" i="30"/>
  <c r="T2770" i="30"/>
  <c r="K2773" i="30"/>
  <c r="P2770" i="30"/>
  <c r="P2773" i="30"/>
  <c r="K2772" i="30"/>
  <c r="G2771" i="30"/>
  <c r="R2770" i="30"/>
  <c r="M2771" i="30"/>
  <c r="T2773" i="30"/>
  <c r="M2772" i="30"/>
  <c r="S2773" i="30"/>
  <c r="J2773" i="30"/>
  <c r="S2770" i="30"/>
  <c r="Q2773" i="30"/>
  <c r="O2772" i="30"/>
  <c r="P2771" i="30"/>
  <c r="H2771" i="30"/>
  <c r="N2771" i="30"/>
  <c r="O2771" i="30"/>
  <c r="M2773" i="30"/>
  <c r="J2770" i="30"/>
  <c r="G2773" i="30"/>
  <c r="Q2772" i="30"/>
  <c r="I2770" i="30"/>
  <c r="Q2770" i="30"/>
  <c r="L2770" i="30"/>
  <c r="R2772" i="30"/>
  <c r="H2773" i="30"/>
  <c r="N2772" i="30"/>
  <c r="R2773" i="30"/>
  <c r="S2772" i="30"/>
  <c r="Q2771" i="30"/>
  <c r="I2771" i="30"/>
  <c r="G2772" i="30"/>
  <c r="H2772" i="30"/>
  <c r="J2772" i="30"/>
  <c r="N2770" i="30"/>
  <c r="G2770" i="30"/>
  <c r="R2771" i="30"/>
  <c r="AR554" i="13"/>
  <c r="AS554" i="13" s="1"/>
  <c r="AW674" i="13"/>
  <c r="AX674" i="13" s="1"/>
  <c r="AR634" i="13"/>
  <c r="AS634" i="13" s="1"/>
  <c r="AF271" i="13"/>
  <c r="N285" i="13"/>
  <c r="BL754" i="13"/>
  <c r="BM754" i="13" s="1"/>
  <c r="AK251" i="13"/>
  <c r="O265" i="13"/>
  <c r="Q1991" i="30"/>
  <c r="M1989" i="30"/>
  <c r="I1987" i="30"/>
  <c r="H1993" i="30"/>
  <c r="R1990" i="30"/>
  <c r="N1988" i="30"/>
  <c r="J1986" i="30"/>
  <c r="S1991" i="30"/>
  <c r="O1989" i="30"/>
  <c r="K1987" i="30"/>
  <c r="R1989" i="30"/>
  <c r="L1988" i="30"/>
  <c r="Q1993" i="30"/>
  <c r="M1991" i="30"/>
  <c r="I1989" i="30"/>
  <c r="S1986" i="30"/>
  <c r="R1992" i="30"/>
  <c r="N1990" i="30"/>
  <c r="J1988" i="30"/>
  <c r="S1993" i="30"/>
  <c r="O1991" i="30"/>
  <c r="K1989" i="30"/>
  <c r="G1987" i="30"/>
  <c r="P1988" i="30"/>
  <c r="J1987" i="30"/>
  <c r="S1992" i="30"/>
  <c r="O1990" i="30"/>
  <c r="K1988" i="30"/>
  <c r="G1986" i="30"/>
  <c r="T1991" i="30"/>
  <c r="P1989" i="30"/>
  <c r="L1987" i="30"/>
  <c r="G1993" i="30"/>
  <c r="Q1990" i="30"/>
  <c r="M1988" i="30"/>
  <c r="I1986" i="30"/>
  <c r="T1992" i="30"/>
  <c r="O1992" i="30"/>
  <c r="K1990" i="30"/>
  <c r="G1988" i="30"/>
  <c r="T1993" i="30"/>
  <c r="P1991" i="30"/>
  <c r="L1989" i="30"/>
  <c r="H1987" i="30"/>
  <c r="Q1992" i="30"/>
  <c r="M1990" i="30"/>
  <c r="I1988" i="30"/>
  <c r="J1993" i="30"/>
  <c r="R1991" i="30"/>
  <c r="G1992" i="30"/>
  <c r="M1987" i="30"/>
  <c r="H1991" i="30"/>
  <c r="N1986" i="30"/>
  <c r="S1989" i="30"/>
  <c r="T1990" i="30"/>
  <c r="N1991" i="30"/>
  <c r="P1986" i="30"/>
  <c r="G1990" i="30"/>
  <c r="P1993" i="30"/>
  <c r="H1989" i="30"/>
  <c r="M1992" i="30"/>
  <c r="S1987" i="30"/>
  <c r="P1990" i="30"/>
  <c r="H1988" i="30"/>
  <c r="T1988" i="30"/>
  <c r="Q1989" i="30"/>
  <c r="L1993" i="30"/>
  <c r="R1988" i="30"/>
  <c r="I1992" i="30"/>
  <c r="O1987" i="30"/>
  <c r="N1989" i="30"/>
  <c r="T1986" i="30"/>
  <c r="M1993" i="30"/>
  <c r="S1988" i="30"/>
  <c r="N1992" i="30"/>
  <c r="T1987" i="30"/>
  <c r="K1991" i="30"/>
  <c r="Q1986" i="30"/>
  <c r="H1986" i="30"/>
  <c r="L1992" i="30"/>
  <c r="I1993" i="30"/>
  <c r="O1988" i="30"/>
  <c r="J1992" i="30"/>
  <c r="P1987" i="30"/>
  <c r="G1991" i="30"/>
  <c r="M1986" i="30"/>
  <c r="R1993" i="30"/>
  <c r="R1987" i="30"/>
  <c r="L1991" i="30"/>
  <c r="Q1988" i="30"/>
  <c r="H1990" i="30"/>
  <c r="J1990" i="30"/>
  <c r="H1992" i="30"/>
  <c r="N1993" i="30"/>
  <c r="K1992" i="30"/>
  <c r="T1989" i="30"/>
  <c r="N1987" i="30"/>
  <c r="S1990" i="30"/>
  <c r="O1993" i="30"/>
  <c r="P1992" i="30"/>
  <c r="Q1987" i="30"/>
  <c r="K1993" i="30"/>
  <c r="L1990" i="30"/>
  <c r="K1986" i="30"/>
  <c r="R1986" i="30"/>
  <c r="I1990" i="30"/>
  <c r="G1989" i="30"/>
  <c r="L1986" i="30"/>
  <c r="J1989" i="30"/>
  <c r="I1991" i="30"/>
  <c r="J1991" i="30"/>
  <c r="O1986" i="30"/>
  <c r="N369" i="13"/>
  <c r="AF369" i="13" s="1"/>
  <c r="AH369" i="13" s="1"/>
  <c r="AI369" i="13" s="1"/>
  <c r="AF368" i="13"/>
  <c r="AH368" i="13" s="1"/>
  <c r="AI368" i="13" s="1"/>
  <c r="AU231" i="13"/>
  <c r="Q245" i="13"/>
  <c r="AU348" i="13"/>
  <c r="AW348" i="13" s="1"/>
  <c r="AX348" i="13" s="1"/>
  <c r="Q349" i="13"/>
  <c r="AU349" i="13" s="1"/>
  <c r="AW349" i="13" s="1"/>
  <c r="AX349" i="13" s="1"/>
  <c r="AH534" i="13"/>
  <c r="AI534" i="13" s="1"/>
  <c r="AR354" i="13"/>
  <c r="AS354" i="13" s="1"/>
  <c r="R509" i="13"/>
  <c r="AZ509" i="13" s="1"/>
  <c r="BB509" i="13" s="1"/>
  <c r="BC509" i="13" s="1"/>
  <c r="AZ508" i="13"/>
  <c r="BB508" i="13" s="1"/>
  <c r="BC508" i="13" s="1"/>
  <c r="T729" i="13"/>
  <c r="BJ729" i="13" s="1"/>
  <c r="BL729" i="13" s="1"/>
  <c r="BM729" i="13" s="1"/>
  <c r="BJ728" i="13"/>
  <c r="BL728" i="13" s="1"/>
  <c r="BM728" i="13" s="1"/>
  <c r="R319" i="32"/>
  <c r="G1512" i="30"/>
  <c r="U1512" i="30" s="1"/>
  <c r="R318" i="32"/>
  <c r="U1513" i="30"/>
  <c r="U2950" i="30"/>
  <c r="P518" i="32" s="1"/>
  <c r="AF428" i="13"/>
  <c r="AH428" i="13" s="1"/>
  <c r="AI428" i="13" s="1"/>
  <c r="N429" i="13"/>
  <c r="AF429" i="13" s="1"/>
  <c r="AH429" i="13" s="1"/>
  <c r="AI429" i="13" s="1"/>
  <c r="S849" i="13"/>
  <c r="BE849" i="13" s="1"/>
  <c r="BG849" i="13" s="1"/>
  <c r="BH849" i="13" s="1"/>
  <c r="BE848" i="13"/>
  <c r="BG848" i="13" s="1"/>
  <c r="BH848" i="13" s="1"/>
  <c r="S789" i="13"/>
  <c r="BE789" i="13" s="1"/>
  <c r="BG789" i="13" s="1"/>
  <c r="BH789" i="13" s="1"/>
  <c r="BE788" i="13"/>
  <c r="BG788" i="13" s="1"/>
  <c r="BH788" i="13" s="1"/>
  <c r="BB454" i="13"/>
  <c r="BC454" i="13" s="1"/>
  <c r="G1762" i="30" a="1"/>
  <c r="O329" i="13"/>
  <c r="AK329" i="13" s="1"/>
  <c r="AM329" i="13" s="1"/>
  <c r="AN329" i="13" s="1"/>
  <c r="AK328" i="13"/>
  <c r="AM328" i="13" s="1"/>
  <c r="AN328" i="13" s="1"/>
  <c r="AM334" i="13"/>
  <c r="AN334" i="13" s="1"/>
  <c r="AW834" i="13"/>
  <c r="AX834" i="13" s="1"/>
  <c r="G391" i="30" a="1"/>
  <c r="AF265" i="13"/>
  <c r="AH265" i="13" s="1"/>
  <c r="AI265" i="13" s="1"/>
  <c r="N266" i="13"/>
  <c r="AF266" i="13" s="1"/>
  <c r="AH266" i="13" s="1"/>
  <c r="AI266" i="13" s="1"/>
  <c r="E43" i="13"/>
  <c r="N789" i="13"/>
  <c r="AF789" i="13" s="1"/>
  <c r="AH789" i="13" s="1"/>
  <c r="AI789" i="13" s="1"/>
  <c r="AF788" i="13"/>
  <c r="AH788" i="13" s="1"/>
  <c r="AI788" i="13" s="1"/>
  <c r="BB594" i="13"/>
  <c r="BC594" i="13" s="1"/>
  <c r="AU428" i="13"/>
  <c r="AW428" i="13" s="1"/>
  <c r="AX428" i="13" s="1"/>
  <c r="Q429" i="13"/>
  <c r="AU429" i="13" s="1"/>
  <c r="AW429" i="13" s="1"/>
  <c r="AX429" i="13" s="1"/>
  <c r="BJ434" i="13"/>
  <c r="T448" i="13"/>
  <c r="N448" i="13"/>
  <c r="AF434" i="13"/>
  <c r="N308" i="13"/>
  <c r="R183" i="13"/>
  <c r="AZ306" i="13"/>
  <c r="BB306" i="13" s="1"/>
  <c r="BC306" i="13" s="1"/>
  <c r="R906" i="13"/>
  <c r="AZ906" i="13" s="1"/>
  <c r="AH754" i="13"/>
  <c r="AI754" i="13" s="1"/>
  <c r="Q2265" i="30"/>
  <c r="I2266" i="30"/>
  <c r="P2266" i="30"/>
  <c r="H2264" i="30"/>
  <c r="O2267" i="30"/>
  <c r="K2267" i="30"/>
  <c r="M2266" i="30"/>
  <c r="K2264" i="30"/>
  <c r="P2267" i="30"/>
  <c r="H2267" i="30"/>
  <c r="I2267" i="30"/>
  <c r="Q2264" i="30"/>
  <c r="M2265" i="30"/>
  <c r="J2265" i="30"/>
  <c r="L2267" i="30"/>
  <c r="J2264" i="30"/>
  <c r="N2265" i="30"/>
  <c r="G2267" i="30"/>
  <c r="J2267" i="30"/>
  <c r="I2264" i="30"/>
  <c r="R2267" i="30"/>
  <c r="N2266" i="30"/>
  <c r="Q2266" i="30"/>
  <c r="L2265" i="30"/>
  <c r="R2266" i="30"/>
  <c r="S2266" i="30"/>
  <c r="S2265" i="30"/>
  <c r="H2265" i="30"/>
  <c r="P2265" i="30"/>
  <c r="K2266" i="30"/>
  <c r="M2264" i="30"/>
  <c r="P2264" i="30"/>
  <c r="R2264" i="30"/>
  <c r="S2267" i="30"/>
  <c r="L2266" i="30"/>
  <c r="G2265" i="30"/>
  <c r="H2266" i="30"/>
  <c r="O2266" i="30"/>
  <c r="T2264" i="30"/>
  <c r="L2264" i="30"/>
  <c r="T2266" i="30"/>
  <c r="G2264" i="30"/>
  <c r="O2264" i="30"/>
  <c r="O2265" i="30"/>
  <c r="M2267" i="30"/>
  <c r="T2265" i="30"/>
  <c r="S2264" i="30"/>
  <c r="K2265" i="30"/>
  <c r="I2265" i="30"/>
  <c r="N2267" i="30"/>
  <c r="T2267" i="30"/>
  <c r="Q2267" i="30"/>
  <c r="J2266" i="30"/>
  <c r="R2265" i="30"/>
  <c r="N2264" i="30"/>
  <c r="G2266" i="30"/>
  <c r="O709" i="13"/>
  <c r="AK709" i="13" s="1"/>
  <c r="AM709" i="13" s="1"/>
  <c r="AN709" i="13" s="1"/>
  <c r="AK708" i="13"/>
  <c r="AM708" i="13" s="1"/>
  <c r="AN708" i="13" s="1"/>
  <c r="T669" i="13"/>
  <c r="BJ669" i="13" s="1"/>
  <c r="BL669" i="13" s="1"/>
  <c r="BM669" i="13" s="1"/>
  <c r="BJ668" i="13"/>
  <c r="BL668" i="13" s="1"/>
  <c r="BM668" i="13" s="1"/>
  <c r="AR534" i="13"/>
  <c r="AS534" i="13" s="1"/>
  <c r="BL774" i="13"/>
  <c r="BM774" i="13" s="1"/>
  <c r="U2073" i="30"/>
  <c r="R396" i="32"/>
  <c r="G2072" i="30"/>
  <c r="U2072" i="30" s="1"/>
  <c r="R395" i="32"/>
  <c r="P2758" i="30"/>
  <c r="L2756" i="30"/>
  <c r="H2754" i="30"/>
  <c r="R2751" i="30"/>
  <c r="L2757" i="30"/>
  <c r="H2755" i="30"/>
  <c r="R2752" i="30"/>
  <c r="G2758" i="30"/>
  <c r="M2753" i="30"/>
  <c r="Q2756" i="30"/>
  <c r="I2752" i="30"/>
  <c r="M2752" i="30"/>
  <c r="G2752" i="30"/>
  <c r="I2757" i="30"/>
  <c r="N2757" i="30"/>
  <c r="J2755" i="30"/>
  <c r="T2752" i="30"/>
  <c r="N2758" i="30"/>
  <c r="J2756" i="30"/>
  <c r="T2753" i="30"/>
  <c r="P2751" i="30"/>
  <c r="Q2755" i="30"/>
  <c r="I2751" i="30"/>
  <c r="M2754" i="30"/>
  <c r="G2757" i="30"/>
  <c r="O2756" i="30"/>
  <c r="K2755" i="30"/>
  <c r="S2754" i="30"/>
  <c r="H2756" i="30"/>
  <c r="J2753" i="30"/>
  <c r="T2757" i="30"/>
  <c r="R2754" i="30"/>
  <c r="T2751" i="30"/>
  <c r="O2754" i="30"/>
  <c r="I2756" i="30"/>
  <c r="I2758" i="30"/>
  <c r="K2754" i="30"/>
  <c r="O2752" i="30"/>
  <c r="T2758" i="30"/>
  <c r="R2755" i="30"/>
  <c r="P2752" i="30"/>
  <c r="P2757" i="30"/>
  <c r="N2754" i="30"/>
  <c r="L2751" i="30"/>
  <c r="G2754" i="30"/>
  <c r="O2755" i="30"/>
  <c r="S2755" i="30"/>
  <c r="I2753" i="30"/>
  <c r="G2756" i="30"/>
  <c r="L2758" i="30"/>
  <c r="N2755" i="30"/>
  <c r="L2752" i="30"/>
  <c r="H2757" i="30"/>
  <c r="J2754" i="30"/>
  <c r="H2751" i="30"/>
  <c r="S2752" i="30"/>
  <c r="G2755" i="30"/>
  <c r="Q2754" i="30"/>
  <c r="Q2758" i="30"/>
  <c r="M2751" i="30"/>
  <c r="H2758" i="30"/>
  <c r="T2754" i="30"/>
  <c r="H2752" i="30"/>
  <c r="R2756" i="30"/>
  <c r="P2753" i="30"/>
  <c r="O2758" i="30"/>
  <c r="K2752" i="30"/>
  <c r="S2753" i="30"/>
  <c r="O2753" i="30"/>
  <c r="O2757" i="30"/>
  <c r="K2758" i="30"/>
  <c r="R2757" i="30"/>
  <c r="P2754" i="30"/>
  <c r="N2751" i="30"/>
  <c r="N2756" i="30"/>
  <c r="L2753" i="30"/>
  <c r="M2757" i="30"/>
  <c r="Q2751" i="30"/>
  <c r="K2753" i="30"/>
  <c r="K2751" i="30"/>
  <c r="M2756" i="30"/>
  <c r="Q2753" i="30"/>
  <c r="J2757" i="30"/>
  <c r="L2754" i="30"/>
  <c r="J2751" i="30"/>
  <c r="T2755" i="30"/>
  <c r="H2753" i="30"/>
  <c r="S2756" i="30"/>
  <c r="M2758" i="30"/>
  <c r="Q2752" i="30"/>
  <c r="S2758" i="30"/>
  <c r="I2754" i="30"/>
  <c r="T2756" i="30"/>
  <c r="R2753" i="30"/>
  <c r="R2758" i="30"/>
  <c r="P2755" i="30"/>
  <c r="N2752" i="30"/>
  <c r="K2756" i="30"/>
  <c r="S2757" i="30"/>
  <c r="O2751" i="30"/>
  <c r="Q2757" i="30"/>
  <c r="G2753" i="30"/>
  <c r="L2755" i="30"/>
  <c r="I2755" i="30"/>
  <c r="K2757" i="30"/>
  <c r="G2751" i="30"/>
  <c r="J2752" i="30"/>
  <c r="P2756" i="30"/>
  <c r="M2755" i="30"/>
  <c r="J2758" i="30"/>
  <c r="N2753" i="30"/>
  <c r="S2751" i="30"/>
  <c r="R225" i="13"/>
  <c r="AZ211" i="13"/>
  <c r="G2782" i="30" a="1"/>
  <c r="AK183" i="13"/>
  <c r="AM183" i="13" s="1"/>
  <c r="AN183" i="13" s="1"/>
  <c r="O163" i="13"/>
  <c r="AK163" i="13" s="1"/>
  <c r="AM163" i="13" s="1"/>
  <c r="AN163" i="13" s="1"/>
  <c r="AK828" i="13"/>
  <c r="AM828" i="13" s="1"/>
  <c r="AN828" i="13" s="1"/>
  <c r="O829" i="13"/>
  <c r="AK829" i="13" s="1"/>
  <c r="AM829" i="13" s="1"/>
  <c r="AN829" i="13" s="1"/>
  <c r="AP428" i="13"/>
  <c r="AR428" i="13" s="1"/>
  <c r="AS428" i="13" s="1"/>
  <c r="P429" i="13"/>
  <c r="AP429" i="13" s="1"/>
  <c r="AR429" i="13" s="1"/>
  <c r="AS429" i="13" s="1"/>
  <c r="AM774" i="13"/>
  <c r="AN774" i="13" s="1"/>
  <c r="T509" i="13"/>
  <c r="BJ509" i="13" s="1"/>
  <c r="BL509" i="13" s="1"/>
  <c r="BM509" i="13" s="1"/>
  <c r="BJ508" i="13"/>
  <c r="BL508" i="13" s="1"/>
  <c r="BM508" i="13" s="1"/>
  <c r="AH594" i="13"/>
  <c r="AI594" i="13" s="1"/>
  <c r="S629" i="13"/>
  <c r="BE629" i="13" s="1"/>
  <c r="BG629" i="13" s="1"/>
  <c r="BH629" i="13" s="1"/>
  <c r="BE628" i="13"/>
  <c r="BG628" i="13" s="1"/>
  <c r="BH628" i="13" s="1"/>
  <c r="AK848" i="13"/>
  <c r="AM848" i="13" s="1"/>
  <c r="AN848" i="13" s="1"/>
  <c r="O849" i="13"/>
  <c r="AK849" i="13" s="1"/>
  <c r="AM849" i="13" s="1"/>
  <c r="AN849" i="13" s="1"/>
  <c r="AP328" i="13"/>
  <c r="AR328" i="13" s="1"/>
  <c r="AS328" i="13" s="1"/>
  <c r="P329" i="13"/>
  <c r="AP329" i="13" s="1"/>
  <c r="AR329" i="13" s="1"/>
  <c r="AS329" i="13" s="1"/>
  <c r="G1579" i="30" a="1"/>
  <c r="U1168" i="30"/>
  <c r="R273" i="32" s="1"/>
  <c r="AW814" i="13"/>
  <c r="AX814" i="13" s="1"/>
  <c r="AW334" i="13"/>
  <c r="AX334" i="13" s="1"/>
  <c r="AH674" i="13"/>
  <c r="AI674" i="13" s="1"/>
  <c r="AP728" i="13"/>
  <c r="AR728" i="13" s="1"/>
  <c r="AS728" i="13" s="1"/>
  <c r="P729" i="13"/>
  <c r="AP729" i="13" s="1"/>
  <c r="AR729" i="13" s="1"/>
  <c r="AS729" i="13" s="1"/>
  <c r="K492" i="11"/>
  <c r="K497" i="11"/>
  <c r="K511" i="11" s="1"/>
  <c r="BB334" i="13"/>
  <c r="BC334" i="13" s="1"/>
  <c r="U2953" i="30"/>
  <c r="S518" i="32" s="1"/>
  <c r="AH414" i="13"/>
  <c r="AI414" i="13" s="1"/>
  <c r="G2837" i="30"/>
  <c r="U2837" i="30" s="1"/>
  <c r="U2838" i="30"/>
  <c r="G2684" i="30"/>
  <c r="U2684" i="30" s="1"/>
  <c r="R479" i="32"/>
  <c r="R480" i="32"/>
  <c r="U2685" i="30"/>
  <c r="R469" i="13"/>
  <c r="AZ469" i="13" s="1"/>
  <c r="BB469" i="13" s="1"/>
  <c r="BC469" i="13" s="1"/>
  <c r="AZ468" i="13"/>
  <c r="BB468" i="13" s="1"/>
  <c r="BC468" i="13" s="1"/>
  <c r="S509" i="13"/>
  <c r="BE509" i="13" s="1"/>
  <c r="BG509" i="13" s="1"/>
  <c r="BH509" i="13" s="1"/>
  <c r="BE508" i="13"/>
  <c r="BG508" i="13" s="1"/>
  <c r="BH508" i="13" s="1"/>
  <c r="O649" i="13"/>
  <c r="AK649" i="13" s="1"/>
  <c r="AM649" i="13" s="1"/>
  <c r="AN649" i="13" s="1"/>
  <c r="AK648" i="13"/>
  <c r="AM648" i="13" s="1"/>
  <c r="AN648" i="13" s="1"/>
  <c r="AK608" i="13"/>
  <c r="AM608" i="13" s="1"/>
  <c r="AN608" i="13" s="1"/>
  <c r="O609" i="13"/>
  <c r="AK609" i="13" s="1"/>
  <c r="AM609" i="13" s="1"/>
  <c r="AN609" i="13" s="1"/>
  <c r="AH251" i="13"/>
  <c r="AI251" i="13" s="1"/>
  <c r="O2656" i="30"/>
  <c r="K2654" i="30"/>
  <c r="G2652" i="30"/>
  <c r="Q2649" i="30"/>
  <c r="L2655" i="30"/>
  <c r="H2653" i="30"/>
  <c r="R2650" i="30"/>
  <c r="L2656" i="30"/>
  <c r="M2655" i="30"/>
  <c r="I2653" i="30"/>
  <c r="S2650" i="30"/>
  <c r="N2656" i="30"/>
  <c r="J2654" i="30"/>
  <c r="T2651" i="30"/>
  <c r="P2649" i="30"/>
  <c r="H2654" i="30"/>
  <c r="Q2655" i="30"/>
  <c r="O2652" i="30"/>
  <c r="M2649" i="30"/>
  <c r="N2654" i="30"/>
  <c r="L2651" i="30"/>
  <c r="R2655" i="30"/>
  <c r="P2650" i="30"/>
  <c r="S2653" i="30"/>
  <c r="K2649" i="30"/>
  <c r="P2652" i="30"/>
  <c r="I2654" i="30"/>
  <c r="G2653" i="30"/>
  <c r="I2655" i="30"/>
  <c r="K2652" i="30"/>
  <c r="I2649" i="30"/>
  <c r="T2653" i="30"/>
  <c r="H2651" i="30"/>
  <c r="J2655" i="30"/>
  <c r="H2650" i="30"/>
  <c r="K2653" i="30"/>
  <c r="P2656" i="30"/>
  <c r="H2652" i="30"/>
  <c r="S2651" i="30"/>
  <c r="Q2650" i="30"/>
  <c r="S2654" i="30"/>
  <c r="Q2651" i="30"/>
  <c r="R2656" i="30"/>
  <c r="P2653" i="30"/>
  <c r="N2650" i="30"/>
  <c r="P2654" i="30"/>
  <c r="N2649" i="30"/>
  <c r="Q2652" i="30"/>
  <c r="H2656" i="30"/>
  <c r="N2651" i="30"/>
  <c r="O2649" i="30"/>
  <c r="I2650" i="30"/>
  <c r="O2654" i="30"/>
  <c r="M2651" i="30"/>
  <c r="J2656" i="30"/>
  <c r="L2653" i="30"/>
  <c r="J2650" i="30"/>
  <c r="N2653" i="30"/>
  <c r="Q2656" i="30"/>
  <c r="I2652" i="30"/>
  <c r="N2655" i="30"/>
  <c r="T2650" i="30"/>
  <c r="S2655" i="30"/>
  <c r="Q2654" i="30"/>
  <c r="G2654" i="30"/>
  <c r="I2651" i="30"/>
  <c r="T2655" i="30"/>
  <c r="R2652" i="30"/>
  <c r="T2649" i="30"/>
  <c r="T2652" i="30"/>
  <c r="I2656" i="30"/>
  <c r="O2651" i="30"/>
  <c r="T2654" i="30"/>
  <c r="L2650" i="30"/>
  <c r="O2653" i="30"/>
  <c r="M2652" i="30"/>
  <c r="S2656" i="30"/>
  <c r="Q2653" i="30"/>
  <c r="O2650" i="30"/>
  <c r="P2655" i="30"/>
  <c r="N2652" i="30"/>
  <c r="L2649" i="30"/>
  <c r="L2652" i="30"/>
  <c r="O2655" i="30"/>
  <c r="G2651" i="30"/>
  <c r="L2654" i="30"/>
  <c r="R2649" i="30"/>
  <c r="K2651" i="30"/>
  <c r="K2656" i="30"/>
  <c r="M2653" i="30"/>
  <c r="K2650" i="30"/>
  <c r="H2655" i="30"/>
  <c r="J2652" i="30"/>
  <c r="H2649" i="30"/>
  <c r="R2651" i="30"/>
  <c r="G2655" i="30"/>
  <c r="M2650" i="30"/>
  <c r="R2653" i="30"/>
  <c r="J2649" i="30"/>
  <c r="G2649" i="30"/>
  <c r="S2652" i="30"/>
  <c r="J2653" i="30"/>
  <c r="G2650" i="30"/>
  <c r="R2654" i="30"/>
  <c r="K2655" i="30"/>
  <c r="P2651" i="30"/>
  <c r="T2656" i="30"/>
  <c r="M2656" i="30"/>
  <c r="J2651" i="30"/>
  <c r="S2649" i="30"/>
  <c r="M2654" i="30"/>
  <c r="G2656" i="30"/>
  <c r="R609" i="13"/>
  <c r="AZ609" i="13" s="1"/>
  <c r="BB609" i="13" s="1"/>
  <c r="BC609" i="13" s="1"/>
  <c r="AZ608" i="13"/>
  <c r="BB608" i="13" s="1"/>
  <c r="BC608" i="13" s="1"/>
  <c r="BL474" i="13"/>
  <c r="BM474" i="13" s="1"/>
  <c r="AW414" i="13"/>
  <c r="AX414" i="13" s="1"/>
  <c r="O444" i="32"/>
  <c r="U2419" i="30"/>
  <c r="P906" i="13"/>
  <c r="AP906" i="13" s="1"/>
  <c r="AF446" i="13"/>
  <c r="AH446" i="13" s="1"/>
  <c r="AI446" i="13" s="1"/>
  <c r="O1891" i="30"/>
  <c r="K1889" i="30"/>
  <c r="G1887" i="30"/>
  <c r="Q1884" i="30"/>
  <c r="L1890" i="30"/>
  <c r="H1888" i="30"/>
  <c r="R1885" i="30"/>
  <c r="I1891" i="30"/>
  <c r="O1886" i="30"/>
  <c r="Q1890" i="30"/>
  <c r="M1888" i="30"/>
  <c r="I1886" i="30"/>
  <c r="R1891" i="30"/>
  <c r="N1889" i="30"/>
  <c r="J1887" i="30"/>
  <c r="T1884" i="30"/>
  <c r="M1889" i="30"/>
  <c r="S1884" i="30"/>
  <c r="J1888" i="30"/>
  <c r="M1891" i="30"/>
  <c r="S1886" i="30"/>
  <c r="R1886" i="30"/>
  <c r="T1891" i="30"/>
  <c r="M1890" i="30"/>
  <c r="I1888" i="30"/>
  <c r="S1885" i="30"/>
  <c r="N1891" i="30"/>
  <c r="J1889" i="30"/>
  <c r="T1886" i="30"/>
  <c r="P1884" i="30"/>
  <c r="S1888" i="30"/>
  <c r="K1884" i="30"/>
  <c r="P1887" i="30"/>
  <c r="S1890" i="30"/>
  <c r="K1886" i="30"/>
  <c r="N1884" i="30"/>
  <c r="P1889" i="30"/>
  <c r="I1890" i="30"/>
  <c r="S1887" i="30"/>
  <c r="O1885" i="30"/>
  <c r="J1891" i="30"/>
  <c r="T1888" i="30"/>
  <c r="P1886" i="30"/>
  <c r="L1884" i="30"/>
  <c r="K1888" i="30"/>
  <c r="P1891" i="30"/>
  <c r="H1887" i="30"/>
  <c r="K1890" i="30"/>
  <c r="Q1885" i="30"/>
  <c r="R1890" i="30"/>
  <c r="L1887" i="30"/>
  <c r="S1889" i="30"/>
  <c r="O1887" i="30"/>
  <c r="K1885" i="30"/>
  <c r="T1890" i="30"/>
  <c r="P1888" i="30"/>
  <c r="L1886" i="30"/>
  <c r="H1884" i="30"/>
  <c r="Q1887" i="30"/>
  <c r="H1891" i="30"/>
  <c r="N1886" i="30"/>
  <c r="Q1889" i="30"/>
  <c r="I1885" i="30"/>
  <c r="N1888" i="30"/>
  <c r="H1885" i="30"/>
  <c r="G1889" i="30"/>
  <c r="P1890" i="30"/>
  <c r="J1885" i="30"/>
  <c r="T1889" i="30"/>
  <c r="O1888" i="30"/>
  <c r="J1890" i="30"/>
  <c r="Q1888" i="30"/>
  <c r="H1890" i="30"/>
  <c r="Q1891" i="30"/>
  <c r="L1889" i="30"/>
  <c r="G1888" i="30"/>
  <c r="T1887" i="30"/>
  <c r="K1887" i="30"/>
  <c r="R1889" i="30"/>
  <c r="O1890" i="30"/>
  <c r="R1888" i="30"/>
  <c r="M1887" i="30"/>
  <c r="P1885" i="30"/>
  <c r="S1891" i="30"/>
  <c r="M1886" i="30"/>
  <c r="R1887" i="30"/>
  <c r="I1887" i="30"/>
  <c r="L1885" i="30"/>
  <c r="G1884" i="30"/>
  <c r="K1891" i="30"/>
  <c r="G1885" i="30"/>
  <c r="N1887" i="30"/>
  <c r="G1886" i="30"/>
  <c r="R1884" i="30"/>
  <c r="L1891" i="30"/>
  <c r="M1884" i="30"/>
  <c r="T1885" i="30"/>
  <c r="I1884" i="30"/>
  <c r="J1884" i="30"/>
  <c r="L1888" i="30"/>
  <c r="I1889" i="30"/>
  <c r="H1886" i="30"/>
  <c r="O1884" i="30"/>
  <c r="N1885" i="30"/>
  <c r="H1889" i="30"/>
  <c r="G1891" i="30"/>
  <c r="G1890" i="30"/>
  <c r="J1886" i="30"/>
  <c r="O1889" i="30"/>
  <c r="M1885" i="30"/>
  <c r="Q1886" i="30"/>
  <c r="N1890" i="30"/>
  <c r="P629" i="13"/>
  <c r="AP629" i="13" s="1"/>
  <c r="AR629" i="13" s="1"/>
  <c r="AS629" i="13" s="1"/>
  <c r="AP628" i="13"/>
  <c r="AR628" i="13" s="1"/>
  <c r="AS628" i="13" s="1"/>
  <c r="AU748" i="13"/>
  <c r="AW748" i="13" s="1"/>
  <c r="AX748" i="13" s="1"/>
  <c r="Q749" i="13"/>
  <c r="AU749" i="13" s="1"/>
  <c r="AW749" i="13" s="1"/>
  <c r="AX749" i="13" s="1"/>
  <c r="BJ211" i="13"/>
  <c r="T225" i="13"/>
  <c r="P285" i="13"/>
  <c r="AP271" i="13"/>
  <c r="U1544" i="30"/>
  <c r="AP548" i="13"/>
  <c r="AR548" i="13" s="1"/>
  <c r="AS548" i="13" s="1"/>
  <c r="P549" i="13"/>
  <c r="AP549" i="13" s="1"/>
  <c r="AR549" i="13" s="1"/>
  <c r="AS549" i="13" s="1"/>
  <c r="S769" i="13"/>
  <c r="BE769" i="13" s="1"/>
  <c r="BG769" i="13" s="1"/>
  <c r="BH769" i="13" s="1"/>
  <c r="BE768" i="13"/>
  <c r="BG768" i="13" s="1"/>
  <c r="BH768" i="13" s="1"/>
  <c r="AP348" i="13"/>
  <c r="AR348" i="13" s="1"/>
  <c r="AS348" i="13" s="1"/>
  <c r="P349" i="13"/>
  <c r="AP349" i="13" s="1"/>
  <c r="AR349" i="13" s="1"/>
  <c r="AS349" i="13" s="1"/>
  <c r="AF231" i="13"/>
  <c r="N245" i="13"/>
  <c r="G1273" i="30" a="1"/>
  <c r="AK231" i="13"/>
  <c r="O245" i="13"/>
  <c r="T1757" i="30"/>
  <c r="M1755" i="30"/>
  <c r="I1757" i="30"/>
  <c r="S1757" i="30"/>
  <c r="T1754" i="30"/>
  <c r="I1755" i="30"/>
  <c r="N1757" i="30"/>
  <c r="G1757" i="30"/>
  <c r="L1757" i="30"/>
  <c r="O1754" i="30"/>
  <c r="R1757" i="30"/>
  <c r="M1756" i="30"/>
  <c r="L1754" i="30"/>
  <c r="K1756" i="30"/>
  <c r="Q1754" i="30"/>
  <c r="S1754" i="30"/>
  <c r="O1755" i="30"/>
  <c r="Q1755" i="30"/>
  <c r="P1757" i="30"/>
  <c r="R1755" i="30"/>
  <c r="P1755" i="30"/>
  <c r="H1755" i="30"/>
  <c r="N1756" i="30"/>
  <c r="H1756" i="30"/>
  <c r="G1756" i="30"/>
  <c r="T1756" i="30"/>
  <c r="G1754" i="30"/>
  <c r="K1757" i="30"/>
  <c r="R1756" i="30"/>
  <c r="P1754" i="30"/>
  <c r="H1754" i="30"/>
  <c r="L1756" i="30"/>
  <c r="J1755" i="30"/>
  <c r="T1755" i="30"/>
  <c r="N1755" i="30"/>
  <c r="J1754" i="30"/>
  <c r="S1755" i="30"/>
  <c r="R1754" i="30"/>
  <c r="J1756" i="30"/>
  <c r="O1756" i="30"/>
  <c r="G1755" i="30"/>
  <c r="Q1756" i="30"/>
  <c r="I1756" i="30"/>
  <c r="Q1757" i="30"/>
  <c r="H1757" i="30"/>
  <c r="K1754" i="30"/>
  <c r="O1757" i="30"/>
  <c r="J1757" i="30"/>
  <c r="N1754" i="30"/>
  <c r="L1755" i="30"/>
  <c r="I1754" i="30"/>
  <c r="S1756" i="30"/>
  <c r="K1755" i="30"/>
  <c r="P1756" i="30"/>
  <c r="M1754" i="30"/>
  <c r="M1757" i="30"/>
  <c r="O789" i="13"/>
  <c r="AK789" i="13" s="1"/>
  <c r="AM789" i="13" s="1"/>
  <c r="AN789" i="13" s="1"/>
  <c r="AK788" i="13"/>
  <c r="AM788" i="13" s="1"/>
  <c r="AN788" i="13" s="1"/>
  <c r="BL494" i="13"/>
  <c r="BM494" i="13" s="1"/>
  <c r="AF608" i="13"/>
  <c r="AH608" i="13" s="1"/>
  <c r="AI608" i="13" s="1"/>
  <c r="N609" i="13"/>
  <c r="AF609" i="13" s="1"/>
  <c r="AH609" i="13" s="1"/>
  <c r="AI609" i="13" s="1"/>
  <c r="R424" i="32"/>
  <c r="R423" i="32"/>
  <c r="G2276" i="30"/>
  <c r="U2276" i="30" s="1"/>
  <c r="U2277" i="30"/>
  <c r="S709" i="13"/>
  <c r="BE709" i="13" s="1"/>
  <c r="BG709" i="13" s="1"/>
  <c r="BH709" i="13" s="1"/>
  <c r="BE708" i="13"/>
  <c r="BG708" i="13" s="1"/>
  <c r="BH708" i="13" s="1"/>
  <c r="AR314" i="13"/>
  <c r="AS314" i="13" s="1"/>
  <c r="AH354" i="13"/>
  <c r="AI354" i="13" s="1"/>
  <c r="K2375" i="30"/>
  <c r="L2376" i="30"/>
  <c r="N2375" i="30"/>
  <c r="S2376" i="30"/>
  <c r="N2377" i="30"/>
  <c r="J2375" i="30"/>
  <c r="M2375" i="30"/>
  <c r="I2375" i="30"/>
  <c r="K2377" i="30"/>
  <c r="Q2374" i="30"/>
  <c r="K2374" i="30"/>
  <c r="R2376" i="30"/>
  <c r="R2374" i="30"/>
  <c r="O2377" i="30"/>
  <c r="G2377" i="30"/>
  <c r="K2376" i="30"/>
  <c r="I2374" i="30"/>
  <c r="P2376" i="30"/>
  <c r="I2377" i="30"/>
  <c r="N2376" i="30"/>
  <c r="T2377" i="30"/>
  <c r="Q2376" i="30"/>
  <c r="Q2375" i="30"/>
  <c r="G2374" i="30"/>
  <c r="S2374" i="30"/>
  <c r="T2374" i="30"/>
  <c r="O2376" i="30"/>
  <c r="J2376" i="30"/>
  <c r="H2374" i="30"/>
  <c r="O2374" i="30"/>
  <c r="H2375" i="30"/>
  <c r="M2376" i="30"/>
  <c r="L2374" i="30"/>
  <c r="S2377" i="30"/>
  <c r="T2375" i="30"/>
  <c r="O2375" i="30"/>
  <c r="G2375" i="30"/>
  <c r="R2377" i="30"/>
  <c r="M2374" i="30"/>
  <c r="S2375" i="30"/>
  <c r="T2376" i="30"/>
  <c r="H2377" i="30"/>
  <c r="Q2377" i="30"/>
  <c r="M2377" i="30"/>
  <c r="J2374" i="30"/>
  <c r="N2374" i="30"/>
  <c r="H2376" i="30"/>
  <c r="P2377" i="30"/>
  <c r="R2375" i="30"/>
  <c r="P2375" i="30"/>
  <c r="L2375" i="30"/>
  <c r="J2377" i="30"/>
  <c r="G2376" i="30"/>
  <c r="L2377" i="30"/>
  <c r="I2376" i="30"/>
  <c r="P2374" i="30"/>
  <c r="U1167" i="30"/>
  <c r="Q273" i="32" s="1"/>
  <c r="AH694" i="13"/>
  <c r="AI694" i="13" s="1"/>
  <c r="AK668" i="13"/>
  <c r="AM668" i="13" s="1"/>
  <c r="AN668" i="13" s="1"/>
  <c r="O669" i="13"/>
  <c r="AK669" i="13" s="1"/>
  <c r="AM669" i="13" s="1"/>
  <c r="AN669" i="13" s="1"/>
  <c r="N549" i="13"/>
  <c r="AF549" i="13" s="1"/>
  <c r="AH549" i="13" s="1"/>
  <c r="AI549" i="13" s="1"/>
  <c r="AF548" i="13"/>
  <c r="AH548" i="13" s="1"/>
  <c r="AI548" i="13" s="1"/>
  <c r="AR714" i="13"/>
  <c r="AS714" i="13" s="1"/>
  <c r="BL714" i="13"/>
  <c r="BM714" i="13" s="1"/>
  <c r="AZ348" i="13"/>
  <c r="BB348" i="13" s="1"/>
  <c r="BC348" i="13" s="1"/>
  <c r="R349" i="13"/>
  <c r="AZ349" i="13" s="1"/>
  <c r="BB349" i="13" s="1"/>
  <c r="BC349" i="13" s="1"/>
  <c r="AU708" i="13"/>
  <c r="AW708" i="13" s="1"/>
  <c r="AX708" i="13" s="1"/>
  <c r="Q709" i="13"/>
  <c r="AU709" i="13" s="1"/>
  <c r="AW709" i="13" s="1"/>
  <c r="AX709" i="13" s="1"/>
  <c r="T429" i="13"/>
  <c r="BJ429" i="13" s="1"/>
  <c r="BL429" i="13" s="1"/>
  <c r="BM429" i="13" s="1"/>
  <c r="BJ428" i="13"/>
  <c r="BL428" i="13" s="1"/>
  <c r="BM428" i="13" s="1"/>
  <c r="S749" i="13"/>
  <c r="BE749" i="13" s="1"/>
  <c r="BG749" i="13" s="1"/>
  <c r="BH749" i="13" s="1"/>
  <c r="BE748" i="13"/>
  <c r="BG748" i="13" s="1"/>
  <c r="BH748" i="13" s="1"/>
  <c r="U1971" i="30"/>
  <c r="R381" i="32"/>
  <c r="G1970" i="30"/>
  <c r="U1970" i="30" s="1"/>
  <c r="R382" i="32"/>
  <c r="AM634" i="13"/>
  <c r="AN634" i="13" s="1"/>
  <c r="P2210" i="30"/>
  <c r="J2211" i="30"/>
  <c r="K2210" i="30"/>
  <c r="R2209" i="30"/>
  <c r="K2209" i="30"/>
  <c r="L2211" i="30"/>
  <c r="Q2212" i="30"/>
  <c r="M2212" i="30"/>
  <c r="T2211" i="30"/>
  <c r="O2211" i="30"/>
  <c r="T2209" i="30"/>
  <c r="H2210" i="30"/>
  <c r="J2210" i="30"/>
  <c r="T2212" i="30"/>
  <c r="J2212" i="30"/>
  <c r="N2211" i="30"/>
  <c r="R2211" i="30"/>
  <c r="M2211" i="30"/>
  <c r="P2212" i="30"/>
  <c r="Q2209" i="30"/>
  <c r="I2210" i="30"/>
  <c r="H2212" i="30"/>
  <c r="P2209" i="30"/>
  <c r="L2209" i="30"/>
  <c r="I2212" i="30"/>
  <c r="O2209" i="30"/>
  <c r="N2210" i="30"/>
  <c r="S2211" i="30"/>
  <c r="R2210" i="30"/>
  <c r="N2212" i="30"/>
  <c r="P2211" i="30"/>
  <c r="N2209" i="30"/>
  <c r="G2209" i="30"/>
  <c r="J2209" i="30"/>
  <c r="Q2211" i="30"/>
  <c r="G2210" i="30"/>
  <c r="H2209" i="30"/>
  <c r="H2211" i="30"/>
  <c r="I2209" i="30"/>
  <c r="S2210" i="30"/>
  <c r="K2211" i="30"/>
  <c r="S2212" i="30"/>
  <c r="G2212" i="30"/>
  <c r="O2210" i="30"/>
  <c r="S2209" i="30"/>
  <c r="M2210" i="30"/>
  <c r="M2209" i="30"/>
  <c r="K2212" i="30"/>
  <c r="L2210" i="30"/>
  <c r="T2210" i="30"/>
  <c r="O2212" i="30"/>
  <c r="I2211" i="30"/>
  <c r="R2212" i="30"/>
  <c r="L2212" i="30"/>
  <c r="Q2210" i="30"/>
  <c r="G2211" i="30"/>
  <c r="BB354" i="13"/>
  <c r="BC354" i="13" s="1"/>
  <c r="BB614" i="13"/>
  <c r="BC614" i="13" s="1"/>
  <c r="AP788" i="13"/>
  <c r="AR788" i="13" s="1"/>
  <c r="AS788" i="13" s="1"/>
  <c r="P789" i="13"/>
  <c r="AP789" i="13" s="1"/>
  <c r="AR789" i="13" s="1"/>
  <c r="AS789" i="13" s="1"/>
  <c r="AF628" i="13"/>
  <c r="AH628" i="13" s="1"/>
  <c r="AI628" i="13" s="1"/>
  <c r="N629" i="13"/>
  <c r="AF629" i="13" s="1"/>
  <c r="AH629" i="13" s="1"/>
  <c r="AI629" i="13" s="1"/>
  <c r="N894" i="13"/>
  <c r="U894" i="13"/>
  <c r="G1681" i="30" a="1"/>
  <c r="L1959" i="30" l="1"/>
  <c r="R1961" i="30"/>
  <c r="S1959" i="30"/>
  <c r="K1958" i="30"/>
  <c r="J1959" i="30"/>
  <c r="I1961" i="30"/>
  <c r="N1960" i="30"/>
  <c r="Q1960" i="30"/>
  <c r="I1959" i="30"/>
  <c r="M1959" i="30"/>
  <c r="J1961" i="30"/>
  <c r="S1961" i="30"/>
  <c r="P1960" i="30"/>
  <c r="M1960" i="30"/>
  <c r="G1960" i="30"/>
  <c r="O1959" i="30"/>
  <c r="K1959" i="30"/>
  <c r="G1959" i="30"/>
  <c r="Q1959" i="30"/>
  <c r="E36" i="13"/>
  <c r="L1960" i="30"/>
  <c r="O1960" i="30"/>
  <c r="G2025" i="30" a="1"/>
  <c r="U2026" i="30" s="1"/>
  <c r="N437" i="32"/>
  <c r="P1959" i="30"/>
  <c r="S1960" i="30"/>
  <c r="R1959" i="30"/>
  <c r="Q1958" i="30"/>
  <c r="H1961" i="30"/>
  <c r="L1961" i="30"/>
  <c r="K1961" i="30"/>
  <c r="I2563" i="30"/>
  <c r="O2564" i="30"/>
  <c r="S2563" i="30"/>
  <c r="L2565" i="30"/>
  <c r="I2564" i="30"/>
  <c r="J2564" i="30"/>
  <c r="L2563" i="30"/>
  <c r="N1958" i="30"/>
  <c r="N1959" i="30"/>
  <c r="I1958" i="30"/>
  <c r="H1960" i="30"/>
  <c r="K1960" i="30"/>
  <c r="G1958" i="30"/>
  <c r="T1959" i="30"/>
  <c r="T2564" i="30"/>
  <c r="M2564" i="30"/>
  <c r="K2565" i="30"/>
  <c r="N2562" i="30"/>
  <c r="T2562" i="30"/>
  <c r="Q2564" i="30"/>
  <c r="M2565" i="30"/>
  <c r="H1958" i="30"/>
  <c r="O1961" i="30"/>
  <c r="P1961" i="30"/>
  <c r="N1961" i="30"/>
  <c r="P1958" i="30"/>
  <c r="S1958" i="30"/>
  <c r="O1958" i="30"/>
  <c r="H1959" i="30"/>
  <c r="I1960" i="30"/>
  <c r="R1958" i="30"/>
  <c r="T1960" i="30"/>
  <c r="L1958" i="30"/>
  <c r="R1960" i="30"/>
  <c r="M1958" i="30"/>
  <c r="U1964" i="30"/>
  <c r="U1965" i="30" s="1"/>
  <c r="P382" i="32" s="1"/>
  <c r="K2563" i="30"/>
  <c r="Q2565" i="30"/>
  <c r="T2563" i="30"/>
  <c r="P2564" i="30"/>
  <c r="S2562" i="30"/>
  <c r="G2563" i="30"/>
  <c r="M2562" i="30"/>
  <c r="J1958" i="30"/>
  <c r="G1961" i="30"/>
  <c r="T1958" i="30"/>
  <c r="M1961" i="30"/>
  <c r="Q1961" i="30"/>
  <c r="J1960" i="30"/>
  <c r="R2564" i="30"/>
  <c r="H2563" i="30"/>
  <c r="L2564" i="30"/>
  <c r="R2565" i="30"/>
  <c r="L2562" i="30"/>
  <c r="H2564" i="30"/>
  <c r="O353" i="32"/>
  <c r="N493" i="32"/>
  <c r="G2229" i="30" a="1"/>
  <c r="U1854" i="30"/>
  <c r="U1855" i="30" s="1"/>
  <c r="N368" i="32" s="1"/>
  <c r="G1858" i="30"/>
  <c r="I1859" i="30"/>
  <c r="J1859" i="30"/>
  <c r="G1857" i="30"/>
  <c r="R1858" i="30"/>
  <c r="Q1857" i="30"/>
  <c r="T1857" i="30"/>
  <c r="O1859" i="30"/>
  <c r="R1857" i="30"/>
  <c r="L1859" i="30"/>
  <c r="N1859" i="30"/>
  <c r="M1859" i="30"/>
  <c r="H1856" i="30"/>
  <c r="P1858" i="30"/>
  <c r="K1857" i="30"/>
  <c r="S1856" i="30"/>
  <c r="S1857" i="30"/>
  <c r="N1856" i="30"/>
  <c r="T1859" i="30"/>
  <c r="O1857" i="30"/>
  <c r="O1856" i="30"/>
  <c r="J1857" i="30"/>
  <c r="K1858" i="30"/>
  <c r="N1857" i="30"/>
  <c r="H1859" i="30"/>
  <c r="N1858" i="30"/>
  <c r="G1856" i="30"/>
  <c r="S1858" i="30"/>
  <c r="R1859" i="30"/>
  <c r="G1859" i="30"/>
  <c r="R1856" i="30"/>
  <c r="H1857" i="30"/>
  <c r="Q1859" i="30"/>
  <c r="Q1858" i="30"/>
  <c r="K1856" i="30"/>
  <c r="Q437" i="32"/>
  <c r="J1856" i="30"/>
  <c r="P1859" i="30"/>
  <c r="L1856" i="30"/>
  <c r="J1858" i="30"/>
  <c r="I1856" i="30"/>
  <c r="M1858" i="30"/>
  <c r="M1857" i="30"/>
  <c r="K1859" i="30"/>
  <c r="P1856" i="30"/>
  <c r="M1856" i="30"/>
  <c r="L1858" i="30"/>
  <c r="T1858" i="30"/>
  <c r="L1857" i="30"/>
  <c r="P423" i="32"/>
  <c r="G2205" i="30" a="1"/>
  <c r="K2206" i="30" s="1"/>
  <c r="U908" i="13"/>
  <c r="U909" i="13" s="1"/>
  <c r="U1545" i="30"/>
  <c r="U1546" i="30" s="1"/>
  <c r="M326" i="32" s="1"/>
  <c r="U2278" i="30"/>
  <c r="U2279" i="30" s="1"/>
  <c r="N906" i="13"/>
  <c r="AF906" i="13" s="1"/>
  <c r="G1864" i="30" a="1"/>
  <c r="O1864" i="30" s="1"/>
  <c r="G2519" i="30" a="1"/>
  <c r="G2311" i="30" a="1"/>
  <c r="L2311" i="30" s="1"/>
  <c r="G1500" i="30" a="1"/>
  <c r="N1500" i="30" s="1"/>
  <c r="G2570" i="30" a="1"/>
  <c r="S2570" i="30" s="1"/>
  <c r="G2103" i="30" a="1"/>
  <c r="G2433" i="30" a="1"/>
  <c r="U2435" i="30" s="1"/>
  <c r="U1921" i="30"/>
  <c r="U1922" i="30" s="1"/>
  <c r="G2664" i="30" a="1"/>
  <c r="L2667" i="30" s="1"/>
  <c r="U2227" i="30"/>
  <c r="U2228" i="30" s="1"/>
  <c r="G2323" i="30" a="1"/>
  <c r="T2324" i="30" s="1"/>
  <c r="G1758" i="30" a="1"/>
  <c r="J1759" i="30" s="1"/>
  <c r="G2688" i="30" a="1"/>
  <c r="U2689" i="30" s="1"/>
  <c r="G2472" i="30" a="1"/>
  <c r="Q2472" i="30" s="1"/>
  <c r="G1974" i="30" a="1"/>
  <c r="U1975" i="30" s="1"/>
  <c r="G1555" i="30" a="1"/>
  <c r="G2637" i="30" a="1"/>
  <c r="U2638" i="30" s="1"/>
  <c r="G2009" i="30" a="1"/>
  <c r="G1618" i="30" a="1"/>
  <c r="S333" i="32" s="1"/>
  <c r="I27" i="31" s="1"/>
  <c r="U2420" i="30"/>
  <c r="O445" i="32" s="1"/>
  <c r="G1496" i="30" a="1"/>
  <c r="L1496" i="30" s="1"/>
  <c r="U2380" i="30"/>
  <c r="U2381" i="30" s="1"/>
  <c r="G2425" i="30" a="1"/>
  <c r="Q2426" i="30" s="1"/>
  <c r="U1909" i="30"/>
  <c r="U1910" i="30" s="1"/>
  <c r="O375" i="32" s="1"/>
  <c r="G2052" i="30" a="1"/>
  <c r="G2053" i="30" s="1"/>
  <c r="G1872" i="30" a="1"/>
  <c r="G2256" i="30" a="1"/>
  <c r="K2258" i="30" s="1"/>
  <c r="G2574" i="30" a="1"/>
  <c r="N2577" i="30" s="1"/>
  <c r="U2821" i="30"/>
  <c r="G2613" i="30" a="1"/>
  <c r="J2615" i="30" s="1"/>
  <c r="G1504" i="30" a="1"/>
  <c r="O1506" i="30" s="1"/>
  <c r="G2001" i="30" a="1"/>
  <c r="G2523" i="30" a="1"/>
  <c r="L2523" i="30" s="1"/>
  <c r="U2584" i="30"/>
  <c r="U2585" i="30" s="1"/>
  <c r="G2272" i="30" a="1"/>
  <c r="M2275" i="30" s="1"/>
  <c r="G2315" i="30" a="1"/>
  <c r="Q2315" i="30" s="1"/>
  <c r="N451" i="32"/>
  <c r="G2766" i="30" a="1"/>
  <c r="M2768" i="30" s="1"/>
  <c r="G1304" i="30" a="1"/>
  <c r="N1307" i="30" s="1"/>
  <c r="G1911" i="30" a="1"/>
  <c r="G2484" i="30" a="1"/>
  <c r="U2485" i="30" s="1"/>
  <c r="G2119" i="30" a="1"/>
  <c r="G2115" i="30" a="1"/>
  <c r="G2118" i="30" s="1"/>
  <c r="G2370" i="30" a="1"/>
  <c r="L2370" i="30" s="1"/>
  <c r="G1610" i="30" a="1"/>
  <c r="G1612" i="30" s="1"/>
  <c r="G2535" i="30" a="1"/>
  <c r="S459" i="32" s="1"/>
  <c r="I45" i="31" s="1"/>
  <c r="G1559" i="30" a="1"/>
  <c r="H1561" i="30" s="1"/>
  <c r="G1547" i="30" a="1"/>
  <c r="J1550" i="30" s="1"/>
  <c r="G1915" i="30" a="1"/>
  <c r="O1917" i="30" s="1"/>
  <c r="G2586" i="30" a="1"/>
  <c r="G1308" i="30" a="1"/>
  <c r="R290" i="32" s="1"/>
  <c r="G2578" i="30" a="1"/>
  <c r="O2580" i="30" s="1"/>
  <c r="G2064" i="30" a="1"/>
  <c r="S2067" i="30" s="1"/>
  <c r="U1870" i="30"/>
  <c r="U1871" i="30" s="1"/>
  <c r="G2778" i="30" a="1"/>
  <c r="R2781" i="30" s="1"/>
  <c r="G2629" i="30" a="1"/>
  <c r="S2632" i="30" s="1"/>
  <c r="L1688" i="30"/>
  <c r="H1686" i="30"/>
  <c r="R1683" i="30"/>
  <c r="N1681" i="30"/>
  <c r="I1687" i="30"/>
  <c r="S1684" i="30"/>
  <c r="O1682" i="30"/>
  <c r="J1688" i="30"/>
  <c r="T1685" i="30"/>
  <c r="P1683" i="30"/>
  <c r="L1681" i="30"/>
  <c r="K1681" i="30"/>
  <c r="Q1688" i="30"/>
  <c r="O1681" i="30"/>
  <c r="H1688" i="30"/>
  <c r="R1685" i="30"/>
  <c r="N1683" i="30"/>
  <c r="J1681" i="30"/>
  <c r="S1686" i="30"/>
  <c r="O1684" i="30"/>
  <c r="K1682" i="30"/>
  <c r="T1687" i="30"/>
  <c r="P1685" i="30"/>
  <c r="L1683" i="30"/>
  <c r="H1681" i="30"/>
  <c r="S1687" i="30"/>
  <c r="O1687" i="30"/>
  <c r="G1685" i="30"/>
  <c r="R1687" i="30"/>
  <c r="N1685" i="30"/>
  <c r="J1683" i="30"/>
  <c r="S1688" i="30"/>
  <c r="O1686" i="30"/>
  <c r="K1684" i="30"/>
  <c r="G1682" i="30"/>
  <c r="P1687" i="30"/>
  <c r="L1685" i="30"/>
  <c r="H1683" i="30"/>
  <c r="I1688" i="30"/>
  <c r="Q1686" i="30"/>
  <c r="M1686" i="30"/>
  <c r="M1688" i="30"/>
  <c r="N1687" i="30"/>
  <c r="J1685" i="30"/>
  <c r="T1682" i="30"/>
  <c r="O1688" i="30"/>
  <c r="K1686" i="30"/>
  <c r="G1684" i="30"/>
  <c r="Q1681" i="30"/>
  <c r="L1687" i="30"/>
  <c r="H1685" i="30"/>
  <c r="R1682" i="30"/>
  <c r="G1687" i="30"/>
  <c r="O1685" i="30"/>
  <c r="K1685" i="30"/>
  <c r="S1683" i="30"/>
  <c r="T1686" i="30"/>
  <c r="L1682" i="30"/>
  <c r="Q1685" i="30"/>
  <c r="I1681" i="30"/>
  <c r="N1684" i="30"/>
  <c r="Q1684" i="30"/>
  <c r="G1683" i="30"/>
  <c r="P1686" i="30"/>
  <c r="H1682" i="30"/>
  <c r="M1685" i="30"/>
  <c r="R1688" i="30"/>
  <c r="J1684" i="30"/>
  <c r="O1683" i="30"/>
  <c r="S1681" i="30"/>
  <c r="L1686" i="30"/>
  <c r="R1681" i="30"/>
  <c r="I1685" i="30"/>
  <c r="N1688" i="30"/>
  <c r="T1683" i="30"/>
  <c r="M1682" i="30"/>
  <c r="I1686" i="30"/>
  <c r="P1684" i="30"/>
  <c r="G1688" i="30"/>
  <c r="M1683" i="30"/>
  <c r="R1686" i="30"/>
  <c r="J1682" i="30"/>
  <c r="K1683" i="30"/>
  <c r="Q1682" i="30"/>
  <c r="T1688" i="30"/>
  <c r="L1684" i="30"/>
  <c r="Q1687" i="30"/>
  <c r="I1683" i="30"/>
  <c r="N1686" i="30"/>
  <c r="T1681" i="30"/>
  <c r="I1682" i="30"/>
  <c r="P1682" i="30"/>
  <c r="J1686" i="30"/>
  <c r="K1687" i="30"/>
  <c r="K1688" i="30"/>
  <c r="R1684" i="30"/>
  <c r="M1687" i="30"/>
  <c r="N1682" i="30"/>
  <c r="G1686" i="30"/>
  <c r="P1681" i="30"/>
  <c r="P1688" i="30"/>
  <c r="Q1683" i="30"/>
  <c r="S1685" i="30"/>
  <c r="J1687" i="30"/>
  <c r="S1682" i="30"/>
  <c r="M1684" i="30"/>
  <c r="T1684" i="30"/>
  <c r="M1681" i="30"/>
  <c r="G1681" i="30"/>
  <c r="H1684" i="30"/>
  <c r="H1687" i="30"/>
  <c r="I1684" i="30"/>
  <c r="N309" i="13"/>
  <c r="AF309" i="13" s="1"/>
  <c r="AH309" i="13" s="1"/>
  <c r="AI309" i="13" s="1"/>
  <c r="AF308" i="13"/>
  <c r="AH308" i="13" s="1"/>
  <c r="AI308" i="13" s="1"/>
  <c r="U2374" i="30"/>
  <c r="G1594" i="30" a="1"/>
  <c r="O246" i="13"/>
  <c r="AK246" i="13" s="1"/>
  <c r="AM246" i="13" s="1"/>
  <c r="AN246" i="13" s="1"/>
  <c r="AK245" i="13"/>
  <c r="AM245" i="13" s="1"/>
  <c r="AN245" i="13" s="1"/>
  <c r="U1888" i="30"/>
  <c r="Q372" i="32" s="1"/>
  <c r="U2650" i="30"/>
  <c r="N477" i="32" s="1"/>
  <c r="G2409" i="30" a="1"/>
  <c r="U2754" i="30"/>
  <c r="P491" i="32" s="1"/>
  <c r="U2752" i="30"/>
  <c r="N491" i="32" s="1"/>
  <c r="U2074" i="30"/>
  <c r="U2075" i="30" s="1"/>
  <c r="AH434" i="13"/>
  <c r="AI434" i="13" s="1"/>
  <c r="U1990" i="30"/>
  <c r="Q386" i="32" s="1"/>
  <c r="U1992" i="30"/>
  <c r="S386" i="32" s="1"/>
  <c r="U2770" i="30"/>
  <c r="U2771" i="30"/>
  <c r="BL314" i="13"/>
  <c r="BM314" i="13" s="1"/>
  <c r="Q266" i="13"/>
  <c r="AU266" i="13" s="1"/>
  <c r="AW266" i="13" s="1"/>
  <c r="AX266" i="13" s="1"/>
  <c r="AU265" i="13"/>
  <c r="AW265" i="13" s="1"/>
  <c r="AX265" i="13" s="1"/>
  <c r="H2629" i="30"/>
  <c r="R1953" i="30"/>
  <c r="R1952" i="30"/>
  <c r="T1951" i="30"/>
  <c r="I1952" i="30"/>
  <c r="T1950" i="30"/>
  <c r="T1953" i="30"/>
  <c r="Q1952" i="30"/>
  <c r="S1952" i="30"/>
  <c r="H1952" i="30"/>
  <c r="M1950" i="30"/>
  <c r="N1953" i="30"/>
  <c r="L1951" i="30"/>
  <c r="Q1953" i="30"/>
  <c r="O1952" i="30"/>
  <c r="H1951" i="30"/>
  <c r="P1953" i="30"/>
  <c r="R1951" i="30"/>
  <c r="I1951" i="30"/>
  <c r="G1951" i="30"/>
  <c r="S1950" i="30"/>
  <c r="L1952" i="30"/>
  <c r="K1952" i="30"/>
  <c r="I1950" i="30"/>
  <c r="K1950" i="30"/>
  <c r="K1951" i="30"/>
  <c r="H1950" i="30"/>
  <c r="P1950" i="30"/>
  <c r="M1953" i="30"/>
  <c r="N1951" i="30"/>
  <c r="O1950" i="30"/>
  <c r="I1953" i="30"/>
  <c r="M1951" i="30"/>
  <c r="P1952" i="30"/>
  <c r="S1951" i="30"/>
  <c r="H1953" i="30"/>
  <c r="G1953" i="30"/>
  <c r="G1950" i="30"/>
  <c r="K1953" i="30"/>
  <c r="S1953" i="30"/>
  <c r="R1950" i="30"/>
  <c r="O1953" i="30"/>
  <c r="L1950" i="30"/>
  <c r="T1952" i="30"/>
  <c r="J1952" i="30"/>
  <c r="P1951" i="30"/>
  <c r="J1950" i="30"/>
  <c r="J1953" i="30"/>
  <c r="O1951" i="30"/>
  <c r="N1952" i="30"/>
  <c r="M1952" i="30"/>
  <c r="G1952" i="30"/>
  <c r="L1953" i="30"/>
  <c r="Q1950" i="30"/>
  <c r="N1950" i="30"/>
  <c r="J1951" i="30"/>
  <c r="Q1951" i="30"/>
  <c r="U1750" i="30"/>
  <c r="AU171" i="13"/>
  <c r="Q151" i="13"/>
  <c r="Q185" i="13"/>
  <c r="AW394" i="13"/>
  <c r="AX394" i="13" s="1"/>
  <c r="R347" i="32"/>
  <c r="U1716" i="30"/>
  <c r="G1715" i="30"/>
  <c r="U1715" i="30" s="1"/>
  <c r="R346" i="32"/>
  <c r="N388" i="32"/>
  <c r="AZ265" i="13"/>
  <c r="BB265" i="13" s="1"/>
  <c r="BC265" i="13" s="1"/>
  <c r="R266" i="13"/>
  <c r="AZ266" i="13" s="1"/>
  <c r="BB266" i="13" s="1"/>
  <c r="BC266" i="13" s="1"/>
  <c r="N1915" i="30"/>
  <c r="I2523" i="30"/>
  <c r="R2524" i="30"/>
  <c r="K2526" i="30"/>
  <c r="Q2524" i="30"/>
  <c r="S2526" i="30"/>
  <c r="AR211" i="13"/>
  <c r="AS211" i="13" s="1"/>
  <c r="O749" i="13"/>
  <c r="AK749" i="13" s="1"/>
  <c r="AM749" i="13" s="1"/>
  <c r="AN749" i="13" s="1"/>
  <c r="AK748" i="13"/>
  <c r="AM748" i="13" s="1"/>
  <c r="AN748" i="13" s="1"/>
  <c r="E40" i="13"/>
  <c r="J1608" i="30"/>
  <c r="L1606" i="30"/>
  <c r="R1609" i="30"/>
  <c r="M1607" i="30"/>
  <c r="J1607" i="30"/>
  <c r="R1606" i="30"/>
  <c r="H1609" i="30"/>
  <c r="O1606" i="30"/>
  <c r="L1607" i="30"/>
  <c r="I1607" i="30"/>
  <c r="N1608" i="30"/>
  <c r="H1608" i="30"/>
  <c r="L1609" i="30"/>
  <c r="Q1609" i="30"/>
  <c r="S1608" i="30"/>
  <c r="T1606" i="30"/>
  <c r="G1608" i="30"/>
  <c r="K1609" i="30"/>
  <c r="Q1607" i="30"/>
  <c r="S1609" i="30"/>
  <c r="Q1606" i="30"/>
  <c r="M1608" i="30"/>
  <c r="G1607" i="30"/>
  <c r="K1606" i="30"/>
  <c r="P1607" i="30"/>
  <c r="S1607" i="30"/>
  <c r="N1609" i="30"/>
  <c r="I1606" i="30"/>
  <c r="Q1608" i="30"/>
  <c r="N1607" i="30"/>
  <c r="G1606" i="30"/>
  <c r="J1609" i="30"/>
  <c r="R1607" i="30"/>
  <c r="P1606" i="30"/>
  <c r="I1609" i="30"/>
  <c r="K1608" i="30"/>
  <c r="T1607" i="30"/>
  <c r="G1609" i="30"/>
  <c r="P1609" i="30"/>
  <c r="S1606" i="30"/>
  <c r="I1608" i="30"/>
  <c r="N1606" i="30"/>
  <c r="L1608" i="30"/>
  <c r="K1607" i="30"/>
  <c r="H1606" i="30"/>
  <c r="P1608" i="30"/>
  <c r="T1608" i="30"/>
  <c r="J1606" i="30"/>
  <c r="T1609" i="30"/>
  <c r="O1607" i="30"/>
  <c r="O1609" i="30"/>
  <c r="O1608" i="30"/>
  <c r="H1607" i="30"/>
  <c r="R1608" i="30"/>
  <c r="M1606" i="30"/>
  <c r="M1609" i="30"/>
  <c r="U2243" i="30"/>
  <c r="O421" i="32" s="1"/>
  <c r="U2247" i="30"/>
  <c r="S421" i="32" s="1"/>
  <c r="G2833" i="30" a="1"/>
  <c r="P13" i="13"/>
  <c r="R13" i="13" s="1"/>
  <c r="S13" i="13" s="1"/>
  <c r="AR251" i="13"/>
  <c r="AS251" i="13" s="1"/>
  <c r="G2625" i="30" a="1"/>
  <c r="O286" i="13"/>
  <c r="AK286" i="13" s="1"/>
  <c r="AM286" i="13" s="1"/>
  <c r="AN286" i="13" s="1"/>
  <c r="AK285" i="13"/>
  <c r="AM285" i="13" s="1"/>
  <c r="AN285" i="13" s="1"/>
  <c r="O369" i="13"/>
  <c r="AK369" i="13" s="1"/>
  <c r="AM369" i="13" s="1"/>
  <c r="AN369" i="13" s="1"/>
  <c r="AK368" i="13"/>
  <c r="AM368" i="13" s="1"/>
  <c r="AN368" i="13" s="1"/>
  <c r="AH394" i="13"/>
  <c r="AI394" i="13" s="1"/>
  <c r="G1551" i="30" a="1"/>
  <c r="BE294" i="13"/>
  <c r="S171" i="13"/>
  <c r="S308" i="13"/>
  <c r="U205" i="13"/>
  <c r="U206" i="13" s="1"/>
  <c r="BE334" i="13"/>
  <c r="S348" i="13"/>
  <c r="G1528" i="30" a="1"/>
  <c r="AP594" i="13"/>
  <c r="P608" i="13"/>
  <c r="G2190" i="30" a="1"/>
  <c r="AK494" i="13"/>
  <c r="O508" i="13"/>
  <c r="G1935" i="30" a="1"/>
  <c r="AM231" i="13"/>
  <c r="AN231" i="13" s="1"/>
  <c r="U1890" i="30"/>
  <c r="S372" i="32" s="1"/>
  <c r="U1885" i="30"/>
  <c r="N372" i="32" s="1"/>
  <c r="U1887" i="30"/>
  <c r="P372" i="32" s="1"/>
  <c r="U2686" i="30"/>
  <c r="U2687" i="30" s="1"/>
  <c r="N449" i="13"/>
  <c r="AF449" i="13" s="1"/>
  <c r="AH449" i="13" s="1"/>
  <c r="AI449" i="13" s="1"/>
  <c r="AF448" i="13"/>
  <c r="AH448" i="13" s="1"/>
  <c r="AI448" i="13" s="1"/>
  <c r="I1548" i="30"/>
  <c r="T1547" i="30"/>
  <c r="Q1550" i="30"/>
  <c r="N1548" i="30"/>
  <c r="G1549" i="30"/>
  <c r="H1548" i="30"/>
  <c r="S1548" i="30"/>
  <c r="P1547" i="30"/>
  <c r="O1547" i="30"/>
  <c r="H1550" i="30"/>
  <c r="G1548" i="30"/>
  <c r="H1547" i="30"/>
  <c r="R1550" i="30"/>
  <c r="K1549" i="30"/>
  <c r="K1547" i="30"/>
  <c r="L1550" i="30"/>
  <c r="J1549" i="30"/>
  <c r="K1550" i="30"/>
  <c r="S1550" i="30"/>
  <c r="I1550" i="30"/>
  <c r="H1549" i="30"/>
  <c r="T1548" i="30"/>
  <c r="P1550" i="30"/>
  <c r="L1547" i="30"/>
  <c r="N1550" i="30"/>
  <c r="R1548" i="30"/>
  <c r="G1547" i="30"/>
  <c r="P1549" i="30"/>
  <c r="G1550" i="30"/>
  <c r="J2052" i="30"/>
  <c r="Q2053" i="30"/>
  <c r="N2054" i="30"/>
  <c r="S2052" i="30"/>
  <c r="S2054" i="30"/>
  <c r="U1993" i="30"/>
  <c r="T386" i="32" s="1"/>
  <c r="G2366" i="30" a="1"/>
  <c r="S449" i="13"/>
  <c r="BE449" i="13" s="1"/>
  <c r="BG449" i="13" s="1"/>
  <c r="BH449" i="13" s="1"/>
  <c r="BE448" i="13"/>
  <c r="BG448" i="13" s="1"/>
  <c r="BH448" i="13" s="1"/>
  <c r="AW251" i="13"/>
  <c r="AX251" i="13" s="1"/>
  <c r="P16" i="13"/>
  <c r="R16" i="13" s="1"/>
  <c r="S16" i="13" s="1"/>
  <c r="G1426" i="30" a="1"/>
  <c r="AU408" i="13"/>
  <c r="AW408" i="13" s="1"/>
  <c r="AX408" i="13" s="1"/>
  <c r="Q409" i="13"/>
  <c r="AU409" i="13" s="1"/>
  <c r="AW409" i="13" s="1"/>
  <c r="AX409" i="13" s="1"/>
  <c r="L1712" i="30"/>
  <c r="I1711" i="30"/>
  <c r="J1714" i="30"/>
  <c r="P1714" i="30"/>
  <c r="H1714" i="30"/>
  <c r="R1711" i="30"/>
  <c r="J1711" i="30"/>
  <c r="N1714" i="30"/>
  <c r="T1714" i="30"/>
  <c r="Q1714" i="30"/>
  <c r="M1711" i="30"/>
  <c r="R1713" i="30"/>
  <c r="P1711" i="30"/>
  <c r="N1711" i="30"/>
  <c r="J1712" i="30"/>
  <c r="K1713" i="30"/>
  <c r="H1713" i="30"/>
  <c r="G1714" i="30"/>
  <c r="I1714" i="30"/>
  <c r="Q1712" i="30"/>
  <c r="T1711" i="30"/>
  <c r="O1713" i="30"/>
  <c r="M1713" i="30"/>
  <c r="N1713" i="30"/>
  <c r="I1713" i="30"/>
  <c r="N1712" i="30"/>
  <c r="K1711" i="30"/>
  <c r="L1711" i="30"/>
  <c r="Q1711" i="30"/>
  <c r="L1713" i="30"/>
  <c r="G1713" i="30"/>
  <c r="H1712" i="30"/>
  <c r="S1712" i="30"/>
  <c r="S1711" i="30"/>
  <c r="O1711" i="30"/>
  <c r="J1713" i="30"/>
  <c r="M1712" i="30"/>
  <c r="S1714" i="30"/>
  <c r="R1714" i="30"/>
  <c r="S1713" i="30"/>
  <c r="T1713" i="30"/>
  <c r="H1711" i="30"/>
  <c r="O1712" i="30"/>
  <c r="G1711" i="30"/>
  <c r="L1714" i="30"/>
  <c r="P1713" i="30"/>
  <c r="K1712" i="30"/>
  <c r="R1712" i="30"/>
  <c r="K1714" i="30"/>
  <c r="I1712" i="30"/>
  <c r="G1712" i="30"/>
  <c r="O1714" i="30"/>
  <c r="M1714" i="30"/>
  <c r="P1712" i="30"/>
  <c r="T1712" i="30"/>
  <c r="Q1713" i="30"/>
  <c r="BB251" i="13"/>
  <c r="BC251" i="13" s="1"/>
  <c r="P226" i="13"/>
  <c r="AP226" i="13" s="1"/>
  <c r="AR226" i="13" s="1"/>
  <c r="AS226" i="13" s="1"/>
  <c r="AP225" i="13"/>
  <c r="AR225" i="13" s="1"/>
  <c r="AS225" i="13" s="1"/>
  <c r="AM734" i="13"/>
  <c r="AN734" i="13" s="1"/>
  <c r="P14" i="13"/>
  <c r="R14" i="13" s="1"/>
  <c r="S14" i="13" s="1"/>
  <c r="U2432" i="30"/>
  <c r="U2090" i="30"/>
  <c r="O400" i="32" s="1"/>
  <c r="U2091" i="30"/>
  <c r="P400" i="32" s="1"/>
  <c r="U2088" i="30"/>
  <c r="M400" i="32" s="1"/>
  <c r="BL183" i="13"/>
  <c r="BM183" i="13" s="1"/>
  <c r="J67" i="13" s="1"/>
  <c r="H67" i="13"/>
  <c r="N67" i="13" s="1"/>
  <c r="P67" i="13" s="1"/>
  <c r="U151" i="13"/>
  <c r="U165" i="13" s="1"/>
  <c r="U166" i="13" s="1"/>
  <c r="U185" i="13"/>
  <c r="U186" i="13" s="1"/>
  <c r="U2242" i="30"/>
  <c r="N421" i="32" s="1"/>
  <c r="U2248" i="30"/>
  <c r="T421" i="32" s="1"/>
  <c r="S286" i="13"/>
  <c r="BE286" i="13" s="1"/>
  <c r="BG286" i="13" s="1"/>
  <c r="BH286" i="13" s="1"/>
  <c r="BE285" i="13"/>
  <c r="BG285" i="13" s="1"/>
  <c r="BH285" i="13" s="1"/>
  <c r="E538" i="11"/>
  <c r="U2450" i="30"/>
  <c r="R449" i="32" s="1"/>
  <c r="P266" i="13"/>
  <c r="AP266" i="13" s="1"/>
  <c r="AR266" i="13" s="1"/>
  <c r="AS266" i="13" s="1"/>
  <c r="AP265" i="13"/>
  <c r="AR265" i="13" s="1"/>
  <c r="AS265" i="13" s="1"/>
  <c r="AM271" i="13"/>
  <c r="AN271" i="13" s="1"/>
  <c r="AM354" i="13"/>
  <c r="AN354" i="13" s="1"/>
  <c r="BJ191" i="13"/>
  <c r="T205" i="13"/>
  <c r="AU634" i="13"/>
  <c r="Q648" i="13"/>
  <c r="G2292" i="30" a="1"/>
  <c r="Q894" i="13"/>
  <c r="U2210" i="30"/>
  <c r="N416" i="32"/>
  <c r="J1279" i="30"/>
  <c r="T1276" i="30"/>
  <c r="P1274" i="30"/>
  <c r="K1280" i="30"/>
  <c r="G1278" i="30"/>
  <c r="Q1275" i="30"/>
  <c r="M1273" i="30"/>
  <c r="H1279" i="30"/>
  <c r="R1276" i="30"/>
  <c r="N1274" i="30"/>
  <c r="O1277" i="30"/>
  <c r="K1277" i="30"/>
  <c r="S1275" i="30"/>
  <c r="I1280" i="30"/>
  <c r="T1280" i="30"/>
  <c r="P1278" i="30"/>
  <c r="L1276" i="30"/>
  <c r="H1274" i="30"/>
  <c r="Q1279" i="30"/>
  <c r="M1277" i="30"/>
  <c r="I1275" i="30"/>
  <c r="R1280" i="30"/>
  <c r="N1278" i="30"/>
  <c r="J1276" i="30"/>
  <c r="T1273" i="30"/>
  <c r="K1275" i="30"/>
  <c r="G1275" i="30"/>
  <c r="O1273" i="30"/>
  <c r="R1275" i="30"/>
  <c r="J1280" i="30"/>
  <c r="L1273" i="30"/>
  <c r="M1280" i="30"/>
  <c r="T1274" i="30"/>
  <c r="G1276" i="30"/>
  <c r="R1274" i="30"/>
  <c r="M1278" i="30"/>
  <c r="T1278" i="30"/>
  <c r="R1278" i="30"/>
  <c r="P1280" i="30"/>
  <c r="L1278" i="30"/>
  <c r="H1276" i="30"/>
  <c r="R1273" i="30"/>
  <c r="M1279" i="30"/>
  <c r="I1277" i="30"/>
  <c r="S1274" i="30"/>
  <c r="N1280" i="30"/>
  <c r="J1278" i="30"/>
  <c r="T1275" i="30"/>
  <c r="P1273" i="30"/>
  <c r="I1274" i="30"/>
  <c r="S1273" i="30"/>
  <c r="G1279" i="30"/>
  <c r="O1274" i="30"/>
  <c r="M1274" i="30"/>
  <c r="J1277" i="30"/>
  <c r="L1279" i="30"/>
  <c r="Q1276" i="30"/>
  <c r="P1276" i="30"/>
  <c r="Q1277" i="30"/>
  <c r="L1280" i="30"/>
  <c r="H1278" i="30"/>
  <c r="N1273" i="30"/>
  <c r="I1279" i="30"/>
  <c r="S1276" i="30"/>
  <c r="T1277" i="30"/>
  <c r="P1275" i="30"/>
  <c r="G1273" i="30"/>
  <c r="Q1273" i="30"/>
  <c r="M1275" i="30"/>
  <c r="H1280" i="30"/>
  <c r="R1277" i="30"/>
  <c r="N1275" i="30"/>
  <c r="J1273" i="30"/>
  <c r="S1278" i="30"/>
  <c r="O1276" i="30"/>
  <c r="K1274" i="30"/>
  <c r="T1279" i="30"/>
  <c r="P1277" i="30"/>
  <c r="L1275" i="30"/>
  <c r="H1273" i="30"/>
  <c r="Q1280" i="30"/>
  <c r="K1279" i="30"/>
  <c r="S1277" i="30"/>
  <c r="R1279" i="30"/>
  <c r="N1277" i="30"/>
  <c r="J1275" i="30"/>
  <c r="S1280" i="30"/>
  <c r="O1278" i="30"/>
  <c r="K1276" i="30"/>
  <c r="G1274" i="30"/>
  <c r="P1279" i="30"/>
  <c r="L1277" i="30"/>
  <c r="H1275" i="30"/>
  <c r="S1279" i="30"/>
  <c r="O1279" i="30"/>
  <c r="I1278" i="30"/>
  <c r="K1273" i="30"/>
  <c r="N1279" i="30"/>
  <c r="K1278" i="30"/>
  <c r="Q1278" i="30"/>
  <c r="G1280" i="30"/>
  <c r="O1280" i="30"/>
  <c r="H1277" i="30"/>
  <c r="G1277" i="30"/>
  <c r="L1274" i="30"/>
  <c r="I1273" i="30"/>
  <c r="N1276" i="30"/>
  <c r="J1274" i="30"/>
  <c r="M1276" i="30"/>
  <c r="I1276" i="30"/>
  <c r="O1275" i="30"/>
  <c r="Q1274" i="30"/>
  <c r="U1891" i="30"/>
  <c r="T372" i="32" s="1"/>
  <c r="U1889" i="30"/>
  <c r="R372" i="32" s="1"/>
  <c r="U2651" i="30"/>
  <c r="O477" i="32" s="1"/>
  <c r="P1558" i="30"/>
  <c r="T1557" i="30"/>
  <c r="I1555" i="30"/>
  <c r="K1557" i="30"/>
  <c r="P1557" i="30"/>
  <c r="T1555" i="30"/>
  <c r="O1558" i="30"/>
  <c r="K1558" i="30"/>
  <c r="K1555" i="30"/>
  <c r="Q1555" i="30"/>
  <c r="R1558" i="30"/>
  <c r="I1556" i="30"/>
  <c r="N1555" i="30"/>
  <c r="M1558" i="30"/>
  <c r="S1557" i="30"/>
  <c r="Q1558" i="30"/>
  <c r="O1557" i="30"/>
  <c r="P1556" i="30"/>
  <c r="L1557" i="30"/>
  <c r="L1556" i="30"/>
  <c r="G1555" i="30"/>
  <c r="N1557" i="30"/>
  <c r="R1557" i="30"/>
  <c r="M1556" i="30"/>
  <c r="M1557" i="30"/>
  <c r="J1557" i="30"/>
  <c r="T1558" i="30"/>
  <c r="R1555" i="30"/>
  <c r="G1557" i="30"/>
  <c r="S1556" i="30"/>
  <c r="P1555" i="30"/>
  <c r="Q1557" i="30"/>
  <c r="L1558" i="30"/>
  <c r="R1556" i="30"/>
  <c r="I1558" i="30"/>
  <c r="O1555" i="30"/>
  <c r="T1556" i="30"/>
  <c r="K1556" i="30"/>
  <c r="Q1556" i="30"/>
  <c r="G1558" i="30"/>
  <c r="S1558" i="30"/>
  <c r="J1558" i="30"/>
  <c r="J1556" i="30"/>
  <c r="H1555" i="30"/>
  <c r="N1558" i="30"/>
  <c r="H1558" i="30"/>
  <c r="G1556" i="30"/>
  <c r="N1556" i="30"/>
  <c r="J1555" i="30"/>
  <c r="M1555" i="30"/>
  <c r="O1556" i="30"/>
  <c r="L1555" i="30"/>
  <c r="I1557" i="30"/>
  <c r="H1557" i="30"/>
  <c r="S1555" i="30"/>
  <c r="H1556" i="30"/>
  <c r="G2668" i="30" a="1"/>
  <c r="R2782" i="30"/>
  <c r="J2784" i="30"/>
  <c r="L2782" i="30"/>
  <c r="P2785" i="30"/>
  <c r="K2784" i="30"/>
  <c r="S2782" i="30"/>
  <c r="H2785" i="30"/>
  <c r="T2785" i="30"/>
  <c r="Q2783" i="30"/>
  <c r="O2782" i="30"/>
  <c r="M2785" i="30"/>
  <c r="H2782" i="30"/>
  <c r="R2785" i="30"/>
  <c r="O2785" i="30"/>
  <c r="R2784" i="30"/>
  <c r="K2783" i="30"/>
  <c r="P2784" i="30"/>
  <c r="G2785" i="30"/>
  <c r="Q2785" i="30"/>
  <c r="G2784" i="30"/>
  <c r="M2784" i="30"/>
  <c r="I2784" i="30"/>
  <c r="T2783" i="30"/>
  <c r="S2783" i="30"/>
  <c r="P2782" i="30"/>
  <c r="H2783" i="30"/>
  <c r="Q2784" i="30"/>
  <c r="T2782" i="30"/>
  <c r="H2784" i="30"/>
  <c r="M2782" i="30"/>
  <c r="Q2782" i="30"/>
  <c r="K2785" i="30"/>
  <c r="S2784" i="30"/>
  <c r="J2785" i="30"/>
  <c r="P2783" i="30"/>
  <c r="S2785" i="30"/>
  <c r="N2784" i="30"/>
  <c r="N2782" i="30"/>
  <c r="L2783" i="30"/>
  <c r="I2783" i="30"/>
  <c r="I2782" i="30"/>
  <c r="J2782" i="30"/>
  <c r="M2783" i="30"/>
  <c r="L2785" i="30"/>
  <c r="G2782" i="30"/>
  <c r="K2782" i="30"/>
  <c r="I2785" i="30"/>
  <c r="L2784" i="30"/>
  <c r="R2783" i="30"/>
  <c r="T2784" i="30"/>
  <c r="N2785" i="30"/>
  <c r="O2783" i="30"/>
  <c r="N2783" i="30"/>
  <c r="J2783" i="30"/>
  <c r="G2783" i="30"/>
  <c r="O2784" i="30"/>
  <c r="U1988" i="30"/>
  <c r="O386" i="32" s="1"/>
  <c r="O266" i="13"/>
  <c r="AK266" i="13" s="1"/>
  <c r="AM266" i="13" s="1"/>
  <c r="AN266" i="13" s="1"/>
  <c r="AK265" i="13"/>
  <c r="AM265" i="13" s="1"/>
  <c r="AN265" i="13" s="1"/>
  <c r="G1817" i="30"/>
  <c r="U1817" i="30" s="1"/>
  <c r="U1818" i="30"/>
  <c r="R360" i="32"/>
  <c r="R361" i="32"/>
  <c r="S266" i="13"/>
  <c r="BE266" i="13" s="1"/>
  <c r="BG266" i="13" s="1"/>
  <c r="BH266" i="13" s="1"/>
  <c r="BE265" i="13"/>
  <c r="BG265" i="13" s="1"/>
  <c r="BH265" i="13" s="1"/>
  <c r="G2013" i="30" a="1"/>
  <c r="AH654" i="13"/>
  <c r="AI654" i="13" s="1"/>
  <c r="R409" i="13"/>
  <c r="AZ409" i="13" s="1"/>
  <c r="BB409" i="13" s="1"/>
  <c r="BC409" i="13" s="1"/>
  <c r="AZ408" i="13"/>
  <c r="BB408" i="13" s="1"/>
  <c r="BC408" i="13" s="1"/>
  <c r="U2005" i="30"/>
  <c r="E511" i="11"/>
  <c r="G2127" i="30" a="1"/>
  <c r="G2527" i="30" a="1"/>
  <c r="P163" i="13"/>
  <c r="AP163" i="13" s="1"/>
  <c r="AR163" i="13" s="1"/>
  <c r="AS163" i="13" s="1"/>
  <c r="AP183" i="13"/>
  <c r="AR183" i="13" s="1"/>
  <c r="AS183" i="13" s="1"/>
  <c r="G2025" i="30"/>
  <c r="U2025" i="30" s="1"/>
  <c r="BG271" i="13"/>
  <c r="BH271" i="13" s="1"/>
  <c r="AZ285" i="13"/>
  <c r="BB285" i="13" s="1"/>
  <c r="BC285" i="13" s="1"/>
  <c r="R286" i="13"/>
  <c r="AZ286" i="13" s="1"/>
  <c r="BB286" i="13" s="1"/>
  <c r="BC286" i="13" s="1"/>
  <c r="U2447" i="30"/>
  <c r="O449" i="32" s="1"/>
  <c r="S226" i="13"/>
  <c r="BE226" i="13" s="1"/>
  <c r="BG226" i="13" s="1"/>
  <c r="BH226" i="13" s="1"/>
  <c r="BE225" i="13"/>
  <c r="BG225" i="13" s="1"/>
  <c r="BH225" i="13" s="1"/>
  <c r="G2515" i="30" a="1"/>
  <c r="AK408" i="13"/>
  <c r="AM408" i="13" s="1"/>
  <c r="AN408" i="13" s="1"/>
  <c r="O409" i="13"/>
  <c r="AK409" i="13" s="1"/>
  <c r="AM409" i="13" s="1"/>
  <c r="AN409" i="13" s="1"/>
  <c r="AF191" i="13"/>
  <c r="N205" i="13"/>
  <c r="G1770" i="30" a="1"/>
  <c r="T309" i="13"/>
  <c r="BJ309" i="13" s="1"/>
  <c r="BL309" i="13" s="1"/>
  <c r="BM309" i="13" s="1"/>
  <c r="BJ308" i="13"/>
  <c r="BL308" i="13" s="1"/>
  <c r="BM308" i="13" s="1"/>
  <c r="BJ408" i="13"/>
  <c r="BL408" i="13" s="1"/>
  <c r="BM408" i="13" s="1"/>
  <c r="T409" i="13"/>
  <c r="BJ409" i="13" s="1"/>
  <c r="BL409" i="13" s="1"/>
  <c r="BM409" i="13" s="1"/>
  <c r="BE414" i="13"/>
  <c r="BG414" i="13" s="1"/>
  <c r="BH414" i="13" s="1"/>
  <c r="G1766" i="30" s="1" a="1"/>
  <c r="S428" i="13"/>
  <c r="G1731" i="30" a="1"/>
  <c r="AK674" i="13"/>
  <c r="O688" i="13"/>
  <c r="G2394" i="30" a="1"/>
  <c r="O211" i="13"/>
  <c r="G1222" i="30" s="1" a="1"/>
  <c r="U1972" i="30"/>
  <c r="U1973" i="30" s="1"/>
  <c r="U2375" i="30"/>
  <c r="N246" i="13"/>
  <c r="AF246" i="13" s="1"/>
  <c r="AH246" i="13" s="1"/>
  <c r="AI246" i="13" s="1"/>
  <c r="AF245" i="13"/>
  <c r="AH245" i="13" s="1"/>
  <c r="AI245" i="13" s="1"/>
  <c r="U1884" i="30"/>
  <c r="M372" i="32" s="1"/>
  <c r="G1923" i="30" a="1"/>
  <c r="U2649" i="30"/>
  <c r="M477" i="32" s="1"/>
  <c r="U2653" i="30"/>
  <c r="Q477" i="32" s="1"/>
  <c r="BB211" i="13"/>
  <c r="BC211" i="13" s="1"/>
  <c r="U2751" i="30"/>
  <c r="M491" i="32" s="1"/>
  <c r="G2060" i="30" a="1"/>
  <c r="T449" i="13"/>
  <c r="BJ449" i="13" s="1"/>
  <c r="BL449" i="13" s="1"/>
  <c r="BM449" i="13" s="1"/>
  <c r="BJ448" i="13"/>
  <c r="BL448" i="13" s="1"/>
  <c r="BM448" i="13" s="1"/>
  <c r="P34" i="13"/>
  <c r="R34" i="13" s="1"/>
  <c r="S34" i="13" s="1"/>
  <c r="B23" i="27"/>
  <c r="U1987" i="30"/>
  <c r="N386" i="32" s="1"/>
  <c r="AM251" i="13"/>
  <c r="AN251" i="13" s="1"/>
  <c r="G2421" i="30" a="1"/>
  <c r="U2464" i="30"/>
  <c r="G2774" i="30" a="1"/>
  <c r="BG251" i="13"/>
  <c r="BH251" i="13" s="1"/>
  <c r="G2107" i="30" a="1"/>
  <c r="U2822" i="30"/>
  <c r="U2329" i="30"/>
  <c r="U2330" i="30" s="1"/>
  <c r="G1903" i="30" a="1"/>
  <c r="AH294" i="13"/>
  <c r="AI294" i="13" s="1"/>
  <c r="T2349" i="30"/>
  <c r="P2347" i="30"/>
  <c r="L2345" i="30"/>
  <c r="H2343" i="30"/>
  <c r="Q2348" i="30"/>
  <c r="M2346" i="30"/>
  <c r="I2344" i="30"/>
  <c r="H2350" i="30"/>
  <c r="R2347" i="30"/>
  <c r="N2345" i="30"/>
  <c r="J2343" i="30"/>
  <c r="O2350" i="30"/>
  <c r="I2349" i="30"/>
  <c r="S2348" i="30"/>
  <c r="P2349" i="30"/>
  <c r="L2347" i="30"/>
  <c r="H2345" i="30"/>
  <c r="Q2350" i="30"/>
  <c r="M2348" i="30"/>
  <c r="I2346" i="30"/>
  <c r="S2343" i="30"/>
  <c r="R2349" i="30"/>
  <c r="N2347" i="30"/>
  <c r="J2345" i="30"/>
  <c r="S2350" i="30"/>
  <c r="M2349" i="30"/>
  <c r="G2348" i="30"/>
  <c r="K2344" i="30"/>
  <c r="L2349" i="30"/>
  <c r="H2347" i="30"/>
  <c r="R2344" i="30"/>
  <c r="M2350" i="30"/>
  <c r="I2348" i="30"/>
  <c r="S2345" i="30"/>
  <c r="O2343" i="30"/>
  <c r="N2349" i="30"/>
  <c r="J2347" i="30"/>
  <c r="T2344" i="30"/>
  <c r="Q2349" i="30"/>
  <c r="K2348" i="30"/>
  <c r="S2346" i="30"/>
  <c r="Q2347" i="30"/>
  <c r="H2349" i="30"/>
  <c r="R2346" i="30"/>
  <c r="N2344" i="30"/>
  <c r="I2350" i="30"/>
  <c r="S2347" i="30"/>
  <c r="O2345" i="30"/>
  <c r="K2343" i="30"/>
  <c r="J2349" i="30"/>
  <c r="T2346" i="30"/>
  <c r="P2344" i="30"/>
  <c r="O2348" i="30"/>
  <c r="I2347" i="30"/>
  <c r="Q2345" i="30"/>
  <c r="I2343" i="30"/>
  <c r="R2348" i="30"/>
  <c r="N2346" i="30"/>
  <c r="J2344" i="30"/>
  <c r="S2349" i="30"/>
  <c r="O2347" i="30"/>
  <c r="K2345" i="30"/>
  <c r="G2343" i="30"/>
  <c r="T2348" i="30"/>
  <c r="P2346" i="30"/>
  <c r="L2344" i="30"/>
  <c r="M2347" i="30"/>
  <c r="G2346" i="30"/>
  <c r="O2344" i="30"/>
  <c r="O2346" i="30"/>
  <c r="R2350" i="30"/>
  <c r="N2348" i="30"/>
  <c r="J2346" i="30"/>
  <c r="T2343" i="30"/>
  <c r="O2349" i="30"/>
  <c r="K2347" i="30"/>
  <c r="G2345" i="30"/>
  <c r="T2350" i="30"/>
  <c r="P2348" i="30"/>
  <c r="L2346" i="30"/>
  <c r="H2344" i="30"/>
  <c r="K2346" i="30"/>
  <c r="S2344" i="30"/>
  <c r="M2343" i="30"/>
  <c r="N2350" i="30"/>
  <c r="J2348" i="30"/>
  <c r="T2345" i="30"/>
  <c r="P2343" i="30"/>
  <c r="K2349" i="30"/>
  <c r="G2347" i="30"/>
  <c r="Q2344" i="30"/>
  <c r="P2350" i="30"/>
  <c r="L2348" i="30"/>
  <c r="H2346" i="30"/>
  <c r="R2343" i="30"/>
  <c r="I2345" i="30"/>
  <c r="Q2343" i="30"/>
  <c r="G2350" i="30"/>
  <c r="L2350" i="30"/>
  <c r="T2347" i="30"/>
  <c r="P2345" i="30"/>
  <c r="N2343" i="30"/>
  <c r="H2348" i="30"/>
  <c r="R2345" i="30"/>
  <c r="L2343" i="30"/>
  <c r="G2344" i="30"/>
  <c r="J2350" i="30"/>
  <c r="G2349" i="30"/>
  <c r="K2350" i="30"/>
  <c r="M2344" i="30"/>
  <c r="Q2346" i="30"/>
  <c r="M2345" i="30"/>
  <c r="AZ191" i="13"/>
  <c r="R205" i="13"/>
  <c r="U2006" i="30"/>
  <c r="U2095" i="30"/>
  <c r="T400" i="32" s="1"/>
  <c r="U2269" i="30"/>
  <c r="BB294" i="13"/>
  <c r="BC294" i="13" s="1"/>
  <c r="U2246" i="30"/>
  <c r="R421" i="32" s="1"/>
  <c r="U2245" i="30"/>
  <c r="Q421" i="32" s="1"/>
  <c r="BB271" i="13"/>
  <c r="BC271" i="13" s="1"/>
  <c r="U2446" i="30"/>
  <c r="N449" i="32" s="1"/>
  <c r="G2076" i="30" a="1"/>
  <c r="BG211" i="13"/>
  <c r="BH211" i="13" s="1"/>
  <c r="O191" i="13"/>
  <c r="AP171" i="13"/>
  <c r="P185" i="13"/>
  <c r="P18" i="13"/>
  <c r="R18" i="13" s="1"/>
  <c r="S18" i="13" s="1"/>
  <c r="G2017" i="30" a="1"/>
  <c r="BJ171" i="13"/>
  <c r="T185" i="13"/>
  <c r="BL394" i="13"/>
  <c r="BM394" i="13" s="1"/>
  <c r="AU454" i="13"/>
  <c r="Q468" i="13"/>
  <c r="G1833" i="30" a="1"/>
  <c r="BJ834" i="13"/>
  <c r="T251" i="13"/>
  <c r="T151" i="13" s="1"/>
  <c r="T848" i="13"/>
  <c r="T894" i="13"/>
  <c r="G2802" i="30" a="1"/>
  <c r="AH231" i="13"/>
  <c r="AI231" i="13" s="1"/>
  <c r="AR271" i="13"/>
  <c r="AS271" i="13" s="1"/>
  <c r="U2652" i="30"/>
  <c r="P477" i="32" s="1"/>
  <c r="R226" i="13"/>
  <c r="AZ226" i="13" s="1"/>
  <c r="BB226" i="13" s="1"/>
  <c r="BC226" i="13" s="1"/>
  <c r="AZ225" i="13"/>
  <c r="BB225" i="13" s="1"/>
  <c r="BC225" i="13" s="1"/>
  <c r="U2755" i="30"/>
  <c r="Q491" i="32" s="1"/>
  <c r="U2756" i="30"/>
  <c r="R491" i="32" s="1"/>
  <c r="U2757" i="30"/>
  <c r="S491" i="32" s="1"/>
  <c r="BL434" i="13"/>
  <c r="BM434" i="13" s="1"/>
  <c r="S472" i="32"/>
  <c r="H47" i="31" s="1"/>
  <c r="AF171" i="13"/>
  <c r="N151" i="13"/>
  <c r="AF668" i="13"/>
  <c r="AH668" i="13" s="1"/>
  <c r="AI668" i="13" s="1"/>
  <c r="N669" i="13"/>
  <c r="AF669" i="13" s="1"/>
  <c r="AH669" i="13" s="1"/>
  <c r="AI669" i="13" s="1"/>
  <c r="E11" i="13"/>
  <c r="T286" i="13"/>
  <c r="BJ286" i="13" s="1"/>
  <c r="BL286" i="13" s="1"/>
  <c r="BM286" i="13" s="1"/>
  <c r="BJ285" i="13"/>
  <c r="BL285" i="13" s="1"/>
  <c r="BM285" i="13" s="1"/>
  <c r="G1872" i="30"/>
  <c r="U1872" i="30" s="1"/>
  <c r="U1873" i="30"/>
  <c r="S367" i="32"/>
  <c r="H32" i="31" s="1"/>
  <c r="S368" i="32"/>
  <c r="I32" i="31" s="1"/>
  <c r="AR231" i="13"/>
  <c r="AS231" i="13" s="1"/>
  <c r="B15" i="27"/>
  <c r="P37" i="13"/>
  <c r="R37" i="13" s="1"/>
  <c r="S37" i="13" s="1"/>
  <c r="S2119" i="30"/>
  <c r="I2121" i="30"/>
  <c r="L2121" i="30"/>
  <c r="P2119" i="30"/>
  <c r="K2121" i="30"/>
  <c r="K2120" i="30"/>
  <c r="P2122" i="30"/>
  <c r="I2120" i="30"/>
  <c r="G2120" i="30"/>
  <c r="N2120" i="30"/>
  <c r="T2120" i="30"/>
  <c r="R2121" i="30"/>
  <c r="P2120" i="30"/>
  <c r="H2119" i="30"/>
  <c r="S2121" i="30"/>
  <c r="O2119" i="30"/>
  <c r="M2121" i="30"/>
  <c r="G2121" i="30"/>
  <c r="O2121" i="30"/>
  <c r="M2120" i="30"/>
  <c r="Q2119" i="30"/>
  <c r="G2119" i="30"/>
  <c r="P2121" i="30"/>
  <c r="O2120" i="30"/>
  <c r="M2119" i="30"/>
  <c r="I2122" i="30"/>
  <c r="S2122" i="30"/>
  <c r="Q2122" i="30"/>
  <c r="J2119" i="30"/>
  <c r="J2122" i="30"/>
  <c r="R2119" i="30"/>
  <c r="J2120" i="30"/>
  <c r="Q2120" i="30"/>
  <c r="H2120" i="30"/>
  <c r="G2122" i="30"/>
  <c r="T2121" i="30"/>
  <c r="M2122" i="30"/>
  <c r="N2119" i="30"/>
  <c r="R2120" i="30"/>
  <c r="I2119" i="30"/>
  <c r="N2121" i="30"/>
  <c r="Q2121" i="30"/>
  <c r="J2121" i="30"/>
  <c r="N2122" i="30"/>
  <c r="T2122" i="30"/>
  <c r="L2119" i="30"/>
  <c r="L2122" i="30"/>
  <c r="S2120" i="30"/>
  <c r="L2120" i="30"/>
  <c r="O2122" i="30"/>
  <c r="K2122" i="30"/>
  <c r="H2122" i="30"/>
  <c r="R2122" i="30"/>
  <c r="K2119" i="30"/>
  <c r="T2119" i="30"/>
  <c r="H2121" i="30"/>
  <c r="R309" i="13"/>
  <c r="AZ309" i="13" s="1"/>
  <c r="BB309" i="13" s="1"/>
  <c r="BC309" i="13" s="1"/>
  <c r="AZ308" i="13"/>
  <c r="BB308" i="13" s="1"/>
  <c r="BC308" i="13" s="1"/>
  <c r="AH314" i="13"/>
  <c r="AI314" i="13" s="1"/>
  <c r="U2241" i="30"/>
  <c r="M421" i="32" s="1"/>
  <c r="U2445" i="30"/>
  <c r="M449" i="32" s="1"/>
  <c r="U2452" i="30"/>
  <c r="T449" i="32" s="1"/>
  <c r="Q226" i="13"/>
  <c r="AU226" i="13" s="1"/>
  <c r="AW226" i="13" s="1"/>
  <c r="AX226" i="13" s="1"/>
  <c r="AU225" i="13"/>
  <c r="AW225" i="13" s="1"/>
  <c r="AX225" i="13" s="1"/>
  <c r="AM394" i="13"/>
  <c r="AN394" i="13" s="1"/>
  <c r="P2258" i="30"/>
  <c r="O2310" i="30"/>
  <c r="N2309" i="30"/>
  <c r="K2309" i="30"/>
  <c r="L2308" i="30"/>
  <c r="O2309" i="30"/>
  <c r="Q2308" i="30"/>
  <c r="R2308" i="30"/>
  <c r="J2308" i="30"/>
  <c r="T2307" i="30"/>
  <c r="J2307" i="30"/>
  <c r="N2307" i="30"/>
  <c r="S2309" i="30"/>
  <c r="Q2309" i="30"/>
  <c r="P2308" i="30"/>
  <c r="T2308" i="30"/>
  <c r="L2307" i="30"/>
  <c r="G2307" i="30"/>
  <c r="I2308" i="30"/>
  <c r="T2310" i="30"/>
  <c r="M2307" i="30"/>
  <c r="L2309" i="30"/>
  <c r="M2309" i="30"/>
  <c r="R2310" i="30"/>
  <c r="K2307" i="30"/>
  <c r="H2310" i="30"/>
  <c r="K2308" i="30"/>
  <c r="N2308" i="30"/>
  <c r="S2310" i="30"/>
  <c r="J2309" i="30"/>
  <c r="L2310" i="30"/>
  <c r="G2308" i="30"/>
  <c r="H2307" i="30"/>
  <c r="J2310" i="30"/>
  <c r="K2310" i="30"/>
  <c r="T2309" i="30"/>
  <c r="G2309" i="30"/>
  <c r="P2309" i="30"/>
  <c r="M2308" i="30"/>
  <c r="I2310" i="30"/>
  <c r="I2307" i="30"/>
  <c r="H2308" i="30"/>
  <c r="O2308" i="30"/>
  <c r="H2309" i="30"/>
  <c r="R2309" i="30"/>
  <c r="N2310" i="30"/>
  <c r="I2309" i="30"/>
  <c r="O2307" i="30"/>
  <c r="P2307" i="30"/>
  <c r="M2310" i="30"/>
  <c r="Q2307" i="30"/>
  <c r="S2308" i="30"/>
  <c r="R2307" i="30"/>
  <c r="P2310" i="30"/>
  <c r="Q2310" i="30"/>
  <c r="S2307" i="30"/>
  <c r="G2310" i="30"/>
  <c r="P309" i="13"/>
  <c r="AP309" i="13" s="1"/>
  <c r="AR309" i="13" s="1"/>
  <c r="AS309" i="13" s="1"/>
  <c r="AP308" i="13"/>
  <c r="AR308" i="13" s="1"/>
  <c r="AS308" i="13" s="1"/>
  <c r="N2475" i="30"/>
  <c r="I2472" i="30"/>
  <c r="K2474" i="30"/>
  <c r="S2472" i="30"/>
  <c r="Q2473" i="30"/>
  <c r="N2473" i="30"/>
  <c r="I2475" i="30"/>
  <c r="I2473" i="30"/>
  <c r="K2473" i="30"/>
  <c r="G2473" i="30"/>
  <c r="L2472" i="30"/>
  <c r="O2474" i="30"/>
  <c r="P2475" i="30"/>
  <c r="R2474" i="30"/>
  <c r="J2472" i="30"/>
  <c r="J2474" i="30"/>
  <c r="K2475" i="30"/>
  <c r="P2472" i="30"/>
  <c r="S2475" i="30"/>
  <c r="M2475" i="30"/>
  <c r="P2474" i="30"/>
  <c r="M2473" i="30"/>
  <c r="M2474" i="30"/>
  <c r="H2473" i="30"/>
  <c r="H2474" i="30"/>
  <c r="O2473" i="30"/>
  <c r="P2473" i="30"/>
  <c r="T2474" i="30"/>
  <c r="H2472" i="30"/>
  <c r="K2472" i="30"/>
  <c r="J2473" i="30"/>
  <c r="T2475" i="30"/>
  <c r="M2472" i="30"/>
  <c r="I2474" i="30"/>
  <c r="BL231" i="13"/>
  <c r="BM231" i="13" s="1"/>
  <c r="U55" i="13" s="1"/>
  <c r="S55" i="13"/>
  <c r="G1465" i="30"/>
  <c r="U1465" i="30" s="1"/>
  <c r="U1466" i="30"/>
  <c r="S311" i="32"/>
  <c r="H24" i="31" s="1"/>
  <c r="S312" i="32"/>
  <c r="I24" i="31" s="1"/>
  <c r="R449" i="13"/>
  <c r="AZ449" i="13" s="1"/>
  <c r="BB449" i="13" s="1"/>
  <c r="BC449" i="13" s="1"/>
  <c r="AZ448" i="13"/>
  <c r="BB448" i="13" s="1"/>
  <c r="BC448" i="13" s="1"/>
  <c r="AP394" i="13"/>
  <c r="AR394" i="13" s="1"/>
  <c r="AS394" i="13" s="1"/>
  <c r="G1703" i="30" s="1" a="1"/>
  <c r="P408" i="13"/>
  <c r="L478" i="11"/>
  <c r="U728" i="13"/>
  <c r="U729" i="13" s="1"/>
  <c r="U271" i="13"/>
  <c r="G2496" i="30" a="1"/>
  <c r="AF894" i="13"/>
  <c r="N908" i="13"/>
  <c r="U2209" i="30"/>
  <c r="G2460" i="30" a="1"/>
  <c r="U1754" i="30"/>
  <c r="P286" i="13"/>
  <c r="AP286" i="13" s="1"/>
  <c r="AR286" i="13" s="1"/>
  <c r="AS286" i="13" s="1"/>
  <c r="AP285" i="13"/>
  <c r="AR285" i="13" s="1"/>
  <c r="AS285" i="13" s="1"/>
  <c r="U2839" i="30"/>
  <c r="U2840" i="30" s="1"/>
  <c r="U2758" i="30"/>
  <c r="T491" i="32" s="1"/>
  <c r="U2265" i="30"/>
  <c r="AZ183" i="13"/>
  <c r="BB183" i="13" s="1"/>
  <c r="BC183" i="13" s="1"/>
  <c r="R163" i="13"/>
  <c r="AZ163" i="13" s="1"/>
  <c r="BB163" i="13" s="1"/>
  <c r="BC163" i="13" s="1"/>
  <c r="L1762" i="30"/>
  <c r="R1764" i="30"/>
  <c r="I1765" i="30"/>
  <c r="K1762" i="30"/>
  <c r="T1765" i="30"/>
  <c r="Q1762" i="30"/>
  <c r="O1763" i="30"/>
  <c r="P1763" i="30"/>
  <c r="N1765" i="30"/>
  <c r="S1762" i="30"/>
  <c r="J1763" i="30"/>
  <c r="I1764" i="30"/>
  <c r="S1765" i="30"/>
  <c r="G1764" i="30"/>
  <c r="M1762" i="30"/>
  <c r="Q1764" i="30"/>
  <c r="R1765" i="30"/>
  <c r="M1765" i="30"/>
  <c r="Q1765" i="30"/>
  <c r="R1762" i="30"/>
  <c r="R1763" i="30"/>
  <c r="T1764" i="30"/>
  <c r="M1764" i="30"/>
  <c r="H1764" i="30"/>
  <c r="G1765" i="30"/>
  <c r="T1762" i="30"/>
  <c r="K1763" i="30"/>
  <c r="P1762" i="30"/>
  <c r="K1765" i="30"/>
  <c r="N1763" i="30"/>
  <c r="L1763" i="30"/>
  <c r="J1765" i="30"/>
  <c r="I1762" i="30"/>
  <c r="H1763" i="30"/>
  <c r="G1763" i="30"/>
  <c r="S1764" i="30"/>
  <c r="O1765" i="30"/>
  <c r="J1762" i="30"/>
  <c r="N1764" i="30"/>
  <c r="H1762" i="30"/>
  <c r="H1765" i="30"/>
  <c r="G1762" i="30"/>
  <c r="L1765" i="30"/>
  <c r="P1764" i="30"/>
  <c r="J1764" i="30"/>
  <c r="O1762" i="30"/>
  <c r="O1764" i="30"/>
  <c r="K1764" i="30"/>
  <c r="T1763" i="30"/>
  <c r="P1765" i="30"/>
  <c r="S1763" i="30"/>
  <c r="L1764" i="30"/>
  <c r="Q1763" i="30"/>
  <c r="I1763" i="30"/>
  <c r="M1763" i="30"/>
  <c r="N1762" i="30"/>
  <c r="AU245" i="13"/>
  <c r="AW245" i="13" s="1"/>
  <c r="AX245" i="13" s="1"/>
  <c r="Q246" i="13"/>
  <c r="AU246" i="13" s="1"/>
  <c r="AW246" i="13" s="1"/>
  <c r="AX246" i="13" s="1"/>
  <c r="U1991" i="30"/>
  <c r="R386" i="32" s="1"/>
  <c r="U1986" i="30"/>
  <c r="M386" i="32" s="1"/>
  <c r="G2111" i="30" a="1"/>
  <c r="S2476" i="30"/>
  <c r="M2479" i="30"/>
  <c r="G2478" i="30"/>
  <c r="L2478" i="30"/>
  <c r="T2477" i="30"/>
  <c r="K2479" i="30"/>
  <c r="O2476" i="30"/>
  <c r="G2476" i="30"/>
  <c r="R2479" i="30"/>
  <c r="R2476" i="30"/>
  <c r="R2478" i="30"/>
  <c r="K2477" i="30"/>
  <c r="T2476" i="30"/>
  <c r="T2478" i="30"/>
  <c r="G2479" i="30"/>
  <c r="L2479" i="30"/>
  <c r="S2477" i="30"/>
  <c r="I2477" i="30"/>
  <c r="O2479" i="30"/>
  <c r="P2479" i="30"/>
  <c r="J2476" i="30"/>
  <c r="H2479" i="30"/>
  <c r="H2477" i="30"/>
  <c r="S2478" i="30"/>
  <c r="P2476" i="30"/>
  <c r="I2476" i="30"/>
  <c r="L2477" i="30"/>
  <c r="J2479" i="30"/>
  <c r="H2476" i="30"/>
  <c r="N2477" i="30"/>
  <c r="J2478" i="30"/>
  <c r="I2479" i="30"/>
  <c r="K2478" i="30"/>
  <c r="Q2479" i="30"/>
  <c r="P2477" i="30"/>
  <c r="O2478" i="30"/>
  <c r="S2479" i="30"/>
  <c r="N2476" i="30"/>
  <c r="Q2478" i="30"/>
  <c r="L2476" i="30"/>
  <c r="N2478" i="30"/>
  <c r="R2477" i="30"/>
  <c r="M2478" i="30"/>
  <c r="K2476" i="30"/>
  <c r="N2479" i="30"/>
  <c r="H2478" i="30"/>
  <c r="G2477" i="30"/>
  <c r="P2478" i="30"/>
  <c r="I2478" i="30"/>
  <c r="T2479" i="30"/>
  <c r="M2476" i="30"/>
  <c r="M2477" i="30"/>
  <c r="O2477" i="30"/>
  <c r="J2477" i="30"/>
  <c r="Q2477" i="30"/>
  <c r="Q2476" i="30"/>
  <c r="AK448" i="13"/>
  <c r="AM448" i="13" s="1"/>
  <c r="AN448" i="13" s="1"/>
  <c r="O449" i="13"/>
  <c r="AK449" i="13" s="1"/>
  <c r="AM449" i="13" s="1"/>
  <c r="AN449" i="13" s="1"/>
  <c r="N225" i="13"/>
  <c r="AF211" i="13"/>
  <c r="BL271" i="13"/>
  <c r="BM271" i="13" s="1"/>
  <c r="G2260" i="30" a="1"/>
  <c r="T2817" i="30"/>
  <c r="H2817" i="30"/>
  <c r="G2818" i="30"/>
  <c r="K2820" i="30"/>
  <c r="R2819" i="30"/>
  <c r="R2817" i="30"/>
  <c r="P2817" i="30"/>
  <c r="T2818" i="30"/>
  <c r="G2819" i="30"/>
  <c r="J2817" i="30"/>
  <c r="S2818" i="30"/>
  <c r="P2820" i="30"/>
  <c r="I2818" i="30"/>
  <c r="K2818" i="30"/>
  <c r="O2818" i="30"/>
  <c r="S2819" i="30"/>
  <c r="P2819" i="30"/>
  <c r="G2820" i="30"/>
  <c r="T2820" i="30"/>
  <c r="H2818" i="30"/>
  <c r="O2817" i="30"/>
  <c r="L2817" i="30"/>
  <c r="N2820" i="30"/>
  <c r="J2819" i="30"/>
  <c r="S2817" i="30"/>
  <c r="P2818" i="30"/>
  <c r="I2820" i="30"/>
  <c r="R2820" i="30"/>
  <c r="N2818" i="30"/>
  <c r="L2819" i="30"/>
  <c r="S2820" i="30"/>
  <c r="O2819" i="30"/>
  <c r="M2819" i="30"/>
  <c r="Q2818" i="30"/>
  <c r="J2820" i="30"/>
  <c r="I2819" i="30"/>
  <c r="T2819" i="30"/>
  <c r="N2819" i="30"/>
  <c r="H2819" i="30"/>
  <c r="G2817" i="30"/>
  <c r="Q2819" i="30"/>
  <c r="K2819" i="30"/>
  <c r="M2820" i="30"/>
  <c r="N2817" i="30"/>
  <c r="Q2817" i="30"/>
  <c r="K2817" i="30"/>
  <c r="L2818" i="30"/>
  <c r="L2820" i="30"/>
  <c r="Q2820" i="30"/>
  <c r="M2817" i="30"/>
  <c r="J2818" i="30"/>
  <c r="M2818" i="30"/>
  <c r="O2820" i="30"/>
  <c r="H2820" i="30"/>
  <c r="I2817" i="30"/>
  <c r="R2818" i="30"/>
  <c r="E31" i="13"/>
  <c r="P246" i="13"/>
  <c r="AP246" i="13" s="1"/>
  <c r="AR246" i="13" s="1"/>
  <c r="AS246" i="13" s="1"/>
  <c r="AP245" i="13"/>
  <c r="AR245" i="13" s="1"/>
  <c r="AS245" i="13" s="1"/>
  <c r="O2682" i="30"/>
  <c r="H2681" i="30"/>
  <c r="H2683" i="30"/>
  <c r="P2680" i="30"/>
  <c r="Q2682" i="30"/>
  <c r="H2682" i="30"/>
  <c r="P2681" i="30"/>
  <c r="T2681" i="30"/>
  <c r="N2680" i="30"/>
  <c r="K2681" i="30"/>
  <c r="M2681" i="30"/>
  <c r="G2680" i="30"/>
  <c r="N2682" i="30"/>
  <c r="T2682" i="30"/>
  <c r="P2682" i="30"/>
  <c r="R2682" i="30"/>
  <c r="L2682" i="30"/>
  <c r="T2680" i="30"/>
  <c r="O2680" i="30"/>
  <c r="S2680" i="30"/>
  <c r="Q2681" i="30"/>
  <c r="S2682" i="30"/>
  <c r="L2683" i="30"/>
  <c r="K2683" i="30"/>
  <c r="M2683" i="30"/>
  <c r="G2683" i="30"/>
  <c r="I2681" i="30"/>
  <c r="M2680" i="30"/>
  <c r="I2682" i="30"/>
  <c r="I2680" i="30"/>
  <c r="G2681" i="30"/>
  <c r="O2683" i="30"/>
  <c r="Q2680" i="30"/>
  <c r="Q2683" i="30"/>
  <c r="T2683" i="30"/>
  <c r="K2680" i="30"/>
  <c r="K2682" i="30"/>
  <c r="J2680" i="30"/>
  <c r="H2680" i="30"/>
  <c r="G2682" i="30"/>
  <c r="N2681" i="30"/>
  <c r="O2681" i="30"/>
  <c r="J2682" i="30"/>
  <c r="J2681" i="30"/>
  <c r="M2682" i="30"/>
  <c r="J2683" i="30"/>
  <c r="R2681" i="30"/>
  <c r="S2683" i="30"/>
  <c r="R2683" i="30"/>
  <c r="P2683" i="30"/>
  <c r="R2680" i="30"/>
  <c r="N2683" i="30"/>
  <c r="I2683" i="30"/>
  <c r="L2680" i="30"/>
  <c r="S2681" i="30"/>
  <c r="L2681" i="30"/>
  <c r="G1567" i="30" a="1"/>
  <c r="G2217" i="30" a="1"/>
  <c r="R151" i="13"/>
  <c r="AZ171" i="13"/>
  <c r="R185" i="13"/>
  <c r="AF328" i="13"/>
  <c r="AH328" i="13" s="1"/>
  <c r="AI328" i="13" s="1"/>
  <c r="N329" i="13"/>
  <c r="AF329" i="13" s="1"/>
  <c r="AH329" i="13" s="1"/>
  <c r="AI329" i="13" s="1"/>
  <c r="U2244" i="30"/>
  <c r="P421" i="32" s="1"/>
  <c r="P12" i="13"/>
  <c r="R12" i="13" s="1"/>
  <c r="S12" i="13" s="1"/>
  <c r="U2449" i="30"/>
  <c r="Q449" i="32" s="1"/>
  <c r="G2621" i="30" a="1"/>
  <c r="AW211" i="13"/>
  <c r="AX211" i="13" s="1"/>
  <c r="AU448" i="13"/>
  <c r="AW448" i="13" s="1"/>
  <c r="AX448" i="13" s="1"/>
  <c r="Q449" i="13"/>
  <c r="AU449" i="13" s="1"/>
  <c r="AW449" i="13" s="1"/>
  <c r="AX449" i="13" s="1"/>
  <c r="AR294" i="13"/>
  <c r="AS294" i="13" s="1"/>
  <c r="AW271" i="13"/>
  <c r="AX271" i="13" s="1"/>
  <c r="U2363" i="30"/>
  <c r="U2362" i="30"/>
  <c r="E7" i="13"/>
  <c r="T246" i="13"/>
  <c r="BJ246" i="13" s="1"/>
  <c r="BL246" i="13" s="1"/>
  <c r="BM246" i="13" s="1"/>
  <c r="BJ245" i="13"/>
  <c r="U2635" i="30"/>
  <c r="U2636" i="30" s="1"/>
  <c r="AK294" i="13"/>
  <c r="O171" i="13"/>
  <c r="O308" i="13"/>
  <c r="BB434" i="13"/>
  <c r="BC434" i="13" s="1"/>
  <c r="P2314" i="30"/>
  <c r="M2311" i="30"/>
  <c r="H2313" i="30"/>
  <c r="Q2519" i="30"/>
  <c r="N2521" i="30"/>
  <c r="R2520" i="30"/>
  <c r="O2519" i="30"/>
  <c r="H2519" i="30"/>
  <c r="M2521" i="30"/>
  <c r="T2521" i="30"/>
  <c r="L2521" i="30"/>
  <c r="I2520" i="30"/>
  <c r="I2519" i="30"/>
  <c r="Q2521" i="30"/>
  <c r="J2519" i="30"/>
  <c r="O2520" i="30"/>
  <c r="L2519" i="30"/>
  <c r="I2521" i="30"/>
  <c r="K2521" i="30"/>
  <c r="T2519" i="30"/>
  <c r="P2521" i="30"/>
  <c r="S2521" i="30"/>
  <c r="J2522" i="30"/>
  <c r="R2522" i="30"/>
  <c r="T2522" i="30"/>
  <c r="G2519" i="30"/>
  <c r="P2522" i="30"/>
  <c r="O2521" i="30"/>
  <c r="G2520" i="30"/>
  <c r="Q2522" i="30"/>
  <c r="H2520" i="30"/>
  <c r="R2519" i="30"/>
  <c r="N2522" i="30"/>
  <c r="S2519" i="30"/>
  <c r="G2522" i="30"/>
  <c r="K2522" i="30"/>
  <c r="J2521" i="30"/>
  <c r="G2521" i="30"/>
  <c r="N2519" i="30"/>
  <c r="S2522" i="30"/>
  <c r="K2520" i="30"/>
  <c r="R2521" i="30"/>
  <c r="I2522" i="30"/>
  <c r="M2520" i="30"/>
  <c r="S2520" i="30"/>
  <c r="T2520" i="30"/>
  <c r="O2522" i="30"/>
  <c r="M2522" i="30"/>
  <c r="M2519" i="30"/>
  <c r="P2520" i="30"/>
  <c r="L2520" i="30"/>
  <c r="N2520" i="30"/>
  <c r="K2519" i="30"/>
  <c r="L2522" i="30"/>
  <c r="J2520" i="30"/>
  <c r="Q2520" i="30"/>
  <c r="H2522" i="30"/>
  <c r="H2521" i="30"/>
  <c r="P2519" i="30"/>
  <c r="E6" i="13"/>
  <c r="T226" i="13"/>
  <c r="BJ226" i="13" s="1"/>
  <c r="BL226" i="13" s="1"/>
  <c r="BM226" i="13" s="1"/>
  <c r="BJ225" i="13"/>
  <c r="U2654" i="30"/>
  <c r="R477" i="32" s="1"/>
  <c r="N183" i="13"/>
  <c r="AF306" i="13"/>
  <c r="AH306" i="13" s="1"/>
  <c r="AI306" i="13" s="1"/>
  <c r="L398" i="30"/>
  <c r="H396" i="30"/>
  <c r="R393" i="30"/>
  <c r="N391" i="30"/>
  <c r="I397" i="30"/>
  <c r="S394" i="30"/>
  <c r="O392" i="30"/>
  <c r="J398" i="30"/>
  <c r="T395" i="30"/>
  <c r="P393" i="30"/>
  <c r="L391" i="30"/>
  <c r="O391" i="30"/>
  <c r="S397" i="30"/>
  <c r="O397" i="30"/>
  <c r="R395" i="30"/>
  <c r="S396" i="30"/>
  <c r="L393" i="30"/>
  <c r="M396" i="30"/>
  <c r="O394" i="30"/>
  <c r="R397" i="30"/>
  <c r="N395" i="30"/>
  <c r="J393" i="30"/>
  <c r="S398" i="30"/>
  <c r="O396" i="30"/>
  <c r="K394" i="30"/>
  <c r="G392" i="30"/>
  <c r="P397" i="30"/>
  <c r="L395" i="30"/>
  <c r="H393" i="30"/>
  <c r="M398" i="30"/>
  <c r="G397" i="30"/>
  <c r="O395" i="30"/>
  <c r="K395" i="30"/>
  <c r="M391" i="30"/>
  <c r="I396" i="30"/>
  <c r="M397" i="30"/>
  <c r="S392" i="30"/>
  <c r="T393" i="30"/>
  <c r="Q398" i="30"/>
  <c r="T397" i="30"/>
  <c r="N397" i="30"/>
  <c r="J395" i="30"/>
  <c r="T392" i="30"/>
  <c r="O398" i="30"/>
  <c r="K396" i="30"/>
  <c r="G394" i="30"/>
  <c r="Q391" i="30"/>
  <c r="L397" i="30"/>
  <c r="H395" i="30"/>
  <c r="R392" i="30"/>
  <c r="K397" i="30"/>
  <c r="S395" i="30"/>
  <c r="M394" i="30"/>
  <c r="I394" i="30"/>
  <c r="J397" i="30"/>
  <c r="T394" i="30"/>
  <c r="P392" i="30"/>
  <c r="G396" i="30"/>
  <c r="Q393" i="30"/>
  <c r="H397" i="30"/>
  <c r="N392" i="30"/>
  <c r="Q394" i="30"/>
  <c r="G393" i="30"/>
  <c r="J396" i="30"/>
  <c r="N393" i="30"/>
  <c r="I398" i="30"/>
  <c r="K398" i="30"/>
  <c r="R394" i="30"/>
  <c r="K393" i="30"/>
  <c r="H394" i="30"/>
  <c r="Q392" i="30"/>
  <c r="J391" i="30"/>
  <c r="P395" i="30"/>
  <c r="Q396" i="30"/>
  <c r="T396" i="30"/>
  <c r="P394" i="30"/>
  <c r="L392" i="30"/>
  <c r="G398" i="30"/>
  <c r="Q395" i="30"/>
  <c r="M393" i="30"/>
  <c r="I391" i="30"/>
  <c r="R396" i="30"/>
  <c r="N394" i="30"/>
  <c r="J392" i="30"/>
  <c r="G395" i="30"/>
  <c r="O393" i="30"/>
  <c r="I392" i="30"/>
  <c r="S391" i="30"/>
  <c r="T398" i="30"/>
  <c r="P396" i="30"/>
  <c r="L394" i="30"/>
  <c r="H392" i="30"/>
  <c r="Q397" i="30"/>
  <c r="M395" i="30"/>
  <c r="I393" i="30"/>
  <c r="R398" i="30"/>
  <c r="N396" i="30"/>
  <c r="J394" i="30"/>
  <c r="T391" i="30"/>
  <c r="S393" i="30"/>
  <c r="M392" i="30"/>
  <c r="G391" i="30"/>
  <c r="L396" i="30"/>
  <c r="P391" i="30"/>
  <c r="H398" i="30"/>
  <c r="H391" i="30"/>
  <c r="P398" i="30"/>
  <c r="R391" i="30"/>
  <c r="I395" i="30"/>
  <c r="N398" i="30"/>
  <c r="K391" i="30"/>
  <c r="K392" i="30"/>
  <c r="T1864" i="30"/>
  <c r="M1864" i="30"/>
  <c r="H1864" i="30"/>
  <c r="R1865" i="30"/>
  <c r="J1866" i="30"/>
  <c r="O1865" i="30"/>
  <c r="G1866" i="30"/>
  <c r="N1864" i="30"/>
  <c r="I1864" i="30"/>
  <c r="L1865" i="30"/>
  <c r="P1867" i="30"/>
  <c r="N1865" i="30"/>
  <c r="O1867" i="30"/>
  <c r="S1865" i="30"/>
  <c r="AW231" i="13"/>
  <c r="AX231" i="13" s="1"/>
  <c r="N286" i="13"/>
  <c r="AF286" i="13" s="1"/>
  <c r="AH286" i="13" s="1"/>
  <c r="AI286" i="13" s="1"/>
  <c r="AF285" i="13"/>
  <c r="AH285" i="13" s="1"/>
  <c r="AI285" i="13" s="1"/>
  <c r="E35" i="13"/>
  <c r="P10" i="13"/>
  <c r="R10" i="13" s="1"/>
  <c r="S10" i="13" s="1"/>
  <c r="U2465" i="30"/>
  <c r="J2667" i="30"/>
  <c r="M2664" i="30"/>
  <c r="T2667" i="30"/>
  <c r="M2665" i="30"/>
  <c r="L2665" i="30"/>
  <c r="N2665" i="30"/>
  <c r="K2667" i="30"/>
  <c r="I2664" i="30"/>
  <c r="H2664" i="30"/>
  <c r="G2666" i="30"/>
  <c r="G2665" i="30"/>
  <c r="N2667" i="30"/>
  <c r="O2665" i="30"/>
  <c r="M2666" i="30"/>
  <c r="U1751" i="30"/>
  <c r="T1456" i="30"/>
  <c r="R1456" i="30"/>
  <c r="T1453" i="30"/>
  <c r="K1454" i="30"/>
  <c r="N1455" i="30"/>
  <c r="P1456" i="30"/>
  <c r="G1453" i="30"/>
  <c r="O1454" i="30"/>
  <c r="N1453" i="30"/>
  <c r="P1455" i="30"/>
  <c r="L1454" i="30"/>
  <c r="H1455" i="30"/>
  <c r="I1453" i="30"/>
  <c r="M1456" i="30"/>
  <c r="I1456" i="30"/>
  <c r="H1454" i="30"/>
  <c r="K1456" i="30"/>
  <c r="S1453" i="30"/>
  <c r="Q1454" i="30"/>
  <c r="K1453" i="30"/>
  <c r="T1454" i="30"/>
  <c r="P1454" i="30"/>
  <c r="O1456" i="30"/>
  <c r="J1456" i="30"/>
  <c r="P1453" i="30"/>
  <c r="N1454" i="30"/>
  <c r="O1453" i="30"/>
  <c r="T1455" i="30"/>
  <c r="G1456" i="30"/>
  <c r="G1454" i="30"/>
  <c r="S1456" i="30"/>
  <c r="H1453" i="30"/>
  <c r="K1455" i="30"/>
  <c r="J1454" i="30"/>
  <c r="Q1455" i="30"/>
  <c r="O1455" i="30"/>
  <c r="R1454" i="30"/>
  <c r="R1453" i="30"/>
  <c r="S1454" i="30"/>
  <c r="I1455" i="30"/>
  <c r="N1456" i="30"/>
  <c r="I1454" i="30"/>
  <c r="L1456" i="30"/>
  <c r="R1455" i="30"/>
  <c r="J1453" i="30"/>
  <c r="M1453" i="30"/>
  <c r="M1454" i="30"/>
  <c r="G1455" i="30"/>
  <c r="Q1456" i="30"/>
  <c r="L1453" i="30"/>
  <c r="S1455" i="30"/>
  <c r="Q1453" i="30"/>
  <c r="J1455" i="30"/>
  <c r="M1455" i="30"/>
  <c r="H1456" i="30"/>
  <c r="L1455" i="30"/>
  <c r="AM434" i="13"/>
  <c r="AN434" i="13" s="1"/>
  <c r="S409" i="13"/>
  <c r="BE409" i="13" s="1"/>
  <c r="BG409" i="13" s="1"/>
  <c r="BH409" i="13" s="1"/>
  <c r="BE408" i="13"/>
  <c r="BG408" i="13" s="1"/>
  <c r="BH408" i="13" s="1"/>
  <c r="J2011" i="30"/>
  <c r="J2010" i="30"/>
  <c r="G2010" i="30"/>
  <c r="R2011" i="30"/>
  <c r="T2012" i="30"/>
  <c r="R2010" i="30"/>
  <c r="T2010" i="30"/>
  <c r="K2011" i="30"/>
  <c r="M2010" i="30"/>
  <c r="T2009" i="30"/>
  <c r="M2012" i="30"/>
  <c r="S2009" i="30"/>
  <c r="I2009" i="30"/>
  <c r="L2012" i="30"/>
  <c r="H2011" i="30"/>
  <c r="Q2011" i="30"/>
  <c r="S2012" i="30"/>
  <c r="I2011" i="30"/>
  <c r="P2010" i="30"/>
  <c r="P2011" i="30"/>
  <c r="S2011" i="30"/>
  <c r="P2009" i="30"/>
  <c r="J2009" i="30"/>
  <c r="R2009" i="30"/>
  <c r="Q2009" i="30"/>
  <c r="N2011" i="30"/>
  <c r="G2012" i="30"/>
  <c r="O2011" i="30"/>
  <c r="N2010" i="30"/>
  <c r="M2009" i="30"/>
  <c r="G2011" i="30"/>
  <c r="K2012" i="30"/>
  <c r="L2011" i="30"/>
  <c r="T2011" i="30"/>
  <c r="H2012" i="30"/>
  <c r="H2010" i="30"/>
  <c r="S2010" i="30"/>
  <c r="O2010" i="30"/>
  <c r="I2012" i="30"/>
  <c r="H2009" i="30"/>
  <c r="L2010" i="30"/>
  <c r="Q2010" i="30"/>
  <c r="I2010" i="30"/>
  <c r="L2009" i="30"/>
  <c r="O2009" i="30"/>
  <c r="K2009" i="30"/>
  <c r="N2009" i="30"/>
  <c r="N2012" i="30"/>
  <c r="P2012" i="30"/>
  <c r="M2011" i="30"/>
  <c r="K2010" i="30"/>
  <c r="Q2012" i="30"/>
  <c r="G2009" i="30"/>
  <c r="R2012" i="30"/>
  <c r="O2012" i="30"/>
  <c r="J2012" i="30"/>
  <c r="S1912" i="30"/>
  <c r="G1914" i="30"/>
  <c r="J1914" i="30"/>
  <c r="M1911" i="30"/>
  <c r="L1912" i="30"/>
  <c r="R1914" i="30"/>
  <c r="Q1913" i="30"/>
  <c r="Q1914" i="30"/>
  <c r="G1912" i="30"/>
  <c r="R1912" i="30"/>
  <c r="P1912" i="30"/>
  <c r="K1913" i="30"/>
  <c r="L1914" i="30"/>
  <c r="O1914" i="30"/>
  <c r="P1913" i="30"/>
  <c r="I1911" i="30"/>
  <c r="O1913" i="30"/>
  <c r="L1911" i="30"/>
  <c r="T1914" i="30"/>
  <c r="K1912" i="30"/>
  <c r="N1914" i="30"/>
  <c r="K1911" i="30"/>
  <c r="P1914" i="30"/>
  <c r="I1914" i="30"/>
  <c r="N1912" i="30"/>
  <c r="I1913" i="30"/>
  <c r="N1911" i="30"/>
  <c r="L1913" i="30"/>
  <c r="P1911" i="30"/>
  <c r="M1914" i="30"/>
  <c r="N1913" i="30"/>
  <c r="T1912" i="30"/>
  <c r="H1912" i="30"/>
  <c r="G1913" i="30"/>
  <c r="K1914" i="30"/>
  <c r="S1913" i="30"/>
  <c r="J1912" i="30"/>
  <c r="I1912" i="30"/>
  <c r="R1913" i="30"/>
  <c r="O1912" i="30"/>
  <c r="M1913" i="30"/>
  <c r="G1911" i="30"/>
  <c r="T1913" i="30"/>
  <c r="H1913" i="30"/>
  <c r="M1912" i="30"/>
  <c r="R1911" i="30"/>
  <c r="Q1911" i="30"/>
  <c r="H1914" i="30"/>
  <c r="H1911" i="30"/>
  <c r="S1911" i="30"/>
  <c r="T1911" i="30"/>
  <c r="Q1912" i="30"/>
  <c r="O1911" i="30"/>
  <c r="J1911" i="30"/>
  <c r="S1914" i="30"/>
  <c r="J1913" i="30"/>
  <c r="J411" i="30"/>
  <c r="L410" i="30"/>
  <c r="Q406" i="30"/>
  <c r="M411" i="30"/>
  <c r="I408" i="30"/>
  <c r="T409" i="30"/>
  <c r="I410" i="30"/>
  <c r="T412" i="30"/>
  <c r="K410" i="30"/>
  <c r="N406" i="30"/>
  <c r="T410" i="30"/>
  <c r="O406" i="30"/>
  <c r="S407" i="30"/>
  <c r="J406" i="30"/>
  <c r="I407" i="30"/>
  <c r="L408" i="30"/>
  <c r="J408" i="30"/>
  <c r="O409" i="30"/>
  <c r="N410" i="30"/>
  <c r="R412" i="30"/>
  <c r="S413" i="30"/>
  <c r="J413" i="30"/>
  <c r="S408" i="30"/>
  <c r="K409" i="30"/>
  <c r="J409" i="30"/>
  <c r="L413" i="30"/>
  <c r="S409" i="30"/>
  <c r="I406" i="30"/>
  <c r="L407" i="30"/>
  <c r="K408" i="30"/>
  <c r="N409" i="30"/>
  <c r="P413" i="30"/>
  <c r="O411" i="30"/>
  <c r="O408" i="30"/>
  <c r="Q407" i="30"/>
  <c r="H409" i="30"/>
  <c r="N411" i="30"/>
  <c r="M407" i="30"/>
  <c r="K411" i="30"/>
  <c r="R407" i="30"/>
  <c r="P411" i="30"/>
  <c r="S411" i="30"/>
  <c r="Q410" i="30"/>
  <c r="N408" i="30"/>
  <c r="M409" i="30"/>
  <c r="P410" i="30"/>
  <c r="L411" i="30"/>
  <c r="P406" i="30"/>
  <c r="S410" i="30"/>
  <c r="J412" i="30"/>
  <c r="H410" i="30"/>
  <c r="T413" i="30"/>
  <c r="K413" i="30"/>
  <c r="L406" i="30"/>
  <c r="J410" i="30"/>
  <c r="O407" i="30"/>
  <c r="P409" i="30"/>
  <c r="O410" i="30"/>
  <c r="R411" i="30"/>
  <c r="I409" i="30"/>
  <c r="P412" i="30"/>
  <c r="Q413" i="30"/>
  <c r="S406" i="30"/>
  <c r="P408" i="30"/>
  <c r="N412" i="30"/>
  <c r="M406" i="30"/>
  <c r="O412" i="30"/>
  <c r="R408" i="30"/>
  <c r="I412" i="30"/>
  <c r="R410" i="30"/>
  <c r="Q411" i="30"/>
  <c r="G411" i="30"/>
  <c r="N407" i="30"/>
  <c r="Q408" i="30"/>
  <c r="T408" i="30"/>
  <c r="G410" i="30"/>
  <c r="T406" i="30"/>
  <c r="H411" i="30"/>
  <c r="M408" i="30"/>
  <c r="I411" i="30"/>
  <c r="H407" i="30"/>
  <c r="G409" i="30"/>
  <c r="T411" i="30"/>
  <c r="S412" i="30"/>
  <c r="M410" i="30"/>
  <c r="G406" i="30"/>
  <c r="J407" i="30"/>
  <c r="R409" i="30"/>
  <c r="K406" i="30"/>
  <c r="N413" i="30"/>
  <c r="M412" i="30"/>
  <c r="H412" i="30"/>
  <c r="I413" i="30"/>
  <c r="M413" i="30"/>
  <c r="L409" i="30"/>
  <c r="R413" i="30"/>
  <c r="Q409" i="30"/>
  <c r="Q412" i="30"/>
  <c r="O413" i="30"/>
  <c r="H413" i="30"/>
  <c r="H406" i="30"/>
  <c r="K412" i="30"/>
  <c r="P407" i="30"/>
  <c r="K407" i="30"/>
  <c r="R406" i="30"/>
  <c r="G413" i="30"/>
  <c r="H408" i="30"/>
  <c r="G412" i="30"/>
  <c r="T407" i="30"/>
  <c r="L412" i="30"/>
  <c r="G408" i="30"/>
  <c r="G407" i="30"/>
  <c r="H2002" i="30"/>
  <c r="S2003" i="30"/>
  <c r="O2003" i="30"/>
  <c r="K2003" i="30"/>
  <c r="T2003" i="30"/>
  <c r="N2002" i="30"/>
  <c r="Q2002" i="30"/>
  <c r="T2004" i="30"/>
  <c r="Q2004" i="30"/>
  <c r="N2001" i="30"/>
  <c r="G2001" i="30"/>
  <c r="J2001" i="30"/>
  <c r="L2004" i="30"/>
  <c r="G2004" i="30"/>
  <c r="H2003" i="30"/>
  <c r="S2004" i="30"/>
  <c r="O2004" i="30"/>
  <c r="L2003" i="30"/>
  <c r="M2003" i="30"/>
  <c r="K2002" i="30"/>
  <c r="O2001" i="30"/>
  <c r="R2001" i="30"/>
  <c r="H2004" i="30"/>
  <c r="M2002" i="30"/>
  <c r="M2001" i="30"/>
  <c r="L2002" i="30"/>
  <c r="M2004" i="30"/>
  <c r="I2002" i="30"/>
  <c r="P2003" i="30"/>
  <c r="G2002" i="30"/>
  <c r="Q2001" i="30"/>
  <c r="R2002" i="30"/>
  <c r="L2001" i="30"/>
  <c r="N2004" i="30"/>
  <c r="P2004" i="30"/>
  <c r="K2004" i="30"/>
  <c r="K2001" i="30"/>
  <c r="I2001" i="30"/>
  <c r="N2003" i="30"/>
  <c r="J2004" i="30"/>
  <c r="P2001" i="30"/>
  <c r="T2001" i="30"/>
  <c r="Q2003" i="30"/>
  <c r="G2003" i="30"/>
  <c r="J2003" i="30"/>
  <c r="T2002" i="30"/>
  <c r="I2003" i="30"/>
  <c r="S2001" i="30"/>
  <c r="R2004" i="30"/>
  <c r="H2001" i="30"/>
  <c r="S2002" i="30"/>
  <c r="R2003" i="30"/>
  <c r="O2002" i="30"/>
  <c r="P2002" i="30"/>
  <c r="I2004" i="30"/>
  <c r="J2002" i="30"/>
  <c r="G2229" i="30"/>
  <c r="U2229" i="30" s="1"/>
  <c r="U2230" i="30"/>
  <c r="S417" i="32"/>
  <c r="I39" i="31" s="1"/>
  <c r="S416" i="32"/>
  <c r="H39" i="31" s="1"/>
  <c r="J1511" i="30"/>
  <c r="S1509" i="30"/>
  <c r="Q1511" i="30"/>
  <c r="Q1509" i="30"/>
  <c r="R1511" i="30"/>
  <c r="H1511" i="30"/>
  <c r="K1508" i="30"/>
  <c r="L1511" i="30"/>
  <c r="H1509" i="30"/>
  <c r="K1511" i="30"/>
  <c r="K1510" i="30"/>
  <c r="L1508" i="30"/>
  <c r="N1511" i="30"/>
  <c r="L1509" i="30"/>
  <c r="R1508" i="30"/>
  <c r="T1508" i="30"/>
  <c r="G1509" i="30"/>
  <c r="P1511" i="30"/>
  <c r="P1509" i="30"/>
  <c r="T1510" i="30"/>
  <c r="G1511" i="30"/>
  <c r="O1510" i="30"/>
  <c r="H1510" i="30"/>
  <c r="S1510" i="30"/>
  <c r="T1511" i="30"/>
  <c r="T1509" i="30"/>
  <c r="M1508" i="30"/>
  <c r="N1509" i="30"/>
  <c r="N1508" i="30"/>
  <c r="I1509" i="30"/>
  <c r="Q1508" i="30"/>
  <c r="J1508" i="30"/>
  <c r="I1510" i="30"/>
  <c r="S1511" i="30"/>
  <c r="I1511" i="30"/>
  <c r="M1510" i="30"/>
  <c r="H1508" i="30"/>
  <c r="M1509" i="30"/>
  <c r="O1508" i="30"/>
  <c r="I1508" i="30"/>
  <c r="G1508" i="30"/>
  <c r="N1510" i="30"/>
  <c r="Q1510" i="30"/>
  <c r="P1508" i="30"/>
  <c r="J1509" i="30"/>
  <c r="S1508" i="30"/>
  <c r="O1511" i="30"/>
  <c r="P1510" i="30"/>
  <c r="O1509" i="30"/>
  <c r="G1510" i="30"/>
  <c r="L1510" i="30"/>
  <c r="K1509" i="30"/>
  <c r="J1510" i="30"/>
  <c r="R1510" i="30"/>
  <c r="R1509" i="30"/>
  <c r="M1511" i="30"/>
  <c r="U2587" i="30"/>
  <c r="G2586" i="30"/>
  <c r="U2586" i="30" s="1"/>
  <c r="S466" i="32"/>
  <c r="I46" i="31" s="1"/>
  <c r="S465" i="32"/>
  <c r="H46" i="31" s="1"/>
  <c r="U2092" i="30"/>
  <c r="Q400" i="32" s="1"/>
  <c r="U2089" i="30"/>
  <c r="N400" i="32" s="1"/>
  <c r="U2094" i="30"/>
  <c r="S400" i="32" s="1"/>
  <c r="U2268" i="30"/>
  <c r="S163" i="13"/>
  <c r="BE163" i="13" s="1"/>
  <c r="BG163" i="13" s="1"/>
  <c r="BH163" i="13" s="1"/>
  <c r="BE183" i="13"/>
  <c r="BG183" i="13" s="1"/>
  <c r="BH183" i="13" s="1"/>
  <c r="R1483" i="30"/>
  <c r="N1481" i="30"/>
  <c r="J1479" i="30"/>
  <c r="R1484" i="30"/>
  <c r="N1482" i="30"/>
  <c r="J1480" i="30"/>
  <c r="T1477" i="30"/>
  <c r="O1482" i="30"/>
  <c r="G1478" i="30"/>
  <c r="K1481" i="30"/>
  <c r="O1484" i="30"/>
  <c r="G1480" i="30"/>
  <c r="I1478" i="30"/>
  <c r="G1477" i="30"/>
  <c r="J1483" i="30"/>
  <c r="T1480" i="30"/>
  <c r="P1478" i="30"/>
  <c r="J1484" i="30"/>
  <c r="T1481" i="30"/>
  <c r="P1479" i="30"/>
  <c r="L1477" i="30"/>
  <c r="M1481" i="30"/>
  <c r="Q1484" i="30"/>
  <c r="I1480" i="30"/>
  <c r="M1483" i="30"/>
  <c r="S1478" i="30"/>
  <c r="I1482" i="30"/>
  <c r="G1481" i="30"/>
  <c r="T1482" i="30"/>
  <c r="P1480" i="30"/>
  <c r="L1478" i="30"/>
  <c r="T1483" i="30"/>
  <c r="P1481" i="30"/>
  <c r="L1479" i="30"/>
  <c r="H1477" i="30"/>
  <c r="S1480" i="30"/>
  <c r="I1484" i="30"/>
  <c r="O1479" i="30"/>
  <c r="S1482" i="30"/>
  <c r="K1478" i="30"/>
  <c r="S1479" i="30"/>
  <c r="Q1478" i="30"/>
  <c r="T1484" i="30"/>
  <c r="R1481" i="30"/>
  <c r="R1477" i="30"/>
  <c r="J1482" i="30"/>
  <c r="N1478" i="30"/>
  <c r="K1480" i="30"/>
  <c r="S1481" i="30"/>
  <c r="Q1481" i="30"/>
  <c r="M1484" i="30"/>
  <c r="P1484" i="30"/>
  <c r="J1481" i="30"/>
  <c r="N1477" i="30"/>
  <c r="L1481" i="30"/>
  <c r="J1478" i="30"/>
  <c r="Q1479" i="30"/>
  <c r="Q1480" i="30"/>
  <c r="I1481" i="30"/>
  <c r="O1477" i="30"/>
  <c r="L1484" i="30"/>
  <c r="L1480" i="30"/>
  <c r="J1477" i="30"/>
  <c r="H1481" i="30"/>
  <c r="P1477" i="30"/>
  <c r="I1479" i="30"/>
  <c r="G1479" i="30"/>
  <c r="O1480" i="30"/>
  <c r="S1483" i="30"/>
  <c r="N1483" i="30"/>
  <c r="R1479" i="30"/>
  <c r="P1483" i="30"/>
  <c r="N1480" i="30"/>
  <c r="K1484" i="30"/>
  <c r="M1477" i="30"/>
  <c r="S1477" i="30"/>
  <c r="Q1477" i="30"/>
  <c r="K1479" i="30"/>
  <c r="P1482" i="30"/>
  <c r="N1479" i="30"/>
  <c r="L1483" i="30"/>
  <c r="T1479" i="30"/>
  <c r="Q1483" i="30"/>
  <c r="O1483" i="30"/>
  <c r="K1477" i="30"/>
  <c r="I1477" i="30"/>
  <c r="K1483" i="30"/>
  <c r="H1482" i="30"/>
  <c r="H1479" i="30"/>
  <c r="M1478" i="30"/>
  <c r="H1480" i="30"/>
  <c r="R1478" i="30"/>
  <c r="G1484" i="30"/>
  <c r="T1478" i="30"/>
  <c r="S1484" i="30"/>
  <c r="K1482" i="30"/>
  <c r="H1478" i="30"/>
  <c r="I1483" i="30"/>
  <c r="M1479" i="30"/>
  <c r="N1484" i="30"/>
  <c r="G1482" i="30"/>
  <c r="Q1482" i="30"/>
  <c r="H1483" i="30"/>
  <c r="O1478" i="30"/>
  <c r="M1480" i="30"/>
  <c r="H1484" i="30"/>
  <c r="R1482" i="30"/>
  <c r="G1483" i="30"/>
  <c r="O1481" i="30"/>
  <c r="M1482" i="30"/>
  <c r="L1482" i="30"/>
  <c r="R1480" i="30"/>
  <c r="P11" i="13"/>
  <c r="R11" i="13" s="1"/>
  <c r="S11" i="13" s="1"/>
  <c r="J2104" i="30"/>
  <c r="R2106" i="30"/>
  <c r="G2104" i="30"/>
  <c r="J2105" i="30"/>
  <c r="K2106" i="30"/>
  <c r="T2103" i="30"/>
  <c r="J2106" i="30"/>
  <c r="M2103" i="30"/>
  <c r="T2105" i="30"/>
  <c r="L2106" i="30"/>
  <c r="Q2106" i="30"/>
  <c r="K2104" i="30"/>
  <c r="M2106" i="30"/>
  <c r="R2104" i="30"/>
  <c r="M2104" i="30"/>
  <c r="H2104" i="30"/>
  <c r="Q2104" i="30"/>
  <c r="M2105" i="30"/>
  <c r="Q2105" i="30"/>
  <c r="G2105" i="30"/>
  <c r="P2106" i="30"/>
  <c r="P2105" i="30"/>
  <c r="J2103" i="30"/>
  <c r="N2103" i="30"/>
  <c r="I2104" i="30"/>
  <c r="O2103" i="30"/>
  <c r="P2103" i="30"/>
  <c r="S2103" i="30"/>
  <c r="Q2103" i="30"/>
  <c r="T2106" i="30"/>
  <c r="N2104" i="30"/>
  <c r="I2106" i="30"/>
  <c r="G2103" i="30"/>
  <c r="N2106" i="30"/>
  <c r="K2103" i="30"/>
  <c r="H2105" i="30"/>
  <c r="L2104" i="30"/>
  <c r="H2106" i="30"/>
  <c r="O2106" i="30"/>
  <c r="P2104" i="30"/>
  <c r="R2103" i="30"/>
  <c r="G2106" i="30"/>
  <c r="K2105" i="30"/>
  <c r="I2103" i="30"/>
  <c r="S2104" i="30"/>
  <c r="S2106" i="30"/>
  <c r="O2105" i="30"/>
  <c r="S2105" i="30"/>
  <c r="R2105" i="30"/>
  <c r="H2103" i="30"/>
  <c r="I2105" i="30"/>
  <c r="N2105" i="30"/>
  <c r="L2103" i="30"/>
  <c r="O2104" i="30"/>
  <c r="L2105" i="30"/>
  <c r="T2104" i="30"/>
  <c r="U2448" i="30"/>
  <c r="P449" i="32" s="1"/>
  <c r="U2451" i="30"/>
  <c r="S449" i="32" s="1"/>
  <c r="G2056" i="30" a="1"/>
  <c r="L2470" i="30"/>
  <c r="N2468" i="30"/>
  <c r="Q2470" i="30"/>
  <c r="R2471" i="30"/>
  <c r="M2468" i="30"/>
  <c r="M2471" i="30"/>
  <c r="Q2469" i="30"/>
  <c r="G2469" i="30"/>
  <c r="R2468" i="30"/>
  <c r="T2470" i="30"/>
  <c r="M2469" i="30"/>
  <c r="O2471" i="30"/>
  <c r="M2470" i="30"/>
  <c r="P2469" i="30"/>
  <c r="P2468" i="30"/>
  <c r="O2469" i="30"/>
  <c r="I2469" i="30"/>
  <c r="J2469" i="30"/>
  <c r="H2468" i="30"/>
  <c r="H2471" i="30"/>
  <c r="J2470" i="30"/>
  <c r="J2468" i="30"/>
  <c r="K2470" i="30"/>
  <c r="L2471" i="30"/>
  <c r="S2471" i="30"/>
  <c r="G2468" i="30"/>
  <c r="H2470" i="30"/>
  <c r="I2471" i="30"/>
  <c r="N2471" i="30"/>
  <c r="T2468" i="30"/>
  <c r="O2470" i="30"/>
  <c r="H2469" i="30"/>
  <c r="S2470" i="30"/>
  <c r="N2470" i="30"/>
  <c r="N2469" i="30"/>
  <c r="O2468" i="30"/>
  <c r="G2471" i="30"/>
  <c r="Q2468" i="30"/>
  <c r="L2469" i="30"/>
  <c r="T2469" i="30"/>
  <c r="L2468" i="30"/>
  <c r="S2468" i="30"/>
  <c r="J2471" i="30"/>
  <c r="T2471" i="30"/>
  <c r="I2470" i="30"/>
  <c r="K2471" i="30"/>
  <c r="P2470" i="30"/>
  <c r="G2470" i="30"/>
  <c r="Q2471" i="30"/>
  <c r="K2469" i="30"/>
  <c r="I2468" i="30"/>
  <c r="R2470" i="30"/>
  <c r="K2468" i="30"/>
  <c r="S2469" i="30"/>
  <c r="P2471" i="30"/>
  <c r="R2469" i="30"/>
  <c r="G1848" i="30" a="1"/>
  <c r="AW434" i="13"/>
  <c r="AX434" i="13" s="1"/>
  <c r="G2672" i="30" a="1"/>
  <c r="G2511" i="30" a="1"/>
  <c r="AU285" i="13"/>
  <c r="AW285" i="13" s="1"/>
  <c r="AX285" i="13" s="1"/>
  <c r="Q286" i="13"/>
  <c r="AU286" i="13" s="1"/>
  <c r="AW286" i="13" s="1"/>
  <c r="AX286" i="13" s="1"/>
  <c r="U2482" i="30"/>
  <c r="U2483" i="30" s="1"/>
  <c r="T1899" i="30"/>
  <c r="J1900" i="30"/>
  <c r="H1901" i="30"/>
  <c r="P1900" i="30"/>
  <c r="P1901" i="30"/>
  <c r="J1901" i="30"/>
  <c r="H1899" i="30"/>
  <c r="R1902" i="30"/>
  <c r="G1899" i="30"/>
  <c r="M1902" i="30"/>
  <c r="L1899" i="30"/>
  <c r="N1900" i="30"/>
  <c r="I1899" i="30"/>
  <c r="L1901" i="30"/>
  <c r="I1900" i="30"/>
  <c r="G1902" i="30"/>
  <c r="S1900" i="30"/>
  <c r="R1899" i="30"/>
  <c r="J1899" i="30"/>
  <c r="J1902" i="30"/>
  <c r="K1899" i="30"/>
  <c r="P1902" i="30"/>
  <c r="H1902" i="30"/>
  <c r="K1902" i="30"/>
  <c r="K1900" i="30"/>
  <c r="T1900" i="30"/>
  <c r="L1902" i="30"/>
  <c r="M1900" i="30"/>
  <c r="P1899" i="30"/>
  <c r="N1902" i="30"/>
  <c r="S1902" i="30"/>
  <c r="T1902" i="30"/>
  <c r="I1902" i="30"/>
  <c r="Q1899" i="30"/>
  <c r="H1900" i="30"/>
  <c r="L1900" i="30"/>
  <c r="G1900" i="30"/>
  <c r="I1901" i="30"/>
  <c r="K1901" i="30"/>
  <c r="O1899" i="30"/>
  <c r="Q1901" i="30"/>
  <c r="N1899" i="30"/>
  <c r="S1899" i="30"/>
  <c r="O1900" i="30"/>
  <c r="O1901" i="30"/>
  <c r="R1900" i="30"/>
  <c r="M1899" i="30"/>
  <c r="O1902" i="30"/>
  <c r="G1901" i="30"/>
  <c r="M1901" i="30"/>
  <c r="Q1902" i="30"/>
  <c r="S1901" i="30"/>
  <c r="R1901" i="30"/>
  <c r="N1901" i="30"/>
  <c r="Q1900" i="30"/>
  <c r="T1901" i="30"/>
  <c r="S894" i="13"/>
  <c r="AZ534" i="13"/>
  <c r="R548" i="13"/>
  <c r="G2037" i="30" a="1"/>
  <c r="R894" i="13"/>
  <c r="U1755" i="30"/>
  <c r="BL211" i="13"/>
  <c r="BM211" i="13" s="1"/>
  <c r="M55" i="13" s="1"/>
  <c r="K55" i="13"/>
  <c r="U1886" i="30"/>
  <c r="O372" i="32" s="1"/>
  <c r="U2656" i="30"/>
  <c r="T477" i="32" s="1"/>
  <c r="U2655" i="30"/>
  <c r="S477" i="32" s="1"/>
  <c r="G1339" i="30" a="1"/>
  <c r="G1746" i="30" a="1"/>
  <c r="J1586" i="30"/>
  <c r="T1583" i="30"/>
  <c r="P1581" i="30"/>
  <c r="L1579" i="30"/>
  <c r="G1585" i="30"/>
  <c r="Q1582" i="30"/>
  <c r="M1580" i="30"/>
  <c r="L1586" i="30"/>
  <c r="H1584" i="30"/>
  <c r="R1581" i="30"/>
  <c r="N1579" i="30"/>
  <c r="Q1579" i="30"/>
  <c r="G1586" i="30"/>
  <c r="K1582" i="30"/>
  <c r="T1585" i="30"/>
  <c r="P1583" i="30"/>
  <c r="L1581" i="30"/>
  <c r="H1579" i="30"/>
  <c r="Q1584" i="30"/>
  <c r="M1582" i="30"/>
  <c r="I1580" i="30"/>
  <c r="H1586" i="30"/>
  <c r="R1583" i="30"/>
  <c r="N1581" i="30"/>
  <c r="J1579" i="30"/>
  <c r="K1586" i="30"/>
  <c r="S1584" i="30"/>
  <c r="Q1585" i="30"/>
  <c r="P1585" i="30"/>
  <c r="L1583" i="30"/>
  <c r="H1581" i="30"/>
  <c r="Q1586" i="30"/>
  <c r="M1584" i="30"/>
  <c r="I1582" i="30"/>
  <c r="S1579" i="30"/>
  <c r="R1585" i="30"/>
  <c r="N1583" i="30"/>
  <c r="J1581" i="30"/>
  <c r="O1586" i="30"/>
  <c r="I1585" i="30"/>
  <c r="Q1583" i="30"/>
  <c r="I1581" i="30"/>
  <c r="L1585" i="30"/>
  <c r="H1583" i="30"/>
  <c r="R1580" i="30"/>
  <c r="M1586" i="30"/>
  <c r="I1584" i="30"/>
  <c r="S1581" i="30"/>
  <c r="O1579" i="30"/>
  <c r="N1585" i="30"/>
  <c r="J1583" i="30"/>
  <c r="T1580" i="30"/>
  <c r="M1585" i="30"/>
  <c r="G1584" i="30"/>
  <c r="O1582" i="30"/>
  <c r="O1584" i="30"/>
  <c r="R1584" i="30"/>
  <c r="J1580" i="30"/>
  <c r="O1583" i="30"/>
  <c r="G1579" i="30"/>
  <c r="P1582" i="30"/>
  <c r="I1583" i="30"/>
  <c r="K1580" i="30"/>
  <c r="N1584" i="30"/>
  <c r="T1579" i="30"/>
  <c r="K1583" i="30"/>
  <c r="T1586" i="30"/>
  <c r="L1582" i="30"/>
  <c r="G1582" i="30"/>
  <c r="I1579" i="30"/>
  <c r="J1584" i="30"/>
  <c r="P1579" i="30"/>
  <c r="G1583" i="30"/>
  <c r="P1586" i="30"/>
  <c r="H1582" i="30"/>
  <c r="S1580" i="30"/>
  <c r="S1586" i="30"/>
  <c r="N1582" i="30"/>
  <c r="S1585" i="30"/>
  <c r="K1581" i="30"/>
  <c r="T1584" i="30"/>
  <c r="L1580" i="30"/>
  <c r="Q1581" i="30"/>
  <c r="M1583" i="30"/>
  <c r="R1586" i="30"/>
  <c r="J1582" i="30"/>
  <c r="O1585" i="30"/>
  <c r="G1581" i="30"/>
  <c r="P1584" i="30"/>
  <c r="H1580" i="30"/>
  <c r="O1580" i="30"/>
  <c r="R1582" i="30"/>
  <c r="K1579" i="30"/>
  <c r="M1579" i="30"/>
  <c r="T1581" i="30"/>
  <c r="J1585" i="30"/>
  <c r="M1581" i="30"/>
  <c r="N1580" i="30"/>
  <c r="L1584" i="30"/>
  <c r="G1580" i="30"/>
  <c r="I1586" i="30"/>
  <c r="T1582" i="30"/>
  <c r="K1585" i="30"/>
  <c r="P1580" i="30"/>
  <c r="S1583" i="30"/>
  <c r="R1579" i="30"/>
  <c r="N1586" i="30"/>
  <c r="O1581" i="30"/>
  <c r="K1584" i="30"/>
  <c r="H1585" i="30"/>
  <c r="Q1580" i="30"/>
  <c r="S1582" i="30"/>
  <c r="U2753" i="30"/>
  <c r="O491" i="32" s="1"/>
  <c r="U2264" i="30"/>
  <c r="O423" i="32"/>
  <c r="G2221" i="30" a="1"/>
  <c r="G2829" i="30" a="1"/>
  <c r="U1514" i="30"/>
  <c r="U1515" i="30" s="1"/>
  <c r="G1602" i="30" a="1"/>
  <c r="P36" i="13"/>
  <c r="R36" i="13" s="1"/>
  <c r="S36" i="13" s="1"/>
  <c r="B13" i="27"/>
  <c r="U1989" i="30"/>
  <c r="P386" i="32" s="1"/>
  <c r="AH271" i="13"/>
  <c r="AI271" i="13" s="1"/>
  <c r="T329" i="13"/>
  <c r="BJ329" i="13" s="1"/>
  <c r="BL329" i="13" s="1"/>
  <c r="BM329" i="13" s="1"/>
  <c r="BJ328" i="13"/>
  <c r="BL328" i="13" s="1"/>
  <c r="BM328" i="13" s="1"/>
  <c r="G1966" i="30" a="1"/>
  <c r="U2282" i="30"/>
  <c r="U2283" i="30" s="1"/>
  <c r="Q309" i="13"/>
  <c r="AU309" i="13" s="1"/>
  <c r="AW309" i="13" s="1"/>
  <c r="AX309" i="13" s="1"/>
  <c r="AU308" i="13"/>
  <c r="AW308" i="13" s="1"/>
  <c r="AX308" i="13" s="1"/>
  <c r="Q205" i="13"/>
  <c r="AU191" i="13"/>
  <c r="S191" i="13"/>
  <c r="G2825" i="30" a="1"/>
  <c r="S2553" i="30"/>
  <c r="O2551" i="30"/>
  <c r="K2549" i="30"/>
  <c r="O2554" i="30"/>
  <c r="N2551" i="30"/>
  <c r="N2548" i="30"/>
  <c r="Q2553" i="30"/>
  <c r="P2550" i="30"/>
  <c r="P2547" i="30"/>
  <c r="S2552" i="30"/>
  <c r="R2549" i="30"/>
  <c r="P2554" i="30"/>
  <c r="J2551" i="30"/>
  <c r="N2550" i="30"/>
  <c r="O2553" i="30"/>
  <c r="K2551" i="30"/>
  <c r="G2549" i="30"/>
  <c r="J2554" i="30"/>
  <c r="I2551" i="30"/>
  <c r="H2548" i="30"/>
  <c r="L2553" i="30"/>
  <c r="K2550" i="30"/>
  <c r="K2547" i="30"/>
  <c r="N2552" i="30"/>
  <c r="M2549" i="30"/>
  <c r="I2553" i="30"/>
  <c r="Q2549" i="30"/>
  <c r="T2548" i="30"/>
  <c r="K2553" i="30"/>
  <c r="G2551" i="30"/>
  <c r="Q2548" i="30"/>
  <c r="R2553" i="30"/>
  <c r="R2550" i="30"/>
  <c r="Q2547" i="30"/>
  <c r="T2552" i="30"/>
  <c r="T2549" i="30"/>
  <c r="G2547" i="30"/>
  <c r="H2552" i="30"/>
  <c r="H2549" i="30"/>
  <c r="P2551" i="30"/>
  <c r="J2548" i="30"/>
  <c r="N2553" i="30"/>
  <c r="G2553" i="30"/>
  <c r="Q2550" i="30"/>
  <c r="M2548" i="30"/>
  <c r="M2553" i="30"/>
  <c r="L2550" i="30"/>
  <c r="L2547" i="30"/>
  <c r="O2552" i="30"/>
  <c r="N2549" i="30"/>
  <c r="R2554" i="30"/>
  <c r="Q2551" i="30"/>
  <c r="P2548" i="30"/>
  <c r="H2550" i="30"/>
  <c r="T2553" i="30"/>
  <c r="M2547" i="30"/>
  <c r="Q2552" i="30"/>
  <c r="M2550" i="30"/>
  <c r="I2548" i="30"/>
  <c r="H2553" i="30"/>
  <c r="G2550" i="30"/>
  <c r="H2547" i="30"/>
  <c r="J2552" i="30"/>
  <c r="I2549" i="30"/>
  <c r="L2554" i="30"/>
  <c r="L2551" i="30"/>
  <c r="K2548" i="30"/>
  <c r="O2548" i="30"/>
  <c r="L2552" i="30"/>
  <c r="G2552" i="30"/>
  <c r="Q2554" i="30"/>
  <c r="M2552" i="30"/>
  <c r="I2550" i="30"/>
  <c r="S2547" i="30"/>
  <c r="P2552" i="30"/>
  <c r="P2549" i="30"/>
  <c r="S2554" i="30"/>
  <c r="R2551" i="30"/>
  <c r="R2548" i="30"/>
  <c r="G2554" i="30"/>
  <c r="T2550" i="30"/>
  <c r="T2547" i="30"/>
  <c r="I2547" i="30"/>
  <c r="S2550" i="30"/>
  <c r="M2554" i="30"/>
  <c r="I2552" i="30"/>
  <c r="S2549" i="30"/>
  <c r="O2547" i="30"/>
  <c r="K2552" i="30"/>
  <c r="J2549" i="30"/>
  <c r="N2554" i="30"/>
  <c r="M2551" i="30"/>
  <c r="L2548" i="30"/>
  <c r="P2553" i="30"/>
  <c r="O2550" i="30"/>
  <c r="N2547" i="30"/>
  <c r="K2554" i="30"/>
  <c r="L2549" i="30"/>
  <c r="H2551" i="30"/>
  <c r="S2551" i="30"/>
  <c r="J2553" i="30"/>
  <c r="O2549" i="30"/>
  <c r="J2550" i="30"/>
  <c r="G2548" i="30"/>
  <c r="T2554" i="30"/>
  <c r="J2547" i="30"/>
  <c r="I2554" i="30"/>
  <c r="T2551" i="30"/>
  <c r="R2552" i="30"/>
  <c r="S2548" i="30"/>
  <c r="R2547" i="30"/>
  <c r="H2554" i="30"/>
  <c r="G2676" i="30" a="1"/>
  <c r="U2093" i="30"/>
  <c r="R400" i="32" s="1"/>
  <c r="U2792" i="30"/>
  <c r="U2793" i="30" s="1"/>
  <c r="B26" i="27"/>
  <c r="BB728" i="13"/>
  <c r="BC728" i="13" s="1"/>
  <c r="AU368" i="13"/>
  <c r="AW368" i="13" s="1"/>
  <c r="AX368" i="13" s="1"/>
  <c r="Q369" i="13"/>
  <c r="AU369" i="13" s="1"/>
  <c r="AW369" i="13" s="1"/>
  <c r="AX369" i="13" s="1"/>
  <c r="AF408" i="13"/>
  <c r="AH408" i="13" s="1"/>
  <c r="AI408" i="13" s="1"/>
  <c r="N409" i="13"/>
  <c r="AF409" i="13" s="1"/>
  <c r="AH409" i="13" s="1"/>
  <c r="AI409" i="13" s="1"/>
  <c r="G2382" i="30" a="1"/>
  <c r="J2475" i="30" l="1"/>
  <c r="R2475" i="30"/>
  <c r="Q2475" i="30"/>
  <c r="T2472" i="30"/>
  <c r="R2473" i="30"/>
  <c r="O2472" i="30"/>
  <c r="Q2474" i="30"/>
  <c r="G2472" i="30"/>
  <c r="T1505" i="30"/>
  <c r="L2614" i="30"/>
  <c r="T2473" i="30"/>
  <c r="L2473" i="30"/>
  <c r="N2474" i="30"/>
  <c r="S2473" i="30"/>
  <c r="H2475" i="30"/>
  <c r="R2472" i="30"/>
  <c r="S2474" i="30"/>
  <c r="S388" i="32"/>
  <c r="H35" i="31" s="1"/>
  <c r="R2614" i="30"/>
  <c r="S389" i="32"/>
  <c r="I35" i="31" s="1"/>
  <c r="G2474" i="30"/>
  <c r="L2475" i="30"/>
  <c r="L2474" i="30"/>
  <c r="G2475" i="30"/>
  <c r="O2475" i="30"/>
  <c r="N2472" i="30"/>
  <c r="K1548" i="30"/>
  <c r="I1547" i="30"/>
  <c r="O381" i="32"/>
  <c r="I2632" i="30"/>
  <c r="U2562" i="30"/>
  <c r="S2629" i="30"/>
  <c r="O1549" i="30"/>
  <c r="Q1547" i="30"/>
  <c r="N1547" i="30"/>
  <c r="T1550" i="30"/>
  <c r="S1549" i="30"/>
  <c r="J1547" i="30"/>
  <c r="Q2632" i="30"/>
  <c r="P1548" i="30"/>
  <c r="Q1549" i="30"/>
  <c r="I1549" i="30"/>
  <c r="M1550" i="30"/>
  <c r="S1547" i="30"/>
  <c r="T1549" i="30"/>
  <c r="M2630" i="30"/>
  <c r="R1549" i="30"/>
  <c r="L1548" i="30"/>
  <c r="M1548" i="30"/>
  <c r="R1547" i="30"/>
  <c r="J1548" i="30"/>
  <c r="L1549" i="30"/>
  <c r="R2630" i="30"/>
  <c r="J1507" i="30"/>
  <c r="L2780" i="30"/>
  <c r="L2053" i="30"/>
  <c r="J2524" i="30"/>
  <c r="S2428" i="30"/>
  <c r="R1305" i="30"/>
  <c r="T2428" i="30"/>
  <c r="K1559" i="30"/>
  <c r="M2052" i="30"/>
  <c r="G2525" i="30"/>
  <c r="S1917" i="30"/>
  <c r="T1506" i="30"/>
  <c r="P2780" i="30"/>
  <c r="Q2780" i="30"/>
  <c r="H2426" i="30"/>
  <c r="G2426" i="30"/>
  <c r="H1559" i="30"/>
  <c r="J1305" i="30"/>
  <c r="N1507" i="30"/>
  <c r="S2778" i="30"/>
  <c r="G2778" i="30"/>
  <c r="O2426" i="30"/>
  <c r="L2425" i="30"/>
  <c r="R1304" i="30"/>
  <c r="L1504" i="30"/>
  <c r="K1505" i="30"/>
  <c r="H2779" i="30"/>
  <c r="T2779" i="30"/>
  <c r="L2426" i="30"/>
  <c r="Q2427" i="30"/>
  <c r="S1506" i="30"/>
  <c r="M1504" i="30"/>
  <c r="T2778" i="30"/>
  <c r="Q2781" i="30"/>
  <c r="K2427" i="30"/>
  <c r="P2427" i="30"/>
  <c r="R1504" i="30"/>
  <c r="G1504" i="30"/>
  <c r="M2781" i="30"/>
  <c r="O2780" i="30"/>
  <c r="N2425" i="30"/>
  <c r="I1562" i="30"/>
  <c r="P2631" i="30"/>
  <c r="L1506" i="30"/>
  <c r="Q1504" i="30"/>
  <c r="M2778" i="30"/>
  <c r="P2778" i="30"/>
  <c r="I2428" i="30"/>
  <c r="S1559" i="30"/>
  <c r="H1507" i="30"/>
  <c r="M1507" i="30"/>
  <c r="K2778" i="30"/>
  <c r="O2427" i="30"/>
  <c r="I2427" i="30"/>
  <c r="J1561" i="30"/>
  <c r="N1304" i="30"/>
  <c r="K2665" i="30"/>
  <c r="I2666" i="30"/>
  <c r="R2667" i="30"/>
  <c r="J2665" i="30"/>
  <c r="Q2664" i="30"/>
  <c r="T2666" i="30"/>
  <c r="P2667" i="30"/>
  <c r="J1867" i="30"/>
  <c r="T1867" i="30"/>
  <c r="Q1867" i="30"/>
  <c r="G1867" i="30"/>
  <c r="K1864" i="30"/>
  <c r="M1867" i="30"/>
  <c r="S1864" i="30"/>
  <c r="S473" i="32"/>
  <c r="I47" i="31" s="1"/>
  <c r="S2053" i="30"/>
  <c r="R2053" i="30"/>
  <c r="S2055" i="30"/>
  <c r="I2054" i="30"/>
  <c r="N2052" i="30"/>
  <c r="H2054" i="30"/>
  <c r="T2055" i="30"/>
  <c r="J2616" i="30"/>
  <c r="G2524" i="30"/>
  <c r="M2525" i="30"/>
  <c r="I2525" i="30"/>
  <c r="Q2526" i="30"/>
  <c r="T2523" i="30"/>
  <c r="L2526" i="30"/>
  <c r="P2524" i="30"/>
  <c r="L1917" i="30"/>
  <c r="L1916" i="30"/>
  <c r="G2055" i="30"/>
  <c r="P2053" i="30"/>
  <c r="Q2054" i="30"/>
  <c r="M2054" i="30"/>
  <c r="L2055" i="30"/>
  <c r="T2052" i="30"/>
  <c r="M2053" i="30"/>
  <c r="H2615" i="30"/>
  <c r="R2523" i="30"/>
  <c r="K2523" i="30"/>
  <c r="H2526" i="30"/>
  <c r="K2525" i="30"/>
  <c r="O2524" i="30"/>
  <c r="H2525" i="30"/>
  <c r="T2526" i="30"/>
  <c r="I1917" i="30"/>
  <c r="R1916" i="30"/>
  <c r="M2631" i="30"/>
  <c r="N2631" i="30"/>
  <c r="J1865" i="30"/>
  <c r="M2055" i="30"/>
  <c r="L2054" i="30"/>
  <c r="H2052" i="30"/>
  <c r="P2052" i="30"/>
  <c r="K2054" i="30"/>
  <c r="R2055" i="30"/>
  <c r="K2053" i="30"/>
  <c r="N2524" i="30"/>
  <c r="P2525" i="30"/>
  <c r="K2524" i="30"/>
  <c r="L2525" i="30"/>
  <c r="I2524" i="30"/>
  <c r="O2525" i="30"/>
  <c r="M2523" i="30"/>
  <c r="G1916" i="30"/>
  <c r="I1918" i="30"/>
  <c r="M2667" i="30"/>
  <c r="S2666" i="30"/>
  <c r="S2667" i="30"/>
  <c r="P2664" i="30"/>
  <c r="T2665" i="30"/>
  <c r="K2664" i="30"/>
  <c r="L2664" i="30"/>
  <c r="M1866" i="30"/>
  <c r="K1866" i="30"/>
  <c r="Q1864" i="30"/>
  <c r="H1866" i="30"/>
  <c r="R1864" i="30"/>
  <c r="T1866" i="30"/>
  <c r="N2664" i="30"/>
  <c r="N2666" i="30"/>
  <c r="M479" i="32" s="1"/>
  <c r="I2665" i="30"/>
  <c r="L2666" i="30"/>
  <c r="P2666" i="30"/>
  <c r="O2664" i="30"/>
  <c r="R2665" i="30"/>
  <c r="N1867" i="30"/>
  <c r="O1866" i="30"/>
  <c r="R1867" i="30"/>
  <c r="R1866" i="30"/>
  <c r="S1866" i="30"/>
  <c r="G1864" i="30"/>
  <c r="S1867" i="30"/>
  <c r="G2637" i="30"/>
  <c r="U2637" i="30" s="1"/>
  <c r="U2639" i="30" s="1"/>
  <c r="U2640" i="30" s="1"/>
  <c r="O2055" i="30"/>
  <c r="I2052" i="30"/>
  <c r="R2054" i="30"/>
  <c r="H2055" i="30"/>
  <c r="O2052" i="30"/>
  <c r="G2052" i="30"/>
  <c r="I2055" i="30"/>
  <c r="N2526" i="30"/>
  <c r="T2524" i="30"/>
  <c r="H2524" i="30"/>
  <c r="L2524" i="30"/>
  <c r="H2523" i="30"/>
  <c r="N2525" i="30"/>
  <c r="J2523" i="30"/>
  <c r="K1917" i="30"/>
  <c r="M2629" i="30"/>
  <c r="S2631" i="30"/>
  <c r="H2667" i="30"/>
  <c r="G2664" i="30"/>
  <c r="P2665" i="30"/>
  <c r="S2665" i="30"/>
  <c r="T2664" i="30"/>
  <c r="G2667" i="30"/>
  <c r="S2664" i="30"/>
  <c r="J1864" i="30"/>
  <c r="L1864" i="30"/>
  <c r="K1867" i="30"/>
  <c r="P1865" i="30"/>
  <c r="P1864" i="30"/>
  <c r="U1864" i="30" s="1"/>
  <c r="T1865" i="30"/>
  <c r="I1865" i="30"/>
  <c r="O2054" i="30"/>
  <c r="G2054" i="30"/>
  <c r="N2053" i="30"/>
  <c r="Q2052" i="30"/>
  <c r="O2053" i="30"/>
  <c r="J2053" i="30"/>
  <c r="T2053" i="30"/>
  <c r="O1548" i="30"/>
  <c r="O1550" i="30"/>
  <c r="M1549" i="30"/>
  <c r="M1547" i="30"/>
  <c r="N1549" i="30"/>
  <c r="N325" i="32" s="1"/>
  <c r="Q1548" i="30"/>
  <c r="Q2613" i="30"/>
  <c r="G2526" i="30"/>
  <c r="O2526" i="30"/>
  <c r="M2524" i="30"/>
  <c r="R2526" i="30"/>
  <c r="S2523" i="30"/>
  <c r="J2526" i="30"/>
  <c r="R2525" i="30"/>
  <c r="S1916" i="30"/>
  <c r="P2632" i="30"/>
  <c r="G2484" i="30"/>
  <c r="U2484" i="30" s="1"/>
  <c r="J2666" i="30"/>
  <c r="O2666" i="30"/>
  <c r="Q2666" i="30"/>
  <c r="K2666" i="30"/>
  <c r="R2664" i="30"/>
  <c r="J2664" i="30"/>
  <c r="Q2665" i="30"/>
  <c r="L1866" i="30"/>
  <c r="M1865" i="30"/>
  <c r="P1866" i="30"/>
  <c r="G1865" i="30"/>
  <c r="H1865" i="30"/>
  <c r="N1866" i="30"/>
  <c r="Q1865" i="30"/>
  <c r="P2054" i="30"/>
  <c r="K2055" i="30"/>
  <c r="L2052" i="30"/>
  <c r="T2054" i="30"/>
  <c r="K2052" i="30"/>
  <c r="Q2055" i="30"/>
  <c r="R2052" i="30"/>
  <c r="M2616" i="30"/>
  <c r="P2523" i="30"/>
  <c r="J2525" i="30"/>
  <c r="P458" i="32" s="1"/>
  <c r="I2526" i="30"/>
  <c r="N2523" i="30"/>
  <c r="M2526" i="30"/>
  <c r="T2525" i="30"/>
  <c r="O2523" i="30"/>
  <c r="K1918" i="30"/>
  <c r="J1918" i="30"/>
  <c r="R2666" i="30"/>
  <c r="O2667" i="30"/>
  <c r="H2666" i="30"/>
  <c r="H2665" i="30"/>
  <c r="I2667" i="30"/>
  <c r="Q2667" i="30"/>
  <c r="K1865" i="30"/>
  <c r="I1867" i="30"/>
  <c r="Q1866" i="30"/>
  <c r="I1866" i="30"/>
  <c r="H1867" i="30"/>
  <c r="L1867" i="30"/>
  <c r="J2055" i="30"/>
  <c r="P2055" i="30"/>
  <c r="I2053" i="30"/>
  <c r="H2053" i="30"/>
  <c r="J2054" i="30"/>
  <c r="N2055" i="30"/>
  <c r="Q2615" i="30"/>
  <c r="Q2525" i="30"/>
  <c r="Q2523" i="30"/>
  <c r="S2525" i="30"/>
  <c r="G2523" i="30"/>
  <c r="P2526" i="30"/>
  <c r="S2524" i="30"/>
  <c r="H1916" i="30"/>
  <c r="T1915" i="30"/>
  <c r="J2629" i="30"/>
  <c r="M465" i="32"/>
  <c r="U2563" i="30"/>
  <c r="M381" i="32"/>
  <c r="U1959" i="30"/>
  <c r="P2572" i="30"/>
  <c r="U1958" i="30"/>
  <c r="L1611" i="30"/>
  <c r="R2571" i="30"/>
  <c r="Q2067" i="30"/>
  <c r="R2629" i="30"/>
  <c r="M2632" i="30"/>
  <c r="L1613" i="30"/>
  <c r="P2573" i="30"/>
  <c r="Q2573" i="30"/>
  <c r="P1499" i="30"/>
  <c r="O2570" i="30"/>
  <c r="M1499" i="30"/>
  <c r="N2571" i="30"/>
  <c r="I2573" i="30"/>
  <c r="U1752" i="30"/>
  <c r="U1753" i="30" s="1"/>
  <c r="N354" i="32" s="1"/>
  <c r="K2631" i="30"/>
  <c r="M2313" i="30"/>
  <c r="T2312" i="30"/>
  <c r="Q2312" i="30"/>
  <c r="T2630" i="30"/>
  <c r="O388" i="32"/>
  <c r="G2314" i="30"/>
  <c r="M2205" i="30"/>
  <c r="I2313" i="30"/>
  <c r="O2311" i="30"/>
  <c r="N2579" i="30"/>
  <c r="Q403" i="32"/>
  <c r="H2205" i="30"/>
  <c r="P2205" i="30"/>
  <c r="M2207" i="30"/>
  <c r="L2576" i="30"/>
  <c r="I2208" i="30"/>
  <c r="N2208" i="30"/>
  <c r="P311" i="32"/>
  <c r="L2207" i="30"/>
  <c r="P2207" i="30"/>
  <c r="G2207" i="30"/>
  <c r="O2206" i="30"/>
  <c r="K2207" i="30"/>
  <c r="O2205" i="30"/>
  <c r="H2207" i="30"/>
  <c r="I2205" i="30"/>
  <c r="Q2205" i="30"/>
  <c r="R2205" i="30"/>
  <c r="L2206" i="30"/>
  <c r="T2206" i="30"/>
  <c r="T2207" i="30"/>
  <c r="M2208" i="30"/>
  <c r="G2206" i="30"/>
  <c r="I2371" i="30"/>
  <c r="K2630" i="30"/>
  <c r="O2632" i="30"/>
  <c r="R2631" i="30"/>
  <c r="H2206" i="30"/>
  <c r="L2208" i="30"/>
  <c r="R2207" i="30"/>
  <c r="I2207" i="30"/>
  <c r="T2208" i="30"/>
  <c r="Q2207" i="30"/>
  <c r="N2206" i="30"/>
  <c r="H2373" i="30"/>
  <c r="Q2629" i="30"/>
  <c r="G2629" i="30"/>
  <c r="O2630" i="30"/>
  <c r="J2207" i="30"/>
  <c r="I2206" i="30"/>
  <c r="P2208" i="30"/>
  <c r="Q2206" i="30"/>
  <c r="Q2208" i="30"/>
  <c r="T2205" i="30"/>
  <c r="K2208" i="30"/>
  <c r="G2208" i="30"/>
  <c r="S2207" i="30"/>
  <c r="G2205" i="30"/>
  <c r="P2206" i="30"/>
  <c r="H2208" i="30"/>
  <c r="O2208" i="30"/>
  <c r="J2206" i="30"/>
  <c r="R2208" i="30"/>
  <c r="K2205" i="30"/>
  <c r="J2208" i="30"/>
  <c r="S2208" i="30"/>
  <c r="J2205" i="30"/>
  <c r="N2205" i="30"/>
  <c r="N2207" i="30"/>
  <c r="T1502" i="30"/>
  <c r="I2317" i="30"/>
  <c r="S2581" i="30"/>
  <c r="S2206" i="30"/>
  <c r="M2206" i="30"/>
  <c r="S2205" i="30"/>
  <c r="L2205" i="30"/>
  <c r="R2206" i="30"/>
  <c r="O2207" i="30"/>
  <c r="R1500" i="30"/>
  <c r="S2630" i="30"/>
  <c r="N2632" i="30"/>
  <c r="R2632" i="30"/>
  <c r="K2632" i="30"/>
  <c r="U1856" i="30"/>
  <c r="I2570" i="30"/>
  <c r="J2570" i="30"/>
  <c r="G2570" i="30"/>
  <c r="P2570" i="30"/>
  <c r="I2572" i="30"/>
  <c r="K2572" i="30"/>
  <c r="S2572" i="30"/>
  <c r="I1497" i="30"/>
  <c r="Q1497" i="30"/>
  <c r="R1611" i="30"/>
  <c r="M1612" i="30"/>
  <c r="R2066" i="30"/>
  <c r="S2064" i="30"/>
  <c r="R2570" i="30"/>
  <c r="J2572" i="30"/>
  <c r="O2572" i="30"/>
  <c r="K2571" i="30"/>
  <c r="M2573" i="30"/>
  <c r="T2573" i="30"/>
  <c r="Q2570" i="30"/>
  <c r="K1496" i="30"/>
  <c r="R1499" i="30"/>
  <c r="O1610" i="30"/>
  <c r="T1610" i="30"/>
  <c r="H2064" i="30"/>
  <c r="Q2064" i="30"/>
  <c r="S479" i="32"/>
  <c r="H48" i="31" s="1"/>
  <c r="G2572" i="30"/>
  <c r="O2571" i="30"/>
  <c r="T2570" i="30"/>
  <c r="G2571" i="30"/>
  <c r="T2571" i="30"/>
  <c r="H2572" i="30"/>
  <c r="N2572" i="30"/>
  <c r="K1498" i="30"/>
  <c r="L1498" i="30"/>
  <c r="L1610" i="30"/>
  <c r="I1613" i="30"/>
  <c r="O2065" i="30"/>
  <c r="L2067" i="30"/>
  <c r="S480" i="32"/>
  <c r="I48" i="31" s="1"/>
  <c r="I2629" i="30"/>
  <c r="G2631" i="30"/>
  <c r="L2629" i="30"/>
  <c r="J2631" i="30"/>
  <c r="K2570" i="30"/>
  <c r="L2572" i="30"/>
  <c r="L2570" i="30"/>
  <c r="N2573" i="30"/>
  <c r="H2573" i="30"/>
  <c r="H2570" i="30"/>
  <c r="S2571" i="30"/>
  <c r="P1496" i="30"/>
  <c r="G1497" i="30"/>
  <c r="S1612" i="30"/>
  <c r="P1611" i="30"/>
  <c r="I2066" i="30"/>
  <c r="M2064" i="30"/>
  <c r="G2688" i="30"/>
  <c r="U2688" i="30" s="1"/>
  <c r="U2690" i="30" s="1"/>
  <c r="U2691" i="30" s="1"/>
  <c r="H1498" i="30"/>
  <c r="I1610" i="30"/>
  <c r="M1613" i="30"/>
  <c r="O2067" i="30"/>
  <c r="R2064" i="30"/>
  <c r="M2570" i="30"/>
  <c r="M2572" i="30"/>
  <c r="K2573" i="30"/>
  <c r="L2571" i="30"/>
  <c r="H2571" i="30"/>
  <c r="J2571" i="30"/>
  <c r="P2571" i="30"/>
  <c r="J2573" i="30"/>
  <c r="S2573" i="30"/>
  <c r="M2571" i="30"/>
  <c r="I1498" i="30"/>
  <c r="S1613" i="30"/>
  <c r="N2066" i="30"/>
  <c r="K2065" i="30"/>
  <c r="U1857" i="30"/>
  <c r="T2572" i="30"/>
  <c r="O465" i="32" s="1"/>
  <c r="Q2571" i="30"/>
  <c r="G2573" i="30"/>
  <c r="R2573" i="30"/>
  <c r="Q2572" i="30"/>
  <c r="R2572" i="30"/>
  <c r="N2570" i="30"/>
  <c r="L2573" i="30"/>
  <c r="I2571" i="30"/>
  <c r="O2573" i="30"/>
  <c r="I1496" i="30"/>
  <c r="R1497" i="30"/>
  <c r="Q1610" i="30"/>
  <c r="T2065" i="30"/>
  <c r="G2630" i="30"/>
  <c r="O2629" i="30"/>
  <c r="Q353" i="32"/>
  <c r="L2632" i="30"/>
  <c r="P2630" i="30"/>
  <c r="Q2630" i="30"/>
  <c r="L2630" i="30"/>
  <c r="N2629" i="30"/>
  <c r="M388" i="32"/>
  <c r="G1507" i="30"/>
  <c r="K1506" i="30"/>
  <c r="I1505" i="30"/>
  <c r="H1505" i="30"/>
  <c r="M1506" i="30"/>
  <c r="N1506" i="30"/>
  <c r="K1507" i="30"/>
  <c r="S445" i="32"/>
  <c r="I43" i="31" s="1"/>
  <c r="L2778" i="30"/>
  <c r="H2781" i="30"/>
  <c r="R2780" i="30"/>
  <c r="R2779" i="30"/>
  <c r="S2779" i="30"/>
  <c r="K2779" i="30"/>
  <c r="O2781" i="30"/>
  <c r="S382" i="32"/>
  <c r="I34" i="31" s="1"/>
  <c r="J2426" i="30"/>
  <c r="P2425" i="30"/>
  <c r="M2428" i="30"/>
  <c r="G2427" i="30"/>
  <c r="O2425" i="30"/>
  <c r="P2426" i="30"/>
  <c r="S2425" i="30"/>
  <c r="G1561" i="30"/>
  <c r="O1559" i="30"/>
  <c r="J1560" i="30"/>
  <c r="I1561" i="30"/>
  <c r="P1560" i="30"/>
  <c r="Q346" i="32"/>
  <c r="P1307" i="30"/>
  <c r="T1304" i="30"/>
  <c r="Q1305" i="30"/>
  <c r="G1304" i="30"/>
  <c r="M1917" i="30"/>
  <c r="J1917" i="30"/>
  <c r="R1918" i="30"/>
  <c r="O1918" i="30"/>
  <c r="G1918" i="30"/>
  <c r="Q1918" i="30"/>
  <c r="G1917" i="30"/>
  <c r="N1504" i="30"/>
  <c r="G1506" i="30"/>
  <c r="Q1506" i="30"/>
  <c r="H1504" i="30"/>
  <c r="Q1507" i="30"/>
  <c r="I1504" i="30"/>
  <c r="L1507" i="30"/>
  <c r="S444" i="32"/>
  <c r="H43" i="31" s="1"/>
  <c r="Q367" i="32"/>
  <c r="Q2778" i="30"/>
  <c r="T2780" i="30"/>
  <c r="I2780" i="30"/>
  <c r="G2780" i="30"/>
  <c r="I2781" i="30"/>
  <c r="N2781" i="30"/>
  <c r="N2778" i="30"/>
  <c r="S381" i="32"/>
  <c r="H34" i="31" s="1"/>
  <c r="H2428" i="30"/>
  <c r="N2426" i="30"/>
  <c r="I2425" i="30"/>
  <c r="R2426" i="30"/>
  <c r="R2427" i="30"/>
  <c r="J2425" i="30"/>
  <c r="P2428" i="30"/>
  <c r="N1559" i="30"/>
  <c r="L1562" i="30"/>
  <c r="I1560" i="30"/>
  <c r="S1562" i="30"/>
  <c r="N1560" i="30"/>
  <c r="P1562" i="30"/>
  <c r="O1304" i="30"/>
  <c r="R1307" i="30"/>
  <c r="K1305" i="30"/>
  <c r="P1306" i="30"/>
  <c r="P1917" i="30"/>
  <c r="R1915" i="30"/>
  <c r="Q1916" i="30"/>
  <c r="J1915" i="30"/>
  <c r="R1917" i="30"/>
  <c r="L1918" i="30"/>
  <c r="I1915" i="30"/>
  <c r="P374" i="32"/>
  <c r="O1504" i="30"/>
  <c r="H1506" i="30"/>
  <c r="P1505" i="30"/>
  <c r="P1507" i="30"/>
  <c r="T1507" i="30"/>
  <c r="R1505" i="30"/>
  <c r="T1504" i="30"/>
  <c r="G2433" i="30"/>
  <c r="U2433" i="30" s="1"/>
  <c r="U2436" i="30" s="1"/>
  <c r="M2779" i="30"/>
  <c r="P2779" i="30"/>
  <c r="G2779" i="30"/>
  <c r="K2780" i="30"/>
  <c r="P2781" i="30"/>
  <c r="L2781" i="30"/>
  <c r="I2779" i="30"/>
  <c r="G1974" i="30"/>
  <c r="U1974" i="30" s="1"/>
  <c r="U1976" i="30" s="1"/>
  <c r="U1977" i="30" s="1"/>
  <c r="J2428" i="30"/>
  <c r="I2426" i="30"/>
  <c r="S2427" i="30"/>
  <c r="L2428" i="30"/>
  <c r="G2428" i="30"/>
  <c r="R2428" i="30"/>
  <c r="S2426" i="30"/>
  <c r="G1560" i="30"/>
  <c r="S1561" i="30"/>
  <c r="H1562" i="30"/>
  <c r="R1560" i="30"/>
  <c r="Q1559" i="30"/>
  <c r="R1559" i="30"/>
  <c r="T1307" i="30"/>
  <c r="M1306" i="30"/>
  <c r="S1306" i="30"/>
  <c r="L1306" i="30"/>
  <c r="T1305" i="30"/>
  <c r="H1915" i="30"/>
  <c r="M1918" i="30"/>
  <c r="H1918" i="30"/>
  <c r="L1915" i="30"/>
  <c r="K1915" i="30"/>
  <c r="O1916" i="30"/>
  <c r="T1918" i="30"/>
  <c r="Q1505" i="30"/>
  <c r="P1506" i="30"/>
  <c r="I1507" i="30"/>
  <c r="L1505" i="30"/>
  <c r="O1505" i="30"/>
  <c r="M1505" i="30"/>
  <c r="R1506" i="30"/>
  <c r="U2434" i="30"/>
  <c r="S452" i="32"/>
  <c r="I44" i="31" s="1"/>
  <c r="H2778" i="30"/>
  <c r="Q2779" i="30"/>
  <c r="N2779" i="30"/>
  <c r="S2781" i="30"/>
  <c r="O2778" i="30"/>
  <c r="M2780" i="30"/>
  <c r="L2779" i="30"/>
  <c r="N2428" i="30"/>
  <c r="R2425" i="30"/>
  <c r="J2427" i="30"/>
  <c r="Q2428" i="30"/>
  <c r="T2425" i="30"/>
  <c r="K2428" i="30"/>
  <c r="M2427" i="30"/>
  <c r="S1560" i="30"/>
  <c r="L1560" i="30"/>
  <c r="P1559" i="30"/>
  <c r="O1560" i="30"/>
  <c r="P1561" i="30"/>
  <c r="G1307" i="30"/>
  <c r="H1304" i="30"/>
  <c r="S1304" i="30"/>
  <c r="M1304" i="30"/>
  <c r="G1306" i="30"/>
  <c r="Q1917" i="30"/>
  <c r="P1918" i="30"/>
  <c r="K1916" i="30"/>
  <c r="N1916" i="30"/>
  <c r="N1917" i="30"/>
  <c r="M1915" i="30"/>
  <c r="O1915" i="30"/>
  <c r="S1504" i="30"/>
  <c r="G1505" i="30"/>
  <c r="J1506" i="30"/>
  <c r="J1505" i="30"/>
  <c r="O1507" i="30"/>
  <c r="I1506" i="30"/>
  <c r="J1504" i="30"/>
  <c r="S451" i="32"/>
  <c r="H44" i="31" s="1"/>
  <c r="N2780" i="30"/>
  <c r="R2778" i="30"/>
  <c r="I2778" i="30"/>
  <c r="G2781" i="30"/>
  <c r="T2781" i="30"/>
  <c r="J2779" i="30"/>
  <c r="S2780" i="30"/>
  <c r="L2427" i="30"/>
  <c r="Q2425" i="30"/>
  <c r="T2427" i="30"/>
  <c r="M2426" i="30"/>
  <c r="K2425" i="30"/>
  <c r="G2425" i="30"/>
  <c r="M2425" i="30"/>
  <c r="Q493" i="32"/>
  <c r="P325" i="32"/>
  <c r="R1561" i="30"/>
  <c r="O1562" i="30"/>
  <c r="K1561" i="30"/>
  <c r="L1561" i="30"/>
  <c r="G1562" i="30"/>
  <c r="J1306" i="30"/>
  <c r="P1304" i="30"/>
  <c r="M1307" i="30"/>
  <c r="L1304" i="30"/>
  <c r="M1305" i="30"/>
  <c r="S1918" i="30"/>
  <c r="T1916" i="30"/>
  <c r="J1916" i="30"/>
  <c r="I1916" i="30"/>
  <c r="H1917" i="30"/>
  <c r="Q1915" i="30"/>
  <c r="T1917" i="30"/>
  <c r="J2632" i="30"/>
  <c r="Q2631" i="30"/>
  <c r="P2629" i="30"/>
  <c r="H2632" i="30"/>
  <c r="H2630" i="30"/>
  <c r="Q479" i="32"/>
  <c r="Q1561" i="30"/>
  <c r="Q1562" i="30"/>
  <c r="J1562" i="30"/>
  <c r="I1559" i="30"/>
  <c r="T1560" i="30"/>
  <c r="O367" i="32"/>
  <c r="S1307" i="30"/>
  <c r="L1307" i="30"/>
  <c r="I1304" i="30"/>
  <c r="H1306" i="30"/>
  <c r="O451" i="32"/>
  <c r="Q318" i="32"/>
  <c r="S1505" i="30"/>
  <c r="P1504" i="30"/>
  <c r="K1504" i="30"/>
  <c r="N1505" i="30"/>
  <c r="R1507" i="30"/>
  <c r="S1507" i="30"/>
  <c r="O458" i="32"/>
  <c r="K2781" i="30"/>
  <c r="O2779" i="30"/>
  <c r="J2780" i="30"/>
  <c r="J2781" i="30"/>
  <c r="J2778" i="30"/>
  <c r="H2780" i="30"/>
  <c r="T2426" i="30"/>
  <c r="N2427" i="30"/>
  <c r="H2425" i="30"/>
  <c r="H2427" i="30"/>
  <c r="K2426" i="30"/>
  <c r="O2428" i="30"/>
  <c r="G1559" i="30"/>
  <c r="M1560" i="30"/>
  <c r="L1559" i="30"/>
  <c r="R1562" i="30"/>
  <c r="M1561" i="30"/>
  <c r="J1307" i="30"/>
  <c r="T1306" i="30"/>
  <c r="N1306" i="30"/>
  <c r="K1306" i="30"/>
  <c r="M395" i="32"/>
  <c r="P332" i="32"/>
  <c r="S1915" i="30"/>
  <c r="N1918" i="30"/>
  <c r="M1916" i="30"/>
  <c r="P1915" i="30"/>
  <c r="G1915" i="30"/>
  <c r="P1916" i="30"/>
  <c r="J2314" i="30"/>
  <c r="G1308" i="30"/>
  <c r="U1308" i="30" s="1"/>
  <c r="H2314" i="30"/>
  <c r="K2313" i="30"/>
  <c r="I2118" i="30"/>
  <c r="M2312" i="30"/>
  <c r="G2311" i="30"/>
  <c r="T2117" i="30"/>
  <c r="H2257" i="30"/>
  <c r="K2116" i="30"/>
  <c r="J2274" i="30"/>
  <c r="N2257" i="30"/>
  <c r="J2323" i="30"/>
  <c r="U1309" i="30"/>
  <c r="J2313" i="30"/>
  <c r="H2312" i="30"/>
  <c r="I2314" i="30"/>
  <c r="K2311" i="30"/>
  <c r="R2311" i="30"/>
  <c r="O2314" i="30"/>
  <c r="O2312" i="30"/>
  <c r="S2258" i="30"/>
  <c r="M2256" i="30"/>
  <c r="N2259" i="30"/>
  <c r="O2116" i="30"/>
  <c r="G2115" i="30"/>
  <c r="G2117" i="30"/>
  <c r="N2273" i="30"/>
  <c r="M2274" i="30"/>
  <c r="L2323" i="30"/>
  <c r="R2323" i="30"/>
  <c r="Q2256" i="30"/>
  <c r="M2257" i="30"/>
  <c r="L2118" i="30"/>
  <c r="Q2115" i="30"/>
  <c r="H2274" i="30"/>
  <c r="I2274" i="30"/>
  <c r="K2326" i="30"/>
  <c r="T2325" i="30"/>
  <c r="N2312" i="30"/>
  <c r="P2311" i="30"/>
  <c r="R2314" i="30"/>
  <c r="T2314" i="30"/>
  <c r="S2312" i="30"/>
  <c r="P2312" i="30"/>
  <c r="O2313" i="30"/>
  <c r="T2256" i="30"/>
  <c r="H2259" i="30"/>
  <c r="Q2118" i="30"/>
  <c r="O2118" i="30"/>
  <c r="G2272" i="30"/>
  <c r="G2275" i="30"/>
  <c r="N2326" i="30"/>
  <c r="J2325" i="30"/>
  <c r="O2326" i="30"/>
  <c r="Q2311" i="30"/>
  <c r="N2311" i="30"/>
  <c r="G2313" i="30"/>
  <c r="P2313" i="30"/>
  <c r="Q2313" i="30"/>
  <c r="I2312" i="30"/>
  <c r="H2311" i="30"/>
  <c r="H2256" i="30"/>
  <c r="K2257" i="30"/>
  <c r="P2115" i="30"/>
  <c r="L2117" i="30"/>
  <c r="I2275" i="30"/>
  <c r="I2272" i="30"/>
  <c r="I2326" i="30"/>
  <c r="N2313" i="30"/>
  <c r="K2314" i="30"/>
  <c r="N2314" i="30"/>
  <c r="K2312" i="30"/>
  <c r="L2312" i="30"/>
  <c r="T2311" i="30"/>
  <c r="L2313" i="30"/>
  <c r="L2256" i="30"/>
  <c r="P2256" i="30"/>
  <c r="I2258" i="30"/>
  <c r="S2117" i="30"/>
  <c r="Q2117" i="30"/>
  <c r="R2116" i="30"/>
  <c r="R2273" i="30"/>
  <c r="I2273" i="30"/>
  <c r="Q2326" i="30"/>
  <c r="S2311" i="30"/>
  <c r="R2312" i="30"/>
  <c r="J2311" i="30"/>
  <c r="J2312" i="30"/>
  <c r="M2314" i="30"/>
  <c r="S2313" i="30"/>
  <c r="R2313" i="30"/>
  <c r="J2259" i="30"/>
  <c r="P2259" i="30"/>
  <c r="R2257" i="30"/>
  <c r="S2118" i="30"/>
  <c r="M2115" i="30"/>
  <c r="I2116" i="30"/>
  <c r="T2273" i="30"/>
  <c r="P2273" i="30"/>
  <c r="K2324" i="30"/>
  <c r="P2323" i="30"/>
  <c r="S332" i="32"/>
  <c r="H27" i="31" s="1"/>
  <c r="Q2314" i="30"/>
  <c r="T2313" i="30"/>
  <c r="L2314" i="30"/>
  <c r="I2311" i="30"/>
  <c r="S2314" i="30"/>
  <c r="G2312" i="30"/>
  <c r="T2257" i="30"/>
  <c r="G2259" i="30"/>
  <c r="O2256" i="30"/>
  <c r="P2117" i="30"/>
  <c r="M2117" i="30"/>
  <c r="K2118" i="30"/>
  <c r="U2376" i="30"/>
  <c r="U2377" i="30" s="1"/>
  <c r="Q438" i="32" s="1"/>
  <c r="L2273" i="30"/>
  <c r="S2326" i="30"/>
  <c r="G2323" i="30"/>
  <c r="G1618" i="30"/>
  <c r="U1618" i="30" s="1"/>
  <c r="K2577" i="30"/>
  <c r="M2579" i="30"/>
  <c r="J2257" i="30"/>
  <c r="M2258" i="30"/>
  <c r="O2259" i="30"/>
  <c r="R2259" i="30"/>
  <c r="K2256" i="30"/>
  <c r="L2257" i="30"/>
  <c r="Q2257" i="30"/>
  <c r="J2371" i="30"/>
  <c r="L2115" i="30"/>
  <c r="J2115" i="30"/>
  <c r="J2118" i="30"/>
  <c r="S2115" i="30"/>
  <c r="J2116" i="30"/>
  <c r="O2115" i="30"/>
  <c r="H2117" i="30"/>
  <c r="S1501" i="30"/>
  <c r="H2275" i="30"/>
  <c r="K2273" i="30"/>
  <c r="J2272" i="30"/>
  <c r="H2272" i="30"/>
  <c r="H2273" i="30"/>
  <c r="S2272" i="30"/>
  <c r="N2272" i="30"/>
  <c r="R2575" i="30"/>
  <c r="M2323" i="30"/>
  <c r="L2326" i="30"/>
  <c r="Q2325" i="30"/>
  <c r="S2324" i="30"/>
  <c r="G2325" i="30"/>
  <c r="R2325" i="30"/>
  <c r="R2326" i="30"/>
  <c r="U1619" i="30"/>
  <c r="J2318" i="30"/>
  <c r="U2466" i="30"/>
  <c r="U2467" i="30" s="1"/>
  <c r="N452" i="32" s="1"/>
  <c r="R2258" i="30"/>
  <c r="S2256" i="30"/>
  <c r="H2258" i="30"/>
  <c r="M2259" i="30"/>
  <c r="Q2259" i="30"/>
  <c r="N2256" i="30"/>
  <c r="J2256" i="30"/>
  <c r="P2373" i="30"/>
  <c r="I2115" i="30"/>
  <c r="H2115" i="30"/>
  <c r="H2118" i="30"/>
  <c r="M2118" i="30"/>
  <c r="T2116" i="30"/>
  <c r="P2116" i="30"/>
  <c r="T2118" i="30"/>
  <c r="J1503" i="30"/>
  <c r="S2273" i="30"/>
  <c r="T2274" i="30"/>
  <c r="L2274" i="30"/>
  <c r="L2275" i="30"/>
  <c r="R2274" i="30"/>
  <c r="P2275" i="30"/>
  <c r="N2275" i="30"/>
  <c r="H2577" i="30"/>
  <c r="S2325" i="30"/>
  <c r="I2324" i="30"/>
  <c r="J2326" i="30"/>
  <c r="L2325" i="30"/>
  <c r="H2324" i="30"/>
  <c r="T2323" i="30"/>
  <c r="G2324" i="30"/>
  <c r="Q2317" i="30"/>
  <c r="Q1503" i="30"/>
  <c r="R2272" i="30"/>
  <c r="P2272" i="30"/>
  <c r="Q2275" i="30"/>
  <c r="N2274" i="30"/>
  <c r="G2273" i="30"/>
  <c r="Q2272" i="30"/>
  <c r="M2273" i="30"/>
  <c r="O2574" i="30"/>
  <c r="N2325" i="30"/>
  <c r="Q430" i="32" s="1"/>
  <c r="G2326" i="30"/>
  <c r="H2323" i="30"/>
  <c r="J2324" i="30"/>
  <c r="O2323" i="30"/>
  <c r="L2324" i="30"/>
  <c r="M2326" i="30"/>
  <c r="L2317" i="30"/>
  <c r="T2581" i="30"/>
  <c r="L2258" i="30"/>
  <c r="N2258" i="30"/>
  <c r="R2256" i="30"/>
  <c r="J2258" i="30"/>
  <c r="L2259" i="30"/>
  <c r="Q2258" i="30"/>
  <c r="I2256" i="30"/>
  <c r="I2372" i="30"/>
  <c r="N2118" i="30"/>
  <c r="O2117" i="30"/>
  <c r="G2116" i="30"/>
  <c r="R2118" i="30"/>
  <c r="R2117" i="30"/>
  <c r="R2115" i="30"/>
  <c r="M2116" i="30"/>
  <c r="R1501" i="30"/>
  <c r="T2275" i="30"/>
  <c r="Q2273" i="30"/>
  <c r="L2272" i="30"/>
  <c r="T2272" i="30"/>
  <c r="Q2274" i="30"/>
  <c r="O2272" i="30"/>
  <c r="J2273" i="30"/>
  <c r="K2323" i="30"/>
  <c r="S2323" i="30"/>
  <c r="P2326" i="30"/>
  <c r="P2324" i="30"/>
  <c r="Q2323" i="30"/>
  <c r="H2326" i="30"/>
  <c r="O2325" i="30"/>
  <c r="P2315" i="30"/>
  <c r="M2581" i="30"/>
  <c r="L2578" i="30"/>
  <c r="T2258" i="30"/>
  <c r="P2257" i="30"/>
  <c r="I2259" i="30"/>
  <c r="T2259" i="30"/>
  <c r="S2257" i="30"/>
  <c r="G2257" i="30"/>
  <c r="G2258" i="30"/>
  <c r="L2371" i="30"/>
  <c r="J2117" i="30"/>
  <c r="H2116" i="30"/>
  <c r="L2116" i="30"/>
  <c r="N2117" i="30"/>
  <c r="S2116" i="30"/>
  <c r="K2117" i="30"/>
  <c r="P2118" i="30"/>
  <c r="O2274" i="30"/>
  <c r="P2274" i="30"/>
  <c r="R2275" i="30"/>
  <c r="O2275" i="30"/>
  <c r="K2272" i="30"/>
  <c r="O2273" i="30"/>
  <c r="J2275" i="30"/>
  <c r="T2577" i="30"/>
  <c r="P2325" i="30"/>
  <c r="R2324" i="30"/>
  <c r="M2324" i="30"/>
  <c r="K2325" i="30"/>
  <c r="Q2324" i="30"/>
  <c r="M2325" i="30"/>
  <c r="H2325" i="30"/>
  <c r="O2316" i="30"/>
  <c r="G2580" i="30"/>
  <c r="K2259" i="30"/>
  <c r="O2257" i="30"/>
  <c r="O2258" i="30"/>
  <c r="G2256" i="30"/>
  <c r="S2259" i="30"/>
  <c r="I2257" i="30"/>
  <c r="Q2370" i="30"/>
  <c r="T2115" i="30"/>
  <c r="N2116" i="30"/>
  <c r="Q2116" i="30"/>
  <c r="I2117" i="30"/>
  <c r="K2115" i="30"/>
  <c r="N2115" i="30"/>
  <c r="K1502" i="30"/>
  <c r="M2272" i="30"/>
  <c r="K2275" i="30"/>
  <c r="S2275" i="30"/>
  <c r="S2274" i="30"/>
  <c r="G2274" i="30"/>
  <c r="K2274" i="30"/>
  <c r="N2575" i="30"/>
  <c r="I2323" i="30"/>
  <c r="T2326" i="30"/>
  <c r="O2324" i="30"/>
  <c r="I2325" i="30"/>
  <c r="N2323" i="30"/>
  <c r="N2324" i="30"/>
  <c r="M2317" i="30"/>
  <c r="Q1760" i="30"/>
  <c r="R1758" i="30"/>
  <c r="T1760" i="30"/>
  <c r="P1760" i="30"/>
  <c r="L1758" i="30"/>
  <c r="K1760" i="30"/>
  <c r="I2581" i="30"/>
  <c r="J2579" i="30"/>
  <c r="I2578" i="30"/>
  <c r="L2579" i="30"/>
  <c r="I2580" i="30"/>
  <c r="M2580" i="30"/>
  <c r="H2578" i="30"/>
  <c r="J2372" i="30"/>
  <c r="L2373" i="30"/>
  <c r="P2372" i="30"/>
  <c r="S2372" i="30"/>
  <c r="O2371" i="30"/>
  <c r="N2370" i="30"/>
  <c r="T2372" i="30"/>
  <c r="T1500" i="30"/>
  <c r="Q1500" i="30"/>
  <c r="O1500" i="30"/>
  <c r="S1500" i="30"/>
  <c r="G1502" i="30"/>
  <c r="K1501" i="30"/>
  <c r="T1503" i="30"/>
  <c r="J2575" i="30"/>
  <c r="H2575" i="30"/>
  <c r="O2575" i="30"/>
  <c r="G2575" i="30"/>
  <c r="I2577" i="30"/>
  <c r="R2574" i="30"/>
  <c r="O2576" i="30"/>
  <c r="L2316" i="30"/>
  <c r="T2317" i="30"/>
  <c r="I2318" i="30"/>
  <c r="N2316" i="30"/>
  <c r="M2316" i="30"/>
  <c r="R2318" i="30"/>
  <c r="O2317" i="30"/>
  <c r="P1759" i="30"/>
  <c r="G1761" i="30"/>
  <c r="S1758" i="30"/>
  <c r="J1760" i="30"/>
  <c r="M1758" i="30"/>
  <c r="I1760" i="30"/>
  <c r="S1760" i="30"/>
  <c r="O2581" i="30"/>
  <c r="H2579" i="30"/>
  <c r="P2580" i="30"/>
  <c r="T2580" i="30"/>
  <c r="S2579" i="30"/>
  <c r="K2581" i="30"/>
  <c r="N2373" i="30"/>
  <c r="M2372" i="30"/>
  <c r="Q2372" i="30"/>
  <c r="J2373" i="30"/>
  <c r="P2370" i="30"/>
  <c r="S2371" i="30"/>
  <c r="G2372" i="30"/>
  <c r="S1503" i="30"/>
  <c r="M1501" i="30"/>
  <c r="P1503" i="30"/>
  <c r="G1503" i="30"/>
  <c r="L1500" i="30"/>
  <c r="I1500" i="30"/>
  <c r="R1503" i="30"/>
  <c r="S2574" i="30"/>
  <c r="T2576" i="30"/>
  <c r="I2575" i="30"/>
  <c r="G2577" i="30"/>
  <c r="O2577" i="30"/>
  <c r="G2574" i="30"/>
  <c r="G2576" i="30"/>
  <c r="I2315" i="30"/>
  <c r="O2318" i="30"/>
  <c r="M2315" i="30"/>
  <c r="R2315" i="30"/>
  <c r="G2315" i="30"/>
  <c r="H2318" i="30"/>
  <c r="Q2316" i="30"/>
  <c r="P1758" i="30"/>
  <c r="J1758" i="30"/>
  <c r="I1758" i="30"/>
  <c r="O1758" i="30"/>
  <c r="Q1761" i="30"/>
  <c r="I1761" i="30"/>
  <c r="S1761" i="30"/>
  <c r="T2579" i="30"/>
  <c r="R2580" i="30"/>
  <c r="K2578" i="30"/>
  <c r="J2581" i="30"/>
  <c r="Q2579" i="30"/>
  <c r="L2581" i="30"/>
  <c r="P2578" i="30"/>
  <c r="N2581" i="30"/>
  <c r="J2370" i="30"/>
  <c r="S2373" i="30"/>
  <c r="I2373" i="30"/>
  <c r="H2370" i="30"/>
  <c r="R2371" i="30"/>
  <c r="T2370" i="30"/>
  <c r="M2373" i="30"/>
  <c r="K1500" i="30"/>
  <c r="Q1502" i="30"/>
  <c r="O1502" i="30"/>
  <c r="N1501" i="30"/>
  <c r="J1502" i="30"/>
  <c r="S1502" i="30"/>
  <c r="I1502" i="30"/>
  <c r="H2576" i="30"/>
  <c r="P2575" i="30"/>
  <c r="M2576" i="30"/>
  <c r="K2576" i="30"/>
  <c r="R2576" i="30"/>
  <c r="N2574" i="30"/>
  <c r="S2576" i="30"/>
  <c r="N2315" i="30"/>
  <c r="J2316" i="30"/>
  <c r="L2315" i="30"/>
  <c r="Q2318" i="30"/>
  <c r="S2317" i="30"/>
  <c r="L2318" i="30"/>
  <c r="K2315" i="30"/>
  <c r="K1759" i="30"/>
  <c r="Q1758" i="30"/>
  <c r="P1761" i="30"/>
  <c r="R1761" i="30"/>
  <c r="I1759" i="30"/>
  <c r="O1759" i="30"/>
  <c r="R1759" i="30"/>
  <c r="G1759" i="30"/>
  <c r="M2578" i="30"/>
  <c r="K2580" i="30"/>
  <c r="S2578" i="30"/>
  <c r="P2581" i="30"/>
  <c r="O2578" i="30"/>
  <c r="S2580" i="30"/>
  <c r="Q2578" i="30"/>
  <c r="R2373" i="30"/>
  <c r="G2373" i="30"/>
  <c r="T2371" i="30"/>
  <c r="S2370" i="30"/>
  <c r="H2371" i="30"/>
  <c r="Q2371" i="30"/>
  <c r="N2371" i="30"/>
  <c r="P1502" i="30"/>
  <c r="N1503" i="30"/>
  <c r="L1503" i="30"/>
  <c r="H1503" i="30"/>
  <c r="O1503" i="30"/>
  <c r="I1501" i="30"/>
  <c r="G1500" i="30"/>
  <c r="L2574" i="30"/>
  <c r="Q2575" i="30"/>
  <c r="P2576" i="30"/>
  <c r="M2574" i="30"/>
  <c r="H2574" i="30"/>
  <c r="P2577" i="30"/>
  <c r="I2574" i="30"/>
  <c r="S2318" i="30"/>
  <c r="N2317" i="30"/>
  <c r="J2315" i="30"/>
  <c r="K2317" i="30"/>
  <c r="T2315" i="30"/>
  <c r="P2318" i="30"/>
  <c r="M2318" i="30"/>
  <c r="L1760" i="30"/>
  <c r="K1758" i="30"/>
  <c r="J1761" i="30"/>
  <c r="L1759" i="30"/>
  <c r="G1758" i="30"/>
  <c r="L1761" i="30"/>
  <c r="M1760" i="30"/>
  <c r="G2579" i="30"/>
  <c r="J2580" i="30"/>
  <c r="H2581" i="30"/>
  <c r="O2579" i="30"/>
  <c r="Q2581" i="30"/>
  <c r="G2578" i="30"/>
  <c r="I2579" i="30"/>
  <c r="M2371" i="30"/>
  <c r="O2370" i="30"/>
  <c r="P2371" i="30"/>
  <c r="L2372" i="30"/>
  <c r="K2371" i="30"/>
  <c r="G2370" i="30"/>
  <c r="O2372" i="30"/>
  <c r="Q1501" i="30"/>
  <c r="J1501" i="30"/>
  <c r="H1500" i="30"/>
  <c r="G1501" i="30"/>
  <c r="M1502" i="30"/>
  <c r="M1503" i="30"/>
  <c r="T1501" i="30"/>
  <c r="K2575" i="30"/>
  <c r="L2575" i="30"/>
  <c r="J2577" i="30"/>
  <c r="S2575" i="30"/>
  <c r="I2576" i="30"/>
  <c r="N2576" i="30"/>
  <c r="J2574" i="30"/>
  <c r="P2316" i="30"/>
  <c r="S2316" i="30"/>
  <c r="K2318" i="30"/>
  <c r="H2315" i="30"/>
  <c r="N2318" i="30"/>
  <c r="T2318" i="30"/>
  <c r="R2316" i="30"/>
  <c r="S1759" i="30"/>
  <c r="Q1759" i="30"/>
  <c r="N1760" i="30"/>
  <c r="M1759" i="30"/>
  <c r="H1759" i="30"/>
  <c r="T1758" i="30"/>
  <c r="H1761" i="30"/>
  <c r="J2578" i="30"/>
  <c r="L2580" i="30"/>
  <c r="T2578" i="30"/>
  <c r="R2579" i="30"/>
  <c r="R2581" i="30"/>
  <c r="N2578" i="30"/>
  <c r="R2578" i="30"/>
  <c r="R2370" i="30"/>
  <c r="G2371" i="30"/>
  <c r="N2372" i="30"/>
  <c r="H2372" i="30"/>
  <c r="M2370" i="30"/>
  <c r="K2372" i="30"/>
  <c r="R2372" i="30"/>
  <c r="P1501" i="30"/>
  <c r="K1503" i="30"/>
  <c r="J1500" i="30"/>
  <c r="H1501" i="30"/>
  <c r="L1502" i="30"/>
  <c r="R1502" i="30"/>
  <c r="L1501" i="30"/>
  <c r="T2574" i="30"/>
  <c r="Q2574" i="30"/>
  <c r="M2575" i="30"/>
  <c r="L2577" i="30"/>
  <c r="K2574" i="30"/>
  <c r="R2577" i="30"/>
  <c r="Q2576" i="30"/>
  <c r="I2316" i="30"/>
  <c r="G2317" i="30"/>
  <c r="G2316" i="30"/>
  <c r="J2317" i="30"/>
  <c r="K2316" i="30"/>
  <c r="H2316" i="30"/>
  <c r="H2317" i="30"/>
  <c r="G1760" i="30"/>
  <c r="O1760" i="30"/>
  <c r="N1758" i="30"/>
  <c r="H1758" i="30"/>
  <c r="N1759" i="30"/>
  <c r="H1760" i="30"/>
  <c r="N1761" i="30"/>
  <c r="G2581" i="30"/>
  <c r="N2580" i="30"/>
  <c r="H2580" i="30"/>
  <c r="P2579" i="30"/>
  <c r="Q2580" i="30"/>
  <c r="K2579" i="30"/>
  <c r="O2373" i="30"/>
  <c r="K2370" i="30"/>
  <c r="T2373" i="30"/>
  <c r="K2373" i="30"/>
  <c r="I2370" i="30"/>
  <c r="Q2373" i="30"/>
  <c r="P1500" i="30"/>
  <c r="M1500" i="30"/>
  <c r="N1502" i="30"/>
  <c r="I1503" i="30"/>
  <c r="O1501" i="30"/>
  <c r="H1502" i="30"/>
  <c r="S2577" i="30"/>
  <c r="M2577" i="30"/>
  <c r="J2576" i="30"/>
  <c r="Q2577" i="30"/>
  <c r="T2575" i="30"/>
  <c r="P2574" i="30"/>
  <c r="P2317" i="30"/>
  <c r="S2315" i="30"/>
  <c r="T2316" i="30"/>
  <c r="G2318" i="30"/>
  <c r="O2315" i="30"/>
  <c r="R2317" i="30"/>
  <c r="T1759" i="30"/>
  <c r="K1761" i="30"/>
  <c r="T1761" i="30"/>
  <c r="R1760" i="30"/>
  <c r="M1761" i="30"/>
  <c r="O1761" i="30"/>
  <c r="T2629" i="30"/>
  <c r="I2630" i="30"/>
  <c r="O2631" i="30"/>
  <c r="L2631" i="30"/>
  <c r="K2629" i="30"/>
  <c r="J2630" i="30"/>
  <c r="G1249" i="30" a="1"/>
  <c r="G1252" i="30" s="1"/>
  <c r="U2486" i="30"/>
  <c r="U2487" i="30" s="1"/>
  <c r="U2007" i="30"/>
  <c r="U2008" i="30" s="1"/>
  <c r="N389" i="32" s="1"/>
  <c r="U2348" i="30"/>
  <c r="R435" i="32" s="1"/>
  <c r="G1359" i="30" a="1"/>
  <c r="G1359" i="30" s="1"/>
  <c r="U1359" i="30" s="1"/>
  <c r="G1288" i="30" a="1"/>
  <c r="O1290" i="30" s="1"/>
  <c r="G2358" i="30" a="1"/>
  <c r="Q2359" i="30" s="1"/>
  <c r="P2766" i="30"/>
  <c r="U1756" i="30"/>
  <c r="U1757" i="30" s="1"/>
  <c r="O354" i="32" s="1"/>
  <c r="M402" i="32"/>
  <c r="G1498" i="30"/>
  <c r="L1497" i="30"/>
  <c r="P1497" i="30"/>
  <c r="I1499" i="30"/>
  <c r="S1497" i="30"/>
  <c r="H1499" i="30"/>
  <c r="J1499" i="30"/>
  <c r="S458" i="32"/>
  <c r="H45" i="31" s="1"/>
  <c r="N1613" i="30"/>
  <c r="P1613" i="30"/>
  <c r="M1610" i="30"/>
  <c r="J1612" i="30"/>
  <c r="K1612" i="30"/>
  <c r="J1613" i="30"/>
  <c r="T1613" i="30"/>
  <c r="J2066" i="30"/>
  <c r="N2067" i="30"/>
  <c r="K2067" i="30"/>
  <c r="T2066" i="30"/>
  <c r="L2065" i="30"/>
  <c r="L2064" i="30"/>
  <c r="Q2066" i="30"/>
  <c r="H1307" i="30"/>
  <c r="I1305" i="30"/>
  <c r="H1305" i="30"/>
  <c r="S1305" i="30"/>
  <c r="J1304" i="30"/>
  <c r="O1307" i="30"/>
  <c r="I1306" i="30"/>
  <c r="M2614" i="30"/>
  <c r="G2616" i="30"/>
  <c r="G2614" i="30"/>
  <c r="H2616" i="30"/>
  <c r="J2614" i="30"/>
  <c r="O2616" i="30"/>
  <c r="O2614" i="30"/>
  <c r="N2769" i="30"/>
  <c r="R2768" i="30"/>
  <c r="G2768" i="30"/>
  <c r="T2769" i="30"/>
  <c r="M2766" i="30"/>
  <c r="R2769" i="30"/>
  <c r="S2767" i="30"/>
  <c r="N2768" i="30"/>
  <c r="S2769" i="30"/>
  <c r="M2769" i="30"/>
  <c r="P2769" i="30"/>
  <c r="H2767" i="30"/>
  <c r="I2768" i="30"/>
  <c r="S2766" i="30"/>
  <c r="N2766" i="30"/>
  <c r="K2769" i="30"/>
  <c r="H1497" i="30"/>
  <c r="R1498" i="30"/>
  <c r="J1497" i="30"/>
  <c r="M1496" i="30"/>
  <c r="S1498" i="30"/>
  <c r="O1499" i="30"/>
  <c r="M1498" i="30"/>
  <c r="G2535" i="30"/>
  <c r="U2535" i="30" s="1"/>
  <c r="I1612" i="30"/>
  <c r="P1610" i="30"/>
  <c r="N1610" i="30"/>
  <c r="K1610" i="30"/>
  <c r="H1611" i="30"/>
  <c r="S1610" i="30"/>
  <c r="R1613" i="30"/>
  <c r="P2066" i="30"/>
  <c r="R2065" i="30"/>
  <c r="S2066" i="30"/>
  <c r="I2067" i="30"/>
  <c r="N2064" i="30"/>
  <c r="H2067" i="30"/>
  <c r="G2064" i="30"/>
  <c r="P2615" i="30"/>
  <c r="T2616" i="30"/>
  <c r="G2615" i="30"/>
  <c r="P2613" i="30"/>
  <c r="N2616" i="30"/>
  <c r="K2615" i="30"/>
  <c r="T2615" i="30"/>
  <c r="O2768" i="30"/>
  <c r="T2767" i="30"/>
  <c r="R2766" i="30"/>
  <c r="P2767" i="30"/>
  <c r="M2767" i="30"/>
  <c r="I2766" i="30"/>
  <c r="K2768" i="30"/>
  <c r="G2766" i="30"/>
  <c r="P2768" i="30"/>
  <c r="L2767" i="30"/>
  <c r="J2769" i="30"/>
  <c r="U2231" i="30"/>
  <c r="U2232" i="30" s="1"/>
  <c r="N1498" i="30"/>
  <c r="G1499" i="30"/>
  <c r="N1497" i="30"/>
  <c r="Q1498" i="30"/>
  <c r="N1496" i="30"/>
  <c r="K1497" i="30"/>
  <c r="T1498" i="30"/>
  <c r="U2536" i="30"/>
  <c r="G1613" i="30"/>
  <c r="L1612" i="30"/>
  <c r="J1610" i="30"/>
  <c r="O1613" i="30"/>
  <c r="N1611" i="30"/>
  <c r="T1612" i="30"/>
  <c r="H1610" i="30"/>
  <c r="T1559" i="30"/>
  <c r="N1562" i="30"/>
  <c r="J1559" i="30"/>
  <c r="O1561" i="30"/>
  <c r="M1559" i="30"/>
  <c r="K1562" i="30"/>
  <c r="M1562" i="30"/>
  <c r="M2067" i="30"/>
  <c r="J2064" i="30"/>
  <c r="I2065" i="30"/>
  <c r="M2066" i="30"/>
  <c r="I2064" i="30"/>
  <c r="J2067" i="30"/>
  <c r="N2065" i="30"/>
  <c r="K1304" i="30"/>
  <c r="G1305" i="30"/>
  <c r="N1305" i="30"/>
  <c r="Q1307" i="30"/>
  <c r="L1305" i="30"/>
  <c r="R1306" i="30"/>
  <c r="O1305" i="30"/>
  <c r="P2614" i="30"/>
  <c r="N2614" i="30"/>
  <c r="R2616" i="30"/>
  <c r="R2613" i="30"/>
  <c r="M2613" i="30"/>
  <c r="K2613" i="30"/>
  <c r="I2613" i="30"/>
  <c r="J2767" i="30"/>
  <c r="G2767" i="30"/>
  <c r="H2768" i="30"/>
  <c r="O2767" i="30"/>
  <c r="Q2766" i="30"/>
  <c r="Q2767" i="30"/>
  <c r="L2769" i="30"/>
  <c r="T2614" i="30"/>
  <c r="K2616" i="30"/>
  <c r="N2615" i="30"/>
  <c r="S2616" i="30"/>
  <c r="J2613" i="30"/>
  <c r="S2615" i="30"/>
  <c r="I2614" i="30"/>
  <c r="O1496" i="30"/>
  <c r="T1497" i="30"/>
  <c r="N1499" i="30"/>
  <c r="Q1499" i="30"/>
  <c r="L1499" i="30"/>
  <c r="O1497" i="30"/>
  <c r="S1499" i="30"/>
  <c r="Q1613" i="30"/>
  <c r="R1612" i="30"/>
  <c r="Q1611" i="30"/>
  <c r="J1611" i="30"/>
  <c r="Q1612" i="30"/>
  <c r="H1612" i="30"/>
  <c r="T1611" i="30"/>
  <c r="G1253" i="30" a="1"/>
  <c r="R1255" i="30" s="1"/>
  <c r="G1410" i="30" a="1"/>
  <c r="G1410" i="30" s="1"/>
  <c r="U1410" i="30" s="1"/>
  <c r="Q1560" i="30"/>
  <c r="H1560" i="30"/>
  <c r="T1561" i="30"/>
  <c r="T1562" i="30"/>
  <c r="K1560" i="30"/>
  <c r="N1561" i="30"/>
  <c r="R2067" i="30"/>
  <c r="O2064" i="30"/>
  <c r="H2066" i="30"/>
  <c r="P2064" i="30"/>
  <c r="J2065" i="30"/>
  <c r="O2066" i="30"/>
  <c r="G2065" i="30"/>
  <c r="P1305" i="30"/>
  <c r="Q1304" i="30"/>
  <c r="Q1306" i="30"/>
  <c r="I1307" i="30"/>
  <c r="O1306" i="30"/>
  <c r="K1307" i="30"/>
  <c r="I2616" i="30"/>
  <c r="S2613" i="30"/>
  <c r="N2613" i="30"/>
  <c r="Q2616" i="30"/>
  <c r="T2613" i="30"/>
  <c r="L2613" i="30"/>
  <c r="K2614" i="30"/>
  <c r="Q2769" i="30"/>
  <c r="H2769" i="30"/>
  <c r="G2769" i="30"/>
  <c r="K2767" i="30"/>
  <c r="L2766" i="30"/>
  <c r="R2767" i="30"/>
  <c r="T2766" i="30"/>
  <c r="H2631" i="30"/>
  <c r="I2631" i="30"/>
  <c r="T2632" i="30"/>
  <c r="T2631" i="30"/>
  <c r="U1874" i="30"/>
  <c r="U1875" i="30" s="1"/>
  <c r="G1496" i="30"/>
  <c r="Q1496" i="30"/>
  <c r="S1496" i="30"/>
  <c r="J1496" i="30"/>
  <c r="T1496" i="30"/>
  <c r="O1498" i="30"/>
  <c r="T1499" i="30"/>
  <c r="P1612" i="30"/>
  <c r="G1611" i="30"/>
  <c r="H1613" i="30"/>
  <c r="S1611" i="30"/>
  <c r="O1612" i="30"/>
  <c r="O1611" i="30"/>
  <c r="K1611" i="30"/>
  <c r="U2823" i="30"/>
  <c r="U2824" i="30" s="1"/>
  <c r="P2067" i="30"/>
  <c r="T2064" i="30"/>
  <c r="K2066" i="30"/>
  <c r="P2065" i="30"/>
  <c r="M2065" i="30"/>
  <c r="Q2065" i="30"/>
  <c r="K2064" i="30"/>
  <c r="S2614" i="30"/>
  <c r="P2616" i="30"/>
  <c r="H2613" i="30"/>
  <c r="G2613" i="30"/>
  <c r="Q2614" i="30"/>
  <c r="L2615" i="30"/>
  <c r="O2613" i="30"/>
  <c r="S2768" i="30"/>
  <c r="K2766" i="30"/>
  <c r="T2768" i="30"/>
  <c r="I2769" i="30"/>
  <c r="Q2768" i="30"/>
  <c r="J2768" i="30"/>
  <c r="N2767" i="30"/>
  <c r="G1449" i="30" a="1"/>
  <c r="H1451" i="30" s="1"/>
  <c r="G1312" i="30" a="1"/>
  <c r="S290" i="32" s="1"/>
  <c r="H20" i="31" s="1"/>
  <c r="M1497" i="30"/>
  <c r="K1499" i="30"/>
  <c r="R1496" i="30"/>
  <c r="J1498" i="30"/>
  <c r="P1498" i="30"/>
  <c r="H1496" i="30"/>
  <c r="I1611" i="30"/>
  <c r="K1613" i="30"/>
  <c r="M1611" i="30"/>
  <c r="G1610" i="30"/>
  <c r="N1612" i="30"/>
  <c r="R1610" i="30"/>
  <c r="S2065" i="30"/>
  <c r="L2066" i="30"/>
  <c r="H2065" i="30"/>
  <c r="T2067" i="30"/>
  <c r="G2066" i="30"/>
  <c r="G2067" i="30"/>
  <c r="I2615" i="30"/>
  <c r="R2615" i="30"/>
  <c r="H2614" i="30"/>
  <c r="L2616" i="30"/>
  <c r="M2615" i="30"/>
  <c r="O2615" i="30"/>
  <c r="G1245" i="30" a="1"/>
  <c r="M1248" i="30" s="1"/>
  <c r="L2768" i="30"/>
  <c r="O2769" i="30"/>
  <c r="J2766" i="30"/>
  <c r="H2766" i="30"/>
  <c r="O2766" i="30"/>
  <c r="I2767" i="30"/>
  <c r="U412" i="30"/>
  <c r="J81" i="32" s="1"/>
  <c r="U410" i="30"/>
  <c r="H81" i="32" s="1"/>
  <c r="Q451" i="32"/>
  <c r="G1492" i="30" a="1"/>
  <c r="U1712" i="30"/>
  <c r="G1406" i="30" a="1"/>
  <c r="J1406" i="30" s="1"/>
  <c r="G1355" i="30" a="1"/>
  <c r="J1355" i="30" s="1"/>
  <c r="U1683" i="30"/>
  <c r="O344" i="32" s="1"/>
  <c r="M374" i="32"/>
  <c r="U1584" i="30"/>
  <c r="R330" i="32" s="1"/>
  <c r="U1467" i="30"/>
  <c r="U1468" i="30" s="1"/>
  <c r="U2308" i="30"/>
  <c r="N2630" i="30"/>
  <c r="G2632" i="30"/>
  <c r="G1719" i="30" a="1"/>
  <c r="S346" i="32" s="1"/>
  <c r="H29" i="31" s="1"/>
  <c r="U391" i="30"/>
  <c r="D79" i="32" s="1"/>
  <c r="U1555" i="30"/>
  <c r="U1277" i="30"/>
  <c r="Q288" i="32" s="1"/>
  <c r="G1598" i="30" a="1"/>
  <c r="H1598" i="30" s="1"/>
  <c r="G1347" i="30" a="1"/>
  <c r="Q1349" i="30" s="1"/>
  <c r="G1351" i="30" a="1"/>
  <c r="M1354" i="30" s="1"/>
  <c r="G1292" i="30" a="1"/>
  <c r="T1294" i="30" s="1"/>
  <c r="U2772" i="30"/>
  <c r="U2773" i="30" s="1"/>
  <c r="N494" i="32" s="1"/>
  <c r="G13" i="27"/>
  <c r="H13" i="27" s="1"/>
  <c r="U1583" i="30"/>
  <c r="Q330" i="32" s="1"/>
  <c r="U1482" i="30"/>
  <c r="R316" i="32" s="1"/>
  <c r="U1484" i="30"/>
  <c r="T316" i="32" s="1"/>
  <c r="U408" i="30"/>
  <c r="F81" i="32" s="1"/>
  <c r="U2519" i="30"/>
  <c r="U2818" i="30"/>
  <c r="AF225" i="13"/>
  <c r="AH225" i="13" s="1"/>
  <c r="AI225" i="13" s="1"/>
  <c r="N226" i="13"/>
  <c r="AF226" i="13" s="1"/>
  <c r="AH226" i="13" s="1"/>
  <c r="AI226" i="13" s="1"/>
  <c r="R2462" i="30"/>
  <c r="G2461" i="30"/>
  <c r="Q2460" i="30"/>
  <c r="O2462" i="30"/>
  <c r="L2463" i="30"/>
  <c r="K2463" i="30"/>
  <c r="I2460" i="30"/>
  <c r="N2463" i="30"/>
  <c r="H2462" i="30"/>
  <c r="K2461" i="30"/>
  <c r="M2460" i="30"/>
  <c r="S2461" i="30"/>
  <c r="G2462" i="30"/>
  <c r="G2463" i="30"/>
  <c r="T2460" i="30"/>
  <c r="I2461" i="30"/>
  <c r="M2463" i="30"/>
  <c r="P2463" i="30"/>
  <c r="L2461" i="30"/>
  <c r="T2462" i="30"/>
  <c r="L2462" i="30"/>
  <c r="N2460" i="30"/>
  <c r="O2461" i="30"/>
  <c r="S2460" i="30"/>
  <c r="I2462" i="30"/>
  <c r="K2462" i="30"/>
  <c r="G2460" i="30"/>
  <c r="H2463" i="30"/>
  <c r="T2461" i="30"/>
  <c r="J2462" i="30"/>
  <c r="P2460" i="30"/>
  <c r="T2463" i="30"/>
  <c r="H2461" i="30"/>
  <c r="N2461" i="30"/>
  <c r="J2461" i="30"/>
  <c r="M2462" i="30"/>
  <c r="P2461" i="30"/>
  <c r="Q2461" i="30"/>
  <c r="H2460" i="30"/>
  <c r="R2461" i="30"/>
  <c r="R2463" i="30"/>
  <c r="P2462" i="30"/>
  <c r="Q2463" i="30"/>
  <c r="S2463" i="30"/>
  <c r="R2460" i="30"/>
  <c r="J2460" i="30"/>
  <c r="I2463" i="30"/>
  <c r="J2463" i="30"/>
  <c r="M2461" i="30"/>
  <c r="Q2462" i="30"/>
  <c r="O2463" i="30"/>
  <c r="O2460" i="30"/>
  <c r="L2460" i="30"/>
  <c r="N2462" i="30"/>
  <c r="S2462" i="30"/>
  <c r="K2460" i="30"/>
  <c r="L492" i="11"/>
  <c r="L497" i="11"/>
  <c r="G443" i="30" a="1"/>
  <c r="G15" i="27"/>
  <c r="H15" i="27" s="1"/>
  <c r="M2809" i="30"/>
  <c r="I2807" i="30"/>
  <c r="S2804" i="30"/>
  <c r="O2802" i="30"/>
  <c r="N2808" i="30"/>
  <c r="J2806" i="30"/>
  <c r="T2803" i="30"/>
  <c r="O2809" i="30"/>
  <c r="K2807" i="30"/>
  <c r="G2805" i="30"/>
  <c r="Q2802" i="30"/>
  <c r="H2804" i="30"/>
  <c r="P2802" i="30"/>
  <c r="H2802" i="30"/>
  <c r="I2809" i="30"/>
  <c r="S2806" i="30"/>
  <c r="O2804" i="30"/>
  <c r="K2802" i="30"/>
  <c r="J2808" i="30"/>
  <c r="T2805" i="30"/>
  <c r="P2803" i="30"/>
  <c r="K2809" i="30"/>
  <c r="G2807" i="30"/>
  <c r="Q2804" i="30"/>
  <c r="M2802" i="30"/>
  <c r="T2802" i="30"/>
  <c r="J2809" i="30"/>
  <c r="H2808" i="30"/>
  <c r="K2808" i="30"/>
  <c r="G2806" i="30"/>
  <c r="Q2803" i="30"/>
  <c r="P2809" i="30"/>
  <c r="L2807" i="30"/>
  <c r="H2805" i="30"/>
  <c r="R2802" i="30"/>
  <c r="M2808" i="30"/>
  <c r="I2806" i="30"/>
  <c r="S2803" i="30"/>
  <c r="P2808" i="30"/>
  <c r="J2807" i="30"/>
  <c r="L2802" i="30"/>
  <c r="R2807" i="30"/>
  <c r="G2808" i="30"/>
  <c r="Q2805" i="30"/>
  <c r="M2803" i="30"/>
  <c r="L2809" i="30"/>
  <c r="H2807" i="30"/>
  <c r="R2804" i="30"/>
  <c r="N2802" i="30"/>
  <c r="I2808" i="30"/>
  <c r="S2805" i="30"/>
  <c r="O2803" i="30"/>
  <c r="N2807" i="30"/>
  <c r="H2806" i="30"/>
  <c r="T2808" i="30"/>
  <c r="N2805" i="30"/>
  <c r="M2805" i="30"/>
  <c r="H2809" i="30"/>
  <c r="N2804" i="30"/>
  <c r="S2807" i="30"/>
  <c r="K2803" i="30"/>
  <c r="T2804" i="30"/>
  <c r="J2803" i="30"/>
  <c r="Q2809" i="30"/>
  <c r="I2805" i="30"/>
  <c r="R2808" i="30"/>
  <c r="J2804" i="30"/>
  <c r="O2807" i="30"/>
  <c r="G2803" i="30"/>
  <c r="R2803" i="30"/>
  <c r="S2808" i="30"/>
  <c r="K2804" i="30"/>
  <c r="T2807" i="30"/>
  <c r="L2803" i="30"/>
  <c r="Q2806" i="30"/>
  <c r="I2802" i="30"/>
  <c r="T2806" i="30"/>
  <c r="O2808" i="30"/>
  <c r="G2804" i="30"/>
  <c r="P2807" i="30"/>
  <c r="H2803" i="30"/>
  <c r="M2806" i="30"/>
  <c r="R2809" i="30"/>
  <c r="P2804" i="30"/>
  <c r="Q2807" i="30"/>
  <c r="I2803" i="30"/>
  <c r="R2806" i="30"/>
  <c r="J2802" i="30"/>
  <c r="O2805" i="30"/>
  <c r="L2806" i="30"/>
  <c r="P2806" i="30"/>
  <c r="M2807" i="30"/>
  <c r="S2802" i="30"/>
  <c r="N2806" i="30"/>
  <c r="S2809" i="30"/>
  <c r="K2805" i="30"/>
  <c r="J2805" i="30"/>
  <c r="L2804" i="30"/>
  <c r="O2806" i="30"/>
  <c r="G2802" i="30"/>
  <c r="P2805" i="30"/>
  <c r="G2809" i="30"/>
  <c r="M2804" i="30"/>
  <c r="N2809" i="30"/>
  <c r="R2805" i="30"/>
  <c r="L2805" i="30"/>
  <c r="I2804" i="30"/>
  <c r="L2808" i="30"/>
  <c r="Q2808" i="30"/>
  <c r="N2803" i="30"/>
  <c r="K2806" i="30"/>
  <c r="T2809" i="30"/>
  <c r="U2345" i="30"/>
  <c r="O435" i="32" s="1"/>
  <c r="G1343" i="30" a="1"/>
  <c r="R2063" i="30"/>
  <c r="S2060" i="30"/>
  <c r="O2062" i="30"/>
  <c r="S2063" i="30"/>
  <c r="J2060" i="30"/>
  <c r="G2063" i="30"/>
  <c r="H2062" i="30"/>
  <c r="K2062" i="30"/>
  <c r="O2061" i="30"/>
  <c r="R2060" i="30"/>
  <c r="R2062" i="30"/>
  <c r="L2062" i="30"/>
  <c r="G2060" i="30"/>
  <c r="O2063" i="30"/>
  <c r="M2061" i="30"/>
  <c r="L2063" i="30"/>
  <c r="N2062" i="30"/>
  <c r="N2060" i="30"/>
  <c r="T2063" i="30"/>
  <c r="I2061" i="30"/>
  <c r="M2060" i="30"/>
  <c r="G2062" i="30"/>
  <c r="P2062" i="30"/>
  <c r="J2062" i="30"/>
  <c r="J2061" i="30"/>
  <c r="Q2061" i="30"/>
  <c r="R2061" i="30"/>
  <c r="L2060" i="30"/>
  <c r="H2060" i="30"/>
  <c r="S2062" i="30"/>
  <c r="I2063" i="30"/>
  <c r="Q2060" i="30"/>
  <c r="Q2063" i="30"/>
  <c r="T2062" i="30"/>
  <c r="I2060" i="30"/>
  <c r="I2062" i="30"/>
  <c r="Q2062" i="30"/>
  <c r="M2062" i="30"/>
  <c r="H2063" i="30"/>
  <c r="N2061" i="30"/>
  <c r="P2061" i="30"/>
  <c r="O2060" i="30"/>
  <c r="M2063" i="30"/>
  <c r="K2063" i="30"/>
  <c r="H2061" i="30"/>
  <c r="L2061" i="30"/>
  <c r="G2061" i="30"/>
  <c r="J2063" i="30"/>
  <c r="N2063" i="30"/>
  <c r="T2061" i="30"/>
  <c r="T2060" i="30"/>
  <c r="S2061" i="30"/>
  <c r="K2060" i="30"/>
  <c r="K2061" i="30"/>
  <c r="P2063" i="30"/>
  <c r="P2060" i="30"/>
  <c r="Q1736" i="30"/>
  <c r="M1734" i="30"/>
  <c r="I1732" i="30"/>
  <c r="H1738" i="30"/>
  <c r="R1735" i="30"/>
  <c r="N1733" i="30"/>
  <c r="J1731" i="30"/>
  <c r="S1736" i="30"/>
  <c r="O1734" i="30"/>
  <c r="K1732" i="30"/>
  <c r="R1734" i="30"/>
  <c r="L1733" i="30"/>
  <c r="H1733" i="30"/>
  <c r="R1732" i="30"/>
  <c r="Q1738" i="30"/>
  <c r="I1734" i="30"/>
  <c r="S1731" i="30"/>
  <c r="N1735" i="30"/>
  <c r="J1733" i="30"/>
  <c r="O1736" i="30"/>
  <c r="K1734" i="30"/>
  <c r="P1733" i="30"/>
  <c r="T1731" i="30"/>
  <c r="M1736" i="30"/>
  <c r="R1737" i="30"/>
  <c r="S1738" i="30"/>
  <c r="G1732" i="30"/>
  <c r="J1732" i="30"/>
  <c r="M1738" i="30"/>
  <c r="I1736" i="30"/>
  <c r="S1733" i="30"/>
  <c r="O1731" i="30"/>
  <c r="N1737" i="30"/>
  <c r="J1735" i="30"/>
  <c r="T1732" i="30"/>
  <c r="O1738" i="30"/>
  <c r="K1736" i="30"/>
  <c r="G1734" i="30"/>
  <c r="Q1731" i="30"/>
  <c r="I1738" i="30"/>
  <c r="S1735" i="30"/>
  <c r="O1733" i="30"/>
  <c r="K1731" i="30"/>
  <c r="J1737" i="30"/>
  <c r="T1734" i="30"/>
  <c r="P1732" i="30"/>
  <c r="K1738" i="30"/>
  <c r="G1736" i="30"/>
  <c r="Q1733" i="30"/>
  <c r="M1731" i="30"/>
  <c r="L1731" i="30"/>
  <c r="R1738" i="30"/>
  <c r="P1731" i="30"/>
  <c r="S1737" i="30"/>
  <c r="O1735" i="30"/>
  <c r="K1733" i="30"/>
  <c r="G1731" i="30"/>
  <c r="T1736" i="30"/>
  <c r="P1734" i="30"/>
  <c r="L1732" i="30"/>
  <c r="G1738" i="30"/>
  <c r="Q1735" i="30"/>
  <c r="M1733" i="30"/>
  <c r="I1731" i="30"/>
  <c r="T1737" i="30"/>
  <c r="P1737" i="30"/>
  <c r="H1735" i="30"/>
  <c r="O1737" i="30"/>
  <c r="K1735" i="30"/>
  <c r="G1733" i="30"/>
  <c r="T1738" i="30"/>
  <c r="P1736" i="30"/>
  <c r="L1734" i="30"/>
  <c r="H1732" i="30"/>
  <c r="Q1737" i="30"/>
  <c r="M1735" i="30"/>
  <c r="I1733" i="30"/>
  <c r="J1738" i="30"/>
  <c r="R1736" i="30"/>
  <c r="N1736" i="30"/>
  <c r="N1738" i="30"/>
  <c r="K1737" i="30"/>
  <c r="G1735" i="30"/>
  <c r="Q1732" i="30"/>
  <c r="P1738" i="30"/>
  <c r="L1736" i="30"/>
  <c r="H1734" i="30"/>
  <c r="R1731" i="30"/>
  <c r="M1737" i="30"/>
  <c r="I1735" i="30"/>
  <c r="S1732" i="30"/>
  <c r="H1737" i="30"/>
  <c r="P1735" i="30"/>
  <c r="L1735" i="30"/>
  <c r="T1733" i="30"/>
  <c r="G1737" i="30"/>
  <c r="S1734" i="30"/>
  <c r="L1737" i="30"/>
  <c r="M1732" i="30"/>
  <c r="L1738" i="30"/>
  <c r="N1732" i="30"/>
  <c r="H1736" i="30"/>
  <c r="N1734" i="30"/>
  <c r="Q1734" i="30"/>
  <c r="T1735" i="30"/>
  <c r="R1733" i="30"/>
  <c r="H1731" i="30"/>
  <c r="O1732" i="30"/>
  <c r="N1731" i="30"/>
  <c r="J1734" i="30"/>
  <c r="I1737" i="30"/>
  <c r="J1736" i="30"/>
  <c r="U1556" i="30"/>
  <c r="U1274" i="30"/>
  <c r="N288" i="32" s="1"/>
  <c r="U1276" i="30"/>
  <c r="P288" i="32" s="1"/>
  <c r="E5" i="13"/>
  <c r="T206" i="13"/>
  <c r="BJ206" i="13" s="1"/>
  <c r="BL206" i="13" s="1"/>
  <c r="BM206" i="13" s="1"/>
  <c r="BJ205" i="13"/>
  <c r="U1711" i="30"/>
  <c r="P609" i="13"/>
  <c r="AP609" i="13" s="1"/>
  <c r="AR609" i="13" s="1"/>
  <c r="AS609" i="13" s="1"/>
  <c r="AP608" i="13"/>
  <c r="AR608" i="13" s="1"/>
  <c r="AS608" i="13" s="1"/>
  <c r="BG294" i="13"/>
  <c r="BH294" i="13" s="1"/>
  <c r="G2626" i="30"/>
  <c r="T2626" i="30"/>
  <c r="J2625" i="30"/>
  <c r="O2625" i="30"/>
  <c r="S2625" i="30"/>
  <c r="L2628" i="30"/>
  <c r="R2627" i="30"/>
  <c r="I2626" i="30"/>
  <c r="P2626" i="30"/>
  <c r="Q2627" i="30"/>
  <c r="S2627" i="30"/>
  <c r="I2627" i="30"/>
  <c r="I2625" i="30"/>
  <c r="J2626" i="30"/>
  <c r="G2625" i="30"/>
  <c r="Q2628" i="30"/>
  <c r="H2627" i="30"/>
  <c r="P2625" i="30"/>
  <c r="N2628" i="30"/>
  <c r="R2625" i="30"/>
  <c r="Q2626" i="30"/>
  <c r="P2627" i="30"/>
  <c r="G2628" i="30"/>
  <c r="N2627" i="30"/>
  <c r="M2627" i="30"/>
  <c r="P2628" i="30"/>
  <c r="T2628" i="30"/>
  <c r="K2626" i="30"/>
  <c r="K2627" i="30"/>
  <c r="Q2625" i="30"/>
  <c r="N2625" i="30"/>
  <c r="H2628" i="30"/>
  <c r="O2626" i="30"/>
  <c r="T2625" i="30"/>
  <c r="R2626" i="30"/>
  <c r="S2626" i="30"/>
  <c r="S2628" i="30"/>
  <c r="H2626" i="30"/>
  <c r="L2627" i="30"/>
  <c r="O2627" i="30"/>
  <c r="J2628" i="30"/>
  <c r="G2627" i="30"/>
  <c r="L2625" i="30"/>
  <c r="H2625" i="30"/>
  <c r="O2628" i="30"/>
  <c r="R2628" i="30"/>
  <c r="J2627" i="30"/>
  <c r="I2628" i="30"/>
  <c r="M2628" i="30"/>
  <c r="N2626" i="30"/>
  <c r="M2626" i="30"/>
  <c r="L2626" i="30"/>
  <c r="T2627" i="30"/>
  <c r="K2628" i="30"/>
  <c r="M2625" i="30"/>
  <c r="K2625" i="30"/>
  <c r="B22" i="27"/>
  <c r="P35" i="13"/>
  <c r="R35" i="13" s="1"/>
  <c r="S35" i="13" s="1"/>
  <c r="AW171" i="13"/>
  <c r="AX171" i="13" s="1"/>
  <c r="U1684" i="30"/>
  <c r="P344" i="32" s="1"/>
  <c r="G2678" i="30"/>
  <c r="T2679" i="30"/>
  <c r="N2676" i="30"/>
  <c r="L2678" i="30"/>
  <c r="R2676" i="30"/>
  <c r="S2676" i="30"/>
  <c r="K2678" i="30"/>
  <c r="N2677" i="30"/>
  <c r="S2678" i="30"/>
  <c r="H2678" i="30"/>
  <c r="I2679" i="30"/>
  <c r="K2679" i="30"/>
  <c r="O2679" i="30"/>
  <c r="J2676" i="30"/>
  <c r="P2678" i="30"/>
  <c r="L2679" i="30"/>
  <c r="R2677" i="30"/>
  <c r="Q2676" i="30"/>
  <c r="L2676" i="30"/>
  <c r="H2677" i="30"/>
  <c r="O2678" i="30"/>
  <c r="Q2677" i="30"/>
  <c r="O2676" i="30"/>
  <c r="T2678" i="30"/>
  <c r="T2677" i="30"/>
  <c r="Q2679" i="30"/>
  <c r="S2679" i="30"/>
  <c r="R2679" i="30"/>
  <c r="I2677" i="30"/>
  <c r="M2677" i="30"/>
  <c r="P2676" i="30"/>
  <c r="N2679" i="30"/>
  <c r="P2677" i="30"/>
  <c r="H2679" i="30"/>
  <c r="G2677" i="30"/>
  <c r="J2679" i="30"/>
  <c r="H2676" i="30"/>
  <c r="Q2678" i="30"/>
  <c r="G2676" i="30"/>
  <c r="T2676" i="30"/>
  <c r="M2679" i="30"/>
  <c r="I2678" i="30"/>
  <c r="O2677" i="30"/>
  <c r="G2679" i="30"/>
  <c r="M2676" i="30"/>
  <c r="M2678" i="30"/>
  <c r="S2677" i="30"/>
  <c r="K2677" i="30"/>
  <c r="J2678" i="30"/>
  <c r="J2677" i="30"/>
  <c r="N2678" i="30"/>
  <c r="P2679" i="30"/>
  <c r="K2676" i="30"/>
  <c r="R2678" i="30"/>
  <c r="I2676" i="30"/>
  <c r="L2677" i="30"/>
  <c r="U2549" i="30"/>
  <c r="O463" i="32" s="1"/>
  <c r="J1967" i="30"/>
  <c r="O1969" i="30"/>
  <c r="G1969" i="30"/>
  <c r="S1969" i="30"/>
  <c r="Q1967" i="30"/>
  <c r="S1968" i="30"/>
  <c r="H1968" i="30"/>
  <c r="I1969" i="30"/>
  <c r="G1966" i="30"/>
  <c r="H1969" i="30"/>
  <c r="N1968" i="30"/>
  <c r="O1967" i="30"/>
  <c r="P1969" i="30"/>
  <c r="Q1969" i="30"/>
  <c r="L1968" i="30"/>
  <c r="J1968" i="30"/>
  <c r="T1969" i="30"/>
  <c r="N1966" i="30"/>
  <c r="O1966" i="30"/>
  <c r="P1966" i="30"/>
  <c r="R1967" i="30"/>
  <c r="J1966" i="30"/>
  <c r="K1967" i="30"/>
  <c r="T1967" i="30"/>
  <c r="N1967" i="30"/>
  <c r="J1969" i="30"/>
  <c r="R1969" i="30"/>
  <c r="L1966" i="30"/>
  <c r="G1968" i="30"/>
  <c r="K1966" i="30"/>
  <c r="G1967" i="30"/>
  <c r="I1968" i="30"/>
  <c r="L1969" i="30"/>
  <c r="H1967" i="30"/>
  <c r="K1969" i="30"/>
  <c r="M1967" i="30"/>
  <c r="T1966" i="30"/>
  <c r="O1968" i="30"/>
  <c r="N1969" i="30"/>
  <c r="S1967" i="30"/>
  <c r="Q1968" i="30"/>
  <c r="P1967" i="30"/>
  <c r="K1968" i="30"/>
  <c r="H1966" i="30"/>
  <c r="R1966" i="30"/>
  <c r="I1967" i="30"/>
  <c r="I1966" i="30"/>
  <c r="M1968" i="30"/>
  <c r="S1966" i="30"/>
  <c r="P1968" i="30"/>
  <c r="Q1966" i="30"/>
  <c r="M1969" i="30"/>
  <c r="M1966" i="30"/>
  <c r="T1968" i="30"/>
  <c r="L1967" i="30"/>
  <c r="R1968" i="30"/>
  <c r="U1581" i="30"/>
  <c r="O330" i="32" s="1"/>
  <c r="P1748" i="30"/>
  <c r="H1746" i="30"/>
  <c r="P1747" i="30"/>
  <c r="N1746" i="30"/>
  <c r="J1746" i="30"/>
  <c r="T1749" i="30"/>
  <c r="M1746" i="30"/>
  <c r="K1747" i="30"/>
  <c r="Q1747" i="30"/>
  <c r="N1747" i="30"/>
  <c r="T1747" i="30"/>
  <c r="I1748" i="30"/>
  <c r="S1747" i="30"/>
  <c r="O1747" i="30"/>
  <c r="L1746" i="30"/>
  <c r="N1748" i="30"/>
  <c r="I1746" i="30"/>
  <c r="Q1748" i="30"/>
  <c r="M1748" i="30"/>
  <c r="N1749" i="30"/>
  <c r="J1749" i="30"/>
  <c r="G1748" i="30"/>
  <c r="P1749" i="30"/>
  <c r="R1746" i="30"/>
  <c r="K1746" i="30"/>
  <c r="S1748" i="30"/>
  <c r="R1749" i="30"/>
  <c r="J1747" i="30"/>
  <c r="K1748" i="30"/>
  <c r="I1749" i="30"/>
  <c r="O1746" i="30"/>
  <c r="H1747" i="30"/>
  <c r="H1749" i="30"/>
  <c r="G1746" i="30"/>
  <c r="O1748" i="30"/>
  <c r="R1747" i="30"/>
  <c r="S1746" i="30"/>
  <c r="J1748" i="30"/>
  <c r="L1748" i="30"/>
  <c r="K1749" i="30"/>
  <c r="G1749" i="30"/>
  <c r="R1748" i="30"/>
  <c r="M1749" i="30"/>
  <c r="O1749" i="30"/>
  <c r="G1747" i="30"/>
  <c r="I1747" i="30"/>
  <c r="T1748" i="30"/>
  <c r="Q1746" i="30"/>
  <c r="Q1749" i="30"/>
  <c r="L1749" i="30"/>
  <c r="P1746" i="30"/>
  <c r="L1747" i="30"/>
  <c r="M1747" i="30"/>
  <c r="H1748" i="30"/>
  <c r="T1746" i="30"/>
  <c r="S1749" i="30"/>
  <c r="U2103" i="30"/>
  <c r="U1483" i="30"/>
  <c r="S316" i="32" s="1"/>
  <c r="U1481" i="30"/>
  <c r="Q316" i="32" s="1"/>
  <c r="U1480" i="30"/>
  <c r="P316" i="32" s="1"/>
  <c r="U2588" i="30"/>
  <c r="U2589" i="30" s="1"/>
  <c r="U2002" i="30"/>
  <c r="U406" i="30"/>
  <c r="D81" i="32" s="1"/>
  <c r="G1801" i="30" a="1"/>
  <c r="G1813" i="30" a="1"/>
  <c r="P5" i="13"/>
  <c r="R5" i="13" s="1"/>
  <c r="S5" i="13" s="1"/>
  <c r="U2681" i="30"/>
  <c r="G1296" i="30" a="1"/>
  <c r="P9" i="13"/>
  <c r="R9" i="13" s="1"/>
  <c r="S9" i="13" s="1"/>
  <c r="BJ894" i="13"/>
  <c r="T908" i="13"/>
  <c r="P186" i="13"/>
  <c r="AP186" i="13" s="1"/>
  <c r="AR186" i="13" s="1"/>
  <c r="AS186" i="13" s="1"/>
  <c r="AP185" i="13"/>
  <c r="AR185" i="13" s="1"/>
  <c r="AS185" i="13" s="1"/>
  <c r="U2349" i="30"/>
  <c r="S435" i="32" s="1"/>
  <c r="U2346" i="30"/>
  <c r="P435" i="32" s="1"/>
  <c r="S429" i="13"/>
  <c r="BE429" i="13" s="1"/>
  <c r="BG429" i="13" s="1"/>
  <c r="BH429" i="13" s="1"/>
  <c r="BE428" i="13"/>
  <c r="BG428" i="13" s="1"/>
  <c r="BH428" i="13" s="1"/>
  <c r="AF205" i="13"/>
  <c r="AH205" i="13" s="1"/>
  <c r="AI205" i="13" s="1"/>
  <c r="N206" i="13"/>
  <c r="AF206" i="13" s="1"/>
  <c r="AH206" i="13" s="1"/>
  <c r="AI206" i="13" s="1"/>
  <c r="U1819" i="30"/>
  <c r="U1820" i="30" s="1"/>
  <c r="U2782" i="30"/>
  <c r="E55" i="13"/>
  <c r="BL191" i="13"/>
  <c r="BM191" i="13" s="1"/>
  <c r="G55" i="13" s="1"/>
  <c r="AR594" i="13"/>
  <c r="AS594" i="13" s="1"/>
  <c r="S1551" i="30"/>
  <c r="N1551" i="30"/>
  <c r="K1552" i="30"/>
  <c r="M1552" i="30"/>
  <c r="L1554" i="30"/>
  <c r="P1554" i="30"/>
  <c r="S1552" i="30"/>
  <c r="G1553" i="30"/>
  <c r="N1553" i="30"/>
  <c r="L1551" i="30"/>
  <c r="H1552" i="30"/>
  <c r="R1553" i="30"/>
  <c r="O1551" i="30"/>
  <c r="Q1552" i="30"/>
  <c r="T1553" i="30"/>
  <c r="R1552" i="30"/>
  <c r="N1552" i="30"/>
  <c r="R1554" i="30"/>
  <c r="P1553" i="30"/>
  <c r="M1551" i="30"/>
  <c r="T1554" i="30"/>
  <c r="L1552" i="30"/>
  <c r="T1551" i="30"/>
  <c r="I1552" i="30"/>
  <c r="M1553" i="30"/>
  <c r="O1553" i="30"/>
  <c r="T1552" i="30"/>
  <c r="G1552" i="30"/>
  <c r="G1551" i="30"/>
  <c r="R1551" i="30"/>
  <c r="P1552" i="30"/>
  <c r="H1553" i="30"/>
  <c r="N1554" i="30"/>
  <c r="P1551" i="30"/>
  <c r="S1553" i="30"/>
  <c r="Q1551" i="30"/>
  <c r="O1552" i="30"/>
  <c r="S1554" i="30"/>
  <c r="M1554" i="30"/>
  <c r="I1553" i="30"/>
  <c r="Q1553" i="30"/>
  <c r="I1554" i="30"/>
  <c r="K1553" i="30"/>
  <c r="H1551" i="30"/>
  <c r="K1554" i="30"/>
  <c r="O1554" i="30"/>
  <c r="K1551" i="30"/>
  <c r="J1554" i="30"/>
  <c r="L1553" i="30"/>
  <c r="I1551" i="30"/>
  <c r="J1552" i="30"/>
  <c r="Q1554" i="30"/>
  <c r="H1554" i="30"/>
  <c r="G1554" i="30"/>
  <c r="J1551" i="30"/>
  <c r="J1553" i="30"/>
  <c r="L1350" i="30"/>
  <c r="U1606" i="30"/>
  <c r="U1607" i="30"/>
  <c r="U1688" i="30"/>
  <c r="T344" i="32" s="1"/>
  <c r="U2548" i="30"/>
  <c r="N463" i="32" s="1"/>
  <c r="U2554" i="30"/>
  <c r="T463" i="32" s="1"/>
  <c r="Q2825" i="30"/>
  <c r="I2827" i="30"/>
  <c r="M2827" i="30"/>
  <c r="H2827" i="30"/>
  <c r="T2828" i="30"/>
  <c r="J2826" i="30"/>
  <c r="R2825" i="30"/>
  <c r="L2827" i="30"/>
  <c r="T2825" i="30"/>
  <c r="K2826" i="30"/>
  <c r="M2825" i="30"/>
  <c r="S2828" i="30"/>
  <c r="J2828" i="30"/>
  <c r="I2828" i="30"/>
  <c r="L2828" i="30"/>
  <c r="G2825" i="30"/>
  <c r="I2825" i="30"/>
  <c r="R2828" i="30"/>
  <c r="N2826" i="30"/>
  <c r="H2828" i="30"/>
  <c r="T2826" i="30"/>
  <c r="J2827" i="30"/>
  <c r="R2827" i="30"/>
  <c r="S2825" i="30"/>
  <c r="O2827" i="30"/>
  <c r="K2827" i="30"/>
  <c r="P2826" i="30"/>
  <c r="K2828" i="30"/>
  <c r="P2825" i="30"/>
  <c r="N2828" i="30"/>
  <c r="Q2827" i="30"/>
  <c r="N2825" i="30"/>
  <c r="O2826" i="30"/>
  <c r="T2827" i="30"/>
  <c r="Q2826" i="30"/>
  <c r="Q2828" i="30"/>
  <c r="J2825" i="30"/>
  <c r="L2825" i="30"/>
  <c r="M2828" i="30"/>
  <c r="G2826" i="30"/>
  <c r="G2828" i="30"/>
  <c r="O2828" i="30"/>
  <c r="G2827" i="30"/>
  <c r="H2826" i="30"/>
  <c r="P2828" i="30"/>
  <c r="S2826" i="30"/>
  <c r="H2825" i="30"/>
  <c r="L2826" i="30"/>
  <c r="P2827" i="30"/>
  <c r="O2825" i="30"/>
  <c r="I2826" i="30"/>
  <c r="S2827" i="30"/>
  <c r="K2825" i="30"/>
  <c r="R2826" i="30"/>
  <c r="M2826" i="30"/>
  <c r="N2827" i="30"/>
  <c r="R1605" i="30"/>
  <c r="M1605" i="30"/>
  <c r="N1604" i="30"/>
  <c r="Q1603" i="30"/>
  <c r="S1604" i="30"/>
  <c r="R1602" i="30"/>
  <c r="L1604" i="30"/>
  <c r="I1603" i="30"/>
  <c r="L1602" i="30"/>
  <c r="N1602" i="30"/>
  <c r="J1605" i="30"/>
  <c r="Q1602" i="30"/>
  <c r="O1605" i="30"/>
  <c r="T1604" i="30"/>
  <c r="R1603" i="30"/>
  <c r="S1602" i="30"/>
  <c r="R1604" i="30"/>
  <c r="M1604" i="30"/>
  <c r="M1602" i="30"/>
  <c r="J1603" i="30"/>
  <c r="Q1604" i="30"/>
  <c r="O1604" i="30"/>
  <c r="J1602" i="30"/>
  <c r="M1603" i="30"/>
  <c r="J1604" i="30"/>
  <c r="H1603" i="30"/>
  <c r="O1602" i="30"/>
  <c r="I1604" i="30"/>
  <c r="T1602" i="30"/>
  <c r="K1604" i="30"/>
  <c r="P1602" i="30"/>
  <c r="K1605" i="30"/>
  <c r="T1603" i="30"/>
  <c r="H1605" i="30"/>
  <c r="G1604" i="30"/>
  <c r="Q1605" i="30"/>
  <c r="H1604" i="30"/>
  <c r="P1603" i="30"/>
  <c r="G1602" i="30"/>
  <c r="P1604" i="30"/>
  <c r="P1605" i="30"/>
  <c r="K1602" i="30"/>
  <c r="G1603" i="30"/>
  <c r="T1605" i="30"/>
  <c r="O1603" i="30"/>
  <c r="K1603" i="30"/>
  <c r="S1605" i="30"/>
  <c r="N1605" i="30"/>
  <c r="S1603" i="30"/>
  <c r="N1603" i="30"/>
  <c r="I1605" i="30"/>
  <c r="H1602" i="30"/>
  <c r="L1605" i="30"/>
  <c r="G1605" i="30"/>
  <c r="L1603" i="30"/>
  <c r="I1602" i="30"/>
  <c r="Q1341" i="30"/>
  <c r="J1341" i="30"/>
  <c r="O1342" i="30"/>
  <c r="L1341" i="30"/>
  <c r="Q1339" i="30"/>
  <c r="H1342" i="30"/>
  <c r="L1342" i="30"/>
  <c r="M1341" i="30"/>
  <c r="H1339" i="30"/>
  <c r="G1342" i="30"/>
  <c r="R1340" i="30"/>
  <c r="I1341" i="30"/>
  <c r="I1339" i="30"/>
  <c r="P1342" i="30"/>
  <c r="Q1340" i="30"/>
  <c r="H1340" i="30"/>
  <c r="N1340" i="30"/>
  <c r="S1339" i="30"/>
  <c r="O1341" i="30"/>
  <c r="G1340" i="30"/>
  <c r="R1342" i="30"/>
  <c r="N1342" i="30"/>
  <c r="N1341" i="30"/>
  <c r="H1341" i="30"/>
  <c r="T1340" i="30"/>
  <c r="I1342" i="30"/>
  <c r="J1340" i="30"/>
  <c r="S1341" i="30"/>
  <c r="T1339" i="30"/>
  <c r="J1342" i="30"/>
  <c r="Q1342" i="30"/>
  <c r="L1340" i="30"/>
  <c r="R1339" i="30"/>
  <c r="I1340" i="30"/>
  <c r="K1342" i="30"/>
  <c r="G1339" i="30"/>
  <c r="K1341" i="30"/>
  <c r="M1340" i="30"/>
  <c r="L1339" i="30"/>
  <c r="J1339" i="30"/>
  <c r="O1339" i="30"/>
  <c r="P1341" i="30"/>
  <c r="M1339" i="30"/>
  <c r="P1340" i="30"/>
  <c r="S1340" i="30"/>
  <c r="N1339" i="30"/>
  <c r="S1342" i="30"/>
  <c r="T1342" i="30"/>
  <c r="R1341" i="30"/>
  <c r="G1341" i="30"/>
  <c r="M1342" i="30"/>
  <c r="P1339" i="30"/>
  <c r="K1339" i="30"/>
  <c r="K1340" i="30"/>
  <c r="T1341" i="30"/>
  <c r="O1340" i="30"/>
  <c r="AZ894" i="13"/>
  <c r="R908" i="13"/>
  <c r="U1900" i="30"/>
  <c r="G2514" i="30"/>
  <c r="Q2512" i="30"/>
  <c r="O2513" i="30"/>
  <c r="I2511" i="30"/>
  <c r="T2511" i="30"/>
  <c r="Q2511" i="30"/>
  <c r="N2514" i="30"/>
  <c r="K2512" i="30"/>
  <c r="M2514" i="30"/>
  <c r="I2514" i="30"/>
  <c r="L2511" i="30"/>
  <c r="T2514" i="30"/>
  <c r="I2513" i="30"/>
  <c r="Q2513" i="30"/>
  <c r="L2514" i="30"/>
  <c r="H2514" i="30"/>
  <c r="H2513" i="30"/>
  <c r="I2512" i="30"/>
  <c r="P2513" i="30"/>
  <c r="P2514" i="30"/>
  <c r="T2513" i="30"/>
  <c r="O2511" i="30"/>
  <c r="J2512" i="30"/>
  <c r="K2511" i="30"/>
  <c r="S2511" i="30"/>
  <c r="G2512" i="30"/>
  <c r="K2514" i="30"/>
  <c r="L2512" i="30"/>
  <c r="N2513" i="30"/>
  <c r="M2511" i="30"/>
  <c r="J2514" i="30"/>
  <c r="M2512" i="30"/>
  <c r="H2511" i="30"/>
  <c r="O2514" i="30"/>
  <c r="T2512" i="30"/>
  <c r="R2512" i="30"/>
  <c r="M2513" i="30"/>
  <c r="S2513" i="30"/>
  <c r="N2511" i="30"/>
  <c r="R2513" i="30"/>
  <c r="J2513" i="30"/>
  <c r="N2512" i="30"/>
  <c r="P2512" i="30"/>
  <c r="O2512" i="30"/>
  <c r="H2512" i="30"/>
  <c r="K2513" i="30"/>
  <c r="G2513" i="30"/>
  <c r="R2511" i="30"/>
  <c r="J2511" i="30"/>
  <c r="L2513" i="30"/>
  <c r="P2511" i="30"/>
  <c r="G2511" i="30"/>
  <c r="S2512" i="30"/>
  <c r="R2514" i="30"/>
  <c r="S2514" i="30"/>
  <c r="Q2514" i="30"/>
  <c r="U1479" i="30"/>
  <c r="O316" i="32" s="1"/>
  <c r="U1508" i="30"/>
  <c r="U1509" i="30"/>
  <c r="U2009" i="30"/>
  <c r="U393" i="30"/>
  <c r="F79" i="32" s="1"/>
  <c r="U397" i="30"/>
  <c r="J79" i="32" s="1"/>
  <c r="N163" i="13"/>
  <c r="AF163" i="13" s="1"/>
  <c r="AH163" i="13" s="1"/>
  <c r="AI163" i="13" s="1"/>
  <c r="AF183" i="13"/>
  <c r="AH183" i="13" s="1"/>
  <c r="AI183" i="13" s="1"/>
  <c r="B6" i="27"/>
  <c r="P29" i="13"/>
  <c r="R29" i="13" s="1"/>
  <c r="S29" i="13" s="1"/>
  <c r="U2266" i="30"/>
  <c r="U2267" i="30" s="1"/>
  <c r="O424" i="32" s="1"/>
  <c r="AF908" i="13"/>
  <c r="N909" i="13"/>
  <c r="AF909" i="13" s="1"/>
  <c r="AP408" i="13"/>
  <c r="AR408" i="13" s="1"/>
  <c r="AS408" i="13" s="1"/>
  <c r="P409" i="13"/>
  <c r="AP409" i="13" s="1"/>
  <c r="AR409" i="13" s="1"/>
  <c r="AS409" i="13" s="1"/>
  <c r="T849" i="13"/>
  <c r="BJ849" i="13" s="1"/>
  <c r="BL849" i="13" s="1"/>
  <c r="BM849" i="13" s="1"/>
  <c r="BJ848" i="13"/>
  <c r="BL848" i="13" s="1"/>
  <c r="BM848" i="13" s="1"/>
  <c r="BJ151" i="13"/>
  <c r="BL151" i="13" s="1"/>
  <c r="BM151" i="13" s="1"/>
  <c r="T165" i="13"/>
  <c r="AR171" i="13"/>
  <c r="AS171" i="13" s="1"/>
  <c r="I2109" i="30"/>
  <c r="N2110" i="30"/>
  <c r="T2107" i="30"/>
  <c r="P2110" i="30"/>
  <c r="R2109" i="30"/>
  <c r="L2109" i="30"/>
  <c r="S2109" i="30"/>
  <c r="N2107" i="30"/>
  <c r="Q2110" i="30"/>
  <c r="O2107" i="30"/>
  <c r="K2110" i="30"/>
  <c r="Q2108" i="30"/>
  <c r="G2107" i="30"/>
  <c r="M2109" i="30"/>
  <c r="J2108" i="30"/>
  <c r="H2109" i="30"/>
  <c r="I2107" i="30"/>
  <c r="M2107" i="30"/>
  <c r="M2108" i="30"/>
  <c r="Q2109" i="30"/>
  <c r="N2108" i="30"/>
  <c r="H2107" i="30"/>
  <c r="K2108" i="30"/>
  <c r="L2110" i="30"/>
  <c r="P2108" i="30"/>
  <c r="P2109" i="30"/>
  <c r="R2108" i="30"/>
  <c r="O2109" i="30"/>
  <c r="J2109" i="30"/>
  <c r="S2110" i="30"/>
  <c r="G2108" i="30"/>
  <c r="G2110" i="30"/>
  <c r="S2107" i="30"/>
  <c r="Q2107" i="30"/>
  <c r="O2108" i="30"/>
  <c r="G2109" i="30"/>
  <c r="I2110" i="30"/>
  <c r="T2108" i="30"/>
  <c r="S2108" i="30"/>
  <c r="M2110" i="30"/>
  <c r="H2110" i="30"/>
  <c r="R2107" i="30"/>
  <c r="H2108" i="30"/>
  <c r="K2107" i="30"/>
  <c r="T2110" i="30"/>
  <c r="I2108" i="30"/>
  <c r="L2108" i="30"/>
  <c r="J2107" i="30"/>
  <c r="N2109" i="30"/>
  <c r="P2107" i="30"/>
  <c r="O2110" i="30"/>
  <c r="R2110" i="30"/>
  <c r="T2109" i="30"/>
  <c r="L2107" i="30"/>
  <c r="J2110" i="30"/>
  <c r="K2109" i="30"/>
  <c r="R1254" i="30"/>
  <c r="O1253" i="30"/>
  <c r="H1256" i="30"/>
  <c r="S1256" i="30"/>
  <c r="Q1256" i="30"/>
  <c r="G1766" i="30"/>
  <c r="U1766" i="30" s="1"/>
  <c r="U1767" i="30"/>
  <c r="R353" i="32"/>
  <c r="R354" i="32"/>
  <c r="AH191" i="13"/>
  <c r="AI191" i="13" s="1"/>
  <c r="G2359" i="30"/>
  <c r="G2360" i="30"/>
  <c r="H2360" i="30"/>
  <c r="R2360" i="30"/>
  <c r="T2359" i="30"/>
  <c r="I2358" i="30"/>
  <c r="H2359" i="30"/>
  <c r="I2359" i="30"/>
  <c r="L2361" i="30"/>
  <c r="I2361" i="30"/>
  <c r="M2360" i="30"/>
  <c r="R2358" i="30"/>
  <c r="M2358" i="30"/>
  <c r="L2359" i="30"/>
  <c r="J2361" i="30"/>
  <c r="T2360" i="30"/>
  <c r="Q2361" i="30"/>
  <c r="R2361" i="30"/>
  <c r="K2359" i="30"/>
  <c r="K1534" i="30"/>
  <c r="G1532" i="30"/>
  <c r="Q1529" i="30"/>
  <c r="P1535" i="30"/>
  <c r="L1533" i="30"/>
  <c r="H1531" i="30"/>
  <c r="R1528" i="30"/>
  <c r="M1534" i="30"/>
  <c r="I1532" i="30"/>
  <c r="S1529" i="30"/>
  <c r="R1533" i="30"/>
  <c r="N1533" i="30"/>
  <c r="H1532" i="30"/>
  <c r="R1531" i="30"/>
  <c r="Q1533" i="30"/>
  <c r="M1531" i="30"/>
  <c r="I1529" i="30"/>
  <c r="H1535" i="30"/>
  <c r="R1532" i="30"/>
  <c r="N1530" i="30"/>
  <c r="J1528" i="30"/>
  <c r="S1533" i="30"/>
  <c r="O1531" i="30"/>
  <c r="K1529" i="30"/>
  <c r="N1531" i="30"/>
  <c r="J1531" i="30"/>
  <c r="R1529" i="30"/>
  <c r="P1530" i="30"/>
  <c r="M1535" i="30"/>
  <c r="I1533" i="30"/>
  <c r="S1530" i="30"/>
  <c r="O1528" i="30"/>
  <c r="N1534" i="30"/>
  <c r="J1532" i="30"/>
  <c r="T1529" i="30"/>
  <c r="O1535" i="30"/>
  <c r="K1533" i="30"/>
  <c r="G1531" i="30"/>
  <c r="Q1528" i="30"/>
  <c r="J1529" i="30"/>
  <c r="T1528" i="30"/>
  <c r="H1534" i="30"/>
  <c r="Q1535" i="30"/>
  <c r="K1532" i="30"/>
  <c r="K1528" i="30"/>
  <c r="H1533" i="30"/>
  <c r="L1529" i="30"/>
  <c r="O1533" i="30"/>
  <c r="I1530" i="30"/>
  <c r="H1528" i="30"/>
  <c r="T1530" i="30"/>
  <c r="I1535" i="30"/>
  <c r="Q1531" i="30"/>
  <c r="G1528" i="30"/>
  <c r="N1532" i="30"/>
  <c r="H1529" i="30"/>
  <c r="G1533" i="30"/>
  <c r="O1529" i="30"/>
  <c r="R1535" i="30"/>
  <c r="P1528" i="30"/>
  <c r="G1534" i="30"/>
  <c r="K1530" i="30"/>
  <c r="R1534" i="30"/>
  <c r="L1531" i="30"/>
  <c r="K1535" i="30"/>
  <c r="S1531" i="30"/>
  <c r="I1528" i="30"/>
  <c r="H1530" i="30"/>
  <c r="L1528" i="30"/>
  <c r="M1533" i="30"/>
  <c r="G1530" i="30"/>
  <c r="J1534" i="30"/>
  <c r="R1530" i="30"/>
  <c r="G1535" i="30"/>
  <c r="K1531" i="30"/>
  <c r="T1534" i="30"/>
  <c r="N1535" i="30"/>
  <c r="J1535" i="30"/>
  <c r="O1530" i="30"/>
  <c r="P1531" i="30"/>
  <c r="M1532" i="30"/>
  <c r="L1532" i="30"/>
  <c r="M1529" i="30"/>
  <c r="J1530" i="30"/>
  <c r="Q1530" i="30"/>
  <c r="L1534" i="30"/>
  <c r="S1528" i="30"/>
  <c r="P1529" i="30"/>
  <c r="M1530" i="30"/>
  <c r="J1533" i="30"/>
  <c r="S1534" i="30"/>
  <c r="T1535" i="30"/>
  <c r="N1528" i="30"/>
  <c r="G1529" i="30"/>
  <c r="N1529" i="30"/>
  <c r="O1534" i="30"/>
  <c r="L1535" i="30"/>
  <c r="S1535" i="30"/>
  <c r="M1528" i="30"/>
  <c r="T1532" i="30"/>
  <c r="S1532" i="30"/>
  <c r="T1533" i="30"/>
  <c r="Q1534" i="30"/>
  <c r="P1532" i="30"/>
  <c r="O1532" i="30"/>
  <c r="P1533" i="30"/>
  <c r="I1534" i="30"/>
  <c r="L1530" i="30"/>
  <c r="Q1532" i="30"/>
  <c r="P1534" i="30"/>
  <c r="T1531" i="30"/>
  <c r="I1531" i="30"/>
  <c r="G1695" i="30" a="1"/>
  <c r="U1717" i="30"/>
  <c r="U1718" i="30" s="1"/>
  <c r="G1797" i="30" a="1"/>
  <c r="BE191" i="13"/>
  <c r="S205" i="13"/>
  <c r="N2044" i="30"/>
  <c r="J2042" i="30"/>
  <c r="T2039" i="30"/>
  <c r="P2037" i="30"/>
  <c r="K2043" i="30"/>
  <c r="G2041" i="30"/>
  <c r="Q2038" i="30"/>
  <c r="P2044" i="30"/>
  <c r="L2042" i="30"/>
  <c r="H2040" i="30"/>
  <c r="R2037" i="30"/>
  <c r="I2039" i="30"/>
  <c r="Q2037" i="30"/>
  <c r="O2040" i="30"/>
  <c r="T2043" i="30"/>
  <c r="P2041" i="30"/>
  <c r="L2039" i="30"/>
  <c r="H2037" i="30"/>
  <c r="Q2042" i="30"/>
  <c r="M2040" i="30"/>
  <c r="I2038" i="30"/>
  <c r="H2044" i="30"/>
  <c r="R2041" i="30"/>
  <c r="N2039" i="30"/>
  <c r="J2037" i="30"/>
  <c r="O2044" i="30"/>
  <c r="I2043" i="30"/>
  <c r="M2039" i="30"/>
  <c r="L2043" i="30"/>
  <c r="H2041" i="30"/>
  <c r="R2038" i="30"/>
  <c r="M2044" i="30"/>
  <c r="I2042" i="30"/>
  <c r="S2039" i="30"/>
  <c r="O2037" i="30"/>
  <c r="N2043" i="30"/>
  <c r="J2041" i="30"/>
  <c r="T2038" i="30"/>
  <c r="Q2043" i="30"/>
  <c r="K2042" i="30"/>
  <c r="S2040" i="30"/>
  <c r="K2038" i="30"/>
  <c r="P2043" i="30"/>
  <c r="J2040" i="30"/>
  <c r="I2044" i="30"/>
  <c r="Q2040" i="30"/>
  <c r="G2037" i="30"/>
  <c r="N2041" i="30"/>
  <c r="H2038" i="30"/>
  <c r="I2041" i="30"/>
  <c r="G2044" i="30"/>
  <c r="H2043" i="30"/>
  <c r="P2039" i="30"/>
  <c r="S2043" i="30"/>
  <c r="I2040" i="30"/>
  <c r="T2044" i="30"/>
  <c r="T2040" i="30"/>
  <c r="N2037" i="30"/>
  <c r="G2040" i="30"/>
  <c r="S2042" i="30"/>
  <c r="T2041" i="30"/>
  <c r="J2038" i="30"/>
  <c r="M2042" i="30"/>
  <c r="G2039" i="30"/>
  <c r="J2043" i="30"/>
  <c r="R2039" i="30"/>
  <c r="M2041" i="30"/>
  <c r="G2042" i="30"/>
  <c r="L2041" i="30"/>
  <c r="T2037" i="30"/>
  <c r="S2041" i="30"/>
  <c r="M2038" i="30"/>
  <c r="T2042" i="30"/>
  <c r="J2039" i="30"/>
  <c r="K2040" i="30"/>
  <c r="Q2039" i="30"/>
  <c r="N2042" i="30"/>
  <c r="G2043" i="30"/>
  <c r="R2043" i="30"/>
  <c r="O2042" i="30"/>
  <c r="I2037" i="30"/>
  <c r="R2040" i="30"/>
  <c r="O2041" i="30"/>
  <c r="P2042" i="30"/>
  <c r="G2038" i="30"/>
  <c r="N2040" i="30"/>
  <c r="K2041" i="30"/>
  <c r="H2042" i="30"/>
  <c r="M2043" i="30"/>
  <c r="H2039" i="30"/>
  <c r="O2039" i="30"/>
  <c r="P2040" i="30"/>
  <c r="S2038" i="30"/>
  <c r="N2038" i="30"/>
  <c r="K2039" i="30"/>
  <c r="L2040" i="30"/>
  <c r="K2044" i="30"/>
  <c r="R2044" i="30"/>
  <c r="L2037" i="30"/>
  <c r="S2037" i="30"/>
  <c r="P2038" i="30"/>
  <c r="O2038" i="30"/>
  <c r="J2044" i="30"/>
  <c r="Q2044" i="30"/>
  <c r="K2037" i="30"/>
  <c r="L2038" i="30"/>
  <c r="M2037" i="30"/>
  <c r="Q2041" i="30"/>
  <c r="R2042" i="30"/>
  <c r="O2043" i="30"/>
  <c r="L2044" i="30"/>
  <c r="S2044" i="30"/>
  <c r="L2674" i="30"/>
  <c r="H2674" i="30"/>
  <c r="H2672" i="30"/>
  <c r="M2675" i="30"/>
  <c r="M2673" i="30"/>
  <c r="G2673" i="30"/>
  <c r="P2672" i="30"/>
  <c r="K2672" i="30"/>
  <c r="R2673" i="30"/>
  <c r="P2674" i="30"/>
  <c r="S2675" i="30"/>
  <c r="G2672" i="30"/>
  <c r="Q2673" i="30"/>
  <c r="O2674" i="30"/>
  <c r="J2672" i="30"/>
  <c r="J2674" i="30"/>
  <c r="G2675" i="30"/>
  <c r="R2672" i="30"/>
  <c r="O2673" i="30"/>
  <c r="I2673" i="30"/>
  <c r="L2672" i="30"/>
  <c r="S2673" i="30"/>
  <c r="I2675" i="30"/>
  <c r="M2672" i="30"/>
  <c r="P2675" i="30"/>
  <c r="T2673" i="30"/>
  <c r="P2673" i="30"/>
  <c r="N2672" i="30"/>
  <c r="H2673" i="30"/>
  <c r="K2675" i="30"/>
  <c r="S2672" i="30"/>
  <c r="Q2674" i="30"/>
  <c r="R2674" i="30"/>
  <c r="Q2672" i="30"/>
  <c r="Q2675" i="30"/>
  <c r="O2675" i="30"/>
  <c r="T2674" i="30"/>
  <c r="G2674" i="30"/>
  <c r="N2675" i="30"/>
  <c r="L2675" i="30"/>
  <c r="H2675" i="30"/>
  <c r="N2673" i="30"/>
  <c r="T2675" i="30"/>
  <c r="L2673" i="30"/>
  <c r="T2672" i="30"/>
  <c r="K2674" i="30"/>
  <c r="O2672" i="30"/>
  <c r="S2674" i="30"/>
  <c r="M2674" i="30"/>
  <c r="R2675" i="30"/>
  <c r="J2675" i="30"/>
  <c r="J2673" i="30"/>
  <c r="I2674" i="30"/>
  <c r="K2673" i="30"/>
  <c r="I2672" i="30"/>
  <c r="N2674" i="30"/>
  <c r="U398" i="30"/>
  <c r="K79" i="32" s="1"/>
  <c r="U394" i="30"/>
  <c r="G79" i="32" s="1"/>
  <c r="AK308" i="13"/>
  <c r="AM308" i="13" s="1"/>
  <c r="AN308" i="13" s="1"/>
  <c r="O309" i="13"/>
  <c r="AK309" i="13" s="1"/>
  <c r="AM309" i="13" s="1"/>
  <c r="AN309" i="13" s="1"/>
  <c r="U2364" i="30"/>
  <c r="U2365" i="30" s="1"/>
  <c r="N438" i="32" s="1"/>
  <c r="AZ185" i="13"/>
  <c r="BB185" i="13" s="1"/>
  <c r="BC185" i="13" s="1"/>
  <c r="R186" i="13"/>
  <c r="AZ186" i="13" s="1"/>
  <c r="BB186" i="13" s="1"/>
  <c r="BC186" i="13" s="1"/>
  <c r="U2817" i="30"/>
  <c r="I2260" i="30"/>
  <c r="I2261" i="30"/>
  <c r="G2261" i="30"/>
  <c r="G2260" i="30"/>
  <c r="J2262" i="30"/>
  <c r="H2263" i="30"/>
  <c r="T2260" i="30"/>
  <c r="R2262" i="30"/>
  <c r="J2261" i="30"/>
  <c r="G2263" i="30"/>
  <c r="R2260" i="30"/>
  <c r="R2263" i="30"/>
  <c r="H2260" i="30"/>
  <c r="Q2260" i="30"/>
  <c r="M2261" i="30"/>
  <c r="T2263" i="30"/>
  <c r="N2261" i="30"/>
  <c r="Q2263" i="30"/>
  <c r="M2263" i="30"/>
  <c r="O2263" i="30"/>
  <c r="Q2262" i="30"/>
  <c r="I2262" i="30"/>
  <c r="O2260" i="30"/>
  <c r="P2260" i="30"/>
  <c r="I2263" i="30"/>
  <c r="H2262" i="30"/>
  <c r="N2260" i="30"/>
  <c r="O2262" i="30"/>
  <c r="L2260" i="30"/>
  <c r="P2262" i="30"/>
  <c r="N2263" i="30"/>
  <c r="N2262" i="30"/>
  <c r="T2261" i="30"/>
  <c r="T2262" i="30"/>
  <c r="M2262" i="30"/>
  <c r="H2261" i="30"/>
  <c r="J2263" i="30"/>
  <c r="M2260" i="30"/>
  <c r="Q2261" i="30"/>
  <c r="S2261" i="30"/>
  <c r="L2262" i="30"/>
  <c r="S2260" i="30"/>
  <c r="O2261" i="30"/>
  <c r="K2263" i="30"/>
  <c r="S2262" i="30"/>
  <c r="P2261" i="30"/>
  <c r="J2260" i="30"/>
  <c r="S2263" i="30"/>
  <c r="R2261" i="30"/>
  <c r="K2262" i="30"/>
  <c r="G2262" i="30"/>
  <c r="L2263" i="30"/>
  <c r="P2263" i="30"/>
  <c r="K2261" i="30"/>
  <c r="L2261" i="30"/>
  <c r="K2260" i="30"/>
  <c r="U2476" i="30"/>
  <c r="G2114" i="30"/>
  <c r="R2111" i="30"/>
  <c r="J2111" i="30"/>
  <c r="P2114" i="30"/>
  <c r="T2113" i="30"/>
  <c r="K2113" i="30"/>
  <c r="J2112" i="30"/>
  <c r="G2111" i="30"/>
  <c r="N2112" i="30"/>
  <c r="N2114" i="30"/>
  <c r="O2111" i="30"/>
  <c r="O2113" i="30"/>
  <c r="L2112" i="30"/>
  <c r="M2114" i="30"/>
  <c r="S2111" i="30"/>
  <c r="K2112" i="30"/>
  <c r="G2113" i="30"/>
  <c r="I2113" i="30"/>
  <c r="M2112" i="30"/>
  <c r="K2111" i="30"/>
  <c r="T2112" i="30"/>
  <c r="R2113" i="30"/>
  <c r="T2114" i="30"/>
  <c r="L2113" i="30"/>
  <c r="H2114" i="30"/>
  <c r="L2114" i="30"/>
  <c r="H2112" i="30"/>
  <c r="R2112" i="30"/>
  <c r="P2111" i="30"/>
  <c r="P2113" i="30"/>
  <c r="Q2114" i="30"/>
  <c r="Q2112" i="30"/>
  <c r="Q2111" i="30"/>
  <c r="M2111" i="30"/>
  <c r="H2113" i="30"/>
  <c r="K2114" i="30"/>
  <c r="J2114" i="30"/>
  <c r="I2114" i="30"/>
  <c r="L2111" i="30"/>
  <c r="H2111" i="30"/>
  <c r="P2112" i="30"/>
  <c r="I2112" i="30"/>
  <c r="I2111" i="30"/>
  <c r="T2111" i="30"/>
  <c r="S2114" i="30"/>
  <c r="S2113" i="30"/>
  <c r="M2113" i="30"/>
  <c r="N2113" i="30"/>
  <c r="O2114" i="30"/>
  <c r="G2112" i="30"/>
  <c r="J2113" i="30"/>
  <c r="R2114" i="30"/>
  <c r="N2111" i="30"/>
  <c r="S2112" i="30"/>
  <c r="O2112" i="30"/>
  <c r="Q2113" i="30"/>
  <c r="K1704" i="30"/>
  <c r="N1706" i="30"/>
  <c r="L1703" i="30"/>
  <c r="M1706" i="30"/>
  <c r="H1705" i="30"/>
  <c r="T1704" i="30"/>
  <c r="Q1706" i="30"/>
  <c r="S1703" i="30"/>
  <c r="R1705" i="30"/>
  <c r="L1706" i="30"/>
  <c r="K1703" i="30"/>
  <c r="M1703" i="30"/>
  <c r="K1706" i="30"/>
  <c r="T1703" i="30"/>
  <c r="N1704" i="30"/>
  <c r="S1704" i="30"/>
  <c r="O1705" i="30"/>
  <c r="G1703" i="30"/>
  <c r="P1703" i="30"/>
  <c r="J1706" i="30"/>
  <c r="G1706" i="30"/>
  <c r="Q1705" i="30"/>
  <c r="R1703" i="30"/>
  <c r="G1705" i="30"/>
  <c r="S1705" i="30"/>
  <c r="H1706" i="30"/>
  <c r="N1705" i="30"/>
  <c r="P1706" i="30"/>
  <c r="J1703" i="30"/>
  <c r="J1704" i="30"/>
  <c r="I1706" i="30"/>
  <c r="H1703" i="30"/>
  <c r="P1704" i="30"/>
  <c r="R1706" i="30"/>
  <c r="Q1703" i="30"/>
  <c r="M1705" i="30"/>
  <c r="I1705" i="30"/>
  <c r="G1704" i="30"/>
  <c r="R1704" i="30"/>
  <c r="T1705" i="30"/>
  <c r="L1704" i="30"/>
  <c r="O1703" i="30"/>
  <c r="K1705" i="30"/>
  <c r="Q1704" i="30"/>
  <c r="T1706" i="30"/>
  <c r="I1704" i="30"/>
  <c r="H1704" i="30"/>
  <c r="P1705" i="30"/>
  <c r="O1704" i="30"/>
  <c r="M1704" i="30"/>
  <c r="N1703" i="30"/>
  <c r="S1706" i="30"/>
  <c r="J1705" i="30"/>
  <c r="I1703" i="30"/>
  <c r="O1706" i="30"/>
  <c r="L1705" i="30"/>
  <c r="M430" i="32"/>
  <c r="Q402" i="32"/>
  <c r="T265" i="13"/>
  <c r="BJ251" i="13"/>
  <c r="G1324" i="30" a="1"/>
  <c r="E4" i="13"/>
  <c r="T186" i="13"/>
  <c r="BJ186" i="13" s="1"/>
  <c r="BL186" i="13" s="1"/>
  <c r="BM186" i="13" s="1"/>
  <c r="BJ185" i="13"/>
  <c r="AK191" i="13"/>
  <c r="O205" i="13"/>
  <c r="R206" i="13"/>
  <c r="AZ206" i="13" s="1"/>
  <c r="BB206" i="13" s="1"/>
  <c r="BC206" i="13" s="1"/>
  <c r="AZ205" i="13"/>
  <c r="BB205" i="13" s="1"/>
  <c r="BC205" i="13" s="1"/>
  <c r="U2344" i="30"/>
  <c r="N435" i="32" s="1"/>
  <c r="U2350" i="30"/>
  <c r="T435" i="32" s="1"/>
  <c r="U2347" i="30"/>
  <c r="Q435" i="32" s="1"/>
  <c r="L2529" i="30"/>
  <c r="T2529" i="30"/>
  <c r="H2529" i="30"/>
  <c r="H2530" i="30"/>
  <c r="K2529" i="30"/>
  <c r="M2530" i="30"/>
  <c r="R2530" i="30"/>
  <c r="S2530" i="30"/>
  <c r="H2528" i="30"/>
  <c r="O2530" i="30"/>
  <c r="P2528" i="30"/>
  <c r="L2528" i="30"/>
  <c r="G2527" i="30"/>
  <c r="M2529" i="30"/>
  <c r="Q2528" i="30"/>
  <c r="J2527" i="30"/>
  <c r="I2528" i="30"/>
  <c r="J2528" i="30"/>
  <c r="L2530" i="30"/>
  <c r="T2530" i="30"/>
  <c r="I2529" i="30"/>
  <c r="K2527" i="30"/>
  <c r="I2527" i="30"/>
  <c r="S2527" i="30"/>
  <c r="P2530" i="30"/>
  <c r="S2528" i="30"/>
  <c r="N2530" i="30"/>
  <c r="J2529" i="30"/>
  <c r="L2527" i="30"/>
  <c r="P2529" i="30"/>
  <c r="N2527" i="30"/>
  <c r="P2527" i="30"/>
  <c r="T2527" i="30"/>
  <c r="R2529" i="30"/>
  <c r="O2529" i="30"/>
  <c r="J2530" i="30"/>
  <c r="Q2530" i="30"/>
  <c r="K2528" i="30"/>
  <c r="O2527" i="30"/>
  <c r="S2529" i="30"/>
  <c r="H2527" i="30"/>
  <c r="R2527" i="30"/>
  <c r="K2530" i="30"/>
  <c r="I2530" i="30"/>
  <c r="N2528" i="30"/>
  <c r="N2529" i="30"/>
  <c r="Q2529" i="30"/>
  <c r="Q2527" i="30"/>
  <c r="O2528" i="30"/>
  <c r="G2530" i="30"/>
  <c r="M2527" i="30"/>
  <c r="R2528" i="30"/>
  <c r="M2528" i="30"/>
  <c r="T2528" i="30"/>
  <c r="G2529" i="30"/>
  <c r="G2528" i="30"/>
  <c r="U2211" i="30"/>
  <c r="U2212" i="30" s="1"/>
  <c r="N417" i="32" s="1"/>
  <c r="P1942" i="30"/>
  <c r="L1940" i="30"/>
  <c r="H1938" i="30"/>
  <c r="R1935" i="30"/>
  <c r="M1941" i="30"/>
  <c r="I1939" i="30"/>
  <c r="S1936" i="30"/>
  <c r="T1941" i="30"/>
  <c r="L1937" i="30"/>
  <c r="Q1940" i="30"/>
  <c r="I1936" i="30"/>
  <c r="T1939" i="30"/>
  <c r="L1935" i="30"/>
  <c r="M1940" i="30"/>
  <c r="L1942" i="30"/>
  <c r="R1937" i="30"/>
  <c r="N1935" i="30"/>
  <c r="S1938" i="30"/>
  <c r="O1936" i="30"/>
  <c r="R1936" i="30"/>
  <c r="O1935" i="30"/>
  <c r="O1941" i="30"/>
  <c r="H1940" i="30"/>
  <c r="I1941" i="30"/>
  <c r="L1941" i="30"/>
  <c r="I1940" i="30"/>
  <c r="L1939" i="30"/>
  <c r="I1938" i="30"/>
  <c r="H1942" i="30"/>
  <c r="R1939" i="30"/>
  <c r="N1937" i="30"/>
  <c r="J1935" i="30"/>
  <c r="S1940" i="30"/>
  <c r="O1938" i="30"/>
  <c r="K1936" i="30"/>
  <c r="R1940" i="30"/>
  <c r="J1936" i="30"/>
  <c r="O1939" i="30"/>
  <c r="G1935" i="30"/>
  <c r="R1938" i="30"/>
  <c r="K1939" i="30"/>
  <c r="S1935" i="30"/>
  <c r="R1941" i="30"/>
  <c r="N1939" i="30"/>
  <c r="J1937" i="30"/>
  <c r="S1942" i="30"/>
  <c r="O1940" i="30"/>
  <c r="K1938" i="30"/>
  <c r="G1936" i="30"/>
  <c r="J1940" i="30"/>
  <c r="P1935" i="30"/>
  <c r="G1939" i="30"/>
  <c r="R1942" i="30"/>
  <c r="J1938" i="30"/>
  <c r="G1937" i="30"/>
  <c r="I1942" i="30"/>
  <c r="N1941" i="30"/>
  <c r="J1939" i="30"/>
  <c r="T1936" i="30"/>
  <c r="O1942" i="30"/>
  <c r="K1940" i="30"/>
  <c r="G1938" i="30"/>
  <c r="Q1935" i="30"/>
  <c r="P1939" i="30"/>
  <c r="H1935" i="30"/>
  <c r="M1938" i="30"/>
  <c r="J1942" i="30"/>
  <c r="P1937" i="30"/>
  <c r="G1941" i="30"/>
  <c r="S1939" i="30"/>
  <c r="J1941" i="30"/>
  <c r="T1938" i="30"/>
  <c r="P1936" i="30"/>
  <c r="K1942" i="30"/>
  <c r="G1940" i="30"/>
  <c r="Q1937" i="30"/>
  <c r="M1935" i="30"/>
  <c r="H1939" i="30"/>
  <c r="M1942" i="30"/>
  <c r="S1937" i="30"/>
  <c r="P1941" i="30"/>
  <c r="H1937" i="30"/>
  <c r="Q1938" i="30"/>
  <c r="O1937" i="30"/>
  <c r="T1940" i="30"/>
  <c r="P1938" i="30"/>
  <c r="L1936" i="30"/>
  <c r="G1942" i="30"/>
  <c r="Q1939" i="30"/>
  <c r="M1937" i="30"/>
  <c r="I1935" i="30"/>
  <c r="N1938" i="30"/>
  <c r="S1941" i="30"/>
  <c r="K1937" i="30"/>
  <c r="H1941" i="30"/>
  <c r="N1936" i="30"/>
  <c r="M1936" i="30"/>
  <c r="K1935" i="30"/>
  <c r="M1939" i="30"/>
  <c r="Q1942" i="30"/>
  <c r="N1942" i="30"/>
  <c r="T1942" i="30"/>
  <c r="T1937" i="30"/>
  <c r="P1940" i="30"/>
  <c r="K1941" i="30"/>
  <c r="I1937" i="30"/>
  <c r="L1938" i="30"/>
  <c r="Q1936" i="30"/>
  <c r="T1935" i="30"/>
  <c r="H1936" i="30"/>
  <c r="N1940" i="30"/>
  <c r="Q1941" i="30"/>
  <c r="S349" i="13"/>
  <c r="BE349" i="13" s="1"/>
  <c r="BG349" i="13" s="1"/>
  <c r="BH349" i="13" s="1"/>
  <c r="BE348" i="13"/>
  <c r="BG348" i="13" s="1"/>
  <c r="BH348" i="13" s="1"/>
  <c r="U1681" i="30"/>
  <c r="M344" i="32" s="1"/>
  <c r="U1687" i="30"/>
  <c r="S344" i="32" s="1"/>
  <c r="U2552" i="30"/>
  <c r="R463" i="32" s="1"/>
  <c r="U2551" i="30"/>
  <c r="Q463" i="32" s="1"/>
  <c r="AW191" i="13"/>
  <c r="AX191" i="13" s="1"/>
  <c r="G1390" i="30" a="1"/>
  <c r="T2829" i="30"/>
  <c r="H2830" i="30"/>
  <c r="P2832" i="30"/>
  <c r="S2829" i="30"/>
  <c r="J2832" i="30"/>
  <c r="I2832" i="30"/>
  <c r="N2829" i="30"/>
  <c r="I2831" i="30"/>
  <c r="T2830" i="30"/>
  <c r="J2831" i="30"/>
  <c r="L2832" i="30"/>
  <c r="P2831" i="30"/>
  <c r="S2831" i="30"/>
  <c r="O2829" i="30"/>
  <c r="N2831" i="30"/>
  <c r="M2829" i="30"/>
  <c r="P2829" i="30"/>
  <c r="R2832" i="30"/>
  <c r="L2831" i="30"/>
  <c r="M2832" i="30"/>
  <c r="K2829" i="30"/>
  <c r="S2832" i="30"/>
  <c r="Q2829" i="30"/>
  <c r="J2829" i="30"/>
  <c r="J2830" i="30"/>
  <c r="I2830" i="30"/>
  <c r="N2830" i="30"/>
  <c r="K2830" i="30"/>
  <c r="R2830" i="30"/>
  <c r="H2832" i="30"/>
  <c r="M2830" i="30"/>
  <c r="O2830" i="30"/>
  <c r="M2831" i="30"/>
  <c r="T2831" i="30"/>
  <c r="G2831" i="30"/>
  <c r="H2829" i="30"/>
  <c r="Q2832" i="30"/>
  <c r="R2829" i="30"/>
  <c r="T2832" i="30"/>
  <c r="G2830" i="30"/>
  <c r="O2831" i="30"/>
  <c r="S2830" i="30"/>
  <c r="R2831" i="30"/>
  <c r="L2829" i="30"/>
  <c r="I2829" i="30"/>
  <c r="P2830" i="30"/>
  <c r="Q2830" i="30"/>
  <c r="O2832" i="30"/>
  <c r="H2831" i="30"/>
  <c r="Q2831" i="30"/>
  <c r="L2830" i="30"/>
  <c r="G2829" i="30"/>
  <c r="N2832" i="30"/>
  <c r="K2832" i="30"/>
  <c r="G2832" i="30"/>
  <c r="K2831" i="30"/>
  <c r="U1582" i="30"/>
  <c r="P330" i="32" s="1"/>
  <c r="U1586" i="30"/>
  <c r="T330" i="32" s="1"/>
  <c r="U1585" i="30"/>
  <c r="S330" i="32" s="1"/>
  <c r="R549" i="13"/>
  <c r="AZ549" i="13" s="1"/>
  <c r="BB549" i="13" s="1"/>
  <c r="BC549" i="13" s="1"/>
  <c r="AZ548" i="13"/>
  <c r="BB548" i="13" s="1"/>
  <c r="BC548" i="13" s="1"/>
  <c r="E39" i="13"/>
  <c r="G1809" i="30" a="1"/>
  <c r="U2564" i="30"/>
  <c r="U2565" i="30" s="1"/>
  <c r="M466" i="32" s="1"/>
  <c r="U1478" i="30"/>
  <c r="N316" i="32" s="1"/>
  <c r="U2001" i="30"/>
  <c r="U2010" i="30"/>
  <c r="U1453" i="30"/>
  <c r="B12" i="27"/>
  <c r="P33" i="13"/>
  <c r="R33" i="13" s="1"/>
  <c r="S33" i="13" s="1"/>
  <c r="U395" i="30"/>
  <c r="H79" i="32" s="1"/>
  <c r="BL225" i="13"/>
  <c r="BM225" i="13" s="1"/>
  <c r="M69" i="13" s="1"/>
  <c r="K69" i="13"/>
  <c r="O151" i="13"/>
  <c r="O185" i="13"/>
  <c r="AK171" i="13"/>
  <c r="G1402" i="30" a="1"/>
  <c r="S2623" i="30"/>
  <c r="S2622" i="30"/>
  <c r="N2624" i="30"/>
  <c r="L2623" i="30"/>
  <c r="O2622" i="30"/>
  <c r="K2621" i="30"/>
  <c r="N2621" i="30"/>
  <c r="M2623" i="30"/>
  <c r="L2621" i="30"/>
  <c r="K2624" i="30"/>
  <c r="Q2621" i="30"/>
  <c r="G2623" i="30"/>
  <c r="G2624" i="30"/>
  <c r="M2621" i="30"/>
  <c r="H2622" i="30"/>
  <c r="O2621" i="30"/>
  <c r="P2621" i="30"/>
  <c r="Q2622" i="30"/>
  <c r="H2623" i="30"/>
  <c r="P2624" i="30"/>
  <c r="J2624" i="30"/>
  <c r="J2622" i="30"/>
  <c r="T2621" i="30"/>
  <c r="I2622" i="30"/>
  <c r="M2622" i="30"/>
  <c r="H2621" i="30"/>
  <c r="M2624" i="30"/>
  <c r="T2624" i="30"/>
  <c r="G2621" i="30"/>
  <c r="R2623" i="30"/>
  <c r="L2624" i="30"/>
  <c r="N2622" i="30"/>
  <c r="L2622" i="30"/>
  <c r="R2622" i="30"/>
  <c r="P2622" i="30"/>
  <c r="S2621" i="30"/>
  <c r="N2623" i="30"/>
  <c r="K2623" i="30"/>
  <c r="P2623" i="30"/>
  <c r="R2621" i="30"/>
  <c r="I2623" i="30"/>
  <c r="S2624" i="30"/>
  <c r="J2623" i="30"/>
  <c r="Q2624" i="30"/>
  <c r="R2624" i="30"/>
  <c r="H2624" i="30"/>
  <c r="O2623" i="30"/>
  <c r="J2621" i="30"/>
  <c r="Q2623" i="30"/>
  <c r="K2622" i="30"/>
  <c r="I2624" i="30"/>
  <c r="T2622" i="30"/>
  <c r="G2622" i="30"/>
  <c r="I2621" i="30"/>
  <c r="T2623" i="30"/>
  <c r="O2624" i="30"/>
  <c r="BB171" i="13"/>
  <c r="BC171" i="13" s="1"/>
  <c r="U2680" i="30"/>
  <c r="G1414" i="30" a="1"/>
  <c r="U2477" i="30"/>
  <c r="U2473" i="30"/>
  <c r="G1120" i="30" a="1"/>
  <c r="G1821" i="30" a="1"/>
  <c r="G1398" i="30" a="1"/>
  <c r="BL834" i="13"/>
  <c r="BM834" i="13" s="1"/>
  <c r="H55" i="13"/>
  <c r="BL171" i="13"/>
  <c r="BM171" i="13" s="1"/>
  <c r="J55" i="13" s="1"/>
  <c r="G1257" i="30" a="1"/>
  <c r="G1457" i="30" a="1"/>
  <c r="BB191" i="13"/>
  <c r="BC191" i="13" s="1"/>
  <c r="G23" i="27"/>
  <c r="H23" i="27" s="1"/>
  <c r="AK211" i="13"/>
  <c r="O225" i="13"/>
  <c r="E30" i="13" s="1"/>
  <c r="G2127" i="30"/>
  <c r="S403" i="32"/>
  <c r="I37" i="31" s="1"/>
  <c r="S402" i="32"/>
  <c r="H37" i="31" s="1"/>
  <c r="R2015" i="30"/>
  <c r="T2016" i="30"/>
  <c r="Q2015" i="30"/>
  <c r="P2014" i="30"/>
  <c r="J2015" i="30"/>
  <c r="L2013" i="30"/>
  <c r="T2014" i="30"/>
  <c r="Q2014" i="30"/>
  <c r="K2013" i="30"/>
  <c r="N2015" i="30"/>
  <c r="S2016" i="30"/>
  <c r="I2016" i="30"/>
  <c r="L2014" i="30"/>
  <c r="N2016" i="30"/>
  <c r="Q2016" i="30"/>
  <c r="K2014" i="30"/>
  <c r="G2014" i="30"/>
  <c r="Q2013" i="30"/>
  <c r="H2013" i="30"/>
  <c r="J2013" i="30"/>
  <c r="L2016" i="30"/>
  <c r="M2016" i="30"/>
  <c r="J2014" i="30"/>
  <c r="O2015" i="30"/>
  <c r="R2014" i="30"/>
  <c r="G2013" i="30"/>
  <c r="H2016" i="30"/>
  <c r="P2016" i="30"/>
  <c r="O2013" i="30"/>
  <c r="J2016" i="30"/>
  <c r="M2014" i="30"/>
  <c r="I2013" i="30"/>
  <c r="K2015" i="30"/>
  <c r="I2015" i="30"/>
  <c r="S2015" i="30"/>
  <c r="L2015" i="30"/>
  <c r="N2014" i="30"/>
  <c r="M2015" i="30"/>
  <c r="R2013" i="30"/>
  <c r="I2014" i="30"/>
  <c r="N2013" i="30"/>
  <c r="P2015" i="30"/>
  <c r="O2016" i="30"/>
  <c r="G2015" i="30"/>
  <c r="H2015" i="30"/>
  <c r="R2016" i="30"/>
  <c r="S2014" i="30"/>
  <c r="H2014" i="30"/>
  <c r="T2013" i="30"/>
  <c r="K2016" i="30"/>
  <c r="O2014" i="30"/>
  <c r="G2016" i="30"/>
  <c r="T2015" i="30"/>
  <c r="M2013" i="30"/>
  <c r="S2013" i="30"/>
  <c r="P2013" i="30"/>
  <c r="AU894" i="13"/>
  <c r="Q908" i="13"/>
  <c r="G1394" i="30" a="1"/>
  <c r="O509" i="13"/>
  <c r="AK509" i="13" s="1"/>
  <c r="AM509" i="13" s="1"/>
  <c r="AN509" i="13" s="1"/>
  <c r="AK508" i="13"/>
  <c r="AM508" i="13" s="1"/>
  <c r="AN508" i="13" s="1"/>
  <c r="BG334" i="13"/>
  <c r="BH334" i="13" s="1"/>
  <c r="G1707" i="30" a="1"/>
  <c r="G1516" i="30" a="1"/>
  <c r="S1597" i="30"/>
  <c r="K1594" i="30"/>
  <c r="N1594" i="30"/>
  <c r="G1595" i="30"/>
  <c r="N1597" i="30"/>
  <c r="R1595" i="30"/>
  <c r="J1597" i="30"/>
  <c r="P1595" i="30"/>
  <c r="I1595" i="30"/>
  <c r="K1597" i="30"/>
  <c r="H1596" i="30"/>
  <c r="N1595" i="30"/>
  <c r="R1594" i="30"/>
  <c r="Q1595" i="30"/>
  <c r="Q1596" i="30"/>
  <c r="S1596" i="30"/>
  <c r="T1596" i="30"/>
  <c r="P1594" i="30"/>
  <c r="T1597" i="30"/>
  <c r="O1597" i="30"/>
  <c r="O1595" i="30"/>
  <c r="O1594" i="30"/>
  <c r="O1596" i="30"/>
  <c r="Q1594" i="30"/>
  <c r="M1595" i="30"/>
  <c r="M1597" i="30"/>
  <c r="K1596" i="30"/>
  <c r="R1596" i="30"/>
  <c r="K1595" i="30"/>
  <c r="T1594" i="30"/>
  <c r="I1597" i="30"/>
  <c r="L1594" i="30"/>
  <c r="H1597" i="30"/>
  <c r="H1594" i="30"/>
  <c r="J1594" i="30"/>
  <c r="G1596" i="30"/>
  <c r="P1597" i="30"/>
  <c r="T1595" i="30"/>
  <c r="Q1597" i="30"/>
  <c r="G1594" i="30"/>
  <c r="J1596" i="30"/>
  <c r="L1596" i="30"/>
  <c r="L1597" i="30"/>
  <c r="M1594" i="30"/>
  <c r="M1596" i="30"/>
  <c r="I1594" i="30"/>
  <c r="H1595" i="30"/>
  <c r="G1597" i="30"/>
  <c r="S1594" i="30"/>
  <c r="I1596" i="30"/>
  <c r="N1596" i="30"/>
  <c r="R1597" i="30"/>
  <c r="P1596" i="30"/>
  <c r="J1595" i="30"/>
  <c r="S1595" i="30"/>
  <c r="L1595" i="30"/>
  <c r="U1685" i="30"/>
  <c r="Q344" i="32" s="1"/>
  <c r="U2550" i="30"/>
  <c r="P463" i="32" s="1"/>
  <c r="U2547" i="30"/>
  <c r="M463" i="32" s="1"/>
  <c r="Q206" i="13"/>
  <c r="AU206" i="13" s="1"/>
  <c r="AW206" i="13" s="1"/>
  <c r="AX206" i="13" s="1"/>
  <c r="AU205" i="13"/>
  <c r="AW205" i="13" s="1"/>
  <c r="AX205" i="13" s="1"/>
  <c r="J2223" i="30"/>
  <c r="H2221" i="30"/>
  <c r="K2222" i="30"/>
  <c r="J2222" i="30"/>
  <c r="I2221" i="30"/>
  <c r="R2223" i="30"/>
  <c r="I2223" i="30"/>
  <c r="L2222" i="30"/>
  <c r="G2223" i="30"/>
  <c r="L2224" i="30"/>
  <c r="I2222" i="30"/>
  <c r="O2221" i="30"/>
  <c r="O2222" i="30"/>
  <c r="L2223" i="30"/>
  <c r="P2221" i="30"/>
  <c r="H2224" i="30"/>
  <c r="T2223" i="30"/>
  <c r="N2221" i="30"/>
  <c r="G2224" i="30"/>
  <c r="N2224" i="30"/>
  <c r="M2222" i="30"/>
  <c r="Q2223" i="30"/>
  <c r="J2221" i="30"/>
  <c r="R2224" i="30"/>
  <c r="S2223" i="30"/>
  <c r="R2222" i="30"/>
  <c r="T2222" i="30"/>
  <c r="H2222" i="30"/>
  <c r="I2224" i="30"/>
  <c r="G2222" i="30"/>
  <c r="P2223" i="30"/>
  <c r="K2223" i="30"/>
  <c r="T2224" i="30"/>
  <c r="M2221" i="30"/>
  <c r="Q2222" i="30"/>
  <c r="S2224" i="30"/>
  <c r="R2221" i="30"/>
  <c r="S2222" i="30"/>
  <c r="Q2224" i="30"/>
  <c r="T2221" i="30"/>
  <c r="M2224" i="30"/>
  <c r="M2223" i="30"/>
  <c r="Q2221" i="30"/>
  <c r="L2221" i="30"/>
  <c r="K2221" i="30"/>
  <c r="N2223" i="30"/>
  <c r="H2223" i="30"/>
  <c r="P2222" i="30"/>
  <c r="J2224" i="30"/>
  <c r="O2224" i="30"/>
  <c r="S2221" i="30"/>
  <c r="G2221" i="30"/>
  <c r="N2222" i="30"/>
  <c r="O2223" i="30"/>
  <c r="K2224" i="30"/>
  <c r="P2224" i="30"/>
  <c r="U1580" i="30"/>
  <c r="N330" i="32" s="1"/>
  <c r="U1579" i="30"/>
  <c r="M330" i="32" s="1"/>
  <c r="BB534" i="13"/>
  <c r="BC534" i="13" s="1"/>
  <c r="U2468" i="30"/>
  <c r="U413" i="30"/>
  <c r="K81" i="32" s="1"/>
  <c r="U409" i="30"/>
  <c r="G81" i="32" s="1"/>
  <c r="U1911" i="30"/>
  <c r="U1454" i="30"/>
  <c r="U2520" i="30"/>
  <c r="AM294" i="13"/>
  <c r="AN294" i="13" s="1"/>
  <c r="AZ151" i="13"/>
  <c r="BB151" i="13" s="1"/>
  <c r="BC151" i="13" s="1"/>
  <c r="R165" i="13"/>
  <c r="U1763" i="30"/>
  <c r="S2502" i="30"/>
  <c r="O2500" i="30"/>
  <c r="K2498" i="30"/>
  <c r="G2496" i="30"/>
  <c r="T2501" i="30"/>
  <c r="P2499" i="30"/>
  <c r="L2497" i="30"/>
  <c r="G2503" i="30"/>
  <c r="Q2500" i="30"/>
  <c r="M2498" i="30"/>
  <c r="I2496" i="30"/>
  <c r="J2503" i="30"/>
  <c r="R2501" i="30"/>
  <c r="P2502" i="30"/>
  <c r="H2498" i="30"/>
  <c r="O2502" i="30"/>
  <c r="K2500" i="30"/>
  <c r="G2498" i="30"/>
  <c r="T2503" i="30"/>
  <c r="P2501" i="30"/>
  <c r="L2499" i="30"/>
  <c r="H2497" i="30"/>
  <c r="Q2502" i="30"/>
  <c r="M2500" i="30"/>
  <c r="I2498" i="30"/>
  <c r="N2503" i="30"/>
  <c r="H2502" i="30"/>
  <c r="P2500" i="30"/>
  <c r="K2502" i="30"/>
  <c r="G2500" i="30"/>
  <c r="Q2497" i="30"/>
  <c r="P2503" i="30"/>
  <c r="L2501" i="30"/>
  <c r="H2499" i="30"/>
  <c r="R2496" i="30"/>
  <c r="M2502" i="30"/>
  <c r="I2500" i="30"/>
  <c r="S2497" i="30"/>
  <c r="L2502" i="30"/>
  <c r="T2500" i="30"/>
  <c r="N2499" i="30"/>
  <c r="N2501" i="30"/>
  <c r="G2502" i="30"/>
  <c r="Q2499" i="30"/>
  <c r="M2497" i="30"/>
  <c r="L2503" i="30"/>
  <c r="H2501" i="30"/>
  <c r="R2498" i="30"/>
  <c r="N2496" i="30"/>
  <c r="I2502" i="30"/>
  <c r="S2499" i="30"/>
  <c r="O2497" i="30"/>
  <c r="J2501" i="30"/>
  <c r="R2499" i="30"/>
  <c r="L2498" i="30"/>
  <c r="T2496" i="30"/>
  <c r="Q2501" i="30"/>
  <c r="M2499" i="30"/>
  <c r="I2497" i="30"/>
  <c r="H2503" i="30"/>
  <c r="R2500" i="30"/>
  <c r="N2498" i="30"/>
  <c r="J2496" i="30"/>
  <c r="S2501" i="30"/>
  <c r="O2499" i="30"/>
  <c r="K2497" i="30"/>
  <c r="H2500" i="30"/>
  <c r="P2498" i="30"/>
  <c r="J2497" i="30"/>
  <c r="L2500" i="30"/>
  <c r="Q2503" i="30"/>
  <c r="M2501" i="30"/>
  <c r="I2499" i="30"/>
  <c r="S2496" i="30"/>
  <c r="R2502" i="30"/>
  <c r="N2500" i="30"/>
  <c r="J2498" i="30"/>
  <c r="S2503" i="30"/>
  <c r="O2501" i="30"/>
  <c r="K2499" i="30"/>
  <c r="G2497" i="30"/>
  <c r="T2498" i="30"/>
  <c r="N2497" i="30"/>
  <c r="H2496" i="30"/>
  <c r="M2503" i="30"/>
  <c r="I2501" i="30"/>
  <c r="S2498" i="30"/>
  <c r="O2496" i="30"/>
  <c r="N2502" i="30"/>
  <c r="J2500" i="30"/>
  <c r="T2497" i="30"/>
  <c r="O2503" i="30"/>
  <c r="K2501" i="30"/>
  <c r="G2499" i="30"/>
  <c r="Q2496" i="30"/>
  <c r="R2497" i="30"/>
  <c r="L2496" i="30"/>
  <c r="R2503" i="30"/>
  <c r="S2500" i="30"/>
  <c r="Q2498" i="30"/>
  <c r="K2496" i="30"/>
  <c r="P2496" i="30"/>
  <c r="J2502" i="30"/>
  <c r="T2502" i="30"/>
  <c r="T2499" i="30"/>
  <c r="J2499" i="30"/>
  <c r="O2498" i="30"/>
  <c r="P2497" i="30"/>
  <c r="I2503" i="30"/>
  <c r="M2496" i="30"/>
  <c r="K2503" i="30"/>
  <c r="G2501" i="30"/>
  <c r="N185" i="13"/>
  <c r="R1838" i="30"/>
  <c r="N1836" i="30"/>
  <c r="J1834" i="30"/>
  <c r="S1839" i="30"/>
  <c r="O1837" i="30"/>
  <c r="K1835" i="30"/>
  <c r="G1833" i="30"/>
  <c r="T1836" i="30"/>
  <c r="K1840" i="30"/>
  <c r="Q1835" i="30"/>
  <c r="T1838" i="30"/>
  <c r="L1834" i="30"/>
  <c r="G1836" i="30"/>
  <c r="I1837" i="30"/>
  <c r="N1840" i="30"/>
  <c r="J1838" i="30"/>
  <c r="T1835" i="30"/>
  <c r="P1833" i="30"/>
  <c r="K1839" i="30"/>
  <c r="G1837" i="30"/>
  <c r="Q1834" i="30"/>
  <c r="L1840" i="30"/>
  <c r="R1835" i="30"/>
  <c r="I1839" i="30"/>
  <c r="O1834" i="30"/>
  <c r="R1837" i="30"/>
  <c r="J1833" i="30"/>
  <c r="G1840" i="30"/>
  <c r="T1839" i="30"/>
  <c r="P1837" i="30"/>
  <c r="L1835" i="30"/>
  <c r="H1833" i="30"/>
  <c r="Q1838" i="30"/>
  <c r="M1836" i="30"/>
  <c r="I1834" i="30"/>
  <c r="J1839" i="30"/>
  <c r="P1834" i="30"/>
  <c r="G1838" i="30"/>
  <c r="M1833" i="30"/>
  <c r="P1836" i="30"/>
  <c r="O1836" i="30"/>
  <c r="M1835" i="30"/>
  <c r="N1838" i="30"/>
  <c r="R1834" i="30"/>
  <c r="G1839" i="30"/>
  <c r="O1835" i="30"/>
  <c r="P1838" i="30"/>
  <c r="Q1839" i="30"/>
  <c r="H1840" i="30"/>
  <c r="S1838" i="30"/>
  <c r="M1839" i="30"/>
  <c r="T1837" i="30"/>
  <c r="N1834" i="30"/>
  <c r="M1838" i="30"/>
  <c r="G1835" i="30"/>
  <c r="H1838" i="30"/>
  <c r="O1838" i="30"/>
  <c r="N1839" i="30"/>
  <c r="K1834" i="30"/>
  <c r="J1840" i="30"/>
  <c r="R1836" i="30"/>
  <c r="Q1840" i="30"/>
  <c r="K1837" i="30"/>
  <c r="O1833" i="30"/>
  <c r="J1835" i="30"/>
  <c r="K1836" i="30"/>
  <c r="H1836" i="30"/>
  <c r="Q1833" i="30"/>
  <c r="P1839" i="30"/>
  <c r="J1836" i="30"/>
  <c r="M1840" i="30"/>
  <c r="Q1836" i="30"/>
  <c r="K1833" i="30"/>
  <c r="H1834" i="30"/>
  <c r="I1835" i="30"/>
  <c r="N1835" i="30"/>
  <c r="Q1837" i="30"/>
  <c r="H1837" i="30"/>
  <c r="S1837" i="30"/>
  <c r="L1836" i="30"/>
  <c r="J1837" i="30"/>
  <c r="P1835" i="30"/>
  <c r="I1836" i="30"/>
  <c r="N1833" i="30"/>
  <c r="T1834" i="30"/>
  <c r="H1835" i="30"/>
  <c r="S1835" i="30"/>
  <c r="S1840" i="30"/>
  <c r="R1833" i="30"/>
  <c r="T1833" i="30"/>
  <c r="M1834" i="30"/>
  <c r="M1837" i="30"/>
  <c r="O1840" i="30"/>
  <c r="R1840" i="30"/>
  <c r="L1833" i="30"/>
  <c r="S1833" i="30"/>
  <c r="S1836" i="30"/>
  <c r="K1838" i="30"/>
  <c r="L1839" i="30"/>
  <c r="I1840" i="30"/>
  <c r="T1840" i="30"/>
  <c r="G1834" i="30"/>
  <c r="I1833" i="30"/>
  <c r="H1839" i="30"/>
  <c r="O1839" i="30"/>
  <c r="R1839" i="30"/>
  <c r="P1840" i="30"/>
  <c r="S1834" i="30"/>
  <c r="L1838" i="30"/>
  <c r="L1837" i="30"/>
  <c r="I1838" i="30"/>
  <c r="N1837" i="30"/>
  <c r="H2017" i="30"/>
  <c r="P2018" i="30"/>
  <c r="K2018" i="30"/>
  <c r="N2020" i="30"/>
  <c r="T2017" i="30"/>
  <c r="T2018" i="30"/>
  <c r="N2018" i="30"/>
  <c r="N2019" i="30"/>
  <c r="S2020" i="30"/>
  <c r="L2020" i="30"/>
  <c r="P2020" i="30"/>
  <c r="O2018" i="30"/>
  <c r="R2020" i="30"/>
  <c r="L2019" i="30"/>
  <c r="K2020" i="30"/>
  <c r="G2019" i="30"/>
  <c r="M2020" i="30"/>
  <c r="J2018" i="30"/>
  <c r="H2018" i="30"/>
  <c r="R2017" i="30"/>
  <c r="R2019" i="30"/>
  <c r="S2018" i="30"/>
  <c r="L2017" i="30"/>
  <c r="J2019" i="30"/>
  <c r="S2017" i="30"/>
  <c r="J2017" i="30"/>
  <c r="I2020" i="30"/>
  <c r="L2018" i="30"/>
  <c r="Q2018" i="30"/>
  <c r="Q2019" i="30"/>
  <c r="P2017" i="30"/>
  <c r="K2019" i="30"/>
  <c r="H2020" i="30"/>
  <c r="S2019" i="30"/>
  <c r="G2018" i="30"/>
  <c r="M2019" i="30"/>
  <c r="K2017" i="30"/>
  <c r="G2017" i="30"/>
  <c r="O2019" i="30"/>
  <c r="O2017" i="30"/>
  <c r="I2018" i="30"/>
  <c r="Q2017" i="30"/>
  <c r="J2020" i="30"/>
  <c r="N2017" i="30"/>
  <c r="H2019" i="30"/>
  <c r="O2020" i="30"/>
  <c r="M2018" i="30"/>
  <c r="I2017" i="30"/>
  <c r="P2019" i="30"/>
  <c r="Q2020" i="30"/>
  <c r="T2019" i="30"/>
  <c r="M2017" i="30"/>
  <c r="R2018" i="30"/>
  <c r="I2019" i="30"/>
  <c r="G2020" i="30"/>
  <c r="T2020" i="30"/>
  <c r="G1441" i="30" a="1"/>
  <c r="J2776" i="30"/>
  <c r="K2777" i="30"/>
  <c r="S2777" i="30"/>
  <c r="O2775" i="30"/>
  <c r="I2775" i="30"/>
  <c r="J2775" i="30"/>
  <c r="H2776" i="30"/>
  <c r="T2775" i="30"/>
  <c r="Q2776" i="30"/>
  <c r="K2776" i="30"/>
  <c r="T2776" i="30"/>
  <c r="G2776" i="30"/>
  <c r="R2774" i="30"/>
  <c r="L2776" i="30"/>
  <c r="T2774" i="30"/>
  <c r="P2776" i="30"/>
  <c r="I2776" i="30"/>
  <c r="J2777" i="30"/>
  <c r="K2774" i="30"/>
  <c r="P2777" i="30"/>
  <c r="Q2775" i="30"/>
  <c r="P2774" i="30"/>
  <c r="M2776" i="30"/>
  <c r="H2777" i="30"/>
  <c r="I2777" i="30"/>
  <c r="P2775" i="30"/>
  <c r="N2777" i="30"/>
  <c r="Q2774" i="30"/>
  <c r="H2775" i="30"/>
  <c r="T2777" i="30"/>
  <c r="R2775" i="30"/>
  <c r="L2777" i="30"/>
  <c r="I2774" i="30"/>
  <c r="O2774" i="30"/>
  <c r="L2775" i="30"/>
  <c r="R2776" i="30"/>
  <c r="S2775" i="30"/>
  <c r="L2774" i="30"/>
  <c r="O2777" i="30"/>
  <c r="G2777" i="30"/>
  <c r="Q2777" i="30"/>
  <c r="H2774" i="30"/>
  <c r="N2776" i="30"/>
  <c r="M2777" i="30"/>
  <c r="J2774" i="30"/>
  <c r="R2777" i="30"/>
  <c r="O2776" i="30"/>
  <c r="S2776" i="30"/>
  <c r="M2775" i="30"/>
  <c r="M2774" i="30"/>
  <c r="K2775" i="30"/>
  <c r="G2775" i="30"/>
  <c r="S2774" i="30"/>
  <c r="G2774" i="30"/>
  <c r="N2775" i="30"/>
  <c r="N2774" i="30"/>
  <c r="G2401" i="30"/>
  <c r="Q2398" i="30"/>
  <c r="M2396" i="30"/>
  <c r="I2394" i="30"/>
  <c r="R2399" i="30"/>
  <c r="N2397" i="30"/>
  <c r="J2395" i="30"/>
  <c r="S2400" i="30"/>
  <c r="O2398" i="30"/>
  <c r="K2396" i="30"/>
  <c r="G2394" i="30"/>
  <c r="P2401" i="30"/>
  <c r="J2400" i="30"/>
  <c r="N2396" i="30"/>
  <c r="Q2400" i="30"/>
  <c r="M2398" i="30"/>
  <c r="I2396" i="30"/>
  <c r="R2401" i="30"/>
  <c r="N2399" i="30"/>
  <c r="J2397" i="30"/>
  <c r="T2394" i="30"/>
  <c r="O2400" i="30"/>
  <c r="K2398" i="30"/>
  <c r="G2396" i="30"/>
  <c r="T2401" i="30"/>
  <c r="N2400" i="30"/>
  <c r="H2399" i="30"/>
  <c r="T2399" i="30"/>
  <c r="M2400" i="30"/>
  <c r="I2398" i="30"/>
  <c r="S2395" i="30"/>
  <c r="N2401" i="30"/>
  <c r="J2399" i="30"/>
  <c r="T2396" i="30"/>
  <c r="P2394" i="30"/>
  <c r="K2400" i="30"/>
  <c r="G2398" i="30"/>
  <c r="Q2395" i="30"/>
  <c r="R2400" i="30"/>
  <c r="L2399" i="30"/>
  <c r="T2397" i="30"/>
  <c r="L2395" i="30"/>
  <c r="I2400" i="30"/>
  <c r="S2397" i="30"/>
  <c r="O2395" i="30"/>
  <c r="J2401" i="30"/>
  <c r="T2398" i="30"/>
  <c r="P2396" i="30"/>
  <c r="L2394" i="30"/>
  <c r="G2400" i="30"/>
  <c r="Q2397" i="30"/>
  <c r="M2395" i="30"/>
  <c r="P2399" i="30"/>
  <c r="J2398" i="30"/>
  <c r="R2396" i="30"/>
  <c r="R2398" i="30"/>
  <c r="S2399" i="30"/>
  <c r="O2397" i="30"/>
  <c r="K2395" i="30"/>
  <c r="T2400" i="30"/>
  <c r="P2398" i="30"/>
  <c r="L2396" i="30"/>
  <c r="H2394" i="30"/>
  <c r="Q2399" i="30"/>
  <c r="M2397" i="30"/>
  <c r="I2395" i="30"/>
  <c r="N2398" i="30"/>
  <c r="H2397" i="30"/>
  <c r="P2395" i="30"/>
  <c r="J2394" i="30"/>
  <c r="S2401" i="30"/>
  <c r="O2399" i="30"/>
  <c r="K2397" i="30"/>
  <c r="G2395" i="30"/>
  <c r="P2400" i="30"/>
  <c r="L2398" i="30"/>
  <c r="H2396" i="30"/>
  <c r="Q2401" i="30"/>
  <c r="M2399" i="30"/>
  <c r="I2397" i="30"/>
  <c r="S2394" i="30"/>
  <c r="L2397" i="30"/>
  <c r="T2395" i="30"/>
  <c r="N2394" i="30"/>
  <c r="O2401" i="30"/>
  <c r="K2399" i="30"/>
  <c r="G2397" i="30"/>
  <c r="Q2394" i="30"/>
  <c r="L2400" i="30"/>
  <c r="H2398" i="30"/>
  <c r="R2395" i="30"/>
  <c r="M2401" i="30"/>
  <c r="I2399" i="30"/>
  <c r="S2396" i="30"/>
  <c r="O2394" i="30"/>
  <c r="J2396" i="30"/>
  <c r="R2394" i="30"/>
  <c r="P2397" i="30"/>
  <c r="R2397" i="30"/>
  <c r="H2401" i="30"/>
  <c r="K2401" i="30"/>
  <c r="S2398" i="30"/>
  <c r="N2395" i="30"/>
  <c r="G2399" i="30"/>
  <c r="O2396" i="30"/>
  <c r="Q2396" i="30"/>
  <c r="K2394" i="30"/>
  <c r="H2400" i="30"/>
  <c r="I2401" i="30"/>
  <c r="M2394" i="30"/>
  <c r="H2395" i="30"/>
  <c r="L2401" i="30"/>
  <c r="N2518" i="30"/>
  <c r="O2516" i="30"/>
  <c r="N2516" i="30"/>
  <c r="N2515" i="30"/>
  <c r="S2516" i="30"/>
  <c r="R2516" i="30"/>
  <c r="O2518" i="30"/>
  <c r="M2517" i="30"/>
  <c r="O2515" i="30"/>
  <c r="P2517" i="30"/>
  <c r="M2516" i="30"/>
  <c r="N2517" i="30"/>
  <c r="K2518" i="30"/>
  <c r="P2516" i="30"/>
  <c r="Q2516" i="30"/>
  <c r="G2517" i="30"/>
  <c r="M2515" i="30"/>
  <c r="I2516" i="30"/>
  <c r="Q2515" i="30"/>
  <c r="K2516" i="30"/>
  <c r="Q2518" i="30"/>
  <c r="L2516" i="30"/>
  <c r="R2518" i="30"/>
  <c r="R2515" i="30"/>
  <c r="G2518" i="30"/>
  <c r="P2518" i="30"/>
  <c r="I2518" i="30"/>
  <c r="L2515" i="30"/>
  <c r="H2516" i="30"/>
  <c r="H2517" i="30"/>
  <c r="H2515" i="30"/>
  <c r="I2517" i="30"/>
  <c r="T2518" i="30"/>
  <c r="S2515" i="30"/>
  <c r="G2515" i="30"/>
  <c r="S2517" i="30"/>
  <c r="Q2517" i="30"/>
  <c r="M2518" i="30"/>
  <c r="J2516" i="30"/>
  <c r="P2515" i="30"/>
  <c r="H2518" i="30"/>
  <c r="G2516" i="30"/>
  <c r="J2515" i="30"/>
  <c r="J2517" i="30"/>
  <c r="T2517" i="30"/>
  <c r="O2517" i="30"/>
  <c r="R2517" i="30"/>
  <c r="I2515" i="30"/>
  <c r="L2517" i="30"/>
  <c r="L2518" i="30"/>
  <c r="J2518" i="30"/>
  <c r="K2517" i="30"/>
  <c r="S2518" i="30"/>
  <c r="T2516" i="30"/>
  <c r="T2515" i="30"/>
  <c r="K2515" i="30"/>
  <c r="U1280" i="30"/>
  <c r="T288" i="32"/>
  <c r="U1278" i="30"/>
  <c r="R288" i="32" s="1"/>
  <c r="K2298" i="30"/>
  <c r="G2296" i="30"/>
  <c r="Q2293" i="30"/>
  <c r="P2299" i="30"/>
  <c r="L2297" i="30"/>
  <c r="H2295" i="30"/>
  <c r="R2292" i="30"/>
  <c r="M2298" i="30"/>
  <c r="I2296" i="30"/>
  <c r="S2293" i="30"/>
  <c r="H2298" i="30"/>
  <c r="P2296" i="30"/>
  <c r="L2296" i="30"/>
  <c r="T2294" i="30"/>
  <c r="Q2299" i="30"/>
  <c r="M2297" i="30"/>
  <c r="I2295" i="30"/>
  <c r="S2292" i="30"/>
  <c r="R2298" i="30"/>
  <c r="N2296" i="30"/>
  <c r="J2294" i="30"/>
  <c r="S2299" i="30"/>
  <c r="O2297" i="30"/>
  <c r="K2295" i="30"/>
  <c r="G2293" i="30"/>
  <c r="P2294" i="30"/>
  <c r="J2293" i="30"/>
  <c r="T2292" i="30"/>
  <c r="M2299" i="30"/>
  <c r="I2297" i="30"/>
  <c r="S2294" i="30"/>
  <c r="O2292" i="30"/>
  <c r="N2298" i="30"/>
  <c r="J2296" i="30"/>
  <c r="T2293" i="30"/>
  <c r="O2299" i="30"/>
  <c r="K2297" i="30"/>
  <c r="G2295" i="30"/>
  <c r="Q2292" i="30"/>
  <c r="N2293" i="30"/>
  <c r="H2292" i="30"/>
  <c r="J2297" i="30"/>
  <c r="I2299" i="30"/>
  <c r="S2296" i="30"/>
  <c r="O2294" i="30"/>
  <c r="K2292" i="30"/>
  <c r="J2298" i="30"/>
  <c r="T2295" i="30"/>
  <c r="P2293" i="30"/>
  <c r="K2299" i="30"/>
  <c r="G2297" i="30"/>
  <c r="Q2294" i="30"/>
  <c r="M2292" i="30"/>
  <c r="L2292" i="30"/>
  <c r="R2299" i="30"/>
  <c r="P2292" i="30"/>
  <c r="S2298" i="30"/>
  <c r="O2296" i="30"/>
  <c r="K2294" i="30"/>
  <c r="G2292" i="30"/>
  <c r="T2297" i="30"/>
  <c r="P2295" i="30"/>
  <c r="L2293" i="30"/>
  <c r="G2299" i="30"/>
  <c r="Q2296" i="30"/>
  <c r="M2294" i="30"/>
  <c r="I2292" i="30"/>
  <c r="T2298" i="30"/>
  <c r="P2298" i="30"/>
  <c r="H2296" i="30"/>
  <c r="Q2295" i="30"/>
  <c r="P2297" i="30"/>
  <c r="J2292" i="30"/>
  <c r="O2293" i="30"/>
  <c r="N2297" i="30"/>
  <c r="M2295" i="30"/>
  <c r="H2297" i="30"/>
  <c r="Q2298" i="30"/>
  <c r="K2293" i="30"/>
  <c r="J2295" i="30"/>
  <c r="G2294" i="30"/>
  <c r="R2296" i="30"/>
  <c r="I2298" i="30"/>
  <c r="J2299" i="30"/>
  <c r="H2294" i="30"/>
  <c r="O2298" i="30"/>
  <c r="I2293" i="30"/>
  <c r="R2294" i="30"/>
  <c r="M2296" i="30"/>
  <c r="R2295" i="30"/>
  <c r="R2293" i="30"/>
  <c r="G2298" i="30"/>
  <c r="T2299" i="30"/>
  <c r="N2294" i="30"/>
  <c r="S2295" i="30"/>
  <c r="R2297" i="30"/>
  <c r="L2298" i="30"/>
  <c r="M2293" i="30"/>
  <c r="I2294" i="30"/>
  <c r="L2299" i="30"/>
  <c r="T2296" i="30"/>
  <c r="H2299" i="30"/>
  <c r="N2295" i="30"/>
  <c r="L2295" i="30"/>
  <c r="L2294" i="30"/>
  <c r="H2293" i="30"/>
  <c r="N2299" i="30"/>
  <c r="N2292" i="30"/>
  <c r="Q2297" i="30"/>
  <c r="S2297" i="30"/>
  <c r="K2296" i="30"/>
  <c r="O2295" i="30"/>
  <c r="P2366" i="30"/>
  <c r="L2368" i="30"/>
  <c r="P2369" i="30"/>
  <c r="L2366" i="30"/>
  <c r="M2368" i="30"/>
  <c r="S2367" i="30"/>
  <c r="L2367" i="30"/>
  <c r="T2366" i="30"/>
  <c r="H2367" i="30"/>
  <c r="S2368" i="30"/>
  <c r="H2366" i="30"/>
  <c r="I2368" i="30"/>
  <c r="N2366" i="30"/>
  <c r="T2367" i="30"/>
  <c r="P2367" i="30"/>
  <c r="G2366" i="30"/>
  <c r="N2367" i="30"/>
  <c r="H2368" i="30"/>
  <c r="R2366" i="30"/>
  <c r="L2369" i="30"/>
  <c r="I2369" i="30"/>
  <c r="K2368" i="30"/>
  <c r="J2366" i="30"/>
  <c r="M2367" i="30"/>
  <c r="K2369" i="30"/>
  <c r="O2368" i="30"/>
  <c r="T2368" i="30"/>
  <c r="O2369" i="30"/>
  <c r="Q2369" i="30"/>
  <c r="N2368" i="30"/>
  <c r="M2366" i="30"/>
  <c r="G2367" i="30"/>
  <c r="K2367" i="30"/>
  <c r="Q2367" i="30"/>
  <c r="S2366" i="30"/>
  <c r="R2367" i="30"/>
  <c r="N2369" i="30"/>
  <c r="G2368" i="30"/>
  <c r="Q2368" i="30"/>
  <c r="P2368" i="30"/>
  <c r="O2366" i="30"/>
  <c r="J2369" i="30"/>
  <c r="Q2366" i="30"/>
  <c r="M2369" i="30"/>
  <c r="I2366" i="30"/>
  <c r="J2368" i="30"/>
  <c r="J2367" i="30"/>
  <c r="T2369" i="30"/>
  <c r="S2369" i="30"/>
  <c r="O2367" i="30"/>
  <c r="R2369" i="30"/>
  <c r="G2369" i="30"/>
  <c r="I2367" i="30"/>
  <c r="H2369" i="30"/>
  <c r="R2368" i="30"/>
  <c r="K2366" i="30"/>
  <c r="AM494" i="13"/>
  <c r="AN494" i="13" s="1"/>
  <c r="K2835" i="30"/>
  <c r="O2836" i="30"/>
  <c r="J2834" i="30"/>
  <c r="M2834" i="30"/>
  <c r="O2833" i="30"/>
  <c r="T2836" i="30"/>
  <c r="S2833" i="30"/>
  <c r="R2833" i="30"/>
  <c r="N2834" i="30"/>
  <c r="K2833" i="30"/>
  <c r="M2833" i="30"/>
  <c r="K2836" i="30"/>
  <c r="L2834" i="30"/>
  <c r="P2836" i="30"/>
  <c r="H2833" i="30"/>
  <c r="L2836" i="30"/>
  <c r="Q2834" i="30"/>
  <c r="M2836" i="30"/>
  <c r="Q2833" i="30"/>
  <c r="T2834" i="30"/>
  <c r="P2834" i="30"/>
  <c r="J2836" i="30"/>
  <c r="T2835" i="30"/>
  <c r="R2834" i="30"/>
  <c r="G2836" i="30"/>
  <c r="O2834" i="30"/>
  <c r="N2835" i="30"/>
  <c r="R2836" i="30"/>
  <c r="P2833" i="30"/>
  <c r="N2833" i="30"/>
  <c r="I2835" i="30"/>
  <c r="I2833" i="30"/>
  <c r="G2834" i="30"/>
  <c r="N2836" i="30"/>
  <c r="T2833" i="30"/>
  <c r="L2835" i="30"/>
  <c r="O2835" i="30"/>
  <c r="I2834" i="30"/>
  <c r="S2836" i="30"/>
  <c r="K2834" i="30"/>
  <c r="L2833" i="30"/>
  <c r="J2835" i="30"/>
  <c r="R2835" i="30"/>
  <c r="M2835" i="30"/>
  <c r="S2834" i="30"/>
  <c r="I2836" i="30"/>
  <c r="H2834" i="30"/>
  <c r="Q2835" i="30"/>
  <c r="H2836" i="30"/>
  <c r="J2833" i="30"/>
  <c r="P2835" i="30"/>
  <c r="Q2836" i="30"/>
  <c r="S2835" i="30"/>
  <c r="H2835" i="30"/>
  <c r="G2835" i="30"/>
  <c r="G2833" i="30"/>
  <c r="U1950" i="30"/>
  <c r="U1686" i="30"/>
  <c r="R344" i="32" s="1"/>
  <c r="U1682" i="30"/>
  <c r="N344" i="32" s="1"/>
  <c r="G1261" i="30" a="1"/>
  <c r="BE894" i="13"/>
  <c r="S908" i="13"/>
  <c r="U1899" i="30"/>
  <c r="M1848" i="30"/>
  <c r="Q1850" i="30"/>
  <c r="Q1849" i="30"/>
  <c r="P1849" i="30"/>
  <c r="M1849" i="30"/>
  <c r="R1851" i="30"/>
  <c r="J1849" i="30"/>
  <c r="I1849" i="30"/>
  <c r="N1849" i="30"/>
  <c r="I1850" i="30"/>
  <c r="M1850" i="30"/>
  <c r="R1850" i="30"/>
  <c r="K1848" i="30"/>
  <c r="O1851" i="30"/>
  <c r="M1851" i="30"/>
  <c r="H1849" i="30"/>
  <c r="S1850" i="30"/>
  <c r="R1849" i="30"/>
  <c r="N1851" i="30"/>
  <c r="O1850" i="30"/>
  <c r="T1848" i="30"/>
  <c r="G1849" i="30"/>
  <c r="J1850" i="30"/>
  <c r="O1849" i="30"/>
  <c r="K1851" i="30"/>
  <c r="P1851" i="30"/>
  <c r="G1850" i="30"/>
  <c r="T1851" i="30"/>
  <c r="J1848" i="30"/>
  <c r="N1848" i="30"/>
  <c r="Q1851" i="30"/>
  <c r="L1850" i="30"/>
  <c r="H1848" i="30"/>
  <c r="N1850" i="30"/>
  <c r="J1851" i="30"/>
  <c r="H1850" i="30"/>
  <c r="S1849" i="30"/>
  <c r="L1848" i="30"/>
  <c r="L1851" i="30"/>
  <c r="S1851" i="30"/>
  <c r="K1850" i="30"/>
  <c r="R1848" i="30"/>
  <c r="I1851" i="30"/>
  <c r="S1848" i="30"/>
  <c r="I1848" i="30"/>
  <c r="G1848" i="30"/>
  <c r="P1848" i="30"/>
  <c r="K1849" i="30"/>
  <c r="G1851" i="30"/>
  <c r="P1850" i="30"/>
  <c r="H1851" i="30"/>
  <c r="L1849" i="30"/>
  <c r="T1850" i="30"/>
  <c r="T1849" i="30"/>
  <c r="O1848" i="30"/>
  <c r="Q1848" i="30"/>
  <c r="U1912" i="30"/>
  <c r="P6" i="13"/>
  <c r="R6" i="13" s="1"/>
  <c r="S6" i="13" s="1"/>
  <c r="M1450" i="30"/>
  <c r="G1450" i="30"/>
  <c r="L2220" i="30"/>
  <c r="P2218" i="30"/>
  <c r="Q2219" i="30"/>
  <c r="Q2220" i="30"/>
  <c r="P2220" i="30"/>
  <c r="N2220" i="30"/>
  <c r="J2218" i="30"/>
  <c r="S2219" i="30"/>
  <c r="J2219" i="30"/>
  <c r="I2219" i="30"/>
  <c r="H2220" i="30"/>
  <c r="K2218" i="30"/>
  <c r="Q2218" i="30"/>
  <c r="N2217" i="30"/>
  <c r="O2217" i="30"/>
  <c r="S2220" i="30"/>
  <c r="M2218" i="30"/>
  <c r="R2220" i="30"/>
  <c r="T2217" i="30"/>
  <c r="H2217" i="30"/>
  <c r="R2217" i="30"/>
  <c r="S2217" i="30"/>
  <c r="N2219" i="30"/>
  <c r="P2219" i="30"/>
  <c r="M2219" i="30"/>
  <c r="O2219" i="30"/>
  <c r="P2217" i="30"/>
  <c r="K2219" i="30"/>
  <c r="R2219" i="30"/>
  <c r="K2220" i="30"/>
  <c r="H2218" i="30"/>
  <c r="O2220" i="30"/>
  <c r="S2218" i="30"/>
  <c r="G2219" i="30"/>
  <c r="G2220" i="30"/>
  <c r="J2217" i="30"/>
  <c r="L2217" i="30"/>
  <c r="K2217" i="30"/>
  <c r="T2218" i="30"/>
  <c r="O2218" i="30"/>
  <c r="L2218" i="30"/>
  <c r="H2219" i="30"/>
  <c r="T2219" i="30"/>
  <c r="M2217" i="30"/>
  <c r="G2217" i="30"/>
  <c r="J2220" i="30"/>
  <c r="R2218" i="30"/>
  <c r="L2219" i="30"/>
  <c r="N2218" i="30"/>
  <c r="T2220" i="30"/>
  <c r="I2220" i="30"/>
  <c r="Q2217" i="30"/>
  <c r="G2218" i="30"/>
  <c r="M2220" i="30"/>
  <c r="I2217" i="30"/>
  <c r="I2218" i="30"/>
  <c r="G1229" i="30"/>
  <c r="Q1226" i="30"/>
  <c r="M1224" i="30"/>
  <c r="I1222" i="30"/>
  <c r="R1227" i="30"/>
  <c r="N1225" i="30"/>
  <c r="J1223" i="30"/>
  <c r="S1228" i="30"/>
  <c r="O1226" i="30"/>
  <c r="K1224" i="30"/>
  <c r="G1222" i="30"/>
  <c r="H1229" i="30"/>
  <c r="R1228" i="30"/>
  <c r="N1228" i="30"/>
  <c r="I1224" i="30"/>
  <c r="N1227" i="30"/>
  <c r="T1222" i="30"/>
  <c r="K1226" i="30"/>
  <c r="L1229" i="30"/>
  <c r="P1227" i="30"/>
  <c r="T1223" i="30"/>
  <c r="Q1228" i="30"/>
  <c r="M1226" i="30"/>
  <c r="R1229" i="30"/>
  <c r="J1225" i="30"/>
  <c r="O1228" i="30"/>
  <c r="G1224" i="30"/>
  <c r="T1227" i="30"/>
  <c r="M1228" i="30"/>
  <c r="I1226" i="30"/>
  <c r="S1223" i="30"/>
  <c r="N1229" i="30"/>
  <c r="J1227" i="30"/>
  <c r="T1224" i="30"/>
  <c r="P1222" i="30"/>
  <c r="K1228" i="30"/>
  <c r="G1226" i="30"/>
  <c r="Q1223" i="30"/>
  <c r="J1228" i="30"/>
  <c r="R1226" i="30"/>
  <c r="N1226" i="30"/>
  <c r="L1227" i="30"/>
  <c r="M1222" i="30"/>
  <c r="N1222" i="30"/>
  <c r="I1228" i="30"/>
  <c r="S1225" i="30"/>
  <c r="O1223" i="30"/>
  <c r="J1229" i="30"/>
  <c r="T1226" i="30"/>
  <c r="P1224" i="30"/>
  <c r="L1222" i="30"/>
  <c r="G1228" i="30"/>
  <c r="Q1225" i="30"/>
  <c r="M1223" i="30"/>
  <c r="H1227" i="30"/>
  <c r="P1225" i="30"/>
  <c r="L1225" i="30"/>
  <c r="R1222" i="30"/>
  <c r="S1227" i="30"/>
  <c r="O1225" i="30"/>
  <c r="K1223" i="30"/>
  <c r="T1228" i="30"/>
  <c r="L1224" i="30"/>
  <c r="H1222" i="30"/>
  <c r="Q1227" i="30"/>
  <c r="M1225" i="30"/>
  <c r="I1223" i="30"/>
  <c r="N1224" i="30"/>
  <c r="J1226" i="30"/>
  <c r="P1226" i="30"/>
  <c r="T1225" i="30"/>
  <c r="J1224" i="30"/>
  <c r="G1227" i="30"/>
  <c r="R1225" i="30"/>
  <c r="N1223" i="30"/>
  <c r="I1229" i="30"/>
  <c r="O1224" i="30"/>
  <c r="H1225" i="30"/>
  <c r="S1229" i="30"/>
  <c r="O1227" i="30"/>
  <c r="K1225" i="30"/>
  <c r="G1223" i="30"/>
  <c r="P1228" i="30"/>
  <c r="L1226" i="30"/>
  <c r="H1224" i="30"/>
  <c r="Q1229" i="30"/>
  <c r="M1227" i="30"/>
  <c r="I1225" i="30"/>
  <c r="S1222" i="30"/>
  <c r="R1224" i="30"/>
  <c r="L1223" i="30"/>
  <c r="H1223" i="30"/>
  <c r="O1229" i="30"/>
  <c r="K1227" i="30"/>
  <c r="G1225" i="30"/>
  <c r="Q1222" i="30"/>
  <c r="L1228" i="30"/>
  <c r="H1226" i="30"/>
  <c r="R1223" i="30"/>
  <c r="M1229" i="30"/>
  <c r="I1227" i="30"/>
  <c r="S1224" i="30"/>
  <c r="O1222" i="30"/>
  <c r="P1223" i="30"/>
  <c r="J1222" i="30"/>
  <c r="P1229" i="30"/>
  <c r="K1229" i="30"/>
  <c r="H1228" i="30"/>
  <c r="S1226" i="30"/>
  <c r="T1229" i="30"/>
  <c r="Q1224" i="30"/>
  <c r="K1222" i="30"/>
  <c r="U1762" i="30"/>
  <c r="U285" i="13"/>
  <c r="U286" i="13" s="1"/>
  <c r="G1375" i="30" a="1"/>
  <c r="P451" i="32"/>
  <c r="U2307" i="30"/>
  <c r="R1492" i="30"/>
  <c r="H1494" i="30"/>
  <c r="M1495" i="30"/>
  <c r="K1492" i="30"/>
  <c r="I1494" i="30"/>
  <c r="T1494" i="30"/>
  <c r="Q1492" i="30"/>
  <c r="N1495" i="30"/>
  <c r="O1493" i="30"/>
  <c r="G1492" i="30"/>
  <c r="G1494" i="30"/>
  <c r="I1492" i="30"/>
  <c r="K1494" i="30"/>
  <c r="S1494" i="30"/>
  <c r="S1495" i="30"/>
  <c r="S1493" i="30"/>
  <c r="R1493" i="30"/>
  <c r="K1495" i="30"/>
  <c r="Q1495" i="30"/>
  <c r="O1492" i="30"/>
  <c r="N1492" i="30"/>
  <c r="K1493" i="30"/>
  <c r="P1492" i="30"/>
  <c r="G1495" i="30"/>
  <c r="O1495" i="30"/>
  <c r="H1493" i="30"/>
  <c r="R1495" i="30"/>
  <c r="P1494" i="30"/>
  <c r="T1492" i="30"/>
  <c r="H1492" i="30"/>
  <c r="I1495" i="30"/>
  <c r="N1493" i="30"/>
  <c r="L1493" i="30"/>
  <c r="L1494" i="30"/>
  <c r="M1493" i="30"/>
  <c r="S1492" i="30"/>
  <c r="I1493" i="30"/>
  <c r="M1492" i="30"/>
  <c r="Q1494" i="30"/>
  <c r="H1495" i="30"/>
  <c r="Q1493" i="30"/>
  <c r="J1492" i="30"/>
  <c r="J1495" i="30"/>
  <c r="T1495" i="30"/>
  <c r="N1494" i="30"/>
  <c r="O1494" i="30"/>
  <c r="G1493" i="30"/>
  <c r="T1493" i="30"/>
  <c r="J1493" i="30"/>
  <c r="M1494" i="30"/>
  <c r="L1495" i="30"/>
  <c r="J1494" i="30"/>
  <c r="P1493" i="30"/>
  <c r="P1495" i="30"/>
  <c r="L1492" i="30"/>
  <c r="R1494" i="30"/>
  <c r="AF151" i="13"/>
  <c r="AH151" i="13" s="1"/>
  <c r="AI151" i="13" s="1"/>
  <c r="L1291" i="30"/>
  <c r="S1288" i="30"/>
  <c r="O1291" i="30"/>
  <c r="I1291" i="30"/>
  <c r="L1290" i="30"/>
  <c r="N1290" i="30"/>
  <c r="M1291" i="30"/>
  <c r="AU468" i="13"/>
  <c r="AW468" i="13" s="1"/>
  <c r="AX468" i="13" s="1"/>
  <c r="Q469" i="13"/>
  <c r="AU469" i="13" s="1"/>
  <c r="AW469" i="13" s="1"/>
  <c r="AX469" i="13" s="1"/>
  <c r="E37" i="13"/>
  <c r="G2076" i="30"/>
  <c r="U2076" i="30" s="1"/>
  <c r="U2077" i="30"/>
  <c r="S396" i="32"/>
  <c r="I36" i="31" s="1"/>
  <c r="S395" i="32"/>
  <c r="H36" i="31" s="1"/>
  <c r="U2270" i="30"/>
  <c r="U2271" i="30" s="1"/>
  <c r="P424" i="32" s="1"/>
  <c r="U2343" i="30"/>
  <c r="M435" i="32" s="1"/>
  <c r="G1923" i="30"/>
  <c r="U1923" i="30" s="1"/>
  <c r="U1924" i="30"/>
  <c r="S374" i="32"/>
  <c r="H33" i="31" s="1"/>
  <c r="S375" i="32"/>
  <c r="I33" i="31" s="1"/>
  <c r="AK688" i="13"/>
  <c r="AM688" i="13" s="1"/>
  <c r="AN688" i="13" s="1"/>
  <c r="O689" i="13"/>
  <c r="AK689" i="13" s="1"/>
  <c r="AM689" i="13" s="1"/>
  <c r="AN689" i="13" s="1"/>
  <c r="J2671" i="30"/>
  <c r="Q2671" i="30"/>
  <c r="N2668" i="30"/>
  <c r="J2670" i="30"/>
  <c r="G2669" i="30"/>
  <c r="S2669" i="30"/>
  <c r="R2668" i="30"/>
  <c r="H2669" i="30"/>
  <c r="H2671" i="30"/>
  <c r="I2671" i="30"/>
  <c r="K2669" i="30"/>
  <c r="O2669" i="30"/>
  <c r="Q2668" i="30"/>
  <c r="M2671" i="30"/>
  <c r="P2669" i="30"/>
  <c r="T2670" i="30"/>
  <c r="P2671" i="30"/>
  <c r="H2670" i="30"/>
  <c r="J2668" i="30"/>
  <c r="K2668" i="30"/>
  <c r="N2669" i="30"/>
  <c r="O2668" i="30"/>
  <c r="I2668" i="30"/>
  <c r="K2670" i="30"/>
  <c r="J2669" i="30"/>
  <c r="Q2669" i="30"/>
  <c r="S2671" i="30"/>
  <c r="L2670" i="30"/>
  <c r="Q2670" i="30"/>
  <c r="N2671" i="30"/>
  <c r="S2668" i="30"/>
  <c r="O2670" i="30"/>
  <c r="I2670" i="30"/>
  <c r="P2668" i="30"/>
  <c r="T2669" i="30"/>
  <c r="M2668" i="30"/>
  <c r="T2668" i="30"/>
  <c r="P2670" i="30"/>
  <c r="I2669" i="30"/>
  <c r="G2671" i="30"/>
  <c r="R2669" i="30"/>
  <c r="R2671" i="30"/>
  <c r="S2670" i="30"/>
  <c r="M2670" i="30"/>
  <c r="G2668" i="30"/>
  <c r="G2670" i="30"/>
  <c r="O2671" i="30"/>
  <c r="M2669" i="30"/>
  <c r="L2668" i="30"/>
  <c r="T2671" i="30"/>
  <c r="H2668" i="30"/>
  <c r="L2669" i="30"/>
  <c r="N2670" i="30"/>
  <c r="R2670" i="30"/>
  <c r="L2671" i="30"/>
  <c r="K2671" i="30"/>
  <c r="U1279" i="30"/>
  <c r="S288" i="32" s="1"/>
  <c r="Q649" i="13"/>
  <c r="AU649" i="13" s="1"/>
  <c r="AW649" i="13" s="1"/>
  <c r="AX649" i="13" s="1"/>
  <c r="AU648" i="13"/>
  <c r="AW648" i="13" s="1"/>
  <c r="AX648" i="13" s="1"/>
  <c r="E41" i="13"/>
  <c r="G2566" i="30" a="1"/>
  <c r="K1433" i="30"/>
  <c r="G1431" i="30"/>
  <c r="Q1428" i="30"/>
  <c r="M1426" i="30"/>
  <c r="H1432" i="30"/>
  <c r="R1429" i="30"/>
  <c r="N1427" i="30"/>
  <c r="I1433" i="30"/>
  <c r="G1433" i="30"/>
  <c r="Q1430" i="30"/>
  <c r="M1428" i="30"/>
  <c r="I1426" i="30"/>
  <c r="R1431" i="30"/>
  <c r="N1429" i="30"/>
  <c r="J1427" i="30"/>
  <c r="Q1432" i="30"/>
  <c r="M1430" i="30"/>
  <c r="I1428" i="30"/>
  <c r="R1433" i="30"/>
  <c r="N1431" i="30"/>
  <c r="J1429" i="30"/>
  <c r="T1426" i="30"/>
  <c r="I1432" i="30"/>
  <c r="S1429" i="30"/>
  <c r="O1427" i="30"/>
  <c r="J1433" i="30"/>
  <c r="T1430" i="30"/>
  <c r="P1428" i="30"/>
  <c r="L1426" i="30"/>
  <c r="O1431" i="30"/>
  <c r="G1427" i="30"/>
  <c r="L1430" i="30"/>
  <c r="Q1433" i="30"/>
  <c r="I1431" i="30"/>
  <c r="S1428" i="30"/>
  <c r="O1426" i="30"/>
  <c r="T1427" i="30"/>
  <c r="N1426" i="30"/>
  <c r="T1433" i="30"/>
  <c r="I1430" i="30"/>
  <c r="N1433" i="30"/>
  <c r="T1428" i="30"/>
  <c r="S1432" i="30"/>
  <c r="O1430" i="30"/>
  <c r="K1428" i="30"/>
  <c r="G1426" i="30"/>
  <c r="L1433" i="30"/>
  <c r="T1431" i="30"/>
  <c r="P1431" i="30"/>
  <c r="O1429" i="30"/>
  <c r="T1432" i="30"/>
  <c r="L1428" i="30"/>
  <c r="O1432" i="30"/>
  <c r="K1430" i="30"/>
  <c r="G1428" i="30"/>
  <c r="P1433" i="30"/>
  <c r="J1432" i="30"/>
  <c r="R1430" i="30"/>
  <c r="N1430" i="30"/>
  <c r="S1433" i="30"/>
  <c r="K1429" i="30"/>
  <c r="P1432" i="30"/>
  <c r="H1428" i="30"/>
  <c r="K1432" i="30"/>
  <c r="G1430" i="30"/>
  <c r="Q1427" i="30"/>
  <c r="N1432" i="30"/>
  <c r="H1431" i="30"/>
  <c r="P1429" i="30"/>
  <c r="L1429" i="30"/>
  <c r="M1432" i="30"/>
  <c r="S1427" i="30"/>
  <c r="J1431" i="30"/>
  <c r="P1426" i="30"/>
  <c r="Q1431" i="30"/>
  <c r="M1429" i="30"/>
  <c r="I1427" i="30"/>
  <c r="J1430" i="30"/>
  <c r="R1428" i="30"/>
  <c r="L1427" i="30"/>
  <c r="H1427" i="30"/>
  <c r="P1430" i="30"/>
  <c r="Q1429" i="30"/>
  <c r="R1426" i="30"/>
  <c r="O1433" i="30"/>
  <c r="H1430" i="30"/>
  <c r="I1429" i="30"/>
  <c r="T1429" i="30"/>
  <c r="G1429" i="30"/>
  <c r="M1433" i="30"/>
  <c r="S1426" i="30"/>
  <c r="N1428" i="30"/>
  <c r="K1427" i="30"/>
  <c r="G1432" i="30"/>
  <c r="K1426" i="30"/>
  <c r="J1426" i="30"/>
  <c r="H1426" i="30"/>
  <c r="H1433" i="30"/>
  <c r="M1431" i="30"/>
  <c r="R1432" i="30"/>
  <c r="S1430" i="30"/>
  <c r="J1428" i="30"/>
  <c r="S1431" i="30"/>
  <c r="O1428" i="30"/>
  <c r="K1431" i="30"/>
  <c r="M1427" i="30"/>
  <c r="Q1426" i="30"/>
  <c r="L1431" i="30"/>
  <c r="L1432" i="30"/>
  <c r="H1429" i="30"/>
  <c r="R1427" i="30"/>
  <c r="P1427" i="30"/>
  <c r="S309" i="13"/>
  <c r="BE309" i="13" s="1"/>
  <c r="BG309" i="13" s="1"/>
  <c r="BH309" i="13" s="1"/>
  <c r="BE308" i="13"/>
  <c r="BG308" i="13" s="1"/>
  <c r="BH308" i="13" s="1"/>
  <c r="Q186" i="13"/>
  <c r="AU186" i="13" s="1"/>
  <c r="AW186" i="13" s="1"/>
  <c r="AX186" i="13" s="1"/>
  <c r="AU185" i="13"/>
  <c r="AW185" i="13" s="1"/>
  <c r="AX185" i="13" s="1"/>
  <c r="U2383" i="30"/>
  <c r="G2382" i="30"/>
  <c r="U2382" i="30" s="1"/>
  <c r="S438" i="32"/>
  <c r="I42" i="31" s="1"/>
  <c r="S437" i="32"/>
  <c r="H42" i="31" s="1"/>
  <c r="U2553" i="30"/>
  <c r="S463" i="32" s="1"/>
  <c r="U2469" i="30"/>
  <c r="I2058" i="30"/>
  <c r="O2058" i="30"/>
  <c r="Q2058" i="30"/>
  <c r="M2057" i="30"/>
  <c r="N2057" i="30"/>
  <c r="H2059" i="30"/>
  <c r="G2056" i="30"/>
  <c r="S2057" i="30"/>
  <c r="G2059" i="30"/>
  <c r="K2058" i="30"/>
  <c r="T2057" i="30"/>
  <c r="S2056" i="30"/>
  <c r="L2058" i="30"/>
  <c r="J2057" i="30"/>
  <c r="L2059" i="30"/>
  <c r="P2059" i="30"/>
  <c r="T2059" i="30"/>
  <c r="T2058" i="30"/>
  <c r="R2058" i="30"/>
  <c r="O2056" i="30"/>
  <c r="S2058" i="30"/>
  <c r="M2056" i="30"/>
  <c r="Q2056" i="30"/>
  <c r="G2057" i="30"/>
  <c r="R2056" i="30"/>
  <c r="M2059" i="30"/>
  <c r="G2058" i="30"/>
  <c r="N2059" i="30"/>
  <c r="K2057" i="30"/>
  <c r="R2059" i="30"/>
  <c r="I2056" i="30"/>
  <c r="J2059" i="30"/>
  <c r="S2059" i="30"/>
  <c r="N2056" i="30"/>
  <c r="K2056" i="30"/>
  <c r="R2057" i="30"/>
  <c r="O2057" i="30"/>
  <c r="I2059" i="30"/>
  <c r="L2057" i="30"/>
  <c r="Q2059" i="30"/>
  <c r="H2057" i="30"/>
  <c r="J2056" i="30"/>
  <c r="T2056" i="30"/>
  <c r="P2057" i="30"/>
  <c r="L2056" i="30"/>
  <c r="N2058" i="30"/>
  <c r="H2056" i="30"/>
  <c r="M2058" i="30"/>
  <c r="H2058" i="30"/>
  <c r="I2057" i="30"/>
  <c r="Q2057" i="30"/>
  <c r="P2056" i="30"/>
  <c r="J2058" i="30"/>
  <c r="O2059" i="30"/>
  <c r="P2058" i="30"/>
  <c r="K2059" i="30"/>
  <c r="U2104" i="30"/>
  <c r="U1477" i="30"/>
  <c r="M316" i="32" s="1"/>
  <c r="U407" i="30"/>
  <c r="E81" i="32" s="1"/>
  <c r="U411" i="30"/>
  <c r="I81" i="32" s="1"/>
  <c r="G1300" i="30" a="1"/>
  <c r="U396" i="30"/>
  <c r="I79" i="32" s="1"/>
  <c r="U392" i="30"/>
  <c r="E79" i="32" s="1"/>
  <c r="AK754" i="13"/>
  <c r="O768" i="13"/>
  <c r="G2598" i="30" a="1"/>
  <c r="O894" i="13"/>
  <c r="BL245" i="13"/>
  <c r="BM245" i="13" s="1"/>
  <c r="U69" i="13" s="1"/>
  <c r="S69" i="13"/>
  <c r="G1567" i="30"/>
  <c r="U1567" i="30" s="1"/>
  <c r="U1568" i="30"/>
  <c r="S325" i="32"/>
  <c r="H26" i="31" s="1"/>
  <c r="S326" i="32"/>
  <c r="I26" i="31" s="1"/>
  <c r="AH211" i="13"/>
  <c r="AI211" i="13" s="1"/>
  <c r="G1699" i="30" a="1"/>
  <c r="AH171" i="13"/>
  <c r="AI171" i="13" s="1"/>
  <c r="AW454" i="13"/>
  <c r="AX454" i="13" s="1"/>
  <c r="O1904" i="30"/>
  <c r="O1903" i="30"/>
  <c r="I1903" i="30"/>
  <c r="Q1906" i="30"/>
  <c r="K1905" i="30"/>
  <c r="N1903" i="30"/>
  <c r="S1906" i="30"/>
  <c r="J1906" i="30"/>
  <c r="N1906" i="30"/>
  <c r="S1905" i="30"/>
  <c r="R1904" i="30"/>
  <c r="H1906" i="30"/>
  <c r="O1905" i="30"/>
  <c r="G1904" i="30"/>
  <c r="S1903" i="30"/>
  <c r="N1904" i="30"/>
  <c r="T1905" i="30"/>
  <c r="Q1903" i="30"/>
  <c r="T1906" i="30"/>
  <c r="P1904" i="30"/>
  <c r="H1905" i="30"/>
  <c r="L1906" i="30"/>
  <c r="R1906" i="30"/>
  <c r="H1904" i="30"/>
  <c r="M1904" i="30"/>
  <c r="P1903" i="30"/>
  <c r="T1903" i="30"/>
  <c r="R1905" i="30"/>
  <c r="M1906" i="30"/>
  <c r="Q1904" i="30"/>
  <c r="L1903" i="30"/>
  <c r="P1906" i="30"/>
  <c r="L1905" i="30"/>
  <c r="R1903" i="30"/>
  <c r="M1905" i="30"/>
  <c r="Q1905" i="30"/>
  <c r="P1905" i="30"/>
  <c r="S1904" i="30"/>
  <c r="G1905" i="30"/>
  <c r="G1906" i="30"/>
  <c r="K1906" i="30"/>
  <c r="H1903" i="30"/>
  <c r="M1903" i="30"/>
  <c r="J1904" i="30"/>
  <c r="K1904" i="30"/>
  <c r="I1905" i="30"/>
  <c r="I1904" i="30"/>
  <c r="I1906" i="30"/>
  <c r="J1905" i="30"/>
  <c r="K1903" i="30"/>
  <c r="J1903" i="30"/>
  <c r="T1904" i="30"/>
  <c r="O1906" i="30"/>
  <c r="G1903" i="30"/>
  <c r="N1905" i="30"/>
  <c r="L1904" i="30"/>
  <c r="N2423" i="30"/>
  <c r="R2422" i="30"/>
  <c r="T2424" i="30"/>
  <c r="O2424" i="30"/>
  <c r="K2424" i="30"/>
  <c r="H2421" i="30"/>
  <c r="J2422" i="30"/>
  <c r="G2421" i="30"/>
  <c r="Q2421" i="30"/>
  <c r="G2422" i="30"/>
  <c r="P2423" i="30"/>
  <c r="T2423" i="30"/>
  <c r="L2423" i="30"/>
  <c r="M2421" i="30"/>
  <c r="K2421" i="30"/>
  <c r="O2421" i="30"/>
  <c r="S2421" i="30"/>
  <c r="K2423" i="30"/>
  <c r="T2422" i="30"/>
  <c r="R2424" i="30"/>
  <c r="P2424" i="30"/>
  <c r="L2424" i="30"/>
  <c r="J2424" i="30"/>
  <c r="H2424" i="30"/>
  <c r="I2423" i="30"/>
  <c r="M2424" i="30"/>
  <c r="N2421" i="30"/>
  <c r="R2423" i="30"/>
  <c r="H2422" i="30"/>
  <c r="G2424" i="30"/>
  <c r="L2421" i="30"/>
  <c r="Q2424" i="30"/>
  <c r="Q2423" i="30"/>
  <c r="O2423" i="30"/>
  <c r="I2424" i="30"/>
  <c r="J2421" i="30"/>
  <c r="I2421" i="30"/>
  <c r="P2422" i="30"/>
  <c r="P2421" i="30"/>
  <c r="S2424" i="30"/>
  <c r="M2422" i="30"/>
  <c r="Q2422" i="30"/>
  <c r="N2422" i="30"/>
  <c r="G2423" i="30"/>
  <c r="H2423" i="30"/>
  <c r="S2422" i="30"/>
  <c r="M2423" i="30"/>
  <c r="K2422" i="30"/>
  <c r="L2422" i="30"/>
  <c r="J2423" i="30"/>
  <c r="T2421" i="30"/>
  <c r="O2422" i="30"/>
  <c r="R2421" i="30"/>
  <c r="N2424" i="30"/>
  <c r="S2423" i="30"/>
  <c r="I2422" i="30"/>
  <c r="AM674" i="13"/>
  <c r="AN674" i="13" s="1"/>
  <c r="U1771" i="30"/>
  <c r="G1770" i="30"/>
  <c r="U1770" i="30" s="1"/>
  <c r="S354" i="32"/>
  <c r="I30" i="31" s="1"/>
  <c r="S353" i="32"/>
  <c r="H30" i="31" s="1"/>
  <c r="U2027" i="30"/>
  <c r="U2028" i="30" s="1"/>
  <c r="U2783" i="30"/>
  <c r="U1273" i="30"/>
  <c r="M288" i="32" s="1"/>
  <c r="U1275" i="30"/>
  <c r="O288" i="32" s="1"/>
  <c r="AW634" i="13"/>
  <c r="AX634" i="13" s="1"/>
  <c r="K2197" i="30"/>
  <c r="G2195" i="30"/>
  <c r="Q2192" i="30"/>
  <c r="M2190" i="30"/>
  <c r="H2196" i="30"/>
  <c r="R2193" i="30"/>
  <c r="N2191" i="30"/>
  <c r="I2197" i="30"/>
  <c r="S2194" i="30"/>
  <c r="O2192" i="30"/>
  <c r="K2190" i="30"/>
  <c r="R2190" i="30"/>
  <c r="H2197" i="30"/>
  <c r="L2193" i="30"/>
  <c r="Q2196" i="30"/>
  <c r="M2194" i="30"/>
  <c r="I2192" i="30"/>
  <c r="R2197" i="30"/>
  <c r="N2195" i="30"/>
  <c r="J2193" i="30"/>
  <c r="T2190" i="30"/>
  <c r="O2196" i="30"/>
  <c r="K2194" i="30"/>
  <c r="G2192" i="30"/>
  <c r="P2197" i="30"/>
  <c r="J2196" i="30"/>
  <c r="R2194" i="30"/>
  <c r="J2192" i="30"/>
  <c r="M2196" i="30"/>
  <c r="I2194" i="30"/>
  <c r="S2191" i="30"/>
  <c r="N2197" i="30"/>
  <c r="J2195" i="30"/>
  <c r="T2192" i="30"/>
  <c r="P2190" i="30"/>
  <c r="K2196" i="30"/>
  <c r="G2194" i="30"/>
  <c r="Q2191" i="30"/>
  <c r="N2196" i="30"/>
  <c r="H2195" i="30"/>
  <c r="P2193" i="30"/>
  <c r="P2195" i="30"/>
  <c r="I2196" i="30"/>
  <c r="G2193" i="30"/>
  <c r="T2196" i="30"/>
  <c r="N2193" i="30"/>
  <c r="Q2197" i="30"/>
  <c r="Q2193" i="30"/>
  <c r="O2190" i="30"/>
  <c r="R2192" i="30"/>
  <c r="R2196" i="30"/>
  <c r="S2195" i="30"/>
  <c r="M2192" i="30"/>
  <c r="P2196" i="30"/>
  <c r="P2192" i="30"/>
  <c r="M2197" i="30"/>
  <c r="M2193" i="30"/>
  <c r="G2190" i="30"/>
  <c r="P2191" i="30"/>
  <c r="H2191" i="30"/>
  <c r="Q2194" i="30"/>
  <c r="G2191" i="30"/>
  <c r="T2194" i="30"/>
  <c r="R2191" i="30"/>
  <c r="Q2195" i="30"/>
  <c r="K2192" i="30"/>
  <c r="H2193" i="30"/>
  <c r="N2192" i="30"/>
  <c r="S2197" i="30"/>
  <c r="S2193" i="30"/>
  <c r="Q2190" i="30"/>
  <c r="P2194" i="30"/>
  <c r="J2191" i="30"/>
  <c r="M2195" i="30"/>
  <c r="M2191" i="30"/>
  <c r="T2191" i="30"/>
  <c r="L2191" i="30"/>
  <c r="O2197" i="30"/>
  <c r="I2190" i="30"/>
  <c r="L2190" i="30"/>
  <c r="I2191" i="30"/>
  <c r="J2190" i="30"/>
  <c r="G2197" i="30"/>
  <c r="J2197" i="30"/>
  <c r="H2190" i="30"/>
  <c r="S2190" i="30"/>
  <c r="T2197" i="30"/>
  <c r="O2195" i="30"/>
  <c r="L2196" i="30"/>
  <c r="S2196" i="30"/>
  <c r="L2195" i="30"/>
  <c r="N2194" i="30"/>
  <c r="K2195" i="30"/>
  <c r="R2195" i="30"/>
  <c r="G2196" i="30"/>
  <c r="J2194" i="30"/>
  <c r="O2193" i="30"/>
  <c r="L2194" i="30"/>
  <c r="I2195" i="30"/>
  <c r="L2197" i="30"/>
  <c r="K2193" i="30"/>
  <c r="H2194" i="30"/>
  <c r="O2194" i="30"/>
  <c r="T2193" i="30"/>
  <c r="O2191" i="30"/>
  <c r="L2192" i="30"/>
  <c r="I2193" i="30"/>
  <c r="N2190" i="30"/>
  <c r="K2191" i="30"/>
  <c r="H2192" i="30"/>
  <c r="S2192" i="30"/>
  <c r="T2195" i="30"/>
  <c r="BE171" i="13"/>
  <c r="S151" i="13"/>
  <c r="S185" i="13"/>
  <c r="Q165" i="13"/>
  <c r="AU151" i="13"/>
  <c r="AW151" i="13" s="1"/>
  <c r="AX151" i="13" s="1"/>
  <c r="U1951" i="30"/>
  <c r="M2410" i="30"/>
  <c r="I2412" i="30"/>
  <c r="N2410" i="30"/>
  <c r="Q2411" i="30"/>
  <c r="Q2409" i="30"/>
  <c r="H2409" i="30"/>
  <c r="O2412" i="30"/>
  <c r="P2409" i="30"/>
  <c r="R2410" i="30"/>
  <c r="G2411" i="30"/>
  <c r="M2409" i="30"/>
  <c r="M2411" i="30"/>
  <c r="K2410" i="30"/>
  <c r="K2411" i="30"/>
  <c r="S2409" i="30"/>
  <c r="S2412" i="30"/>
  <c r="G2410" i="30"/>
  <c r="N2409" i="30"/>
  <c r="O2409" i="30"/>
  <c r="H2411" i="30"/>
  <c r="N2411" i="30"/>
  <c r="L2411" i="30"/>
  <c r="N2412" i="30"/>
  <c r="L2412" i="30"/>
  <c r="Q2410" i="30"/>
  <c r="T2409" i="30"/>
  <c r="K2412" i="30"/>
  <c r="S2410" i="30"/>
  <c r="T2410" i="30"/>
  <c r="P2410" i="30"/>
  <c r="P2411" i="30"/>
  <c r="O2410" i="30"/>
  <c r="R2412" i="30"/>
  <c r="H2412" i="30"/>
  <c r="Q2412" i="30"/>
  <c r="O2411" i="30"/>
  <c r="L2410" i="30"/>
  <c r="G2412" i="30"/>
  <c r="K2409" i="30"/>
  <c r="R2409" i="30"/>
  <c r="J2412" i="30"/>
  <c r="J2409" i="30"/>
  <c r="L2409" i="30"/>
  <c r="I2411" i="30"/>
  <c r="R2411" i="30"/>
  <c r="H2410" i="30"/>
  <c r="T2411" i="30"/>
  <c r="I2410" i="30"/>
  <c r="J2411" i="30"/>
  <c r="M2412" i="30"/>
  <c r="P2412" i="30"/>
  <c r="I2409" i="30"/>
  <c r="T2412" i="30"/>
  <c r="S2411" i="30"/>
  <c r="J2410" i="30"/>
  <c r="G2409" i="30"/>
  <c r="U1548" i="30" l="1"/>
  <c r="U2472" i="30"/>
  <c r="G1253" i="30"/>
  <c r="T1256" i="30"/>
  <c r="S1254" i="30"/>
  <c r="Q1350" i="30"/>
  <c r="O2361" i="30"/>
  <c r="O2359" i="30"/>
  <c r="O2360" i="30"/>
  <c r="S2359" i="30"/>
  <c r="M1256" i="30"/>
  <c r="R1256" i="30"/>
  <c r="Q1347" i="30"/>
  <c r="J2360" i="30"/>
  <c r="R2359" i="30"/>
  <c r="L2360" i="30"/>
  <c r="P2361" i="30"/>
  <c r="L1256" i="30"/>
  <c r="R1253" i="30"/>
  <c r="R1350" i="30"/>
  <c r="S1251" i="30"/>
  <c r="O1249" i="30"/>
  <c r="J1255" i="30"/>
  <c r="T1254" i="30"/>
  <c r="H1251" i="30"/>
  <c r="H1250" i="30"/>
  <c r="U1547" i="30"/>
  <c r="O1255" i="30"/>
  <c r="P318" i="32"/>
  <c r="S1350" i="30"/>
  <c r="U2665" i="30"/>
  <c r="O1350" i="30"/>
  <c r="S1348" i="30"/>
  <c r="G1255" i="30"/>
  <c r="I1254" i="30"/>
  <c r="H1253" i="30"/>
  <c r="P1253" i="30"/>
  <c r="K1253" i="30"/>
  <c r="P1256" i="30"/>
  <c r="I1256" i="30"/>
  <c r="G1254" i="30"/>
  <c r="N2358" i="30"/>
  <c r="K2360" i="30"/>
  <c r="G2358" i="30"/>
  <c r="P2358" i="30"/>
  <c r="H1254" i="30"/>
  <c r="M1255" i="30"/>
  <c r="J1254" i="30"/>
  <c r="O1256" i="30"/>
  <c r="N55" i="13"/>
  <c r="P55" i="13" s="1"/>
  <c r="S1255" i="30"/>
  <c r="Q1253" i="30"/>
  <c r="N1253" i="30"/>
  <c r="U1865" i="30"/>
  <c r="U1866" i="30" s="1"/>
  <c r="U1867" i="30" s="1"/>
  <c r="Q368" i="32" s="1"/>
  <c r="U2052" i="30"/>
  <c r="U2053" i="30"/>
  <c r="U2523" i="30"/>
  <c r="P395" i="32"/>
  <c r="Q332" i="32"/>
  <c r="U1360" i="30"/>
  <c r="N1349" i="30"/>
  <c r="L1347" i="30"/>
  <c r="N1245" i="30"/>
  <c r="P493" i="32"/>
  <c r="U1960" i="30"/>
  <c r="U1961" i="30" s="1"/>
  <c r="O382" i="32" s="1"/>
  <c r="U2664" i="30"/>
  <c r="U2666" i="30" s="1"/>
  <c r="U2667" i="30" s="1"/>
  <c r="M480" i="32" s="1"/>
  <c r="U2524" i="30"/>
  <c r="H2358" i="30"/>
  <c r="N2359" i="30"/>
  <c r="J2358" i="30"/>
  <c r="S2358" i="30"/>
  <c r="N2361" i="30"/>
  <c r="S2361" i="30"/>
  <c r="J1253" i="30"/>
  <c r="L1255" i="30"/>
  <c r="I1255" i="30"/>
  <c r="K1256" i="30"/>
  <c r="S1253" i="30"/>
  <c r="O1254" i="30"/>
  <c r="G1249" i="30"/>
  <c r="H1245" i="30"/>
  <c r="K2358" i="30"/>
  <c r="T2358" i="30"/>
  <c r="T2361" i="30"/>
  <c r="J2359" i="30"/>
  <c r="P2360" i="30"/>
  <c r="Q2360" i="30"/>
  <c r="T1253" i="30"/>
  <c r="L1254" i="30"/>
  <c r="P1254" i="30"/>
  <c r="K1255" i="30"/>
  <c r="J1256" i="30"/>
  <c r="G1256" i="30"/>
  <c r="J1252" i="30"/>
  <c r="M493" i="32"/>
  <c r="K1245" i="30"/>
  <c r="S2360" i="30"/>
  <c r="I2360" i="30"/>
  <c r="N2360" i="30"/>
  <c r="M2361" i="30"/>
  <c r="H2361" i="30"/>
  <c r="M2359" i="30"/>
  <c r="T1255" i="30"/>
  <c r="M1254" i="30"/>
  <c r="N1256" i="30"/>
  <c r="I1253" i="30"/>
  <c r="H1255" i="30"/>
  <c r="L1253" i="30"/>
  <c r="P1255" i="30"/>
  <c r="N1251" i="30"/>
  <c r="U2011" i="30"/>
  <c r="U2012" i="30" s="1"/>
  <c r="O389" i="32" s="1"/>
  <c r="P353" i="32"/>
  <c r="L1292" i="30"/>
  <c r="S1292" i="30"/>
  <c r="M318" i="32"/>
  <c r="Q416" i="32"/>
  <c r="Q472" i="32"/>
  <c r="K1289" i="30"/>
  <c r="L1288" i="30"/>
  <c r="I1289" i="30"/>
  <c r="T1289" i="30"/>
  <c r="P1290" i="30"/>
  <c r="H1288" i="30"/>
  <c r="P1288" i="30"/>
  <c r="T1248" i="30"/>
  <c r="R500" i="32"/>
  <c r="R1349" i="30"/>
  <c r="H1350" i="30"/>
  <c r="H1347" i="30"/>
  <c r="H1291" i="30"/>
  <c r="K1288" i="30"/>
  <c r="O1289" i="30"/>
  <c r="J1290" i="30"/>
  <c r="O1288" i="30"/>
  <c r="G1291" i="30"/>
  <c r="M1290" i="30"/>
  <c r="I1247" i="30"/>
  <c r="R501" i="32"/>
  <c r="K1348" i="30"/>
  <c r="K1350" i="30"/>
  <c r="O1348" i="30"/>
  <c r="P403" i="32"/>
  <c r="Q444" i="32"/>
  <c r="R1290" i="30"/>
  <c r="L1289" i="30"/>
  <c r="Q1290" i="30"/>
  <c r="T1290" i="30"/>
  <c r="G1290" i="30"/>
  <c r="H1290" i="30"/>
  <c r="J1289" i="30"/>
  <c r="T1291" i="30"/>
  <c r="N1288" i="30"/>
  <c r="G1288" i="30"/>
  <c r="R1288" i="30"/>
  <c r="Q1288" i="30"/>
  <c r="N1291" i="30"/>
  <c r="T1245" i="30"/>
  <c r="R297" i="32"/>
  <c r="K1349" i="30"/>
  <c r="O1349" i="30"/>
  <c r="H1349" i="30"/>
  <c r="J1291" i="30"/>
  <c r="S1289" i="30"/>
  <c r="Q1289" i="30"/>
  <c r="I1290" i="30"/>
  <c r="K1291" i="30"/>
  <c r="M1289" i="30"/>
  <c r="S1290" i="30"/>
  <c r="R1289" i="30"/>
  <c r="N374" i="32"/>
  <c r="R1291" i="30"/>
  <c r="J1288" i="30"/>
  <c r="N1289" i="30"/>
  <c r="G1289" i="30"/>
  <c r="K1290" i="30"/>
  <c r="M1288" i="30"/>
  <c r="H1289" i="30"/>
  <c r="J1350" i="30"/>
  <c r="O298" i="32" s="1"/>
  <c r="M1349" i="30"/>
  <c r="T1350" i="30"/>
  <c r="T1288" i="30"/>
  <c r="P1291" i="30"/>
  <c r="Q1291" i="30"/>
  <c r="S1291" i="30"/>
  <c r="P1289" i="30"/>
  <c r="I1288" i="30"/>
  <c r="G1248" i="30"/>
  <c r="K1347" i="30"/>
  <c r="G1347" i="30"/>
  <c r="R1348" i="30"/>
  <c r="U1504" i="30"/>
  <c r="U2426" i="30"/>
  <c r="U2537" i="30"/>
  <c r="U2538" i="30" s="1"/>
  <c r="U1916" i="30"/>
  <c r="Q1293" i="30"/>
  <c r="H1292" i="30"/>
  <c r="O318" i="32"/>
  <c r="N318" i="32"/>
  <c r="L1293" i="30"/>
  <c r="U2570" i="30"/>
  <c r="M416" i="32"/>
  <c r="U2778" i="30"/>
  <c r="U1505" i="30"/>
  <c r="L2358" i="30"/>
  <c r="Q2358" i="30"/>
  <c r="P2359" i="30"/>
  <c r="G2361" i="30"/>
  <c r="O2358" i="30"/>
  <c r="K2361" i="30"/>
  <c r="Q1255" i="30"/>
  <c r="N1254" i="30"/>
  <c r="Q1254" i="30"/>
  <c r="N1255" i="30"/>
  <c r="Q283" i="32" s="1"/>
  <c r="M1253" i="30"/>
  <c r="K1254" i="30"/>
  <c r="N1295" i="30"/>
  <c r="U1310" i="30"/>
  <c r="U1311" i="30" s="1"/>
  <c r="R291" i="32" s="1"/>
  <c r="Q290" i="32"/>
  <c r="N458" i="32"/>
  <c r="N1352" i="30"/>
  <c r="J1292" i="30"/>
  <c r="U2779" i="30"/>
  <c r="U2425" i="30"/>
  <c r="U1858" i="30"/>
  <c r="U1859" i="30" s="1"/>
  <c r="O368" i="32" s="1"/>
  <c r="U2571" i="30"/>
  <c r="U2205" i="30"/>
  <c r="U2206" i="30"/>
  <c r="P1449" i="30"/>
  <c r="N479" i="32"/>
  <c r="P1451" i="30"/>
  <c r="K1356" i="30"/>
  <c r="U1915" i="30"/>
  <c r="U2427" i="30"/>
  <c r="M1449" i="30"/>
  <c r="P472" i="32"/>
  <c r="O395" i="32"/>
  <c r="M472" i="32"/>
  <c r="H1450" i="30"/>
  <c r="T1450" i="30"/>
  <c r="N423" i="32"/>
  <c r="U1560" i="30"/>
  <c r="O430" i="32"/>
  <c r="Q381" i="32"/>
  <c r="M444" i="32"/>
  <c r="O493" i="32"/>
  <c r="M437" i="32"/>
  <c r="S1349" i="30"/>
  <c r="P416" i="32"/>
  <c r="N395" i="32"/>
  <c r="M367" i="32"/>
  <c r="M1347" i="30"/>
  <c r="I1348" i="30"/>
  <c r="P1347" i="30"/>
  <c r="T1347" i="30"/>
  <c r="I1354" i="30"/>
  <c r="O332" i="32"/>
  <c r="O1347" i="30"/>
  <c r="I1347" i="30"/>
  <c r="T1348" i="30"/>
  <c r="N1347" i="30"/>
  <c r="O479" i="32"/>
  <c r="J1347" i="30"/>
  <c r="H1348" i="30"/>
  <c r="Q1348" i="30"/>
  <c r="G1348" i="30"/>
  <c r="G1350" i="30"/>
  <c r="P479" i="32"/>
  <c r="U2256" i="30"/>
  <c r="P1249" i="30"/>
  <c r="T1252" i="30"/>
  <c r="M1249" i="30"/>
  <c r="L1252" i="30"/>
  <c r="P1250" i="30"/>
  <c r="Q1251" i="30"/>
  <c r="N1249" i="30"/>
  <c r="O325" i="32"/>
  <c r="R1354" i="30"/>
  <c r="M451" i="32"/>
  <c r="P437" i="32"/>
  <c r="U2311" i="30"/>
  <c r="U2105" i="30"/>
  <c r="U2106" i="30" s="1"/>
  <c r="M403" i="32" s="1"/>
  <c r="M1252" i="30"/>
  <c r="Q1250" i="30"/>
  <c r="K1251" i="30"/>
  <c r="G1251" i="30"/>
  <c r="J1250" i="30"/>
  <c r="I1251" i="30"/>
  <c r="R1251" i="30"/>
  <c r="U2324" i="30"/>
  <c r="Q465" i="32"/>
  <c r="P388" i="32"/>
  <c r="S1252" i="30"/>
  <c r="O1251" i="30"/>
  <c r="L1249" i="30"/>
  <c r="K1252" i="30"/>
  <c r="P1252" i="30"/>
  <c r="S1249" i="30"/>
  <c r="I1249" i="30"/>
  <c r="M458" i="32"/>
  <c r="Q1352" i="30"/>
  <c r="M353" i="32"/>
  <c r="P465" i="32"/>
  <c r="M290" i="32"/>
  <c r="P1251" i="30"/>
  <c r="R1252" i="30"/>
  <c r="K1250" i="30"/>
  <c r="R1249" i="30"/>
  <c r="T1250" i="30"/>
  <c r="T1251" i="30"/>
  <c r="G1250" i="30"/>
  <c r="N1353" i="30"/>
  <c r="M1251" i="30"/>
  <c r="Q1249" i="30"/>
  <c r="O1250" i="30"/>
  <c r="Q1252" i="30"/>
  <c r="T1249" i="30"/>
  <c r="J1251" i="30"/>
  <c r="R1250" i="30"/>
  <c r="K1353" i="30"/>
  <c r="U1713" i="30"/>
  <c r="U1714" i="30" s="1"/>
  <c r="Q347" i="32" s="1"/>
  <c r="I1250" i="30"/>
  <c r="H1252" i="30"/>
  <c r="K1249" i="30"/>
  <c r="N1252" i="30"/>
  <c r="N1250" i="30"/>
  <c r="L1251" i="30"/>
  <c r="J1249" i="30"/>
  <c r="O1353" i="30"/>
  <c r="P402" i="32"/>
  <c r="M1250" i="30"/>
  <c r="H1249" i="30"/>
  <c r="L1250" i="30"/>
  <c r="O1252" i="30"/>
  <c r="I1252" i="30"/>
  <c r="S1250" i="30"/>
  <c r="N430" i="32"/>
  <c r="Q374" i="32"/>
  <c r="Q325" i="32"/>
  <c r="M423" i="32"/>
  <c r="U1620" i="30"/>
  <c r="U1621" i="30" s="1"/>
  <c r="U1913" i="30"/>
  <c r="U1914" i="30" s="1"/>
  <c r="P375" i="32" s="1"/>
  <c r="U2478" i="30"/>
  <c r="U2479" i="30" s="1"/>
  <c r="Q452" i="32" s="1"/>
  <c r="P1354" i="30"/>
  <c r="J1352" i="30"/>
  <c r="L1353" i="30"/>
  <c r="Q1354" i="30"/>
  <c r="M1351" i="30"/>
  <c r="H1353" i="30"/>
  <c r="L1352" i="30"/>
  <c r="P1351" i="30"/>
  <c r="K1351" i="30"/>
  <c r="S1353" i="30"/>
  <c r="K1354" i="30"/>
  <c r="S1354" i="30"/>
  <c r="O1351" i="30"/>
  <c r="R1351" i="30"/>
  <c r="J1351" i="30"/>
  <c r="T1352" i="30"/>
  <c r="L1354" i="30"/>
  <c r="G1353" i="30"/>
  <c r="P1353" i="30"/>
  <c r="O1354" i="30"/>
  <c r="J1354" i="30"/>
  <c r="Q1353" i="30"/>
  <c r="I1351" i="30"/>
  <c r="N1354" i="30"/>
  <c r="Q1351" i="30"/>
  <c r="G1354" i="30"/>
  <c r="T1354" i="30"/>
  <c r="G1351" i="30"/>
  <c r="U1497" i="30"/>
  <c r="U2575" i="30"/>
  <c r="U2371" i="30"/>
  <c r="U2312" i="30"/>
  <c r="P1352" i="30"/>
  <c r="L1351" i="30"/>
  <c r="O1352" i="30"/>
  <c r="G1352" i="30"/>
  <c r="S1352" i="30"/>
  <c r="H1354" i="30"/>
  <c r="R1353" i="30"/>
  <c r="S1351" i="30"/>
  <c r="M1353" i="30"/>
  <c r="H1352" i="30"/>
  <c r="N1351" i="30"/>
  <c r="M1352" i="30"/>
  <c r="I1352" i="30"/>
  <c r="J1353" i="30"/>
  <c r="S347" i="32"/>
  <c r="I29" i="31" s="1"/>
  <c r="R1352" i="30"/>
  <c r="T1353" i="30"/>
  <c r="I1353" i="30"/>
  <c r="T1351" i="30"/>
  <c r="K1352" i="30"/>
  <c r="H1351" i="30"/>
  <c r="S1598" i="30"/>
  <c r="I1355" i="30"/>
  <c r="R1598" i="30"/>
  <c r="N1358" i="30"/>
  <c r="O1601" i="30"/>
  <c r="S291" i="32"/>
  <c r="I20" i="31" s="1"/>
  <c r="Q423" i="32"/>
  <c r="P1355" i="30"/>
  <c r="T1598" i="30"/>
  <c r="G1312" i="30"/>
  <c r="U1312" i="30" s="1"/>
  <c r="U2064" i="30"/>
  <c r="U1759" i="30"/>
  <c r="U2116" i="30"/>
  <c r="U2273" i="30"/>
  <c r="U2323" i="30"/>
  <c r="U2325" i="30" s="1"/>
  <c r="U2326" i="30" s="1"/>
  <c r="Q431" i="32" s="1"/>
  <c r="U2272" i="30"/>
  <c r="U2115" i="30"/>
  <c r="U2257" i="30"/>
  <c r="U2470" i="30"/>
  <c r="U2471" i="30" s="1"/>
  <c r="O452" i="32" s="1"/>
  <c r="N165" i="13"/>
  <c r="N166" i="13" s="1"/>
  <c r="AF166" i="13" s="1"/>
  <c r="AH166" i="13" s="1"/>
  <c r="AI166" i="13" s="1"/>
  <c r="G1358" i="30"/>
  <c r="G1598" i="30"/>
  <c r="U1313" i="30"/>
  <c r="P1357" i="30"/>
  <c r="L1598" i="30"/>
  <c r="G1355" i="30"/>
  <c r="Q1598" i="30"/>
  <c r="U1411" i="30"/>
  <c r="U2630" i="30"/>
  <c r="R304" i="32"/>
  <c r="U1559" i="30"/>
  <c r="U2629" i="30"/>
  <c r="U1952" i="30"/>
  <c r="U1953" i="30" s="1"/>
  <c r="M382" i="32" s="1"/>
  <c r="U1610" i="30"/>
  <c r="U1496" i="30"/>
  <c r="U1305" i="30"/>
  <c r="U1758" i="30"/>
  <c r="U2316" i="30"/>
  <c r="U2574" i="30"/>
  <c r="U1501" i="30"/>
  <c r="U1500" i="30"/>
  <c r="U2370" i="30"/>
  <c r="U2579" i="30"/>
  <c r="U2578" i="30"/>
  <c r="U2315" i="30"/>
  <c r="K1451" i="30"/>
  <c r="T1449" i="30"/>
  <c r="G1452" i="30"/>
  <c r="R1450" i="30"/>
  <c r="M1452" i="30"/>
  <c r="L1450" i="30"/>
  <c r="L1449" i="30"/>
  <c r="T1295" i="30"/>
  <c r="R1295" i="30"/>
  <c r="Q1294" i="30"/>
  <c r="J1295" i="30"/>
  <c r="Q1295" i="30"/>
  <c r="S1295" i="30"/>
  <c r="M1293" i="30"/>
  <c r="Q1408" i="30"/>
  <c r="G1407" i="30"/>
  <c r="O1409" i="30"/>
  <c r="Q1407" i="30"/>
  <c r="K1409" i="30"/>
  <c r="L1407" i="30"/>
  <c r="R1407" i="30"/>
  <c r="R1452" i="30"/>
  <c r="I1451" i="30"/>
  <c r="S1451" i="30"/>
  <c r="K1450" i="30"/>
  <c r="S1452" i="30"/>
  <c r="R1449" i="30"/>
  <c r="T1452" i="30"/>
  <c r="P1295" i="30"/>
  <c r="M1294" i="30"/>
  <c r="Q1292" i="30"/>
  <c r="S1293" i="30"/>
  <c r="P1292" i="30"/>
  <c r="I1294" i="30"/>
  <c r="R1293" i="30"/>
  <c r="O1408" i="30"/>
  <c r="S1408" i="30"/>
  <c r="J1408" i="30"/>
  <c r="N1407" i="30"/>
  <c r="R1408" i="30"/>
  <c r="G1408" i="30"/>
  <c r="Q1409" i="30"/>
  <c r="M1451" i="30"/>
  <c r="R1451" i="30"/>
  <c r="N1452" i="30"/>
  <c r="O1451" i="30"/>
  <c r="S1449" i="30"/>
  <c r="I1450" i="30"/>
  <c r="Q1449" i="30"/>
  <c r="R1347" i="30"/>
  <c r="I1349" i="30"/>
  <c r="S1347" i="30"/>
  <c r="P1350" i="30"/>
  <c r="G1349" i="30"/>
  <c r="N1294" i="30"/>
  <c r="M1295" i="30"/>
  <c r="K1292" i="30"/>
  <c r="L1295" i="30"/>
  <c r="H1295" i="30"/>
  <c r="N1292" i="30"/>
  <c r="G1292" i="30"/>
  <c r="U1557" i="30"/>
  <c r="U1558" i="30" s="1"/>
  <c r="P326" i="32" s="1"/>
  <c r="P1407" i="30"/>
  <c r="G1409" i="30"/>
  <c r="Q1406" i="30"/>
  <c r="M1406" i="30"/>
  <c r="I1406" i="30"/>
  <c r="T1409" i="30"/>
  <c r="K1407" i="30"/>
  <c r="S1450" i="30"/>
  <c r="H1452" i="30"/>
  <c r="N1451" i="30"/>
  <c r="J1450" i="30"/>
  <c r="Q1452" i="30"/>
  <c r="P1452" i="30"/>
  <c r="O1450" i="30"/>
  <c r="U2521" i="30"/>
  <c r="U2522" i="30" s="1"/>
  <c r="O459" i="32" s="1"/>
  <c r="G1295" i="30"/>
  <c r="L1294" i="30"/>
  <c r="H1294" i="30"/>
  <c r="T1293" i="30"/>
  <c r="N1293" i="30"/>
  <c r="T1292" i="30"/>
  <c r="S1294" i="30"/>
  <c r="N1406" i="30"/>
  <c r="L1409" i="30"/>
  <c r="T1406" i="30"/>
  <c r="S1407" i="30"/>
  <c r="O1407" i="30"/>
  <c r="H1408" i="30"/>
  <c r="J1409" i="30"/>
  <c r="U2309" i="30"/>
  <c r="U2310" i="30" s="1"/>
  <c r="M431" i="32" s="1"/>
  <c r="T1451" i="30"/>
  <c r="O1452" i="30"/>
  <c r="I1452" i="30"/>
  <c r="J1449" i="30"/>
  <c r="H1449" i="30"/>
  <c r="K1449" i="30"/>
  <c r="G1451" i="30"/>
  <c r="G1293" i="30"/>
  <c r="I1295" i="30"/>
  <c r="P1294" i="30"/>
  <c r="R1292" i="30"/>
  <c r="O1292" i="30"/>
  <c r="M1292" i="30"/>
  <c r="P1293" i="30"/>
  <c r="P1406" i="30"/>
  <c r="H1407" i="30"/>
  <c r="M1408" i="30"/>
  <c r="N1408" i="30"/>
  <c r="M1409" i="30"/>
  <c r="R1409" i="30"/>
  <c r="K1408" i="30"/>
  <c r="P1409" i="30"/>
  <c r="I1408" i="30"/>
  <c r="S1409" i="30"/>
  <c r="J1407" i="30"/>
  <c r="I1409" i="30"/>
  <c r="R1406" i="30"/>
  <c r="L1406" i="30"/>
  <c r="N1450" i="30"/>
  <c r="J1451" i="30"/>
  <c r="N1449" i="30"/>
  <c r="I1449" i="30"/>
  <c r="J1452" i="30"/>
  <c r="L1452" i="30"/>
  <c r="Q1450" i="30"/>
  <c r="J1294" i="30"/>
  <c r="K1294" i="30"/>
  <c r="K1293" i="30"/>
  <c r="O1293" i="30"/>
  <c r="O1295" i="30"/>
  <c r="K1295" i="30"/>
  <c r="O1294" i="30"/>
  <c r="L1408" i="30"/>
  <c r="M1407" i="30"/>
  <c r="T1408" i="30"/>
  <c r="H1409" i="30"/>
  <c r="G1406" i="30"/>
  <c r="O1406" i="30"/>
  <c r="P1408" i="30"/>
  <c r="K1452" i="30"/>
  <c r="G1449" i="30"/>
  <c r="P1450" i="30"/>
  <c r="O1449" i="30"/>
  <c r="Q1451" i="30"/>
  <c r="L1451" i="30"/>
  <c r="R1294" i="30"/>
  <c r="G1294" i="30"/>
  <c r="H1293" i="30"/>
  <c r="I1292" i="30"/>
  <c r="I1293" i="30"/>
  <c r="J1293" i="30"/>
  <c r="H1406" i="30"/>
  <c r="K1406" i="30"/>
  <c r="I1407" i="30"/>
  <c r="N1409" i="30"/>
  <c r="S1406" i="30"/>
  <c r="T1407" i="30"/>
  <c r="J1349" i="30"/>
  <c r="N1348" i="30"/>
  <c r="T1349" i="30"/>
  <c r="P1349" i="30"/>
  <c r="L1349" i="30"/>
  <c r="M1350" i="30"/>
  <c r="O346" i="32"/>
  <c r="U1925" i="30"/>
  <c r="U1926" i="30" s="1"/>
  <c r="I1350" i="30"/>
  <c r="L1348" i="30"/>
  <c r="M1348" i="30"/>
  <c r="J1348" i="30"/>
  <c r="N1350" i="30"/>
  <c r="P1348" i="30"/>
  <c r="G2213" i="30" a="1"/>
  <c r="G2215" i="30" s="1"/>
  <c r="G1147" i="30" a="1"/>
  <c r="T1150" i="30" s="1"/>
  <c r="U1611" i="30"/>
  <c r="U2766" i="30"/>
  <c r="U2613" i="30"/>
  <c r="U2065" i="30"/>
  <c r="U2614" i="30"/>
  <c r="U2767" i="30"/>
  <c r="U1304" i="30"/>
  <c r="U1720" i="30"/>
  <c r="G1151" i="30" a="1"/>
  <c r="J1151" i="30" s="1"/>
  <c r="R1246" i="30"/>
  <c r="O1245" i="30"/>
  <c r="I1245" i="30"/>
  <c r="O1246" i="30"/>
  <c r="N1248" i="30"/>
  <c r="H1247" i="30"/>
  <c r="S1247" i="30"/>
  <c r="H1355" i="30"/>
  <c r="O1357" i="30"/>
  <c r="I1358" i="30"/>
  <c r="M1356" i="30"/>
  <c r="N1356" i="30"/>
  <c r="S1355" i="30"/>
  <c r="O1356" i="30"/>
  <c r="K1599" i="30"/>
  <c r="O1599" i="30"/>
  <c r="S1600" i="30"/>
  <c r="N1599" i="30"/>
  <c r="P1601" i="30"/>
  <c r="P1600" i="30"/>
  <c r="N1598" i="30"/>
  <c r="U2808" i="30"/>
  <c r="P1247" i="30"/>
  <c r="K1247" i="30"/>
  <c r="R1247" i="30"/>
  <c r="L1247" i="30"/>
  <c r="G1247" i="30"/>
  <c r="G1245" i="30"/>
  <c r="L1248" i="30"/>
  <c r="R1355" i="30"/>
  <c r="K1355" i="30"/>
  <c r="I1357" i="30"/>
  <c r="M1357" i="30"/>
  <c r="S1356" i="30"/>
  <c r="M1355" i="30"/>
  <c r="R1358" i="30"/>
  <c r="Q1601" i="30"/>
  <c r="K1600" i="30"/>
  <c r="H1600" i="30"/>
  <c r="I1599" i="30"/>
  <c r="S1599" i="30"/>
  <c r="J1600" i="30"/>
  <c r="P1598" i="30"/>
  <c r="U1608" i="30"/>
  <c r="U1609" i="30" s="1"/>
  <c r="P333" i="32" s="1"/>
  <c r="G1719" i="30"/>
  <c r="U1719" i="30" s="1"/>
  <c r="G1202" i="30" a="1"/>
  <c r="H1202" i="30" s="1"/>
  <c r="M1247" i="30"/>
  <c r="H1248" i="30"/>
  <c r="J1246" i="30"/>
  <c r="G1246" i="30"/>
  <c r="K1246" i="30"/>
  <c r="M1245" i="30"/>
  <c r="P1246" i="30"/>
  <c r="Q1356" i="30"/>
  <c r="L1355" i="30"/>
  <c r="S1358" i="30"/>
  <c r="L1358" i="30"/>
  <c r="Q1358" i="30"/>
  <c r="H1358" i="30"/>
  <c r="G1357" i="30"/>
  <c r="T1600" i="30"/>
  <c r="O1598" i="30"/>
  <c r="Q1600" i="30"/>
  <c r="I1598" i="30"/>
  <c r="M1599" i="30"/>
  <c r="O1600" i="30"/>
  <c r="H1601" i="30"/>
  <c r="G1860" i="30" a="1"/>
  <c r="K1862" i="30" s="1"/>
  <c r="R1248" i="30"/>
  <c r="R1245" i="30"/>
  <c r="K1248" i="30"/>
  <c r="J1248" i="30"/>
  <c r="S1246" i="30"/>
  <c r="S1245" i="30"/>
  <c r="I1248" i="30"/>
  <c r="H1356" i="30"/>
  <c r="R1356" i="30"/>
  <c r="S1357" i="30"/>
  <c r="I1356" i="30"/>
  <c r="J1357" i="30"/>
  <c r="P1358" i="30"/>
  <c r="T1356" i="30"/>
  <c r="I1601" i="30"/>
  <c r="R1600" i="30"/>
  <c r="P1599" i="30"/>
  <c r="M1600" i="30"/>
  <c r="N1601" i="30"/>
  <c r="K1598" i="30"/>
  <c r="J1601" i="30"/>
  <c r="G1143" i="30" a="1"/>
  <c r="Q1143" i="30" s="1"/>
  <c r="U2784" i="30"/>
  <c r="U2785" i="30" s="1"/>
  <c r="Q494" i="32" s="1"/>
  <c r="J1245" i="30"/>
  <c r="T1247" i="30"/>
  <c r="H1246" i="30"/>
  <c r="Q1247" i="30"/>
  <c r="Q1248" i="30"/>
  <c r="L1245" i="30"/>
  <c r="J1247" i="30"/>
  <c r="L1357" i="30"/>
  <c r="L1356" i="30"/>
  <c r="J1356" i="30"/>
  <c r="T1358" i="30"/>
  <c r="N1355" i="30"/>
  <c r="G1356" i="30"/>
  <c r="T1357" i="30"/>
  <c r="G1600" i="30"/>
  <c r="L1601" i="30"/>
  <c r="R1599" i="30"/>
  <c r="G1599" i="30"/>
  <c r="S1601" i="30"/>
  <c r="H1599" i="30"/>
  <c r="M1598" i="30"/>
  <c r="P444" i="32"/>
  <c r="U2516" i="30"/>
  <c r="U2395" i="30"/>
  <c r="N442" i="32" s="1"/>
  <c r="I1246" i="30"/>
  <c r="P1248" i="30"/>
  <c r="N1247" i="30"/>
  <c r="S1248" i="30"/>
  <c r="Q1245" i="30"/>
  <c r="T1246" i="30"/>
  <c r="O1248" i="30"/>
  <c r="Q1355" i="30"/>
  <c r="Q1357" i="30"/>
  <c r="R1357" i="30"/>
  <c r="O1358" i="30"/>
  <c r="P1356" i="30"/>
  <c r="K1357" i="30"/>
  <c r="J1358" i="30"/>
  <c r="J1599" i="30"/>
  <c r="Q1599" i="30"/>
  <c r="R1601" i="30"/>
  <c r="L1599" i="30"/>
  <c r="T1599" i="30"/>
  <c r="L1600" i="30"/>
  <c r="G1601" i="30"/>
  <c r="G1445" i="30" a="1"/>
  <c r="L1448" i="30" s="1"/>
  <c r="P1245" i="30"/>
  <c r="O1247" i="30"/>
  <c r="N1246" i="30"/>
  <c r="L1246" i="30"/>
  <c r="Q1246" i="30"/>
  <c r="M1246" i="30"/>
  <c r="M1358" i="30"/>
  <c r="T1355" i="30"/>
  <c r="N1357" i="30"/>
  <c r="H1357" i="30"/>
  <c r="K1358" i="30"/>
  <c r="O1355" i="30"/>
  <c r="J1598" i="30"/>
  <c r="M1601" i="30"/>
  <c r="K1601" i="30"/>
  <c r="I1600" i="30"/>
  <c r="N1600" i="30"/>
  <c r="T1601" i="30"/>
  <c r="U2384" i="30"/>
  <c r="U2385" i="30" s="1"/>
  <c r="U2018" i="30"/>
  <c r="U2474" i="30"/>
  <c r="U2475" i="30" s="1"/>
  <c r="P452" i="32" s="1"/>
  <c r="U2829" i="30"/>
  <c r="U2044" i="30"/>
  <c r="T393" i="32" s="1"/>
  <c r="N402" i="32"/>
  <c r="Q388" i="32"/>
  <c r="G2068" i="30" a="1"/>
  <c r="H2068" i="30" s="1"/>
  <c r="O472" i="32"/>
  <c r="Q458" i="32"/>
  <c r="U1412" i="30"/>
  <c r="U1413" i="30" s="1"/>
  <c r="R305" i="32" s="1"/>
  <c r="U1772" i="30"/>
  <c r="U1773" i="30" s="1"/>
  <c r="U2057" i="30"/>
  <c r="U1432" i="30"/>
  <c r="S309" i="32" s="1"/>
  <c r="U1426" i="30"/>
  <c r="M309" i="32" s="1"/>
  <c r="U2668" i="30"/>
  <c r="U2622" i="30"/>
  <c r="U2621" i="30"/>
  <c r="U1552" i="30"/>
  <c r="G1237" i="30" a="1"/>
  <c r="P1240" i="30" s="1"/>
  <c r="G1210" i="30" a="1"/>
  <c r="G1210" i="30" s="1"/>
  <c r="U1210" i="30" s="1"/>
  <c r="B5" i="27"/>
  <c r="P30" i="13"/>
  <c r="R30" i="13" s="1"/>
  <c r="S30" i="13" s="1"/>
  <c r="BE151" i="13"/>
  <c r="BG151" i="13" s="1"/>
  <c r="BH151" i="13" s="1"/>
  <c r="S165" i="13"/>
  <c r="S186" i="13"/>
  <c r="BE186" i="13" s="1"/>
  <c r="BG186" i="13" s="1"/>
  <c r="BH186" i="13" s="1"/>
  <c r="BE185" i="13"/>
  <c r="BG185" i="13" s="1"/>
  <c r="BH185" i="13" s="1"/>
  <c r="U2197" i="30"/>
  <c r="T414" i="32" s="1"/>
  <c r="G2413" i="30" a="1"/>
  <c r="U2422" i="30"/>
  <c r="U1428" i="30"/>
  <c r="O309" i="32" s="1"/>
  <c r="U1427" i="30"/>
  <c r="N309" i="32" s="1"/>
  <c r="U2078" i="30"/>
  <c r="U2079" i="30" s="1"/>
  <c r="U1226" i="30"/>
  <c r="Q281" i="32" s="1"/>
  <c r="U2218" i="30"/>
  <c r="U2217" i="30"/>
  <c r="U2299" i="30"/>
  <c r="T428" i="32" s="1"/>
  <c r="U2515" i="30"/>
  <c r="U2394" i="30"/>
  <c r="M442" i="32" s="1"/>
  <c r="U1839" i="30"/>
  <c r="S365" i="32" s="1"/>
  <c r="U1836" i="30"/>
  <c r="P365" i="32" s="1"/>
  <c r="R166" i="13"/>
  <c r="AZ166" i="13" s="1"/>
  <c r="BB166" i="13" s="1"/>
  <c r="BC166" i="13" s="1"/>
  <c r="AZ165" i="13"/>
  <c r="BB165" i="13" s="1"/>
  <c r="BC165" i="13" s="1"/>
  <c r="T1709" i="30"/>
  <c r="S1710" i="30"/>
  <c r="K1709" i="30"/>
  <c r="I1710" i="30"/>
  <c r="H1708" i="30"/>
  <c r="R1708" i="30"/>
  <c r="M1708" i="30"/>
  <c r="J1709" i="30"/>
  <c r="Q1710" i="30"/>
  <c r="R1709" i="30"/>
  <c r="L1710" i="30"/>
  <c r="N1707" i="30"/>
  <c r="P1709" i="30"/>
  <c r="P1708" i="30"/>
  <c r="I1709" i="30"/>
  <c r="L1707" i="30"/>
  <c r="Q1709" i="30"/>
  <c r="K1708" i="30"/>
  <c r="H1707" i="30"/>
  <c r="S1707" i="30"/>
  <c r="K1710" i="30"/>
  <c r="J1707" i="30"/>
  <c r="T1710" i="30"/>
  <c r="G1707" i="30"/>
  <c r="G1709" i="30"/>
  <c r="O1708" i="30"/>
  <c r="S1709" i="30"/>
  <c r="P1707" i="30"/>
  <c r="S1708" i="30"/>
  <c r="H1710" i="30"/>
  <c r="N1710" i="30"/>
  <c r="O1710" i="30"/>
  <c r="J1708" i="30"/>
  <c r="R1710" i="30"/>
  <c r="M1709" i="30"/>
  <c r="N1708" i="30"/>
  <c r="G1708" i="30"/>
  <c r="O1707" i="30"/>
  <c r="N1709" i="30"/>
  <c r="I1707" i="30"/>
  <c r="H1709" i="30"/>
  <c r="T1707" i="30"/>
  <c r="R1707" i="30"/>
  <c r="L1709" i="30"/>
  <c r="O1709" i="30"/>
  <c r="I1708" i="30"/>
  <c r="M1707" i="30"/>
  <c r="Q1708" i="30"/>
  <c r="G1710" i="30"/>
  <c r="M1710" i="30"/>
  <c r="T1708" i="30"/>
  <c r="K1707" i="30"/>
  <c r="L1708" i="30"/>
  <c r="P1710" i="30"/>
  <c r="J1710" i="30"/>
  <c r="Q1707" i="30"/>
  <c r="Q909" i="13"/>
  <c r="AU909" i="13" s="1"/>
  <c r="AU908" i="13"/>
  <c r="AM171" i="13"/>
  <c r="AN171" i="13" s="1"/>
  <c r="G12" i="27"/>
  <c r="H12" i="27" s="1"/>
  <c r="U1937" i="30"/>
  <c r="O379" i="32" s="1"/>
  <c r="U1935" i="30"/>
  <c r="M379" i="32" s="1"/>
  <c r="U1361" i="30"/>
  <c r="U1362" i="30" s="1"/>
  <c r="R298" i="32" s="1"/>
  <c r="AK205" i="13"/>
  <c r="AM205" i="13" s="1"/>
  <c r="AN205" i="13" s="1"/>
  <c r="O206" i="13"/>
  <c r="AK206" i="13" s="1"/>
  <c r="AM206" i="13" s="1"/>
  <c r="AN206" i="13" s="1"/>
  <c r="U2260" i="30"/>
  <c r="U2038" i="30"/>
  <c r="N393" i="32" s="1"/>
  <c r="U1535" i="30"/>
  <c r="T323" i="32" s="1"/>
  <c r="U1532" i="30"/>
  <c r="Q323" i="32" s="1"/>
  <c r="U1768" i="30"/>
  <c r="U1769" i="30" s="1"/>
  <c r="U1339" i="30"/>
  <c r="U1340" i="30"/>
  <c r="U2003" i="30"/>
  <c r="U2004" i="30" s="1"/>
  <c r="M389" i="32" s="1"/>
  <c r="G22" i="27"/>
  <c r="H22" i="27" s="1"/>
  <c r="U2626" i="30"/>
  <c r="L511" i="11"/>
  <c r="G458" i="30" a="1"/>
  <c r="U2461" i="30"/>
  <c r="J1700" i="30"/>
  <c r="Q1701" i="30"/>
  <c r="L1699" i="30"/>
  <c r="O1700" i="30"/>
  <c r="P1701" i="30"/>
  <c r="H1701" i="30"/>
  <c r="T1700" i="30"/>
  <c r="N1702" i="30"/>
  <c r="M1701" i="30"/>
  <c r="J1701" i="30"/>
  <c r="I1699" i="30"/>
  <c r="R1701" i="30"/>
  <c r="I1702" i="30"/>
  <c r="S1700" i="30"/>
  <c r="I1700" i="30"/>
  <c r="P1699" i="30"/>
  <c r="I1701" i="30"/>
  <c r="Q1702" i="30"/>
  <c r="G1701" i="30"/>
  <c r="L1700" i="30"/>
  <c r="H1699" i="30"/>
  <c r="S1702" i="30"/>
  <c r="N1701" i="30"/>
  <c r="R1702" i="30"/>
  <c r="G1699" i="30"/>
  <c r="K1700" i="30"/>
  <c r="R1699" i="30"/>
  <c r="Q1700" i="30"/>
  <c r="J1699" i="30"/>
  <c r="K1701" i="30"/>
  <c r="P1700" i="30"/>
  <c r="M1700" i="30"/>
  <c r="M1702" i="30"/>
  <c r="T1701" i="30"/>
  <c r="Q1699" i="30"/>
  <c r="T1702" i="30"/>
  <c r="R1700" i="30"/>
  <c r="L1702" i="30"/>
  <c r="N1700" i="30"/>
  <c r="G1702" i="30"/>
  <c r="O1699" i="30"/>
  <c r="G1700" i="30"/>
  <c r="H1700" i="30"/>
  <c r="P1702" i="30"/>
  <c r="O1702" i="30"/>
  <c r="K1702" i="30"/>
  <c r="K1699" i="30"/>
  <c r="S1699" i="30"/>
  <c r="O1701" i="30"/>
  <c r="T1699" i="30"/>
  <c r="N1699" i="30"/>
  <c r="J1702" i="30"/>
  <c r="H1702" i="30"/>
  <c r="M1699" i="30"/>
  <c r="S1701" i="30"/>
  <c r="L1701" i="30"/>
  <c r="B17" i="27"/>
  <c r="P41" i="13"/>
  <c r="R41" i="13" s="1"/>
  <c r="S41" i="13" s="1"/>
  <c r="U2669" i="30"/>
  <c r="U1493" i="30"/>
  <c r="U1228" i="30"/>
  <c r="S281" i="32" s="1"/>
  <c r="U2400" i="30"/>
  <c r="S442" i="32" s="1"/>
  <c r="U1840" i="30"/>
  <c r="T365" i="32" s="1"/>
  <c r="U1837" i="30"/>
  <c r="Q365" i="32" s="1"/>
  <c r="U2499" i="30"/>
  <c r="P456" i="32" s="1"/>
  <c r="U2500" i="30"/>
  <c r="Q456" i="32" s="1"/>
  <c r="U2222" i="30"/>
  <c r="U1595" i="30"/>
  <c r="G1563" i="30" a="1"/>
  <c r="U2013" i="30"/>
  <c r="G2841" i="30" a="1"/>
  <c r="AK185" i="13"/>
  <c r="AM185" i="13" s="1"/>
  <c r="AN185" i="13" s="1"/>
  <c r="O186" i="13"/>
  <c r="AK186" i="13" s="1"/>
  <c r="AM186" i="13" s="1"/>
  <c r="AN186" i="13" s="1"/>
  <c r="U1938" i="30"/>
  <c r="P379" i="32" s="1"/>
  <c r="AM191" i="13"/>
  <c r="AN191" i="13" s="1"/>
  <c r="U1703" i="30"/>
  <c r="U2112" i="30"/>
  <c r="U2261" i="30"/>
  <c r="U2672" i="30"/>
  <c r="U2042" i="30"/>
  <c r="R393" i="32" s="1"/>
  <c r="M1695" i="30"/>
  <c r="H1697" i="30"/>
  <c r="K1695" i="30"/>
  <c r="I1695" i="30"/>
  <c r="G1695" i="30"/>
  <c r="K1698" i="30"/>
  <c r="J1695" i="30"/>
  <c r="I1697" i="30"/>
  <c r="O1695" i="30"/>
  <c r="T1697" i="30"/>
  <c r="G1698" i="30"/>
  <c r="N1697" i="30"/>
  <c r="K1697" i="30"/>
  <c r="H1695" i="30"/>
  <c r="S1697" i="30"/>
  <c r="T1695" i="30"/>
  <c r="P1698" i="30"/>
  <c r="R1695" i="30"/>
  <c r="P1696" i="30"/>
  <c r="H1696" i="30"/>
  <c r="N1696" i="30"/>
  <c r="S1696" i="30"/>
  <c r="L1695" i="30"/>
  <c r="N1698" i="30"/>
  <c r="Q1697" i="30"/>
  <c r="J1698" i="30"/>
  <c r="I1696" i="30"/>
  <c r="L1696" i="30"/>
  <c r="Q1695" i="30"/>
  <c r="S1695" i="30"/>
  <c r="O1696" i="30"/>
  <c r="T1696" i="30"/>
  <c r="G1696" i="30"/>
  <c r="P1697" i="30"/>
  <c r="M1697" i="30"/>
  <c r="L1698" i="30"/>
  <c r="O1698" i="30"/>
  <c r="S1698" i="30"/>
  <c r="J1697" i="30"/>
  <c r="M1696" i="30"/>
  <c r="Q1696" i="30"/>
  <c r="N1695" i="30"/>
  <c r="R1697" i="30"/>
  <c r="H1698" i="30"/>
  <c r="M1698" i="30"/>
  <c r="O1697" i="30"/>
  <c r="I1698" i="30"/>
  <c r="J1696" i="30"/>
  <c r="P1695" i="30"/>
  <c r="R1698" i="30"/>
  <c r="K1696" i="30"/>
  <c r="L1697" i="30"/>
  <c r="G1697" i="30"/>
  <c r="Q1698" i="30"/>
  <c r="T1698" i="30"/>
  <c r="R1696" i="30"/>
  <c r="U1533" i="30"/>
  <c r="R323" i="32" s="1"/>
  <c r="U1901" i="30"/>
  <c r="U1902" i="30" s="1"/>
  <c r="M375" i="32" s="1"/>
  <c r="U1603" i="30"/>
  <c r="U2682" i="30"/>
  <c r="U2683" i="30" s="1"/>
  <c r="Q480" i="32" s="1"/>
  <c r="U1967" i="30"/>
  <c r="G1461" i="30" a="1"/>
  <c r="U1735" i="30"/>
  <c r="Q351" i="32" s="1"/>
  <c r="U1732" i="30"/>
  <c r="N351" i="32" s="1"/>
  <c r="U2805" i="30"/>
  <c r="U2190" i="30"/>
  <c r="M414" i="32" s="1"/>
  <c r="AP434" i="13"/>
  <c r="AR434" i="13" s="1"/>
  <c r="AS434" i="13" s="1"/>
  <c r="G1805" i="30" s="1" a="1"/>
  <c r="P448" i="13"/>
  <c r="G1782" i="30" a="1"/>
  <c r="P894" i="13"/>
  <c r="G2955" i="30" s="1" a="1"/>
  <c r="P191" i="13"/>
  <c r="BG171" i="13"/>
  <c r="BH171" i="13" s="1"/>
  <c r="U2421" i="30"/>
  <c r="I1860" i="30"/>
  <c r="I1862" i="30"/>
  <c r="N1860" i="30"/>
  <c r="L1861" i="30"/>
  <c r="K1860" i="30"/>
  <c r="I1863" i="30"/>
  <c r="R1861" i="30"/>
  <c r="J1861" i="30"/>
  <c r="H1860" i="30"/>
  <c r="R1863" i="30"/>
  <c r="I1861" i="30"/>
  <c r="Q1863" i="30"/>
  <c r="K1861" i="30"/>
  <c r="G1862" i="30"/>
  <c r="H1862" i="30"/>
  <c r="R1862" i="30"/>
  <c r="Q1860" i="30"/>
  <c r="R1860" i="30"/>
  <c r="H1863" i="30"/>
  <c r="S1862" i="30"/>
  <c r="N1862" i="30"/>
  <c r="L1860" i="30"/>
  <c r="H1861" i="30"/>
  <c r="P1860" i="30"/>
  <c r="S1860" i="30"/>
  <c r="G1860" i="30"/>
  <c r="P1863" i="30"/>
  <c r="G1239" i="30"/>
  <c r="AK894" i="13"/>
  <c r="O908" i="13"/>
  <c r="H1302" i="30"/>
  <c r="R1302" i="30"/>
  <c r="S1300" i="30"/>
  <c r="I1303" i="30"/>
  <c r="J1302" i="30"/>
  <c r="G1300" i="30"/>
  <c r="H1300" i="30"/>
  <c r="I1301" i="30"/>
  <c r="L1300" i="30"/>
  <c r="T1301" i="30"/>
  <c r="P1302" i="30"/>
  <c r="S1302" i="30"/>
  <c r="G1303" i="30"/>
  <c r="N1300" i="30"/>
  <c r="O1301" i="30"/>
  <c r="R1300" i="30"/>
  <c r="Q1302" i="30"/>
  <c r="G1302" i="30"/>
  <c r="M1300" i="30"/>
  <c r="N1301" i="30"/>
  <c r="T1303" i="30"/>
  <c r="L1301" i="30"/>
  <c r="K1302" i="30"/>
  <c r="L1302" i="30"/>
  <c r="J1300" i="30"/>
  <c r="M1301" i="30"/>
  <c r="P1301" i="30"/>
  <c r="M1302" i="30"/>
  <c r="H1303" i="30"/>
  <c r="S1301" i="30"/>
  <c r="Q1301" i="30"/>
  <c r="T1300" i="30"/>
  <c r="J1301" i="30"/>
  <c r="I1302" i="30"/>
  <c r="L1303" i="30"/>
  <c r="Q1303" i="30"/>
  <c r="K1303" i="30"/>
  <c r="P1300" i="30"/>
  <c r="O1300" i="30"/>
  <c r="P1303" i="30"/>
  <c r="Q1300" i="30"/>
  <c r="R1303" i="30"/>
  <c r="H1301" i="30"/>
  <c r="K1301" i="30"/>
  <c r="M1303" i="30"/>
  <c r="R1301" i="30"/>
  <c r="I1300" i="30"/>
  <c r="O1303" i="30"/>
  <c r="N1302" i="30"/>
  <c r="J1303" i="30"/>
  <c r="K1300" i="30"/>
  <c r="N1303" i="30"/>
  <c r="O1302" i="30"/>
  <c r="S1303" i="30"/>
  <c r="T1302" i="30"/>
  <c r="G1301" i="30"/>
  <c r="U2056" i="30"/>
  <c r="B14" i="27"/>
  <c r="P38" i="13"/>
  <c r="R38" i="13" s="1"/>
  <c r="S38" i="13" s="1"/>
  <c r="S1379" i="30"/>
  <c r="M1377" i="30"/>
  <c r="J1376" i="30"/>
  <c r="I1379" i="30"/>
  <c r="T1375" i="30"/>
  <c r="G1378" i="30"/>
  <c r="I1381" i="30"/>
  <c r="P1382" i="30"/>
  <c r="J1382" i="30"/>
  <c r="H1380" i="30"/>
  <c r="R1376" i="30"/>
  <c r="M1378" i="30"/>
  <c r="O1380" i="30"/>
  <c r="M1381" i="30"/>
  <c r="K1375" i="30"/>
  <c r="H1379" i="30"/>
  <c r="O1379" i="30"/>
  <c r="K1376" i="30"/>
  <c r="K1379" i="30"/>
  <c r="I1375" i="30"/>
  <c r="J1380" i="30"/>
  <c r="H1378" i="30"/>
  <c r="N1375" i="30"/>
  <c r="O1375" i="30"/>
  <c r="H1382" i="30"/>
  <c r="O1378" i="30"/>
  <c r="T1378" i="30"/>
  <c r="Q1382" i="30"/>
  <c r="P1379" i="30"/>
  <c r="O1377" i="30"/>
  <c r="I1377" i="30"/>
  <c r="S1381" i="30"/>
  <c r="Q1377" i="30"/>
  <c r="O1381" i="30"/>
  <c r="O1376" i="30"/>
  <c r="N1382" i="30"/>
  <c r="L1380" i="30"/>
  <c r="T1379" i="30"/>
  <c r="R1377" i="30"/>
  <c r="I1380" i="30"/>
  <c r="I1376" i="30"/>
  <c r="L1379" i="30"/>
  <c r="G1380" i="30"/>
  <c r="H1381" i="30"/>
  <c r="S1377" i="30"/>
  <c r="T1382" i="30"/>
  <c r="G1382" i="30"/>
  <c r="J1381" i="30"/>
  <c r="M1382" i="30"/>
  <c r="K1377" i="30"/>
  <c r="G1376" i="30"/>
  <c r="G1377" i="30"/>
  <c r="P1381" i="30"/>
  <c r="T1377" i="30"/>
  <c r="R1375" i="30"/>
  <c r="L1375" i="30"/>
  <c r="Q1375" i="30"/>
  <c r="T1381" i="30"/>
  <c r="R1379" i="30"/>
  <c r="N1379" i="30"/>
  <c r="K1378" i="30"/>
  <c r="R1378" i="30"/>
  <c r="P1376" i="30"/>
  <c r="T1376" i="30"/>
  <c r="T1380" i="30"/>
  <c r="R1382" i="30"/>
  <c r="P1380" i="30"/>
  <c r="I1378" i="30"/>
  <c r="K1381" i="30"/>
  <c r="M1375" i="30"/>
  <c r="Q1378" i="30"/>
  <c r="Q1381" i="30"/>
  <c r="L1377" i="30"/>
  <c r="J1375" i="30"/>
  <c r="M1379" i="30"/>
  <c r="G1379" i="30"/>
  <c r="N1381" i="30"/>
  <c r="H1377" i="30"/>
  <c r="S1376" i="30"/>
  <c r="N1377" i="30"/>
  <c r="N1376" i="30"/>
  <c r="K1380" i="30"/>
  <c r="R1380" i="30"/>
  <c r="P1378" i="30"/>
  <c r="N1380" i="30"/>
  <c r="L1378" i="30"/>
  <c r="S1375" i="30"/>
  <c r="S1382" i="30"/>
  <c r="M1376" i="30"/>
  <c r="R1381" i="30"/>
  <c r="H1375" i="30"/>
  <c r="K1382" i="30"/>
  <c r="P1375" i="30"/>
  <c r="I1382" i="30"/>
  <c r="S1378" i="30"/>
  <c r="N1378" i="30"/>
  <c r="L1376" i="30"/>
  <c r="J1378" i="30"/>
  <c r="H1376" i="30"/>
  <c r="J1377" i="30"/>
  <c r="Q1376" i="30"/>
  <c r="Q1379" i="30"/>
  <c r="L1382" i="30"/>
  <c r="L1381" i="30"/>
  <c r="Q1380" i="30"/>
  <c r="S1380" i="30"/>
  <c r="J1379" i="30"/>
  <c r="P1377" i="30"/>
  <c r="M1380" i="30"/>
  <c r="G1375" i="30"/>
  <c r="G1381" i="30"/>
  <c r="O1382" i="30"/>
  <c r="U1224" i="30"/>
  <c r="O281" i="32" s="1"/>
  <c r="U1222" i="30"/>
  <c r="M281" i="32" s="1"/>
  <c r="U2295" i="30"/>
  <c r="P428" i="32" s="1"/>
  <c r="U2401" i="30"/>
  <c r="T442" i="32" s="1"/>
  <c r="M1448" i="30"/>
  <c r="H1447" i="30"/>
  <c r="H1448" i="30"/>
  <c r="M1447" i="30"/>
  <c r="J1445" i="30"/>
  <c r="M1445" i="30"/>
  <c r="K1447" i="30"/>
  <c r="K1448" i="30"/>
  <c r="T1447" i="30"/>
  <c r="H1446" i="30"/>
  <c r="G1447" i="30"/>
  <c r="L1447" i="30"/>
  <c r="P1447" i="30"/>
  <c r="R1445" i="30"/>
  <c r="J1447" i="30"/>
  <c r="Q1447" i="30"/>
  <c r="T1445" i="30"/>
  <c r="U2014" i="30"/>
  <c r="O165" i="13"/>
  <c r="AK151" i="13"/>
  <c r="AM151" i="13" s="1"/>
  <c r="AN151" i="13" s="1"/>
  <c r="U1941" i="30"/>
  <c r="S379" i="32" s="1"/>
  <c r="BL185" i="13"/>
  <c r="BM185" i="13" s="1"/>
  <c r="J69" i="13" s="1"/>
  <c r="H69" i="13"/>
  <c r="U2040" i="30"/>
  <c r="P393" i="32" s="1"/>
  <c r="AZ908" i="13"/>
  <c r="R909" i="13"/>
  <c r="AZ909" i="13" s="1"/>
  <c r="M297" i="32"/>
  <c r="M500" i="32"/>
  <c r="M501" i="32"/>
  <c r="M298" i="32"/>
  <c r="E22" i="13"/>
  <c r="F4" i="13" s="1"/>
  <c r="M7" i="13" s="1"/>
  <c r="T909" i="13"/>
  <c r="BJ909" i="13" s="1"/>
  <c r="BJ908" i="13"/>
  <c r="U1747" i="30"/>
  <c r="U2676" i="30"/>
  <c r="U2625" i="30"/>
  <c r="U2192" i="30"/>
  <c r="O414" i="32" s="1"/>
  <c r="T2604" i="30"/>
  <c r="P2602" i="30"/>
  <c r="L2600" i="30"/>
  <c r="H2598" i="30"/>
  <c r="G2603" i="30"/>
  <c r="T2599" i="30"/>
  <c r="I2605" i="30"/>
  <c r="I2602" i="30"/>
  <c r="H2599" i="30"/>
  <c r="T2603" i="30"/>
  <c r="S2600" i="30"/>
  <c r="Q2605" i="30"/>
  <c r="K2602" i="30"/>
  <c r="G2600" i="30"/>
  <c r="P2604" i="30"/>
  <c r="L2602" i="30"/>
  <c r="H2600" i="30"/>
  <c r="P2605" i="30"/>
  <c r="O2602" i="30"/>
  <c r="O2599" i="30"/>
  <c r="R2604" i="30"/>
  <c r="Q2601" i="30"/>
  <c r="Q2598" i="30"/>
  <c r="O2603" i="30"/>
  <c r="N2600" i="30"/>
  <c r="J2604" i="30"/>
  <c r="R2600" i="30"/>
  <c r="O2604" i="30"/>
  <c r="L2604" i="30"/>
  <c r="H2602" i="30"/>
  <c r="R2599" i="30"/>
  <c r="K2605" i="30"/>
  <c r="J2602" i="30"/>
  <c r="I2599" i="30"/>
  <c r="M2604" i="30"/>
  <c r="L2601" i="30"/>
  <c r="K2598" i="30"/>
  <c r="I2603" i="30"/>
  <c r="I2600" i="30"/>
  <c r="Q2602" i="30"/>
  <c r="K2599" i="30"/>
  <c r="N2598" i="30"/>
  <c r="H2604" i="30"/>
  <c r="R2601" i="30"/>
  <c r="N2599" i="30"/>
  <c r="S2604" i="30"/>
  <c r="S2601" i="30"/>
  <c r="R2598" i="30"/>
  <c r="G2604" i="30"/>
  <c r="G2601" i="30"/>
  <c r="S2605" i="30"/>
  <c r="R2602" i="30"/>
  <c r="Q2599" i="30"/>
  <c r="I2601" i="30"/>
  <c r="G2605" i="30"/>
  <c r="H2603" i="30"/>
  <c r="R2603" i="30"/>
  <c r="N2601" i="30"/>
  <c r="J2599" i="30"/>
  <c r="N2604" i="30"/>
  <c r="M2601" i="30"/>
  <c r="M2598" i="30"/>
  <c r="P2603" i="30"/>
  <c r="O2600" i="30"/>
  <c r="M2605" i="30"/>
  <c r="M2602" i="30"/>
  <c r="L2599" i="30"/>
  <c r="P2599" i="30"/>
  <c r="M2603" i="30"/>
  <c r="O2601" i="30"/>
  <c r="R2605" i="30"/>
  <c r="N2603" i="30"/>
  <c r="J2601" i="30"/>
  <c r="T2598" i="30"/>
  <c r="I2604" i="30"/>
  <c r="H2601" i="30"/>
  <c r="G2598" i="30"/>
  <c r="K2603" i="30"/>
  <c r="J2600" i="30"/>
  <c r="H2605" i="30"/>
  <c r="G2602" i="30"/>
  <c r="G2599" i="30"/>
  <c r="I2598" i="30"/>
  <c r="T2601" i="30"/>
  <c r="N2605" i="30"/>
  <c r="J2603" i="30"/>
  <c r="T2600" i="30"/>
  <c r="P2598" i="30"/>
  <c r="Q2603" i="30"/>
  <c r="Q2600" i="30"/>
  <c r="T2605" i="30"/>
  <c r="S2602" i="30"/>
  <c r="S2599" i="30"/>
  <c r="Q2604" i="30"/>
  <c r="P2601" i="30"/>
  <c r="O2598" i="30"/>
  <c r="L2605" i="30"/>
  <c r="M2600" i="30"/>
  <c r="K2600" i="30"/>
  <c r="S2598" i="30"/>
  <c r="N2602" i="30"/>
  <c r="J2605" i="30"/>
  <c r="M2599" i="30"/>
  <c r="O2605" i="30"/>
  <c r="T2602" i="30"/>
  <c r="K2604" i="30"/>
  <c r="P2600" i="30"/>
  <c r="K2601" i="30"/>
  <c r="S2603" i="30"/>
  <c r="L2598" i="30"/>
  <c r="J2598" i="30"/>
  <c r="L2603" i="30"/>
  <c r="U1223" i="30"/>
  <c r="N281" i="32" s="1"/>
  <c r="U2834" i="30"/>
  <c r="U2399" i="30"/>
  <c r="R442" i="32" s="1"/>
  <c r="U2396" i="30"/>
  <c r="O442" i="32" s="1"/>
  <c r="L1444" i="30"/>
  <c r="T1441" i="30"/>
  <c r="J1443" i="30"/>
  <c r="N1444" i="30"/>
  <c r="O1443" i="30"/>
  <c r="N1443" i="30"/>
  <c r="K1443" i="30"/>
  <c r="Q1443" i="30"/>
  <c r="J1441" i="30"/>
  <c r="H1444" i="30"/>
  <c r="Q1441" i="30"/>
  <c r="J1442" i="30"/>
  <c r="M1441" i="30"/>
  <c r="P1441" i="30"/>
  <c r="T1444" i="30"/>
  <c r="S1444" i="30"/>
  <c r="K1441" i="30"/>
  <c r="N1442" i="30"/>
  <c r="S1442" i="30"/>
  <c r="O1441" i="30"/>
  <c r="Q1442" i="30"/>
  <c r="L1443" i="30"/>
  <c r="H1442" i="30"/>
  <c r="L1441" i="30"/>
  <c r="G1441" i="30"/>
  <c r="I1442" i="30"/>
  <c r="L1442" i="30"/>
  <c r="P1444" i="30"/>
  <c r="T1443" i="30"/>
  <c r="K1444" i="30"/>
  <c r="R1442" i="30"/>
  <c r="H1441" i="30"/>
  <c r="I1441" i="30"/>
  <c r="O1444" i="30"/>
  <c r="Q1444" i="30"/>
  <c r="G1444" i="30"/>
  <c r="J1444" i="30"/>
  <c r="M1444" i="30"/>
  <c r="P1443" i="30"/>
  <c r="S1443" i="30"/>
  <c r="R1444" i="30"/>
  <c r="R1441" i="30"/>
  <c r="T1442" i="30"/>
  <c r="I1444" i="30"/>
  <c r="P1442" i="30"/>
  <c r="N1441" i="30"/>
  <c r="S1441" i="30"/>
  <c r="G1443" i="30"/>
  <c r="G1442" i="30"/>
  <c r="H1443" i="30"/>
  <c r="M1443" i="30"/>
  <c r="K1442" i="30"/>
  <c r="R1443" i="30"/>
  <c r="M1442" i="30"/>
  <c r="I1443" i="30"/>
  <c r="O1442" i="30"/>
  <c r="U2496" i="30"/>
  <c r="M456" i="32" s="1"/>
  <c r="U2221" i="30"/>
  <c r="G1398" i="30"/>
  <c r="R1401" i="30"/>
  <c r="R1398" i="30"/>
  <c r="O1401" i="30"/>
  <c r="S1400" i="30"/>
  <c r="I1399" i="30"/>
  <c r="O1400" i="30"/>
  <c r="G1401" i="30"/>
  <c r="P1400" i="30"/>
  <c r="Q1398" i="30"/>
  <c r="O1398" i="30"/>
  <c r="H1399" i="30"/>
  <c r="M1399" i="30"/>
  <c r="Q1400" i="30"/>
  <c r="Q1401" i="30"/>
  <c r="K1398" i="30"/>
  <c r="T1398" i="30"/>
  <c r="K1400" i="30"/>
  <c r="H1401" i="30"/>
  <c r="N1400" i="30"/>
  <c r="P1399" i="30"/>
  <c r="H1398" i="30"/>
  <c r="J1398" i="30"/>
  <c r="R1399" i="30"/>
  <c r="J1399" i="30"/>
  <c r="T1401" i="30"/>
  <c r="I1398" i="30"/>
  <c r="O1399" i="30"/>
  <c r="I1400" i="30"/>
  <c r="Q1399" i="30"/>
  <c r="J1400" i="30"/>
  <c r="S1398" i="30"/>
  <c r="M1400" i="30"/>
  <c r="J1401" i="30"/>
  <c r="S1401" i="30"/>
  <c r="K1399" i="30"/>
  <c r="S1399" i="30"/>
  <c r="L1401" i="30"/>
  <c r="P1401" i="30"/>
  <c r="I1401" i="30"/>
  <c r="M1401" i="30"/>
  <c r="K1401" i="30"/>
  <c r="M1398" i="30"/>
  <c r="L1400" i="30"/>
  <c r="L1399" i="30"/>
  <c r="P1398" i="30"/>
  <c r="N1401" i="30"/>
  <c r="N1399" i="30"/>
  <c r="G1399" i="30"/>
  <c r="L1398" i="30"/>
  <c r="N1398" i="30"/>
  <c r="H1400" i="30"/>
  <c r="R1400" i="30"/>
  <c r="G1400" i="30"/>
  <c r="T1400" i="30"/>
  <c r="T1399" i="30"/>
  <c r="U1415" i="30"/>
  <c r="S305" i="32"/>
  <c r="I22" i="31" s="1"/>
  <c r="S304" i="32"/>
  <c r="H22" i="31" s="1"/>
  <c r="G1414" i="30"/>
  <c r="U1414" i="30" s="1"/>
  <c r="U1939" i="30"/>
  <c r="Q379" i="32" s="1"/>
  <c r="U2528" i="30"/>
  <c r="U2111" i="30"/>
  <c r="U1530" i="30"/>
  <c r="O323" i="32" s="1"/>
  <c r="U2108" i="30"/>
  <c r="U1731" i="30"/>
  <c r="M351" i="32" s="1"/>
  <c r="U2195" i="30"/>
  <c r="R414" i="32" s="1"/>
  <c r="U2410" i="30"/>
  <c r="U2196" i="30"/>
  <c r="S414" i="32" s="1"/>
  <c r="U1903" i="30"/>
  <c r="U1904" i="30"/>
  <c r="O769" i="13"/>
  <c r="AK769" i="13" s="1"/>
  <c r="AM769" i="13" s="1"/>
  <c r="AN769" i="13" s="1"/>
  <c r="AK768" i="13"/>
  <c r="AM768" i="13" s="1"/>
  <c r="AN768" i="13" s="1"/>
  <c r="E42" i="13"/>
  <c r="U1227" i="30"/>
  <c r="R281" i="32" s="1"/>
  <c r="T281" i="32"/>
  <c r="U1229" i="30"/>
  <c r="U2833" i="30"/>
  <c r="G1954" i="30" a="1"/>
  <c r="U2298" i="30"/>
  <c r="S428" i="32" s="1"/>
  <c r="U2292" i="30"/>
  <c r="M428" i="32" s="1"/>
  <c r="U2397" i="30"/>
  <c r="P442" i="32" s="1"/>
  <c r="U2502" i="30"/>
  <c r="S456" i="32" s="1"/>
  <c r="G1460" i="30"/>
  <c r="L1457" i="30"/>
  <c r="S1460" i="30"/>
  <c r="N1460" i="30"/>
  <c r="G1457" i="30"/>
  <c r="S1459" i="30"/>
  <c r="O1457" i="30"/>
  <c r="I1459" i="30"/>
  <c r="S1457" i="30"/>
  <c r="K1460" i="30"/>
  <c r="G1459" i="30"/>
  <c r="I1457" i="30"/>
  <c r="T1459" i="30"/>
  <c r="R1459" i="30"/>
  <c r="L1460" i="30"/>
  <c r="K1457" i="30"/>
  <c r="L1459" i="30"/>
  <c r="N1458" i="30"/>
  <c r="H1459" i="30"/>
  <c r="G1458" i="30"/>
  <c r="I1460" i="30"/>
  <c r="J1459" i="30"/>
  <c r="R1458" i="30"/>
  <c r="H1458" i="30"/>
  <c r="O1458" i="30"/>
  <c r="Q1460" i="30"/>
  <c r="P1460" i="30"/>
  <c r="P1459" i="30"/>
  <c r="O1459" i="30"/>
  <c r="K1459" i="30"/>
  <c r="H1457" i="30"/>
  <c r="L1458" i="30"/>
  <c r="M1458" i="30"/>
  <c r="N1459" i="30"/>
  <c r="S1458" i="30"/>
  <c r="P1457" i="30"/>
  <c r="J1460" i="30"/>
  <c r="O1460" i="30"/>
  <c r="R1460" i="30"/>
  <c r="Q1459" i="30"/>
  <c r="M1460" i="30"/>
  <c r="N1457" i="30"/>
  <c r="T1457" i="30"/>
  <c r="P1458" i="30"/>
  <c r="Q1457" i="30"/>
  <c r="H1460" i="30"/>
  <c r="I1458" i="30"/>
  <c r="M1457" i="30"/>
  <c r="T1460" i="30"/>
  <c r="J1457" i="30"/>
  <c r="J1458" i="30"/>
  <c r="T1458" i="30"/>
  <c r="M1459" i="30"/>
  <c r="R1457" i="30"/>
  <c r="Q1458" i="30"/>
  <c r="K1458" i="30"/>
  <c r="U1822" i="30"/>
  <c r="G1821" i="30"/>
  <c r="U1821" i="30" s="1"/>
  <c r="S361" i="32"/>
  <c r="I31" i="31" s="1"/>
  <c r="S360" i="32"/>
  <c r="H31" i="31" s="1"/>
  <c r="U1940" i="30"/>
  <c r="R379" i="32" s="1"/>
  <c r="P7" i="13"/>
  <c r="R7" i="13" s="1"/>
  <c r="S7" i="13" s="1"/>
  <c r="U1529" i="30"/>
  <c r="N323" i="32" s="1"/>
  <c r="U1528" i="30"/>
  <c r="M323" i="32" s="1"/>
  <c r="U1531" i="30"/>
  <c r="P323" i="32" s="1"/>
  <c r="G1186" i="30" a="1"/>
  <c r="E9" i="13"/>
  <c r="T166" i="13"/>
  <c r="BJ166" i="13" s="1"/>
  <c r="BL166" i="13" s="1"/>
  <c r="BM166" i="13" s="1"/>
  <c r="BJ165" i="13"/>
  <c r="BL165" i="13" s="1"/>
  <c r="BM165" i="13" s="1"/>
  <c r="U2826" i="30"/>
  <c r="U2825" i="30"/>
  <c r="S1813" i="30"/>
  <c r="T1813" i="30"/>
  <c r="K1815" i="30"/>
  <c r="G1813" i="30"/>
  <c r="L1815" i="30"/>
  <c r="K1816" i="30"/>
  <c r="I1815" i="30"/>
  <c r="R1814" i="30"/>
  <c r="L1814" i="30"/>
  <c r="P1814" i="30"/>
  <c r="Q1816" i="30"/>
  <c r="I1816" i="30"/>
  <c r="S1814" i="30"/>
  <c r="K1813" i="30"/>
  <c r="S1815" i="30"/>
  <c r="G1815" i="30"/>
  <c r="L1813" i="30"/>
  <c r="N1814" i="30"/>
  <c r="K1814" i="30"/>
  <c r="I1814" i="30"/>
  <c r="N1813" i="30"/>
  <c r="G1814" i="30"/>
  <c r="O1813" i="30"/>
  <c r="G1816" i="30"/>
  <c r="H1815" i="30"/>
  <c r="J1814" i="30"/>
  <c r="J1813" i="30"/>
  <c r="O1814" i="30"/>
  <c r="P1813" i="30"/>
  <c r="H1813" i="30"/>
  <c r="N1816" i="30"/>
  <c r="R1813" i="30"/>
  <c r="S1816" i="30"/>
  <c r="I1813" i="30"/>
  <c r="T1814" i="30"/>
  <c r="M1814" i="30"/>
  <c r="J1815" i="30"/>
  <c r="Q1814" i="30"/>
  <c r="Q1813" i="30"/>
  <c r="O1816" i="30"/>
  <c r="M1813" i="30"/>
  <c r="R1815" i="30"/>
  <c r="M1815" i="30"/>
  <c r="R1816" i="30"/>
  <c r="N1815" i="30"/>
  <c r="Q1815" i="30"/>
  <c r="T1815" i="30"/>
  <c r="P1815" i="30"/>
  <c r="H1814" i="30"/>
  <c r="M1816" i="30"/>
  <c r="O1815" i="30"/>
  <c r="P1816" i="30"/>
  <c r="H1816" i="30"/>
  <c r="L1816" i="30"/>
  <c r="J1816" i="30"/>
  <c r="T1816" i="30"/>
  <c r="BL205" i="13"/>
  <c r="BM205" i="13" s="1"/>
  <c r="G69" i="13" s="1"/>
  <c r="E69" i="13"/>
  <c r="U1737" i="30"/>
  <c r="S351" i="32" s="1"/>
  <c r="U1736" i="30"/>
  <c r="R351" i="32" s="1"/>
  <c r="K1344" i="30"/>
  <c r="G1344" i="30"/>
  <c r="M1343" i="30"/>
  <c r="T1343" i="30"/>
  <c r="G1345" i="30"/>
  <c r="J1344" i="30"/>
  <c r="L1346" i="30"/>
  <c r="K1343" i="30"/>
  <c r="J1346" i="30"/>
  <c r="T1346" i="30"/>
  <c r="Q1346" i="30"/>
  <c r="M1344" i="30"/>
  <c r="Q1344" i="30"/>
  <c r="R1344" i="30"/>
  <c r="G1343" i="30"/>
  <c r="H1344" i="30"/>
  <c r="N1346" i="30"/>
  <c r="R1345" i="30"/>
  <c r="O1345" i="30"/>
  <c r="J1343" i="30"/>
  <c r="R1343" i="30"/>
  <c r="M1345" i="30"/>
  <c r="H1343" i="30"/>
  <c r="R1346" i="30"/>
  <c r="Q1345" i="30"/>
  <c r="T1345" i="30"/>
  <c r="P1343" i="30"/>
  <c r="P1345" i="30"/>
  <c r="P1344" i="30"/>
  <c r="T1344" i="30"/>
  <c r="I1346" i="30"/>
  <c r="O1346" i="30"/>
  <c r="I1345" i="30"/>
  <c r="K1346" i="30"/>
  <c r="I1343" i="30"/>
  <c r="K1345" i="30"/>
  <c r="P1346" i="30"/>
  <c r="Q1343" i="30"/>
  <c r="O1343" i="30"/>
  <c r="N1345" i="30"/>
  <c r="I1344" i="30"/>
  <c r="N1344" i="30"/>
  <c r="O1344" i="30"/>
  <c r="J1345" i="30"/>
  <c r="H1345" i="30"/>
  <c r="L1345" i="30"/>
  <c r="N1343" i="30"/>
  <c r="S1346" i="30"/>
  <c r="H1346" i="30"/>
  <c r="S1345" i="30"/>
  <c r="L1344" i="30"/>
  <c r="S1344" i="30"/>
  <c r="M1346" i="30"/>
  <c r="S1343" i="30"/>
  <c r="L1343" i="30"/>
  <c r="G1346" i="30"/>
  <c r="U2804" i="30"/>
  <c r="U2807" i="30"/>
  <c r="U2191" i="30"/>
  <c r="N414" i="32" s="1"/>
  <c r="U1431" i="30"/>
  <c r="R309" i="32" s="1"/>
  <c r="S909" i="13"/>
  <c r="BE909" i="13" s="1"/>
  <c r="BE908" i="13"/>
  <c r="O437" i="32"/>
  <c r="U2297" i="30"/>
  <c r="R428" i="32" s="1"/>
  <c r="U2774" i="30"/>
  <c r="U2498" i="30"/>
  <c r="O456" i="32" s="1"/>
  <c r="U1594" i="30"/>
  <c r="M332" i="32"/>
  <c r="G1516" i="30"/>
  <c r="U1516" i="30" s="1"/>
  <c r="U1517" i="30"/>
  <c r="S319" i="32"/>
  <c r="I25" i="31" s="1"/>
  <c r="S318" i="32"/>
  <c r="H25" i="31" s="1"/>
  <c r="U1258" i="30"/>
  <c r="G1257" i="30"/>
  <c r="U1257" i="30" s="1"/>
  <c r="R283" i="32"/>
  <c r="G1126" i="30"/>
  <c r="Q1123" i="30"/>
  <c r="M1121" i="30"/>
  <c r="L1127" i="30"/>
  <c r="H1125" i="30"/>
  <c r="R1122" i="30"/>
  <c r="N1120" i="30"/>
  <c r="I1126" i="30"/>
  <c r="S1123" i="30"/>
  <c r="O1121" i="30"/>
  <c r="N1125" i="30"/>
  <c r="H1124" i="30"/>
  <c r="P1122" i="30"/>
  <c r="H1120" i="30"/>
  <c r="I1121" i="30"/>
  <c r="R1124" i="30"/>
  <c r="K1121" i="30"/>
  <c r="N1123" i="30"/>
  <c r="Q1125" i="30"/>
  <c r="M1123" i="30"/>
  <c r="H1127" i="30"/>
  <c r="N1122" i="30"/>
  <c r="L1124" i="30"/>
  <c r="Q1127" i="30"/>
  <c r="M1125" i="30"/>
  <c r="I1123" i="30"/>
  <c r="S1120" i="30"/>
  <c r="R1126" i="30"/>
  <c r="N1124" i="30"/>
  <c r="J1122" i="30"/>
  <c r="S1127" i="30"/>
  <c r="O1125" i="30"/>
  <c r="K1123" i="30"/>
  <c r="G1121" i="30"/>
  <c r="J1123" i="30"/>
  <c r="R1121" i="30"/>
  <c r="L1120" i="30"/>
  <c r="O1122" i="30"/>
  <c r="J1126" i="30"/>
  <c r="K1127" i="30"/>
  <c r="Q1122" i="30"/>
  <c r="J1127" i="30"/>
  <c r="K1126" i="30"/>
  <c r="Q1121" i="30"/>
  <c r="H1123" i="30"/>
  <c r="M1126" i="30"/>
  <c r="I1124" i="30"/>
  <c r="J1125" i="30"/>
  <c r="P1124" i="30"/>
  <c r="O1123" i="30"/>
  <c r="M1127" i="30"/>
  <c r="I1125" i="30"/>
  <c r="S1122" i="30"/>
  <c r="O1120" i="30"/>
  <c r="N1126" i="30"/>
  <c r="J1124" i="30"/>
  <c r="T1121" i="30"/>
  <c r="O1127" i="30"/>
  <c r="K1125" i="30"/>
  <c r="G1123" i="30"/>
  <c r="Q1120" i="30"/>
  <c r="H1122" i="30"/>
  <c r="P1120" i="30"/>
  <c r="T1126" i="30"/>
  <c r="S1124" i="30"/>
  <c r="K1120" i="30"/>
  <c r="P1121" i="30"/>
  <c r="G1125" i="30"/>
  <c r="T1120" i="30"/>
  <c r="L1122" i="30"/>
  <c r="J1120" i="30"/>
  <c r="I1127" i="30"/>
  <c r="T1123" i="30"/>
  <c r="M1120" i="30"/>
  <c r="L1125" i="30"/>
  <c r="T1122" i="30"/>
  <c r="S1126" i="30"/>
  <c r="O1124" i="30"/>
  <c r="K1122" i="30"/>
  <c r="G1120" i="30"/>
  <c r="T1125" i="30"/>
  <c r="P1123" i="30"/>
  <c r="L1121" i="30"/>
  <c r="G1127" i="30"/>
  <c r="Q1124" i="30"/>
  <c r="M1122" i="30"/>
  <c r="I1120" i="30"/>
  <c r="N1127" i="30"/>
  <c r="H1126" i="30"/>
  <c r="R1125" i="30"/>
  <c r="O1126" i="30"/>
  <c r="K1124" i="30"/>
  <c r="G1122" i="30"/>
  <c r="T1127" i="30"/>
  <c r="P1125" i="30"/>
  <c r="L1123" i="30"/>
  <c r="H1121" i="30"/>
  <c r="Q1126" i="30"/>
  <c r="M1124" i="30"/>
  <c r="I1122" i="30"/>
  <c r="R1127" i="30"/>
  <c r="L1126" i="30"/>
  <c r="T1124" i="30"/>
  <c r="J1121" i="30"/>
  <c r="P1126" i="30"/>
  <c r="N1121" i="30"/>
  <c r="G1124" i="30"/>
  <c r="P1127" i="30"/>
  <c r="R1120" i="30"/>
  <c r="S1121" i="30"/>
  <c r="R1123" i="30"/>
  <c r="S1125" i="30"/>
  <c r="U2830" i="30"/>
  <c r="P1390" i="30"/>
  <c r="H1393" i="30"/>
  <c r="T1392" i="30"/>
  <c r="O1391" i="30"/>
  <c r="N1391" i="30"/>
  <c r="I1392" i="30"/>
  <c r="P1391" i="30"/>
  <c r="N1392" i="30"/>
  <c r="K1392" i="30"/>
  <c r="G1390" i="30"/>
  <c r="R1392" i="30"/>
  <c r="Q1392" i="30"/>
  <c r="G1391" i="30"/>
  <c r="G1392" i="30"/>
  <c r="S1393" i="30"/>
  <c r="H1391" i="30"/>
  <c r="M1390" i="30"/>
  <c r="L1391" i="30"/>
  <c r="N1393" i="30"/>
  <c r="R1393" i="30"/>
  <c r="K1390" i="30"/>
  <c r="J1392" i="30"/>
  <c r="H1390" i="30"/>
  <c r="Q1391" i="30"/>
  <c r="T1390" i="30"/>
  <c r="S1391" i="30"/>
  <c r="M1391" i="30"/>
  <c r="O1393" i="30"/>
  <c r="Q1390" i="30"/>
  <c r="J1390" i="30"/>
  <c r="L1390" i="30"/>
  <c r="Q1393" i="30"/>
  <c r="P1392" i="30"/>
  <c r="S1390" i="30"/>
  <c r="H1392" i="30"/>
  <c r="T1391" i="30"/>
  <c r="I1391" i="30"/>
  <c r="R1390" i="30"/>
  <c r="M1393" i="30"/>
  <c r="I1390" i="30"/>
  <c r="G1393" i="30"/>
  <c r="J1391" i="30"/>
  <c r="L1392" i="30"/>
  <c r="J1393" i="30"/>
  <c r="I1393" i="30"/>
  <c r="O1390" i="30"/>
  <c r="K1391" i="30"/>
  <c r="K1393" i="30"/>
  <c r="N1390" i="30"/>
  <c r="O1392" i="30"/>
  <c r="P1393" i="30"/>
  <c r="R1391" i="30"/>
  <c r="L1393" i="30"/>
  <c r="M1392" i="30"/>
  <c r="T1393" i="30"/>
  <c r="S1392" i="30"/>
  <c r="Q1331" i="30"/>
  <c r="M1329" i="30"/>
  <c r="I1327" i="30"/>
  <c r="S1324" i="30"/>
  <c r="R1330" i="30"/>
  <c r="N1328" i="30"/>
  <c r="J1326" i="30"/>
  <c r="S1331" i="30"/>
  <c r="O1329" i="30"/>
  <c r="K1327" i="30"/>
  <c r="G1325" i="30"/>
  <c r="L1326" i="30"/>
  <c r="H1326" i="30"/>
  <c r="P1324" i="30"/>
  <c r="M1331" i="30"/>
  <c r="I1329" i="30"/>
  <c r="S1326" i="30"/>
  <c r="O1324" i="30"/>
  <c r="N1330" i="30"/>
  <c r="J1328" i="30"/>
  <c r="T1325" i="30"/>
  <c r="O1331" i="30"/>
  <c r="K1329" i="30"/>
  <c r="G1327" i="30"/>
  <c r="Q1324" i="30"/>
  <c r="J1325" i="30"/>
  <c r="T1324" i="30"/>
  <c r="J1331" i="30"/>
  <c r="I1331" i="30"/>
  <c r="S1328" i="30"/>
  <c r="O1326" i="30"/>
  <c r="K1324" i="30"/>
  <c r="J1330" i="30"/>
  <c r="T1327" i="30"/>
  <c r="P1325" i="30"/>
  <c r="K1331" i="30"/>
  <c r="G1329" i="30"/>
  <c r="Q1326" i="30"/>
  <c r="M1324" i="30"/>
  <c r="H1324" i="30"/>
  <c r="N1331" i="30"/>
  <c r="H1330" i="30"/>
  <c r="M1327" i="30"/>
  <c r="N1326" i="30"/>
  <c r="S1329" i="30"/>
  <c r="N1327" i="30"/>
  <c r="S1330" i="30"/>
  <c r="O1328" i="30"/>
  <c r="K1326" i="30"/>
  <c r="G1324" i="30"/>
  <c r="T1329" i="30"/>
  <c r="P1327" i="30"/>
  <c r="L1325" i="30"/>
  <c r="G1331" i="30"/>
  <c r="Q1328" i="30"/>
  <c r="M1326" i="30"/>
  <c r="I1324" i="30"/>
  <c r="R1331" i="30"/>
  <c r="L1330" i="30"/>
  <c r="T1328" i="30"/>
  <c r="O1330" i="30"/>
  <c r="G1326" i="30"/>
  <c r="P1329" i="30"/>
  <c r="H1325" i="30"/>
  <c r="M1328" i="30"/>
  <c r="T1330" i="30"/>
  <c r="P1330" i="30"/>
  <c r="R1327" i="30"/>
  <c r="K1328" i="30"/>
  <c r="T1331" i="30"/>
  <c r="L1327" i="30"/>
  <c r="Q1330" i="30"/>
  <c r="I1326" i="30"/>
  <c r="J1329" i="30"/>
  <c r="H1331" i="30"/>
  <c r="O1327" i="30"/>
  <c r="L1324" i="30"/>
  <c r="K1330" i="30"/>
  <c r="G1328" i="30"/>
  <c r="Q1325" i="30"/>
  <c r="P1331" i="30"/>
  <c r="L1329" i="30"/>
  <c r="H1327" i="30"/>
  <c r="R1324" i="30"/>
  <c r="M1330" i="30"/>
  <c r="I1328" i="30"/>
  <c r="S1325" i="30"/>
  <c r="R1329" i="30"/>
  <c r="N1329" i="30"/>
  <c r="H1328" i="30"/>
  <c r="P1326" i="30"/>
  <c r="G1330" i="30"/>
  <c r="Q1327" i="30"/>
  <c r="M1325" i="30"/>
  <c r="L1331" i="30"/>
  <c r="H1329" i="30"/>
  <c r="R1326" i="30"/>
  <c r="N1324" i="30"/>
  <c r="I1330" i="30"/>
  <c r="S1327" i="30"/>
  <c r="O1325" i="30"/>
  <c r="P1328" i="30"/>
  <c r="L1328" i="30"/>
  <c r="T1326" i="30"/>
  <c r="N1325" i="30"/>
  <c r="R1328" i="30"/>
  <c r="J1327" i="30"/>
  <c r="Q1329" i="30"/>
  <c r="I1325" i="30"/>
  <c r="J1324" i="30"/>
  <c r="K1325" i="30"/>
  <c r="R1325" i="30"/>
  <c r="U1704" i="30"/>
  <c r="O402" i="32"/>
  <c r="U2039" i="30"/>
  <c r="O393" i="32" s="1"/>
  <c r="S206" i="13"/>
  <c r="BE206" i="13" s="1"/>
  <c r="BG206" i="13" s="1"/>
  <c r="BH206" i="13" s="1"/>
  <c r="BE205" i="13"/>
  <c r="BG205" i="13" s="1"/>
  <c r="BH205" i="13" s="1"/>
  <c r="U1534" i="30"/>
  <c r="S323" i="32" s="1"/>
  <c r="U2107" i="30"/>
  <c r="U2511" i="30"/>
  <c r="U1602" i="30"/>
  <c r="U1746" i="30"/>
  <c r="U1549" i="30"/>
  <c r="U1550" i="30" s="1"/>
  <c r="N326" i="32" s="1"/>
  <c r="U2061" i="30"/>
  <c r="U2809" i="30"/>
  <c r="U2806" i="30"/>
  <c r="U2819" i="30"/>
  <c r="U2820" i="30" s="1"/>
  <c r="U2409" i="30"/>
  <c r="AM754" i="13"/>
  <c r="AN754" i="13" s="1"/>
  <c r="U2194" i="30"/>
  <c r="Q414" i="32" s="1"/>
  <c r="G2319" i="30" a="1"/>
  <c r="U2423" i="30"/>
  <c r="G1135" i="30" a="1"/>
  <c r="U1569" i="30"/>
  <c r="U1570" i="30" s="1"/>
  <c r="U1429" i="30"/>
  <c r="P309" i="32" s="1"/>
  <c r="U1430" i="30"/>
  <c r="Q309" i="32" s="1"/>
  <c r="U1433" i="30"/>
  <c r="T309" i="32" s="1"/>
  <c r="U1492" i="30"/>
  <c r="U1225" i="30"/>
  <c r="P281" i="32" s="1"/>
  <c r="U1848" i="30"/>
  <c r="U1849" i="30"/>
  <c r="U2296" i="30"/>
  <c r="Q428" i="32" s="1"/>
  <c r="U2398" i="30"/>
  <c r="Q442" i="32" s="1"/>
  <c r="U1835" i="30"/>
  <c r="O365" i="32" s="1"/>
  <c r="U1833" i="30"/>
  <c r="M365" i="32" s="1"/>
  <c r="AF185" i="13"/>
  <c r="AH185" i="13" s="1"/>
  <c r="AI185" i="13" s="1"/>
  <c r="N186" i="13"/>
  <c r="AF186" i="13" s="1"/>
  <c r="AH186" i="13" s="1"/>
  <c r="AI186" i="13" s="1"/>
  <c r="E28" i="13"/>
  <c r="U2497" i="30"/>
  <c r="N456" i="32" s="1"/>
  <c r="U1455" i="30"/>
  <c r="U1456" i="30" s="1"/>
  <c r="P312" i="32" s="1"/>
  <c r="O226" i="13"/>
  <c r="AK226" i="13" s="1"/>
  <c r="AM226" i="13" s="1"/>
  <c r="AN226" i="13" s="1"/>
  <c r="AK225" i="13"/>
  <c r="AM225" i="13" s="1"/>
  <c r="AN225" i="13" s="1"/>
  <c r="G1159" i="30" a="1"/>
  <c r="S1809" i="30"/>
  <c r="O1811" i="30"/>
  <c r="Q1811" i="30"/>
  <c r="L1812" i="30"/>
  <c r="R1812" i="30"/>
  <c r="G1810" i="30"/>
  <c r="I1812" i="30"/>
  <c r="H1810" i="30"/>
  <c r="H1811" i="30"/>
  <c r="T1810" i="30"/>
  <c r="S1812" i="30"/>
  <c r="R1809" i="30"/>
  <c r="O1809" i="30"/>
  <c r="K1810" i="30"/>
  <c r="L1809" i="30"/>
  <c r="M1809" i="30"/>
  <c r="Q1812" i="30"/>
  <c r="I1811" i="30"/>
  <c r="L1810" i="30"/>
  <c r="G1812" i="30"/>
  <c r="S1810" i="30"/>
  <c r="I1809" i="30"/>
  <c r="G1809" i="30"/>
  <c r="P1810" i="30"/>
  <c r="N1810" i="30"/>
  <c r="J1811" i="30"/>
  <c r="K1809" i="30"/>
  <c r="S1811" i="30"/>
  <c r="J1812" i="30"/>
  <c r="T1812" i="30"/>
  <c r="K1811" i="30"/>
  <c r="H1812" i="30"/>
  <c r="P1811" i="30"/>
  <c r="O1812" i="30"/>
  <c r="P1809" i="30"/>
  <c r="M1810" i="30"/>
  <c r="Q1809" i="30"/>
  <c r="T1811" i="30"/>
  <c r="M1812" i="30"/>
  <c r="J1809" i="30"/>
  <c r="R1811" i="30"/>
  <c r="K1812" i="30"/>
  <c r="N1811" i="30"/>
  <c r="Q1810" i="30"/>
  <c r="J1810" i="30"/>
  <c r="N1809" i="30"/>
  <c r="O1810" i="30"/>
  <c r="I1810" i="30"/>
  <c r="R1810" i="30"/>
  <c r="G1811" i="30"/>
  <c r="N1812" i="30"/>
  <c r="H1809" i="30"/>
  <c r="P1812" i="30"/>
  <c r="T1809" i="30"/>
  <c r="L1811" i="30"/>
  <c r="M1811" i="30"/>
  <c r="G1198" i="30" a="1"/>
  <c r="U1936" i="30"/>
  <c r="N379" i="32" s="1"/>
  <c r="U2527" i="30"/>
  <c r="BL251" i="13"/>
  <c r="BM251" i="13" s="1"/>
  <c r="X55" i="13" s="1"/>
  <c r="V55" i="13"/>
  <c r="Y55" i="13" s="1"/>
  <c r="AA55" i="13" s="1"/>
  <c r="U2037" i="30"/>
  <c r="M393" i="32" s="1"/>
  <c r="BG191" i="13"/>
  <c r="BH191" i="13" s="1"/>
  <c r="U2359" i="30"/>
  <c r="G6" i="27"/>
  <c r="U1510" i="30"/>
  <c r="U1511" i="30" s="1"/>
  <c r="Q319" i="32" s="1"/>
  <c r="U1551" i="30"/>
  <c r="S1801" i="30"/>
  <c r="K1802" i="30"/>
  <c r="R1804" i="30"/>
  <c r="M1804" i="30"/>
  <c r="J1803" i="30"/>
  <c r="L1804" i="30"/>
  <c r="Q1802" i="30"/>
  <c r="H1802" i="30"/>
  <c r="N1804" i="30"/>
  <c r="K1801" i="30"/>
  <c r="G1801" i="30"/>
  <c r="O1802" i="30"/>
  <c r="M1801" i="30"/>
  <c r="M1802" i="30"/>
  <c r="P1802" i="30"/>
  <c r="G1802" i="30"/>
  <c r="N1803" i="30"/>
  <c r="N1802" i="30"/>
  <c r="P1804" i="30"/>
  <c r="Q1803" i="30"/>
  <c r="H1801" i="30"/>
  <c r="T1801" i="30"/>
  <c r="G1804" i="30"/>
  <c r="L1803" i="30"/>
  <c r="T1803" i="30"/>
  <c r="J1804" i="30"/>
  <c r="T1804" i="30"/>
  <c r="L1801" i="30"/>
  <c r="K1804" i="30"/>
  <c r="S1804" i="30"/>
  <c r="O1804" i="30"/>
  <c r="O1803" i="30"/>
  <c r="T1802" i="30"/>
  <c r="I1803" i="30"/>
  <c r="Q1801" i="30"/>
  <c r="H1804" i="30"/>
  <c r="M1803" i="30"/>
  <c r="N1801" i="30"/>
  <c r="L1802" i="30"/>
  <c r="G1803" i="30"/>
  <c r="I1801" i="30"/>
  <c r="I1802" i="30"/>
  <c r="R1801" i="30"/>
  <c r="J1802" i="30"/>
  <c r="R1802" i="30"/>
  <c r="P1803" i="30"/>
  <c r="K1803" i="30"/>
  <c r="R1803" i="30"/>
  <c r="P1801" i="30"/>
  <c r="J1801" i="30"/>
  <c r="H1803" i="30"/>
  <c r="S1803" i="30"/>
  <c r="S1802" i="30"/>
  <c r="Q1804" i="30"/>
  <c r="O1801" i="30"/>
  <c r="I1804" i="30"/>
  <c r="U2677" i="30"/>
  <c r="U2054" i="30"/>
  <c r="U2055" i="30" s="1"/>
  <c r="M396" i="32" s="1"/>
  <c r="P4" i="13"/>
  <c r="U1733" i="30"/>
  <c r="O351" i="32" s="1"/>
  <c r="U1734" i="30"/>
  <c r="P351" i="32" s="1"/>
  <c r="U2803" i="30"/>
  <c r="Q166" i="13"/>
  <c r="AU166" i="13" s="1"/>
  <c r="AW166" i="13" s="1"/>
  <c r="AX166" i="13" s="1"/>
  <c r="AU165" i="13"/>
  <c r="AW165" i="13" s="1"/>
  <c r="AX165" i="13" s="1"/>
  <c r="U2193" i="30"/>
  <c r="P414" i="32" s="1"/>
  <c r="O2569" i="30"/>
  <c r="N2567" i="30"/>
  <c r="G2568" i="30"/>
  <c r="P2566" i="30"/>
  <c r="H2569" i="30"/>
  <c r="R2567" i="30"/>
  <c r="K2569" i="30"/>
  <c r="Q2567" i="30"/>
  <c r="S2569" i="30"/>
  <c r="M2569" i="30"/>
  <c r="G2569" i="30"/>
  <c r="O2567" i="30"/>
  <c r="K2568" i="30"/>
  <c r="L2566" i="30"/>
  <c r="I2566" i="30"/>
  <c r="J2569" i="30"/>
  <c r="P2568" i="30"/>
  <c r="P2567" i="30"/>
  <c r="J2567" i="30"/>
  <c r="L2567" i="30"/>
  <c r="Q2566" i="30"/>
  <c r="G2567" i="30"/>
  <c r="J2566" i="30"/>
  <c r="G2566" i="30"/>
  <c r="H2568" i="30"/>
  <c r="H2566" i="30"/>
  <c r="M2566" i="30"/>
  <c r="L2569" i="30"/>
  <c r="N2566" i="30"/>
  <c r="T2569" i="30"/>
  <c r="T2568" i="30"/>
  <c r="S2566" i="30"/>
  <c r="S2567" i="30"/>
  <c r="I2568" i="30"/>
  <c r="K2566" i="30"/>
  <c r="I2569" i="30"/>
  <c r="R2569" i="30"/>
  <c r="S2568" i="30"/>
  <c r="L2568" i="30"/>
  <c r="R2568" i="30"/>
  <c r="T2566" i="30"/>
  <c r="M2567" i="30"/>
  <c r="T2567" i="30"/>
  <c r="J2568" i="30"/>
  <c r="Q2568" i="30"/>
  <c r="O2568" i="30"/>
  <c r="Q2569" i="30"/>
  <c r="K2567" i="30"/>
  <c r="O2566" i="30"/>
  <c r="P2569" i="30"/>
  <c r="R2566" i="30"/>
  <c r="I2567" i="30"/>
  <c r="M2568" i="30"/>
  <c r="N2569" i="30"/>
  <c r="H2567" i="30"/>
  <c r="N2568" i="30"/>
  <c r="U1262" i="30"/>
  <c r="G1261" i="30"/>
  <c r="U1261" i="30" s="1"/>
  <c r="S283" i="32"/>
  <c r="H19" i="31" s="1"/>
  <c r="S284" i="32"/>
  <c r="I19" i="31" s="1"/>
  <c r="U2367" i="30"/>
  <c r="U2366" i="30"/>
  <c r="U2294" i="30"/>
  <c r="O428" i="32" s="1"/>
  <c r="U2293" i="30"/>
  <c r="N428" i="32" s="1"/>
  <c r="U2775" i="30"/>
  <c r="U2017" i="30"/>
  <c r="U1834" i="30"/>
  <c r="N365" i="32" s="1"/>
  <c r="U1838" i="30"/>
  <c r="R365" i="32" s="1"/>
  <c r="U2501" i="30"/>
  <c r="R456" i="32" s="1"/>
  <c r="U2503" i="30"/>
  <c r="T456" i="32" s="1"/>
  <c r="U1764" i="30"/>
  <c r="U1765" i="30" s="1"/>
  <c r="Q354" i="32" s="1"/>
  <c r="S1395" i="30"/>
  <c r="G1397" i="30"/>
  <c r="H1396" i="30"/>
  <c r="P1394" i="30"/>
  <c r="R1397" i="30"/>
  <c r="Q1397" i="30"/>
  <c r="M1394" i="30"/>
  <c r="T1396" i="30"/>
  <c r="S1397" i="30"/>
  <c r="S1394" i="30"/>
  <c r="R1394" i="30"/>
  <c r="O1394" i="30"/>
  <c r="P1396" i="30"/>
  <c r="L1396" i="30"/>
  <c r="H1394" i="30"/>
  <c r="I1397" i="30"/>
  <c r="N1395" i="30"/>
  <c r="P1397" i="30"/>
  <c r="J1395" i="30"/>
  <c r="R1396" i="30"/>
  <c r="S1396" i="30"/>
  <c r="L1394" i="30"/>
  <c r="K1397" i="30"/>
  <c r="Q1395" i="30"/>
  <c r="M1397" i="30"/>
  <c r="P1395" i="30"/>
  <c r="O1395" i="30"/>
  <c r="L1397" i="30"/>
  <c r="Q1394" i="30"/>
  <c r="I1396" i="30"/>
  <c r="O1396" i="30"/>
  <c r="K1394" i="30"/>
  <c r="O1397" i="30"/>
  <c r="M1396" i="30"/>
  <c r="N1397" i="30"/>
  <c r="K1395" i="30"/>
  <c r="T1397" i="30"/>
  <c r="K1396" i="30"/>
  <c r="G1394" i="30"/>
  <c r="N1394" i="30"/>
  <c r="J1396" i="30"/>
  <c r="H1397" i="30"/>
  <c r="T1395" i="30"/>
  <c r="M1395" i="30"/>
  <c r="J1397" i="30"/>
  <c r="T1394" i="30"/>
  <c r="I1395" i="30"/>
  <c r="H1395" i="30"/>
  <c r="G1395" i="30"/>
  <c r="J1394" i="30"/>
  <c r="L1395" i="30"/>
  <c r="N1396" i="30"/>
  <c r="G1396" i="30"/>
  <c r="Q1396" i="30"/>
  <c r="R1395" i="30"/>
  <c r="I1394" i="30"/>
  <c r="AM211" i="13"/>
  <c r="AN211" i="13" s="1"/>
  <c r="I1404" i="30"/>
  <c r="G1405" i="30"/>
  <c r="Q1404" i="30"/>
  <c r="P1402" i="30"/>
  <c r="S1405" i="30"/>
  <c r="T1404" i="30"/>
  <c r="M1405" i="30"/>
  <c r="O1405" i="30"/>
  <c r="I1403" i="30"/>
  <c r="Q1403" i="30"/>
  <c r="T1403" i="30"/>
  <c r="G1402" i="30"/>
  <c r="J1404" i="30"/>
  <c r="R1405" i="30"/>
  <c r="L1402" i="30"/>
  <c r="J1402" i="30"/>
  <c r="P1405" i="30"/>
  <c r="Q1402" i="30"/>
  <c r="N1403" i="30"/>
  <c r="N1405" i="30"/>
  <c r="S1403" i="30"/>
  <c r="O1404" i="30"/>
  <c r="P1404" i="30"/>
  <c r="I1405" i="30"/>
  <c r="G1404" i="30"/>
  <c r="L1405" i="30"/>
  <c r="I1402" i="30"/>
  <c r="R1403" i="30"/>
  <c r="Q1405" i="30"/>
  <c r="M1404" i="30"/>
  <c r="J1405" i="30"/>
  <c r="M1403" i="30"/>
  <c r="K1404" i="30"/>
  <c r="L1404" i="30"/>
  <c r="N1402" i="30"/>
  <c r="N1404" i="30"/>
  <c r="S1404" i="30"/>
  <c r="H1402" i="30"/>
  <c r="M1402" i="30"/>
  <c r="J1403" i="30"/>
  <c r="O1403" i="30"/>
  <c r="R1404" i="30"/>
  <c r="O1402" i="30"/>
  <c r="P1403" i="30"/>
  <c r="H1404" i="30"/>
  <c r="G1403" i="30"/>
  <c r="S1402" i="30"/>
  <c r="T1405" i="30"/>
  <c r="L1403" i="30"/>
  <c r="T1402" i="30"/>
  <c r="K1405" i="30"/>
  <c r="H1405" i="30"/>
  <c r="K1403" i="30"/>
  <c r="H1403" i="30"/>
  <c r="K1402" i="30"/>
  <c r="R1402" i="30"/>
  <c r="B16" i="27"/>
  <c r="P42" i="13"/>
  <c r="R42" i="13" s="1"/>
  <c r="S42" i="13" s="1"/>
  <c r="U1942" i="30"/>
  <c r="T379" i="32" s="1"/>
  <c r="E8" i="13"/>
  <c r="T266" i="13"/>
  <c r="BJ266" i="13" s="1"/>
  <c r="BL266" i="13" s="1"/>
  <c r="BM266" i="13" s="1"/>
  <c r="BJ265" i="13"/>
  <c r="E32" i="13"/>
  <c r="U2673" i="30"/>
  <c r="U2043" i="30"/>
  <c r="S393" i="32" s="1"/>
  <c r="U2041" i="30"/>
  <c r="Q393" i="32" s="1"/>
  <c r="L1798" i="30"/>
  <c r="G1800" i="30"/>
  <c r="S1800" i="30"/>
  <c r="T1797" i="30"/>
  <c r="H1798" i="30"/>
  <c r="J1798" i="30"/>
  <c r="J1800" i="30"/>
  <c r="R1797" i="30"/>
  <c r="K1797" i="30"/>
  <c r="R1800" i="30"/>
  <c r="L1800" i="30"/>
  <c r="Q1798" i="30"/>
  <c r="L1799" i="30"/>
  <c r="R1798" i="30"/>
  <c r="N1797" i="30"/>
  <c r="I1797" i="30"/>
  <c r="S1799" i="30"/>
  <c r="P1798" i="30"/>
  <c r="J1799" i="30"/>
  <c r="P1797" i="30"/>
  <c r="Q1800" i="30"/>
  <c r="I1799" i="30"/>
  <c r="K1800" i="30"/>
  <c r="R1799" i="30"/>
  <c r="O1797" i="30"/>
  <c r="S1797" i="30"/>
  <c r="T1800" i="30"/>
  <c r="K1799" i="30"/>
  <c r="N1800" i="30"/>
  <c r="P1800" i="30"/>
  <c r="T1798" i="30"/>
  <c r="O1800" i="30"/>
  <c r="I1798" i="30"/>
  <c r="T1799" i="30"/>
  <c r="S1798" i="30"/>
  <c r="K1798" i="30"/>
  <c r="P1799" i="30"/>
  <c r="O1798" i="30"/>
  <c r="G1799" i="30"/>
  <c r="J1797" i="30"/>
  <c r="N1798" i="30"/>
  <c r="M1798" i="30"/>
  <c r="O1799" i="30"/>
  <c r="H1799" i="30"/>
  <c r="G1798" i="30"/>
  <c r="M1799" i="30"/>
  <c r="H1800" i="30"/>
  <c r="I1800" i="30"/>
  <c r="M1800" i="30"/>
  <c r="G1797" i="30"/>
  <c r="H1797" i="30"/>
  <c r="Q1799" i="30"/>
  <c r="L1797" i="30"/>
  <c r="M1797" i="30"/>
  <c r="Q1797" i="30"/>
  <c r="N1799" i="30"/>
  <c r="U2512" i="30"/>
  <c r="O1297" i="30"/>
  <c r="R1298" i="30"/>
  <c r="K1298" i="30"/>
  <c r="J1299" i="30"/>
  <c r="J1298" i="30"/>
  <c r="T1298" i="30"/>
  <c r="Q1299" i="30"/>
  <c r="T1299" i="30"/>
  <c r="N1298" i="30"/>
  <c r="L1298" i="30"/>
  <c r="Q1298" i="30"/>
  <c r="L1297" i="30"/>
  <c r="O1299" i="30"/>
  <c r="S1296" i="30"/>
  <c r="O1298" i="30"/>
  <c r="R1296" i="30"/>
  <c r="G1297" i="30"/>
  <c r="H1299" i="30"/>
  <c r="P1297" i="30"/>
  <c r="J1297" i="30"/>
  <c r="P1299" i="30"/>
  <c r="G1298" i="30"/>
  <c r="S1297" i="30"/>
  <c r="H1298" i="30"/>
  <c r="P1298" i="30"/>
  <c r="K1297" i="30"/>
  <c r="T1296" i="30"/>
  <c r="J1296" i="30"/>
  <c r="N1296" i="30"/>
  <c r="K1296" i="30"/>
  <c r="O1296" i="30"/>
  <c r="R1297" i="30"/>
  <c r="Q1296" i="30"/>
  <c r="S1298" i="30"/>
  <c r="L1299" i="30"/>
  <c r="M1297" i="30"/>
  <c r="H1297" i="30"/>
  <c r="N1297" i="30"/>
  <c r="I1297" i="30"/>
  <c r="I1298" i="30"/>
  <c r="H1296" i="30"/>
  <c r="M1296" i="30"/>
  <c r="M1299" i="30"/>
  <c r="N1299" i="30"/>
  <c r="K1299" i="30"/>
  <c r="Q1297" i="30"/>
  <c r="M1298" i="30"/>
  <c r="L1296" i="30"/>
  <c r="G1299" i="30"/>
  <c r="I1299" i="30"/>
  <c r="T1297" i="30"/>
  <c r="S1299" i="30"/>
  <c r="R1299" i="30"/>
  <c r="G1296" i="30"/>
  <c r="P1296" i="30"/>
  <c r="I1296" i="30"/>
  <c r="U1966" i="30"/>
  <c r="U1738" i="30"/>
  <c r="T351" i="32" s="1"/>
  <c r="U2060" i="30"/>
  <c r="U2802" i="30"/>
  <c r="S449" i="30"/>
  <c r="S445" i="30"/>
  <c r="O449" i="30"/>
  <c r="G450" i="30"/>
  <c r="M450" i="30"/>
  <c r="O450" i="30"/>
  <c r="Q450" i="30"/>
  <c r="J443" i="30"/>
  <c r="K446" i="30"/>
  <c r="P450" i="30"/>
  <c r="M444" i="30"/>
  <c r="N443" i="30"/>
  <c r="P447" i="30"/>
  <c r="H445" i="30"/>
  <c r="R446" i="30"/>
  <c r="H444" i="30"/>
  <c r="T447" i="30"/>
  <c r="T444" i="30"/>
  <c r="J450" i="30"/>
  <c r="J445" i="30"/>
  <c r="P445" i="30"/>
  <c r="Q447" i="30"/>
  <c r="S443" i="30"/>
  <c r="K443" i="30"/>
  <c r="K450" i="30"/>
  <c r="H443" i="30"/>
  <c r="M447" i="30"/>
  <c r="H447" i="30"/>
  <c r="L446" i="30"/>
  <c r="J448" i="30"/>
  <c r="P446" i="30"/>
  <c r="T443" i="30"/>
  <c r="J447" i="30"/>
  <c r="P443" i="30"/>
  <c r="M449" i="30"/>
  <c r="K445" i="30"/>
  <c r="L450" i="30"/>
  <c r="I449" i="30"/>
  <c r="L447" i="30"/>
  <c r="R447" i="30"/>
  <c r="J446" i="30"/>
  <c r="L448" i="30"/>
  <c r="P449" i="30"/>
  <c r="P448" i="30"/>
  <c r="R450" i="30"/>
  <c r="N449" i="30"/>
  <c r="L449" i="30"/>
  <c r="S450" i="30"/>
  <c r="G447" i="30"/>
  <c r="I450" i="30"/>
  <c r="J449" i="30"/>
  <c r="G448" i="30"/>
  <c r="N450" i="30"/>
  <c r="R444" i="30"/>
  <c r="Q443" i="30"/>
  <c r="O447" i="30"/>
  <c r="N446" i="30"/>
  <c r="H450" i="30"/>
  <c r="R448" i="30"/>
  <c r="T450" i="30"/>
  <c r="T449" i="30"/>
  <c r="G443" i="30"/>
  <c r="N448" i="30"/>
  <c r="L444" i="30"/>
  <c r="M448" i="30"/>
  <c r="G449" i="30"/>
  <c r="H448" i="30"/>
  <c r="S446" i="30"/>
  <c r="T445" i="30"/>
  <c r="R443" i="30"/>
  <c r="O443" i="30"/>
  <c r="J444" i="30"/>
  <c r="G444" i="30"/>
  <c r="I444" i="30"/>
  <c r="K444" i="30"/>
  <c r="Q444" i="30"/>
  <c r="I445" i="30"/>
  <c r="G445" i="30"/>
  <c r="L445" i="30"/>
  <c r="H446" i="30"/>
  <c r="S447" i="30"/>
  <c r="T446" i="30"/>
  <c r="Q445" i="30"/>
  <c r="H449" i="30"/>
  <c r="L443" i="30"/>
  <c r="N445" i="30"/>
  <c r="Q449" i="30"/>
  <c r="G446" i="30"/>
  <c r="I446" i="30"/>
  <c r="O446" i="30"/>
  <c r="M446" i="30"/>
  <c r="I447" i="30"/>
  <c r="K447" i="30"/>
  <c r="I443" i="30"/>
  <c r="N447" i="30"/>
  <c r="Q446" i="30"/>
  <c r="R445" i="30"/>
  <c r="O444" i="30"/>
  <c r="N444" i="30"/>
  <c r="M445" i="30"/>
  <c r="R449" i="30"/>
  <c r="K448" i="30"/>
  <c r="I448" i="30"/>
  <c r="O448" i="30"/>
  <c r="Q448" i="30"/>
  <c r="S448" i="30"/>
  <c r="K449" i="30"/>
  <c r="S444" i="30"/>
  <c r="T448" i="30"/>
  <c r="O445" i="30"/>
  <c r="P444" i="30"/>
  <c r="M443" i="30"/>
  <c r="U2460" i="30"/>
  <c r="T1860" i="30" l="1"/>
  <c r="T1863" i="30"/>
  <c r="J1863" i="30"/>
  <c r="M1860" i="30"/>
  <c r="P1862" i="30"/>
  <c r="T1861" i="30"/>
  <c r="P1861" i="30"/>
  <c r="Q1862" i="30"/>
  <c r="L1863" i="30"/>
  <c r="K1863" i="30"/>
  <c r="O501" i="32"/>
  <c r="S1448" i="30"/>
  <c r="P1446" i="30"/>
  <c r="P1448" i="30"/>
  <c r="K1446" i="30"/>
  <c r="O1447" i="30"/>
  <c r="J1862" i="30"/>
  <c r="T1862" i="30"/>
  <c r="M1862" i="30"/>
  <c r="N1863" i="30"/>
  <c r="G1863" i="30"/>
  <c r="S1861" i="30"/>
  <c r="K1445" i="30"/>
  <c r="O1448" i="30"/>
  <c r="S1446" i="30"/>
  <c r="P1445" i="30"/>
  <c r="I1446" i="30"/>
  <c r="M1863" i="30"/>
  <c r="L1862" i="30"/>
  <c r="G1861" i="30"/>
  <c r="O1863" i="30"/>
  <c r="N1861" i="30"/>
  <c r="Q1861" i="30"/>
  <c r="R1446" i="30"/>
  <c r="S1445" i="30"/>
  <c r="G1448" i="30"/>
  <c r="I1447" i="30"/>
  <c r="Q1445" i="30"/>
  <c r="Q501" i="32"/>
  <c r="S1447" i="30"/>
  <c r="T1446" i="30"/>
  <c r="H1445" i="30"/>
  <c r="M1446" i="30"/>
  <c r="N1447" i="30"/>
  <c r="N1448" i="30"/>
  <c r="I1448" i="30"/>
  <c r="L1446" i="30"/>
  <c r="N1446" i="30"/>
  <c r="J1446" i="30"/>
  <c r="R1448" i="30"/>
  <c r="O1446" i="30"/>
  <c r="R1447" i="30"/>
  <c r="L1445" i="30"/>
  <c r="J1448" i="30"/>
  <c r="G1446" i="30"/>
  <c r="I1445" i="30"/>
  <c r="N1445" i="30"/>
  <c r="Q1448" i="30"/>
  <c r="T1448" i="30"/>
  <c r="G1445" i="30"/>
  <c r="O1445" i="30"/>
  <c r="Q1446" i="30"/>
  <c r="T1152" i="30"/>
  <c r="U2525" i="30"/>
  <c r="U2526" i="30" s="1"/>
  <c r="P459" i="32" s="1"/>
  <c r="U2572" i="30"/>
  <c r="U2573" i="30" s="1"/>
  <c r="O466" i="32" s="1"/>
  <c r="O1148" i="30"/>
  <c r="T1238" i="30"/>
  <c r="J1149" i="30"/>
  <c r="J1239" i="30"/>
  <c r="Q1150" i="30"/>
  <c r="N1240" i="30"/>
  <c r="P1149" i="30"/>
  <c r="M1239" i="30"/>
  <c r="M1147" i="30"/>
  <c r="T1240" i="30"/>
  <c r="O1149" i="30"/>
  <c r="S1147" i="30"/>
  <c r="I1237" i="30"/>
  <c r="U2428" i="30"/>
  <c r="Q445" i="32" s="1"/>
  <c r="P297" i="32"/>
  <c r="U1253" i="30"/>
  <c r="U1506" i="30"/>
  <c r="U1507" i="30" s="1"/>
  <c r="P319" i="32" s="1"/>
  <c r="U1254" i="30"/>
  <c r="P298" i="32"/>
  <c r="Q2069" i="30"/>
  <c r="F5" i="13"/>
  <c r="M4" i="13" s="1"/>
  <c r="O1861" i="30"/>
  <c r="J1860" i="30"/>
  <c r="O1862" i="30"/>
  <c r="O1860" i="30"/>
  <c r="S1863" i="30"/>
  <c r="M1861" i="30"/>
  <c r="Q500" i="32"/>
  <c r="U1288" i="30"/>
  <c r="U1289" i="30"/>
  <c r="U2780" i="30"/>
  <c r="U2781" i="30" s="1"/>
  <c r="P494" i="32" s="1"/>
  <c r="U2207" i="30"/>
  <c r="U2208" i="30" s="1"/>
  <c r="M417" i="32" s="1"/>
  <c r="U2317" i="30"/>
  <c r="U2318" i="30" s="1"/>
  <c r="O431" i="32" s="1"/>
  <c r="U1917" i="30"/>
  <c r="U1918" i="30" s="1"/>
  <c r="Q375" i="32" s="1"/>
  <c r="U2768" i="30"/>
  <c r="U2769" i="30" s="1"/>
  <c r="M494" i="32" s="1"/>
  <c r="U2580" i="30"/>
  <c r="U2581" i="30" s="1"/>
  <c r="Q466" i="32" s="1"/>
  <c r="S1237" i="30"/>
  <c r="O1239" i="30"/>
  <c r="P1237" i="30"/>
  <c r="R1238" i="30"/>
  <c r="Q1238" i="30"/>
  <c r="R1240" i="30"/>
  <c r="K1237" i="30"/>
  <c r="T1147" i="30"/>
  <c r="L1150" i="30"/>
  <c r="P1150" i="30"/>
  <c r="Q1149" i="30"/>
  <c r="J1150" i="30"/>
  <c r="R1149" i="30"/>
  <c r="L1147" i="30"/>
  <c r="U2831" i="30"/>
  <c r="U2832" i="30" s="1"/>
  <c r="H1147" i="30"/>
  <c r="G1149" i="30"/>
  <c r="S1149" i="30"/>
  <c r="J1147" i="30"/>
  <c r="K1149" i="30"/>
  <c r="G1147" i="30"/>
  <c r="I1148" i="30"/>
  <c r="K1238" i="30"/>
  <c r="T1237" i="30"/>
  <c r="Q1239" i="30"/>
  <c r="G1240" i="30"/>
  <c r="H1237" i="30"/>
  <c r="I1238" i="30"/>
  <c r="S1239" i="30"/>
  <c r="U1721" i="30"/>
  <c r="U1722" i="30" s="1"/>
  <c r="N290" i="32"/>
  <c r="R1150" i="30"/>
  <c r="H1149" i="30"/>
  <c r="N1149" i="30"/>
  <c r="P269" i="32" s="1"/>
  <c r="T1149" i="30"/>
  <c r="R1147" i="30"/>
  <c r="L1148" i="30"/>
  <c r="S1148" i="30"/>
  <c r="N1239" i="30"/>
  <c r="L1237" i="30"/>
  <c r="R1239" i="30"/>
  <c r="K1239" i="30"/>
  <c r="P1239" i="30"/>
  <c r="J1240" i="30"/>
  <c r="S1240" i="30"/>
  <c r="K1148" i="30"/>
  <c r="Q1148" i="30"/>
  <c r="J1148" i="30"/>
  <c r="I1147" i="30"/>
  <c r="P1148" i="30"/>
  <c r="G1148" i="30"/>
  <c r="M1148" i="30"/>
  <c r="N1238" i="30"/>
  <c r="L1240" i="30"/>
  <c r="T1239" i="30"/>
  <c r="L1239" i="30"/>
  <c r="M1240" i="30"/>
  <c r="H1238" i="30"/>
  <c r="H1239" i="30"/>
  <c r="O1150" i="30"/>
  <c r="K1147" i="30"/>
  <c r="N1148" i="30"/>
  <c r="M1150" i="30"/>
  <c r="K1150" i="30"/>
  <c r="O1147" i="30"/>
  <c r="P1147" i="30"/>
  <c r="O1238" i="30"/>
  <c r="R1237" i="30"/>
  <c r="G1237" i="30"/>
  <c r="K1240" i="30"/>
  <c r="H1240" i="30"/>
  <c r="S1238" i="30"/>
  <c r="J1237" i="30"/>
  <c r="O500" i="32"/>
  <c r="M1149" i="30"/>
  <c r="L1149" i="30"/>
  <c r="H1150" i="30"/>
  <c r="T1148" i="30"/>
  <c r="S1150" i="30"/>
  <c r="N1147" i="30"/>
  <c r="I1150" i="30"/>
  <c r="P1238" i="30"/>
  <c r="M1237" i="30"/>
  <c r="J1238" i="30"/>
  <c r="Q1240" i="30"/>
  <c r="L1238" i="30"/>
  <c r="O1237" i="30"/>
  <c r="N1237" i="30"/>
  <c r="O290" i="32"/>
  <c r="G1150" i="30"/>
  <c r="N1150" i="30"/>
  <c r="H1148" i="30"/>
  <c r="I1149" i="30"/>
  <c r="Q1147" i="30"/>
  <c r="R1148" i="30"/>
  <c r="O1240" i="30"/>
  <c r="Q1237" i="30"/>
  <c r="G1238" i="30"/>
  <c r="M1238" i="30"/>
  <c r="I1240" i="30"/>
  <c r="I1239" i="30"/>
  <c r="O1143" i="30"/>
  <c r="U2631" i="30"/>
  <c r="U2632" i="30" s="1"/>
  <c r="Q473" i="32" s="1"/>
  <c r="U2066" i="30"/>
  <c r="U2067" i="30" s="1"/>
  <c r="P396" i="32" s="1"/>
  <c r="U2258" i="30"/>
  <c r="U2259" i="30" s="1"/>
  <c r="M424" i="32" s="1"/>
  <c r="U1352" i="30"/>
  <c r="U2313" i="30"/>
  <c r="U2314" i="30" s="1"/>
  <c r="N431" i="32" s="1"/>
  <c r="U2358" i="30"/>
  <c r="U2360" i="30" s="1"/>
  <c r="U2361" i="30" s="1"/>
  <c r="M438" i="32" s="1"/>
  <c r="AF165" i="13"/>
  <c r="AH165" i="13" s="1"/>
  <c r="AI165" i="13" s="1"/>
  <c r="U2615" i="30"/>
  <c r="U2616" i="30" s="1"/>
  <c r="M473" i="32" s="1"/>
  <c r="U2019" i="30"/>
  <c r="U2020" i="30" s="1"/>
  <c r="Q389" i="32" s="1"/>
  <c r="P500" i="32"/>
  <c r="U1561" i="30"/>
  <c r="U1562" i="30" s="1"/>
  <c r="Q326" i="32" s="1"/>
  <c r="U1760" i="30"/>
  <c r="U1761" i="30" s="1"/>
  <c r="P354" i="32" s="1"/>
  <c r="O2070" i="30"/>
  <c r="T2071" i="30"/>
  <c r="G2068" i="30"/>
  <c r="S2068" i="30"/>
  <c r="U1705" i="30"/>
  <c r="U1706" i="30" s="1"/>
  <c r="O347" i="32" s="1"/>
  <c r="T2070" i="30"/>
  <c r="Q2068" i="30"/>
  <c r="N304" i="32"/>
  <c r="F9" i="13"/>
  <c r="O1204" i="30"/>
  <c r="P501" i="32"/>
  <c r="U1347" i="30"/>
  <c r="U1314" i="30"/>
  <c r="U1315" i="30" s="1"/>
  <c r="Q298" i="32"/>
  <c r="U1612" i="30"/>
  <c r="U1613" i="30" s="1"/>
  <c r="Q333" i="32" s="1"/>
  <c r="N465" i="32"/>
  <c r="O297" i="32"/>
  <c r="L1143" i="30"/>
  <c r="Q1144" i="30"/>
  <c r="P360" i="32"/>
  <c r="Q311" i="32"/>
  <c r="J1144" i="30"/>
  <c r="G1143" i="30"/>
  <c r="N69" i="13"/>
  <c r="P69" i="13" s="1"/>
  <c r="H1145" i="30"/>
  <c r="K1144" i="30"/>
  <c r="Q360" i="32"/>
  <c r="N346" i="32"/>
  <c r="P290" i="32"/>
  <c r="Q304" i="32"/>
  <c r="U1250" i="30"/>
  <c r="U1249" i="30"/>
  <c r="U1306" i="30"/>
  <c r="U1307" i="30" s="1"/>
  <c r="Q291" i="32" s="1"/>
  <c r="N360" i="32"/>
  <c r="Q297" i="32"/>
  <c r="O283" i="32"/>
  <c r="N332" i="32"/>
  <c r="P304" i="32"/>
  <c r="M311" i="32"/>
  <c r="N1152" i="30"/>
  <c r="K1152" i="30"/>
  <c r="U2674" i="30"/>
  <c r="U2675" i="30" s="1"/>
  <c r="O480" i="32" s="1"/>
  <c r="O1151" i="30"/>
  <c r="K1154" i="30"/>
  <c r="P367" i="32"/>
  <c r="O311" i="32"/>
  <c r="T1153" i="30"/>
  <c r="U1351" i="30"/>
  <c r="P1152" i="30"/>
  <c r="P283" i="32"/>
  <c r="U2576" i="30"/>
  <c r="U2577" i="30" s="1"/>
  <c r="P466" i="32" s="1"/>
  <c r="U1498" i="30"/>
  <c r="U1499" i="30" s="1"/>
  <c r="N319" i="32" s="1"/>
  <c r="N1143" i="30"/>
  <c r="K1143" i="30"/>
  <c r="H1146" i="30"/>
  <c r="G1144" i="30"/>
  <c r="R1145" i="30"/>
  <c r="N1146" i="30"/>
  <c r="J1143" i="30"/>
  <c r="H1144" i="30"/>
  <c r="I1143" i="30"/>
  <c r="S1146" i="30"/>
  <c r="M1146" i="30"/>
  <c r="K1146" i="30"/>
  <c r="J1145" i="30"/>
  <c r="H1143" i="30"/>
  <c r="U2274" i="30"/>
  <c r="U2275" i="30" s="1"/>
  <c r="Q424" i="32" s="1"/>
  <c r="M1145" i="30"/>
  <c r="S1145" i="30"/>
  <c r="L1145" i="30"/>
  <c r="R1146" i="30"/>
  <c r="K1145" i="30"/>
  <c r="Q1145" i="30"/>
  <c r="L1144" i="30"/>
  <c r="G1145" i="30"/>
  <c r="I1144" i="30"/>
  <c r="P1145" i="30"/>
  <c r="P1144" i="30"/>
  <c r="P1143" i="30"/>
  <c r="O1146" i="30"/>
  <c r="S1144" i="30"/>
  <c r="T1144" i="30"/>
  <c r="P1146" i="30"/>
  <c r="I1146" i="30"/>
  <c r="M1143" i="30"/>
  <c r="N1145" i="30"/>
  <c r="T1146" i="30"/>
  <c r="G1146" i="30"/>
  <c r="U2117" i="30"/>
  <c r="U2118" i="30" s="1"/>
  <c r="U2119" i="30" s="1"/>
  <c r="U2120" i="30" s="1"/>
  <c r="U2121" i="30" s="1"/>
  <c r="U2122" i="30" s="1"/>
  <c r="U2123" i="30" s="1"/>
  <c r="U2124" i="30" s="1"/>
  <c r="U2125" i="30" s="1"/>
  <c r="U2126" i="30" s="1"/>
  <c r="U2127" i="30" s="1"/>
  <c r="U2128" i="30" s="1"/>
  <c r="U2129" i="30" s="1"/>
  <c r="U2130" i="30" s="1"/>
  <c r="T1145" i="30"/>
  <c r="O1145" i="30"/>
  <c r="R1143" i="30"/>
  <c r="R1144" i="30"/>
  <c r="M1144" i="30"/>
  <c r="J1146" i="30"/>
  <c r="N1144" i="30"/>
  <c r="U2513" i="30"/>
  <c r="U2514" i="30" s="1"/>
  <c r="M459" i="32" s="1"/>
  <c r="S1143" i="30"/>
  <c r="O1144" i="30"/>
  <c r="T1143" i="30"/>
  <c r="L1146" i="30"/>
  <c r="Q1146" i="30"/>
  <c r="I1145" i="30"/>
  <c r="U2517" i="30"/>
  <c r="U2518" i="30" s="1"/>
  <c r="N459" i="32" s="1"/>
  <c r="U2372" i="30"/>
  <c r="U2373" i="30" s="1"/>
  <c r="P438" i="32" s="1"/>
  <c r="H2213" i="30"/>
  <c r="G1205" i="30"/>
  <c r="G2214" i="30"/>
  <c r="Q1205" i="30"/>
  <c r="T2215" i="30"/>
  <c r="R1205" i="30"/>
  <c r="P2215" i="30"/>
  <c r="N1202" i="30"/>
  <c r="I2216" i="30"/>
  <c r="M1204" i="30"/>
  <c r="U1450" i="30"/>
  <c r="U1292" i="30"/>
  <c r="U1406" i="30"/>
  <c r="S2213" i="30"/>
  <c r="U1245" i="30"/>
  <c r="U2424" i="30"/>
  <c r="P445" i="32" s="1"/>
  <c r="T2213" i="30"/>
  <c r="M1205" i="30"/>
  <c r="R1153" i="30"/>
  <c r="Q1153" i="30"/>
  <c r="S1153" i="30"/>
  <c r="Q1152" i="30"/>
  <c r="H1151" i="30"/>
  <c r="M1153" i="30"/>
  <c r="N1151" i="30"/>
  <c r="U2678" i="30"/>
  <c r="U2679" i="30" s="1"/>
  <c r="P480" i="32" s="1"/>
  <c r="K1151" i="30"/>
  <c r="J1153" i="30"/>
  <c r="L1153" i="30"/>
  <c r="Q1151" i="30"/>
  <c r="M1151" i="30"/>
  <c r="N1153" i="30"/>
  <c r="G1152" i="30"/>
  <c r="R1151" i="30"/>
  <c r="O1152" i="30"/>
  <c r="T1151" i="30"/>
  <c r="I1151" i="30"/>
  <c r="K1153" i="30"/>
  <c r="L1152" i="30"/>
  <c r="T1154" i="30"/>
  <c r="P1151" i="30"/>
  <c r="G1154" i="30"/>
  <c r="L1151" i="30"/>
  <c r="H1154" i="30"/>
  <c r="H1152" i="30"/>
  <c r="I1153" i="30"/>
  <c r="P1153" i="30"/>
  <c r="J1152" i="30"/>
  <c r="S1151" i="30"/>
  <c r="O1153" i="30"/>
  <c r="Q1154" i="30"/>
  <c r="I1154" i="30"/>
  <c r="O1154" i="30"/>
  <c r="S1154" i="30"/>
  <c r="L1154" i="30"/>
  <c r="J1154" i="30"/>
  <c r="G1153" i="30"/>
  <c r="R1154" i="30"/>
  <c r="S1152" i="30"/>
  <c r="M1154" i="30"/>
  <c r="G1151" i="30"/>
  <c r="M346" i="32"/>
  <c r="I1152" i="30"/>
  <c r="N1154" i="30"/>
  <c r="M1152" i="30"/>
  <c r="H1153" i="30"/>
  <c r="P1154" i="30"/>
  <c r="R1152" i="30"/>
  <c r="U1502" i="30"/>
  <c r="U1503" i="30" s="1"/>
  <c r="O319" i="32" s="1"/>
  <c r="U1348" i="30"/>
  <c r="U1349" i="30" s="1"/>
  <c r="U1350" i="30" s="1"/>
  <c r="U1449" i="30"/>
  <c r="U1407" i="30"/>
  <c r="U1293" i="30"/>
  <c r="U2262" i="30"/>
  <c r="U2263" i="30" s="1"/>
  <c r="N424" i="32" s="1"/>
  <c r="K2069" i="30"/>
  <c r="Q2071" i="30"/>
  <c r="I2068" i="30"/>
  <c r="M2069" i="30"/>
  <c r="L2070" i="30"/>
  <c r="L2069" i="30"/>
  <c r="O2071" i="30"/>
  <c r="H2071" i="30"/>
  <c r="H2069" i="30"/>
  <c r="J2071" i="30"/>
  <c r="R2071" i="30"/>
  <c r="J2070" i="30"/>
  <c r="G2071" i="30"/>
  <c r="O2068" i="30"/>
  <c r="J2068" i="30"/>
  <c r="T2068" i="30"/>
  <c r="S2069" i="30"/>
  <c r="L2068" i="30"/>
  <c r="M2071" i="30"/>
  <c r="K2068" i="30"/>
  <c r="S2071" i="30"/>
  <c r="U2670" i="30"/>
  <c r="U2671" i="30" s="1"/>
  <c r="N480" i="32" s="1"/>
  <c r="N2070" i="30"/>
  <c r="I2069" i="30"/>
  <c r="L2071" i="30"/>
  <c r="N2071" i="30"/>
  <c r="R2070" i="30"/>
  <c r="N2069" i="30"/>
  <c r="G2069" i="30"/>
  <c r="H2070" i="30"/>
  <c r="T2069" i="30"/>
  <c r="R2068" i="30"/>
  <c r="M2070" i="30"/>
  <c r="I2071" i="30"/>
  <c r="P2069" i="30"/>
  <c r="S2070" i="30"/>
  <c r="U1598" i="30"/>
  <c r="O2069" i="30"/>
  <c r="K2070" i="30"/>
  <c r="Q2070" i="30"/>
  <c r="J2069" i="30"/>
  <c r="P2070" i="30"/>
  <c r="R2069" i="30"/>
  <c r="P2071" i="30"/>
  <c r="I2070" i="30"/>
  <c r="P2068" i="30"/>
  <c r="G2070" i="30"/>
  <c r="N2068" i="30"/>
  <c r="K2071" i="30"/>
  <c r="M2068" i="30"/>
  <c r="U2015" i="30"/>
  <c r="U2016" i="30" s="1"/>
  <c r="P389" i="32" s="1"/>
  <c r="R2213" i="30"/>
  <c r="J2215" i="30"/>
  <c r="I2215" i="30"/>
  <c r="O2214" i="30"/>
  <c r="Q2213" i="30"/>
  <c r="O2213" i="30"/>
  <c r="H2214" i="30"/>
  <c r="P1203" i="30"/>
  <c r="H1204" i="30"/>
  <c r="R1204" i="30"/>
  <c r="H1203" i="30"/>
  <c r="O1205" i="30"/>
  <c r="T1202" i="30"/>
  <c r="Q1202" i="30"/>
  <c r="I2214" i="30"/>
  <c r="L2213" i="30"/>
  <c r="T2214" i="30"/>
  <c r="K2214" i="30"/>
  <c r="H2215" i="30"/>
  <c r="R2214" i="30"/>
  <c r="Q2214" i="30"/>
  <c r="O1203" i="30"/>
  <c r="J1203" i="30"/>
  <c r="K1202" i="30"/>
  <c r="M1202" i="30"/>
  <c r="T1205" i="30"/>
  <c r="N1204" i="30"/>
  <c r="N1205" i="30"/>
  <c r="M2213" i="30"/>
  <c r="S2215" i="30"/>
  <c r="T2216" i="30"/>
  <c r="R2216" i="30"/>
  <c r="K2215" i="30"/>
  <c r="O2216" i="30"/>
  <c r="S2216" i="30"/>
  <c r="I1205" i="30"/>
  <c r="Q1204" i="30"/>
  <c r="L1204" i="30"/>
  <c r="T1204" i="30"/>
  <c r="K1205" i="30"/>
  <c r="N1203" i="30"/>
  <c r="G1204" i="30"/>
  <c r="L2215" i="30"/>
  <c r="I2213" i="30"/>
  <c r="K2213" i="30"/>
  <c r="L2216" i="30"/>
  <c r="M2214" i="30"/>
  <c r="N2216" i="30"/>
  <c r="K2216" i="30"/>
  <c r="S1204" i="30"/>
  <c r="I1202" i="30"/>
  <c r="G1202" i="30"/>
  <c r="P1204" i="30"/>
  <c r="Q1203" i="30"/>
  <c r="P1202" i="30"/>
  <c r="S1205" i="30"/>
  <c r="S2214" i="30"/>
  <c r="R2215" i="30"/>
  <c r="Q2215" i="30"/>
  <c r="P2213" i="30"/>
  <c r="Q2216" i="30"/>
  <c r="O2215" i="30"/>
  <c r="G2213" i="30"/>
  <c r="I1203" i="30"/>
  <c r="R1203" i="30"/>
  <c r="K1203" i="30"/>
  <c r="O1202" i="30"/>
  <c r="M1203" i="30"/>
  <c r="L1203" i="30"/>
  <c r="P1205" i="30"/>
  <c r="U1553" i="30"/>
  <c r="U1554" i="30" s="1"/>
  <c r="O326" i="32" s="1"/>
  <c r="N2214" i="30"/>
  <c r="N2215" i="30"/>
  <c r="J2213" i="30"/>
  <c r="P2214" i="30"/>
  <c r="M2216" i="30"/>
  <c r="H2216" i="30"/>
  <c r="J2216" i="30"/>
  <c r="G1203" i="30"/>
  <c r="L1205" i="30"/>
  <c r="J1202" i="30"/>
  <c r="H1205" i="30"/>
  <c r="T1203" i="30"/>
  <c r="I1204" i="30"/>
  <c r="R1202" i="30"/>
  <c r="U2219" i="30"/>
  <c r="U2220" i="30" s="1"/>
  <c r="P417" i="32" s="1"/>
  <c r="J2214" i="30"/>
  <c r="G2216" i="30"/>
  <c r="L2214" i="30"/>
  <c r="M2215" i="30"/>
  <c r="N2213" i="30"/>
  <c r="P2216" i="30"/>
  <c r="S1202" i="30"/>
  <c r="S1203" i="30"/>
  <c r="K1204" i="30"/>
  <c r="L1202" i="30"/>
  <c r="J1204" i="30"/>
  <c r="J1205" i="30"/>
  <c r="U1246" i="30"/>
  <c r="U1416" i="30"/>
  <c r="U1417" i="30" s="1"/>
  <c r="U1356" i="30"/>
  <c r="U1599" i="30"/>
  <c r="U1355" i="30"/>
  <c r="U1211" i="30"/>
  <c r="U1212" i="30" s="1"/>
  <c r="U1213" i="30" s="1"/>
  <c r="S277" i="32"/>
  <c r="I18" i="31" s="1"/>
  <c r="S276" i="32"/>
  <c r="H18" i="31" s="1"/>
  <c r="U1341" i="30"/>
  <c r="U1342" i="30" s="1"/>
  <c r="M360" i="32"/>
  <c r="P346" i="32"/>
  <c r="N311" i="32"/>
  <c r="U2058" i="30"/>
  <c r="U2059" i="30" s="1"/>
  <c r="N396" i="32" s="1"/>
  <c r="U1823" i="30"/>
  <c r="U1824" i="30" s="1"/>
  <c r="G1206" i="30" a="1"/>
  <c r="G1206" i="30" s="1"/>
  <c r="U1206" i="30" s="1"/>
  <c r="U2827" i="30"/>
  <c r="U2828" i="30" s="1"/>
  <c r="U1122" i="30"/>
  <c r="O267" i="32" s="1"/>
  <c r="U1375" i="30"/>
  <c r="M302" i="32" s="1"/>
  <c r="G1190" i="30" a="1"/>
  <c r="S1191" i="30" s="1"/>
  <c r="G1241" i="30" a="1"/>
  <c r="R1243" i="30" s="1"/>
  <c r="U1263" i="30"/>
  <c r="U1264" i="30" s="1"/>
  <c r="G1363" i="30" a="1"/>
  <c r="S297" i="32" s="1"/>
  <c r="H21" i="31" s="1"/>
  <c r="G2617" i="30" a="1"/>
  <c r="T2618" i="30" s="1"/>
  <c r="U2600" i="30"/>
  <c r="O470" i="32" s="1"/>
  <c r="U2623" i="30"/>
  <c r="U2624" i="30" s="1"/>
  <c r="O473" i="32" s="1"/>
  <c r="U445" i="30"/>
  <c r="F86" i="32" s="1"/>
  <c r="U443" i="30"/>
  <c r="D86" i="32" s="1"/>
  <c r="G16" i="27"/>
  <c r="H16" i="27" s="1"/>
  <c r="U1328" i="30"/>
  <c r="Q498" i="32"/>
  <c r="Q295" i="32"/>
  <c r="U1120" i="30"/>
  <c r="M267" i="32" s="1"/>
  <c r="I1187" i="30"/>
  <c r="S1189" i="30"/>
  <c r="S1188" i="30"/>
  <c r="O1186" i="30"/>
  <c r="P1188" i="30"/>
  <c r="K1186" i="30"/>
  <c r="J1188" i="30"/>
  <c r="T1189" i="30"/>
  <c r="I1188" i="30"/>
  <c r="P1187" i="30"/>
  <c r="H1187" i="30"/>
  <c r="K1187" i="30"/>
  <c r="S1187" i="30"/>
  <c r="R1188" i="30"/>
  <c r="P1189" i="30"/>
  <c r="N1187" i="30"/>
  <c r="L1186" i="30"/>
  <c r="G1187" i="30"/>
  <c r="M1186" i="30"/>
  <c r="S1186" i="30"/>
  <c r="M1187" i="30"/>
  <c r="Q1186" i="30"/>
  <c r="H1186" i="30"/>
  <c r="R1186" i="30"/>
  <c r="L1189" i="30"/>
  <c r="H1189" i="30"/>
  <c r="P1186" i="30"/>
  <c r="R1189" i="30"/>
  <c r="N1189" i="30"/>
  <c r="H1188" i="30"/>
  <c r="M1188" i="30"/>
  <c r="G1186" i="30"/>
  <c r="K1188" i="30"/>
  <c r="I1186" i="30"/>
  <c r="O1188" i="30"/>
  <c r="R1187" i="30"/>
  <c r="O1187" i="30"/>
  <c r="T1187" i="30"/>
  <c r="Q1188" i="30"/>
  <c r="O1189" i="30"/>
  <c r="M1189" i="30"/>
  <c r="T1186" i="30"/>
  <c r="I1189" i="30"/>
  <c r="Q1189" i="30"/>
  <c r="L1187" i="30"/>
  <c r="K1189" i="30"/>
  <c r="J1187" i="30"/>
  <c r="N1186" i="30"/>
  <c r="G1189" i="30"/>
  <c r="T1188" i="30"/>
  <c r="Q1187" i="30"/>
  <c r="J1186" i="30"/>
  <c r="L1188" i="30"/>
  <c r="N1188" i="30"/>
  <c r="G1188" i="30"/>
  <c r="J1189" i="30"/>
  <c r="U2529" i="30"/>
  <c r="U2530" i="30" s="1"/>
  <c r="Q459" i="32" s="1"/>
  <c r="U1442" i="30"/>
  <c r="U1441" i="30"/>
  <c r="U2605" i="30"/>
  <c r="T470" i="32" s="1"/>
  <c r="U1381" i="30"/>
  <c r="S302" i="32" s="1"/>
  <c r="U1382" i="30"/>
  <c r="T302" i="32"/>
  <c r="U2627" i="30"/>
  <c r="U2628" i="30" s="1"/>
  <c r="P473" i="32" s="1"/>
  <c r="U1798" i="30"/>
  <c r="B7" i="27"/>
  <c r="P32" i="13"/>
  <c r="R32" i="13" s="1"/>
  <c r="S32" i="13" s="1"/>
  <c r="B3" i="27"/>
  <c r="P31" i="13"/>
  <c r="R31" i="13" s="1"/>
  <c r="S31" i="13" s="1"/>
  <c r="U1326" i="30"/>
  <c r="O498" i="32"/>
  <c r="O295" i="32"/>
  <c r="U1331" i="30"/>
  <c r="T498" i="32"/>
  <c r="N500" i="32"/>
  <c r="N297" i="32"/>
  <c r="F21" i="13"/>
  <c r="M20" i="13" s="1"/>
  <c r="E25" i="13"/>
  <c r="F20" i="13"/>
  <c r="M15" i="13" s="1"/>
  <c r="F17" i="13"/>
  <c r="M17" i="13" s="1"/>
  <c r="F18" i="13"/>
  <c r="M16" i="13" s="1"/>
  <c r="F15" i="13"/>
  <c r="M18" i="13" s="1"/>
  <c r="F12" i="13"/>
  <c r="M12" i="13" s="1"/>
  <c r="F14" i="13"/>
  <c r="M13" i="13" s="1"/>
  <c r="F19" i="13"/>
  <c r="M10" i="13" s="1"/>
  <c r="F16" i="13"/>
  <c r="M11" i="13" s="1"/>
  <c r="F13" i="13"/>
  <c r="M14" i="13" s="1"/>
  <c r="F6" i="13"/>
  <c r="M6" i="13" s="1"/>
  <c r="F11" i="13"/>
  <c r="M9" i="13" s="1"/>
  <c r="F7" i="13"/>
  <c r="M5" i="13" s="1"/>
  <c r="U1378" i="30"/>
  <c r="P302" i="32" s="1"/>
  <c r="G14" i="27"/>
  <c r="H14" i="27" s="1"/>
  <c r="P205" i="13"/>
  <c r="AP191" i="13"/>
  <c r="P151" i="13"/>
  <c r="G1171" i="30" a="1"/>
  <c r="G2841" i="30"/>
  <c r="U2841" i="30" s="1"/>
  <c r="U2842" i="30"/>
  <c r="U448" i="30"/>
  <c r="I86" i="32" s="1"/>
  <c r="U450" i="30"/>
  <c r="K86" i="32" s="1"/>
  <c r="U1297" i="30"/>
  <c r="BL265" i="13"/>
  <c r="BM265" i="13" s="1"/>
  <c r="X69" i="13" s="1"/>
  <c r="V69" i="13"/>
  <c r="Y69" i="13" s="1"/>
  <c r="AA69" i="13" s="1"/>
  <c r="U1395" i="30"/>
  <c r="J1199" i="30"/>
  <c r="R1199" i="30"/>
  <c r="N1199" i="30"/>
  <c r="J1200" i="30"/>
  <c r="N1200" i="30"/>
  <c r="P1199" i="30"/>
  <c r="T1198" i="30"/>
  <c r="H1200" i="30"/>
  <c r="O1200" i="30"/>
  <c r="I1200" i="30"/>
  <c r="Q1201" i="30"/>
  <c r="O1199" i="30"/>
  <c r="N1198" i="30"/>
  <c r="S1199" i="30"/>
  <c r="G1198" i="30"/>
  <c r="M1201" i="30"/>
  <c r="H1201" i="30"/>
  <c r="R1198" i="30"/>
  <c r="G1199" i="30"/>
  <c r="K1201" i="30"/>
  <c r="M1200" i="30"/>
  <c r="Q1200" i="30"/>
  <c r="T1199" i="30"/>
  <c r="S1198" i="30"/>
  <c r="K1199" i="30"/>
  <c r="G1200" i="30"/>
  <c r="N1201" i="30"/>
  <c r="L1198" i="30"/>
  <c r="O1201" i="30"/>
  <c r="G1201" i="30"/>
  <c r="I1198" i="30"/>
  <c r="I1201" i="30"/>
  <c r="S1200" i="30"/>
  <c r="L1201" i="30"/>
  <c r="R1201" i="30"/>
  <c r="K1200" i="30"/>
  <c r="L1200" i="30"/>
  <c r="R1200" i="30"/>
  <c r="P1200" i="30"/>
  <c r="O1198" i="30"/>
  <c r="Q1199" i="30"/>
  <c r="L1199" i="30"/>
  <c r="T1200" i="30"/>
  <c r="H1199" i="30"/>
  <c r="S1201" i="30"/>
  <c r="J1198" i="30"/>
  <c r="I1199" i="30"/>
  <c r="P1201" i="30"/>
  <c r="J1201" i="30"/>
  <c r="H1198" i="30"/>
  <c r="P1198" i="30"/>
  <c r="T1201" i="30"/>
  <c r="K1198" i="30"/>
  <c r="M1199" i="30"/>
  <c r="M1198" i="30"/>
  <c r="Q1198" i="30"/>
  <c r="U1850" i="30"/>
  <c r="U1851" i="30" s="1"/>
  <c r="M368" i="32" s="1"/>
  <c r="S1137" i="30"/>
  <c r="G1135" i="30"/>
  <c r="H1137" i="30"/>
  <c r="J1138" i="30"/>
  <c r="O1135" i="30"/>
  <c r="O1137" i="30"/>
  <c r="H1135" i="30"/>
  <c r="M1138" i="30"/>
  <c r="S1138" i="30"/>
  <c r="P1136" i="30"/>
  <c r="M1136" i="30"/>
  <c r="I1135" i="30"/>
  <c r="L1136" i="30"/>
  <c r="P1137" i="30"/>
  <c r="K1136" i="30"/>
  <c r="G1137" i="30"/>
  <c r="Q1135" i="30"/>
  <c r="L1138" i="30"/>
  <c r="Q1137" i="30"/>
  <c r="I1136" i="30"/>
  <c r="P1135" i="30"/>
  <c r="T1135" i="30"/>
  <c r="G1136" i="30"/>
  <c r="R1137" i="30"/>
  <c r="R1138" i="30"/>
  <c r="O1136" i="30"/>
  <c r="T1137" i="30"/>
  <c r="J1137" i="30"/>
  <c r="R1136" i="30"/>
  <c r="L1137" i="30"/>
  <c r="M1137" i="30"/>
  <c r="K1137" i="30"/>
  <c r="N1136" i="30"/>
  <c r="N1138" i="30"/>
  <c r="L1135" i="30"/>
  <c r="T1138" i="30"/>
  <c r="J1135" i="30"/>
  <c r="Q1136" i="30"/>
  <c r="N1137" i="30"/>
  <c r="P1138" i="30"/>
  <c r="I1137" i="30"/>
  <c r="M1135" i="30"/>
  <c r="I1138" i="30"/>
  <c r="N1135" i="30"/>
  <c r="R1135" i="30"/>
  <c r="Q1138" i="30"/>
  <c r="T1136" i="30"/>
  <c r="J1136" i="30"/>
  <c r="S1135" i="30"/>
  <c r="K1135" i="30"/>
  <c r="H1138" i="30"/>
  <c r="H1136" i="30"/>
  <c r="O1138" i="30"/>
  <c r="S1136" i="30"/>
  <c r="K1138" i="30"/>
  <c r="G1138" i="30"/>
  <c r="U1329" i="30"/>
  <c r="R295" i="32"/>
  <c r="R498" i="32"/>
  <c r="U1391" i="30"/>
  <c r="U1259" i="30"/>
  <c r="U1260" i="30" s="1"/>
  <c r="R284" i="32" s="1"/>
  <c r="U2776" i="30"/>
  <c r="U2777" i="30" s="1"/>
  <c r="O494" i="32" s="1"/>
  <c r="U2411" i="30"/>
  <c r="U2412" i="30" s="1"/>
  <c r="M445" i="32" s="1"/>
  <c r="U2598" i="30"/>
  <c r="M470" i="32" s="1"/>
  <c r="U2603" i="30"/>
  <c r="R470" i="32" s="1"/>
  <c r="AP894" i="13"/>
  <c r="P908" i="13"/>
  <c r="E46" i="13" s="1"/>
  <c r="F28" i="13" s="1"/>
  <c r="M31" i="13" s="1"/>
  <c r="U1695" i="30"/>
  <c r="U2113" i="30"/>
  <c r="U2114" i="30" s="1"/>
  <c r="O403" i="32" s="1"/>
  <c r="G1139" i="30" a="1"/>
  <c r="U1708" i="30"/>
  <c r="U1403" i="30"/>
  <c r="U2566" i="30"/>
  <c r="G1159" i="30"/>
  <c r="U1159" i="30" s="1"/>
  <c r="U1160" i="30"/>
  <c r="S270" i="32"/>
  <c r="I17" i="31" s="1"/>
  <c r="S269" i="32"/>
  <c r="H17" i="31" s="1"/>
  <c r="U1330" i="30"/>
  <c r="S498" i="32"/>
  <c r="S295" i="32"/>
  <c r="U2835" i="30"/>
  <c r="U2836" i="30" s="1"/>
  <c r="U1379" i="30"/>
  <c r="Q302" i="32" s="1"/>
  <c r="U1377" i="30"/>
  <c r="O302" i="32" s="1"/>
  <c r="U1301" i="30"/>
  <c r="T2960" i="30"/>
  <c r="H2961" i="30"/>
  <c r="K2958" i="30"/>
  <c r="M2958" i="30"/>
  <c r="O2956" i="30"/>
  <c r="K2959" i="30"/>
  <c r="O2958" i="30"/>
  <c r="M2956" i="30"/>
  <c r="T2961" i="30"/>
  <c r="L2960" i="30"/>
  <c r="J2957" i="30"/>
  <c r="P2955" i="30"/>
  <c r="K2961" i="30"/>
  <c r="Q2957" i="30"/>
  <c r="L2958" i="30"/>
  <c r="R2956" i="30"/>
  <c r="L2961" i="30"/>
  <c r="N2955" i="30"/>
  <c r="S2960" i="30"/>
  <c r="Q2956" i="30"/>
  <c r="K2956" i="30"/>
  <c r="P2962" i="30"/>
  <c r="H2957" i="30"/>
  <c r="S2961" i="30"/>
  <c r="K2960" i="30"/>
  <c r="P2956" i="30"/>
  <c r="I2956" i="30"/>
  <c r="K2962" i="30"/>
  <c r="T2955" i="30"/>
  <c r="M2959" i="30"/>
  <c r="P2958" i="30"/>
  <c r="G2961" i="30"/>
  <c r="S2956" i="30"/>
  <c r="J2960" i="30"/>
  <c r="T2959" i="30"/>
  <c r="R2958" i="30"/>
  <c r="N2958" i="30"/>
  <c r="P2961" i="30"/>
  <c r="Q2960" i="30"/>
  <c r="O2959" i="30"/>
  <c r="I2962" i="30"/>
  <c r="Q2961" i="30"/>
  <c r="S2958" i="30"/>
  <c r="I2957" i="30"/>
  <c r="N2959" i="30"/>
  <c r="T2957" i="30"/>
  <c r="Q2962" i="30"/>
  <c r="T2958" i="30"/>
  <c r="G2958" i="30"/>
  <c r="M2955" i="30"/>
  <c r="H2955" i="30"/>
  <c r="M2961" i="30"/>
  <c r="N2962" i="30"/>
  <c r="J2956" i="30"/>
  <c r="K2957" i="30"/>
  <c r="G2956" i="30"/>
  <c r="H2960" i="30"/>
  <c r="L2959" i="30"/>
  <c r="P2957" i="30"/>
  <c r="I2960" i="30"/>
  <c r="G2960" i="30"/>
  <c r="I2955" i="30"/>
  <c r="G2962" i="30"/>
  <c r="P2960" i="30"/>
  <c r="O2960" i="30"/>
  <c r="O2955" i="30"/>
  <c r="S2955" i="30"/>
  <c r="H2956" i="30"/>
  <c r="J2959" i="30"/>
  <c r="N2961" i="30"/>
  <c r="R2957" i="30"/>
  <c r="T2956" i="30"/>
  <c r="L2955" i="30"/>
  <c r="M2957" i="30"/>
  <c r="O2957" i="30"/>
  <c r="T2962" i="30"/>
  <c r="R2959" i="30"/>
  <c r="J2958" i="30"/>
  <c r="Q2955" i="30"/>
  <c r="M2960" i="30"/>
  <c r="M2962" i="30"/>
  <c r="I2959" i="30"/>
  <c r="K2955" i="30"/>
  <c r="L2956" i="30"/>
  <c r="I2961" i="30"/>
  <c r="Q2959" i="30"/>
  <c r="J2961" i="30"/>
  <c r="R2962" i="30"/>
  <c r="P2959" i="30"/>
  <c r="H2958" i="30"/>
  <c r="S2962" i="30"/>
  <c r="G2957" i="30"/>
  <c r="N2957" i="30"/>
  <c r="G2959" i="30"/>
  <c r="R2961" i="30"/>
  <c r="O2962" i="30"/>
  <c r="Q2958" i="30"/>
  <c r="R2960" i="30"/>
  <c r="S2959" i="30"/>
  <c r="N2956" i="30"/>
  <c r="J2955" i="30"/>
  <c r="I2958" i="30"/>
  <c r="S2957" i="30"/>
  <c r="H2959" i="30"/>
  <c r="J2962" i="30"/>
  <c r="O2961" i="30"/>
  <c r="L2962" i="30"/>
  <c r="G2955" i="30"/>
  <c r="H2962" i="30"/>
  <c r="N2960" i="30"/>
  <c r="L2957" i="30"/>
  <c r="R2955" i="30"/>
  <c r="Q1789" i="30"/>
  <c r="J1787" i="30"/>
  <c r="T1784" i="30"/>
  <c r="P1782" i="30"/>
  <c r="G1788" i="30"/>
  <c r="Q1785" i="30"/>
  <c r="M1783" i="30"/>
  <c r="I1789" i="30"/>
  <c r="R1786" i="30"/>
  <c r="N1784" i="30"/>
  <c r="J1782" i="30"/>
  <c r="M1788" i="30"/>
  <c r="G1787" i="30"/>
  <c r="K1783" i="30"/>
  <c r="P1788" i="30"/>
  <c r="L1786" i="30"/>
  <c r="H1784" i="30"/>
  <c r="O1789" i="30"/>
  <c r="I1787" i="30"/>
  <c r="S1784" i="30"/>
  <c r="O1782" i="30"/>
  <c r="J1788" i="30"/>
  <c r="T1785" i="30"/>
  <c r="P1783" i="30"/>
  <c r="M1786" i="30"/>
  <c r="G1785" i="30"/>
  <c r="O1783" i="30"/>
  <c r="O1785" i="30"/>
  <c r="T1789" i="30"/>
  <c r="L1788" i="30"/>
  <c r="H1786" i="30"/>
  <c r="R1783" i="30"/>
  <c r="J1789" i="30"/>
  <c r="S1786" i="30"/>
  <c r="O1784" i="30"/>
  <c r="K1782" i="30"/>
  <c r="T1787" i="30"/>
  <c r="P1785" i="30"/>
  <c r="L1783" i="30"/>
  <c r="K1785" i="30"/>
  <c r="S1783" i="30"/>
  <c r="M1782" i="30"/>
  <c r="P1789" i="30"/>
  <c r="H1788" i="30"/>
  <c r="R1785" i="30"/>
  <c r="N1783" i="30"/>
  <c r="S1788" i="30"/>
  <c r="O1786" i="30"/>
  <c r="K1784" i="30"/>
  <c r="G1782" i="30"/>
  <c r="P1787" i="30"/>
  <c r="L1785" i="30"/>
  <c r="H1783" i="30"/>
  <c r="I1784" i="30"/>
  <c r="Q1782" i="30"/>
  <c r="G1789" i="30"/>
  <c r="L1789" i="30"/>
  <c r="R1787" i="30"/>
  <c r="N1785" i="30"/>
  <c r="J1783" i="30"/>
  <c r="O1788" i="30"/>
  <c r="K1786" i="30"/>
  <c r="G1784" i="30"/>
  <c r="S1789" i="30"/>
  <c r="L1787" i="30"/>
  <c r="H1785" i="30"/>
  <c r="R1782" i="30"/>
  <c r="G1783" i="30"/>
  <c r="M1789" i="30"/>
  <c r="M1784" i="30"/>
  <c r="J1785" i="30"/>
  <c r="M1787" i="30"/>
  <c r="R1788" i="30"/>
  <c r="N1782" i="30"/>
  <c r="Q1784" i="30"/>
  <c r="P1784" i="30"/>
  <c r="G1786" i="30"/>
  <c r="N1788" i="30"/>
  <c r="Q1788" i="30"/>
  <c r="S1787" i="30"/>
  <c r="H1789" i="30"/>
  <c r="L1784" i="30"/>
  <c r="M1785" i="30"/>
  <c r="H1787" i="30"/>
  <c r="O1787" i="30"/>
  <c r="Q1786" i="30"/>
  <c r="T1788" i="30"/>
  <c r="L1782" i="30"/>
  <c r="Q1783" i="30"/>
  <c r="J1786" i="30"/>
  <c r="K1787" i="30"/>
  <c r="N1787" i="30"/>
  <c r="H1782" i="30"/>
  <c r="I1783" i="30"/>
  <c r="R1784" i="30"/>
  <c r="I1786" i="30"/>
  <c r="T1786" i="30"/>
  <c r="N1786" i="30"/>
  <c r="P1786" i="30"/>
  <c r="J1784" i="30"/>
  <c r="T1782" i="30"/>
  <c r="T1783" i="30"/>
  <c r="K1788" i="30"/>
  <c r="R1789" i="30"/>
  <c r="Q1787" i="30"/>
  <c r="I1788" i="30"/>
  <c r="I1785" i="30"/>
  <c r="S1785" i="30"/>
  <c r="S1782" i="30"/>
  <c r="I1782" i="30"/>
  <c r="K1789" i="30"/>
  <c r="N1789" i="30"/>
  <c r="U1604" i="30"/>
  <c r="U1605" i="30" s="1"/>
  <c r="O333" i="32" s="1"/>
  <c r="G17" i="27"/>
  <c r="H17" i="27" s="1"/>
  <c r="U1700" i="30"/>
  <c r="S166" i="13"/>
  <c r="BE166" i="13" s="1"/>
  <c r="BG166" i="13" s="1"/>
  <c r="BH166" i="13" s="1"/>
  <c r="BE165" i="13"/>
  <c r="BG165" i="13" s="1"/>
  <c r="BH165" i="13" s="1"/>
  <c r="U449" i="30"/>
  <c r="J86" i="32" s="1"/>
  <c r="U1797" i="30"/>
  <c r="P8" i="13"/>
  <c r="R8" i="13" s="1"/>
  <c r="S8" i="13" s="1"/>
  <c r="F8" i="13"/>
  <c r="M8" i="13" s="1"/>
  <c r="U1394" i="30"/>
  <c r="R4" i="13"/>
  <c r="S4" i="13" s="1"/>
  <c r="U1801" i="30"/>
  <c r="U1809" i="30"/>
  <c r="H2320" i="30"/>
  <c r="L2319" i="30"/>
  <c r="I2322" i="30"/>
  <c r="S2321" i="30"/>
  <c r="O2321" i="30"/>
  <c r="P2320" i="30"/>
  <c r="P2321" i="30"/>
  <c r="G2320" i="30"/>
  <c r="N2321" i="30"/>
  <c r="Q2319" i="30"/>
  <c r="L2322" i="30"/>
  <c r="S2320" i="30"/>
  <c r="J2319" i="30"/>
  <c r="Q2320" i="30"/>
  <c r="K2320" i="30"/>
  <c r="N2322" i="30"/>
  <c r="R2319" i="30"/>
  <c r="J2320" i="30"/>
  <c r="H2321" i="30"/>
  <c r="M2319" i="30"/>
  <c r="K2322" i="30"/>
  <c r="T2319" i="30"/>
  <c r="H2319" i="30"/>
  <c r="G2321" i="30"/>
  <c r="R2321" i="30"/>
  <c r="O2319" i="30"/>
  <c r="O2320" i="30"/>
  <c r="J2321" i="30"/>
  <c r="G2319" i="30"/>
  <c r="I2320" i="30"/>
  <c r="T2321" i="30"/>
  <c r="S2322" i="30"/>
  <c r="I2319" i="30"/>
  <c r="L2320" i="30"/>
  <c r="N2319" i="30"/>
  <c r="Q2321" i="30"/>
  <c r="S2319" i="30"/>
  <c r="I2321" i="30"/>
  <c r="G2322" i="30"/>
  <c r="M2322" i="30"/>
  <c r="H2322" i="30"/>
  <c r="R2322" i="30"/>
  <c r="Q2322" i="30"/>
  <c r="N2320" i="30"/>
  <c r="P2322" i="30"/>
  <c r="P2319" i="30"/>
  <c r="K2319" i="30"/>
  <c r="R2320" i="30"/>
  <c r="M2320" i="30"/>
  <c r="T2320" i="30"/>
  <c r="M2321" i="30"/>
  <c r="L2321" i="30"/>
  <c r="J2322" i="30"/>
  <c r="O2322" i="30"/>
  <c r="T2322" i="30"/>
  <c r="K2321" i="30"/>
  <c r="U2062" i="30"/>
  <c r="U2063" i="30" s="1"/>
  <c r="O396" i="32" s="1"/>
  <c r="U1325" i="30"/>
  <c r="N498" i="32"/>
  <c r="N295" i="32"/>
  <c r="T267" i="32"/>
  <c r="U1127" i="30"/>
  <c r="U1125" i="30"/>
  <c r="R267" i="32" s="1"/>
  <c r="U1123" i="30"/>
  <c r="P267" i="32" s="1"/>
  <c r="U1344" i="30"/>
  <c r="U1814" i="30"/>
  <c r="B18" i="27"/>
  <c r="P40" i="13"/>
  <c r="R40" i="13" s="1"/>
  <c r="S40" i="13" s="1"/>
  <c r="U1376" i="30"/>
  <c r="N302" i="32" s="1"/>
  <c r="U1380" i="30"/>
  <c r="R302" i="32" s="1"/>
  <c r="O909" i="13"/>
  <c r="AK909" i="13" s="1"/>
  <c r="AK908" i="13"/>
  <c r="P449" i="13"/>
  <c r="AP449" i="13" s="1"/>
  <c r="AR449" i="13" s="1"/>
  <c r="AS449" i="13" s="1"/>
  <c r="AP448" i="13"/>
  <c r="AR448" i="13" s="1"/>
  <c r="AS448" i="13" s="1"/>
  <c r="U1462" i="30"/>
  <c r="G1461" i="30"/>
  <c r="U1461" i="30" s="1"/>
  <c r="R311" i="32"/>
  <c r="U1699" i="30"/>
  <c r="U444" i="30"/>
  <c r="E86" i="32" s="1"/>
  <c r="U447" i="30"/>
  <c r="H86" i="32" s="1"/>
  <c r="U1296" i="30"/>
  <c r="U1402" i="30"/>
  <c r="U2368" i="30"/>
  <c r="U2369" i="30" s="1"/>
  <c r="O438" i="32" s="1"/>
  <c r="U2567" i="30"/>
  <c r="U1810" i="30"/>
  <c r="U1324" i="30"/>
  <c r="M295" i="32"/>
  <c r="M498" i="32"/>
  <c r="U1390" i="30"/>
  <c r="U1124" i="30"/>
  <c r="Q267" i="32" s="1"/>
  <c r="U1518" i="30"/>
  <c r="U1519" i="30" s="1"/>
  <c r="U2109" i="30"/>
  <c r="U2110" i="30" s="1"/>
  <c r="N403" i="32" s="1"/>
  <c r="O304" i="32"/>
  <c r="U2599" i="30"/>
  <c r="N470" i="32" s="1"/>
  <c r="U2601" i="30"/>
  <c r="P470" i="32" s="1"/>
  <c r="U1300" i="30"/>
  <c r="P1805" i="30"/>
  <c r="H1808" i="30"/>
  <c r="Q1808" i="30"/>
  <c r="J1805" i="30"/>
  <c r="L1805" i="30"/>
  <c r="R1808" i="30"/>
  <c r="P1807" i="30"/>
  <c r="H1806" i="30"/>
  <c r="H1805" i="30"/>
  <c r="R1806" i="30"/>
  <c r="J1808" i="30"/>
  <c r="G1806" i="30"/>
  <c r="P1808" i="30"/>
  <c r="M1805" i="30"/>
  <c r="O1805" i="30"/>
  <c r="G1805" i="30"/>
  <c r="H1807" i="30"/>
  <c r="O1807" i="30"/>
  <c r="N1806" i="30"/>
  <c r="T1807" i="30"/>
  <c r="I1808" i="30"/>
  <c r="I1807" i="30"/>
  <c r="M1807" i="30"/>
  <c r="M1808" i="30"/>
  <c r="L1806" i="30"/>
  <c r="O1808" i="30"/>
  <c r="K1806" i="30"/>
  <c r="G1808" i="30"/>
  <c r="L1807" i="30"/>
  <c r="S1807" i="30"/>
  <c r="J1806" i="30"/>
  <c r="K1807" i="30"/>
  <c r="N1807" i="30"/>
  <c r="I1806" i="30"/>
  <c r="K1808" i="30"/>
  <c r="P1806" i="30"/>
  <c r="K1805" i="30"/>
  <c r="L1808" i="30"/>
  <c r="T1808" i="30"/>
  <c r="R1807" i="30"/>
  <c r="N1805" i="30"/>
  <c r="J1807" i="30"/>
  <c r="N1808" i="30"/>
  <c r="M1806" i="30"/>
  <c r="Q1807" i="30"/>
  <c r="S1808" i="30"/>
  <c r="O1806" i="30"/>
  <c r="I1805" i="30"/>
  <c r="G1807" i="30"/>
  <c r="S1806" i="30"/>
  <c r="T1806" i="30"/>
  <c r="S1805" i="30"/>
  <c r="Q1806" i="30"/>
  <c r="R1805" i="30"/>
  <c r="T1805" i="30"/>
  <c r="Q1805" i="30"/>
  <c r="U1968" i="30"/>
  <c r="U1969" i="30" s="1"/>
  <c r="Q382" i="32" s="1"/>
  <c r="G1563" i="30"/>
  <c r="U1563" i="30" s="1"/>
  <c r="U1564" i="30"/>
  <c r="R325" i="32"/>
  <c r="U2462" i="30"/>
  <c r="U2463" i="30" s="1"/>
  <c r="M452" i="32" s="1"/>
  <c r="U446" i="30"/>
  <c r="G86" i="32" s="1"/>
  <c r="H6" i="27"/>
  <c r="R4" i="27" s="1"/>
  <c r="Q4" i="27"/>
  <c r="U1121" i="30"/>
  <c r="N267" i="32" s="1"/>
  <c r="N298" i="32"/>
  <c r="N501" i="32"/>
  <c r="U1813" i="30"/>
  <c r="U1457" i="30"/>
  <c r="U1399" i="30"/>
  <c r="U1398" i="30"/>
  <c r="U2602" i="30"/>
  <c r="Q470" i="32" s="1"/>
  <c r="U2604" i="30"/>
  <c r="S470" i="32" s="1"/>
  <c r="U1748" i="30"/>
  <c r="U1749" i="30" s="1"/>
  <c r="M354" i="32" s="1"/>
  <c r="U1696" i="30"/>
  <c r="U1596" i="30"/>
  <c r="U1597" i="30" s="1"/>
  <c r="M333" i="32" s="1"/>
  <c r="J459" i="30"/>
  <c r="Q464" i="30"/>
  <c r="K462" i="30"/>
  <c r="S459" i="30"/>
  <c r="T462" i="30"/>
  <c r="R460" i="30"/>
  <c r="S465" i="30"/>
  <c r="G461" i="30"/>
  <c r="K465" i="30"/>
  <c r="O462" i="30"/>
  <c r="T461" i="30"/>
  <c r="K461" i="30"/>
  <c r="R458" i="30"/>
  <c r="S464" i="30"/>
  <c r="M462" i="30"/>
  <c r="G460" i="30"/>
  <c r="N465" i="30"/>
  <c r="L463" i="30"/>
  <c r="P460" i="30"/>
  <c r="L459" i="30"/>
  <c r="Q463" i="30"/>
  <c r="O463" i="30"/>
  <c r="I461" i="30"/>
  <c r="Q458" i="30"/>
  <c r="J460" i="30"/>
  <c r="S462" i="30"/>
  <c r="T463" i="30"/>
  <c r="G465" i="30"/>
  <c r="J463" i="30"/>
  <c r="S458" i="30"/>
  <c r="Q462" i="30"/>
  <c r="K460" i="30"/>
  <c r="R465" i="30"/>
  <c r="N464" i="30"/>
  <c r="T460" i="30"/>
  <c r="N460" i="30"/>
  <c r="G464" i="30"/>
  <c r="O461" i="30"/>
  <c r="I459" i="30"/>
  <c r="G459" i="30"/>
  <c r="L461" i="30"/>
  <c r="H462" i="30"/>
  <c r="H465" i="30"/>
  <c r="Q460" i="30"/>
  <c r="T464" i="30"/>
  <c r="M465" i="30"/>
  <c r="R463" i="30"/>
  <c r="M464" i="30"/>
  <c r="P463" i="30"/>
  <c r="H460" i="30"/>
  <c r="I463" i="30"/>
  <c r="M460" i="30"/>
  <c r="G458" i="30"/>
  <c r="N463" i="30"/>
  <c r="H463" i="30"/>
  <c r="P458" i="30"/>
  <c r="I464" i="30"/>
  <c r="Q461" i="30"/>
  <c r="K459" i="30"/>
  <c r="N462" i="30"/>
  <c r="P464" i="30"/>
  <c r="T459" i="30"/>
  <c r="R459" i="30"/>
  <c r="N459" i="30"/>
  <c r="K458" i="30"/>
  <c r="H461" i="30"/>
  <c r="N458" i="30"/>
  <c r="M458" i="30"/>
  <c r="J464" i="30"/>
  <c r="G462" i="30"/>
  <c r="O459" i="30"/>
  <c r="P462" i="30"/>
  <c r="O465" i="30"/>
  <c r="H459" i="30"/>
  <c r="N461" i="30"/>
  <c r="R462" i="30"/>
  <c r="O464" i="30"/>
  <c r="I462" i="30"/>
  <c r="Q459" i="30"/>
  <c r="J465" i="30"/>
  <c r="J462" i="30"/>
  <c r="L460" i="30"/>
  <c r="J458" i="30"/>
  <c r="Q465" i="30"/>
  <c r="S460" i="30"/>
  <c r="O460" i="30"/>
  <c r="L465" i="30"/>
  <c r="R464" i="30"/>
  <c r="H458" i="30"/>
  <c r="M463" i="30"/>
  <c r="O458" i="30"/>
  <c r="R461" i="30"/>
  <c r="I460" i="30"/>
  <c r="T465" i="30"/>
  <c r="L458" i="30"/>
  <c r="L464" i="30"/>
  <c r="I458" i="30"/>
  <c r="P465" i="30"/>
  <c r="J461" i="30"/>
  <c r="P461" i="30"/>
  <c r="K464" i="30"/>
  <c r="S461" i="30"/>
  <c r="M459" i="30"/>
  <c r="L462" i="30"/>
  <c r="I465" i="30"/>
  <c r="T458" i="30"/>
  <c r="P459" i="30"/>
  <c r="G463" i="30"/>
  <c r="S463" i="30"/>
  <c r="K463" i="30"/>
  <c r="M461" i="30"/>
  <c r="H464" i="30"/>
  <c r="J2415" i="30"/>
  <c r="K2413" i="30"/>
  <c r="Q2415" i="30"/>
  <c r="S2414" i="30"/>
  <c r="P2414" i="30"/>
  <c r="L2415" i="30"/>
  <c r="T2416" i="30"/>
  <c r="S2416" i="30"/>
  <c r="R2416" i="30"/>
  <c r="H2413" i="30"/>
  <c r="P2416" i="30"/>
  <c r="O2416" i="30"/>
  <c r="J2416" i="30"/>
  <c r="H2415" i="30"/>
  <c r="T2414" i="30"/>
  <c r="O2415" i="30"/>
  <c r="L2413" i="30"/>
  <c r="O2414" i="30"/>
  <c r="N2415" i="30"/>
  <c r="I2416" i="30"/>
  <c r="R2415" i="30"/>
  <c r="G2415" i="30"/>
  <c r="O2413" i="30"/>
  <c r="M2415" i="30"/>
  <c r="G2416" i="30"/>
  <c r="S2415" i="30"/>
  <c r="H2416" i="30"/>
  <c r="K2415" i="30"/>
  <c r="I2413" i="30"/>
  <c r="R2413" i="30"/>
  <c r="R2414" i="30"/>
  <c r="M2414" i="30"/>
  <c r="K2414" i="30"/>
  <c r="P2413" i="30"/>
  <c r="Q2416" i="30"/>
  <c r="M2413" i="30"/>
  <c r="L2414" i="30"/>
  <c r="T2413" i="30"/>
  <c r="M2416" i="30"/>
  <c r="I2414" i="30"/>
  <c r="J2413" i="30"/>
  <c r="N2416" i="30"/>
  <c r="H2414" i="30"/>
  <c r="S2413" i="30"/>
  <c r="Q2413" i="30"/>
  <c r="G2413" i="30"/>
  <c r="P2415" i="30"/>
  <c r="N2414" i="30"/>
  <c r="K2416" i="30"/>
  <c r="J2414" i="30"/>
  <c r="T2415" i="30"/>
  <c r="N2413" i="30"/>
  <c r="Q2414" i="30"/>
  <c r="L2416" i="30"/>
  <c r="G2414" i="30"/>
  <c r="I2415" i="30"/>
  <c r="U1802" i="30"/>
  <c r="U1327" i="30"/>
  <c r="P295" i="32" s="1"/>
  <c r="P498" i="32"/>
  <c r="T295" i="32"/>
  <c r="M304" i="32"/>
  <c r="U1126" i="30"/>
  <c r="S267" i="32" s="1"/>
  <c r="U1343" i="30"/>
  <c r="U1458" i="30"/>
  <c r="J1955" i="30"/>
  <c r="P1956" i="30"/>
  <c r="I1955" i="30"/>
  <c r="O1955" i="30"/>
  <c r="T1955" i="30"/>
  <c r="R1957" i="30"/>
  <c r="G1957" i="30"/>
  <c r="O1954" i="30"/>
  <c r="Q1957" i="30"/>
  <c r="N1954" i="30"/>
  <c r="P1954" i="30"/>
  <c r="Q1955" i="30"/>
  <c r="N1957" i="30"/>
  <c r="O1956" i="30"/>
  <c r="T1954" i="30"/>
  <c r="H1957" i="30"/>
  <c r="I1956" i="30"/>
  <c r="H1954" i="30"/>
  <c r="H1955" i="30"/>
  <c r="H1956" i="30"/>
  <c r="I1957" i="30"/>
  <c r="M1955" i="30"/>
  <c r="R1954" i="30"/>
  <c r="S1955" i="30"/>
  <c r="Q1956" i="30"/>
  <c r="Q1954" i="30"/>
  <c r="G1956" i="30"/>
  <c r="R1955" i="30"/>
  <c r="L1957" i="30"/>
  <c r="T1956" i="30"/>
  <c r="K1957" i="30"/>
  <c r="K1954" i="30"/>
  <c r="S1954" i="30"/>
  <c r="P1955" i="30"/>
  <c r="J1954" i="30"/>
  <c r="M1956" i="30"/>
  <c r="K1956" i="30"/>
  <c r="N1955" i="30"/>
  <c r="G1954" i="30"/>
  <c r="O1957" i="30"/>
  <c r="L1954" i="30"/>
  <c r="P1957" i="30"/>
  <c r="N1956" i="30"/>
  <c r="G1955" i="30"/>
  <c r="M1957" i="30"/>
  <c r="L1955" i="30"/>
  <c r="M1954" i="30"/>
  <c r="S1957" i="30"/>
  <c r="T1957" i="30"/>
  <c r="L1956" i="30"/>
  <c r="K1955" i="30"/>
  <c r="J1957" i="30"/>
  <c r="R1956" i="30"/>
  <c r="I1954" i="30"/>
  <c r="J1956" i="30"/>
  <c r="S1956" i="30"/>
  <c r="U1905" i="30"/>
  <c r="U1906" i="30" s="1"/>
  <c r="N375" i="32" s="1"/>
  <c r="AK165" i="13"/>
  <c r="AM165" i="13" s="1"/>
  <c r="AN165" i="13" s="1"/>
  <c r="O166" i="13"/>
  <c r="AK166" i="13" s="1"/>
  <c r="AM166" i="13" s="1"/>
  <c r="AN166" i="13" s="1"/>
  <c r="G1155" i="30" a="1"/>
  <c r="U2223" i="30"/>
  <c r="U2224" i="30" s="1"/>
  <c r="Q417" i="32" s="1"/>
  <c r="U1494" i="30"/>
  <c r="U1495" i="30" s="1"/>
  <c r="M319" i="32" s="1"/>
  <c r="U1707" i="30"/>
  <c r="G5" i="27"/>
  <c r="U1860" i="30" l="1"/>
  <c r="U1446" i="30"/>
  <c r="Q395" i="32"/>
  <c r="U1445" i="30"/>
  <c r="U1255" i="30"/>
  <c r="U1256" i="30" s="1"/>
  <c r="Q284" i="32" s="1"/>
  <c r="G1192" i="30"/>
  <c r="S501" i="32"/>
  <c r="I51" i="31" s="1"/>
  <c r="U1290" i="30"/>
  <c r="U1291" i="30" s="1"/>
  <c r="M291" i="32" s="1"/>
  <c r="M283" i="32"/>
  <c r="U1861" i="30"/>
  <c r="U1862" i="30" s="1"/>
  <c r="U1863" i="30" s="1"/>
  <c r="P368" i="32" s="1"/>
  <c r="L1243" i="30"/>
  <c r="L1242" i="30"/>
  <c r="I1241" i="30"/>
  <c r="U1237" i="30"/>
  <c r="U1238" i="30"/>
  <c r="U1148" i="30"/>
  <c r="U1147" i="30"/>
  <c r="U1353" i="30"/>
  <c r="U1354" i="30" s="1"/>
  <c r="O416" i="32"/>
  <c r="U1357" i="30"/>
  <c r="U1358" i="30" s="1"/>
  <c r="U1247" i="30"/>
  <c r="U1248" i="30" s="1"/>
  <c r="O284" i="32" s="1"/>
  <c r="U1811" i="30"/>
  <c r="U1812" i="30" s="1"/>
  <c r="P361" i="32" s="1"/>
  <c r="S500" i="32"/>
  <c r="H51" i="31" s="1"/>
  <c r="S298" i="32"/>
  <c r="I21" i="31" s="1"/>
  <c r="U1364" i="30"/>
  <c r="N1193" i="30"/>
  <c r="U1251" i="30"/>
  <c r="U1252" i="30" s="1"/>
  <c r="P284" i="32" s="1"/>
  <c r="H1192" i="30"/>
  <c r="Q1193" i="30"/>
  <c r="U1408" i="30"/>
  <c r="U1409" i="30" s="1"/>
  <c r="Q305" i="32" s="1"/>
  <c r="T1190" i="30"/>
  <c r="P1191" i="30"/>
  <c r="M1190" i="30"/>
  <c r="G1363" i="30"/>
  <c r="U1363" i="30" s="1"/>
  <c r="M276" i="32"/>
  <c r="U1294" i="30"/>
  <c r="U1295" i="30" s="1"/>
  <c r="N291" i="32" s="1"/>
  <c r="O360" i="32"/>
  <c r="N381" i="32"/>
  <c r="Q276" i="32"/>
  <c r="Q269" i="32"/>
  <c r="P1243" i="30"/>
  <c r="P276" i="32"/>
  <c r="M269" i="32"/>
  <c r="R276" i="32"/>
  <c r="U1144" i="30"/>
  <c r="O269" i="32"/>
  <c r="U1143" i="30"/>
  <c r="U1451" i="30"/>
  <c r="U1452" i="30" s="1"/>
  <c r="O312" i="32" s="1"/>
  <c r="U1152" i="30"/>
  <c r="U1151" i="30"/>
  <c r="U2068" i="30"/>
  <c r="G2620" i="30"/>
  <c r="U1600" i="30"/>
  <c r="U1601" i="30" s="1"/>
  <c r="N333" i="32" s="1"/>
  <c r="U2069" i="30"/>
  <c r="R2618" i="30"/>
  <c r="P2619" i="30"/>
  <c r="T2617" i="30"/>
  <c r="S2619" i="30"/>
  <c r="K2618" i="30"/>
  <c r="K2619" i="30"/>
  <c r="L2620" i="30"/>
  <c r="M2619" i="30"/>
  <c r="O2618" i="30"/>
  <c r="I2617" i="30"/>
  <c r="L2617" i="30"/>
  <c r="O2620" i="30"/>
  <c r="S2617" i="30"/>
  <c r="U1203" i="30"/>
  <c r="U2213" i="30"/>
  <c r="U2214" i="30"/>
  <c r="J2620" i="30"/>
  <c r="P2618" i="30"/>
  <c r="T2620" i="30"/>
  <c r="O2617" i="30"/>
  <c r="N2620" i="30"/>
  <c r="N2618" i="30"/>
  <c r="M2620" i="30"/>
  <c r="G2619" i="30"/>
  <c r="G2617" i="30"/>
  <c r="M2617" i="30"/>
  <c r="N2617" i="30"/>
  <c r="L2619" i="30"/>
  <c r="O2619" i="30"/>
  <c r="M2618" i="30"/>
  <c r="U2568" i="30"/>
  <c r="U2569" i="30" s="1"/>
  <c r="N466" i="32" s="1"/>
  <c r="I1242" i="30"/>
  <c r="L2618" i="30"/>
  <c r="I2618" i="30"/>
  <c r="H2620" i="30"/>
  <c r="T2619" i="30"/>
  <c r="G2618" i="30"/>
  <c r="Q2619" i="30"/>
  <c r="I2620" i="30"/>
  <c r="J2619" i="30"/>
  <c r="Q2618" i="30"/>
  <c r="P2617" i="30"/>
  <c r="S2620" i="30"/>
  <c r="R2617" i="30"/>
  <c r="N2619" i="30"/>
  <c r="K2620" i="30"/>
  <c r="P2620" i="30"/>
  <c r="H2618" i="30"/>
  <c r="Q2620" i="30"/>
  <c r="J2618" i="30"/>
  <c r="J2617" i="30"/>
  <c r="Q2617" i="30"/>
  <c r="R2620" i="30"/>
  <c r="U1697" i="30"/>
  <c r="U1698" i="30" s="1"/>
  <c r="M347" i="32" s="1"/>
  <c r="R2619" i="30"/>
  <c r="K2617" i="30"/>
  <c r="S2618" i="30"/>
  <c r="I2619" i="30"/>
  <c r="H2619" i="30"/>
  <c r="H2617" i="30"/>
  <c r="G1244" i="30"/>
  <c r="U1202" i="30"/>
  <c r="U1207" i="30"/>
  <c r="U1208" i="30" s="1"/>
  <c r="U1209" i="30" s="1"/>
  <c r="R277" i="32" s="1"/>
  <c r="U1400" i="30"/>
  <c r="U1401" i="30" s="1"/>
  <c r="O305" i="32" s="1"/>
  <c r="T1241" i="30"/>
  <c r="P1192" i="30"/>
  <c r="P1190" i="30"/>
  <c r="L1190" i="30"/>
  <c r="N1192" i="30"/>
  <c r="G1193" i="30"/>
  <c r="G1191" i="30"/>
  <c r="Q1191" i="30"/>
  <c r="J1192" i="30"/>
  <c r="O1192" i="30"/>
  <c r="O1193" i="30"/>
  <c r="I1193" i="30"/>
  <c r="J1191" i="30"/>
  <c r="Q1192" i="30"/>
  <c r="H1191" i="30"/>
  <c r="T1191" i="30"/>
  <c r="T1192" i="30"/>
  <c r="K1191" i="30"/>
  <c r="I1190" i="30"/>
  <c r="I1192" i="30"/>
  <c r="R1193" i="30"/>
  <c r="S1192" i="30"/>
  <c r="R1192" i="30"/>
  <c r="I1191" i="30"/>
  <c r="S1193" i="30"/>
  <c r="L1192" i="30"/>
  <c r="H1190" i="30"/>
  <c r="R1190" i="30"/>
  <c r="M1191" i="30"/>
  <c r="O1190" i="30"/>
  <c r="M1193" i="30"/>
  <c r="J1190" i="30"/>
  <c r="T1193" i="30"/>
  <c r="Q1190" i="30"/>
  <c r="L1193" i="30"/>
  <c r="M1192" i="30"/>
  <c r="J1193" i="30"/>
  <c r="K1192" i="30"/>
  <c r="L1191" i="30"/>
  <c r="K1190" i="30"/>
  <c r="N1191" i="30"/>
  <c r="G1190" i="30"/>
  <c r="S1190" i="30"/>
  <c r="P1193" i="30"/>
  <c r="K1193" i="30"/>
  <c r="R1191" i="30"/>
  <c r="O1191" i="30"/>
  <c r="H1193" i="30"/>
  <c r="N1190" i="30"/>
  <c r="U1803" i="30"/>
  <c r="U1804" i="30" s="1"/>
  <c r="N361" i="32" s="1"/>
  <c r="T1242" i="30"/>
  <c r="S1242" i="30"/>
  <c r="T1243" i="30"/>
  <c r="R1241" i="30"/>
  <c r="Q1241" i="30"/>
  <c r="P1242" i="30"/>
  <c r="H1244" i="30"/>
  <c r="F22" i="13"/>
  <c r="J1244" i="30"/>
  <c r="K1243" i="30"/>
  <c r="N1241" i="30"/>
  <c r="M1243" i="30"/>
  <c r="L1244" i="30"/>
  <c r="R1242" i="30"/>
  <c r="Q1243" i="30"/>
  <c r="K1242" i="30"/>
  <c r="M1241" i="30"/>
  <c r="T1244" i="30"/>
  <c r="M1242" i="30"/>
  <c r="N1243" i="30"/>
  <c r="O1243" i="30"/>
  <c r="I1244" i="30"/>
  <c r="Q1242" i="30"/>
  <c r="J1241" i="30"/>
  <c r="O1242" i="30"/>
  <c r="S1243" i="30"/>
  <c r="P1244" i="30"/>
  <c r="O1241" i="30"/>
  <c r="S1244" i="30"/>
  <c r="G1242" i="30"/>
  <c r="S1241" i="30"/>
  <c r="N1242" i="30"/>
  <c r="M1244" i="30"/>
  <c r="O1244" i="30"/>
  <c r="K1244" i="30"/>
  <c r="N1244" i="30"/>
  <c r="L1241" i="30"/>
  <c r="G1241" i="30"/>
  <c r="K1241" i="30"/>
  <c r="H1242" i="30"/>
  <c r="J1243" i="30"/>
  <c r="P1241" i="30"/>
  <c r="R1244" i="30"/>
  <c r="J1242" i="30"/>
  <c r="G1243" i="30"/>
  <c r="Q1244" i="30"/>
  <c r="H1243" i="30"/>
  <c r="H1241" i="30"/>
  <c r="I1243" i="30"/>
  <c r="U2413" i="30"/>
  <c r="U1459" i="30"/>
  <c r="U1460" i="30" s="1"/>
  <c r="Q312" i="32" s="1"/>
  <c r="U1199" i="30"/>
  <c r="U1161" i="30"/>
  <c r="U1162" i="30" s="1"/>
  <c r="P21" i="13"/>
  <c r="M19" i="13" s="1"/>
  <c r="U1565" i="30"/>
  <c r="U1566" i="30" s="1"/>
  <c r="R326" i="32" s="1"/>
  <c r="F42" i="13"/>
  <c r="M40" i="13" s="1"/>
  <c r="U2319" i="30"/>
  <c r="U2955" i="30"/>
  <c r="M519" i="32" s="1"/>
  <c r="U2957" i="30"/>
  <c r="O519" i="32" s="1"/>
  <c r="P165" i="13"/>
  <c r="AP151" i="13"/>
  <c r="AR151" i="13" s="1"/>
  <c r="AS151" i="13" s="1"/>
  <c r="G7" i="27"/>
  <c r="U1447" i="30"/>
  <c r="U1448" i="30" s="1"/>
  <c r="N312" i="32" s="1"/>
  <c r="U1954" i="30"/>
  <c r="P430" i="32"/>
  <c r="U1782" i="30"/>
  <c r="M358" i="32" s="1"/>
  <c r="U1785" i="30"/>
  <c r="P358" i="32" s="1"/>
  <c r="U1404" i="30"/>
  <c r="U1405" i="30" s="1"/>
  <c r="P305" i="32" s="1"/>
  <c r="U1392" i="30"/>
  <c r="U1393" i="30" s="1"/>
  <c r="M305" i="32" s="1"/>
  <c r="U1298" i="30"/>
  <c r="U1299" i="30" s="1"/>
  <c r="O291" i="32" s="1"/>
  <c r="AR191" i="13"/>
  <c r="AS191" i="13" s="1"/>
  <c r="U1799" i="30"/>
  <c r="U1800" i="30" s="1"/>
  <c r="M361" i="32" s="1"/>
  <c r="U2414" i="30"/>
  <c r="U459" i="30"/>
  <c r="E88" i="32" s="1"/>
  <c r="U460" i="30"/>
  <c r="F88" i="32" s="1"/>
  <c r="U461" i="30"/>
  <c r="G88" i="32" s="1"/>
  <c r="U1463" i="30"/>
  <c r="U1464" i="30" s="1"/>
  <c r="R312" i="32" s="1"/>
  <c r="G18" i="27"/>
  <c r="H18" i="27" s="1"/>
  <c r="B9" i="27"/>
  <c r="U1709" i="30"/>
  <c r="U1710" i="30" s="1"/>
  <c r="P347" i="32" s="1"/>
  <c r="P206" i="13"/>
  <c r="AP206" i="13" s="1"/>
  <c r="AR206" i="13" s="1"/>
  <c r="AS206" i="13" s="1"/>
  <c r="AP205" i="13"/>
  <c r="AR205" i="13" s="1"/>
  <c r="AS205" i="13" s="1"/>
  <c r="E29" i="13"/>
  <c r="G3" i="27"/>
  <c r="U1805" i="30"/>
  <c r="U1815" i="30"/>
  <c r="U1816" i="30" s="1"/>
  <c r="Q361" i="32" s="1"/>
  <c r="U1789" i="30"/>
  <c r="T358" i="32" s="1"/>
  <c r="U2958" i="30"/>
  <c r="P519" i="32" s="1"/>
  <c r="I1140" i="30"/>
  <c r="G1141" i="30"/>
  <c r="R1139" i="30"/>
  <c r="M1140" i="30"/>
  <c r="S1139" i="30"/>
  <c r="G1140" i="30"/>
  <c r="L1141" i="30"/>
  <c r="I1141" i="30"/>
  <c r="O1142" i="30"/>
  <c r="I1139" i="30"/>
  <c r="K1140" i="30"/>
  <c r="Q1142" i="30"/>
  <c r="T1142" i="30"/>
  <c r="H1142" i="30"/>
  <c r="K1141" i="30"/>
  <c r="J1142" i="30"/>
  <c r="M1139" i="30"/>
  <c r="L1140" i="30"/>
  <c r="H1139" i="30"/>
  <c r="R1141" i="30"/>
  <c r="O1141" i="30"/>
  <c r="O1139" i="30"/>
  <c r="P1140" i="30"/>
  <c r="N1142" i="30"/>
  <c r="K1142" i="30"/>
  <c r="Q1140" i="30"/>
  <c r="S1141" i="30"/>
  <c r="Q1141" i="30"/>
  <c r="R1140" i="30"/>
  <c r="H1140" i="30"/>
  <c r="Q1139" i="30"/>
  <c r="P1142" i="30"/>
  <c r="O1140" i="30"/>
  <c r="G1139" i="30"/>
  <c r="J1140" i="30"/>
  <c r="I1142" i="30"/>
  <c r="M1141" i="30"/>
  <c r="T1140" i="30"/>
  <c r="T1139" i="30"/>
  <c r="G1142" i="30"/>
  <c r="K1139" i="30"/>
  <c r="M1142" i="30"/>
  <c r="N1141" i="30"/>
  <c r="P1139" i="30"/>
  <c r="L1139" i="30"/>
  <c r="R1142" i="30"/>
  <c r="J1139" i="30"/>
  <c r="P1141" i="30"/>
  <c r="T1141" i="30"/>
  <c r="N1139" i="30"/>
  <c r="L1142" i="30"/>
  <c r="H1141" i="30"/>
  <c r="J1141" i="30"/>
  <c r="N1140" i="30"/>
  <c r="S1140" i="30"/>
  <c r="S1142" i="30"/>
  <c r="U1135" i="30"/>
  <c r="U1955" i="30"/>
  <c r="U462" i="30"/>
  <c r="H88" i="32" s="1"/>
  <c r="U1345" i="30"/>
  <c r="U1346" i="30" s="1"/>
  <c r="U1784" i="30"/>
  <c r="O358" i="32" s="1"/>
  <c r="U2956" i="30"/>
  <c r="N519" i="32" s="1"/>
  <c r="U2961" i="30"/>
  <c r="S519" i="32" s="1"/>
  <c r="U1302" i="30"/>
  <c r="U1303" i="30" s="1"/>
  <c r="P291" i="32" s="1"/>
  <c r="U1443" i="30"/>
  <c r="U1444" i="30" s="1"/>
  <c r="M312" i="32" s="1"/>
  <c r="U1156" i="30"/>
  <c r="R269" i="32"/>
  <c r="G1155" i="30"/>
  <c r="U1155" i="30" s="1"/>
  <c r="Q3" i="27"/>
  <c r="H5" i="27"/>
  <c r="R3" i="27" s="1"/>
  <c r="U458" i="30"/>
  <c r="D88" i="32" s="1"/>
  <c r="U464" i="30"/>
  <c r="J88" i="32" s="1"/>
  <c r="B22" i="31" s="1"/>
  <c r="U2320" i="30"/>
  <c r="U2962" i="30"/>
  <c r="T519" i="32" s="1"/>
  <c r="U2843" i="30"/>
  <c r="U2844" i="30" s="1"/>
  <c r="U1187" i="30"/>
  <c r="U463" i="30"/>
  <c r="I88" i="32" s="1"/>
  <c r="U465" i="30"/>
  <c r="K88" i="32" s="1"/>
  <c r="B24" i="27"/>
  <c r="F45" i="13"/>
  <c r="M44" i="13" s="1"/>
  <c r="F44" i="13"/>
  <c r="M39" i="13" s="1"/>
  <c r="F36" i="13"/>
  <c r="M36" i="13" s="1"/>
  <c r="F38" i="13"/>
  <c r="M37" i="13" s="1"/>
  <c r="F43" i="13"/>
  <c r="M34" i="13" s="1"/>
  <c r="F40" i="13"/>
  <c r="M35" i="13" s="1"/>
  <c r="F35" i="13"/>
  <c r="M33" i="13" s="1"/>
  <c r="F31" i="13"/>
  <c r="M29" i="13" s="1"/>
  <c r="F37" i="13"/>
  <c r="M38" i="13" s="1"/>
  <c r="F39" i="13"/>
  <c r="M42" i="13" s="1"/>
  <c r="F30" i="13"/>
  <c r="M30" i="13" s="1"/>
  <c r="F41" i="13"/>
  <c r="M41" i="13" s="1"/>
  <c r="U1701" i="30"/>
  <c r="U1702" i="30" s="1"/>
  <c r="N347" i="32" s="1"/>
  <c r="U1786" i="30"/>
  <c r="Q358" i="32" s="1"/>
  <c r="U1787" i="30"/>
  <c r="R358" i="32" s="1"/>
  <c r="U1788" i="30"/>
  <c r="S358" i="32" s="1"/>
  <c r="U2959" i="30"/>
  <c r="Q519" i="32" s="1"/>
  <c r="P909" i="13"/>
  <c r="AP909" i="13" s="1"/>
  <c r="AP908" i="13"/>
  <c r="U1136" i="30"/>
  <c r="U1396" i="30"/>
  <c r="U1397" i="30" s="1"/>
  <c r="N305" i="32" s="1"/>
  <c r="N283" i="32"/>
  <c r="F32" i="13"/>
  <c r="M32" i="13" s="1"/>
  <c r="N444" i="32"/>
  <c r="U1806" i="30"/>
  <c r="U1783" i="30"/>
  <c r="N358" i="32" s="1"/>
  <c r="U2960" i="30"/>
  <c r="R519" i="32" s="1"/>
  <c r="U1198" i="30"/>
  <c r="R1178" i="30"/>
  <c r="N1176" i="30"/>
  <c r="J1174" i="30"/>
  <c r="T1171" i="30"/>
  <c r="O1177" i="30"/>
  <c r="K1175" i="30"/>
  <c r="G1173" i="30"/>
  <c r="T1178" i="30"/>
  <c r="P1176" i="30"/>
  <c r="L1174" i="30"/>
  <c r="H1172" i="30"/>
  <c r="Q1173" i="30"/>
  <c r="K1172" i="30"/>
  <c r="G1172" i="30"/>
  <c r="N1178" i="30"/>
  <c r="J1176" i="30"/>
  <c r="T1173" i="30"/>
  <c r="P1171" i="30"/>
  <c r="K1177" i="30"/>
  <c r="G1175" i="30"/>
  <c r="Q1172" i="30"/>
  <c r="P1178" i="30"/>
  <c r="L1176" i="30"/>
  <c r="H1174" i="30"/>
  <c r="R1171" i="30"/>
  <c r="O1172" i="30"/>
  <c r="I1171" i="30"/>
  <c r="M1177" i="30"/>
  <c r="J1178" i="30"/>
  <c r="T1175" i="30"/>
  <c r="P1173" i="30"/>
  <c r="L1171" i="30"/>
  <c r="G1177" i="30"/>
  <c r="Q1174" i="30"/>
  <c r="M1172" i="30"/>
  <c r="L1178" i="30"/>
  <c r="H1176" i="30"/>
  <c r="R1173" i="30"/>
  <c r="N1171" i="30"/>
  <c r="M1171" i="30"/>
  <c r="S1178" i="30"/>
  <c r="S1172" i="30"/>
  <c r="J1172" i="30"/>
  <c r="K1173" i="30"/>
  <c r="L1172" i="30"/>
  <c r="M1173" i="30"/>
  <c r="T1177" i="30"/>
  <c r="P1175" i="30"/>
  <c r="L1173" i="30"/>
  <c r="H1171" i="30"/>
  <c r="Q1176" i="30"/>
  <c r="M1174" i="30"/>
  <c r="I1172" i="30"/>
  <c r="H1178" i="30"/>
  <c r="R1175" i="30"/>
  <c r="N1173" i="30"/>
  <c r="J1171" i="30"/>
  <c r="G1178" i="30"/>
  <c r="Q1177" i="30"/>
  <c r="K1176" i="30"/>
  <c r="L1175" i="30"/>
  <c r="M1176" i="30"/>
  <c r="S1171" i="30"/>
  <c r="N1175" i="30"/>
  <c r="K1178" i="30"/>
  <c r="O1176" i="30"/>
  <c r="O1175" i="30"/>
  <c r="P1177" i="30"/>
  <c r="H1173" i="30"/>
  <c r="Q1178" i="30"/>
  <c r="I1174" i="30"/>
  <c r="R1177" i="30"/>
  <c r="J1173" i="30"/>
  <c r="S1176" i="30"/>
  <c r="Q1171" i="30"/>
  <c r="R1176" i="30"/>
  <c r="S1177" i="30"/>
  <c r="T1176" i="30"/>
  <c r="S1174" i="30"/>
  <c r="L1177" i="30"/>
  <c r="H1175" i="30"/>
  <c r="R1172" i="30"/>
  <c r="M1178" i="30"/>
  <c r="I1176" i="30"/>
  <c r="S1173" i="30"/>
  <c r="O1171" i="30"/>
  <c r="N1177" i="30"/>
  <c r="J1175" i="30"/>
  <c r="T1172" i="30"/>
  <c r="I1177" i="30"/>
  <c r="Q1175" i="30"/>
  <c r="M1175" i="30"/>
  <c r="I1175" i="30"/>
  <c r="H1177" i="30"/>
  <c r="R1174" i="30"/>
  <c r="N1172" i="30"/>
  <c r="I1178" i="30"/>
  <c r="S1175" i="30"/>
  <c r="O1173" i="30"/>
  <c r="K1171" i="30"/>
  <c r="J1177" i="30"/>
  <c r="T1174" i="30"/>
  <c r="P1172" i="30"/>
  <c r="G1176" i="30"/>
  <c r="O1174" i="30"/>
  <c r="K1174" i="30"/>
  <c r="O1178" i="30"/>
  <c r="G1171" i="30"/>
  <c r="G1174" i="30"/>
  <c r="N1174" i="30"/>
  <c r="P1174" i="30"/>
  <c r="I1173" i="30"/>
  <c r="U1186" i="30"/>
  <c r="U1239" i="30" l="1"/>
  <c r="U1240" i="30" s="1"/>
  <c r="M284" i="32" s="1"/>
  <c r="U1149" i="30"/>
  <c r="U1150" i="30" s="1"/>
  <c r="P270" i="32" s="1"/>
  <c r="N276" i="32"/>
  <c r="N269" i="32"/>
  <c r="U2415" i="30"/>
  <c r="U2416" i="30" s="1"/>
  <c r="N445" i="32" s="1"/>
  <c r="U1200" i="30"/>
  <c r="U1201" i="30" s="1"/>
  <c r="P277" i="32" s="1"/>
  <c r="U1365" i="30"/>
  <c r="U1366" i="30" s="1"/>
  <c r="U1145" i="30"/>
  <c r="U1146" i="30" s="1"/>
  <c r="O270" i="32" s="1"/>
  <c r="U1807" i="30"/>
  <c r="U1808" i="30" s="1"/>
  <c r="O361" i="32" s="1"/>
  <c r="N472" i="32"/>
  <c r="U2070" i="30"/>
  <c r="U2071" i="30" s="1"/>
  <c r="Q396" i="32" s="1"/>
  <c r="U1204" i="30"/>
  <c r="U1205" i="30" s="1"/>
  <c r="Q277" i="32" s="1"/>
  <c r="U1153" i="30"/>
  <c r="U1154" i="30" s="1"/>
  <c r="Q270" i="32" s="1"/>
  <c r="U2617" i="30"/>
  <c r="U1956" i="30"/>
  <c r="U1957" i="30" s="1"/>
  <c r="N382" i="32" s="1"/>
  <c r="U2618" i="30"/>
  <c r="U2215" i="30"/>
  <c r="U2216" i="30" s="1"/>
  <c r="O417" i="32" s="1"/>
  <c r="U2321" i="30"/>
  <c r="U2322" i="30" s="1"/>
  <c r="P431" i="32" s="1"/>
  <c r="U1191" i="30"/>
  <c r="U1241" i="30"/>
  <c r="U1190" i="30"/>
  <c r="U1242" i="30"/>
  <c r="U1137" i="30"/>
  <c r="U1138" i="30" s="1"/>
  <c r="M270" i="32" s="1"/>
  <c r="U1177" i="30"/>
  <c r="S274" i="32" s="1"/>
  <c r="G1194" i="30" a="1"/>
  <c r="O1196" i="30" s="1"/>
  <c r="U1188" i="30"/>
  <c r="U1189" i="30" s="1"/>
  <c r="M277" i="32" s="1"/>
  <c r="U1178" i="30"/>
  <c r="T274" i="32"/>
  <c r="U1157" i="30"/>
  <c r="U1158" i="30" s="1"/>
  <c r="R270" i="32" s="1"/>
  <c r="B4" i="27"/>
  <c r="P28" i="13"/>
  <c r="F29" i="13"/>
  <c r="M28" i="13" s="1"/>
  <c r="P166" i="13"/>
  <c r="AP166" i="13" s="1"/>
  <c r="AR166" i="13" s="1"/>
  <c r="AS166" i="13" s="1"/>
  <c r="AP165" i="13"/>
  <c r="AR165" i="13" s="1"/>
  <c r="AS165" i="13" s="1"/>
  <c r="E33" i="13"/>
  <c r="U1176" i="30"/>
  <c r="R274" i="32" s="1"/>
  <c r="U1173" i="30"/>
  <c r="O274" i="32" s="1"/>
  <c r="C24" i="27"/>
  <c r="C21" i="27"/>
  <c r="C19" i="27"/>
  <c r="C13" i="27"/>
  <c r="C15" i="27"/>
  <c r="C23" i="27"/>
  <c r="C26" i="27"/>
  <c r="C6" i="27"/>
  <c r="C22" i="27"/>
  <c r="C12" i="27"/>
  <c r="C5" i="27"/>
  <c r="C16" i="27"/>
  <c r="C14" i="27"/>
  <c r="C17" i="27"/>
  <c r="U1140" i="30"/>
  <c r="C9" i="27"/>
  <c r="Q5" i="27"/>
  <c r="H7" i="27"/>
  <c r="R5" i="27" s="1"/>
  <c r="U1174" i="30"/>
  <c r="P274" i="32" s="1"/>
  <c r="C7" i="27"/>
  <c r="U1171" i="30"/>
  <c r="M274" i="32" s="1"/>
  <c r="U1175" i="30"/>
  <c r="Q274" i="32" s="1"/>
  <c r="K3" i="27"/>
  <c r="H3" i="27"/>
  <c r="L3" i="27" s="1"/>
  <c r="C18" i="27"/>
  <c r="U1172" i="30"/>
  <c r="N274" i="32" s="1"/>
  <c r="U1139" i="30"/>
  <c r="C3" i="27"/>
  <c r="U2619" i="30" l="1"/>
  <c r="U2620" i="30" s="1"/>
  <c r="N473" i="32" s="1"/>
  <c r="U1192" i="30"/>
  <c r="U1193" i="30" s="1"/>
  <c r="N277" i="32" s="1"/>
  <c r="U1243" i="30"/>
  <c r="U1244" i="30" s="1"/>
  <c r="N284" i="32" s="1"/>
  <c r="H1196" i="30"/>
  <c r="Q1196" i="30"/>
  <c r="P1194" i="30"/>
  <c r="L1196" i="30"/>
  <c r="Q1194" i="30"/>
  <c r="N1194" i="30"/>
  <c r="T1196" i="30"/>
  <c r="O1194" i="30"/>
  <c r="M1194" i="30"/>
  <c r="P1195" i="30"/>
  <c r="L1197" i="30"/>
  <c r="I1194" i="30"/>
  <c r="H1195" i="30"/>
  <c r="J1196" i="30"/>
  <c r="L1194" i="30"/>
  <c r="G1197" i="30"/>
  <c r="H1197" i="30"/>
  <c r="G1194" i="30"/>
  <c r="I1196" i="30"/>
  <c r="P1196" i="30"/>
  <c r="M1197" i="30"/>
  <c r="K1194" i="30"/>
  <c r="S1195" i="30"/>
  <c r="N1196" i="30"/>
  <c r="T1195" i="30"/>
  <c r="J1194" i="30"/>
  <c r="O1197" i="30"/>
  <c r="O1195" i="30"/>
  <c r="P1197" i="30"/>
  <c r="N1197" i="30"/>
  <c r="M1196" i="30"/>
  <c r="T1194" i="30"/>
  <c r="L1195" i="30"/>
  <c r="S1194" i="30"/>
  <c r="K1196" i="30"/>
  <c r="J1197" i="30"/>
  <c r="R1196" i="30"/>
  <c r="R1197" i="30"/>
  <c r="N1195" i="30"/>
  <c r="T1197" i="30"/>
  <c r="S1197" i="30"/>
  <c r="Q1197" i="30"/>
  <c r="J1195" i="30"/>
  <c r="R1194" i="30"/>
  <c r="G1196" i="30"/>
  <c r="R1195" i="30"/>
  <c r="S1196" i="30"/>
  <c r="O276" i="32" s="1"/>
  <c r="M1195" i="30"/>
  <c r="U1195" i="30" s="1"/>
  <c r="I1195" i="30"/>
  <c r="H1194" i="30"/>
  <c r="G1195" i="30"/>
  <c r="Q1195" i="30"/>
  <c r="K1197" i="30"/>
  <c r="K1195" i="30"/>
  <c r="I1197" i="30"/>
  <c r="R28" i="13"/>
  <c r="S28" i="13" s="1"/>
  <c r="U1141" i="30"/>
  <c r="U1142" i="30" s="1"/>
  <c r="N270" i="32" s="1"/>
  <c r="C4" i="27"/>
  <c r="G4" i="27"/>
  <c r="B8" i="27"/>
  <c r="F33" i="13"/>
  <c r="F46" i="13" s="1"/>
  <c r="U1194" i="30" l="1"/>
  <c r="U1196" i="30" s="1"/>
  <c r="U1197" i="30" s="1"/>
  <c r="O277" i="32" s="1"/>
  <c r="C8" i="27"/>
  <c r="B10" i="27"/>
  <c r="G8" i="27"/>
  <c r="H8" i="27" s="1"/>
  <c r="H4" i="27"/>
  <c r="L4" i="27" s="1"/>
  <c r="K4" i="27"/>
  <c r="K5" i="27" s="1"/>
  <c r="L5" i="27" s="1"/>
  <c r="C10" i="27" l="1"/>
  <c r="BE920" i="13" l="1"/>
  <c r="BG920" i="13" s="1"/>
  <c r="BH920" i="13" s="1"/>
  <c r="BE924" i="13"/>
  <c r="BG924" i="13" s="1"/>
  <c r="BH924" i="13" s="1"/>
  <c r="BE914" i="13"/>
  <c r="AZ914" i="13"/>
  <c r="BE926" i="13"/>
  <c r="BG926" i="13" s="1"/>
  <c r="BH926" i="13" s="1"/>
  <c r="BE916" i="13"/>
  <c r="BG916" i="13" s="1"/>
  <c r="BH916" i="13" s="1"/>
  <c r="BE922" i="13"/>
  <c r="BG922" i="13" s="1"/>
  <c r="BH922" i="13" s="1"/>
  <c r="BE927" i="13"/>
  <c r="BG927" i="13" s="1"/>
  <c r="BH927" i="13" s="1"/>
  <c r="BE919" i="13"/>
  <c r="BG919" i="13" s="1"/>
  <c r="BH919" i="13" s="1"/>
  <c r="BE925" i="13"/>
  <c r="BG925" i="13" s="1"/>
  <c r="BH925" i="13" s="1"/>
  <c r="BE915" i="13"/>
  <c r="BG915" i="13" s="1"/>
  <c r="BH915" i="13" s="1"/>
  <c r="BE921" i="13"/>
  <c r="BG921" i="13" s="1"/>
  <c r="BH921" i="13" s="1"/>
  <c r="BE918" i="13"/>
  <c r="BG918" i="13" s="1"/>
  <c r="BH918" i="13" s="1"/>
  <c r="BE917" i="13"/>
  <c r="BG917" i="13" s="1"/>
  <c r="BH917" i="13" s="1"/>
  <c r="BE923" i="13"/>
  <c r="BG923" i="13" s="1"/>
  <c r="BH923" i="13" s="1"/>
  <c r="S928" i="13" l="1"/>
  <c r="BG914" i="13"/>
  <c r="BH914" i="13" s="1"/>
  <c r="G3041" i="30" s="1" a="1"/>
  <c r="BB914" i="13"/>
  <c r="BC914" i="13" s="1"/>
  <c r="G3041" i="30" l="1"/>
  <c r="U3041" i="30" s="1"/>
  <c r="R528" i="32"/>
  <c r="R529" i="32"/>
  <c r="U3042" i="30"/>
  <c r="U3043" i="30"/>
  <c r="S929" i="13"/>
  <c r="BE929" i="13" s="1"/>
  <c r="BG929" i="13" s="1"/>
  <c r="BH929" i="13" s="1"/>
  <c r="BE928" i="13"/>
  <c r="BG928" i="13" s="1"/>
  <c r="BH928" i="13" s="1"/>
  <c r="U3044" i="30" l="1"/>
  <c r="Z395" i="11"/>
  <c r="Z393" i="11" l="1"/>
  <c r="Z394" i="11"/>
  <c r="Z392" i="11" l="1"/>
  <c r="Z391" i="11" l="1"/>
  <c r="Z390" i="11" l="1"/>
  <c r="Z389" i="11"/>
  <c r="Z388" i="11" l="1"/>
  <c r="Z387" i="11" l="1"/>
  <c r="Z386" i="11" l="1"/>
  <c r="Z385" i="11" l="1"/>
  <c r="Z384" i="11" l="1"/>
  <c r="Z383" i="11" l="1"/>
  <c r="AK920" i="13" l="1"/>
  <c r="AM920" i="13" s="1"/>
  <c r="AN920" i="13" s="1"/>
  <c r="AK924" i="13"/>
  <c r="AM924" i="13" s="1"/>
  <c r="AN924" i="13" s="1"/>
  <c r="AF917" i="13"/>
  <c r="AH917" i="13" s="1"/>
  <c r="AI917" i="13" s="1"/>
  <c r="AP917" i="13"/>
  <c r="AR917" i="13" s="1"/>
  <c r="AS917" i="13" s="1"/>
  <c r="AF919" i="13"/>
  <c r="AH919" i="13" s="1"/>
  <c r="AI919" i="13" s="1"/>
  <c r="AP921" i="13"/>
  <c r="AR921" i="13" s="1"/>
  <c r="AS921" i="13" s="1"/>
  <c r="AF920" i="13"/>
  <c r="AH920" i="13" s="1"/>
  <c r="AI920" i="13" s="1"/>
  <c r="AU926" i="13"/>
  <c r="AW926" i="13" s="1"/>
  <c r="AX926" i="13" s="1"/>
  <c r="AP925" i="13"/>
  <c r="AR925" i="13" s="1"/>
  <c r="AS925" i="13" s="1"/>
  <c r="AF923" i="13"/>
  <c r="AH923" i="13" s="1"/>
  <c r="AI923" i="13" s="1"/>
  <c r="AU927" i="13"/>
  <c r="AW927" i="13" s="1"/>
  <c r="AX927" i="13" s="1"/>
  <c r="AK916" i="13"/>
  <c r="AM916" i="13" s="1"/>
  <c r="AN916" i="13" s="1"/>
  <c r="AF927" i="13"/>
  <c r="AH927" i="13" s="1"/>
  <c r="AI927" i="13" s="1"/>
  <c r="AP922" i="13" l="1"/>
  <c r="AR922" i="13" s="1"/>
  <c r="AS922" i="13" s="1"/>
  <c r="AK918" i="13"/>
  <c r="AM918" i="13" s="1"/>
  <c r="AN918" i="13" s="1"/>
  <c r="AP926" i="13"/>
  <c r="AR926" i="13" s="1"/>
  <c r="AS926" i="13" s="1"/>
  <c r="AF915" i="13"/>
  <c r="AH915" i="13" s="1"/>
  <c r="AI915" i="13" s="1"/>
  <c r="AK915" i="13"/>
  <c r="AM915" i="13" s="1"/>
  <c r="AN915" i="13" s="1"/>
  <c r="AU923" i="13"/>
  <c r="AW923" i="13" s="1"/>
  <c r="AX923" i="13" s="1"/>
  <c r="AF924" i="13"/>
  <c r="AH924" i="13" s="1"/>
  <c r="AI924" i="13" s="1"/>
  <c r="AF916" i="13"/>
  <c r="AH916" i="13" s="1"/>
  <c r="AI916" i="13" s="1"/>
  <c r="AU917" i="13"/>
  <c r="AW917" i="13" s="1"/>
  <c r="AX917" i="13" s="1"/>
  <c r="AU922" i="13"/>
  <c r="AW922" i="13" s="1"/>
  <c r="AX922" i="13" s="1"/>
  <c r="AK925" i="13"/>
  <c r="AM925" i="13" s="1"/>
  <c r="AN925" i="13" s="1"/>
  <c r="AP924" i="13"/>
  <c r="AR924" i="13" s="1"/>
  <c r="AS924" i="13" s="1"/>
  <c r="AF925" i="13"/>
  <c r="AH925" i="13" s="1"/>
  <c r="AI925" i="13" s="1"/>
  <c r="AP923" i="13"/>
  <c r="AR923" i="13" s="1"/>
  <c r="AS923" i="13" s="1"/>
  <c r="AF918" i="13"/>
  <c r="AH918" i="13" s="1"/>
  <c r="AI918" i="13" s="1"/>
  <c r="AU918" i="13"/>
  <c r="AW918" i="13" s="1"/>
  <c r="AX918" i="13" s="1"/>
  <c r="AK921" i="13"/>
  <c r="AM921" i="13" s="1"/>
  <c r="AN921" i="13" s="1"/>
  <c r="AP920" i="13"/>
  <c r="AR920" i="13" s="1"/>
  <c r="AS920" i="13" s="1"/>
  <c r="AU924" i="13"/>
  <c r="AW924" i="13" s="1"/>
  <c r="AX924" i="13" s="1"/>
  <c r="AP919" i="13"/>
  <c r="AR919" i="13" s="1"/>
  <c r="AS919" i="13" s="1"/>
  <c r="AF914" i="13"/>
  <c r="AU925" i="13"/>
  <c r="AW925" i="13" s="1"/>
  <c r="AX925" i="13" s="1"/>
  <c r="AF921" i="13"/>
  <c r="AH921" i="13" s="1"/>
  <c r="AI921" i="13" s="1"/>
  <c r="AU920" i="13"/>
  <c r="AW920" i="13" s="1"/>
  <c r="AX920" i="13" s="1"/>
  <c r="AK917" i="13"/>
  <c r="AM917" i="13" s="1"/>
  <c r="AN917" i="13" s="1"/>
  <c r="AP916" i="13"/>
  <c r="AR916" i="13" s="1"/>
  <c r="AS916" i="13" s="1"/>
  <c r="AF926" i="13"/>
  <c r="AH926" i="13" s="1"/>
  <c r="AI926" i="13" s="1"/>
  <c r="AP915" i="13"/>
  <c r="AR915" i="13" s="1"/>
  <c r="AS915" i="13" s="1"/>
  <c r="AU921" i="13"/>
  <c r="AW921" i="13" s="1"/>
  <c r="AX921" i="13" s="1"/>
  <c r="AU916" i="13"/>
  <c r="AW916" i="13" s="1"/>
  <c r="AX916" i="13" s="1"/>
  <c r="AU919" i="13"/>
  <c r="AW919" i="13" s="1"/>
  <c r="AX919" i="13" s="1"/>
  <c r="AK926" i="13"/>
  <c r="AM926" i="13" s="1"/>
  <c r="AN926" i="13" s="1"/>
  <c r="AP927" i="13"/>
  <c r="AR927" i="13" s="1"/>
  <c r="AS927" i="13" s="1"/>
  <c r="AU914" i="13"/>
  <c r="AP918" i="13"/>
  <c r="AR918" i="13" s="1"/>
  <c r="AS918" i="13" s="1"/>
  <c r="AK923" i="13"/>
  <c r="AM923" i="13" s="1"/>
  <c r="AN923" i="13" s="1"/>
  <c r="AF922" i="13"/>
  <c r="AH922" i="13" s="1"/>
  <c r="AI922" i="13" s="1"/>
  <c r="AK919" i="13"/>
  <c r="AM919" i="13" s="1"/>
  <c r="AN919" i="13" s="1"/>
  <c r="AU915" i="13"/>
  <c r="AW915" i="13" s="1"/>
  <c r="AX915" i="13" s="1"/>
  <c r="AK922" i="13"/>
  <c r="AM922" i="13" s="1"/>
  <c r="AN922" i="13" s="1"/>
  <c r="AK927" i="13"/>
  <c r="AM927" i="13" s="1"/>
  <c r="AN927" i="13" s="1"/>
  <c r="AZ921" i="13" l="1"/>
  <c r="BB921" i="13" s="1"/>
  <c r="BC921" i="13" s="1"/>
  <c r="AK914" i="13"/>
  <c r="O928" i="13"/>
  <c r="AZ924" i="13"/>
  <c r="BB924" i="13" s="1"/>
  <c r="BC924" i="13" s="1"/>
  <c r="AP914" i="13"/>
  <c r="P928" i="13"/>
  <c r="AZ918" i="13"/>
  <c r="BB918" i="13" s="1"/>
  <c r="BC918" i="13" s="1"/>
  <c r="AZ917" i="13"/>
  <c r="BB917" i="13" s="1"/>
  <c r="BC917" i="13" s="1"/>
  <c r="AZ922" i="13"/>
  <c r="BB922" i="13" s="1"/>
  <c r="BC922" i="13" s="1"/>
  <c r="AZ927" i="13"/>
  <c r="BB927" i="13" s="1"/>
  <c r="BC927" i="13" s="1"/>
  <c r="N928" i="13"/>
  <c r="AH914" i="13"/>
  <c r="AI914" i="13" s="1"/>
  <c r="G3021" i="30" a="1"/>
  <c r="AZ926" i="13"/>
  <c r="BB926" i="13" s="1"/>
  <c r="BC926" i="13" s="1"/>
  <c r="AZ919" i="13"/>
  <c r="BB919" i="13" s="1"/>
  <c r="BC919" i="13" s="1"/>
  <c r="Q928" i="13"/>
  <c r="AZ920" i="13"/>
  <c r="BB920" i="13" s="1"/>
  <c r="BC920" i="13" s="1"/>
  <c r="AZ916" i="13"/>
  <c r="BB916" i="13" s="1"/>
  <c r="BC916" i="13" s="1"/>
  <c r="AZ923" i="13"/>
  <c r="BB923" i="13" s="1"/>
  <c r="BC923" i="13" s="1"/>
  <c r="AZ925" i="13"/>
  <c r="BB925" i="13" s="1"/>
  <c r="BC925" i="13" s="1"/>
  <c r="AW914" i="13"/>
  <c r="AX914" i="13" s="1"/>
  <c r="G3033" i="30" l="1" a="1"/>
  <c r="L3033" i="30" s="1"/>
  <c r="P929" i="13"/>
  <c r="AP929" i="13" s="1"/>
  <c r="AR929" i="13" s="1"/>
  <c r="AS929" i="13" s="1"/>
  <c r="AP928" i="13"/>
  <c r="AR928" i="13" s="1"/>
  <c r="AS928" i="13" s="1"/>
  <c r="AR914" i="13"/>
  <c r="AS914" i="13" s="1"/>
  <c r="AZ915" i="13"/>
  <c r="R928" i="13"/>
  <c r="AF928" i="13"/>
  <c r="AH928" i="13" s="1"/>
  <c r="AI928" i="13" s="1"/>
  <c r="N929" i="13"/>
  <c r="AF929" i="13" s="1"/>
  <c r="AH929" i="13" s="1"/>
  <c r="AI929" i="13" s="1"/>
  <c r="G3006" i="30" a="1"/>
  <c r="O929" i="13"/>
  <c r="AK929" i="13" s="1"/>
  <c r="AM929" i="13" s="1"/>
  <c r="AN929" i="13" s="1"/>
  <c r="AK928" i="13"/>
  <c r="AM928" i="13" s="1"/>
  <c r="AN928" i="13" s="1"/>
  <c r="AM914" i="13"/>
  <c r="AN914" i="13" s="1"/>
  <c r="Q929" i="13"/>
  <c r="AU929" i="13" s="1"/>
  <c r="AW929" i="13" s="1"/>
  <c r="AX929" i="13" s="1"/>
  <c r="AU928" i="13"/>
  <c r="AW928" i="13" s="1"/>
  <c r="AX928" i="13" s="1"/>
  <c r="Q3021" i="30"/>
  <c r="K3024" i="30"/>
  <c r="P3023" i="30"/>
  <c r="M3024" i="30"/>
  <c r="G3023" i="30"/>
  <c r="I3023" i="30"/>
  <c r="M3023" i="30"/>
  <c r="G3024" i="30"/>
  <c r="M529" i="32" s="1"/>
  <c r="P3022" i="30"/>
  <c r="O3024" i="30"/>
  <c r="T3021" i="30"/>
  <c r="R3024" i="30"/>
  <c r="N3021" i="30"/>
  <c r="R3021" i="30"/>
  <c r="L3022" i="30"/>
  <c r="K3022" i="30"/>
  <c r="R3022" i="30"/>
  <c r="M3021" i="30"/>
  <c r="S3022" i="30"/>
  <c r="R3023" i="30"/>
  <c r="H3024" i="30"/>
  <c r="P3024" i="30"/>
  <c r="T3022" i="30"/>
  <c r="M3022" i="30"/>
  <c r="Q3023" i="30"/>
  <c r="J3021" i="30"/>
  <c r="I3022" i="30"/>
  <c r="Q3022" i="30"/>
  <c r="P3021" i="30"/>
  <c r="O3021" i="30"/>
  <c r="J3024" i="30"/>
  <c r="H3022" i="30"/>
  <c r="N3023" i="30"/>
  <c r="N3024" i="30"/>
  <c r="Q3024" i="30"/>
  <c r="T3024" i="30"/>
  <c r="K3021" i="30"/>
  <c r="S3023" i="30"/>
  <c r="M528" i="32" s="1"/>
  <c r="O3022" i="30"/>
  <c r="L3024" i="30"/>
  <c r="K3023" i="30"/>
  <c r="I3024" i="30"/>
  <c r="H3021" i="30"/>
  <c r="H3023" i="30"/>
  <c r="J3022" i="30"/>
  <c r="S3024" i="30"/>
  <c r="G3021" i="30"/>
  <c r="T3023" i="30"/>
  <c r="L3021" i="30"/>
  <c r="N3022" i="30"/>
  <c r="G3022" i="30"/>
  <c r="S3021" i="30"/>
  <c r="J3023" i="30"/>
  <c r="L3023" i="30"/>
  <c r="O3023" i="30"/>
  <c r="I3021" i="30"/>
  <c r="Q3035" i="30" l="1"/>
  <c r="R3035" i="30"/>
  <c r="T3036" i="30"/>
  <c r="Q3034" i="30"/>
  <c r="M3036" i="30"/>
  <c r="I3034" i="30"/>
  <c r="K3036" i="30"/>
  <c r="I3035" i="30"/>
  <c r="N3033" i="30"/>
  <c r="R3036" i="30"/>
  <c r="T3033" i="30"/>
  <c r="J3035" i="30"/>
  <c r="G3033" i="30"/>
  <c r="O3033" i="30"/>
  <c r="K3033" i="30"/>
  <c r="M3035" i="30"/>
  <c r="J3034" i="30"/>
  <c r="N3035" i="30"/>
  <c r="L3035" i="30"/>
  <c r="P3036" i="30"/>
  <c r="H3036" i="30"/>
  <c r="M3034" i="30"/>
  <c r="O3036" i="30"/>
  <c r="O3034" i="30"/>
  <c r="S3033" i="30"/>
  <c r="S3036" i="30"/>
  <c r="M3033" i="30"/>
  <c r="H3035" i="30"/>
  <c r="I3036" i="30"/>
  <c r="I3033" i="30"/>
  <c r="H3034" i="30"/>
  <c r="S3034" i="30"/>
  <c r="N3036" i="30"/>
  <c r="T3034" i="30"/>
  <c r="J3033" i="30"/>
  <c r="N3034" i="30"/>
  <c r="L3034" i="30"/>
  <c r="J3036" i="30"/>
  <c r="S3035" i="30"/>
  <c r="O3035" i="30"/>
  <c r="K3035" i="30"/>
  <c r="H3033" i="30"/>
  <c r="P3035" i="30"/>
  <c r="G3036" i="30"/>
  <c r="K3034" i="30"/>
  <c r="G3035" i="30"/>
  <c r="L3036" i="30"/>
  <c r="G3034" i="30"/>
  <c r="R3033" i="30"/>
  <c r="P3033" i="30"/>
  <c r="P3034" i="30"/>
  <c r="R3034" i="30"/>
  <c r="Q3033" i="30"/>
  <c r="Q3036" i="30"/>
  <c r="T3035" i="30"/>
  <c r="G3025" i="30" a="1"/>
  <c r="U3023" i="30"/>
  <c r="P528" i="32"/>
  <c r="U3022" i="30"/>
  <c r="I3013" i="30"/>
  <c r="G3008" i="30"/>
  <c r="O3007" i="30"/>
  <c r="Q3006" i="30"/>
  <c r="H3008" i="30"/>
  <c r="T3013" i="30"/>
  <c r="I3007" i="30"/>
  <c r="O3011" i="30"/>
  <c r="S3006" i="30"/>
  <c r="Q3011" i="30"/>
  <c r="K3006" i="30"/>
  <c r="N3009" i="30"/>
  <c r="I3008" i="30"/>
  <c r="N3007" i="30"/>
  <c r="S3012" i="30"/>
  <c r="R3011" i="30"/>
  <c r="R3010" i="30"/>
  <c r="L3010" i="30"/>
  <c r="O3008" i="30"/>
  <c r="P3012" i="30"/>
  <c r="J3008" i="30"/>
  <c r="G3010" i="30"/>
  <c r="P3006" i="30"/>
  <c r="J3006" i="30"/>
  <c r="J3013" i="30"/>
  <c r="O3009" i="30"/>
  <c r="K3012" i="30"/>
  <c r="M3012" i="30"/>
  <c r="O3006" i="30"/>
  <c r="P3010" i="30"/>
  <c r="T3007" i="30"/>
  <c r="K3010" i="30"/>
  <c r="K3008" i="30"/>
  <c r="M3009" i="30"/>
  <c r="L3009" i="30"/>
  <c r="M3010" i="30"/>
  <c r="G3013" i="30"/>
  <c r="J3010" i="30"/>
  <c r="Q3008" i="30"/>
  <c r="J3007" i="30"/>
  <c r="R3012" i="30"/>
  <c r="P3013" i="30"/>
  <c r="M3008" i="30"/>
  <c r="T3011" i="30"/>
  <c r="T3012" i="30"/>
  <c r="I3009" i="30"/>
  <c r="S3008" i="30"/>
  <c r="N3012" i="30"/>
  <c r="P3009" i="30"/>
  <c r="N3010" i="30"/>
  <c r="J3012" i="30"/>
  <c r="K3011" i="30"/>
  <c r="J3009" i="30"/>
  <c r="N3011" i="30"/>
  <c r="G3006" i="30"/>
  <c r="H3009" i="30"/>
  <c r="S3013" i="30"/>
  <c r="O3010" i="30"/>
  <c r="I3010" i="30"/>
  <c r="T3008" i="30"/>
  <c r="K3013" i="30"/>
  <c r="H3012" i="30"/>
  <c r="H3013" i="30"/>
  <c r="G3009" i="30"/>
  <c r="H3007" i="30"/>
  <c r="Q3009" i="30"/>
  <c r="K3009" i="30"/>
  <c r="H3006" i="30"/>
  <c r="G3011" i="30"/>
  <c r="O3013" i="30"/>
  <c r="I3012" i="30"/>
  <c r="T3010" i="30"/>
  <c r="R3006" i="30"/>
  <c r="L3011" i="30"/>
  <c r="S3007" i="30"/>
  <c r="R3008" i="30"/>
  <c r="P3007" i="30"/>
  <c r="G3007" i="30"/>
  <c r="G3012" i="30"/>
  <c r="S3011" i="30"/>
  <c r="M3013" i="30"/>
  <c r="R3007" i="30"/>
  <c r="L3007" i="30"/>
  <c r="T3009" i="30"/>
  <c r="R3013" i="30"/>
  <c r="N3008" i="30"/>
  <c r="R3009" i="30"/>
  <c r="L3008" i="30"/>
  <c r="O3012" i="30"/>
  <c r="S3009" i="30"/>
  <c r="J3011" i="30"/>
  <c r="H3010" i="30"/>
  <c r="H3011" i="30"/>
  <c r="P3011" i="30"/>
  <c r="I3011" i="30"/>
  <c r="Q3012" i="30"/>
  <c r="Q3013" i="30"/>
  <c r="I3006" i="30"/>
  <c r="M3006" i="30"/>
  <c r="Q3007" i="30"/>
  <c r="K3007" i="30"/>
  <c r="M3007" i="30"/>
  <c r="M3011" i="30"/>
  <c r="Q3010" i="30"/>
  <c r="T3006" i="30"/>
  <c r="N3013" i="30"/>
  <c r="N3006" i="30"/>
  <c r="S3010" i="30"/>
  <c r="P3008" i="30"/>
  <c r="L3013" i="30"/>
  <c r="L3012" i="30"/>
  <c r="L3006" i="30"/>
  <c r="E47" i="13"/>
  <c r="R929" i="13"/>
  <c r="AZ929" i="13" s="1"/>
  <c r="BB929" i="13" s="1"/>
  <c r="BC929" i="13" s="1"/>
  <c r="AZ928" i="13"/>
  <c r="BB928" i="13" s="1"/>
  <c r="BC928" i="13" s="1"/>
  <c r="BB915" i="13"/>
  <c r="BC915" i="13" s="1"/>
  <c r="U3021" i="30"/>
  <c r="G3029" i="30" a="1"/>
  <c r="U3034" i="30" l="1"/>
  <c r="U3035" i="30"/>
  <c r="U3033" i="30"/>
  <c r="G3037" i="30" a="1"/>
  <c r="U3012" i="30"/>
  <c r="S526" i="32" s="1"/>
  <c r="U3006" i="30"/>
  <c r="M526" i="32" s="1"/>
  <c r="U3007" i="30"/>
  <c r="N526" i="32" s="1"/>
  <c r="U3010" i="30"/>
  <c r="Q526" i="32" s="1"/>
  <c r="U3011" i="30"/>
  <c r="R526" i="32" s="1"/>
  <c r="U3013" i="30"/>
  <c r="T526" i="32" s="1"/>
  <c r="U3008" i="30"/>
  <c r="O526" i="32" s="1"/>
  <c r="K3032" i="30"/>
  <c r="G3029" i="30"/>
  <c r="O3031" i="30"/>
  <c r="H3029" i="30"/>
  <c r="R3031" i="30"/>
  <c r="I3030" i="30"/>
  <c r="G3032" i="30"/>
  <c r="K3030" i="30"/>
  <c r="H3030" i="30"/>
  <c r="I3031" i="30"/>
  <c r="P3030" i="30"/>
  <c r="J3032" i="30"/>
  <c r="J3030" i="30"/>
  <c r="L3031" i="30"/>
  <c r="S3029" i="30"/>
  <c r="M3032" i="30"/>
  <c r="L3030" i="30"/>
  <c r="O3030" i="30"/>
  <c r="O3032" i="30"/>
  <c r="H3032" i="30"/>
  <c r="G3031" i="30"/>
  <c r="S3032" i="30"/>
  <c r="N3032" i="30"/>
  <c r="O3029" i="30"/>
  <c r="R3030" i="30"/>
  <c r="H3031" i="30"/>
  <c r="P3032" i="30"/>
  <c r="T3032" i="30"/>
  <c r="P3029" i="30"/>
  <c r="K3031" i="30"/>
  <c r="S3030" i="30"/>
  <c r="S3031" i="30"/>
  <c r="I3029" i="30"/>
  <c r="M3029" i="30"/>
  <c r="N3031" i="30"/>
  <c r="J3031" i="30"/>
  <c r="L3032" i="30"/>
  <c r="Q3030" i="30"/>
  <c r="T3031" i="30"/>
  <c r="T3029" i="30"/>
  <c r="J3029" i="30"/>
  <c r="N3030" i="30"/>
  <c r="M3031" i="30"/>
  <c r="Q3031" i="30"/>
  <c r="L3029" i="30"/>
  <c r="R3032" i="30"/>
  <c r="R3029" i="30"/>
  <c r="P3031" i="30"/>
  <c r="M3030" i="30"/>
  <c r="G3030" i="30"/>
  <c r="T3030" i="30"/>
  <c r="K3029" i="30"/>
  <c r="Q3032" i="30"/>
  <c r="N3029" i="30"/>
  <c r="I3032" i="30"/>
  <c r="Q3029" i="30"/>
  <c r="P43" i="13"/>
  <c r="E49" i="13"/>
  <c r="U3024" i="30"/>
  <c r="U3009" i="30"/>
  <c r="P526" i="32" s="1"/>
  <c r="J3025" i="30"/>
  <c r="N3025" i="30"/>
  <c r="R3026" i="30"/>
  <c r="L3028" i="30"/>
  <c r="L3027" i="30"/>
  <c r="K3026" i="30"/>
  <c r="T3026" i="30"/>
  <c r="T3028" i="30"/>
  <c r="N3027" i="30"/>
  <c r="R3027" i="30"/>
  <c r="M3025" i="30"/>
  <c r="G3025" i="30"/>
  <c r="G3026" i="30"/>
  <c r="O3028" i="30"/>
  <c r="S3025" i="30"/>
  <c r="G3027" i="30"/>
  <c r="Q3027" i="30"/>
  <c r="R3025" i="30"/>
  <c r="S3027" i="30"/>
  <c r="K3028" i="30"/>
  <c r="P3026" i="30"/>
  <c r="O3026" i="30"/>
  <c r="J3026" i="30"/>
  <c r="I3028" i="30"/>
  <c r="Q3025" i="30"/>
  <c r="O3025" i="30"/>
  <c r="T3027" i="30"/>
  <c r="N3028" i="30"/>
  <c r="I3025" i="30"/>
  <c r="M3028" i="30"/>
  <c r="G3028" i="30"/>
  <c r="J3027" i="30"/>
  <c r="L3025" i="30"/>
  <c r="I3027" i="30"/>
  <c r="M3027" i="30"/>
  <c r="O3027" i="30"/>
  <c r="H3026" i="30"/>
  <c r="H3025" i="30"/>
  <c r="P3027" i="30"/>
  <c r="S3028" i="30"/>
  <c r="I3026" i="30"/>
  <c r="K3027" i="30"/>
  <c r="H3028" i="30"/>
  <c r="Q3028" i="30"/>
  <c r="T3025" i="30"/>
  <c r="L3026" i="30"/>
  <c r="Q3026" i="30"/>
  <c r="K3025" i="30"/>
  <c r="M3026" i="30"/>
  <c r="R3028" i="30"/>
  <c r="H3027" i="30"/>
  <c r="J3028" i="30"/>
  <c r="P3028" i="30"/>
  <c r="P3025" i="30"/>
  <c r="N3026" i="30"/>
  <c r="S3026" i="30"/>
  <c r="U3036" i="30" l="1"/>
  <c r="P529" i="32" s="1"/>
  <c r="N528" i="32"/>
  <c r="U3025" i="30"/>
  <c r="O528" i="32"/>
  <c r="U3027" i="30"/>
  <c r="U3026" i="30"/>
  <c r="R43" i="13"/>
  <c r="S43" i="13" s="1"/>
  <c r="P45" i="13"/>
  <c r="M43" i="13" s="1"/>
  <c r="U3031" i="30"/>
  <c r="U3030" i="30"/>
  <c r="U3029" i="30"/>
  <c r="Q3038" i="30"/>
  <c r="L3040" i="30"/>
  <c r="R3037" i="30"/>
  <c r="I3038" i="30"/>
  <c r="L3039" i="30"/>
  <c r="Q3037" i="30"/>
  <c r="N3039" i="30"/>
  <c r="M3037" i="30"/>
  <c r="S3037" i="30"/>
  <c r="S3038" i="30"/>
  <c r="R3039" i="30"/>
  <c r="M3038" i="30"/>
  <c r="N3037" i="30"/>
  <c r="L3038" i="30"/>
  <c r="G3039" i="30"/>
  <c r="R3040" i="30"/>
  <c r="G3038" i="30"/>
  <c r="I3040" i="30"/>
  <c r="G3037" i="30"/>
  <c r="O3038" i="30"/>
  <c r="S3040" i="30"/>
  <c r="O3040" i="30"/>
  <c r="P3037" i="30"/>
  <c r="Q3039" i="30"/>
  <c r="M3039" i="30"/>
  <c r="J3040" i="30"/>
  <c r="T3039" i="30"/>
  <c r="N3038" i="30"/>
  <c r="I3039" i="30"/>
  <c r="G3040" i="30"/>
  <c r="Q529" i="32" s="1"/>
  <c r="H3040" i="30"/>
  <c r="P3040" i="30"/>
  <c r="K3040" i="30"/>
  <c r="N3040" i="30"/>
  <c r="T3040" i="30"/>
  <c r="K3038" i="30"/>
  <c r="H3037" i="30"/>
  <c r="J3038" i="30"/>
  <c r="K3039" i="30"/>
  <c r="H3039" i="30"/>
  <c r="T3037" i="30"/>
  <c r="J3039" i="30"/>
  <c r="R3038" i="30"/>
  <c r="S3039" i="30"/>
  <c r="Q528" i="32" s="1"/>
  <c r="I3037" i="30"/>
  <c r="O3037" i="30"/>
  <c r="P3039" i="30"/>
  <c r="J3037" i="30"/>
  <c r="P3038" i="30"/>
  <c r="Q3040" i="30"/>
  <c r="K3037" i="30"/>
  <c r="M3040" i="30"/>
  <c r="L3037" i="30"/>
  <c r="O3039" i="30"/>
  <c r="T3038" i="30"/>
  <c r="H3038" i="30"/>
  <c r="U3032" i="30" l="1"/>
  <c r="O529" i="32" s="1"/>
  <c r="U3028" i="30"/>
  <c r="N529" i="32" s="1"/>
  <c r="U3039" i="30"/>
  <c r="U3037" i="30"/>
  <c r="U3038" i="30"/>
  <c r="U3040" i="30" l="1"/>
  <c r="Z382" i="11" l="1"/>
  <c r="G387" i="30" s="1" a="1"/>
  <c r="Y396" i="11"/>
  <c r="Z396" i="11" s="1"/>
  <c r="G387" i="30" l="1"/>
  <c r="U388" i="30"/>
  <c r="I73" i="32"/>
  <c r="I75" i="32"/>
  <c r="I72" i="32" l="1"/>
  <c r="U387" i="30"/>
  <c r="I74" i="32"/>
  <c r="AQ878" i="13" l="1"/>
  <c r="AR878" i="13" s="1"/>
  <c r="AS878" i="13" s="1"/>
  <c r="Y898" i="13"/>
  <c r="AQ898" i="13" s="1"/>
  <c r="AR898" i="13" s="1"/>
  <c r="AS898" i="13" s="1"/>
  <c r="BF878" i="13"/>
  <c r="BG878" i="13" s="1"/>
  <c r="BH878" i="13" s="1"/>
  <c r="AB898" i="13"/>
  <c r="BF898" i="13" s="1"/>
  <c r="BG898" i="13" s="1"/>
  <c r="BH898" i="13" s="1"/>
  <c r="Z898" i="13"/>
  <c r="AV898" i="13" s="1"/>
  <c r="AW898" i="13" s="1"/>
  <c r="AX898" i="13" s="1"/>
  <c r="AV878" i="13"/>
  <c r="AW878" i="13" s="1"/>
  <c r="AX878" i="13" s="1"/>
  <c r="BA878" i="13"/>
  <c r="BB878" i="13" s="1"/>
  <c r="BC878" i="13" s="1"/>
  <c r="AA898" i="13"/>
  <c r="BA898" i="13" s="1"/>
  <c r="BB898" i="13" s="1"/>
  <c r="BC898" i="13" s="1"/>
  <c r="BK878" i="13"/>
  <c r="BL878" i="13" s="1"/>
  <c r="BM878" i="13" s="1"/>
  <c r="AC898" i="13"/>
  <c r="BK898" i="13" s="1"/>
  <c r="BL898" i="13" s="1"/>
  <c r="BM898" i="13" s="1"/>
  <c r="W898" i="13"/>
  <c r="AG898" i="13" s="1"/>
  <c r="AH898" i="13" s="1"/>
  <c r="AI898" i="13" s="1"/>
  <c r="AG878" i="13"/>
  <c r="AH878" i="13" s="1"/>
  <c r="AI878" i="13" s="1"/>
  <c r="X898" i="13"/>
  <c r="AL898" i="13" s="1"/>
  <c r="AM898" i="13" s="1"/>
  <c r="AN898" i="13" s="1"/>
  <c r="AL878" i="13"/>
  <c r="AM878" i="13" s="1"/>
  <c r="AN878" i="13" s="1"/>
  <c r="F121" i="13" l="1"/>
  <c r="J121" i="13" l="1"/>
  <c r="V110" i="13" l="1"/>
  <c r="AG876" i="13" l="1"/>
  <c r="AH876" i="13" s="1"/>
  <c r="AI876" i="13" s="1"/>
  <c r="W896" i="13"/>
  <c r="AG896" i="13" s="1"/>
  <c r="AH896" i="13" s="1"/>
  <c r="AI896" i="13" s="1"/>
  <c r="AG877" i="13"/>
  <c r="AH877" i="13" s="1"/>
  <c r="AI877" i="13" s="1"/>
  <c r="W897" i="13"/>
  <c r="AG897" i="13" s="1"/>
  <c r="AH897" i="13" s="1"/>
  <c r="AI897" i="13" s="1"/>
  <c r="W907" i="13"/>
  <c r="AG907" i="13" s="1"/>
  <c r="AH907" i="13" s="1"/>
  <c r="AI907" i="13" s="1"/>
  <c r="AG887" i="13"/>
  <c r="AH887" i="13" s="1"/>
  <c r="AI887" i="13" s="1"/>
  <c r="AG886" i="13"/>
  <c r="AH886" i="13" s="1"/>
  <c r="AI886" i="13" s="1"/>
  <c r="W906" i="13"/>
  <c r="AG906" i="13" s="1"/>
  <c r="AH906" i="13" s="1"/>
  <c r="AI906" i="13" s="1"/>
  <c r="AL874" i="13"/>
  <c r="X894" i="13"/>
  <c r="AG880" i="13"/>
  <c r="AH880" i="13" s="1"/>
  <c r="AI880" i="13" s="1"/>
  <c r="W900" i="13"/>
  <c r="AG900" i="13" s="1"/>
  <c r="AH900" i="13" s="1"/>
  <c r="AI900" i="13" s="1"/>
  <c r="X895" i="13"/>
  <c r="AL895" i="13" s="1"/>
  <c r="AM895" i="13" s="1"/>
  <c r="AN895" i="13" s="1"/>
  <c r="AL875" i="13"/>
  <c r="AM875" i="13" s="1"/>
  <c r="AN875" i="13" s="1"/>
  <c r="AG881" i="13"/>
  <c r="AH881" i="13" s="1"/>
  <c r="AI881" i="13" s="1"/>
  <c r="W901" i="13"/>
  <c r="AG901" i="13" s="1"/>
  <c r="AH901" i="13" s="1"/>
  <c r="AI901" i="13" s="1"/>
  <c r="X896" i="13"/>
  <c r="AL896" i="13" s="1"/>
  <c r="AM896" i="13" s="1"/>
  <c r="AN896" i="13" s="1"/>
  <c r="AL876" i="13"/>
  <c r="AM876" i="13" s="1"/>
  <c r="AN876" i="13" s="1"/>
  <c r="W895" i="13"/>
  <c r="AG895" i="13" s="1"/>
  <c r="AH895" i="13" s="1"/>
  <c r="AI895" i="13" s="1"/>
  <c r="AG875" i="13"/>
  <c r="AH875" i="13" s="1"/>
  <c r="AI875" i="13" s="1"/>
  <c r="W902" i="13"/>
  <c r="AG902" i="13" s="1"/>
  <c r="AH902" i="13" s="1"/>
  <c r="AI902" i="13" s="1"/>
  <c r="AG882" i="13"/>
  <c r="AH882" i="13" s="1"/>
  <c r="AI882" i="13" s="1"/>
  <c r="X897" i="13"/>
  <c r="AL897" i="13" s="1"/>
  <c r="AM897" i="13" s="1"/>
  <c r="AN897" i="13" s="1"/>
  <c r="AL877" i="13"/>
  <c r="AM877" i="13" s="1"/>
  <c r="AN877" i="13" s="1"/>
  <c r="W905" i="13"/>
  <c r="AG905" i="13" s="1"/>
  <c r="AH905" i="13" s="1"/>
  <c r="AI905" i="13" s="1"/>
  <c r="AG885" i="13"/>
  <c r="AH885" i="13" s="1"/>
  <c r="AI885" i="13" s="1"/>
  <c r="AG874" i="13"/>
  <c r="W894" i="13"/>
  <c r="W903" i="13"/>
  <c r="AG903" i="13" s="1"/>
  <c r="AH903" i="13" s="1"/>
  <c r="AI903" i="13" s="1"/>
  <c r="AG883" i="13"/>
  <c r="AH883" i="13" s="1"/>
  <c r="AI883" i="13" s="1"/>
  <c r="AG894" i="13" l="1"/>
  <c r="AH894" i="13" s="1"/>
  <c r="AI894" i="13" s="1"/>
  <c r="AH874" i="13"/>
  <c r="AI874" i="13" s="1"/>
  <c r="AL894" i="13"/>
  <c r="AM894" i="13" s="1"/>
  <c r="AN894" i="13" s="1"/>
  <c r="AM874" i="13"/>
  <c r="AN874" i="13" s="1"/>
  <c r="Y888" i="13" l="1"/>
  <c r="AQ874" i="13"/>
  <c r="Y894" i="13"/>
  <c r="Z888" i="13"/>
  <c r="AV874" i="13"/>
  <c r="Z894" i="13"/>
  <c r="AA888" i="13"/>
  <c r="BA874" i="13"/>
  <c r="AA894" i="13"/>
  <c r="Y895" i="13"/>
  <c r="AQ895" i="13" s="1"/>
  <c r="AR895" i="13" s="1"/>
  <c r="AS895" i="13" s="1"/>
  <c r="AQ875" i="13"/>
  <c r="AR875" i="13" s="1"/>
  <c r="AS875" i="13" s="1"/>
  <c r="AV875" i="13"/>
  <c r="AW875" i="13" s="1"/>
  <c r="AX875" i="13" s="1"/>
  <c r="Z895" i="13"/>
  <c r="AV895" i="13" s="1"/>
  <c r="AW895" i="13" s="1"/>
  <c r="AX895" i="13" s="1"/>
  <c r="BA875" i="13"/>
  <c r="BB875" i="13" s="1"/>
  <c r="BC875" i="13" s="1"/>
  <c r="AA895" i="13"/>
  <c r="BA895" i="13" s="1"/>
  <c r="BB895" i="13" s="1"/>
  <c r="BC895" i="13" s="1"/>
  <c r="Y896" i="13"/>
  <c r="AQ896" i="13" s="1"/>
  <c r="AR896" i="13" s="1"/>
  <c r="AS896" i="13" s="1"/>
  <c r="AQ876" i="13"/>
  <c r="AR876" i="13" s="1"/>
  <c r="AS876" i="13" s="1"/>
  <c r="Z896" i="13"/>
  <c r="AV896" i="13" s="1"/>
  <c r="AW896" i="13" s="1"/>
  <c r="AX896" i="13" s="1"/>
  <c r="AV876" i="13"/>
  <c r="AW876" i="13" s="1"/>
  <c r="AX876" i="13" s="1"/>
  <c r="BA876" i="13"/>
  <c r="BB876" i="13" s="1"/>
  <c r="BC876" i="13" s="1"/>
  <c r="AA896" i="13"/>
  <c r="BA896" i="13" s="1"/>
  <c r="BB896" i="13" s="1"/>
  <c r="BC896" i="13" s="1"/>
  <c r="Y897" i="13"/>
  <c r="AQ897" i="13" s="1"/>
  <c r="AR897" i="13" s="1"/>
  <c r="AS897" i="13" s="1"/>
  <c r="AQ877" i="13"/>
  <c r="AR877" i="13" s="1"/>
  <c r="AS877" i="13" s="1"/>
  <c r="AV877" i="13"/>
  <c r="AW877" i="13" s="1"/>
  <c r="AX877" i="13" s="1"/>
  <c r="Z897" i="13"/>
  <c r="AV897" i="13" s="1"/>
  <c r="AW897" i="13" s="1"/>
  <c r="AX897" i="13" s="1"/>
  <c r="BA877" i="13"/>
  <c r="BB877" i="13" s="1"/>
  <c r="BC877" i="13" s="1"/>
  <c r="AA897" i="13"/>
  <c r="BA897" i="13" s="1"/>
  <c r="BB897" i="13" s="1"/>
  <c r="BC897" i="13" s="1"/>
  <c r="AG879" i="13"/>
  <c r="W899" i="13"/>
  <c r="W888" i="13"/>
  <c r="G2912" i="30" a="1"/>
  <c r="AL879" i="13"/>
  <c r="X899" i="13"/>
  <c r="X888" i="13"/>
  <c r="AQ879" i="13"/>
  <c r="AR879" i="13" s="1"/>
  <c r="AS879" i="13" s="1"/>
  <c r="Y899" i="13"/>
  <c r="AQ899" i="13" s="1"/>
  <c r="AR899" i="13" s="1"/>
  <c r="AS899" i="13" s="1"/>
  <c r="AV879" i="13"/>
  <c r="AW879" i="13" s="1"/>
  <c r="AX879" i="13" s="1"/>
  <c r="Z899" i="13"/>
  <c r="AV899" i="13" s="1"/>
  <c r="AW899" i="13" s="1"/>
  <c r="AX899" i="13" s="1"/>
  <c r="BA879" i="13"/>
  <c r="BB879" i="13" s="1"/>
  <c r="BC879" i="13" s="1"/>
  <c r="AA899" i="13"/>
  <c r="BA899" i="13" s="1"/>
  <c r="BB899" i="13" s="1"/>
  <c r="BC899" i="13" s="1"/>
  <c r="AL880" i="13"/>
  <c r="AM880" i="13" s="1"/>
  <c r="AN880" i="13" s="1"/>
  <c r="X900" i="13"/>
  <c r="AL900" i="13" s="1"/>
  <c r="AM900" i="13" s="1"/>
  <c r="AN900" i="13" s="1"/>
  <c r="AQ880" i="13"/>
  <c r="AR880" i="13" s="1"/>
  <c r="AS880" i="13" s="1"/>
  <c r="Y900" i="13"/>
  <c r="AQ900" i="13" s="1"/>
  <c r="AR900" i="13" s="1"/>
  <c r="AS900" i="13" s="1"/>
  <c r="AV880" i="13"/>
  <c r="AW880" i="13" s="1"/>
  <c r="AX880" i="13" s="1"/>
  <c r="Z900" i="13"/>
  <c r="AV900" i="13" s="1"/>
  <c r="AW900" i="13" s="1"/>
  <c r="AX900" i="13" s="1"/>
  <c r="BA880" i="13"/>
  <c r="BB880" i="13" s="1"/>
  <c r="BC880" i="13" s="1"/>
  <c r="AA900" i="13"/>
  <c r="BA900" i="13" s="1"/>
  <c r="BB900" i="13" s="1"/>
  <c r="BC900" i="13" s="1"/>
  <c r="AL881" i="13"/>
  <c r="AM881" i="13" s="1"/>
  <c r="AN881" i="13" s="1"/>
  <c r="X901" i="13"/>
  <c r="AL901" i="13" s="1"/>
  <c r="AM901" i="13" s="1"/>
  <c r="AN901" i="13" s="1"/>
  <c r="Y901" i="13"/>
  <c r="AQ901" i="13" s="1"/>
  <c r="AR901" i="13" s="1"/>
  <c r="AS901" i="13" s="1"/>
  <c r="AQ881" i="13"/>
  <c r="AR881" i="13" s="1"/>
  <c r="AS881" i="13" s="1"/>
  <c r="AV881" i="13"/>
  <c r="AW881" i="13" s="1"/>
  <c r="AX881" i="13" s="1"/>
  <c r="Z901" i="13"/>
  <c r="AV901" i="13" s="1"/>
  <c r="AW901" i="13" s="1"/>
  <c r="AX901" i="13" s="1"/>
  <c r="AA901" i="13"/>
  <c r="BA901" i="13" s="1"/>
  <c r="BB901" i="13" s="1"/>
  <c r="BC901" i="13" s="1"/>
  <c r="BA881" i="13"/>
  <c r="BB881" i="13" s="1"/>
  <c r="BC881" i="13" s="1"/>
  <c r="AL882" i="13"/>
  <c r="AM882" i="13" s="1"/>
  <c r="AN882" i="13" s="1"/>
  <c r="X902" i="13"/>
  <c r="AL902" i="13" s="1"/>
  <c r="AM902" i="13" s="1"/>
  <c r="AN902" i="13" s="1"/>
  <c r="AQ882" i="13"/>
  <c r="AR882" i="13" s="1"/>
  <c r="AS882" i="13" s="1"/>
  <c r="Y902" i="13"/>
  <c r="AQ902" i="13" s="1"/>
  <c r="AR902" i="13" s="1"/>
  <c r="AS902" i="13" s="1"/>
  <c r="Z902" i="13"/>
  <c r="AV902" i="13" s="1"/>
  <c r="AW902" i="13" s="1"/>
  <c r="AX902" i="13" s="1"/>
  <c r="AV882" i="13"/>
  <c r="AW882" i="13" s="1"/>
  <c r="AX882" i="13" s="1"/>
  <c r="AA902" i="13"/>
  <c r="BA902" i="13" s="1"/>
  <c r="BB902" i="13" s="1"/>
  <c r="BC902" i="13" s="1"/>
  <c r="BA882" i="13"/>
  <c r="BB882" i="13" s="1"/>
  <c r="BC882" i="13" s="1"/>
  <c r="AL883" i="13"/>
  <c r="AM883" i="13" s="1"/>
  <c r="AN883" i="13" s="1"/>
  <c r="X903" i="13"/>
  <c r="AL903" i="13" s="1"/>
  <c r="AM903" i="13" s="1"/>
  <c r="AN903" i="13" s="1"/>
  <c r="AQ883" i="13"/>
  <c r="AR883" i="13" s="1"/>
  <c r="AS883" i="13" s="1"/>
  <c r="Y903" i="13"/>
  <c r="AQ903" i="13" s="1"/>
  <c r="AR903" i="13" s="1"/>
  <c r="AS903" i="13" s="1"/>
  <c r="AV883" i="13"/>
  <c r="AW883" i="13" s="1"/>
  <c r="AX883" i="13" s="1"/>
  <c r="Z903" i="13"/>
  <c r="AV903" i="13" s="1"/>
  <c r="AW903" i="13" s="1"/>
  <c r="AX903" i="13" s="1"/>
  <c r="BA883" i="13"/>
  <c r="BB883" i="13" s="1"/>
  <c r="BC883" i="13" s="1"/>
  <c r="AA903" i="13"/>
  <c r="BA903" i="13" s="1"/>
  <c r="BB903" i="13" s="1"/>
  <c r="BC903" i="13" s="1"/>
  <c r="AG884" i="13"/>
  <c r="AH884" i="13" s="1"/>
  <c r="AI884" i="13" s="1"/>
  <c r="W904" i="13"/>
  <c r="AG904" i="13" s="1"/>
  <c r="AH904" i="13" s="1"/>
  <c r="AI904" i="13" s="1"/>
  <c r="AL884" i="13"/>
  <c r="AM884" i="13" s="1"/>
  <c r="AN884" i="13" s="1"/>
  <c r="X904" i="13"/>
  <c r="AL904" i="13" s="1"/>
  <c r="AM904" i="13" s="1"/>
  <c r="AN904" i="13" s="1"/>
  <c r="AQ884" i="13"/>
  <c r="AR884" i="13" s="1"/>
  <c r="AS884" i="13" s="1"/>
  <c r="Y904" i="13"/>
  <c r="AQ904" i="13" s="1"/>
  <c r="AR904" i="13" s="1"/>
  <c r="AS904" i="13" s="1"/>
  <c r="AV884" i="13"/>
  <c r="AW884" i="13" s="1"/>
  <c r="AX884" i="13" s="1"/>
  <c r="Z904" i="13"/>
  <c r="AV904" i="13" s="1"/>
  <c r="AW904" i="13" s="1"/>
  <c r="AX904" i="13" s="1"/>
  <c r="BA884" i="13"/>
  <c r="BB884" i="13" s="1"/>
  <c r="BC884" i="13" s="1"/>
  <c r="AA904" i="13"/>
  <c r="BA904" i="13" s="1"/>
  <c r="BB904" i="13" s="1"/>
  <c r="BC904" i="13" s="1"/>
  <c r="AL885" i="13"/>
  <c r="AM885" i="13" s="1"/>
  <c r="AN885" i="13" s="1"/>
  <c r="X905" i="13"/>
  <c r="AL905" i="13" s="1"/>
  <c r="AM905" i="13" s="1"/>
  <c r="AN905" i="13" s="1"/>
  <c r="AQ885" i="13"/>
  <c r="AR885" i="13" s="1"/>
  <c r="AS885" i="13" s="1"/>
  <c r="Y905" i="13"/>
  <c r="AQ905" i="13" s="1"/>
  <c r="AR905" i="13" s="1"/>
  <c r="AS905" i="13" s="1"/>
  <c r="AV885" i="13"/>
  <c r="AW885" i="13" s="1"/>
  <c r="AX885" i="13" s="1"/>
  <c r="Z905" i="13"/>
  <c r="AV905" i="13" s="1"/>
  <c r="AW905" i="13" s="1"/>
  <c r="AX905" i="13" s="1"/>
  <c r="BA885" i="13"/>
  <c r="BB885" i="13" s="1"/>
  <c r="BC885" i="13" s="1"/>
  <c r="AA905" i="13"/>
  <c r="BA905" i="13" s="1"/>
  <c r="BB905" i="13" s="1"/>
  <c r="BC905" i="13" s="1"/>
  <c r="AL886" i="13"/>
  <c r="AM886" i="13" s="1"/>
  <c r="AN886" i="13" s="1"/>
  <c r="X906" i="13"/>
  <c r="AL906" i="13" s="1"/>
  <c r="AM906" i="13" s="1"/>
  <c r="AN906" i="13" s="1"/>
  <c r="AQ886" i="13"/>
  <c r="AR886" i="13" s="1"/>
  <c r="AS886" i="13" s="1"/>
  <c r="Y906" i="13"/>
  <c r="AQ906" i="13" s="1"/>
  <c r="AR906" i="13" s="1"/>
  <c r="AS906" i="13" s="1"/>
  <c r="AV886" i="13"/>
  <c r="AW886" i="13" s="1"/>
  <c r="AX886" i="13" s="1"/>
  <c r="Z906" i="13"/>
  <c r="AV906" i="13" s="1"/>
  <c r="AW906" i="13" s="1"/>
  <c r="AX906" i="13" s="1"/>
  <c r="AA906" i="13"/>
  <c r="BA906" i="13" s="1"/>
  <c r="BB906" i="13" s="1"/>
  <c r="BC906" i="13" s="1"/>
  <c r="BA886" i="13"/>
  <c r="BB886" i="13" s="1"/>
  <c r="BC886" i="13" s="1"/>
  <c r="AL887" i="13"/>
  <c r="AM887" i="13" s="1"/>
  <c r="AN887" i="13" s="1"/>
  <c r="X907" i="13"/>
  <c r="AL907" i="13" s="1"/>
  <c r="AM907" i="13" s="1"/>
  <c r="AN907" i="13" s="1"/>
  <c r="AQ887" i="13"/>
  <c r="AR887" i="13" s="1"/>
  <c r="AS887" i="13" s="1"/>
  <c r="Y907" i="13"/>
  <c r="AQ907" i="13" s="1"/>
  <c r="AR907" i="13" s="1"/>
  <c r="AS907" i="13" s="1"/>
  <c r="Z907" i="13"/>
  <c r="AV907" i="13" s="1"/>
  <c r="AW907" i="13" s="1"/>
  <c r="AX907" i="13" s="1"/>
  <c r="AV887" i="13"/>
  <c r="AW887" i="13" s="1"/>
  <c r="AX887" i="13" s="1"/>
  <c r="BA887" i="13"/>
  <c r="BB887" i="13" s="1"/>
  <c r="BC887" i="13" s="1"/>
  <c r="AA907" i="13"/>
  <c r="BA907" i="13" s="1"/>
  <c r="BB907" i="13" s="1"/>
  <c r="BC907" i="13" s="1"/>
  <c r="BK885" i="13"/>
  <c r="BL885" i="13" s="1"/>
  <c r="BM885" i="13" s="1"/>
  <c r="AC905" i="13"/>
  <c r="BK905" i="13" s="1"/>
  <c r="BL905" i="13" s="1"/>
  <c r="BM905" i="13" s="1"/>
  <c r="BK875" i="13"/>
  <c r="BL875" i="13" s="1"/>
  <c r="BM875" i="13" s="1"/>
  <c r="AC895" i="13"/>
  <c r="BK895" i="13" s="1"/>
  <c r="BL895" i="13" s="1"/>
  <c r="BM895" i="13" s="1"/>
  <c r="BK887" i="13"/>
  <c r="BL887" i="13" s="1"/>
  <c r="BM887" i="13" s="1"/>
  <c r="AC907" i="13"/>
  <c r="BK907" i="13" s="1"/>
  <c r="BL907" i="13" s="1"/>
  <c r="BM907" i="13" s="1"/>
  <c r="BF874" i="13"/>
  <c r="BG874" i="13" s="1"/>
  <c r="BH874" i="13" s="1"/>
  <c r="AB894" i="13"/>
  <c r="AB895" i="13"/>
  <c r="BF895" i="13" s="1"/>
  <c r="BG895" i="13" s="1"/>
  <c r="BH895" i="13" s="1"/>
  <c r="BF875" i="13"/>
  <c r="BG875" i="13" s="1"/>
  <c r="BH875" i="13" s="1"/>
  <c r="AB896" i="13"/>
  <c r="BF896" i="13" s="1"/>
  <c r="BG896" i="13" s="1"/>
  <c r="BH896" i="13" s="1"/>
  <c r="BF876" i="13"/>
  <c r="BG876" i="13" s="1"/>
  <c r="BH876" i="13" s="1"/>
  <c r="AB897" i="13"/>
  <c r="BF897" i="13" s="1"/>
  <c r="BG897" i="13" s="1"/>
  <c r="BH897" i="13" s="1"/>
  <c r="BF877" i="13"/>
  <c r="BG877" i="13" s="1"/>
  <c r="BH877" i="13" s="1"/>
  <c r="BF879" i="13"/>
  <c r="BG879" i="13" s="1"/>
  <c r="BH879" i="13" s="1"/>
  <c r="AB899" i="13"/>
  <c r="BF899" i="13" s="1"/>
  <c r="BG899" i="13" s="1"/>
  <c r="BH899" i="13" s="1"/>
  <c r="BF880" i="13"/>
  <c r="BG880" i="13" s="1"/>
  <c r="BH880" i="13" s="1"/>
  <c r="AB900" i="13"/>
  <c r="BF900" i="13" s="1"/>
  <c r="BG900" i="13" s="1"/>
  <c r="BH900" i="13" s="1"/>
  <c r="AB901" i="13"/>
  <c r="BF901" i="13" s="1"/>
  <c r="BG901" i="13" s="1"/>
  <c r="BH901" i="13" s="1"/>
  <c r="BF881" i="13"/>
  <c r="BG881" i="13" s="1"/>
  <c r="BH881" i="13" s="1"/>
  <c r="AB902" i="13"/>
  <c r="BF902" i="13" s="1"/>
  <c r="BG902" i="13" s="1"/>
  <c r="BH902" i="13" s="1"/>
  <c r="BF882" i="13"/>
  <c r="BG882" i="13" s="1"/>
  <c r="BH882" i="13" s="1"/>
  <c r="AB903" i="13"/>
  <c r="BF903" i="13" s="1"/>
  <c r="BG903" i="13" s="1"/>
  <c r="BH903" i="13" s="1"/>
  <c r="BF883" i="13"/>
  <c r="BG883" i="13" s="1"/>
  <c r="BH883" i="13" s="1"/>
  <c r="BF884" i="13"/>
  <c r="BG884" i="13" s="1"/>
  <c r="BH884" i="13" s="1"/>
  <c r="AB904" i="13"/>
  <c r="BF904" i="13" s="1"/>
  <c r="BG904" i="13" s="1"/>
  <c r="BH904" i="13" s="1"/>
  <c r="AB905" i="13"/>
  <c r="BF905" i="13" s="1"/>
  <c r="BG905" i="13" s="1"/>
  <c r="BH905" i="13" s="1"/>
  <c r="BF885" i="13"/>
  <c r="BG885" i="13" s="1"/>
  <c r="BH885" i="13" s="1"/>
  <c r="AB906" i="13"/>
  <c r="BF906" i="13" s="1"/>
  <c r="BG906" i="13" s="1"/>
  <c r="BH906" i="13" s="1"/>
  <c r="BF886" i="13"/>
  <c r="BG886" i="13" s="1"/>
  <c r="BH886" i="13" s="1"/>
  <c r="BF887" i="13"/>
  <c r="BG887" i="13" s="1"/>
  <c r="BH887" i="13" s="1"/>
  <c r="AB907" i="13"/>
  <c r="BF907" i="13" s="1"/>
  <c r="BG907" i="13" s="1"/>
  <c r="BH907" i="13" s="1"/>
  <c r="AC888" i="13"/>
  <c r="BK874" i="13"/>
  <c r="AC894" i="13"/>
  <c r="AC896" i="13"/>
  <c r="BK896" i="13" s="1"/>
  <c r="BL896" i="13" s="1"/>
  <c r="BM896" i="13" s="1"/>
  <c r="BK876" i="13"/>
  <c r="BL876" i="13" s="1"/>
  <c r="BM876" i="13" s="1"/>
  <c r="BK877" i="13"/>
  <c r="BL877" i="13" s="1"/>
  <c r="BM877" i="13" s="1"/>
  <c r="AC897" i="13"/>
  <c r="BK897" i="13" s="1"/>
  <c r="BL897" i="13" s="1"/>
  <c r="BM897" i="13" s="1"/>
  <c r="BK879" i="13"/>
  <c r="BL879" i="13" s="1"/>
  <c r="BM879" i="13" s="1"/>
  <c r="AC899" i="13"/>
  <c r="BK899" i="13" s="1"/>
  <c r="BL899" i="13" s="1"/>
  <c r="BM899" i="13" s="1"/>
  <c r="BK880" i="13"/>
  <c r="BL880" i="13" s="1"/>
  <c r="BM880" i="13" s="1"/>
  <c r="AC900" i="13"/>
  <c r="BK900" i="13" s="1"/>
  <c r="BL900" i="13" s="1"/>
  <c r="BM900" i="13" s="1"/>
  <c r="BK881" i="13"/>
  <c r="BL881" i="13" s="1"/>
  <c r="BM881" i="13" s="1"/>
  <c r="AC901" i="13"/>
  <c r="BK901" i="13" s="1"/>
  <c r="BL901" i="13" s="1"/>
  <c r="BM901" i="13" s="1"/>
  <c r="BK882" i="13"/>
  <c r="BL882" i="13" s="1"/>
  <c r="BM882" i="13" s="1"/>
  <c r="AC902" i="13"/>
  <c r="BK902" i="13" s="1"/>
  <c r="BL902" i="13" s="1"/>
  <c r="BM902" i="13" s="1"/>
  <c r="BK883" i="13"/>
  <c r="BL883" i="13" s="1"/>
  <c r="BM883" i="13" s="1"/>
  <c r="AC903" i="13"/>
  <c r="BK903" i="13" s="1"/>
  <c r="BL903" i="13" s="1"/>
  <c r="BM903" i="13" s="1"/>
  <c r="BK884" i="13"/>
  <c r="BL884" i="13" s="1"/>
  <c r="BM884" i="13" s="1"/>
  <c r="AC904" i="13"/>
  <c r="BK904" i="13" s="1"/>
  <c r="BL904" i="13" s="1"/>
  <c r="BM904" i="13" s="1"/>
  <c r="BK886" i="13"/>
  <c r="BL886" i="13" s="1"/>
  <c r="BM886" i="13" s="1"/>
  <c r="AC906" i="13"/>
  <c r="BK906" i="13" s="1"/>
  <c r="BL906" i="13" s="1"/>
  <c r="BM906" i="13" s="1"/>
  <c r="G2939" i="30" l="1" a="1"/>
  <c r="G2939" i="30" s="1"/>
  <c r="U2939" i="30" s="1"/>
  <c r="BK894" i="13"/>
  <c r="AC908" i="13"/>
  <c r="BL874" i="13"/>
  <c r="BM874" i="13" s="1"/>
  <c r="G2943" i="30" s="1" a="1"/>
  <c r="AC889" i="13"/>
  <c r="BK889" i="13" s="1"/>
  <c r="BL889" i="13" s="1"/>
  <c r="BM889" i="13" s="1"/>
  <c r="G20" i="13"/>
  <c r="Q15" i="13" s="1"/>
  <c r="BK888" i="13"/>
  <c r="BL888" i="13" s="1"/>
  <c r="BM888" i="13" s="1"/>
  <c r="BF894" i="13"/>
  <c r="AB908" i="13"/>
  <c r="R515" i="32"/>
  <c r="BF889" i="13"/>
  <c r="BG889" i="13" s="1"/>
  <c r="BH889" i="13" s="1"/>
  <c r="BF888" i="13"/>
  <c r="BG888" i="13" s="1"/>
  <c r="BH888" i="13" s="1"/>
  <c r="X889" i="13"/>
  <c r="AL889" i="13" s="1"/>
  <c r="AM889" i="13" s="1"/>
  <c r="AN889" i="13" s="1"/>
  <c r="AL888" i="13"/>
  <c r="AM888" i="13" s="1"/>
  <c r="AN888" i="13" s="1"/>
  <c r="AL899" i="13"/>
  <c r="X908" i="13"/>
  <c r="AM879" i="13"/>
  <c r="AN879" i="13" s="1"/>
  <c r="U2913" i="30"/>
  <c r="N513" i="32" s="1"/>
  <c r="U2916" i="30"/>
  <c r="S513" i="32"/>
  <c r="U2915" i="30"/>
  <c r="P513" i="32" s="1"/>
  <c r="R513" i="32"/>
  <c r="U2917" i="30"/>
  <c r="Q513" i="32"/>
  <c r="G2912" i="30"/>
  <c r="U2912" i="30" s="1"/>
  <c r="M513" i="32" s="1"/>
  <c r="U2918" i="30"/>
  <c r="U2914" i="30"/>
  <c r="O513" i="32" s="1"/>
  <c r="W889" i="13"/>
  <c r="AG889" i="13" s="1"/>
  <c r="AH889" i="13" s="1"/>
  <c r="AI889" i="13" s="1"/>
  <c r="G44" i="13"/>
  <c r="AG888" i="13"/>
  <c r="AH888" i="13" s="1"/>
  <c r="AI888" i="13" s="1"/>
  <c r="AG899" i="13"/>
  <c r="G2963" i="30" a="1"/>
  <c r="W908" i="13"/>
  <c r="AH879" i="13"/>
  <c r="AI879" i="13" s="1"/>
  <c r="BA894" i="13"/>
  <c r="AA908" i="13"/>
  <c r="BB874" i="13"/>
  <c r="BC874" i="13" s="1"/>
  <c r="AA889" i="13"/>
  <c r="BA889" i="13" s="1"/>
  <c r="BB889" i="13" s="1"/>
  <c r="BC889" i="13" s="1"/>
  <c r="BA888" i="13"/>
  <c r="BB888" i="13" s="1"/>
  <c r="BC888" i="13" s="1"/>
  <c r="AV894" i="13"/>
  <c r="Z908" i="13"/>
  <c r="AW874" i="13"/>
  <c r="AX874" i="13" s="1"/>
  <c r="Z889" i="13"/>
  <c r="AV889" i="13" s="1"/>
  <c r="AW889" i="13" s="1"/>
  <c r="AX889" i="13" s="1"/>
  <c r="AV888" i="13"/>
  <c r="AW888" i="13" s="1"/>
  <c r="AX888" i="13" s="1"/>
  <c r="Y908" i="13"/>
  <c r="AQ894" i="13"/>
  <c r="AR874" i="13"/>
  <c r="AS874" i="13" s="1"/>
  <c r="Y889" i="13"/>
  <c r="AQ889" i="13" s="1"/>
  <c r="AR889" i="13" s="1"/>
  <c r="AS889" i="13" s="1"/>
  <c r="AQ888" i="13"/>
  <c r="AR888" i="13" s="1"/>
  <c r="AS888" i="13" s="1"/>
  <c r="R514" i="32" l="1"/>
  <c r="G2931" i="30" a="1"/>
  <c r="P2933" i="30" s="1"/>
  <c r="G2935" i="30" a="1"/>
  <c r="H2937" i="30" s="1"/>
  <c r="G2923" i="30" a="1"/>
  <c r="Q2923" i="30" s="1"/>
  <c r="U2940" i="30"/>
  <c r="U2941" i="30" s="1"/>
  <c r="U2942" i="30" s="1"/>
  <c r="G2927" i="30" a="1"/>
  <c r="N2928" i="30" s="1"/>
  <c r="G2919" i="30" a="1"/>
  <c r="G2921" i="30" s="1"/>
  <c r="AR894" i="13"/>
  <c r="AS894" i="13" s="1"/>
  <c r="AQ908" i="13"/>
  <c r="AR908" i="13" s="1"/>
  <c r="AS908" i="13" s="1"/>
  <c r="Y909" i="13"/>
  <c r="AQ909" i="13" s="1"/>
  <c r="AR909" i="13" s="1"/>
  <c r="AS909" i="13" s="1"/>
  <c r="Z909" i="13"/>
  <c r="AV909" i="13" s="1"/>
  <c r="AW909" i="13" s="1"/>
  <c r="AX909" i="13" s="1"/>
  <c r="AV908" i="13"/>
  <c r="AW908" i="13" s="1"/>
  <c r="AX908" i="13" s="1"/>
  <c r="AW894" i="13"/>
  <c r="AX894" i="13" s="1"/>
  <c r="AA909" i="13"/>
  <c r="BA909" i="13" s="1"/>
  <c r="BB909" i="13" s="1"/>
  <c r="BC909" i="13" s="1"/>
  <c r="BA908" i="13"/>
  <c r="BB908" i="13" s="1"/>
  <c r="BC908" i="13" s="1"/>
  <c r="BB894" i="13"/>
  <c r="BC894" i="13" s="1"/>
  <c r="G46" i="13"/>
  <c r="H44" i="13" s="1"/>
  <c r="L39" i="13" s="1"/>
  <c r="W909" i="13"/>
  <c r="AG909" i="13" s="1"/>
  <c r="AH909" i="13" s="1"/>
  <c r="AI909" i="13" s="1"/>
  <c r="AG908" i="13"/>
  <c r="AH908" i="13" s="1"/>
  <c r="AI908" i="13" s="1"/>
  <c r="U2965" i="30"/>
  <c r="O520" i="32" s="1"/>
  <c r="U2966" i="30"/>
  <c r="P520" i="32" s="1"/>
  <c r="G2963" i="30"/>
  <c r="U2963" i="30" s="1"/>
  <c r="M520" i="32" s="1"/>
  <c r="U2964" i="30"/>
  <c r="N520" i="32" s="1"/>
  <c r="U2969" i="30"/>
  <c r="U2967" i="30"/>
  <c r="Q520" i="32" s="1"/>
  <c r="S520" i="32"/>
  <c r="U2968" i="30"/>
  <c r="R520" i="32" s="1"/>
  <c r="AH899" i="13"/>
  <c r="AI899" i="13" s="1"/>
  <c r="D19" i="27"/>
  <c r="Q39" i="13"/>
  <c r="G2926" i="30"/>
  <c r="G2924" i="30"/>
  <c r="T2926" i="30"/>
  <c r="H2925" i="30"/>
  <c r="Q2925" i="30"/>
  <c r="J2924" i="30"/>
  <c r="L2926" i="30"/>
  <c r="T2924" i="30"/>
  <c r="N2924" i="30"/>
  <c r="N2926" i="30"/>
  <c r="M2923" i="30"/>
  <c r="P2925" i="30"/>
  <c r="L2925" i="30"/>
  <c r="R2925" i="30"/>
  <c r="P2923" i="30"/>
  <c r="S2923" i="30"/>
  <c r="R2923" i="30"/>
  <c r="S2924" i="30"/>
  <c r="O2924" i="30"/>
  <c r="P2924" i="30"/>
  <c r="M2926" i="30"/>
  <c r="X909" i="13"/>
  <c r="AL909" i="13" s="1"/>
  <c r="AM909" i="13" s="1"/>
  <c r="AN909" i="13" s="1"/>
  <c r="AL908" i="13"/>
  <c r="AM908" i="13" s="1"/>
  <c r="AN908" i="13" s="1"/>
  <c r="AM899" i="13"/>
  <c r="AN899" i="13" s="1"/>
  <c r="AB909" i="13"/>
  <c r="BF909" i="13" s="1"/>
  <c r="BG909" i="13" s="1"/>
  <c r="BH909" i="13" s="1"/>
  <c r="BF908" i="13"/>
  <c r="BG908" i="13" s="1"/>
  <c r="BH908" i="13" s="1"/>
  <c r="BG894" i="13"/>
  <c r="BH894" i="13" s="1"/>
  <c r="Q21" i="13"/>
  <c r="R15" i="13"/>
  <c r="S15" i="13" s="1"/>
  <c r="S515" i="32"/>
  <c r="I53" i="31" s="1"/>
  <c r="U2944" i="30"/>
  <c r="G2943" i="30"/>
  <c r="U2943" i="30" s="1"/>
  <c r="S514" i="32"/>
  <c r="H53" i="31" s="1"/>
  <c r="BK908" i="13"/>
  <c r="BL908" i="13" s="1"/>
  <c r="BM908" i="13" s="1"/>
  <c r="AC909" i="13"/>
  <c r="BK909" i="13" s="1"/>
  <c r="BL909" i="13" s="1"/>
  <c r="BM909" i="13" s="1"/>
  <c r="G22" i="13"/>
  <c r="BL894" i="13"/>
  <c r="BM894" i="13" s="1"/>
  <c r="G2994" i="30" s="1" a="1"/>
  <c r="Q2924" i="30" l="1"/>
  <c r="M2925" i="30"/>
  <c r="R2926" i="30"/>
  <c r="J2923" i="30"/>
  <c r="H2926" i="30"/>
  <c r="L2924" i="30"/>
  <c r="T2923" i="30"/>
  <c r="G2925" i="30"/>
  <c r="G2923" i="30"/>
  <c r="P2926" i="30"/>
  <c r="T2925" i="30"/>
  <c r="H2923" i="30"/>
  <c r="S2926" i="30"/>
  <c r="R2924" i="30"/>
  <c r="N2923" i="30"/>
  <c r="Q2926" i="30"/>
  <c r="K2925" i="30"/>
  <c r="O2923" i="30"/>
  <c r="K2926" i="30"/>
  <c r="N2925" i="30"/>
  <c r="K2924" i="30"/>
  <c r="I2924" i="30"/>
  <c r="O2925" i="30"/>
  <c r="I2923" i="30"/>
  <c r="S2925" i="30"/>
  <c r="M2924" i="30"/>
  <c r="H2924" i="30"/>
  <c r="I2925" i="30"/>
  <c r="J2926" i="30"/>
  <c r="J2925" i="30"/>
  <c r="N514" i="32" s="1"/>
  <c r="K2923" i="30"/>
  <c r="L2923" i="30"/>
  <c r="I2926" i="30"/>
  <c r="O2926" i="30"/>
  <c r="O2934" i="30"/>
  <c r="S2931" i="30"/>
  <c r="L2932" i="30"/>
  <c r="G2934" i="30"/>
  <c r="G2931" i="30"/>
  <c r="M2934" i="30"/>
  <c r="T2931" i="30"/>
  <c r="N2932" i="30"/>
  <c r="S2933" i="30"/>
  <c r="K2931" i="30"/>
  <c r="G2932" i="30"/>
  <c r="P2931" i="30"/>
  <c r="R2934" i="30"/>
  <c r="N2931" i="30"/>
  <c r="L2933" i="30"/>
  <c r="I2932" i="30"/>
  <c r="H2934" i="30"/>
  <c r="G2933" i="30"/>
  <c r="O2933" i="30"/>
  <c r="J2933" i="30"/>
  <c r="T2933" i="30"/>
  <c r="Q2934" i="30"/>
  <c r="L2934" i="30"/>
  <c r="P2934" i="30"/>
  <c r="H2931" i="30"/>
  <c r="O2932" i="30"/>
  <c r="T2934" i="30"/>
  <c r="R2931" i="30"/>
  <c r="R2933" i="30"/>
  <c r="S2934" i="30"/>
  <c r="M2933" i="30"/>
  <c r="K2934" i="30"/>
  <c r="M2931" i="30"/>
  <c r="S2932" i="30"/>
  <c r="N2934" i="30"/>
  <c r="Q2933" i="30"/>
  <c r="K2933" i="30"/>
  <c r="J2932" i="30"/>
  <c r="K2932" i="30"/>
  <c r="I2933" i="30"/>
  <c r="N2933" i="30"/>
  <c r="J2934" i="30"/>
  <c r="T2932" i="30"/>
  <c r="R2932" i="30"/>
  <c r="Q2931" i="30"/>
  <c r="Q2932" i="30"/>
  <c r="H2933" i="30"/>
  <c r="P2932" i="30"/>
  <c r="L2931" i="30"/>
  <c r="M2932" i="30"/>
  <c r="I2934" i="30"/>
  <c r="O2931" i="30"/>
  <c r="H2932" i="30"/>
  <c r="I2931" i="30"/>
  <c r="J2931" i="30"/>
  <c r="P2922" i="30"/>
  <c r="G2986" i="30" a="1"/>
  <c r="P2987" i="30" s="1"/>
  <c r="P2921" i="30"/>
  <c r="Q2919" i="30"/>
  <c r="N2920" i="30"/>
  <c r="O2921" i="30"/>
  <c r="R2938" i="30"/>
  <c r="N2936" i="30"/>
  <c r="L2938" i="30"/>
  <c r="R2937" i="30"/>
  <c r="Q2935" i="30"/>
  <c r="L2935" i="30"/>
  <c r="K2938" i="30"/>
  <c r="N2938" i="30"/>
  <c r="S2938" i="30"/>
  <c r="O2937" i="30"/>
  <c r="I2935" i="30"/>
  <c r="G2938" i="30"/>
  <c r="P2937" i="30"/>
  <c r="S2937" i="30"/>
  <c r="P514" i="32"/>
  <c r="H2936" i="30"/>
  <c r="T2936" i="30"/>
  <c r="I2936" i="30"/>
  <c r="M2938" i="30"/>
  <c r="J2938" i="30"/>
  <c r="K2937" i="30"/>
  <c r="T2935" i="30"/>
  <c r="N2937" i="30"/>
  <c r="K2935" i="30"/>
  <c r="S2935" i="30"/>
  <c r="L2936" i="30"/>
  <c r="J2936" i="30"/>
  <c r="K2936" i="30"/>
  <c r="T2937" i="30"/>
  <c r="I2937" i="30"/>
  <c r="R2935" i="30"/>
  <c r="P2938" i="30"/>
  <c r="H2938" i="30"/>
  <c r="I2938" i="30"/>
  <c r="Q2937" i="30"/>
  <c r="P2935" i="30"/>
  <c r="O2936" i="30"/>
  <c r="L2937" i="30"/>
  <c r="J2937" i="30"/>
  <c r="Q514" i="32" s="1"/>
  <c r="N2935" i="30"/>
  <c r="S2936" i="30"/>
  <c r="M2935" i="30"/>
  <c r="J2935" i="30"/>
  <c r="T2938" i="30"/>
  <c r="O2938" i="30"/>
  <c r="M2937" i="30"/>
  <c r="Q2936" i="30"/>
  <c r="P2936" i="30"/>
  <c r="M2936" i="30"/>
  <c r="Q2938" i="30"/>
  <c r="G2936" i="30"/>
  <c r="O2935" i="30"/>
  <c r="R2936" i="30"/>
  <c r="G2937" i="30"/>
  <c r="G2935" i="30"/>
  <c r="H2935" i="30"/>
  <c r="S2922" i="30"/>
  <c r="N2922" i="30"/>
  <c r="O2922" i="30"/>
  <c r="J2919" i="30"/>
  <c r="O2920" i="30"/>
  <c r="Q2921" i="30"/>
  <c r="H2921" i="30"/>
  <c r="G2919" i="30"/>
  <c r="I2920" i="30"/>
  <c r="R2920" i="30"/>
  <c r="L2921" i="30"/>
  <c r="J2922" i="30"/>
  <c r="M2920" i="30"/>
  <c r="N2919" i="30"/>
  <c r="Q2922" i="30"/>
  <c r="M2921" i="30"/>
  <c r="R2922" i="30"/>
  <c r="K2919" i="30"/>
  <c r="K2921" i="30"/>
  <c r="I2921" i="30"/>
  <c r="J2921" i="30"/>
  <c r="S2921" i="30"/>
  <c r="H2919" i="30"/>
  <c r="P2919" i="30"/>
  <c r="I2919" i="30"/>
  <c r="S2919" i="30"/>
  <c r="G2920" i="30"/>
  <c r="H2922" i="30"/>
  <c r="L2922" i="30"/>
  <c r="H2920" i="30"/>
  <c r="L2919" i="30"/>
  <c r="T2922" i="30"/>
  <c r="K2920" i="30"/>
  <c r="P2929" i="30"/>
  <c r="R2929" i="30"/>
  <c r="M2922" i="30"/>
  <c r="Q2920" i="30"/>
  <c r="S2920" i="30"/>
  <c r="K2922" i="30"/>
  <c r="L2920" i="30"/>
  <c r="P2920" i="30"/>
  <c r="J2929" i="30"/>
  <c r="I2928" i="30"/>
  <c r="T2928" i="30"/>
  <c r="N2930" i="30"/>
  <c r="G2928" i="30"/>
  <c r="J2927" i="30"/>
  <c r="L2930" i="30"/>
  <c r="T2930" i="30"/>
  <c r="G2990" i="30" a="1"/>
  <c r="G2990" i="30" s="1"/>
  <c r="U2990" i="30" s="1"/>
  <c r="G2970" i="30" a="1"/>
  <c r="G2971" i="30" s="1"/>
  <c r="T2920" i="30"/>
  <c r="I2922" i="30"/>
  <c r="G2922" i="30"/>
  <c r="R2921" i="30"/>
  <c r="N2921" i="30"/>
  <c r="M2919" i="30"/>
  <c r="J2920" i="30"/>
  <c r="P2930" i="30"/>
  <c r="I2930" i="30"/>
  <c r="K2928" i="30"/>
  <c r="P2927" i="30"/>
  <c r="T2919" i="30"/>
  <c r="T2921" i="30"/>
  <c r="O2928" i="30"/>
  <c r="M2930" i="30"/>
  <c r="Q2930" i="30"/>
  <c r="J2930" i="30"/>
  <c r="R2919" i="30"/>
  <c r="O2919" i="30"/>
  <c r="O2930" i="30"/>
  <c r="Q2929" i="30"/>
  <c r="S2928" i="30"/>
  <c r="R2930" i="30"/>
  <c r="G2978" i="30" a="1"/>
  <c r="I2980" i="30" s="1"/>
  <c r="M2927" i="30"/>
  <c r="R2927" i="30"/>
  <c r="T2927" i="30"/>
  <c r="G2927" i="30"/>
  <c r="S2930" i="30"/>
  <c r="J2928" i="30"/>
  <c r="K2929" i="30"/>
  <c r="S2927" i="30"/>
  <c r="S2929" i="30"/>
  <c r="R2928" i="30"/>
  <c r="N2927" i="30"/>
  <c r="Q2927" i="30"/>
  <c r="T2929" i="30"/>
  <c r="U2945" i="30"/>
  <c r="U2946" i="30" s="1"/>
  <c r="G2974" i="30" a="1"/>
  <c r="P2976" i="30" s="1"/>
  <c r="G2982" i="30" a="1"/>
  <c r="Q2985" i="30" s="1"/>
  <c r="O2927" i="30"/>
  <c r="H2927" i="30"/>
  <c r="H2930" i="30"/>
  <c r="M2929" i="30"/>
  <c r="H2929" i="30"/>
  <c r="P2928" i="30"/>
  <c r="G2930" i="30"/>
  <c r="G2929" i="30"/>
  <c r="I2929" i="30"/>
  <c r="K2930" i="30"/>
  <c r="K2927" i="30"/>
  <c r="Q2928" i="30"/>
  <c r="L2928" i="30"/>
  <c r="N2929" i="30"/>
  <c r="L2927" i="30"/>
  <c r="M2928" i="30"/>
  <c r="I2927" i="30"/>
  <c r="O2929" i="30"/>
  <c r="L2929" i="30"/>
  <c r="H2928" i="30"/>
  <c r="S521" i="32"/>
  <c r="H54" i="31" s="1"/>
  <c r="G2994" i="30"/>
  <c r="U2994" i="30" s="1"/>
  <c r="S522" i="32"/>
  <c r="I54" i="31" s="1"/>
  <c r="U2995" i="30"/>
  <c r="H20" i="13"/>
  <c r="L15" i="13" s="1"/>
  <c r="H15" i="13"/>
  <c r="L18" i="13" s="1"/>
  <c r="H12" i="13"/>
  <c r="L12" i="13" s="1"/>
  <c r="H4" i="13"/>
  <c r="L7" i="13" s="1"/>
  <c r="H21" i="13"/>
  <c r="L20" i="13" s="1"/>
  <c r="H18" i="13"/>
  <c r="L16" i="13" s="1"/>
  <c r="H17" i="13"/>
  <c r="L17" i="13" s="1"/>
  <c r="H9" i="13"/>
  <c r="H16" i="13"/>
  <c r="L11" i="13" s="1"/>
  <c r="H14" i="13"/>
  <c r="L13" i="13" s="1"/>
  <c r="G25" i="13"/>
  <c r="H5" i="13"/>
  <c r="L4" i="13" s="1"/>
  <c r="H6" i="13"/>
  <c r="L6" i="13" s="1"/>
  <c r="H11" i="13"/>
  <c r="L9" i="13" s="1"/>
  <c r="H13" i="13"/>
  <c r="L14" i="13" s="1"/>
  <c r="H7" i="13"/>
  <c r="L5" i="13" s="1"/>
  <c r="H8" i="13"/>
  <c r="L8" i="13" s="1"/>
  <c r="H19" i="13"/>
  <c r="L10" i="13" s="1"/>
  <c r="L19" i="13"/>
  <c r="R21" i="13"/>
  <c r="S21" i="13" s="1"/>
  <c r="R521" i="32"/>
  <c r="R39" i="13"/>
  <c r="S39" i="13" s="1"/>
  <c r="Q45" i="13"/>
  <c r="D9" i="27"/>
  <c r="G19" i="27"/>
  <c r="H19" i="27" s="1"/>
  <c r="H33" i="13"/>
  <c r="G49" i="13"/>
  <c r="H30" i="13"/>
  <c r="L30" i="13" s="1"/>
  <c r="H35" i="13"/>
  <c r="L33" i="13" s="1"/>
  <c r="H28" i="13"/>
  <c r="L31" i="13" s="1"/>
  <c r="D24" i="27"/>
  <c r="H45" i="13"/>
  <c r="L44" i="13" s="1"/>
  <c r="H41" i="13"/>
  <c r="L41" i="13" s="1"/>
  <c r="H36" i="13"/>
  <c r="L36" i="13" s="1"/>
  <c r="H32" i="13"/>
  <c r="L32" i="13" s="1"/>
  <c r="H43" i="13"/>
  <c r="L34" i="13" s="1"/>
  <c r="H38" i="13"/>
  <c r="L37" i="13" s="1"/>
  <c r="H39" i="13"/>
  <c r="L42" i="13" s="1"/>
  <c r="H40" i="13"/>
  <c r="L35" i="13" s="1"/>
  <c r="H29" i="13"/>
  <c r="L28" i="13" s="1"/>
  <c r="H31" i="13"/>
  <c r="L29" i="13" s="1"/>
  <c r="H42" i="13"/>
  <c r="L40" i="13" s="1"/>
  <c r="H37" i="13"/>
  <c r="L38" i="13" s="1"/>
  <c r="L2987" i="30"/>
  <c r="P2989" i="30"/>
  <c r="H2989" i="30"/>
  <c r="K2988" i="30"/>
  <c r="T2988" i="30"/>
  <c r="I2989" i="30"/>
  <c r="Q2986" i="30"/>
  <c r="T2989" i="30"/>
  <c r="G2989" i="30"/>
  <c r="H2987" i="30"/>
  <c r="L2988" i="30"/>
  <c r="H2986" i="30"/>
  <c r="I2988" i="30"/>
  <c r="Q2987" i="30"/>
  <c r="J2988" i="30"/>
  <c r="M2987" i="30"/>
  <c r="R2987" i="30"/>
  <c r="O2988" i="30"/>
  <c r="K2989" i="30"/>
  <c r="M2989" i="30"/>
  <c r="G2987" i="30"/>
  <c r="I2986" i="30"/>
  <c r="P2988" i="30"/>
  <c r="Q2989" i="30"/>
  <c r="L2986" i="30"/>
  <c r="J2989" i="30"/>
  <c r="O2986" i="30"/>
  <c r="Q2988" i="30"/>
  <c r="S2988" i="30"/>
  <c r="S2989" i="30"/>
  <c r="O2989" i="30" l="1"/>
  <c r="N2989" i="30"/>
  <c r="H2988" i="30"/>
  <c r="R2986" i="30"/>
  <c r="R2988" i="30"/>
  <c r="I2987" i="30"/>
  <c r="G2988" i="30"/>
  <c r="J2986" i="30"/>
  <c r="M514" i="32"/>
  <c r="M2988" i="30"/>
  <c r="G2986" i="30"/>
  <c r="J2987" i="30"/>
  <c r="R2989" i="30"/>
  <c r="U2923" i="30"/>
  <c r="L2989" i="30"/>
  <c r="U2924" i="30"/>
  <c r="U2925" i="30" s="1"/>
  <c r="U2926" i="30" s="1"/>
  <c r="N515" i="32" s="1"/>
  <c r="Q515" i="32"/>
  <c r="U2931" i="30"/>
  <c r="U2932" i="30"/>
  <c r="U2933" i="30" s="1"/>
  <c r="U2934" i="30" s="1"/>
  <c r="P515" i="32" s="1"/>
  <c r="S2987" i="30"/>
  <c r="N2987" i="30"/>
  <c r="S2986" i="30"/>
  <c r="K2986" i="30"/>
  <c r="T2987" i="30"/>
  <c r="K2987" i="30"/>
  <c r="M2986" i="30"/>
  <c r="O2987" i="30"/>
  <c r="P2986" i="30"/>
  <c r="N2988" i="30"/>
  <c r="T2986" i="30"/>
  <c r="N2986" i="30"/>
  <c r="O514" i="32"/>
  <c r="G2984" i="30"/>
  <c r="R2984" i="30"/>
  <c r="U2936" i="30"/>
  <c r="K2973" i="30"/>
  <c r="S2973" i="30"/>
  <c r="H2973" i="30"/>
  <c r="N2971" i="30"/>
  <c r="T2971" i="30"/>
  <c r="T2972" i="30"/>
  <c r="Q2973" i="30"/>
  <c r="U2935" i="30"/>
  <c r="U2937" i="30" s="1"/>
  <c r="U2938" i="30" s="1"/>
  <c r="Q2970" i="30"/>
  <c r="G2972" i="30"/>
  <c r="O2971" i="30"/>
  <c r="S2985" i="30"/>
  <c r="O2985" i="30"/>
  <c r="M2973" i="30"/>
  <c r="Q2971" i="30"/>
  <c r="J2984" i="30"/>
  <c r="T2982" i="30"/>
  <c r="O2973" i="30"/>
  <c r="N2972" i="30"/>
  <c r="I2984" i="30"/>
  <c r="J2983" i="30"/>
  <c r="I2985" i="30"/>
  <c r="K2982" i="30"/>
  <c r="R2985" i="30"/>
  <c r="M2985" i="30"/>
  <c r="G2982" i="30"/>
  <c r="S2982" i="30"/>
  <c r="N2982" i="30"/>
  <c r="N2984" i="30"/>
  <c r="O2983" i="30"/>
  <c r="P2983" i="30"/>
  <c r="K2983" i="30"/>
  <c r="H2984" i="30"/>
  <c r="O2984" i="30"/>
  <c r="M2983" i="30"/>
  <c r="Q2984" i="30"/>
  <c r="T2983" i="30"/>
  <c r="S2983" i="30"/>
  <c r="N2985" i="30"/>
  <c r="J2985" i="30"/>
  <c r="P2985" i="30"/>
  <c r="L2971" i="30"/>
  <c r="R2973" i="30"/>
  <c r="G2985" i="30"/>
  <c r="O2982" i="30"/>
  <c r="I2983" i="30"/>
  <c r="K2971" i="30"/>
  <c r="I2973" i="30"/>
  <c r="T2970" i="30"/>
  <c r="L2970" i="30"/>
  <c r="M2970" i="30"/>
  <c r="R2978" i="30"/>
  <c r="P2971" i="30"/>
  <c r="N2973" i="30"/>
  <c r="I2971" i="30"/>
  <c r="P2970" i="30"/>
  <c r="S2971" i="30"/>
  <c r="O2970" i="30"/>
  <c r="G2970" i="30"/>
  <c r="J2970" i="30"/>
  <c r="M2971" i="30"/>
  <c r="R2972" i="30"/>
  <c r="H2971" i="30"/>
  <c r="P2972" i="30"/>
  <c r="L2973" i="30"/>
  <c r="R2971" i="30"/>
  <c r="J2972" i="30"/>
  <c r="M2972" i="30"/>
  <c r="J2971" i="30"/>
  <c r="K2972" i="30"/>
  <c r="N2970" i="30"/>
  <c r="S2972" i="30"/>
  <c r="S2970" i="30"/>
  <c r="P2973" i="30"/>
  <c r="Q2972" i="30"/>
  <c r="O2972" i="30"/>
  <c r="J2981" i="30"/>
  <c r="G2973" i="30"/>
  <c r="L2972" i="30"/>
  <c r="J2973" i="30"/>
  <c r="K2970" i="30"/>
  <c r="T2981" i="30"/>
  <c r="R2970" i="30"/>
  <c r="H2972" i="30"/>
  <c r="I2970" i="30"/>
  <c r="H2970" i="30"/>
  <c r="I2972" i="30"/>
  <c r="T2973" i="30"/>
  <c r="O2981" i="30"/>
  <c r="I2978" i="30"/>
  <c r="R2980" i="30"/>
  <c r="K2978" i="30"/>
  <c r="Q2978" i="30"/>
  <c r="G2981" i="30"/>
  <c r="L2978" i="30"/>
  <c r="I2981" i="30"/>
  <c r="O2980" i="30"/>
  <c r="S2981" i="30"/>
  <c r="G2978" i="30"/>
  <c r="J2980" i="30"/>
  <c r="O521" i="32" s="1"/>
  <c r="K2979" i="30"/>
  <c r="T2979" i="30"/>
  <c r="M2981" i="30"/>
  <c r="U2996" i="30"/>
  <c r="U2997" i="30" s="1"/>
  <c r="M2979" i="30"/>
  <c r="K2981" i="30"/>
  <c r="K2980" i="30"/>
  <c r="S2974" i="30"/>
  <c r="U2920" i="30"/>
  <c r="U2919" i="30"/>
  <c r="H2976" i="30"/>
  <c r="L2976" i="30"/>
  <c r="N2974" i="30"/>
  <c r="Q2974" i="30"/>
  <c r="T2974" i="30"/>
  <c r="S2976" i="30"/>
  <c r="H2975" i="30"/>
  <c r="Q521" i="32"/>
  <c r="M2978" i="30"/>
  <c r="N2981" i="30"/>
  <c r="J2978" i="30"/>
  <c r="N2978" i="30"/>
  <c r="S2979" i="30"/>
  <c r="P2980" i="30"/>
  <c r="Q2979" i="30"/>
  <c r="T2980" i="30"/>
  <c r="N2980" i="30"/>
  <c r="R2981" i="30"/>
  <c r="H2978" i="30"/>
  <c r="Q2981" i="30"/>
  <c r="L2980" i="30"/>
  <c r="G2979" i="30"/>
  <c r="K2976" i="30"/>
  <c r="J2979" i="30"/>
  <c r="I2979" i="30"/>
  <c r="Q2980" i="30"/>
  <c r="N2979" i="30"/>
  <c r="G2980" i="30"/>
  <c r="L2981" i="30"/>
  <c r="P2981" i="30"/>
  <c r="L2979" i="30"/>
  <c r="P2979" i="30"/>
  <c r="H2981" i="30"/>
  <c r="R2979" i="30"/>
  <c r="S2978" i="30"/>
  <c r="M2980" i="30"/>
  <c r="O2978" i="30"/>
  <c r="U2991" i="30"/>
  <c r="U2992" i="30" s="1"/>
  <c r="U2993" i="30" s="1"/>
  <c r="R522" i="32" s="1"/>
  <c r="H2979" i="30"/>
  <c r="P2978" i="30"/>
  <c r="S2980" i="30"/>
  <c r="O2979" i="30"/>
  <c r="T2978" i="30"/>
  <c r="H2980" i="30"/>
  <c r="S2975" i="30"/>
  <c r="R2974" i="30"/>
  <c r="M521" i="32"/>
  <c r="G2977" i="30"/>
  <c r="O2975" i="30"/>
  <c r="K2974" i="30"/>
  <c r="P2974" i="30"/>
  <c r="N2977" i="30"/>
  <c r="L2977" i="30"/>
  <c r="U2928" i="30"/>
  <c r="I2982" i="30"/>
  <c r="H2982" i="30"/>
  <c r="L2984" i="30"/>
  <c r="M2984" i="30"/>
  <c r="R2982" i="30"/>
  <c r="S2984" i="30"/>
  <c r="P2982" i="30"/>
  <c r="L2982" i="30"/>
  <c r="H2983" i="30"/>
  <c r="T2985" i="30"/>
  <c r="Q2982" i="30"/>
  <c r="G2974" i="30"/>
  <c r="O2974" i="30"/>
  <c r="O2976" i="30"/>
  <c r="I2974" i="30"/>
  <c r="I2975" i="30"/>
  <c r="Q2976" i="30"/>
  <c r="J2976" i="30"/>
  <c r="N2976" i="30"/>
  <c r="U2927" i="30"/>
  <c r="Q2977" i="30"/>
  <c r="T2977" i="30"/>
  <c r="P2975" i="30"/>
  <c r="L2985" i="30"/>
  <c r="P2984" i="30"/>
  <c r="Q2983" i="30"/>
  <c r="K2985" i="30"/>
  <c r="L2983" i="30"/>
  <c r="H2985" i="30"/>
  <c r="R2983" i="30"/>
  <c r="M2974" i="30"/>
  <c r="I2976" i="30"/>
  <c r="M2976" i="30"/>
  <c r="R2975" i="30"/>
  <c r="N2975" i="30"/>
  <c r="L2975" i="30"/>
  <c r="L2974" i="30"/>
  <c r="J2974" i="30"/>
  <c r="H2977" i="30"/>
  <c r="K2975" i="30"/>
  <c r="P2977" i="30"/>
  <c r="O2977" i="30"/>
  <c r="M2977" i="30"/>
  <c r="J2977" i="30"/>
  <c r="H22" i="13"/>
  <c r="I2977" i="30"/>
  <c r="G2976" i="30"/>
  <c r="M2975" i="30"/>
  <c r="R2977" i="30"/>
  <c r="T2976" i="30"/>
  <c r="R2976" i="30"/>
  <c r="T2975" i="30"/>
  <c r="T2984" i="30"/>
  <c r="M2982" i="30"/>
  <c r="N2983" i="30"/>
  <c r="G2983" i="30"/>
  <c r="J2982" i="30"/>
  <c r="K2984" i="30"/>
  <c r="H46" i="13"/>
  <c r="H2974" i="30"/>
  <c r="K2977" i="30"/>
  <c r="S2977" i="30"/>
  <c r="Q2975" i="30"/>
  <c r="G2975" i="30"/>
  <c r="J2975" i="30"/>
  <c r="E19" i="27"/>
  <c r="E13" i="27"/>
  <c r="E14" i="27"/>
  <c r="E12" i="27"/>
  <c r="E4" i="27"/>
  <c r="E8" i="27"/>
  <c r="E17" i="27"/>
  <c r="E24" i="27"/>
  <c r="E21" i="27"/>
  <c r="G24" i="27"/>
  <c r="H24" i="27" s="1"/>
  <c r="E6" i="27"/>
  <c r="E18" i="27"/>
  <c r="E26" i="27"/>
  <c r="E3" i="27"/>
  <c r="E7" i="27"/>
  <c r="E22" i="27"/>
  <c r="E5" i="27"/>
  <c r="E16" i="27"/>
  <c r="E23" i="27"/>
  <c r="E15" i="27"/>
  <c r="G9" i="27"/>
  <c r="E9" i="27"/>
  <c r="D10" i="27"/>
  <c r="R45" i="13"/>
  <c r="S45" i="13" s="1"/>
  <c r="L43" i="13"/>
  <c r="P521" i="32" l="1"/>
  <c r="U2986" i="30"/>
  <c r="U2987" i="30"/>
  <c r="U2971" i="30"/>
  <c r="U2921" i="30"/>
  <c r="U2922" i="30" s="1"/>
  <c r="M515" i="32" s="1"/>
  <c r="U2970" i="30"/>
  <c r="U2978" i="30"/>
  <c r="U2982" i="30"/>
  <c r="U2979" i="30"/>
  <c r="N521" i="32"/>
  <c r="U2974" i="30"/>
  <c r="U2929" i="30"/>
  <c r="U2930" i="30" s="1"/>
  <c r="O515" i="32" s="1"/>
  <c r="U2975" i="30"/>
  <c r="U2983" i="30"/>
  <c r="E10" i="27"/>
  <c r="G10" i="27"/>
  <c r="H10" i="27" s="1"/>
  <c r="Q6" i="27"/>
  <c r="Q7" i="27" s="1"/>
  <c r="R7" i="27" s="1"/>
  <c r="H9" i="27"/>
  <c r="R6" i="27" s="1"/>
  <c r="U2988" i="30" l="1"/>
  <c r="U2989" i="30" s="1"/>
  <c r="Q522" i="32" s="1"/>
  <c r="U2972" i="30"/>
  <c r="U2973" i="30" s="1"/>
  <c r="M522" i="32" s="1"/>
  <c r="U2980" i="30"/>
  <c r="U2981" i="30" s="1"/>
  <c r="O522" i="32" s="1"/>
  <c r="U2976" i="30"/>
  <c r="U2977" i="30" s="1"/>
  <c r="N522" i="32" s="1"/>
  <c r="U2984" i="30"/>
  <c r="U2985" i="30" s="1"/>
  <c r="P522" i="32" s="1"/>
  <c r="I120" i="13" l="1"/>
  <c r="E120" i="13"/>
  <c r="F130" i="13"/>
  <c r="J123" i="13"/>
  <c r="S110" i="13"/>
  <c r="U110" i="13"/>
  <c r="J130" i="13"/>
  <c r="T110" i="13"/>
  <c r="P110" i="13"/>
  <c r="F123" i="13"/>
  <c r="R110" i="13"/>
  <c r="Q110" i="13"/>
  <c r="I118" i="13"/>
  <c r="E118" i="13"/>
  <c r="E119" i="13"/>
  <c r="I119" i="13"/>
  <c r="E125" i="13"/>
  <c r="I125" i="13"/>
  <c r="E129" i="13"/>
  <c r="I129" i="13"/>
  <c r="E124" i="13"/>
  <c r="I124" i="13"/>
  <c r="E128" i="13"/>
  <c r="I128" i="13"/>
  <c r="E130" i="13"/>
  <c r="G130" i="13" s="1"/>
  <c r="H130" i="13" s="1"/>
  <c r="I130" i="13"/>
  <c r="E126" i="13"/>
  <c r="I126" i="13"/>
  <c r="I127" i="13"/>
  <c r="E127" i="13"/>
  <c r="F117" i="13"/>
  <c r="O110" i="13"/>
  <c r="J117" i="13"/>
  <c r="F118" i="13"/>
  <c r="J118" i="13"/>
  <c r="F129" i="13"/>
  <c r="J129" i="13"/>
  <c r="F119" i="13"/>
  <c r="J119" i="13"/>
  <c r="F127" i="13"/>
  <c r="J127" i="13"/>
  <c r="F124" i="13"/>
  <c r="J124" i="13"/>
  <c r="F120" i="13"/>
  <c r="F122" i="13"/>
  <c r="J122" i="13"/>
  <c r="F125" i="13"/>
  <c r="J125" i="13"/>
  <c r="F128" i="13"/>
  <c r="J128" i="13"/>
  <c r="F126" i="13"/>
  <c r="J126" i="13"/>
  <c r="K126" i="13" s="1"/>
  <c r="L126" i="13" s="1"/>
  <c r="I122" i="13"/>
  <c r="E122" i="13"/>
  <c r="E121" i="13"/>
  <c r="G121" i="13" s="1"/>
  <c r="H121" i="13" s="1"/>
  <c r="I121" i="13"/>
  <c r="K121" i="13" s="1"/>
  <c r="L121" i="13" s="1"/>
  <c r="I123" i="13"/>
  <c r="E123" i="13"/>
  <c r="K119" i="13" l="1"/>
  <c r="L119" i="13" s="1"/>
  <c r="K122" i="13"/>
  <c r="L122" i="13" s="1"/>
  <c r="G1086" i="30" a="1"/>
  <c r="S1093" i="30" s="1"/>
  <c r="K125" i="13"/>
  <c r="L125" i="13" s="1"/>
  <c r="K130" i="13"/>
  <c r="L130" i="13" s="1"/>
  <c r="I140" i="13"/>
  <c r="E140" i="13"/>
  <c r="K128" i="13"/>
  <c r="L128" i="13" s="1"/>
  <c r="G125" i="13"/>
  <c r="H125" i="13" s="1"/>
  <c r="E139" i="13"/>
  <c r="I139" i="13"/>
  <c r="G122" i="13"/>
  <c r="H122" i="13" s="1"/>
  <c r="G128" i="13"/>
  <c r="H128" i="13" s="1"/>
  <c r="G119" i="13"/>
  <c r="H119" i="13" s="1"/>
  <c r="E141" i="13"/>
  <c r="E138" i="13"/>
  <c r="I141" i="13"/>
  <c r="I138" i="13"/>
  <c r="J120" i="13"/>
  <c r="K120" i="13" s="1"/>
  <c r="L120" i="13" s="1"/>
  <c r="G126" i="13"/>
  <c r="H126" i="13" s="1"/>
  <c r="E142" i="13"/>
  <c r="I142" i="13"/>
  <c r="G123" i="13"/>
  <c r="H123" i="13" s="1"/>
  <c r="K123" i="13"/>
  <c r="L123" i="13" s="1"/>
  <c r="F139" i="13"/>
  <c r="G120" i="13"/>
  <c r="H120" i="13" s="1"/>
  <c r="K124" i="13"/>
  <c r="L124" i="13" s="1"/>
  <c r="J140" i="13"/>
  <c r="F140" i="13"/>
  <c r="G124" i="13"/>
  <c r="H124" i="13" s="1"/>
  <c r="K127" i="13"/>
  <c r="L127" i="13" s="1"/>
  <c r="J141" i="13"/>
  <c r="F141" i="13"/>
  <c r="G127" i="13"/>
  <c r="H127" i="13" s="1"/>
  <c r="J142" i="13"/>
  <c r="K129" i="13"/>
  <c r="L129" i="13" s="1"/>
  <c r="F142" i="13"/>
  <c r="G129" i="13"/>
  <c r="H129" i="13" s="1"/>
  <c r="K118" i="13"/>
  <c r="L118" i="13" s="1"/>
  <c r="J138" i="13"/>
  <c r="F138" i="13"/>
  <c r="G118" i="13"/>
  <c r="H118" i="13" s="1"/>
  <c r="J137" i="13"/>
  <c r="F137" i="13"/>
  <c r="G140" i="13" l="1"/>
  <c r="H140" i="13" s="1"/>
  <c r="J131" i="13"/>
  <c r="M1092" i="30"/>
  <c r="P1100" i="30"/>
  <c r="J1087" i="30"/>
  <c r="I1087" i="30"/>
  <c r="G1096" i="30"/>
  <c r="Q1097" i="30"/>
  <c r="T1090" i="30"/>
  <c r="Q1100" i="30"/>
  <c r="J1086" i="30"/>
  <c r="K1095" i="30"/>
  <c r="R1094" i="30"/>
  <c r="I1101" i="30"/>
  <c r="Q1098" i="30"/>
  <c r="K1094" i="30"/>
  <c r="S1098" i="30"/>
  <c r="N1101" i="30"/>
  <c r="G1099" i="30"/>
  <c r="S1092" i="30"/>
  <c r="H1086" i="30"/>
  <c r="M1103" i="30"/>
  <c r="T1096" i="30"/>
  <c r="N1093" i="30"/>
  <c r="L1097" i="30"/>
  <c r="I1097" i="30"/>
  <c r="L1103" i="30"/>
  <c r="M1099" i="30"/>
  <c r="K1089" i="30"/>
  <c r="T1093" i="30"/>
  <c r="L1089" i="30"/>
  <c r="P1087" i="30"/>
  <c r="Q1086" i="30"/>
  <c r="K1100" i="30"/>
  <c r="K1097" i="30"/>
  <c r="K1098" i="30"/>
  <c r="M1089" i="30"/>
  <c r="R1100" i="30"/>
  <c r="G1095" i="30"/>
  <c r="Q1094" i="30"/>
  <c r="R1102" i="30"/>
  <c r="J1098" i="30"/>
  <c r="R1096" i="30"/>
  <c r="S1094" i="30"/>
  <c r="M1091" i="30"/>
  <c r="Q1087" i="30"/>
  <c r="J1088" i="30"/>
  <c r="K1099" i="30"/>
  <c r="H1102" i="30"/>
  <c r="R1093" i="30"/>
  <c r="R1101" i="30"/>
  <c r="I1092" i="30"/>
  <c r="T1092" i="30"/>
  <c r="S1103" i="30"/>
  <c r="H1088" i="30"/>
  <c r="N1087" i="30"/>
  <c r="G1101" i="30"/>
  <c r="L1100" i="30"/>
  <c r="I1102" i="30"/>
  <c r="P1090" i="30"/>
  <c r="H1091" i="30"/>
  <c r="G1100" i="30"/>
  <c r="P1099" i="30"/>
  <c r="J1089" i="30"/>
  <c r="K1091" i="30"/>
  <c r="S1097" i="30"/>
  <c r="Q1088" i="30"/>
  <c r="P1089" i="30"/>
  <c r="L1088" i="30"/>
  <c r="O1099" i="30"/>
  <c r="P1098" i="30"/>
  <c r="H1096" i="30"/>
  <c r="O1096" i="30"/>
  <c r="O1094" i="30"/>
  <c r="Q1093" i="30"/>
  <c r="N1088" i="30"/>
  <c r="N1103" i="30"/>
  <c r="L1093" i="30"/>
  <c r="I1095" i="30"/>
  <c r="O1101" i="30"/>
  <c r="M1090" i="30"/>
  <c r="O1100" i="30"/>
  <c r="P1091" i="30"/>
  <c r="G1092" i="30"/>
  <c r="P1092" i="30"/>
  <c r="T1101" i="30"/>
  <c r="H1095" i="30"/>
  <c r="P1103" i="30"/>
  <c r="R1097" i="30"/>
  <c r="R1089" i="30"/>
  <c r="H1094" i="30"/>
  <c r="P1094" i="30"/>
  <c r="S1099" i="30"/>
  <c r="T1095" i="30"/>
  <c r="N1099" i="30"/>
  <c r="R1098" i="30"/>
  <c r="H1097" i="30"/>
  <c r="T1103" i="30"/>
  <c r="L1099" i="30"/>
  <c r="J1094" i="30"/>
  <c r="J1103" i="30"/>
  <c r="G1087" i="30"/>
  <c r="N1086" i="30"/>
  <c r="M1101" i="30"/>
  <c r="G1089" i="30"/>
  <c r="M1086" i="30"/>
  <c r="S1088" i="30"/>
  <c r="L1090" i="30"/>
  <c r="N1100" i="30"/>
  <c r="I1099" i="30"/>
  <c r="T1087" i="30"/>
  <c r="I1094" i="30"/>
  <c r="R1092" i="30"/>
  <c r="N1091" i="30"/>
  <c r="J1102" i="30"/>
  <c r="N1092" i="30"/>
  <c r="K1086" i="30"/>
  <c r="P1088" i="30"/>
  <c r="I1086" i="30"/>
  <c r="H1098" i="30"/>
  <c r="M1087" i="30"/>
  <c r="T1097" i="30"/>
  <c r="N1094" i="30"/>
  <c r="Q1090" i="30"/>
  <c r="O1102" i="30"/>
  <c r="P1097" i="30"/>
  <c r="L1098" i="30"/>
  <c r="N1098" i="30"/>
  <c r="T1086" i="30"/>
  <c r="N1097" i="30"/>
  <c r="M1097" i="30"/>
  <c r="K1088" i="30"/>
  <c r="G1088" i="30"/>
  <c r="I1103" i="30"/>
  <c r="S1102" i="30"/>
  <c r="P1093" i="30"/>
  <c r="N1089" i="30"/>
  <c r="O1089" i="30"/>
  <c r="I1088" i="30"/>
  <c r="J1099" i="30"/>
  <c r="O1103" i="30"/>
  <c r="Q1091" i="30"/>
  <c r="H1100" i="30"/>
  <c r="M1096" i="30"/>
  <c r="K1103" i="30"/>
  <c r="P1086" i="30"/>
  <c r="M1093" i="30"/>
  <c r="H1099" i="30"/>
  <c r="I1089" i="30"/>
  <c r="K1101" i="30"/>
  <c r="G1093" i="30"/>
  <c r="M1102" i="30"/>
  <c r="G1103" i="30"/>
  <c r="I1090" i="30"/>
  <c r="Q1099" i="30"/>
  <c r="K1102" i="30"/>
  <c r="I1096" i="30"/>
  <c r="Q1096" i="30"/>
  <c r="H1093" i="30"/>
  <c r="J1091" i="30"/>
  <c r="T1091" i="30"/>
  <c r="O1087" i="30"/>
  <c r="S1087" i="30"/>
  <c r="O1088" i="30"/>
  <c r="I1100" i="30"/>
  <c r="S1096" i="30"/>
  <c r="R1099" i="30"/>
  <c r="S1090" i="30"/>
  <c r="T1088" i="30"/>
  <c r="I1091" i="30"/>
  <c r="J1093" i="30"/>
  <c r="P1096" i="30"/>
  <c r="S1089" i="30"/>
  <c r="O1095" i="30"/>
  <c r="M1098" i="30"/>
  <c r="R1086" i="30"/>
  <c r="M1095" i="30"/>
  <c r="R1087" i="30"/>
  <c r="O1093" i="30"/>
  <c r="R1091" i="30"/>
  <c r="L1094" i="30"/>
  <c r="Q1102" i="30"/>
  <c r="I1098" i="30"/>
  <c r="K1093" i="30"/>
  <c r="O1092" i="30"/>
  <c r="G1097" i="30"/>
  <c r="N1095" i="30"/>
  <c r="L1092" i="30"/>
  <c r="L1095" i="30"/>
  <c r="H1103" i="30"/>
  <c r="H1092" i="30"/>
  <c r="N1096" i="30"/>
  <c r="Q1095" i="30"/>
  <c r="K1087" i="30"/>
  <c r="I1093" i="30"/>
  <c r="S1086" i="30"/>
  <c r="R1088" i="30"/>
  <c r="J1090" i="30"/>
  <c r="L1086" i="30"/>
  <c r="J1092" i="30"/>
  <c r="J1097" i="30"/>
  <c r="N1102" i="30"/>
  <c r="K1096" i="30"/>
  <c r="G1102" i="30"/>
  <c r="Q1103" i="30"/>
  <c r="G1086" i="30"/>
  <c r="S1100" i="30"/>
  <c r="P1101" i="30"/>
  <c r="T1089" i="30"/>
  <c r="T1094" i="30"/>
  <c r="T1102" i="30"/>
  <c r="Q1092" i="30"/>
  <c r="J1100" i="30"/>
  <c r="J1096" i="30"/>
  <c r="Q1101" i="30"/>
  <c r="L1096" i="30"/>
  <c r="L1102" i="30"/>
  <c r="H1090" i="30"/>
  <c r="K1092" i="30"/>
  <c r="T1098" i="30"/>
  <c r="O1086" i="30"/>
  <c r="P1102" i="30"/>
  <c r="L1087" i="30"/>
  <c r="H1101" i="30"/>
  <c r="Q1089" i="30"/>
  <c r="O1098" i="30"/>
  <c r="S1101" i="30"/>
  <c r="H1089" i="30"/>
  <c r="R1103" i="30"/>
  <c r="S1091" i="30"/>
  <c r="G1091" i="30"/>
  <c r="G1098" i="30"/>
  <c r="M1100" i="30"/>
  <c r="K1090" i="30"/>
  <c r="N1090" i="30"/>
  <c r="O1091" i="30"/>
  <c r="J1095" i="30"/>
  <c r="M1094" i="30"/>
  <c r="R1095" i="30"/>
  <c r="J1101" i="30"/>
  <c r="O1090" i="30"/>
  <c r="H1087" i="30"/>
  <c r="G1090" i="30"/>
  <c r="P1095" i="30"/>
  <c r="G1094" i="30"/>
  <c r="R1090" i="30"/>
  <c r="O1097" i="30"/>
  <c r="M1088" i="30"/>
  <c r="T1100" i="30"/>
  <c r="S1095" i="30"/>
  <c r="T1099" i="30"/>
  <c r="L1101" i="30"/>
  <c r="L1091" i="30"/>
  <c r="K141" i="13"/>
  <c r="L141" i="13" s="1"/>
  <c r="J139" i="13"/>
  <c r="K139" i="13" s="1"/>
  <c r="L139" i="13" s="1"/>
  <c r="K138" i="13"/>
  <c r="L138" i="13" s="1"/>
  <c r="G138" i="13"/>
  <c r="H138" i="13" s="1"/>
  <c r="G141" i="13"/>
  <c r="H141" i="13" s="1"/>
  <c r="K140" i="13"/>
  <c r="L140" i="13" s="1"/>
  <c r="K142" i="13"/>
  <c r="L142" i="13" s="1"/>
  <c r="G142" i="13"/>
  <c r="H142" i="13" s="1"/>
  <c r="G139" i="13"/>
  <c r="H139" i="13" s="1"/>
  <c r="F143" i="13"/>
  <c r="U1100" i="30" l="1"/>
  <c r="Q254" i="32" s="1"/>
  <c r="U1086" i="30"/>
  <c r="C254" i="32" s="1"/>
  <c r="U1098" i="30"/>
  <c r="O254" i="32" s="1"/>
  <c r="U1090" i="30"/>
  <c r="G254" i="32" s="1"/>
  <c r="U1089" i="30"/>
  <c r="F254" i="32" s="1"/>
  <c r="U1092" i="30"/>
  <c r="I254" i="32" s="1"/>
  <c r="U1091" i="30"/>
  <c r="H254" i="32" s="1"/>
  <c r="U1099" i="30"/>
  <c r="P254" i="32" s="1"/>
  <c r="U1087" i="30"/>
  <c r="D254" i="32" s="1"/>
  <c r="U1093" i="30"/>
  <c r="J254" i="32" s="1"/>
  <c r="U1088" i="30"/>
  <c r="E254" i="32" s="1"/>
  <c r="U1095" i="30"/>
  <c r="L254" i="32" s="1"/>
  <c r="U1096" i="30"/>
  <c r="M254" i="32" s="1"/>
  <c r="U1101" i="30"/>
  <c r="R254" i="32" s="1"/>
  <c r="U1094" i="30"/>
  <c r="K254" i="32" s="1"/>
  <c r="U1102" i="30"/>
  <c r="S254" i="32" s="1"/>
  <c r="U1097" i="30"/>
  <c r="N254" i="32" s="1"/>
  <c r="U1103" i="30"/>
  <c r="T254" i="32" s="1"/>
  <c r="J143" i="13"/>
  <c r="P90" i="13"/>
  <c r="O90" i="13" l="1"/>
  <c r="T90" i="13"/>
  <c r="Q90" i="13"/>
  <c r="S90" i="13" l="1"/>
  <c r="R90" i="13" l="1"/>
  <c r="U90" i="13" l="1"/>
  <c r="E117" i="13"/>
  <c r="E131" i="13"/>
  <c r="E137" i="13" l="1"/>
  <c r="G117" i="13"/>
  <c r="H117" i="13" s="1"/>
  <c r="V90" i="13" l="1"/>
  <c r="G1068" i="30" a="1"/>
  <c r="I117" i="13"/>
  <c r="E143" i="13"/>
  <c r="G143" i="13" s="1"/>
  <c r="H143" i="13" s="1"/>
  <c r="G137" i="13"/>
  <c r="H137" i="13" s="1"/>
  <c r="I131" i="13"/>
  <c r="K131" i="13" s="1"/>
  <c r="L131" i="13" s="1"/>
  <c r="I137" i="13" l="1"/>
  <c r="K117" i="13"/>
  <c r="L117" i="13" s="1"/>
  <c r="G1104" i="30" s="1" a="1"/>
  <c r="O1082" i="30"/>
  <c r="I1081" i="30"/>
  <c r="H1076" i="30"/>
  <c r="G1080" i="30"/>
  <c r="M1069" i="30"/>
  <c r="J1079" i="30"/>
  <c r="L1081" i="30"/>
  <c r="R1073" i="30"/>
  <c r="K1085" i="30"/>
  <c r="J1082" i="30"/>
  <c r="M1068" i="30"/>
  <c r="K1077" i="30"/>
  <c r="P1077" i="30"/>
  <c r="J1071" i="30"/>
  <c r="I1085" i="30"/>
  <c r="G1074" i="30"/>
  <c r="S1073" i="30"/>
  <c r="O1083" i="30"/>
  <c r="J1084" i="30"/>
  <c r="I1071" i="30"/>
  <c r="K1068" i="30"/>
  <c r="N1072" i="30"/>
  <c r="J1072" i="30"/>
  <c r="G1084" i="30"/>
  <c r="O1078" i="30"/>
  <c r="S1072" i="30"/>
  <c r="N1077" i="30"/>
  <c r="N1080" i="30"/>
  <c r="H1081" i="30"/>
  <c r="L1071" i="30"/>
  <c r="K1080" i="30"/>
  <c r="K1070" i="30"/>
  <c r="N1074" i="30"/>
  <c r="R1075" i="30"/>
  <c r="T1077" i="30"/>
  <c r="S1084" i="30"/>
  <c r="M1077" i="30"/>
  <c r="M1080" i="30"/>
  <c r="I1079" i="30"/>
  <c r="O1080" i="30"/>
  <c r="P1072" i="30"/>
  <c r="I1083" i="30"/>
  <c r="J1073" i="30"/>
  <c r="Q1075" i="30"/>
  <c r="P1076" i="30"/>
  <c r="G1078" i="30"/>
  <c r="O1072" i="30"/>
  <c r="I1070" i="30"/>
  <c r="T1083" i="30"/>
  <c r="K1081" i="30"/>
  <c r="G1081" i="30"/>
  <c r="N1084" i="30"/>
  <c r="L1069" i="30"/>
  <c r="L1083" i="30"/>
  <c r="S1071" i="30"/>
  <c r="M1085" i="30"/>
  <c r="R1072" i="30"/>
  <c r="I1073" i="30"/>
  <c r="P1084" i="30"/>
  <c r="T1072" i="30"/>
  <c r="O1068" i="30"/>
  <c r="R1080" i="30"/>
  <c r="J1075" i="30"/>
  <c r="N1078" i="30"/>
  <c r="T1073" i="30"/>
  <c r="R1068" i="30"/>
  <c r="L1080" i="30"/>
  <c r="N1083" i="30"/>
  <c r="O1075" i="30"/>
  <c r="Q1074" i="30"/>
  <c r="R1085" i="30"/>
  <c r="O1073" i="30"/>
  <c r="I1074" i="30"/>
  <c r="K1069" i="30"/>
  <c r="K1078" i="30"/>
  <c r="Q1069" i="30"/>
  <c r="H1084" i="30"/>
  <c r="P1069" i="30"/>
  <c r="G1085" i="30"/>
  <c r="P1073" i="30"/>
  <c r="H1070" i="30"/>
  <c r="H1077" i="30"/>
  <c r="P1080" i="30"/>
  <c r="R1083" i="30"/>
  <c r="H1075" i="30"/>
  <c r="M1073" i="30"/>
  <c r="P1083" i="30"/>
  <c r="N1082" i="30"/>
  <c r="R1076" i="30"/>
  <c r="S1083" i="30"/>
  <c r="J1081" i="30"/>
  <c r="L1068" i="30"/>
  <c r="P1071" i="30"/>
  <c r="Q1078" i="30"/>
  <c r="I1072" i="30"/>
  <c r="G1073" i="30"/>
  <c r="O1085" i="30"/>
  <c r="N1076" i="30"/>
  <c r="G1069" i="30"/>
  <c r="J1076" i="30"/>
  <c r="G1070" i="30"/>
  <c r="I1077" i="30"/>
  <c r="R1070" i="30"/>
  <c r="M1072" i="30"/>
  <c r="N1071" i="30"/>
  <c r="L1073" i="30"/>
  <c r="H1069" i="30"/>
  <c r="G1079" i="30"/>
  <c r="M1078" i="30"/>
  <c r="K1074" i="30"/>
  <c r="I1080" i="30"/>
  <c r="N1068" i="30"/>
  <c r="O1070" i="30"/>
  <c r="K1071" i="30"/>
  <c r="O1074" i="30"/>
  <c r="Q1068" i="30"/>
  <c r="G1072" i="30"/>
  <c r="P1068" i="30"/>
  <c r="T1071" i="30"/>
  <c r="H1082" i="30"/>
  <c r="S1080" i="30"/>
  <c r="J1085" i="30"/>
  <c r="H1083" i="30"/>
  <c r="H1073" i="30"/>
  <c r="H1068" i="30"/>
  <c r="L1085" i="30"/>
  <c r="N1079" i="30"/>
  <c r="G1083" i="30"/>
  <c r="R1079" i="30"/>
  <c r="N1070" i="30"/>
  <c r="I1076" i="30"/>
  <c r="K1073" i="30"/>
  <c r="R1069" i="30"/>
  <c r="Q1071" i="30"/>
  <c r="P1075" i="30"/>
  <c r="O1084" i="30"/>
  <c r="T1079" i="30"/>
  <c r="J1069" i="30"/>
  <c r="M1084" i="30"/>
  <c r="Q1084" i="30"/>
  <c r="S1075" i="30"/>
  <c r="O1081" i="30"/>
  <c r="K1076" i="30"/>
  <c r="K1079" i="30"/>
  <c r="S1078" i="30"/>
  <c r="Q1079" i="30"/>
  <c r="L1070" i="30"/>
  <c r="L1079" i="30"/>
  <c r="M1082" i="30"/>
  <c r="O1071" i="30"/>
  <c r="T1076" i="30"/>
  <c r="M1074" i="30"/>
  <c r="G1082" i="30"/>
  <c r="S1076" i="30"/>
  <c r="N1081" i="30"/>
  <c r="P1079" i="30"/>
  <c r="J1078" i="30"/>
  <c r="R1077" i="30"/>
  <c r="J1083" i="30"/>
  <c r="T1084" i="30"/>
  <c r="O1076" i="30"/>
  <c r="I1084" i="30"/>
  <c r="L1072" i="30"/>
  <c r="I1078" i="30"/>
  <c r="S1068" i="30"/>
  <c r="J1077" i="30"/>
  <c r="I1082" i="30"/>
  <c r="O1079" i="30"/>
  <c r="T1081" i="30"/>
  <c r="Q1070" i="30"/>
  <c r="P1078" i="30"/>
  <c r="O1077" i="30"/>
  <c r="S1081" i="30"/>
  <c r="K1082" i="30"/>
  <c r="T1078" i="30"/>
  <c r="P1070" i="30"/>
  <c r="T1069" i="30"/>
  <c r="S1082" i="30"/>
  <c r="Q1080" i="30"/>
  <c r="S1074" i="30"/>
  <c r="L1082" i="30"/>
  <c r="Q1076" i="30"/>
  <c r="S1069" i="30"/>
  <c r="L1078" i="30"/>
  <c r="P1074" i="30"/>
  <c r="I1075" i="30"/>
  <c r="G1075" i="30"/>
  <c r="T1085" i="30"/>
  <c r="Q1083" i="30"/>
  <c r="P1085" i="30"/>
  <c r="Q1081" i="30"/>
  <c r="L1077" i="30"/>
  <c r="J1068" i="30"/>
  <c r="L1074" i="30"/>
  <c r="L1075" i="30"/>
  <c r="L1076" i="30"/>
  <c r="I1069" i="30"/>
  <c r="K1075" i="30"/>
  <c r="G1068" i="30"/>
  <c r="K1084" i="30"/>
  <c r="R1081" i="30"/>
  <c r="N1075" i="30"/>
  <c r="G1077" i="30"/>
  <c r="T1068" i="30"/>
  <c r="K1072" i="30"/>
  <c r="T1074" i="30"/>
  <c r="O1069" i="30"/>
  <c r="M1079" i="30"/>
  <c r="G1076" i="30"/>
  <c r="Q1085" i="30"/>
  <c r="Q1077" i="30"/>
  <c r="T1080" i="30"/>
  <c r="R1082" i="30"/>
  <c r="M1075" i="30"/>
  <c r="Q1082" i="30"/>
  <c r="S1085" i="30"/>
  <c r="H1074" i="30"/>
  <c r="H1072" i="30"/>
  <c r="N1073" i="30"/>
  <c r="M1070" i="30"/>
  <c r="J1080" i="30"/>
  <c r="P1081" i="30"/>
  <c r="M1076" i="30"/>
  <c r="H1078" i="30"/>
  <c r="N1069" i="30"/>
  <c r="T1082" i="30"/>
  <c r="S1070" i="30"/>
  <c r="H1071" i="30"/>
  <c r="H1085" i="30"/>
  <c r="H1079" i="30"/>
  <c r="H1080" i="30"/>
  <c r="S1077" i="30"/>
  <c r="R1074" i="30"/>
  <c r="R1078" i="30"/>
  <c r="R1071" i="30"/>
  <c r="M1071" i="30"/>
  <c r="N1085" i="30"/>
  <c r="P1082" i="30"/>
  <c r="M1081" i="30"/>
  <c r="R1084" i="30"/>
  <c r="T1070" i="30"/>
  <c r="J1070" i="30"/>
  <c r="S1079" i="30"/>
  <c r="G1071" i="30"/>
  <c r="I1068" i="30"/>
  <c r="M1083" i="30"/>
  <c r="T1075" i="30"/>
  <c r="L1084" i="30"/>
  <c r="Q1072" i="30"/>
  <c r="Q1073" i="30"/>
  <c r="J1074" i="30"/>
  <c r="K1083" i="30"/>
  <c r="U1072" i="30" l="1"/>
  <c r="G252" i="32" s="1"/>
  <c r="U1070" i="30"/>
  <c r="E252" i="32" s="1"/>
  <c r="U1071" i="30"/>
  <c r="F252" i="32" s="1"/>
  <c r="U1079" i="30"/>
  <c r="N252" i="32" s="1"/>
  <c r="U1080" i="30"/>
  <c r="O252" i="32" s="1"/>
  <c r="U1077" i="30"/>
  <c r="L252" i="32" s="1"/>
  <c r="U1081" i="30"/>
  <c r="P252" i="32" s="1"/>
  <c r="U1069" i="30"/>
  <c r="D252" i="32" s="1"/>
  <c r="U1078" i="30"/>
  <c r="M252" i="32" s="1"/>
  <c r="U1075" i="30"/>
  <c r="J252" i="32" s="1"/>
  <c r="U1076" i="30"/>
  <c r="K252" i="32" s="1"/>
  <c r="U1082" i="30"/>
  <c r="Q252" i="32" s="1"/>
  <c r="H1108" i="30"/>
  <c r="T1105" i="30"/>
  <c r="J1108" i="30"/>
  <c r="T1107" i="30"/>
  <c r="M1109" i="30"/>
  <c r="J1111" i="30"/>
  <c r="O1109" i="30"/>
  <c r="I1106" i="30"/>
  <c r="I1108" i="30"/>
  <c r="R1108" i="30"/>
  <c r="G1109" i="30"/>
  <c r="L1106" i="30"/>
  <c r="P1106" i="30"/>
  <c r="K1111" i="30"/>
  <c r="Q1109" i="30"/>
  <c r="I1104" i="30"/>
  <c r="K1106" i="30"/>
  <c r="G1110" i="30"/>
  <c r="S1111" i="30"/>
  <c r="Q1106" i="30"/>
  <c r="T1104" i="30"/>
  <c r="I1107" i="30"/>
  <c r="H1105" i="30"/>
  <c r="M1108" i="30"/>
  <c r="R1106" i="30"/>
  <c r="G1108" i="30"/>
  <c r="J1104" i="30"/>
  <c r="J1109" i="30"/>
  <c r="V261" i="32" s="1"/>
  <c r="N1104" i="30"/>
  <c r="S1108" i="30"/>
  <c r="Q1111" i="30"/>
  <c r="L1111" i="30"/>
  <c r="H1110" i="30"/>
  <c r="L1105" i="30"/>
  <c r="N1109" i="30"/>
  <c r="H1104" i="30"/>
  <c r="M1106" i="30"/>
  <c r="O1107" i="30"/>
  <c r="R1104" i="30"/>
  <c r="R1110" i="30"/>
  <c r="Q1108" i="30"/>
  <c r="Q1110" i="30"/>
  <c r="P1108" i="30"/>
  <c r="P1107" i="30"/>
  <c r="T1106" i="30"/>
  <c r="G1111" i="30"/>
  <c r="N1111" i="30"/>
  <c r="K1109" i="30"/>
  <c r="Q1107" i="30"/>
  <c r="O1108" i="30"/>
  <c r="K1105" i="30"/>
  <c r="H1111" i="30"/>
  <c r="L1108" i="30"/>
  <c r="G1104" i="30"/>
  <c r="T1108" i="30"/>
  <c r="M1104" i="30"/>
  <c r="Q1104" i="30"/>
  <c r="I1110" i="30"/>
  <c r="P1111" i="30"/>
  <c r="S1110" i="30"/>
  <c r="L1104" i="30"/>
  <c r="I1109" i="30"/>
  <c r="S1104" i="30"/>
  <c r="N1107" i="30"/>
  <c r="J1106" i="30"/>
  <c r="J1105" i="30"/>
  <c r="I1111" i="30"/>
  <c r="S1105" i="30"/>
  <c r="H1107" i="30"/>
  <c r="K1110" i="30"/>
  <c r="J1110" i="30"/>
  <c r="M1107" i="30"/>
  <c r="R1107" i="30"/>
  <c r="N1108" i="30"/>
  <c r="Q1105" i="30"/>
  <c r="P1105" i="30"/>
  <c r="K1104" i="30"/>
  <c r="P1110" i="30"/>
  <c r="O1105" i="30"/>
  <c r="I1105" i="30"/>
  <c r="T1111" i="30"/>
  <c r="O1104" i="30"/>
  <c r="O1110" i="30"/>
  <c r="M1111" i="30"/>
  <c r="M1110" i="30"/>
  <c r="R1111" i="30"/>
  <c r="J1107" i="30"/>
  <c r="N1105" i="30"/>
  <c r="N1106" i="30"/>
  <c r="T1110" i="30"/>
  <c r="R1105" i="30"/>
  <c r="T1109" i="30"/>
  <c r="G1106" i="30"/>
  <c r="S1109" i="30"/>
  <c r="P1104" i="30"/>
  <c r="R1109" i="30"/>
  <c r="P1109" i="30"/>
  <c r="H1109" i="30"/>
  <c r="G1105" i="30"/>
  <c r="N1110" i="30"/>
  <c r="O1111" i="30"/>
  <c r="G1107" i="30"/>
  <c r="L1110" i="30"/>
  <c r="S1106" i="30"/>
  <c r="O1106" i="30"/>
  <c r="L1109" i="30"/>
  <c r="H1106" i="30"/>
  <c r="M1105" i="30"/>
  <c r="L1107" i="30"/>
  <c r="K1107" i="30"/>
  <c r="S1107" i="30"/>
  <c r="K1108" i="30"/>
  <c r="U1083" i="30"/>
  <c r="R252" i="32" s="1"/>
  <c r="U1073" i="30"/>
  <c r="H252" i="32" s="1"/>
  <c r="U1084" i="30"/>
  <c r="S252" i="32" s="1"/>
  <c r="U1074" i="30"/>
  <c r="I252" i="32" s="1"/>
  <c r="U1068" i="30"/>
  <c r="C252" i="32" s="1"/>
  <c r="U1085" i="30"/>
  <c r="T252" i="32" s="1"/>
  <c r="I143" i="13"/>
  <c r="K143" i="13" s="1"/>
  <c r="L143" i="13" s="1"/>
  <c r="K137" i="13"/>
  <c r="L137" i="13" s="1"/>
  <c r="U257" i="32" l="1"/>
  <c r="U258" i="32"/>
  <c r="U1105" i="30"/>
  <c r="U1109" i="30"/>
  <c r="U1108" i="30"/>
  <c r="V260" i="32" s="1"/>
  <c r="V262" i="32"/>
  <c r="U1104" i="30"/>
  <c r="U256" i="32" s="1"/>
  <c r="U1110" i="30" l="1"/>
  <c r="U1111" i="30" s="1"/>
  <c r="V263" i="32" s="1"/>
  <c r="U1106" i="30"/>
  <c r="U1107" i="30" s="1"/>
  <c r="U259" i="32" s="1"/>
  <c r="F131" i="13" l="1"/>
  <c r="G131" i="13" s="1"/>
  <c r="H131"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<sst xmlns="http://schemas.openxmlformats.org/spreadsheetml/2006/main" count="25266" uniqueCount="1420">
  <si>
    <t>Contents</t>
  </si>
  <si>
    <t>Tab</t>
  </si>
  <si>
    <t>Description</t>
  </si>
  <si>
    <t>One-pager</t>
  </si>
  <si>
    <t>Cover, Guide &amp; Drivers</t>
  </si>
  <si>
    <t>RAG and Ranking</t>
  </si>
  <si>
    <t>Chapter 2 - Incentive Payments</t>
  </si>
  <si>
    <t xml:space="preserve">Incentive Payments </t>
  </si>
  <si>
    <t>Reliability</t>
  </si>
  <si>
    <t xml:space="preserve">Reliability and Availability incentive measures including: IIS, GSoP, WSC and Network resilience   </t>
  </si>
  <si>
    <t>Network Asset Secondary Deliverables</t>
  </si>
  <si>
    <t>Health, critically and monetised risk</t>
  </si>
  <si>
    <t xml:space="preserve">Connections </t>
  </si>
  <si>
    <t>Connection incentives including: Time to Connect Incentive, Incentive on Connections Engagement (ICE), Connections on Guaranteed Standards of Performance and Customer Satisfaction Survey</t>
  </si>
  <si>
    <t>Environment</t>
  </si>
  <si>
    <t>Environment incentives including: Obligation to manage losses, Business Carbon Footprint, limiting emissions of Sulphur Hexafluoride (SF6), Fluid filled cable leakage, Noise pollution, Visual impact allowance for undergrounding overhead lines in Areas of Outstanding Natural Beauty (AONB) &amp; National Parks and Environmental report</t>
  </si>
  <si>
    <t>Customer Satisfaction</t>
  </si>
  <si>
    <t>Customer Satisfaction incentives including: Customer Satisfaction Survey, Complaints Metric and Stakeholder Engagement and Consumer Vulnerability</t>
  </si>
  <si>
    <t>Innovation</t>
  </si>
  <si>
    <t>Innovation data including: Network Innovation Allowance, Network Innovation Competition and Innovation projects</t>
  </si>
  <si>
    <t>Chapter 3 - Financial Performance</t>
  </si>
  <si>
    <t>Financial Performance</t>
  </si>
  <si>
    <t>Chapter 4 - Expenditure Drivers</t>
  </si>
  <si>
    <t>Expenditure Drivers</t>
  </si>
  <si>
    <t>Expenditure driver's data including: Expenditure drivers of allowances and expenditures of each cost category, distribution of overall allowances and expenditures and Baselines allowances &amp; actual expenditure by cost category</t>
  </si>
  <si>
    <t>Expenditure Drivers 2</t>
  </si>
  <si>
    <t>Overall outline of baseline allowances of each cost category, areas of underspend and areas of overspend</t>
  </si>
  <si>
    <t>One-Pager</t>
  </si>
  <si>
    <t>SSEH</t>
  </si>
  <si>
    <t>One-Pager - key data points of each DNO (Dropdown Menu above)</t>
  </si>
  <si>
    <t>Cover, Guide and Drivers</t>
  </si>
  <si>
    <t>10 year trend</t>
  </si>
  <si>
    <t>ED1 trend</t>
  </si>
  <si>
    <t>Customer numbers</t>
  </si>
  <si>
    <t xml:space="preserve">Allowed totex </t>
  </si>
  <si>
    <t>Network length</t>
  </si>
  <si>
    <t>Actual totex</t>
  </si>
  <si>
    <t>Total units distributed</t>
  </si>
  <si>
    <t>Overspend/underspend</t>
  </si>
  <si>
    <t xml:space="preserve">Network-wide peak load </t>
  </si>
  <si>
    <t>Allowed totex after totex incentive rate</t>
  </si>
  <si>
    <t>Incentive Payments</t>
  </si>
  <si>
    <t>Customer Bill Impact (per customer)</t>
  </si>
  <si>
    <t>RAV at start of financial year</t>
  </si>
  <si>
    <t>Total Incentive Payments</t>
  </si>
  <si>
    <t>RAV at end of financial year</t>
  </si>
  <si>
    <t>Expenditure Drivers (Over-spend/under-spend %)</t>
  </si>
  <si>
    <t>RAG rating</t>
  </si>
  <si>
    <t>CI Performance</t>
  </si>
  <si>
    <t>Network reinforcement</t>
  </si>
  <si>
    <t>CML Performance</t>
  </si>
  <si>
    <t>Replacing and refurbishing equipment</t>
  </si>
  <si>
    <t>IIS Total Reward/Penalty</t>
  </si>
  <si>
    <t>Network faults</t>
  </si>
  <si>
    <t>GSOP mandatory payments vs valid payments owed</t>
  </si>
  <si>
    <t>Operational support</t>
  </si>
  <si>
    <t>WSC Expenditure</t>
  </si>
  <si>
    <t>Business support</t>
  </si>
  <si>
    <t>Total Resilience Baseline</t>
  </si>
  <si>
    <t>Black start, Flood mitigation, Physical security and Tree cutting</t>
  </si>
  <si>
    <t>Total Resilience Actual</t>
  </si>
  <si>
    <t>Connections</t>
  </si>
  <si>
    <t>Reinforcement</t>
  </si>
  <si>
    <t>Ranking</t>
  </si>
  <si>
    <t>Transmission Connection Point</t>
  </si>
  <si>
    <t>Distributed Generation</t>
  </si>
  <si>
    <t>Diversions (Excluding Rail Electrification)</t>
  </si>
  <si>
    <t>TTC Reward</t>
  </si>
  <si>
    <t>Diversions Rail Elec</t>
  </si>
  <si>
    <t>ICE Penalty</t>
  </si>
  <si>
    <t>Asset Replacement</t>
  </si>
  <si>
    <t>Penalties paid against Connection GSOPs</t>
  </si>
  <si>
    <t>Refurbishment</t>
  </si>
  <si>
    <t>Civil Works Condition Driven</t>
  </si>
  <si>
    <t>Operational IT and telecoms</t>
  </si>
  <si>
    <t>Blackstart</t>
  </si>
  <si>
    <t>Distribution Losses</t>
  </si>
  <si>
    <t>BT21CN</t>
  </si>
  <si>
    <t>Legal &amp; Safety</t>
  </si>
  <si>
    <t>BCF (as % of network length and customer numbers)</t>
  </si>
  <si>
    <t>QoS &amp; North of Scotland Resilience</t>
  </si>
  <si>
    <t>SF6 emissions (as % of SF6 bank)</t>
  </si>
  <si>
    <t>Flood Mitigation</t>
  </si>
  <si>
    <t>Top up of fluid-filled cabes (as % of oil in service)</t>
  </si>
  <si>
    <t>Physical Security</t>
  </si>
  <si>
    <t>Undergrounding expenditure</t>
  </si>
  <si>
    <t>Rising and Lateral Mains</t>
  </si>
  <si>
    <t>Slow charge EVs connected to the distribution network</t>
  </si>
  <si>
    <t>Overhead Line Clearances</t>
  </si>
  <si>
    <t>Fast charge EVs connected to the distribution network</t>
  </si>
  <si>
    <t>Environmental Reporting &amp; Losses</t>
  </si>
  <si>
    <t>Noise complaints</t>
  </si>
  <si>
    <t>Faults</t>
  </si>
  <si>
    <t>Severe Weather 1 in 20</t>
  </si>
  <si>
    <t>ONIs</t>
  </si>
  <si>
    <t>Tree Cutting</t>
  </si>
  <si>
    <t>Overall CSS Score</t>
  </si>
  <si>
    <t>I&amp;M</t>
  </si>
  <si>
    <t>Complaint Metric Score</t>
  </si>
  <si>
    <t>NOCs Other</t>
  </si>
  <si>
    <t>CSS Reward/Penalty</t>
  </si>
  <si>
    <t>Non Op Capex</t>
  </si>
  <si>
    <t>Complaints Metric Penalty</t>
  </si>
  <si>
    <t>Smart Meter</t>
  </si>
  <si>
    <t>Stakeholder Engagement and Consumer Vulnerability Score</t>
  </si>
  <si>
    <t>Closely Associated Indirects</t>
  </si>
  <si>
    <t>Stakeholder Engagement and Consumer Vulnerability Reward</t>
  </si>
  <si>
    <t>Business Support</t>
  </si>
  <si>
    <t>Broad Measure of Customer Service Reward/Penalty</t>
  </si>
  <si>
    <t>HVP ED1</t>
  </si>
  <si>
    <t>HVP DPCR5</t>
  </si>
  <si>
    <t>Total of the disaggregated areas</t>
  </si>
  <si>
    <t>NIA Expenditure</t>
  </si>
  <si>
    <t>Policy Adjustments (Forecast DRS 8, Disposals, Shetland Competitive Process, Shetland Uncertain Energy, WSC, Atypicals)</t>
  </si>
  <si>
    <t>% of NIA Allowance</t>
  </si>
  <si>
    <t>NIC Funding Awarded</t>
  </si>
  <si>
    <t>Guide and Drivers</t>
  </si>
  <si>
    <t>This workbook provides data that is reported in the Annual Report and more detailed data for those who want to undertake further analysis.</t>
  </si>
  <si>
    <t>Key</t>
  </si>
  <si>
    <t>Future year input (graphs will be manually pointed to the relevant years' data)</t>
  </si>
  <si>
    <t>Actual expenditure or performance</t>
  </si>
  <si>
    <t>Forecast / target expenditure or performance</t>
  </si>
  <si>
    <t>Baseline allowances</t>
  </si>
  <si>
    <t>Forecast/Adjusted allowances</t>
  </si>
  <si>
    <t>Adjustment factor / Difference</t>
  </si>
  <si>
    <t>Price base:</t>
  </si>
  <si>
    <t>2020/21</t>
  </si>
  <si>
    <t>Input Terms</t>
  </si>
  <si>
    <t>RPI Index</t>
  </si>
  <si>
    <t>Financial Year Average RPI</t>
  </si>
  <si>
    <t>Conversion from 12/13 to nominal prices</t>
  </si>
  <si>
    <t>2009/10</t>
  </si>
  <si>
    <t>2010/11</t>
  </si>
  <si>
    <t>2011/12</t>
  </si>
  <si>
    <t>2012/13</t>
  </si>
  <si>
    <t>2013/14</t>
  </si>
  <si>
    <t>2014/15</t>
  </si>
  <si>
    <t>2015/16</t>
  </si>
  <si>
    <t>2016/17</t>
  </si>
  <si>
    <t>2017/18</t>
  </si>
  <si>
    <t>2018/19</t>
  </si>
  <si>
    <t>2019/20</t>
  </si>
  <si>
    <t>2021/22</t>
  </si>
  <si>
    <t>2022/23</t>
  </si>
  <si>
    <t>Drivers</t>
  </si>
  <si>
    <t>DPCR5</t>
  </si>
  <si>
    <t>RIIO ED1</t>
  </si>
  <si>
    <t>Column1</t>
  </si>
  <si>
    <t>2011</t>
  </si>
  <si>
    <t>2012</t>
  </si>
  <si>
    <t>2013</t>
  </si>
  <si>
    <t>2014</t>
  </si>
  <si>
    <t>2015</t>
  </si>
  <si>
    <t>2016</t>
  </si>
  <si>
    <t>2017</t>
  </si>
  <si>
    <t>2018</t>
  </si>
  <si>
    <t>2019</t>
  </si>
  <si>
    <t>2020</t>
  </si>
  <si>
    <t>2021</t>
  </si>
  <si>
    <t>2022</t>
  </si>
  <si>
    <t>2023</t>
  </si>
  <si>
    <t>ENWL</t>
  </si>
  <si>
    <t>NPgN</t>
  </si>
  <si>
    <t>NPgY</t>
  </si>
  <si>
    <t>WMID</t>
  </si>
  <si>
    <t>EMID</t>
  </si>
  <si>
    <t>SWALES</t>
  </si>
  <si>
    <t>SWEST</t>
  </si>
  <si>
    <t>LPN</t>
  </si>
  <si>
    <t>SPN</t>
  </si>
  <si>
    <t>EPN</t>
  </si>
  <si>
    <t>SPD</t>
  </si>
  <si>
    <t>SPMW</t>
  </si>
  <si>
    <t>SSES</t>
  </si>
  <si>
    <t>Total</t>
  </si>
  <si>
    <t>Network length (km)</t>
  </si>
  <si>
    <t>Total units distributed (GWh)</t>
  </si>
  <si>
    <t>Network-wide Peak load (MVA)</t>
  </si>
  <si>
    <t>Chapter 2 - Reliability and Availability</t>
  </si>
  <si>
    <t>Incentive payments</t>
  </si>
  <si>
    <t>Interruptions Incentive Scheme (IIS)</t>
  </si>
  <si>
    <t>Incentive on connections engagement (ICE)</t>
  </si>
  <si>
    <t>Time to Connect Incentive (TTC)</t>
  </si>
  <si>
    <t>Broad measure of customer service (BMCS)</t>
  </si>
  <si>
    <t>Losses discretionary reward scheme (LDR)</t>
  </si>
  <si>
    <t>Total incentive payments</t>
  </si>
  <si>
    <t>don’t erase it</t>
  </si>
  <si>
    <t>NPg</t>
  </si>
  <si>
    <t>UKPN</t>
  </si>
  <si>
    <t>SPEN</t>
  </si>
  <si>
    <t>SSEN</t>
  </si>
  <si>
    <t>Outputs overview</t>
  </si>
  <si>
    <t>Reliability &amp; Availability</t>
  </si>
  <si>
    <t>Customer satisfaction</t>
  </si>
  <si>
    <t>Social obligations</t>
  </si>
  <si>
    <t>Number of interruption (CIs) 
RAG</t>
  </si>
  <si>
    <t>Number of minutes lost (CMLs) 
RAG</t>
  </si>
  <si>
    <t>BCF (excl. losses) ranking</t>
  </si>
  <si>
    <t>SF6 
ranking</t>
  </si>
  <si>
    <t>Fluid filled cable leakage ranking</t>
  </si>
  <si>
    <t>Time to Quote and Time to Connect RAG</t>
  </si>
  <si>
    <t>Time to Quote and Time to Connect ranking</t>
  </si>
  <si>
    <t>Connection GSoPs 
RAG</t>
  </si>
  <si>
    <t>Connection GSoPs ranking</t>
  </si>
  <si>
    <t>Complaints RAG</t>
  </si>
  <si>
    <t>Complaints ranking</t>
  </si>
  <si>
    <t>Customer Satisfaction RAG</t>
  </si>
  <si>
    <t>BMCS ranking</t>
  </si>
  <si>
    <t>SECV 
RAG</t>
  </si>
  <si>
    <t>SECV ranking</t>
  </si>
  <si>
    <t>N/A</t>
  </si>
  <si>
    <t>Industry</t>
  </si>
  <si>
    <t>Performance against the outputs that DNOs are incentivised to deliver under RIIO-ED1.</t>
  </si>
  <si>
    <r>
      <rPr>
        <b/>
        <sz val="10"/>
        <color theme="0"/>
        <rFont val="Verdana"/>
        <family val="2"/>
      </rPr>
      <t>Reliability and availability:</t>
    </r>
    <r>
      <rPr>
        <sz val="10"/>
        <color theme="0"/>
        <rFont val="Verdana"/>
        <family val="2"/>
      </rPr>
      <t xml:space="preserve"> providing long-term reliability, minimising the number and duration of interruptions and ensuring adaptation to climate change.</t>
    </r>
  </si>
  <si>
    <t>Incentive measure</t>
  </si>
  <si>
    <t>Incentive type</t>
  </si>
  <si>
    <r>
      <rPr>
        <b/>
        <sz val="10"/>
        <color theme="1"/>
        <rFont val="Verdana"/>
        <family val="2"/>
      </rPr>
      <t>Interruption incentive scheme (IIS):</t>
    </r>
    <r>
      <rPr>
        <sz val="10"/>
        <color theme="1"/>
        <rFont val="Verdana"/>
        <family val="2"/>
      </rPr>
      <t xml:space="preserve"> DNOs can receive a financial reward or incur a financial penalty depending on their performance against a target for both the number and length of their network supply interruptions.</t>
    </r>
  </si>
  <si>
    <t xml:space="preserve">Financial: 250 RORE basis points per annum. 
Supported by monitoring of Secondary Deliverables. 
Reputational.
</t>
  </si>
  <si>
    <r>
      <rPr>
        <b/>
        <sz val="10"/>
        <color theme="1"/>
        <rFont val="Verdana"/>
        <family val="2"/>
      </rPr>
      <t>Guaranteed Standards of Performance (GSoP):</t>
    </r>
    <r>
      <rPr>
        <sz val="10"/>
        <color theme="1"/>
        <rFont val="Verdana"/>
        <family val="2"/>
      </rPr>
      <t xml:space="preserve"> direct payment to customers of fixed amounts if DNO fails to deliver specified minimum levels of performance.</t>
    </r>
  </si>
  <si>
    <t>Financial: payment to customers for failure to meet standards. 
Reputational.</t>
  </si>
  <si>
    <r>
      <rPr>
        <b/>
        <sz val="10"/>
        <color theme="1"/>
        <rFont val="Verdana"/>
        <family val="2"/>
      </rPr>
      <t>Worst-served customers (WSC):</t>
    </r>
    <r>
      <rPr>
        <sz val="10"/>
        <color theme="1"/>
        <rFont val="Verdana"/>
        <family val="2"/>
      </rPr>
      <t xml:space="preserve"> DNOs have access to funding to improve the reliability for a subset of customers whose supply has been repeatedly interrupted.</t>
    </r>
  </si>
  <si>
    <t>Financial: £76.5 million over ED1 (use-it-or-lose-it).
Reputational.</t>
  </si>
  <si>
    <r>
      <rPr>
        <b/>
        <sz val="10"/>
        <color theme="1"/>
        <rFont val="Verdana"/>
        <family val="2"/>
      </rPr>
      <t xml:space="preserve">Network resilience: </t>
    </r>
    <r>
      <rPr>
        <sz val="10"/>
        <color theme="1"/>
        <rFont val="Verdana"/>
        <family val="2"/>
      </rPr>
      <t>proactive network investment for reducing the impact of disruptive events, such as floods or severe storms.</t>
    </r>
  </si>
  <si>
    <t>Reputational.</t>
  </si>
  <si>
    <t>Interruption Incentive Scheme (IIS)</t>
  </si>
  <si>
    <t>CI performance</t>
  </si>
  <si>
    <t>CI target (Planned and unplanned)</t>
  </si>
  <si>
    <t>CML performance</t>
  </si>
  <si>
    <t>CML target (Planned and unplanned)</t>
  </si>
  <si>
    <t>Breakdown of performance for CI and CML/planned and unplanned</t>
  </si>
  <si>
    <t>PLANNED</t>
  </si>
  <si>
    <t>UNPLANNED</t>
  </si>
  <si>
    <t>Rewards and penalties under the IIS</t>
  </si>
  <si>
    <t>IIS performance total reward</t>
  </si>
  <si>
    <t>CI</t>
  </si>
  <si>
    <t>CML</t>
  </si>
  <si>
    <t>Total  reward (£m)**</t>
  </si>
  <si>
    <t>Regulation 7 Severe Weather Conditions Adjustment</t>
  </si>
  <si>
    <t>Normal weather conditions adjustment</t>
  </si>
  <si>
    <t>Performance</t>
  </si>
  <si>
    <t>Target</t>
  </si>
  <si>
    <t>Reward/Penalty (£m)</t>
  </si>
  <si>
    <t xml:space="preserve">NB: The total reward includes an adjustment for Regulation 7 Severe weather and Normal weather (Regulation 5,6 and 8)
</t>
  </si>
  <si>
    <t>Guaranteed Standards of Performance (GSoP)</t>
  </si>
  <si>
    <t>Guaranteed Standards of Performance - payments owed and percentage of mandatory payments made, 2015/16</t>
  </si>
  <si>
    <t>Regulation 5 (Supply Restoration: Normal Conditions)*</t>
  </si>
  <si>
    <t>Regulation 6 (Supply Restoration: Normal Conditions - 5,000 or more customers' premises interrupted)</t>
  </si>
  <si>
    <t>Regulation 7(1) - Supply Restoration: Category 1 Severe Weather Conditions*</t>
  </si>
  <si>
    <t>Regulation 7(2) - Supply Restoration: Category 2 Severe Weather Conditions*</t>
  </si>
  <si>
    <t>Regulation 7(3) - Supply Restoration: Category 3 Severe Weather Conditions*</t>
  </si>
  <si>
    <t>Regulation 8 (Supply Restoration: Rota Disconnection)</t>
  </si>
  <si>
    <t>Regulation 10 (Supply Restoration: Multiple interruptions)</t>
  </si>
  <si>
    <t>Regulation 11 (Responding to Operation of Distributor's Fuse)</t>
  </si>
  <si>
    <t>Regulation 12 (Notice of Supply Interruption )</t>
  </si>
  <si>
    <t>Regulation 13 (Investigation of Voltage complaints)</t>
  </si>
  <si>
    <t>Regulation 17 (Making and Keeping Appointments)</t>
  </si>
  <si>
    <t>Regulation 19 (Payments owed under the Guaranteed Standards)</t>
  </si>
  <si>
    <t>Number of valid payments owed</t>
  </si>
  <si>
    <t>Mandatory payments vs valid payments owed</t>
  </si>
  <si>
    <t>Number of failures to attend on time</t>
  </si>
  <si>
    <t>Total number of mandatory payments made</t>
  </si>
  <si>
    <t>Failures to offer timed appt.</t>
  </si>
  <si>
    <t>Total payments due</t>
  </si>
  <si>
    <t>NPGN</t>
  </si>
  <si>
    <t>NPGY</t>
  </si>
  <si>
    <t>Guaranteed Standards of Performance - payments owed and percentage of mandatory payments made, 2016/17</t>
  </si>
  <si>
    <t>* Penalty applies under regulations 5 and 7. If DNOs do not met the required payment they will have a penalty 1.2*payment due</t>
  </si>
  <si>
    <t>Guaranteed Standards of Performance - payments owed and percentage of mandatory payments made, 2017/18</t>
  </si>
  <si>
    <t>Guaranteed Standards of Performance - payments owed and percentage of mandatory payments made, 2018/19</t>
  </si>
  <si>
    <t>Total number of valid requests</t>
  </si>
  <si>
    <t>Guaranteed Standards of Performance - payments owed and percentage of mandatory payments made, 2019/20</t>
  </si>
  <si>
    <t xml:space="preserve">Number of failures to attend on time </t>
  </si>
  <si>
    <t>Guaranteed Standards of Performance - payments owed and percentage of mandatory payments made, 2020/21</t>
  </si>
  <si>
    <t>Guaranteed Standards of Performance - payments made and payments due, 2021/22</t>
  </si>
  <si>
    <t>Guaranteed Standards of Performance - payments made and payments due, 2022/23</t>
  </si>
  <si>
    <t>Worst Served Customers</t>
  </si>
  <si>
    <t>Allowance 2015/16-2022/23</t>
  </si>
  <si>
    <t>12/13 prices</t>
  </si>
  <si>
    <t>Total allowance (£m) (CRC 3H)</t>
  </si>
  <si>
    <t>Expenditure (£m)</t>
  </si>
  <si>
    <t xml:space="preserve">2015/16 Total spend </t>
  </si>
  <si>
    <t xml:space="preserve">2016/17 Total spend </t>
  </si>
  <si>
    <t xml:space="preserve">2017/18 Total spend </t>
  </si>
  <si>
    <t xml:space="preserve">2019/20 Total spend </t>
  </si>
  <si>
    <t xml:space="preserve">2020/21 Total spend </t>
  </si>
  <si>
    <t xml:space="preserve">2021/22 Total spend </t>
  </si>
  <si>
    <t xml:space="preserve">2022/23 Total spend </t>
  </si>
  <si>
    <t>DPCR5 ineligible expenditure recovery (£m)</t>
  </si>
  <si>
    <t>Ineligible expenditure recovery to date (DPCR5 schemes)*</t>
  </si>
  <si>
    <t>*Values noted for Ineligible expenditure relates to DPCR5 schemes which have been closed out in the RIIO-ED1 period, therefore is not comparable to the Total allowance.</t>
  </si>
  <si>
    <t>Resilience</t>
  </si>
  <si>
    <t>DNO Baseline (£m)</t>
  </si>
  <si>
    <t>DNO Actual (£m)</t>
  </si>
  <si>
    <t>Flood mitigation work completed</t>
  </si>
  <si>
    <t>Number of substation sites</t>
  </si>
  <si>
    <t>Total resilience</t>
  </si>
  <si>
    <t>Resilience expenditure cumulative to date (£m)</t>
  </si>
  <si>
    <t>Allowance</t>
  </si>
  <si>
    <t>Actual</t>
  </si>
  <si>
    <r>
      <rPr>
        <b/>
        <sz val="10"/>
        <color theme="1"/>
        <rFont val="Verdana"/>
        <family val="2"/>
      </rPr>
      <t>Health, criticality and monetised risk:</t>
    </r>
    <r>
      <rPr>
        <sz val="10"/>
        <color theme="1"/>
        <rFont val="Verdana"/>
        <family val="2"/>
      </rPr>
      <t xml:space="preserve"> DNOs can receive a financial reward or incur a financial penalty depending on their performance against a target for the reduction in network risk that is delivered through specified asset replacement and refurbishment activities.</t>
    </r>
  </si>
  <si>
    <t>Financial: penalty of 2.5% of under delivery or reward of 2.5% of over delivery.</t>
  </si>
  <si>
    <t>Network Asset Indices Secondary Deliverables</t>
  </si>
  <si>
    <t>Position at Beginning of RIIO-ED1</t>
  </si>
  <si>
    <t>End of RIIO-ED1 (Without Investment)</t>
  </si>
  <si>
    <t>End of RIIO-ED1 (With Investment)</t>
  </si>
  <si>
    <t>Impact of investment</t>
  </si>
  <si>
    <t>Deterioration</t>
  </si>
  <si>
    <t xml:space="preserve">% Delivered </t>
  </si>
  <si>
    <r>
      <rPr>
        <b/>
        <sz val="10"/>
        <color theme="0"/>
        <rFont val="Verdana"/>
        <family val="2"/>
      </rPr>
      <t>Connections:</t>
    </r>
    <r>
      <rPr>
        <sz val="10"/>
        <color theme="0"/>
        <rFont val="Verdana"/>
        <family val="2"/>
      </rPr>
      <t xml:space="preserve"> connecting customers in a timely and efficient way, including responding to different customers' specific needs, while enabling competition.</t>
    </r>
  </si>
  <si>
    <r>
      <t xml:space="preserve">Time to Connect Incentive: </t>
    </r>
    <r>
      <rPr>
        <sz val="10"/>
        <color theme="1"/>
        <rFont val="Verdana"/>
        <family val="2"/>
      </rPr>
      <t>reward for reducing average time taken to connect smaller and less complex customer connections.</t>
    </r>
  </si>
  <si>
    <t xml:space="preserve">Financial: reward only of up to 0.4% base revenue.
</t>
  </si>
  <si>
    <r>
      <rPr>
        <b/>
        <sz val="10"/>
        <color theme="1"/>
        <rFont val="Verdana"/>
        <family val="2"/>
      </rPr>
      <t xml:space="preserve">Incentive on Connections Engagement (ICE): </t>
    </r>
    <r>
      <rPr>
        <sz val="10"/>
        <color theme="1"/>
        <rFont val="Verdana"/>
        <family val="2"/>
      </rPr>
      <t>penalty where DNOs fail to engage effectively with, and understand requirements of, customers seeking larger and more complex connections.</t>
    </r>
  </si>
  <si>
    <t>Financial: penalty only of up to 0.9% of base revenue.</t>
  </si>
  <si>
    <r>
      <rPr>
        <b/>
        <sz val="10"/>
        <color theme="1"/>
        <rFont val="Verdana"/>
        <family val="2"/>
      </rPr>
      <t xml:space="preserve">Connections Guaranteed Standards of Performance (GSOP): </t>
    </r>
    <r>
      <rPr>
        <sz val="10"/>
        <color theme="1"/>
        <rFont val="Verdana"/>
        <family val="2"/>
      </rPr>
      <t>direct payment to customers of fixed amounts if DNO fails to deliver specified minimum levels of performance regarding connections.</t>
    </r>
  </si>
  <si>
    <t>Financial: payment to customers for failure to meet standards.
Reputational.</t>
  </si>
  <si>
    <r>
      <rPr>
        <b/>
        <sz val="10"/>
        <color theme="1"/>
        <rFont val="Verdana"/>
        <family val="2"/>
      </rPr>
      <t xml:space="preserve">Customer satisfaction survey: </t>
    </r>
    <r>
      <rPr>
        <sz val="10"/>
        <color theme="1"/>
        <rFont val="Verdana"/>
        <family val="2"/>
      </rPr>
      <t>connection customers are one of three customer types in the Broad Measure of Customer Satisfaction survey.</t>
    </r>
  </si>
  <si>
    <t>Financial: reward or penalty of 0.5% of base revenue which feeds into the overall reward or penalty under BMCS of +/- 1.5% of base revenue.</t>
  </si>
  <si>
    <t>Distributed Generation (DG)</t>
  </si>
  <si>
    <t>Capacity of generation connected to the distribution network by type (MW)</t>
  </si>
  <si>
    <t>Photovoltaic (G83)</t>
  </si>
  <si>
    <t>Other DG (G83)</t>
  </si>
  <si>
    <t>DG (non G83)</t>
  </si>
  <si>
    <t>Time to connect incentive</t>
  </si>
  <si>
    <t>LVSSA</t>
  </si>
  <si>
    <t>LVSSB</t>
  </si>
  <si>
    <t xml:space="preserve">Average Time to Quote </t>
  </si>
  <si>
    <t>Time to Connect</t>
  </si>
  <si>
    <t>Overall</t>
  </si>
  <si>
    <t>Previous industry average (2013 performance)</t>
  </si>
  <si>
    <t xml:space="preserve">New industry average </t>
  </si>
  <si>
    <t>Improvement</t>
  </si>
  <si>
    <t xml:space="preserve">Improvement - % </t>
  </si>
  <si>
    <t>2021-22</t>
  </si>
  <si>
    <t>2022-23</t>
  </si>
  <si>
    <t>Reward</t>
  </si>
  <si>
    <t>RAG and ranking</t>
  </si>
  <si>
    <t xml:space="preserve">Reward </t>
  </si>
  <si>
    <t xml:space="preserve">Time to Quote </t>
  </si>
  <si>
    <t>(£m 2012/13 Prices)</t>
  </si>
  <si>
    <t>RAG</t>
  </si>
  <si>
    <t>Average ranking</t>
  </si>
  <si>
    <t>Overall ranking</t>
  </si>
  <si>
    <t>Overall (LVSSA + LVSSB)</t>
  </si>
  <si>
    <t xml:space="preserve">Ranking </t>
  </si>
  <si>
    <t>(£m 2016/17 Prices)</t>
  </si>
  <si>
    <t>Working days</t>
  </si>
  <si>
    <t>Industry Average Score/Total Reward</t>
  </si>
  <si>
    <t>Maximum Reward score</t>
  </si>
  <si>
    <t>105% of target</t>
  </si>
  <si>
    <t>Time to Connect improvements from 2013</t>
  </si>
  <si>
    <t>Industry Average</t>
  </si>
  <si>
    <t>*2015/16 targets in cells E57:K57</t>
  </si>
  <si>
    <t>*2016/17 targets in cells U57:AA57</t>
  </si>
  <si>
    <t>*2017/18 targets in cells AJ57:AP57</t>
  </si>
  <si>
    <t>*2018/19 targets in cells AY57:BE57</t>
  </si>
  <si>
    <t>*2019/20 targets in cells BN57:BT57</t>
  </si>
  <si>
    <t>*2020/21 targets in cells CC57:CI57</t>
  </si>
  <si>
    <t>Connections Guaranteed Standards of Performance (GSOPs)</t>
  </si>
  <si>
    <t>Connections Guaranteed Standard of Performance</t>
  </si>
  <si>
    <t>Total number of cases where the Connection GSOPs apply</t>
  </si>
  <si>
    <t>Total number of cases where the Connection GSOPs apply and the standard was not met  </t>
  </si>
  <si>
    <t>% of total cases when standard not met</t>
  </si>
  <si>
    <t xml:space="preserve">Total number of cases where the Connection GSOPs apply </t>
  </si>
  <si>
    <t>Total penalties paid against the Connection GSOPs (£)</t>
  </si>
  <si>
    <t>Chapter 2 - Customer Satisfaction</t>
  </si>
  <si>
    <r>
      <rPr>
        <b/>
        <sz val="10"/>
        <color theme="0"/>
        <rFont val="Verdana"/>
        <family val="2"/>
      </rPr>
      <t>Customer Service:</t>
    </r>
    <r>
      <rPr>
        <sz val="10"/>
        <color theme="0"/>
        <rFont val="Verdana"/>
        <family val="2"/>
      </rPr>
      <t xml:space="preserve"> maintaining high levels of customer satisfaction and improving service where required. Undertaking effective stakeholder engagement and reflecting stakeholders' views in the day-to-day operation of their business.</t>
    </r>
  </si>
  <si>
    <r>
      <rPr>
        <b/>
        <sz val="10"/>
        <color theme="1"/>
        <rFont val="Verdana"/>
        <family val="2"/>
      </rPr>
      <t xml:space="preserve">Customer satisfaction survey: </t>
    </r>
    <r>
      <rPr>
        <sz val="10"/>
        <color theme="1"/>
        <rFont val="Verdana"/>
        <family val="2"/>
      </rPr>
      <t>a survey under the Broad Measure of Customer Satisfaction (BMCS) of three customer types (connections, interruptions, general enquiries) to drive DNOs to deliver good customer service.</t>
    </r>
  </si>
  <si>
    <t xml:space="preserve">Financial: reward or penalty of +/- 1% of base revenue which feeds into the overall reward or penalty under BMCS of +/- 1.5% of base revenues. 
</t>
  </si>
  <si>
    <r>
      <rPr>
        <b/>
        <sz val="10"/>
        <color theme="1"/>
        <rFont val="Verdana"/>
        <family val="2"/>
      </rPr>
      <t xml:space="preserve">Complaints metric: </t>
    </r>
    <r>
      <rPr>
        <sz val="10"/>
        <color theme="1"/>
        <rFont val="Verdana"/>
        <family val="2"/>
      </rPr>
      <t>part of the Broad Measure of Customer Satisfaction measuring DNOs' complaint handling procedures to drive DNOs to deliver good customer service.</t>
    </r>
  </si>
  <si>
    <t>Financial: penalty only of 0.5% of base revenue which feeds into the overall reward or penalty under BMCS of +/- 1.5% of base revenues.</t>
  </si>
  <si>
    <r>
      <rPr>
        <b/>
        <sz val="10"/>
        <color theme="1"/>
        <rFont val="Verdana"/>
        <family val="2"/>
      </rPr>
      <t xml:space="preserve">Stakeholder engagement and customer vulnerability: </t>
    </r>
    <r>
      <rPr>
        <sz val="10"/>
        <color theme="1"/>
        <rFont val="Verdana"/>
        <family val="2"/>
      </rPr>
      <t>annual panel assessment with reward for DNOs who demonstrate strong engagement with all stakeholders and address customer vulnerability issues.</t>
    </r>
  </si>
  <si>
    <t>Financial: reward only of 0.5% of base revenue which feeds into the reward or penalty under BMCS of +/- 1.5% of base revenues.</t>
  </si>
  <si>
    <t>Customer satisfaction survey</t>
  </si>
  <si>
    <t>Customer satisfaction scores (out of 10)</t>
  </si>
  <si>
    <t>2012/13 - baseline</t>
  </si>
  <si>
    <t>Interruptions</t>
  </si>
  <si>
    <t>General Enquiries</t>
  </si>
  <si>
    <t>Annual customer satisfaction score by DNO per category (out of 10)</t>
  </si>
  <si>
    <t>Complaints metric</t>
  </si>
  <si>
    <t>DNO complaint metric scores</t>
  </si>
  <si>
    <t>The percentage of total complaints outstanding after one day</t>
  </si>
  <si>
    <t>The percentage of total complaints outstanding after 31 days</t>
  </si>
  <si>
    <t>The percentage of total complaints that are repeat complaints</t>
  </si>
  <si>
    <t>The number of Energy Ombudsman (EO) Findings Against the Licensee as a percentage of the total complaints</t>
  </si>
  <si>
    <t>Complaints Metric Score</t>
  </si>
  <si>
    <t>Stakeholder Engagement and Consumer Vulnerability Incentive</t>
  </si>
  <si>
    <t>Score (out of 10)</t>
  </si>
  <si>
    <t>Reward (£m)</t>
  </si>
  <si>
    <t>Broad Measure of Customer Service</t>
  </si>
  <si>
    <t>Customer Satisfaction Survey Reward/Penalty (£m)</t>
  </si>
  <si>
    <t>Complaints Metric Penalty (£m)</t>
  </si>
  <si>
    <t>Stakeholder Engagement and Consumer Vulnerability Financial Reward (£m)</t>
  </si>
  <si>
    <t xml:space="preserve">Broad Measure of Customer Service reward (£m) </t>
  </si>
  <si>
    <t>Chapter 2 - Environment</t>
  </si>
  <si>
    <r>
      <rPr>
        <b/>
        <sz val="10"/>
        <color theme="0"/>
        <rFont val="Verdana"/>
        <family val="2"/>
      </rPr>
      <t>Environment:</t>
    </r>
    <r>
      <rPr>
        <sz val="10"/>
        <color theme="0"/>
        <rFont val="Verdana"/>
        <family val="2"/>
      </rPr>
      <t xml:space="preserve"> encouraging DNOs to play their role in achieving broader environmental objectives, namely the reduction in carbon emissions, as well as minimising the narrow environmental impact of the company's activities by managing their own carbon footprint, visual amenity and pollution.</t>
    </r>
  </si>
  <si>
    <t>Obligation to manage losses</t>
  </si>
  <si>
    <t xml:space="preserve">Financial: Losses Discretionary Reward of up to £32m across all DNOs, awarded in three tranches. 
Reputational: publish annual progress and a losses strategy. 
Licence obligation: to keep losses as low as reasonably practicable.
</t>
  </si>
  <si>
    <t>Business Carbon Footprint (BCF)</t>
  </si>
  <si>
    <t>Reputational: publish annual progress.</t>
  </si>
  <si>
    <t>Limiting emissions of Sulphur Hexafluoride (SF6)</t>
  </si>
  <si>
    <t xml:space="preserve">Fluid filled cable leakage </t>
  </si>
  <si>
    <t>Noise pollution</t>
  </si>
  <si>
    <t>Visual impact allowance for undergrounding overhead lines in Areas of Outstanding Natural Beauty (AONB) and National Parks.</t>
  </si>
  <si>
    <t>Reputational incentive in the context of its performance in the utilisation of a funding pot of £103.6m (split between DNOs).</t>
  </si>
  <si>
    <r>
      <t xml:space="preserve">Environmental report: </t>
    </r>
    <r>
      <rPr>
        <sz val="10"/>
        <color theme="1"/>
        <rFont val="Verdana"/>
        <family val="2"/>
      </rPr>
      <t>obligation to inform stakeholders about the activities they have undertaken in relation to environmental matters, including their role in the transition to a low carbon economy.</t>
    </r>
  </si>
  <si>
    <t>Licence obligation.  
Reputational.</t>
  </si>
  <si>
    <t>Reward allocated for the LDR</t>
  </si>
  <si>
    <t>Losses Discretionary Reward (LDR)</t>
  </si>
  <si>
    <t>Score</t>
  </si>
  <si>
    <t>Reward (£)</t>
  </si>
  <si>
    <t>Distribution losses (as % of units distributed)</t>
  </si>
  <si>
    <t>Business Carbon Footprint (excluding losses and contractors) (tCO2e)</t>
  </si>
  <si>
    <t>DPCR5 - 2013/14</t>
  </si>
  <si>
    <t>DPCR5 - 2014/15</t>
  </si>
  <si>
    <t>SPD*</t>
  </si>
  <si>
    <t>SPMW*</t>
  </si>
  <si>
    <t>*SPEN have moved from estimation to direct observation for a large proposition of it's activities</t>
  </si>
  <si>
    <t>Business Carbon Footprint (excluding losses and contractors) as % network length and customer numbers</t>
  </si>
  <si>
    <t>Sulphur hexafluoride emissions (SF6)</t>
  </si>
  <si>
    <t>SF6 emissions (kg)</t>
  </si>
  <si>
    <t>SF6 bank (kg)</t>
  </si>
  <si>
    <t>SF6 emissions as a percentage of the SF6 bank</t>
  </si>
  <si>
    <t>SF6 emitted as % of bank - SNAPSHOT</t>
  </si>
  <si>
    <t>Leakages from fluid filled cables</t>
  </si>
  <si>
    <t>Top up of fluid filled cables (litres)</t>
  </si>
  <si>
    <t>Oil in Service in Cables (litres)</t>
  </si>
  <si>
    <t>Top up as a % of oil in service</t>
  </si>
  <si>
    <t>Top up as a % of oil in service - SNAPSHOT</t>
  </si>
  <si>
    <t>-</t>
  </si>
  <si>
    <t>Undergrounding</t>
  </si>
  <si>
    <t>Undergrounding performance</t>
  </si>
  <si>
    <t>Length of overhead lines removed (km)</t>
  </si>
  <si>
    <t xml:space="preserve">Length of underground lines installed (km) </t>
  </si>
  <si>
    <t>Undergrounding expenditure (£m)</t>
  </si>
  <si>
    <t>LPN*</t>
  </si>
  <si>
    <t>* nb LPN does not have an undergrounding allowance</t>
  </si>
  <si>
    <t>Detailed Undergrounding Activity Under ED1 Visual Amenity Allowance</t>
  </si>
  <si>
    <t>DNO</t>
  </si>
  <si>
    <t>AONB / national park</t>
  </si>
  <si>
    <t>Length of overhead lines (km) removed</t>
  </si>
  <si>
    <t>Length of underground cables installed in Designated Areas (km)</t>
  </si>
  <si>
    <t>Expenditure  (£m)</t>
  </si>
  <si>
    <t>Arnside &amp; Silverdale</t>
  </si>
  <si>
    <t>Forest of Bowland</t>
  </si>
  <si>
    <t>North Pennines</t>
  </si>
  <si>
    <t>Solway Coast</t>
  </si>
  <si>
    <t>The Lake District</t>
  </si>
  <si>
    <t>The Peak District</t>
  </si>
  <si>
    <t>The Yorkshire Dales</t>
  </si>
  <si>
    <t>Howardian Hills</t>
  </si>
  <si>
    <t>Nidderdale</t>
  </si>
  <si>
    <t>Northumberland Coast</t>
  </si>
  <si>
    <t xml:space="preserve">Northumberland  </t>
  </si>
  <si>
    <t>North York Moors</t>
  </si>
  <si>
    <t>Yorkshire Dales</t>
  </si>
  <si>
    <t>Peak District</t>
  </si>
  <si>
    <t>Lincolnshire Wolds</t>
  </si>
  <si>
    <t>Cannock Chase</t>
  </si>
  <si>
    <t>Cotswolds (WMID)</t>
  </si>
  <si>
    <t>Malvern Hills</t>
  </si>
  <si>
    <t>Peak District NP (WMID)</t>
  </si>
  <si>
    <t>Wye Valley (WMID)</t>
  </si>
  <si>
    <t>Shropshire Hills</t>
  </si>
  <si>
    <t>Peak District NP (EMID)</t>
  </si>
  <si>
    <t>SWales</t>
  </si>
  <si>
    <t>Brecon Beacons NP</t>
  </si>
  <si>
    <t>Gower</t>
  </si>
  <si>
    <t>Pembrokeshire Coast NP</t>
  </si>
  <si>
    <t>Wye Valley (SWALES)</t>
  </si>
  <si>
    <t>SWest</t>
  </si>
  <si>
    <t>Blackdown</t>
  </si>
  <si>
    <t>Cornwall</t>
  </si>
  <si>
    <t>Dartmoor NP</t>
  </si>
  <si>
    <t>Dorset</t>
  </si>
  <si>
    <t>East Devon</t>
  </si>
  <si>
    <t>Exmoor NP</t>
  </si>
  <si>
    <t>Mendip Hills</t>
  </si>
  <si>
    <t>North Devon</t>
  </si>
  <si>
    <t>Quantock Hills</t>
  </si>
  <si>
    <t>Scilly Isles</t>
  </si>
  <si>
    <t>South Devon</t>
  </si>
  <si>
    <t>Tamar Valley</t>
  </si>
  <si>
    <t>Cotswolds (SWEST)</t>
  </si>
  <si>
    <t>n/a</t>
  </si>
  <si>
    <t>South Downs National Park</t>
  </si>
  <si>
    <t>High Weald AONB</t>
  </si>
  <si>
    <t>Surrey Hills AONB</t>
  </si>
  <si>
    <t>Kent Downs AONB</t>
  </si>
  <si>
    <t>The Broads National Park</t>
  </si>
  <si>
    <t>Suffolk Coast &amp; Heaths AONB</t>
  </si>
  <si>
    <t>Norfolk Coast AONB</t>
  </si>
  <si>
    <t>Dedham Vale AONB</t>
  </si>
  <si>
    <t>Chilterns AONB</t>
  </si>
  <si>
    <t>Loch Lomond &amp; Trossachs</t>
  </si>
  <si>
    <t>Nith Estuary</t>
  </si>
  <si>
    <t>Eildon &amp; Leaderfoot</t>
  </si>
  <si>
    <t>Upper Tweedale</t>
  </si>
  <si>
    <t>Fleet Valley</t>
  </si>
  <si>
    <t>East Stewartry Coast</t>
  </si>
  <si>
    <t>Snowdonia National Park</t>
  </si>
  <si>
    <t>Bryniau Clwyd A Dyffryn Dyfrdw</t>
  </si>
  <si>
    <t>Llyn</t>
  </si>
  <si>
    <t>Ynys Mon/Anglesey</t>
  </si>
  <si>
    <t>Callander, Loch Lomond &amp; Trossachs</t>
  </si>
  <si>
    <t>Glen Tromie, Cairngorm National Park</t>
  </si>
  <si>
    <t>North Wessex Downs</t>
  </si>
  <si>
    <t>South Wessex Downs</t>
  </si>
  <si>
    <t>Buckland Rings Iron Age Fort, Lymington, New Forest National Park</t>
  </si>
  <si>
    <t>Tichborne, Alresford, Southdowns National Park</t>
  </si>
  <si>
    <t xml:space="preserve">Turville Village, Chilterns AONB </t>
  </si>
  <si>
    <t xml:space="preserve">South Burley Dorset AONB </t>
  </si>
  <si>
    <t>Chichester Harbour AONB</t>
  </si>
  <si>
    <t>Cranbourne Chase and West Wiltshire Downs AONB</t>
  </si>
  <si>
    <t>East Hampshire AONB</t>
  </si>
  <si>
    <t>Isle of Wight AONB</t>
  </si>
  <si>
    <t>Cotswolds AONB</t>
  </si>
  <si>
    <t xml:space="preserve">Total </t>
  </si>
  <si>
    <t>Undergrounding Activity Under ED1 Visual Amenity Allowance</t>
  </si>
  <si>
    <t>Length of overhead lines (km) removed in Designated Areas</t>
  </si>
  <si>
    <t>Length of underground cables installed  in Designated Areas (km)</t>
  </si>
  <si>
    <t>Electric Vehicles</t>
  </si>
  <si>
    <t>Electric Vehicles connected to the distribution (Secondary) network (in MW)</t>
  </si>
  <si>
    <t>EV slow charge</t>
  </si>
  <si>
    <t>EV fast charge</t>
  </si>
  <si>
    <t>Noise complaints in year</t>
  </si>
  <si>
    <t>Chapter 2 - Innovation</t>
  </si>
  <si>
    <t>Overview of the DNOs’ expenditure in relation to the various innovation schemes in RIIO-ED1.</t>
  </si>
  <si>
    <t>Network Innovation Allowance (NIA)
Source: Expenditure: Revenue Returns R9
Allowance: NIA % of Base Revenue</t>
  </si>
  <si>
    <t>Network Innovation Allowance projects and expenditure</t>
  </si>
  <si>
    <t>2015/16 (in 15/16 prices)</t>
  </si>
  <si>
    <t>2016/17 (in 16/17 prices)</t>
  </si>
  <si>
    <t>2017/18 (in 17/18 prices)</t>
  </si>
  <si>
    <t>2018/19 (in 18/19 prices)</t>
  </si>
  <si>
    <t>Number of projects</t>
  </si>
  <si>
    <t>NIA allowance (£m)</t>
  </si>
  <si>
    <t>NIA expenditure (£m)</t>
  </si>
  <si>
    <t>% of allowance</t>
  </si>
  <si>
    <t>Network Innovation Competition (NIC)</t>
  </si>
  <si>
    <t>Network Innovation Competition projects</t>
  </si>
  <si>
    <t>Project Title</t>
  </si>
  <si>
    <t>Lead company</t>
  </si>
  <si>
    <t>NIC funding awarded (£m)</t>
  </si>
  <si>
    <t>Total project costs (£m)</t>
  </si>
  <si>
    <t>Project end date</t>
  </si>
  <si>
    <t>Celsius</t>
  </si>
  <si>
    <t>To develop a new way of managing the temperature of substations – increasing their operational capacity and lifespan.</t>
  </si>
  <si>
    <t>ANGLE- DC</t>
  </si>
  <si>
    <t>SPEN - SPMW</t>
  </si>
  <si>
    <t>To increase Network Reinforcement through converting an existing Alternating Current (AC) circuit between the mainland and Anglesey to Direct Current (DC).</t>
  </si>
  <si>
    <t xml:space="preserve">Source: https://www.ofgem.gov.uk/sites/default/files/docs/innovation_competitions_brochure_webready_0.pdf </t>
  </si>
  <si>
    <t>Open LV</t>
  </si>
  <si>
    <t>To develop a new software platform which uses cloud technology to enhance visibility of residential-level substations.</t>
  </si>
  <si>
    <t>PowerFul-CB</t>
  </si>
  <si>
    <t>UKPN - LPN</t>
  </si>
  <si>
    <t>To develop two new types of circuit breaker on the GB network.</t>
  </si>
  <si>
    <t>Source: https://www.ofgem.gov.uk/system/files/docs/2016/11/innovation_competitions_brochure_to_upload.pdf</t>
  </si>
  <si>
    <t>Active Response</t>
  </si>
  <si>
    <t>To develop two new types of network equipment to direct power flows across the distribution network</t>
  </si>
  <si>
    <t>LV Engine</t>
  </si>
  <si>
    <t>SPEN - SPD</t>
  </si>
  <si>
    <t>To test a new type of solid-state transformer on the GB network</t>
  </si>
  <si>
    <t>EFFS</t>
  </si>
  <si>
    <t>To develop an IT platform to forecast network capacity and identify opportunities to trade flexible network services</t>
  </si>
  <si>
    <t>Transition</t>
  </si>
  <si>
    <t>SSE - SSES</t>
  </si>
  <si>
    <t>To test technical and commercial solution to resolve constraints on the distribution network</t>
  </si>
  <si>
    <t>Fusion</t>
  </si>
  <si>
    <t>To test a technical and commercial solution developed in Europe to resolve constraints on the distribution network.</t>
  </si>
  <si>
    <t>Source: https://www.ofgem.gov.uk/system/files/docs/2017/11/ofg1031_innovation_competitions_brochure_web.pdf</t>
  </si>
  <si>
    <t>Charge</t>
  </si>
  <si>
    <t>Overlaying transport planning and network mapping to give visibility of network capacity for electric vehicle (EV) charging points, including conducting trials of on street residential and destination charging in preparation for the deliver of flexible connection.</t>
  </si>
  <si>
    <t>Optimise Prime</t>
  </si>
  <si>
    <t>Conducting trials and gathering data on the charging patterns of different commercial electric vehicle (EV) fleets and their network impact.</t>
  </si>
  <si>
    <t>Source: https://www.ofgem.gov.uk/system/files/docs/2018/11/competitions_brochure_2018.pdf</t>
  </si>
  <si>
    <t>DC Share</t>
  </si>
  <si>
    <t>DC Share intends to trial a DC ring on a part of the low voltage (LV) network experiencing constraints to deliver two key outcomes. Firstly, it intends to power fifteen electric vehicle (EV) rapid charge points in a location better suited to customer needs than the current rapid charge offering, and secondly, enable load sharing between secondary substations connected to the ring.</t>
  </si>
  <si>
    <t>Resilience as a Service</t>
  </si>
  <si>
    <t>SSE - SSEH</t>
  </si>
  <si>
    <t>Resilience as a Service (RaaS) intends to trial an alternative to standby diesel generation for remote parts of the network. The project will test a system through which low carbon technologies on the distribution network could provide resilience services, and will also examine how to facilitate the market for these services.</t>
  </si>
  <si>
    <t>Constellation</t>
  </si>
  <si>
    <t>The project aims to enable the transition to Net Zero by transforming 
the existing network management and control systems, through the 
introduction of local intelligence at a substation level. It is a simplified 
and focused evolution of a proposal which was brought forward to the
2019 NIC.</t>
  </si>
  <si>
    <t>Quest</t>
  </si>
  <si>
    <t>The project aims to integrate standalone discrete voltage control schemes into a single scheme using ENWL’s Network Management System (NMS). It will develop a novel distribution network-wide, fully co-ordinated, overarching system to manage voltages and balance centralised and decentralised control hierarchies. This should reduce cumulative design margins and free up network capacity.</t>
  </si>
  <si>
    <t>Source: https://www.ofgem.gov.uk/publications/network-innovation-competition-2020-funding-decision</t>
  </si>
  <si>
    <t>Innovation project
Source data
'Environment and Innovation' Reporting Pack &gt; 'Environment' Spreadsheet &gt; 'E6 - Innovative solutions'</t>
  </si>
  <si>
    <t>Solution type/ Primary benefit</t>
  </si>
  <si>
    <t>Increase network capacity/optimise utilisation</t>
  </si>
  <si>
    <t>Load Capacity Release; Generation Capacity Release;Voltage reduction at primary</t>
  </si>
  <si>
    <t>Improve asset life cycle management</t>
  </si>
  <si>
    <t>Transformer insulating oil on-line regeneration; HV Circuit breaker retrofit</t>
  </si>
  <si>
    <t>Improve network performance</t>
  </si>
  <si>
    <t>LV Technology Programme; Automatic Power Restoration System</t>
  </si>
  <si>
    <t>Improve vegetation management</t>
  </si>
  <si>
    <t>Improve safety</t>
  </si>
  <si>
    <t>Telematics in operational vehicles; Fire Retardant Workwear; Farm Safety</t>
  </si>
  <si>
    <t>Improve environmental impact</t>
  </si>
  <si>
    <t>Hybrid Generators</t>
  </si>
  <si>
    <t>Improve connection performance</t>
  </si>
  <si>
    <t>Flexible connection agreements (constrained generators); AutoDesign Project</t>
  </si>
  <si>
    <t>Number of Projects</t>
  </si>
  <si>
    <t>Forecast RIIO-ED1 (2015-16 to 2022-23)</t>
  </si>
  <si>
    <t>Totex performance
Source: PCFM</t>
  </si>
  <si>
    <t>Difference</t>
  </si>
  <si>
    <t xml:space="preserve">Actual </t>
  </si>
  <si>
    <t>Actual &amp; Forecast</t>
  </si>
  <si>
    <t>£m</t>
  </si>
  <si>
    <t>%</t>
  </si>
  <si>
    <t>Sharing factor</t>
  </si>
  <si>
    <t>Totex performance</t>
  </si>
  <si>
    <t>Customer share</t>
  </si>
  <si>
    <t>DNO share</t>
  </si>
  <si>
    <t>Pre-tax Totex (£m)</t>
  </si>
  <si>
    <t>Allowed Totex16</t>
  </si>
  <si>
    <t>Actual Totex16</t>
  </si>
  <si>
    <t>Overspend (underspend)</t>
  </si>
  <si>
    <t>Totex incentive rate</t>
  </si>
  <si>
    <t>Allowed Totex after Totex incentive rate</t>
  </si>
  <si>
    <t>Allowed Totex17</t>
  </si>
  <si>
    <t>Actual Totex17</t>
  </si>
  <si>
    <t>Allowed Totex18</t>
  </si>
  <si>
    <t>Actual Totex18</t>
  </si>
  <si>
    <t>Allowed Totex19</t>
  </si>
  <si>
    <t>Actual Totex19</t>
  </si>
  <si>
    <t>Allowed Totex20</t>
  </si>
  <si>
    <t>Actual Totex20</t>
  </si>
  <si>
    <t>Allowed Totex21</t>
  </si>
  <si>
    <t>Actual Totex21</t>
  </si>
  <si>
    <t>Allowed Totex</t>
  </si>
  <si>
    <t>Actual Totex</t>
  </si>
  <si>
    <t>Expenditure relative to cost allowances</t>
  </si>
  <si>
    <t>2020-21</t>
  </si>
  <si>
    <t>Cumulative to date</t>
  </si>
  <si>
    <t>RIIO-ED1</t>
  </si>
  <si>
    <t>No</t>
  </si>
  <si>
    <t>Regional estimates of typical GB customer cost to meet Allowed Revenue</t>
  </si>
  <si>
    <t>Customer Bll Impact</t>
  </si>
  <si>
    <t>£ real prices per domestic consumer</t>
  </si>
  <si>
    <t>Region</t>
  </si>
  <si>
    <t>North West</t>
  </si>
  <si>
    <t>North East</t>
  </si>
  <si>
    <t>Yorkshire</t>
  </si>
  <si>
    <t>Midlands</t>
  </si>
  <si>
    <t>East Midlands</t>
  </si>
  <si>
    <t>South Wales</t>
  </si>
  <si>
    <t>South West</t>
  </si>
  <si>
    <t>London</t>
  </si>
  <si>
    <t>South East</t>
  </si>
  <si>
    <t>East Anglia</t>
  </si>
  <si>
    <t>South Scotland</t>
  </si>
  <si>
    <t>Merseyside and N Wales</t>
  </si>
  <si>
    <t>North Scotland</t>
  </si>
  <si>
    <t>Southern</t>
  </si>
  <si>
    <t>Customer Bill Value: the methodology chosen by Ofgem and relevant network companies have simplifying assumptions that may result in a different customer bill value</t>
  </si>
  <si>
    <t>RAV</t>
  </si>
  <si>
    <t>RAV at 1st April 2015</t>
  </si>
  <si>
    <t>Slow Money</t>
  </si>
  <si>
    <t>Depreciation</t>
  </si>
  <si>
    <t>RAV at 31st March 2016</t>
  </si>
  <si>
    <t>RAV at 1st April 2016</t>
  </si>
  <si>
    <t>RAV at 31st March 2017</t>
  </si>
  <si>
    <t>RAV at 1st April 2017</t>
  </si>
  <si>
    <t>RAV at 31st March 2018</t>
  </si>
  <si>
    <t>RAV at 1st April 2018</t>
  </si>
  <si>
    <t>RAV at 31st March 2019</t>
  </si>
  <si>
    <t>RAV at 1st April 2019</t>
  </si>
  <si>
    <t>RAV at 31st March 2020</t>
  </si>
  <si>
    <t>RAV at 1st April 2020</t>
  </si>
  <si>
    <t>RAV at 31st March 2021</t>
  </si>
  <si>
    <t>RAV at 1st April 2021</t>
  </si>
  <si>
    <t>RAV at 31st March 2022</t>
  </si>
  <si>
    <t>RAV at 1st April 2022</t>
  </si>
  <si>
    <t>RAV at 31st March 2023</t>
  </si>
  <si>
    <t>Disaggregated expenditure v allowances for all DNOs</t>
  </si>
  <si>
    <t>Distribution of allowances and expenditure per cost category</t>
  </si>
  <si>
    <t>Baseline Allowance</t>
  </si>
  <si>
    <t>% of total baseline allowance</t>
  </si>
  <si>
    <t>% of total actual</t>
  </si>
  <si>
    <t>Technical / glossary term</t>
  </si>
  <si>
    <t>Allowance (£m)</t>
  </si>
  <si>
    <t>Actual (£m)</t>
  </si>
  <si>
    <t>Difference (£m)</t>
  </si>
  <si>
    <t>Difference (%)</t>
  </si>
  <si>
    <t>Network Reinforcement</t>
  </si>
  <si>
    <t>Replacing &amp; refurbishing equipment</t>
  </si>
  <si>
    <t>Asset replacement, Refurbishment, Civil Works Condition Driven, Rising and Lateral Mains and BT21CN</t>
  </si>
  <si>
    <t xml:space="preserve">Operational support </t>
  </si>
  <si>
    <t>Closely Associate Indirects</t>
  </si>
  <si>
    <t>Network Faults</t>
  </si>
  <si>
    <t>Faults, ONIs and Severe Weather 1 in 20</t>
  </si>
  <si>
    <t>Operational Support</t>
  </si>
  <si>
    <t>Connections, Reinforcement and Transmission Connection Points</t>
  </si>
  <si>
    <t xml:space="preserve">Business support </t>
  </si>
  <si>
    <t>Five largest</t>
  </si>
  <si>
    <t>Property &amp; equipment</t>
  </si>
  <si>
    <t xml:space="preserve">Network inspection </t>
  </si>
  <si>
    <t>Inspections and Maintenance</t>
  </si>
  <si>
    <t>Re-routing</t>
  </si>
  <si>
    <t>Diversions (Excluding Rail Electrification) and Diversions Rail Electrification</t>
  </si>
  <si>
    <t>IT</t>
  </si>
  <si>
    <t>Legal &amp; safety compliance</t>
  </si>
  <si>
    <t>Legal and Safety and Overhead Line Clearances</t>
  </si>
  <si>
    <t>Service quality</t>
  </si>
  <si>
    <t>High value projects</t>
  </si>
  <si>
    <t>High Value Projects</t>
  </si>
  <si>
    <t>Other operational costs</t>
  </si>
  <si>
    <t>Forecast DRS 8, Shetland Competitive Process, Shetland Uncertain Energy</t>
  </si>
  <si>
    <t>Smart metering</t>
  </si>
  <si>
    <t>Total of disaggregated areas</t>
  </si>
  <si>
    <t>Policy Adjustments</t>
  </si>
  <si>
    <t>Total PCFM Totex</t>
  </si>
  <si>
    <t>PCFM Totex - (Total disagg+ policy adj)</t>
  </si>
  <si>
    <t xml:space="preserve">*NB: our totex allowances and actuals when adding up the disaggregated categories in this worksheet are slightly different to the totex figures we report in worksheet "Ch3 financial performance". We are working to understand the cause, but the differences are minimal and does not affect the key messages on totex performance. </t>
  </si>
  <si>
    <t>Expenditure on largest categories of direct costs by DNO</t>
  </si>
  <si>
    <t>Expenditure on largest categories of indirect costs by DNO</t>
  </si>
  <si>
    <t>% difference</t>
  </si>
  <si>
    <t xml:space="preserve">Distribution of overall allowances and expenditure
RIGs Annex B
Business Plan Data Templates
Scores &amp; allowances 2014-20141120-1_7 Post CMA
Combining results for Reg Finance-20141120-1 RJ Post CMA
DPCR5 Close out report
DPCR4 Allowances
</t>
  </si>
  <si>
    <t>Allowances</t>
  </si>
  <si>
    <t>DR4</t>
  </si>
  <si>
    <t>DR5</t>
  </si>
  <si>
    <t>ED1</t>
  </si>
  <si>
    <t>2005/06</t>
  </si>
  <si>
    <t>2006/07</t>
  </si>
  <si>
    <t>2007/08</t>
  </si>
  <si>
    <t>2008/09</t>
  </si>
  <si>
    <t>Total Slow Track</t>
  </si>
  <si>
    <t>Actuals/Forecasts</t>
  </si>
  <si>
    <t>2013/11</t>
  </si>
  <si>
    <t>Allowances vs Expenditure</t>
  </si>
  <si>
    <t>Overall ED1 Forecast</t>
  </si>
  <si>
    <t>Actual (and forecast)</t>
  </si>
  <si>
    <t>Baseline allowances and actual expenditure by cost category</t>
  </si>
  <si>
    <t>Largest five total</t>
  </si>
  <si>
    <t>Baseline Allowance v Actual</t>
  </si>
  <si>
    <t>DNO Forecast (£m) - DNO Business Plan Data Templates</t>
  </si>
  <si>
    <t>£</t>
  </si>
  <si>
    <t>Network Reinforcement total</t>
  </si>
  <si>
    <t>Baseline Allowance R Actual</t>
  </si>
  <si>
    <t>Replacing &amp; refurbishing equipment total</t>
  </si>
  <si>
    <t>Network faults total</t>
  </si>
  <si>
    <t>Business support total</t>
  </si>
  <si>
    <t>2019/19</t>
  </si>
  <si>
    <t xml:space="preserve">Refurbishment </t>
  </si>
  <si>
    <t>Policy Adjustments (Forecast DRS 8, Disposals, Shetland, Link Boxes, Streetworks, Visual Amenity, WSC, Atypicals, Related Party Margins)</t>
  </si>
  <si>
    <t>Chapter 4 - Expenditure Drivers 2</t>
  </si>
  <si>
    <t>Areas of underspend</t>
  </si>
  <si>
    <t>Areas of overspend</t>
  </si>
  <si>
    <t>Five largest single cost category</t>
  </si>
  <si>
    <t>Other operational capex (excl. tree cutting)</t>
  </si>
  <si>
    <t>Six largest categories</t>
  </si>
  <si>
    <t xml:space="preserve">Large cost categories: </t>
  </si>
  <si>
    <t>Tree cutting (in resilience in row 12)</t>
  </si>
  <si>
    <t>Cover, guide and Drivers</t>
  </si>
  <si>
    <t>Column2</t>
  </si>
  <si>
    <t>Cover guide and driversDriversCustomer numbers</t>
  </si>
  <si>
    <t>Cover guide and driversDriversNetwork length</t>
  </si>
  <si>
    <t>Cover guide and driversDriversTotal units distributed</t>
  </si>
  <si>
    <t>Network-wide peak load (MVA)</t>
  </si>
  <si>
    <t>Cover guide and driversDriversNetwork-wide Peak load</t>
  </si>
  <si>
    <t>Ch2 Incentive Payments</t>
  </si>
  <si>
    <t>Incentive paymentsIncentive paymentsInterruptions Incentive Scheme (IIS)</t>
  </si>
  <si>
    <t>Incentive paymentsIncentive paymentsIncentive on Connections Engagement (ICE)</t>
  </si>
  <si>
    <t>Incentive paymentsIncentive paymentsTime to Connect Incentive (TTC)</t>
  </si>
  <si>
    <t>Broad Measure of Customer Service (BMCS)</t>
  </si>
  <si>
    <t>Incentive paymentsIncentive paymentsBroad Measure of Customer Service (BMCS)</t>
  </si>
  <si>
    <t>Incentive paymentsIncentive paymentsLosses Discretionary Reward Scheme (LDR)</t>
  </si>
  <si>
    <t>Incentive paymentsIncentive paymentsTotal Incentive payments</t>
  </si>
  <si>
    <t>Ch2 outputs - reliability</t>
  </si>
  <si>
    <t>IIS</t>
  </si>
  <si>
    <t>Outputs - reliabilityInterruption Incentive Scheme (IIS)CI performance</t>
  </si>
  <si>
    <t xml:space="preserve">CI RAG </t>
  </si>
  <si>
    <t>Outputs - reliabilityInterruption Incentive Scheme (IIS)CI RAG rating</t>
  </si>
  <si>
    <t>Outputs - reliabilityInterruption Incentive Scheme (IIS)CML performance</t>
  </si>
  <si>
    <t>CML RAG</t>
  </si>
  <si>
    <t>Outputs - reliabilityInterruption Incentive Scheme (IIS)CMLRAG rating</t>
  </si>
  <si>
    <t>CI performance planned</t>
  </si>
  <si>
    <t>Outputs - reliabilityInterruption Incentive Scheme (IIS)CI performance planned</t>
  </si>
  <si>
    <t>CI target planned</t>
  </si>
  <si>
    <t>Outputs - reliabilityInterruption Incentive Scheme (IIS)CI target planned</t>
  </si>
  <si>
    <t>CI reward/penalty planned</t>
  </si>
  <si>
    <t>Outputs - reliabilityInterruption Incentive Scheme (IIS)CI reward/penalty planned</t>
  </si>
  <si>
    <t>CML performance planned</t>
  </si>
  <si>
    <t>Outputs - reliabilityInterruption Incentive Scheme (IIS)CML performance planned</t>
  </si>
  <si>
    <t>CML target planned</t>
  </si>
  <si>
    <t>Outputs - reliabilityInterruption Incentive Scheme (IIS)CML target planned</t>
  </si>
  <si>
    <t>CML reward/penalty planned</t>
  </si>
  <si>
    <t>Outputs - reliabilityInterruption Incentive Scheme (IIS)CML reward/penalty planned</t>
  </si>
  <si>
    <t>CI performance unplanned</t>
  </si>
  <si>
    <t>Outputs - reliabilityInterruption Incentive Scheme (IIS)CI performance unplanned</t>
  </si>
  <si>
    <t>CI target unplanned</t>
  </si>
  <si>
    <t>Outputs - reliabilityInterruption Incentive Scheme (IIS)CI target unplanned</t>
  </si>
  <si>
    <t>CI reward/penalty unplanned</t>
  </si>
  <si>
    <t>Outputs - reliabilityInterruption Incentive Scheme (IIS)CI reward/penalty unplanned</t>
  </si>
  <si>
    <t>CML performance unplanned</t>
  </si>
  <si>
    <t>Outputs - reliabilityInterruption Incentive Scheme (IIS)CML performance unplanned</t>
  </si>
  <si>
    <t>CML target unplanned</t>
  </si>
  <si>
    <t>Outputs - reliabilityInterruption Incentive Scheme (IIS)CML target unplanned</t>
  </si>
  <si>
    <t>CML reward/penalty unplanned</t>
  </si>
  <si>
    <t>Outputs - reliabilityInterruption Incentive Scheme (IIS)CML reward/penalty unplanned</t>
  </si>
  <si>
    <t>IIS total reward</t>
  </si>
  <si>
    <t>Outputs - reliabilityInterruption Incentive Scheme (IIS)IIS total reward</t>
  </si>
  <si>
    <t>Outputs - reliabilityInterruption Incentive Scheme (IIS)Regulation 7 Severe Weather Conditions Adjustment</t>
  </si>
  <si>
    <t>Outputs - reliabilityInterruption Incentive Scheme (IIS)Normal weather conditions adjustment</t>
  </si>
  <si>
    <t>GSoP</t>
  </si>
  <si>
    <t>Regulation 5 (Supply Restoration: Normal Conditions)*Outputs - reliabilityGuaranteed Standards of Performance (GSoP)Number of valid payments owed</t>
  </si>
  <si>
    <t>Regulation 5 (Supply Restoration: Normal Conditions)*Outputs - reliabilityGuaranteed Standards of Performance (GSoP)Mandatory payments vs valid payments owed</t>
  </si>
  <si>
    <t>Regulation 6 (Supply Restoration: Normal Conditions - 5,000 or more customers' premises interrupted)Outputs - reliabilityGuaranteed Standards of Performance (GSoP)Number of valid payments owed</t>
  </si>
  <si>
    <t>Regulation 6 (Supply Restoration: Normal Conditions - 5,000 or more customers' premises interrupted)Outputs - reliabilityGuaranteed Standards of Performance (GSoP)Mandatory payments vs valid payments owed</t>
  </si>
  <si>
    <t>Regulation 7(1) - Supply Restoration: Category 1 Severe Weather Conditions*Outputs - reliabilityGuaranteed Standards of Performance (GSoP)Number of valid payments owed</t>
  </si>
  <si>
    <t>Regulation 7(1) - Supply Restoration: Category 1 Severe Weather Conditions*Outputs - reliabilityGuaranteed Standards of Performance (GSoP)Mandatory payments vs valid payments owed</t>
  </si>
  <si>
    <t>Regulation 7(2) - Supply Restoration: Category 2 Severe Weather Conditions*Outputs - reliabilityGuaranteed Standards of Performance (GSoP)Number of valid payments owed</t>
  </si>
  <si>
    <t>Regulation 7(2) - Supply Restoration: Category 2 Severe Weather Conditions*Outputs - reliabilityGuaranteed Standards of Performance (GSoP)Mandatory payments vs valid payments owed</t>
  </si>
  <si>
    <t>Regulation 7(3) - Supply Restoration: Category 3 Severe Weather Conditions*Outputs - reliabilityGuaranteed Standards of Performance (GSoP)Number of valid payments owed</t>
  </si>
  <si>
    <t>Regulation 7(3) - Supply Restoration: Category 3 Severe Weather Conditions*Outputs - reliabilityGuaranteed Standards of Performance (GSoP)Mandatory payments vs valid payments owed</t>
  </si>
  <si>
    <t>Regulation 8 (Supply Restoration: Rota Disconnection)Outputs - reliabilityGuaranteed Standards of Performance (GSoP)Number of valid payments owed</t>
  </si>
  <si>
    <t>Regulation 8 (Supply Restoration: Rota Disconnection)Outputs - reliabilityGuaranteed Standards of Performance (GSoP)Mandatory payments vs valid payments owed</t>
  </si>
  <si>
    <t>Regulation 10 (Supply Restoration: Multiple interruptions)Outputs - reliabilityGuaranteed Standards of Performance (GSoP)Number of valid payments owed</t>
  </si>
  <si>
    <t>Regulation 10 (Supply Restoration: Multiple interruptions)Outputs - reliabilityGuaranteed Standards of Performance (GSoP)Mandatory payments vs valid payments owed</t>
  </si>
  <si>
    <t>Regulation 11 (Responding to Operation of Distributor's Fuse)Outputs - reliabilityGuaranteed Standards of Performance (GSoP)Number of valid payments owed</t>
  </si>
  <si>
    <t>Regulation 11 (Responding to Operation of Distributor's Fuse)Outputs - reliabilityGuaranteed Standards of Performance (GSoP)Mandatory payments vs valid payments owed</t>
  </si>
  <si>
    <t>Regulation 12 (Notice of Supply Interruption )Outputs - reliabilityGuaranteed Standards of Performance (GSoP)Number of valid payments owed</t>
  </si>
  <si>
    <t>Regulation 12 (Notice of Supply Interruption )Outputs - reliabilityGuaranteed Standards of Performance (GSoP)Mandatory payments vs valid payments owed</t>
  </si>
  <si>
    <t>Total Number of mandatory payments made</t>
  </si>
  <si>
    <t>Regulation 13 (Investigation of Voltage complaints)Outputs - reliabilityGuaranteed Standards of Performance (GSoP)Total Number of mandatory payments made</t>
  </si>
  <si>
    <t>Regulation 17 (Making and Keeping Appointments)Outputs - reliabilityGuaranteed Standards of Performance (GSoP)Number of valid payments owed</t>
  </si>
  <si>
    <t>Regulation 17 (Making and Keeping Appointments)Outputs - reliabilityGuaranteed Standards of Performance (GSoP)Mandatory payments vs valid payments owed</t>
  </si>
  <si>
    <t>Regulation 19 (Payments owed under the Guaranteed Standards)Outputs - reliabilityGuaranteed Standards of Performance (GSoP)Number of valid payments owed</t>
  </si>
  <si>
    <t>Regulation 19 (Payments owed under the Guaranteed Standards)Outputs - reliabilityGuaranteed Standards of Performance (GSoP)Mandatory payments vs valid payments owed</t>
  </si>
  <si>
    <t>Total Payments Owed</t>
  </si>
  <si>
    <t>Outputs - reliabilityGuaranteed Standards of Performance (GSoP)Total Payments owed</t>
  </si>
  <si>
    <t>Total Paymets Made + Exemptions</t>
  </si>
  <si>
    <t>Outputs - reliabilityGuaranteed Standards of Performance (GSoP)Total Payments made</t>
  </si>
  <si>
    <t>Percentage of payments made</t>
  </si>
  <si>
    <t>Outputs - reliabilityGuaranteed Standards of Performance (GSoP)% of Payments made vs Payments owed</t>
  </si>
  <si>
    <t>WSC</t>
  </si>
  <si>
    <t>Allowance 12/13 prices</t>
  </si>
  <si>
    <t>Outputs - reliabilityWorst Served CustomersExpenditure 12/13</t>
  </si>
  <si>
    <t>Expenditure 12/13 prices</t>
  </si>
  <si>
    <t>DPCR5 ineligible expenditure recovery 12/13 prices</t>
  </si>
  <si>
    <t>Outputs - reliabilityWorst Served CustomersDPCR5 ineligible expenditure recovery 12/13</t>
  </si>
  <si>
    <t>Blackstart Baseline</t>
  </si>
  <si>
    <t>Outputs - reliabilityResilienceBlackstart Baseline</t>
  </si>
  <si>
    <t>Blackstart Actual</t>
  </si>
  <si>
    <t>Outputs - reliabilityResilienceBlackstart Actual</t>
  </si>
  <si>
    <t>Flood Mitigation Baseline</t>
  </si>
  <si>
    <t>Outputs - reliabilityResilienceFlood Mitigation Baseline</t>
  </si>
  <si>
    <t>Flood Mitigation Actual</t>
  </si>
  <si>
    <t>Outputs - reliabilityResilienceFlood Mitigation Actual</t>
  </si>
  <si>
    <t>Flood Mitigation Work Completed</t>
  </si>
  <si>
    <t>Outputs - reliabilityResilienceFlood Mitigation work completed</t>
  </si>
  <si>
    <t>Physical Security Baseline</t>
  </si>
  <si>
    <t>Outputs - reliabilityResiliencePhysical Security Baseline</t>
  </si>
  <si>
    <t>Physical Security Actual</t>
  </si>
  <si>
    <t>Outputs - reliabilityResiliencePhysical Security Actual</t>
  </si>
  <si>
    <t>Tree Cutting Baseline</t>
  </si>
  <si>
    <t>Outputs - reliabilityResilienceTree Cutting Baseline</t>
  </si>
  <si>
    <t>Tree Cutting Actual</t>
  </si>
  <si>
    <t>Outputs - reliabilityResilienceTree Cutting Actual</t>
  </si>
  <si>
    <t>Outputs - reliabilityResilienceTotal Resilience Baseline</t>
  </si>
  <si>
    <t>Outputs - reliabilityResilienceTotal Resilience Actual</t>
  </si>
  <si>
    <t>Ch2 Network Asset SDs</t>
  </si>
  <si>
    <t>Position at beginning of ED1</t>
  </si>
  <si>
    <t>Network Asset SDsNetwork Asset SDsPosition at Beginning of RIIO-ED1</t>
  </si>
  <si>
    <t>End of ED1 (without investment)</t>
  </si>
  <si>
    <t>Network Asset SDsNetwork Asset SDsEnd of RIIO-ED1 (Without Investment)</t>
  </si>
  <si>
    <t>End of ED1 (with investment)</t>
  </si>
  <si>
    <t>Network Asset SDsNetwork Asset SDsEnd of RIIO-ED1 (With Investment)</t>
  </si>
  <si>
    <t>Impact of Investment</t>
  </si>
  <si>
    <t>Network Asset SDsNetwork Asset SDsImpact of investment</t>
  </si>
  <si>
    <t>Network Asset SDsNetwork Asset SDsDeterioration</t>
  </si>
  <si>
    <t>Cumulative delivery to date against rebased NAW target</t>
  </si>
  <si>
    <t>Network Asset SDsNetwork Asset SDsCumulative delivery to date against rebased NAW target</t>
  </si>
  <si>
    <t>% Delivered</t>
  </si>
  <si>
    <t xml:space="preserve">Network Asset SDsNetwork Asset SDs% Delivered </t>
  </si>
  <si>
    <t>Ch2 Outputs - Connections</t>
  </si>
  <si>
    <t>Photovoltaic</t>
  </si>
  <si>
    <t>Outputs - connectionsDistributed GenerationPVs (G83)</t>
  </si>
  <si>
    <t>CHP</t>
  </si>
  <si>
    <t>Outputs - connectionsDistributed GenerationOther DG (G83)</t>
  </si>
  <si>
    <t>Hydro and Tidal</t>
  </si>
  <si>
    <t>Outputs - connectionsDistributed GenerationDG (non G83)</t>
  </si>
  <si>
    <t>LVSSA Average TTQ</t>
  </si>
  <si>
    <t>Outputs - connectionsTime to connect incentiveLVSSA Average TTQ</t>
  </si>
  <si>
    <t>LVSSA TTQ Ranking</t>
  </si>
  <si>
    <t>Outputs - connectionsTime to connect incentiveLVSSA TTQ Ranking</t>
  </si>
  <si>
    <t>LVSSA TTC</t>
  </si>
  <si>
    <t>Outputs - connectionsTime to connect incentiveLVSSA TTC</t>
  </si>
  <si>
    <t>LVSSA TTC Ranking</t>
  </si>
  <si>
    <t>Outputs - connectionsTime to connect incentiveLVSSA TTC Ranking</t>
  </si>
  <si>
    <t>LVSSB TTQ</t>
  </si>
  <si>
    <t>Outputs - connectionsTime to connect incentiveLVSSB TTQ</t>
  </si>
  <si>
    <t>LVSSB TTQ Ranking</t>
  </si>
  <si>
    <t>Outputs - connectionsTime to connect incentiveLVSSB TTQ Ranking</t>
  </si>
  <si>
    <t>LVSSB TTC</t>
  </si>
  <si>
    <t>Outputs - connectionsTime to connect incentiveLVSSB TTC</t>
  </si>
  <si>
    <t>LVSSB TTC Ranking</t>
  </si>
  <si>
    <t>Outputs - connectionsTime to connect incentiveLVSSB TTC Ranking</t>
  </si>
  <si>
    <t>Reward 12/13</t>
  </si>
  <si>
    <t>Outputs - connectionsTime to connect incentiveReward 12/13</t>
  </si>
  <si>
    <t>Reward 20/21</t>
  </si>
  <si>
    <t>Outputs - connectionsTime to connect incentiveReward 20/21</t>
  </si>
  <si>
    <t>Outputs - connectionsTime to connect incentiveRAG</t>
  </si>
  <si>
    <t>Average Ranking</t>
  </si>
  <si>
    <t>Outputs - connectionsTime to connect incentiveAverage Ranking</t>
  </si>
  <si>
    <t>Overall Ranking</t>
  </si>
  <si>
    <t>Outputs - connectionsTime to connect incentiveOverall Ranking</t>
  </si>
  <si>
    <t>Outputs - connectionsTime to connect incentiveOverall (LVSSA + LVSSB)</t>
  </si>
  <si>
    <t>Connections GSoP</t>
  </si>
  <si>
    <t>Total cases</t>
  </si>
  <si>
    <t>Outputs - connectionsConnections Guaranteed Standards of Performance (GSOPs)Total number of cases where the Connection GSOPs apply</t>
  </si>
  <si>
    <t>Total cases standards not met</t>
  </si>
  <si>
    <t>Outputs - connectionsConnections Guaranteed Standards of Performance (GSOPs)Total number of cases where the Connection GSOPs apply and the standard was not met  </t>
  </si>
  <si>
    <t>Penalties paid</t>
  </si>
  <si>
    <t>Outputs - connectionsConnections Guaranteed Standards of Performance (GSOPs)Total penalties paid against the Connection GSOPs (£) (2018/19 prices)</t>
  </si>
  <si>
    <t>% of total cases where standards not met</t>
  </si>
  <si>
    <t>Outputs - connectionsConnections Guaranteed Standards of Performance (GSOPs)% of total cases when standard not met</t>
  </si>
  <si>
    <t>Outputs - connectionsConnections Guaranteed Standards of Performance (GSOPs)RAG</t>
  </si>
  <si>
    <t>Outputs - connectionsConnections Guaranteed Standards of Performance (GSOPs)Ranking</t>
  </si>
  <si>
    <t>Ch2 Outputs - Environment</t>
  </si>
  <si>
    <t>LDR</t>
  </si>
  <si>
    <t>Outputs - environmentLosses Discretionary RewardReward</t>
  </si>
  <si>
    <t>Outputs - environmentLosses Discretionary RewardDistribution losses</t>
  </si>
  <si>
    <t>Outputs - environmentLosses Discretionary RewardRanking</t>
  </si>
  <si>
    <t>BCF</t>
  </si>
  <si>
    <t>BCF (excluding losses)</t>
  </si>
  <si>
    <t>Outputs - environmentBusiness Carbon Footprint (BCF)Business Carbon Footprint (excluding losses)</t>
  </si>
  <si>
    <t>BCF (excluding losses) as % network length and customer numbers</t>
  </si>
  <si>
    <t>Outputs - environmentBusiness Carbon Footprint (BCF)Business Carbon Footprint (excluding losses) as % network length and customer numbers</t>
  </si>
  <si>
    <t>Outputs - environmentBusiness Carbon Footprint (BCF)Ranking</t>
  </si>
  <si>
    <t>SF6</t>
  </si>
  <si>
    <t>SF6 emissions</t>
  </si>
  <si>
    <t>Outputs - environmentSulphur hexafluoride emissions (SF6)SF6 emissions</t>
  </si>
  <si>
    <t>SF6 bank</t>
  </si>
  <si>
    <t>Outputs - environmentSulphur hexafluoride emissions (SF6)SF6 bank</t>
  </si>
  <si>
    <t>SF6 emissions as % of SF6 bank</t>
  </si>
  <si>
    <t>Outputs - environmentSulphur hexafluoride emissions (SF6)SF6 emissions as a percentage of the SF6 bank</t>
  </si>
  <si>
    <t>Outputs - environmentSulphur hexafluoride emissions (SF6)SF6 emissions as a percentage of the SF6 bank Ranking</t>
  </si>
  <si>
    <t>Leakages</t>
  </si>
  <si>
    <t>Top up of fluid filled cables</t>
  </si>
  <si>
    <t>Outputs - environmentLeakages from fluid filled cablesTop up of fluid filled cables</t>
  </si>
  <si>
    <t>Oil in service in cables</t>
  </si>
  <si>
    <t>Outputs - environmentLeakages from fluid filled cablesOil in Service in Cables (litres)</t>
  </si>
  <si>
    <t>Top up as % of oil in service</t>
  </si>
  <si>
    <t>Outputs - environmentLeakages from fluid filled cablesTop up as a % of oil in service</t>
  </si>
  <si>
    <t>Outputs - environmentLeakages from fluid filled cablesTop up as a % of oil in service Ranking</t>
  </si>
  <si>
    <t>Length of overhead lines removed</t>
  </si>
  <si>
    <t>Outputs - environmentUndergrounding performanceLength of overhead lines removed</t>
  </si>
  <si>
    <t>Length of underground lines installed</t>
  </si>
  <si>
    <t>Outputs - environmentUndergrounding performanceLength of underground lines installed</t>
  </si>
  <si>
    <t>Outputs - environmentUndergrounding performanceUndergrounding expenditure (£m)</t>
  </si>
  <si>
    <t>EV</t>
  </si>
  <si>
    <t>Slow charge</t>
  </si>
  <si>
    <t>Outputs - environmentElectric Vehicles connected to the distribution (Secondary) networkEV slow charge</t>
  </si>
  <si>
    <t>Fast charge</t>
  </si>
  <si>
    <t>Outputs - environmentElectric Vehicles connected to the distribution (Secondary) networkEV fast charge</t>
  </si>
  <si>
    <t>Noise Complaints</t>
  </si>
  <si>
    <t>Noise Complaints in year</t>
  </si>
  <si>
    <t>Outputs - environmentNoise complaintsNoise complaints in year</t>
  </si>
  <si>
    <t>Ch2 CSAT</t>
  </si>
  <si>
    <t>CSAT Survey</t>
  </si>
  <si>
    <t>Interruptions score</t>
  </si>
  <si>
    <t>Outputs - cust satAnnual customer satisfaction score by DNO per category (out of 10)Interruptions</t>
  </si>
  <si>
    <t>Connections score</t>
  </si>
  <si>
    <t>Outputs - cust satAnnual customer satisfaction score by DNO per category (out of 10)Connections</t>
  </si>
  <si>
    <t>General enquiries score</t>
  </si>
  <si>
    <t>Outputs - cust satAnnual customer satisfaction score by DNO per category (out of 10)General Enquiries</t>
  </si>
  <si>
    <t>Overall score</t>
  </si>
  <si>
    <t>Outputs - cust satAnnual customer satisfaction score by DNO per category (out of 10)Overall</t>
  </si>
  <si>
    <t>Outputs - cust satAnnual customer satisfaction score by DNO per category (out of 10)RAG</t>
  </si>
  <si>
    <t>Outputs - cust satAnnual customer satisfaction score by DNO per category (out of 10)Ranking</t>
  </si>
  <si>
    <t>Complaints Metric</t>
  </si>
  <si>
    <t>% of outstanding complaints after 1 day</t>
  </si>
  <si>
    <t>Outputs - cust satDNO complaint metric scoresThe percentage of total complaints outstanding after one day</t>
  </si>
  <si>
    <t>% of outstanding complaints after 31 days</t>
  </si>
  <si>
    <t>Outputs - cust satDNO complaint metric scoresThe percentage of total complaints outstanding after 31 days</t>
  </si>
  <si>
    <t>% of repeat complaints</t>
  </si>
  <si>
    <t>Outputs - cust satDNO complaint metric scoresThe percentage of total complaints that are repeat complaints</t>
  </si>
  <si>
    <t>% of complaints findings by EO against licensee</t>
  </si>
  <si>
    <t>Outputs - cust satDNO complaint metric scoresThe number of Energy Ombudsman (EO) Findings Against the Licensee as a percentage of the total complaints</t>
  </si>
  <si>
    <t>Outputs - cust satDNO complaint metric scoresComplaints Metric Score</t>
  </si>
  <si>
    <t xml:space="preserve">RAG </t>
  </si>
  <si>
    <t>Outputs - cust satDNO complaint metric scoresRAG</t>
  </si>
  <si>
    <t>Outputs - cust satDNO complaint metric scoresRanking</t>
  </si>
  <si>
    <t>Outputs - cust satStakeholder Engagement and Customer Vulnerability IncentiveScore</t>
  </si>
  <si>
    <t>Outputs - cust satStakeholder Engagement and Customer Vulnerability IncentiveRAG</t>
  </si>
  <si>
    <t>Outputs - cust satStakeholder Engagement and Customer Vulnerability IncentiveRanking</t>
  </si>
  <si>
    <t>CSAT Survey Reward/Penalty</t>
  </si>
  <si>
    <t>Outputs - cust satBroad Measure of Customer ServiceCustomer Satisfaction Survey Reward/Penalty</t>
  </si>
  <si>
    <t xml:space="preserve">Outputs - cust satBroad Measure of Customer ServiceComplaints Metric Penalty </t>
  </si>
  <si>
    <t>Stakeholder Engagement and Sonsumer Vulnerability Financial Reward</t>
  </si>
  <si>
    <t xml:space="preserve">Outputs - cust satBroad Measure of Customer ServiceStakeholder Engagement and Consumer Vulnerability Financial Reward </t>
  </si>
  <si>
    <t>Broad Measure of Customer Service reward</t>
  </si>
  <si>
    <t xml:space="preserve">Outputs - cust satBroad Measure of Customer ServiceBroad Measure of Customer Service reward </t>
  </si>
  <si>
    <t>Broad Measure of Customer Service ranking</t>
  </si>
  <si>
    <t>Outputs - cust satBroad Measure of Customer ServiceBroad Measure of Customer Service ranking</t>
  </si>
  <si>
    <t>Ch2 Innovation</t>
  </si>
  <si>
    <t>Network Innovation Allowance</t>
  </si>
  <si>
    <t>InnovationNetwork Innovation AllowanceNumber of projects</t>
  </si>
  <si>
    <t>NIA allowance</t>
  </si>
  <si>
    <t>InnovationNetwork Innovation AllowanceNIA allowance</t>
  </si>
  <si>
    <t>NIA expenditure</t>
  </si>
  <si>
    <t>InnovationNetwork Innovation AllowanceNIA expenditure</t>
  </si>
  <si>
    <t>InnovationNetwork Innovation Allowance% of allowance</t>
  </si>
  <si>
    <t>Network Innovation Competition</t>
  </si>
  <si>
    <t>NIC funding awarded</t>
  </si>
  <si>
    <t>InnovationNetwork Innovation CompetitionFunding Awarded</t>
  </si>
  <si>
    <t>Ch3 Financial performance</t>
  </si>
  <si>
    <t>Cumulative</t>
  </si>
  <si>
    <t>Annual allowance</t>
  </si>
  <si>
    <t>Financial performanceTotex performanceAnnual allowance</t>
  </si>
  <si>
    <t>Annual Actual allowance</t>
  </si>
  <si>
    <t>Financial performanceTotex performanceAnnual Actual allowance</t>
  </si>
  <si>
    <t>Annual Difference</t>
  </si>
  <si>
    <t>Financial performanceTotex performanceAnnual Difference</t>
  </si>
  <si>
    <t>Annual Difference %</t>
  </si>
  <si>
    <t>Financial performanceTotex performanceAnnual Difference %</t>
  </si>
  <si>
    <t>Cumulative Allowance</t>
  </si>
  <si>
    <t>Financial performanceTotex performanceCumulative Allowance</t>
  </si>
  <si>
    <t>Cumulative Actual and Forecast</t>
  </si>
  <si>
    <t>Financial performanceTotex performanceCumulative Actual and Forecast</t>
  </si>
  <si>
    <t>Cumulative Difference</t>
  </si>
  <si>
    <t>Financial performanceTotex performanceCumulative Difference</t>
  </si>
  <si>
    <t>Cumulative Difference %</t>
  </si>
  <si>
    <t>Financial performanceTotex performanceCumulative Difference %</t>
  </si>
  <si>
    <t>ED1 Allowance</t>
  </si>
  <si>
    <t>Financial performanceTotex performanceForecast Allowance</t>
  </si>
  <si>
    <t>ED1 Actual and Forecast</t>
  </si>
  <si>
    <t>Financial performanceTotex performanceForecast Actual and Forecast</t>
  </si>
  <si>
    <t>ED1 Difference</t>
  </si>
  <si>
    <t>Financial performanceTotex performanceForecast Difference</t>
  </si>
  <si>
    <t>ED1 Difference %</t>
  </si>
  <si>
    <t>Financial performanceTotex performanceForecast Difference %</t>
  </si>
  <si>
    <t>Financial performanceTotex performanceSharing factor</t>
  </si>
  <si>
    <t>Annual totex performance</t>
  </si>
  <si>
    <t>Financial performanceTotex performanceAnnual totex performance</t>
  </si>
  <si>
    <t>Annual customer share</t>
  </si>
  <si>
    <t>Financial performanceTotex performanceAnnual customer share</t>
  </si>
  <si>
    <t>Annual DNO share</t>
  </si>
  <si>
    <t>Financial performanceTotex performanceAnnual DNO share</t>
  </si>
  <si>
    <t>Cumulative totex performance</t>
  </si>
  <si>
    <t>Financial performanceTotex performanceCumulative totex performance</t>
  </si>
  <si>
    <t>Cumulative customer share</t>
  </si>
  <si>
    <t>Financial performanceTotex performanceCumulative customer share</t>
  </si>
  <si>
    <t>Cumulative DNO share</t>
  </si>
  <si>
    <t>Financial performanceTotex performanceCumulative DNO share</t>
  </si>
  <si>
    <t>ED1 totex performance</t>
  </si>
  <si>
    <t>Financial performanceTotex performanceForecast totex performance</t>
  </si>
  <si>
    <t>ED1 customer share</t>
  </si>
  <si>
    <t>Financial performanceTotex performanceForecast customer share</t>
  </si>
  <si>
    <t>ED1 DNO share</t>
  </si>
  <si>
    <t>Financial performanceTotex performanceForecast DNO share</t>
  </si>
  <si>
    <t xml:space="preserve">Financial performanceTotex performanceAllowed totex </t>
  </si>
  <si>
    <t>Financial performanceTotex performanceActual totex</t>
  </si>
  <si>
    <t>Overspend</t>
  </si>
  <si>
    <t>Financial performanceTotex performanceOverspend</t>
  </si>
  <si>
    <t>Financial performanceTotex performanceTotex incentive rate</t>
  </si>
  <si>
    <t>Financial performanceTotex performanceAllowed totex after totex incentive rate</t>
  </si>
  <si>
    <t>Customer Bill Impact</t>
  </si>
  <si>
    <t>Regional estimates of GB customer cost to meet allowed revenue</t>
  </si>
  <si>
    <t>Financial performanceCustomer Bill ImpactRegional estimates of typical GB customer cost to meet Allowed Revenue</t>
  </si>
  <si>
    <t>RAV 1st April</t>
  </si>
  <si>
    <t>Financial performanceRAVRAV at 1st April</t>
  </si>
  <si>
    <t>Financial performanceRAVSlow Money</t>
  </si>
  <si>
    <t>Financial performanceRAVDepreciation</t>
  </si>
  <si>
    <t>RAV 31st March</t>
  </si>
  <si>
    <t>Financial performanceRAVRAV at 31st March</t>
  </si>
  <si>
    <t>Ch4 Expenditure Drivers</t>
  </si>
  <si>
    <t>Expenditure driversAllowanceAllowance</t>
  </si>
  <si>
    <t>Expenditure driversActual/ForecastsActual/Forecasts</t>
  </si>
  <si>
    <t>Cumulative allowance</t>
  </si>
  <si>
    <t>Expenditure driversAllowances vs ExpenditureAllowance</t>
  </si>
  <si>
    <t>Cumulative actual</t>
  </si>
  <si>
    <t>Expenditure driversAllowances vs ExpenditureActual</t>
  </si>
  <si>
    <t>Cumulative difference</t>
  </si>
  <si>
    <t>Expenditure driversAllowances vs ExpenditureDifference</t>
  </si>
  <si>
    <t>Cumulative difference %</t>
  </si>
  <si>
    <t>Expenditure driversAllowances vs ExpenditureDifference %</t>
  </si>
  <si>
    <t>ED1 allowance</t>
  </si>
  <si>
    <t>ED1 actual (and forecast)</t>
  </si>
  <si>
    <t>ED1 difference</t>
  </si>
  <si>
    <t>ED1 difference %</t>
  </si>
  <si>
    <t>DNO forecast</t>
  </si>
  <si>
    <t>Expenditure driversNetwork ReinforcementBPDT</t>
  </si>
  <si>
    <t>DNO baseline</t>
  </si>
  <si>
    <t>Expenditure driversNetwork ReinforcementDNO Baseline</t>
  </si>
  <si>
    <t>DNO actual</t>
  </si>
  <si>
    <t>Expenditure driversNetwork ReinforcementDNO Actual</t>
  </si>
  <si>
    <t>Baseline/actual difference</t>
  </si>
  <si>
    <t>Expenditure driversNetwork ReinforcementDifference</t>
  </si>
  <si>
    <t>Baseline/actual difference %</t>
  </si>
  <si>
    <t>Expenditure driversNetwork ReinforcementDifference %</t>
  </si>
  <si>
    <t>Expenditure driversReplacing and refurbishing equipmentBPDT</t>
  </si>
  <si>
    <t>Expenditure driversReplacing and refurbishing equipmentDNO Baseline</t>
  </si>
  <si>
    <t>Expenditure driversReplacing and refurbishing equipmentDNO Actual</t>
  </si>
  <si>
    <t>Expenditure driversReplacing and refurbishing equipmentDifference</t>
  </si>
  <si>
    <t>Expenditure driversReplacing and refurbishing equipmentDifference %</t>
  </si>
  <si>
    <t>Expenditure driversNetwork faultsBPDT</t>
  </si>
  <si>
    <t>Expenditure driversNetwork faultsDNO Baseline</t>
  </si>
  <si>
    <t>Expenditure driversNetwork faultsDNO Actual</t>
  </si>
  <si>
    <t>Expenditure driversNetwork faultsDifference</t>
  </si>
  <si>
    <t>Expenditure driversNetwork faultsDifference %</t>
  </si>
  <si>
    <t>Expenditure driversOperational supportBPDT</t>
  </si>
  <si>
    <t>Expenditure driversOperational supportDNO Baseline</t>
  </si>
  <si>
    <t>Expenditure driversOperational supportDNO Actual</t>
  </si>
  <si>
    <t>Expenditure driversOperational supportDifference</t>
  </si>
  <si>
    <t>Expenditure driversOperational supportDifference %</t>
  </si>
  <si>
    <t>Expenditure driversBusiness SupportBPDT</t>
  </si>
  <si>
    <t>Expenditure driversBusiness SupportDNO Baseline</t>
  </si>
  <si>
    <t>Expenditure driversBusiness SupportDNO Actual</t>
  </si>
  <si>
    <t>Expenditure driversBusiness SupportDifference</t>
  </si>
  <si>
    <t>Expenditure driversBusiness SupportDifference %</t>
  </si>
  <si>
    <t>Expenditure driversBlack start, Flood mitigation, Physical security and Tree cuttingBPDT</t>
  </si>
  <si>
    <t>Expenditure driversBlack start, Flood mitigation, Physical security and Tree cuttingDNO Baseline</t>
  </si>
  <si>
    <t>Expenditure driversBlack start, Flood mitigation, Physical security and Tree cuttingDNO Actual</t>
  </si>
  <si>
    <t>Expenditure driversBlack start, Flood mitigation, Physical security and Tree cuttingDifference</t>
  </si>
  <si>
    <t>Expenditure driversBlack start, Flood mitigation, Physical security and Tree cuttingDifference %</t>
  </si>
  <si>
    <t>Expenditure driversConnectionsBPDT</t>
  </si>
  <si>
    <t>Expenditure driversConnectionsDNO Baseline</t>
  </si>
  <si>
    <t>Expenditure driversConnectionsDNO Actual</t>
  </si>
  <si>
    <t>Expenditure driversConnectionsDifference</t>
  </si>
  <si>
    <t>Expenditure driversConnectionsDifference %</t>
  </si>
  <si>
    <t>Expenditure driversReinforcementBPDT</t>
  </si>
  <si>
    <t>Expenditure driversReinforcementDNO Baseline</t>
  </si>
  <si>
    <t>Expenditure driversReinforcementDNO Actual</t>
  </si>
  <si>
    <t>Expenditure driversReinforcementDifference</t>
  </si>
  <si>
    <t>Expenditure driversReinforcementDifference %</t>
  </si>
  <si>
    <t>Transmission connection point</t>
  </si>
  <si>
    <t>Expenditure driversTransmission Connection PointBPDT</t>
  </si>
  <si>
    <t>Expenditure driversTransmission Connection PointDNO Baseline</t>
  </si>
  <si>
    <t>Expenditure driversTransmission Connection PointDNO Actual</t>
  </si>
  <si>
    <t>Expenditure driversTransmission Connection PointDifference</t>
  </si>
  <si>
    <t>Expenditure driversTransmission Connection PointDifference %</t>
  </si>
  <si>
    <t>Diversions (excluding rail electrification)</t>
  </si>
  <si>
    <t>Expenditure driversDiversions (Excluding Rail Electrification)BPDT</t>
  </si>
  <si>
    <t>Expenditure driversDiversions (Excluding Rail Electrification)DNO Baseline</t>
  </si>
  <si>
    <t>Expenditure driversDiversions (Excluding Rail Electrification)DNO Actual</t>
  </si>
  <si>
    <t>Expenditure driversDiversions (Excluding Rail Electrification)Difference</t>
  </si>
  <si>
    <t>Expenditure driversDiversions (Excluding Rail Electrification)Difference %</t>
  </si>
  <si>
    <t>Diversions rail elec</t>
  </si>
  <si>
    <t>Expenditure driversDiversions Rail ElecBPDT</t>
  </si>
  <si>
    <t>Expenditure driversDiversions Rail ElecDNO Baseline</t>
  </si>
  <si>
    <t>Expenditure driversDiversions Rail ElecDNO Actual</t>
  </si>
  <si>
    <t>Expenditure driversDiversions Rail ElecDifference</t>
  </si>
  <si>
    <t>Expenditure driversDiversions Rail ElecDifference %</t>
  </si>
  <si>
    <t>Asset replacement</t>
  </si>
  <si>
    <t>Expenditure driversAsset ReplacementBPDT</t>
  </si>
  <si>
    <t>Expenditure driversAsset ReplacementDNO Baseline</t>
  </si>
  <si>
    <t>Expenditure driversAsset ReplacementDNO Actual</t>
  </si>
  <si>
    <t>Expenditure driversAsset ReplacementDifference</t>
  </si>
  <si>
    <t>Expenditure driversAsset ReplacementDifference %</t>
  </si>
  <si>
    <t>Expenditure driversRefurbishment BPDT</t>
  </si>
  <si>
    <t>Expenditure driversRefurbishment DNO Baseline</t>
  </si>
  <si>
    <t>Expenditure driversRefurbishment DNO Actual</t>
  </si>
  <si>
    <t>Expenditure driversRefurbishment Difference</t>
  </si>
  <si>
    <t>Expenditure driversRefurbishment Difference %</t>
  </si>
  <si>
    <t>Civil Works condition driven</t>
  </si>
  <si>
    <t>Expenditure driversCivil Works Condition DrivenBPDT</t>
  </si>
  <si>
    <t>Expenditure driversCivil Works Condition DrivenDNO Baseline</t>
  </si>
  <si>
    <t>Expenditure driversCivil Works Condition DrivenDNO Actual</t>
  </si>
  <si>
    <t>Expenditure driversCivil Works Condition DrivenDifference</t>
  </si>
  <si>
    <t>Expenditure driversCivil Works Condition DrivenDifference %</t>
  </si>
  <si>
    <t>Operational IT and Telecoms</t>
  </si>
  <si>
    <t>Expenditure driversOperational IT and telecomsBPDT</t>
  </si>
  <si>
    <t>Expenditure driversOperational IT and telecomsDNO Baseline</t>
  </si>
  <si>
    <t>Expenditure driversOperational IT and telecomsDNO Actual</t>
  </si>
  <si>
    <t>Expenditure driversOperational IT and telecomsDifference</t>
  </si>
  <si>
    <t>Expenditure driversOperational IT and telecomsDifference %</t>
  </si>
  <si>
    <t>Expenditure driversBlackstartBPDT</t>
  </si>
  <si>
    <t>Expenditure driversBlackstartDNO Baseline</t>
  </si>
  <si>
    <t>Expenditure driversBlackstartDNO Actual</t>
  </si>
  <si>
    <t>Expenditure driversBlackstartDifference</t>
  </si>
  <si>
    <t>Expenditure driversBlackstartDifference %</t>
  </si>
  <si>
    <t>Expenditure driversBT21CNBPDT</t>
  </si>
  <si>
    <t>Expenditure driversBT21CNDNO Baseline</t>
  </si>
  <si>
    <t>Expenditure driversBT21CNDNO Actual</t>
  </si>
  <si>
    <t>Expenditure driversBT21CNDifference</t>
  </si>
  <si>
    <t>Expenditure driversBT21CNDifference %</t>
  </si>
  <si>
    <t>Legal and safety</t>
  </si>
  <si>
    <t>Expenditure driversLegal &amp; SafetyBPDT</t>
  </si>
  <si>
    <t>Expenditure driversLegal &amp; SafetyDNO Baseline</t>
  </si>
  <si>
    <t>Expenditure driversLegal &amp; SafetyDNO Actual</t>
  </si>
  <si>
    <t>Expenditure driversLegal &amp; SafetyDifference</t>
  </si>
  <si>
    <t>Expenditure driversLegal &amp; SafetyDifference %</t>
  </si>
  <si>
    <t>QoS and North of Scotland resilience</t>
  </si>
  <si>
    <t>Expenditure driversQoS &amp; North of Scotland ResilienceBPDT</t>
  </si>
  <si>
    <t>Expenditure driversQoS &amp; North of Scotland ResilienceDNO Baseline</t>
  </si>
  <si>
    <t>Expenditure driversQoS &amp; North of Scotland ResilienceDNO Actual</t>
  </si>
  <si>
    <t>Expenditure driversQoS &amp; North of Scotland ResilienceDifference</t>
  </si>
  <si>
    <t>Expenditure driversQoS &amp; North of Scotland ResilienceDifference %</t>
  </si>
  <si>
    <t>Expenditure driversFlood MitigationBPDT</t>
  </si>
  <si>
    <t>Expenditure driversFlood MitigationDNO Baseline</t>
  </si>
  <si>
    <t>Expenditure driversFlood MitigationDNO Actual</t>
  </si>
  <si>
    <t>Expenditure driversFlood MitigationDifference</t>
  </si>
  <si>
    <t>Expenditure driversFlood MitigationDifference %</t>
  </si>
  <si>
    <t>Expenditure driversPhysical SecurityBPDT</t>
  </si>
  <si>
    <t>Expenditure driversPhysical SecurityDNO Baseline</t>
  </si>
  <si>
    <t>Expenditure driversPhysical SecurityDNO Actual</t>
  </si>
  <si>
    <t>Expenditure driversPhysical SecurityDifference</t>
  </si>
  <si>
    <t>Expenditure driversPhysical SecurityDifference %</t>
  </si>
  <si>
    <t>Expenditure driversRising and Lateral MainsBPDT</t>
  </si>
  <si>
    <t>Expenditure driversRising and Lateral MainsDNO Baseline</t>
  </si>
  <si>
    <t>Expenditure driversRising and Lateral MainsDNO Actual</t>
  </si>
  <si>
    <t>Expenditure driversRising and Lateral MainsDifference</t>
  </si>
  <si>
    <t>Expenditure driversRising and Lateral MainsDifference %</t>
  </si>
  <si>
    <t>Expenditure driversOverhead Line ClearancesBPDT</t>
  </si>
  <si>
    <t>Expenditure driversOverhead Line ClearancesDNO Baseline</t>
  </si>
  <si>
    <t>Expenditure driversOverhead Line ClearancesDNO Actual</t>
  </si>
  <si>
    <t>Expenditure driversOverhead Line ClearancesDifference</t>
  </si>
  <si>
    <t>Expenditure driversOverhead Line ClearancesDifference %</t>
  </si>
  <si>
    <t>Expenditure driversEnvironmental Reporting &amp; LossesBPDT</t>
  </si>
  <si>
    <t>Expenditure driversEnvironmental Reporting &amp; LossesDNO Baseline</t>
  </si>
  <si>
    <t>Expenditure driversEnvironmental Reporting &amp; LossesDNO Actual</t>
  </si>
  <si>
    <t>Expenditure driversEnvironmental Reporting &amp; LossesDifference</t>
  </si>
  <si>
    <t>Expenditure driversEnvironmental Reporting &amp; LossesDifference %</t>
  </si>
  <si>
    <t>Expenditure driversFaultsBPDT</t>
  </si>
  <si>
    <t>Expenditure driversFaultsDNO Baseline</t>
  </si>
  <si>
    <t>Expenditure driversFaultsDNO Actual</t>
  </si>
  <si>
    <t>Expenditure driversFaultsDifference</t>
  </si>
  <si>
    <t>Expenditure driversFaultsDifference %</t>
  </si>
  <si>
    <t>Expenditure driversSevere Weather 1 in 20BPDT</t>
  </si>
  <si>
    <t>Expenditure driversSevere Weather 1 in 20DNO Baseline</t>
  </si>
  <si>
    <t>Expenditure driversSevere Weather 1 in 20DNO Actual</t>
  </si>
  <si>
    <t>Expenditure driversSevere Weather 1 in 20Difference</t>
  </si>
  <si>
    <t>Expenditure driversSevere Weather 1 in 20Difference %</t>
  </si>
  <si>
    <t>Expenditure driversONIsBPDT</t>
  </si>
  <si>
    <t>Expenditure driversONIsDNO Baseline</t>
  </si>
  <si>
    <t>Expenditure driversONIsDNO Actual</t>
  </si>
  <si>
    <t>Expenditure driversONIsDifference</t>
  </si>
  <si>
    <t>Expenditure driversONIsDifference %</t>
  </si>
  <si>
    <t>Expenditure driversTree CuttingBPDT</t>
  </si>
  <si>
    <t>Expenditure driversTree CuttingDNO Baseline</t>
  </si>
  <si>
    <t>Expenditure driversTree CuttingDNO Actual</t>
  </si>
  <si>
    <t>Expenditure driversTree CuttingDifference</t>
  </si>
  <si>
    <t>Expenditure driversTree CuttingDifference %</t>
  </si>
  <si>
    <t>Expenditure driversI&amp;MBPDT</t>
  </si>
  <si>
    <t>Expenditure driversI&amp;MDNO Baseline</t>
  </si>
  <si>
    <t>Expenditure driversI&amp;MDNO Actual</t>
  </si>
  <si>
    <t>Expenditure driversI&amp;MDifference</t>
  </si>
  <si>
    <t>Expenditure driversI&amp;MDifference %</t>
  </si>
  <si>
    <t>Expenditure driversNOCs OtherBPDT</t>
  </si>
  <si>
    <t>Expenditure driversNOCs OtherDNO Baseline</t>
  </si>
  <si>
    <t>Expenditure driversNOCs OtherDNO Actual</t>
  </si>
  <si>
    <t>Expenditure driversNOCs OtherDifference</t>
  </si>
  <si>
    <t>Expenditure driversNOCs OtherDifference %</t>
  </si>
  <si>
    <t>Expenditure driversNon Op CapexBPDT</t>
  </si>
  <si>
    <t>Expenditure driversNon Op CapexDNO Baseline</t>
  </si>
  <si>
    <t>Expenditure driversNon Op CapexDNO Actual</t>
  </si>
  <si>
    <t>Expenditure driversNon Op CapexDifference</t>
  </si>
  <si>
    <t>Expenditure driversNon Op CapexDifference %</t>
  </si>
  <si>
    <t>Expenditure driversSmart MeterBPDT</t>
  </si>
  <si>
    <t>Expenditure driversSmart MeterDNO Baseline</t>
  </si>
  <si>
    <t>Expenditure driversSmart MeterDNO Actual</t>
  </si>
  <si>
    <t>Expenditure driversSmart MeterDifference</t>
  </si>
  <si>
    <t>Expenditure driversSmart MeterDifference %</t>
  </si>
  <si>
    <t>Expenditure driversClosely Associated IndirectsBPDT</t>
  </si>
  <si>
    <t>Expenditure driversClosely Associated IndirectsDNO Baseline</t>
  </si>
  <si>
    <t>Expenditure driversClosely Associated IndirectsDNO Actual</t>
  </si>
  <si>
    <t>Expenditure driversClosely Associated IndirectsDifference</t>
  </si>
  <si>
    <t>Expenditure driversClosely Associated IndirectsDifference %</t>
  </si>
  <si>
    <t>Expenditure driversHVP ED1BPDT</t>
  </si>
  <si>
    <t>Expenditure driversHVP ED1DNO Baseline</t>
  </si>
  <si>
    <t>Expenditure driversHVP ED1DNO Actual</t>
  </si>
  <si>
    <t>Expenditure driversHVP ED1Difference</t>
  </si>
  <si>
    <t>Expenditure driversHVP ED1Difference %</t>
  </si>
  <si>
    <t>Expenditure driversHVP DPCR5DNO Baseline</t>
  </si>
  <si>
    <t>Expenditure driversHVP DPCR5DNO Actual</t>
  </si>
  <si>
    <t>Expenditure driversHVP DPCR5Difference</t>
  </si>
  <si>
    <t>Expenditure driversHVP DPCR5Difference %</t>
  </si>
  <si>
    <t>Expenditure driversTotal of the disaggregated areasBPDT</t>
  </si>
  <si>
    <t>Expenditure driversTotal of the disaggregated areasDNO Baseline</t>
  </si>
  <si>
    <t>Expenditure driversTotal of the disaggregated areasDNO Actual</t>
  </si>
  <si>
    <t>Expenditure driversTotal of the disaggregated areasDifference</t>
  </si>
  <si>
    <t>Expenditure driversTotal of the disaggregated areasDifference %</t>
  </si>
  <si>
    <t>Expenditure driversPolicy Adjustments (Forecast DRS 8, Disposals, Shetland Competitive Process, Shetland Uncertain Energy, WSC, Atypicals)BPDT</t>
  </si>
  <si>
    <t>Expenditure driversPolicy Adjustments (Forecast DRS 8, Disposals, Shetland Competitive Process, Shetland Uncertain Energy, WSC, Atypicals)DNO Baseline</t>
  </si>
  <si>
    <t>Expenditure driversPolicy Adjustments (Forecast DRS 8, Disposals, Shetland Competitive Process, Shetland Uncertain Energy, WSC, Atypicals)DNO Actual</t>
  </si>
  <si>
    <t>Expenditure driversPolicy Adjustments (Forecast DRS 8, Disposals, Shetland Competitive Process, Shetland Uncertain Energy, WSC, Atypicals)Difference</t>
  </si>
  <si>
    <t>Expenditure driversPolicy Adjustments (Forecast DRS 8, Disposals, Shetland Competitive Process, Shetland Uncertain Energy, WSC, Atypicals)Difference %</t>
  </si>
  <si>
    <t>Year</t>
  </si>
  <si>
    <t>Schedule</t>
  </si>
  <si>
    <t>Category</t>
  </si>
  <si>
    <t>Selection</t>
  </si>
  <si>
    <t>Units</t>
  </si>
  <si>
    <t>xllookup</t>
  </si>
  <si>
    <t>Cover guide and drivers</t>
  </si>
  <si>
    <t>number</t>
  </si>
  <si>
    <t>km</t>
  </si>
  <si>
    <t>GWh</t>
  </si>
  <si>
    <t>Network-wide Peak load</t>
  </si>
  <si>
    <t>MVA</t>
  </si>
  <si>
    <t>£million</t>
  </si>
  <si>
    <t>Incentive on Connections Engagement (ICE)</t>
  </si>
  <si>
    <t>Losses Discretionary Reward Scheme (LDR)</t>
  </si>
  <si>
    <t>Total Incentive payments</t>
  </si>
  <si>
    <t>Outputs - reliability</t>
  </si>
  <si>
    <t>RORE basis points</t>
  </si>
  <si>
    <t>CI RAG rating</t>
  </si>
  <si>
    <t>Colour</t>
  </si>
  <si>
    <t>Green</t>
  </si>
  <si>
    <t>CMLRAG rating</t>
  </si>
  <si>
    <t>Number</t>
  </si>
  <si>
    <t>Percentage</t>
  </si>
  <si>
    <t>Total Payments owed</t>
  </si>
  <si>
    <t>Total Payments made</t>
  </si>
  <si>
    <t>% of Payments made vs Payments owed</t>
  </si>
  <si>
    <t>Expenditure 12/13</t>
  </si>
  <si>
    <t>Flood Mitigation work completed</t>
  </si>
  <si>
    <t>Network Asset SDs</t>
  </si>
  <si>
    <t>Outputs - connections</t>
  </si>
  <si>
    <t>PVs (G83)</t>
  </si>
  <si>
    <t>MW</t>
  </si>
  <si>
    <t>Working Days</t>
  </si>
  <si>
    <t>Amber</t>
  </si>
  <si>
    <t>Total penalties paid against the Connection GSOPs (£) (2018/19 prices)</t>
  </si>
  <si>
    <t>Outputs - environment</t>
  </si>
  <si>
    <t>Losses Discretionary Reward</t>
  </si>
  <si>
    <t>#</t>
  </si>
  <si>
    <t>Distribution losses</t>
  </si>
  <si>
    <t>Business Carbon Footprint (excluding losses)</t>
  </si>
  <si>
    <t>tCO2e</t>
  </si>
  <si>
    <t>Business Carbon Footprint (excluding losses) as % network length and customer numbers</t>
  </si>
  <si>
    <t>Kg</t>
  </si>
  <si>
    <t>SF6 emissions as a percentage of the SF6 bank Ranking</t>
  </si>
  <si>
    <t>Litres</t>
  </si>
  <si>
    <t>Top up as a % of oil in service Ranking</t>
  </si>
  <si>
    <t>Electric Vehicles connected to the distribution (Secondary) network</t>
  </si>
  <si>
    <t>Outputs - cust sat</t>
  </si>
  <si>
    <t>Stakeholder Engagement and Customer Vulnerability Incentive</t>
  </si>
  <si>
    <t>Red</t>
  </si>
  <si>
    <t>Customer Satisfaction Survey Reward/Penalty</t>
  </si>
  <si>
    <t xml:space="preserve">Complaints Metric Penalty </t>
  </si>
  <si>
    <t xml:space="preserve">Stakeholder Engagement and Consumer Vulnerability Financial Reward </t>
  </si>
  <si>
    <t xml:space="preserve">Broad Measure of Customer Service reward </t>
  </si>
  <si>
    <t>Funding Awarded</t>
  </si>
  <si>
    <t>Financial performance</t>
  </si>
  <si>
    <t>Forecast Allowance</t>
  </si>
  <si>
    <t>Forecast Actual and Forecast</t>
  </si>
  <si>
    <t>Forecast Difference</t>
  </si>
  <si>
    <t>Forecast Difference %</t>
  </si>
  <si>
    <t>Forecast totex performance</t>
  </si>
  <si>
    <t>Forecast customer share</t>
  </si>
  <si>
    <t>Forecast DNO share</t>
  </si>
  <si>
    <t>£ per consumer</t>
  </si>
  <si>
    <t>RAV at 1st April</t>
  </si>
  <si>
    <t>RAV at 31st March</t>
  </si>
  <si>
    <t>Expenditure drivers</t>
  </si>
  <si>
    <t>Actual/Forecasts</t>
  </si>
  <si>
    <t>Difference %</t>
  </si>
  <si>
    <t>BPDT</t>
  </si>
  <si>
    <t>DNO Baseline</t>
  </si>
  <si>
    <t>DNO Actual</t>
  </si>
  <si>
    <t>Severe Weather 1 in 21</t>
  </si>
  <si>
    <t>Summary table of 2021-22 incentive payments including: BMCS, IIS, ICE, TTC, LDR and total incentive payments</t>
  </si>
  <si>
    <t>Review of the expenditure and financial performance of DNOs in 2021/22</t>
  </si>
  <si>
    <t>2022 Difference</t>
  </si>
  <si>
    <t>2022 Difference %</t>
  </si>
  <si>
    <t>LDR Reward (2021/22)</t>
  </si>
  <si>
    <t>Index adjustment 2021/22 base year</t>
  </si>
  <si>
    <t>Convert 2012/13 prices to 2021/22</t>
  </si>
  <si>
    <t>2021/22 prices</t>
  </si>
  <si>
    <t>Industry average Time to Connect improvements from targets (working days) comparing 2013 and 2021-22 performance</t>
  </si>
  <si>
    <t>(£m 2021/22 Prices)</t>
  </si>
  <si>
    <t>*2021/22 targets in cells CR57:CX57</t>
  </si>
  <si>
    <t>2021/22 RAG status</t>
  </si>
  <si>
    <t>21/22 prices</t>
  </si>
  <si>
    <t>Resilience expenditure for all DNOs 2021/22 (£m)</t>
  </si>
  <si>
    <t>(2021/22)</t>
  </si>
  <si>
    <t>Expenditure 21/22</t>
  </si>
  <si>
    <t>Innovation projects in 2021-22</t>
  </si>
  <si>
    <t>|</t>
  </si>
  <si>
    <t>Source: https://www.ofgem.gov.uk/publications/network-innovation-competition-2021-decision</t>
  </si>
  <si>
    <t>EQUINOX</t>
  </si>
  <si>
    <t>The project aims to trial release of network capacity flexibly through the use of heat pumps, using an existing network flexibility platform. It will compare customers response to three possible options for heat flexibility; upfront flexibility payment in return for a fixed minimum flexibility obligation, more control based on real-time signals, or a mixture of both.</t>
  </si>
  <si>
    <t>BiTraDER</t>
  </si>
  <si>
    <t>Year 1 to Year 7 cumulative delivery against rebased NAW target</t>
  </si>
  <si>
    <t xml:space="preserve">This project looks to reduce contsraints on connection of flexible energy resources that limit availability for energy during critical periods by creating a market where they can be traded, reducing or removing constrainsts for Distributed Energy Resources (DERs) who wish to participate in primary markets, whil epaying counterparties to release capacity they don't intend to use. It aims to design, build, test and deploy a secondary market platform and trading rules considering technical constraints, regulatory requirements and customers expectations working in real time. </t>
  </si>
  <si>
    <t>Demand Side Response; Power Saver Challenge; Long and Crawford switchgear modification; Smart street IRM</t>
  </si>
  <si>
    <t>Transformer Regeneration</t>
  </si>
  <si>
    <t>Fault Support Centre and LV closing Device</t>
  </si>
  <si>
    <t>Capacity to Customers (Customer contribution) (DUoS contribution) (Customer - Sole Use); PV Connect &amp; Manage</t>
  </si>
  <si>
    <t xml:space="preserve">Dynamic Transformer Rating; Flexible DG connections; LPN interconnection, Energy Storage; Demand Side Response; FUN-LV; Load blinding relays; Kent Active System Management; RtF; Load Blinding Relays for Busbar Protection; HaysysPIU; N-3 with NGESO ICCP; LV flexibility; Charge Collective
</t>
  </si>
  <si>
    <t>Joint Shell
Oil Regeneration;
PFT;
CNAIM Modelling;
Woodpecker filler;
OHL Assessment Tool;
Pressurised Cable Active Mangement;
Load Share;
Advanced Analytics Cable Length Estimation;
Engineered Poles;
GIS Temperature Monitoring</t>
  </si>
  <si>
    <t>LIDAR Vegetation Management</t>
  </si>
  <si>
    <t>LV Re-energising Devices;
Automated Power Restoration System;
Mobile Assest Assessment Vehicle;
OHL Assessment using panormaic images;
Primary Outage Restoration Tool;
Directional Earth Fault Passage Indicator;
Infrared Imaging Camera;
OHL FPIs;
Remote Portable Switch;
Fusesaver;
DBHLOHLC;
Jumper Cutter;
Network Vision;
Storm joint;
VisNet Fault Location;
Unified Protection;
Mobile FIeld Control;
Storm resilience</t>
  </si>
  <si>
    <t>Public Safety;
3D Laser Surveying;
FirePro Fire Suppression System;
Smart Traiffic Lights Kent;
Line Search;
Cable Plough</t>
  </si>
  <si>
    <t>Innovative Bunding</t>
  </si>
  <si>
    <t xml:space="preserve">Distribution Network Visibility (DNV) Application; 
Point of Connection (POC) Mast;
Timed Connection;
Global earthing system;
Timed Connection Assessment Tool;
Smart Connect (TransPower);
Underground fault prediction and earthing assessments
</t>
  </si>
  <si>
    <t>Allowance 21/22 prices</t>
  </si>
  <si>
    <t>Expenditure 21/22 prices</t>
  </si>
  <si>
    <t>DPCR5 ineligible expenditure recovery 21/22 prices</t>
  </si>
  <si>
    <t>Fluid-filled cable leak detection; Silent Power</t>
  </si>
  <si>
    <t>Transformer Refurbishment; G38 End Box Tester;</t>
  </si>
  <si>
    <t>SPT2 004 ARC</t>
  </si>
  <si>
    <t>Annual (2021-22)</t>
  </si>
  <si>
    <t>Cumulative to date (2015-16 to 2021-22)</t>
  </si>
  <si>
    <t>Sniffer Dog UGC Oil Leak Detection &amp; Locatiion;
Protean Steel Mast; 
Zebedee;
NAVI;
SINE POST;
NCEWS2/Lview;</t>
  </si>
  <si>
    <t>Idenitifcation of live and not live HV and LV cables; 
Virtual World Asset Management; Virtual World Asset Management 2019/20
Smart Lock Deployment in Merseyside 2016/17; 2019/20; 2020/21</t>
  </si>
  <si>
    <t>Flexible Networks Enhanced Secondary Substation Monitoring; 
Flexible Networks Dynamic Thermal Rating of Primary; 
Flexible Networks Voltage Optimisation; 
Enhanced Transformer Rating @Llandiloes and Frodsham Primary substations; 
BES Section Reactor @Griffnock GSP; 
WANDA; 
EV UP; 
OLTC; 
LEP VISNET Installations; 
Digital Substation</t>
  </si>
  <si>
    <t>Live Line Tree Cutting;
Forestry Mulcher</t>
  </si>
  <si>
    <t>Bidoying</t>
  </si>
  <si>
    <t>MOD Voltage Reduction;
Flexibility: CMZ_T4A_EM_0019 Union Street, Rugby;
Flexibility: CMZ_T4A_EM_0015 Hinckley;
Flexibility: CMZ_T3A_EM_0004 Lincoln - North Hykeham; Flexibility CMZ_T4B_EM_004 Chesterfield;
Flexibility: CMZ_T2A_SWE_0001 Plymouth-South Hams;
Flexibility: CMZ_T3A_SWE_0005 Bridgwater/Street;
Flexibility: CMZ_T2A_SWE_0002 Exeter City;
Flexibility: CMZ_T4A_SWE_0012 Taunton GSP</t>
  </si>
  <si>
    <t xml:space="preserve">Active Network Management; Soft Interrip; Timed - all for Upstream DUoS Costs and Customer Sole use &amp; upstream Connection
</t>
  </si>
  <si>
    <t xml:space="preserve">Active Network Management; Soft Intertrip; Timed; ANM Export Limiting - all for Upstream DUOS Costs and Customer Sole Use &amp; Upstream Contribution;
</t>
  </si>
  <si>
    <t>Outputs - reliabilityWorst Served CustomersExpenditure 21/22</t>
  </si>
  <si>
    <t>Outputs - reliabilityWorst Served CustomersDPCR5 ineligible expenditure recovery 21/22</t>
  </si>
  <si>
    <t>Total penalties paid against the Connection GSOPs (£) (2021/22 prices)</t>
  </si>
  <si>
    <t>Year 1 to Year 7 cumulative delivery against rebased NAW target (Monetised risk points)</t>
  </si>
  <si>
    <t>Allowed Totex22</t>
  </si>
  <si>
    <t>Actual Totex22</t>
  </si>
  <si>
    <t>NA</t>
  </si>
  <si>
    <t xml:space="preserve">2018/19 Total spend </t>
  </si>
  <si>
    <t>NGED</t>
  </si>
  <si>
    <t>NGED - EMID</t>
  </si>
  <si>
    <t>NGED - WMID</t>
  </si>
  <si>
    <t>GB consumer count weighted average</t>
  </si>
  <si>
    <t>overspend to date (£1,549.79m)</t>
  </si>
  <si>
    <t>2019/20 (in 19/20 prices)</t>
  </si>
  <si>
    <t>2020/21 (in 20/21 prices)</t>
  </si>
  <si>
    <t>2021/22 (in 21/22 prices)</t>
  </si>
  <si>
    <t xml:space="preserve">Active Network Management (Western Isles);
Active Network Management (Orkney);
Active Network Management (Isle of Wight);
3rd Party ANM;
Constraint Managed Zones
</t>
  </si>
  <si>
    <t>underspend to date (-£2,271.86m)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</si>
</sst>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164" formatCode="_(* #,##0.00_);_(* \(#,##0.00\);_(* &quot;-&quot;??_);_(@_)"/>
    <numFmt numFmtId="165" formatCode="_(&quot;£&quot;* #,##0.00_);_(&quot;£&quot;* \(#,##0.00\);_(&quot;£&quot;* &quot;-&quot;??_);_(@_)"/>
    <numFmt numFmtId="166" formatCode="[$$-409]#,##0.00"/>
    <numFmt numFmtId="167" formatCode="#,##0.0\ ;\(#,##0.0\)"/>
    <numFmt numFmtId="168" formatCode="&quot;$&quot;#,##0.00_);[Red]\(&quot;$&quot;#,##0.00\)"/>
    <numFmt numFmtId="169" formatCode="#,##0_);[Red]\(#,##0\);&quot;-&quot;"/>
    <numFmt numFmtId="170" formatCode="mmmm\ d\,\ yyyy"/>
    <numFmt numFmtId="171" formatCode="_(&quot;$&quot;#,##0_)&quot;millions&quot;;\(&quot;$&quot;#,##0\)&quot; millions&quot;"/>
    <numFmt numFmtId="172" formatCode="&quot;$&quot;#,##0.00_)\ \ \ ;\(&quot;$&quot;#,##0.00\)\ \ \ "/>
    <numFmt numFmtId="173" formatCode="&quot;$&quot;#,##0.00&quot;*&quot;\ \ ;\(&quot;$&quot;#,##0.00\)&quot;*&quot;\ \ "/>
    <numFmt numFmtId="174" formatCode="&quot;$&quot;#,##0.00\A_)\ ;\(&quot;$&quot;#,##0.00\A\)\ \ "/>
    <numFmt numFmtId="175" formatCode="&quot;$&quot;@\ "/>
    <numFmt numFmtId="176" formatCode="[$-809]d\ mmmm\ yyyy;@"/>
    <numFmt numFmtId="177" formatCode="_-[$€-2]* #,##0.00_-;\-[$€-2]* #,##0.00_-;_-[$€-2]* &quot;-&quot;??_-"/>
    <numFmt numFmtId="178" formatCode="000\-00\-0000\ "/>
    <numFmt numFmtId="179" formatCode="_(* #,##0_);_(* \(#,##0\);_(* &quot;-&quot;_);_(@_)"/>
    <numFmt numFmtId="180" formatCode="_(* #,##0_);_(* \(#,##0\);_(* &quot;0&quot;_);_(@_)"/>
    <numFmt numFmtId="181" formatCode="#,##0.0_);\(#,##0.0\)"/>
    <numFmt numFmtId="182" formatCode="&quot;$&quot;_(#,##0.00_);&quot;$&quot;\(#,##0.00\)"/>
    <numFmt numFmtId="183" formatCode="_-&quot;$&quot;* #,##0.0_-;\-&quot;$&quot;* #,##0.0_-;_-&quot;$&quot;* &quot;-&quot;??_-;_-@_-"/>
    <numFmt numFmtId="184" formatCode="#,##0_);\(#,##0\);&quot;-  &quot;;&quot; &quot;@&quot; &quot;"/>
    <numFmt numFmtId="185" formatCode="#,##0.0_)\x;\(#,##0.0\)\x"/>
    <numFmt numFmtId="186" formatCode="&quot;$&quot;#,##0"/>
    <numFmt numFmtId="187" formatCode="#,##0.0_)_x;\(#,##0.0\)_x"/>
    <numFmt numFmtId="188" formatCode="_(&quot;$&quot;* #,##0_);_(&quot;$&quot;* \(#,##0\);_(&quot;$&quot;* &quot;-&quot;??_);_(@_)"/>
    <numFmt numFmtId="189" formatCode="0.0_)\%;\(0.0\)\%"/>
    <numFmt numFmtId="190" formatCode="_-* #,##0.000_-;\-* #,##0.000_-;_-* &quot;-&quot;??_-;_-@_-"/>
    <numFmt numFmtId="191" formatCode="#,##0.0_)_%;\(#,##0.0\)_%"/>
    <numFmt numFmtId="192" formatCode="_(&quot;$&quot;* #,##0.0_);_(&quot;$&quot;* \(#,##0.0\);_(&quot;$&quot;* &quot;-&quot;?_);_(@_)"/>
    <numFmt numFmtId="193" formatCode="#,##0.0_);[Red]\(#,##0.0\)"/>
    <numFmt numFmtId="194" formatCode="_-&quot;£&quot;* #,##0.0_-;_-&quot;£&quot;* \(#,##0.0\)"/>
    <numFmt numFmtId="195" formatCode="\£\ #,##0_);[Red]\(\£\ #,##0\)"/>
    <numFmt numFmtId="196" formatCode="#,##0.00;[Red]\(#,##0.00\);\-"/>
    <numFmt numFmtId="197" formatCode="\¥\ #,##0_);[Red]\(\¥\ #,##0\)"/>
    <numFmt numFmtId="198" formatCode="_-\€* #,##0.0_-;_-\€* \(#,##0.0\)"/>
    <numFmt numFmtId="199" formatCode="#,##0;\(#,##0\)"/>
    <numFmt numFmtId="200" formatCode="0;[Red]\(0\);\-"/>
    <numFmt numFmtId="201" formatCode="#,##0;[Red]\(#,##0\);\-"/>
    <numFmt numFmtId="202" formatCode="#,##0,_);[Red]\(#,##0,\)"/>
    <numFmt numFmtId="203" formatCode="0.0;\(0.0\);\-"/>
    <numFmt numFmtId="204" formatCode="0.00;\(0.00\);\-"/>
    <numFmt numFmtId="205" formatCode="0.00;[Red]\(0.00\);\-"/>
    <numFmt numFmtId="206" formatCode="0.000;\(0.000\);\-"/>
    <numFmt numFmtId="207" formatCode="_-&quot;£&quot;* #,##0.000_-;\-&quot;£&quot;* #,##0.000_-;_-&quot;£&quot;* &quot;-&quot;??_-;_-@_-"/>
    <numFmt numFmtId="208" formatCode="0\A"/>
    <numFmt numFmtId="209" formatCode="m\-d\-yy"/>
    <numFmt numFmtId="210" formatCode="0.0_)"/>
    <numFmt numFmtId="211" formatCode="_ &quot;R&quot;\ * #,##0_ ;_ &quot;R&quot;\ * \-#,##0_ ;_ &quot;R&quot;\ * &quot;-&quot;_ ;_ @_ "/>
    <numFmt numFmtId="212" formatCode="0.00\ "/>
    <numFmt numFmtId="213" formatCode="#,##0.0,,,&quot;bn&quot;"/>
    <numFmt numFmtId="214" formatCode="0.0%_);[Red]\(0.0%\)"/>
    <numFmt numFmtId="215" formatCode="0.0%;\(0.0\)%"/>
    <numFmt numFmtId="216" formatCode="0&quot; bp&quot;"/>
    <numFmt numFmtId="217" formatCode="_(* #,##0.0_);_(* \(#,##0.0\);_(* &quot;-&quot;?_);@_)"/>
    <numFmt numFmtId="218" formatCode="\•\ \ @"/>
    <numFmt numFmtId="219" formatCode="#,##0_);[Red]\(#,##0\);&quot;-&quot;_);[Blue]&quot;Error-&quot;@"/>
    <numFmt numFmtId="220" formatCode="#,##0.0_);[Red]\(#,##0.0\);&quot;-&quot;_);[Blue]&quot;Error-&quot;@"/>
    <numFmt numFmtId="221" formatCode="_-* #,##0_-;* \(#,##0\)_-;_-@_-"/>
    <numFmt numFmtId="222" formatCode="0.0"/>
    <numFmt numFmtId="223" formatCode="0.000_)"/>
    <numFmt numFmtId="224" formatCode="#,##0.000;[Red]\(#,##0.000\);\-"/>
    <numFmt numFmtId="225" formatCode="#,##0_%_);\(#,##0\)_%;**;@_%_)"/>
    <numFmt numFmtId="226" formatCode="#,##0.000_ ;\-#,##0.000\ "/>
    <numFmt numFmtId="227" formatCode="\$#,##0.0,,,&quot;bn&quot;"/>
    <numFmt numFmtId="228" formatCode="_-* #,##0.0000_-;\-* #,##0.0000_-;_-* &quot;-&quot;??_-;_-@_-"/>
    <numFmt numFmtId="229" formatCode="0.0%"/>
    <numFmt numFmtId="230" formatCode="0.0_x_)_);&quot;NM&quot;_x_)_);0.0_x_)_);@_%_)"/>
    <numFmt numFmtId="231" formatCode="0.0\ \x;\(0.0\ \x\)"/>
    <numFmt numFmtId="232" formatCode="0.0_ ;\(0.0\)_ \ "/>
    <numFmt numFmtId="233" formatCode="#,##0.0_);\(#,##0.0\);&quot;--&quot;_)"/>
    <numFmt numFmtId="234" formatCode="#,##0.00_);\(#,##0.00\);&quot;--&quot;_)"/>
    <numFmt numFmtId="235" formatCode="General_)"/>
    <numFmt numFmtId="236" formatCode="#,##0.0"/>
    <numFmt numFmtId="237" formatCode="#&quot; mins&quot;"/>
    <numFmt numFmtId="238" formatCode="&quot;$&quot;#,##0_);[Red]\(&quot;$&quot;#,##0\)"/>
    <numFmt numFmtId="239" formatCode="_(&quot;$&quot;* #,##0_);_(&quot;$&quot;* \(#,##0\);_(&quot;$&quot;* &quot;-&quot;_);_(@_)"/>
    <numFmt numFmtId="240" formatCode="m/d"/>
    <numFmt numFmtId="241" formatCode="0.0\ \ \x\ ;\(0.0\)\ \ \x\ "/>
    <numFmt numFmtId="242" formatCode="@\ \ \ \ \ "/>
    <numFmt numFmtId="243" formatCode="\ \ _•\–\ \ \ \ @"/>
    <numFmt numFmtId="244" formatCode="d\-mmm\-yyyy"/>
    <numFmt numFmtId="245" formatCode="&quot;$&quot;#,##0.0;[Red]&quot;$&quot;#,##0.0"/>
    <numFmt numFmtId="246" formatCode="0.00,,;[Red]\(0.00,,\);\-"/>
    <numFmt numFmtId="247" formatCode="_-* #,##0\ _D_M_-;\-* #,##0\ _D_M_-;_-* &quot;-&quot;\ _D_M_-;_-@_-"/>
    <numFmt numFmtId="248" formatCode="_-* #,##0.00\ _D_M_-;\-* #,##0.00\ _D_M_-;_-* &quot;-&quot;??\ _D_M_-;_-@_-"/>
    <numFmt numFmtId="249" formatCode="#,##0.00_)\ \ \ \ \ ;\(#,##0.00\)\ \ \ \ \ "/>
    <numFmt numFmtId="250" formatCode="&quot;$&quot;#,##0.00_)\ \ \ \ \ ;\(&quot;$&quot;#,##0.00\)\ \ \ \ \ "/>
    <numFmt numFmtId="251" formatCode="&quot;$&quot;#,##0.00\A\ \ \ \ ;\(&quot;$&quot;#,##0.00\A\)\ \ \ \ "/>
    <numFmt numFmtId="252" formatCode="&quot;$&quot;#,##0.00&quot;E&quot;\ \ \ \ ;\(&quot;$&quot;#,##0.00&quot;E&quot;\)\ \ \ \ "/>
    <numFmt numFmtId="253" formatCode="#,##0.00\A\ \ \ \ ;\(#,##0.00\A\)\ \ \ \ "/>
    <numFmt numFmtId="254" formatCode="#,##0.00&quot;E&quot;\ \ \ \ ;\(#,##0.00&quot;E&quot;\)\ \ \ \ "/>
    <numFmt numFmtId="255" formatCode="\€#,##0.0,,,&quot;bn&quot;"/>
    <numFmt numFmtId="256" formatCode="\€#,##0.0,,&quot;m&quot;"/>
    <numFmt numFmtId="257" formatCode="\€#,##0.0,&quot;k&quot;"/>
    <numFmt numFmtId="258" formatCode="[Magenta]&quot;Err&quot;;[Magenta]&quot;Err&quot;;[Blue]&quot;OK&quot;"/>
    <numFmt numFmtId="259" formatCode="General\ &quot;.&quot;"/>
    <numFmt numFmtId="260" formatCode="#,##0_);[Red]\(#,##0\);\-_)"/>
    <numFmt numFmtId="261" formatCode="0.0_)%;[Red]\(0.0%\);0.0_)%"/>
    <numFmt numFmtId="262" formatCode="[Red][&gt;1]&quot;&gt;100 %&quot;;[Red]\(0.0%\);0.0_)%"/>
    <numFmt numFmtId="263" formatCode="0%\ \ \ \ \ \ \ "/>
    <numFmt numFmtId="264" formatCode="\£#,##0.00"/>
    <numFmt numFmtId="265" formatCode="\£#,##0.0,,,&quot;bn&quot;"/>
    <numFmt numFmtId="266" formatCode="\£#,##0.0,,&quot;m&quot;"/>
    <numFmt numFmtId="267" formatCode="\£#,##0.0,&quot;k&quot;"/>
    <numFmt numFmtId="268" formatCode="0.00%;\(0.00%\)"/>
    <numFmt numFmtId="269" formatCode="0.00_)"/>
    <numFmt numFmtId="270" formatCode="_-* #,##0_-;\-* #,##0_-;_-* &quot;-&quot;??_-;_-@_-"/>
    <numFmt numFmtId="271" formatCode="#,##0.0_);\(#,##0.0\);\-_)"/>
    <numFmt numFmtId="272" formatCode="&quot;$&quot;#,##0\ &quot;MM&quot;;\(&quot;$&quot;#,##0.00\ &quot;MM&quot;\)"/>
    <numFmt numFmtId="273" formatCode="_(&quot;$&quot;* #,##0_)\ &quot;millions&quot;;_(&quot;$&quot;* \(#,##0\)&quot; millions&quot;"/>
    <numFmt numFmtId="274" formatCode="#,##0.0,,&quot;m&quot;"/>
    <numFmt numFmtId="275" formatCode="&quot;£&quot;#,##0"/>
    <numFmt numFmtId="276" formatCode="#,##0\ &quot;MM&quot;"/>
    <numFmt numFmtId="277" formatCode="&quot;Cr$&quot;#,##0_);[Red]\(&quot;Cr$&quot;#,##0\)"/>
    <numFmt numFmtId="278" formatCode="&quot;Cr$&quot;#,##0.00_);[Red]\(&quot;Cr$&quot;#,##0.00\)"/>
    <numFmt numFmtId="279" formatCode="mmm\-yyyy"/>
    <numFmt numFmtId="280" formatCode="0.0\x"/>
    <numFmt numFmtId="281" formatCode="0.0\ \x"/>
    <numFmt numFmtId="282" formatCode="0%_);\(0%\);0%_);@_%_)"/>
    <numFmt numFmtId="283" formatCode="[Blue]#,##0;[Red]\(#,##0\);\-"/>
    <numFmt numFmtId="284" formatCode="[Blue]#,##0.0;[Red]\(#,##0.0\);\-"/>
    <numFmt numFmtId="285" formatCode="[Blue]#,##0.00;[Red]\(#,##0.00\);\-"/>
    <numFmt numFmtId="286" formatCode="[Blue]#,##0.000;[Red]\(#,##0.000\);\-"/>
    <numFmt numFmtId="287" formatCode="#,##0_);\-#,##0_);\-_)"/>
    <numFmt numFmtId="288" formatCode="#,##0.00_);\-#,##0.00_);\-_)"/>
    <numFmt numFmtId="289" formatCode="[$-F800]dddd\,\ mmmm\ dd\,\ yyyy"/>
    <numFmt numFmtId="290" formatCode="#,##0.0;[Red]\(#,##0.0\);\-"/>
    <numFmt numFmtId="291" formatCode="&quot;£&quot;#,##0.000"/>
    <numFmt numFmtId="292" formatCode="0.0\ \ \ \ \ \ "/>
    <numFmt numFmtId="293" formatCode="0.0%\ \ \ \ \ "/>
    <numFmt numFmtId="294" formatCode="_(&quot;$&quot;* #,##0.00_);_(&quot;$&quot;* \(#,##0.00\);_(&quot;$&quot;* &quot;-&quot;??_);_(@_)"/>
    <numFmt numFmtId="295" formatCode="0.00%;[Red]\(0.00%\);\-"/>
    <numFmt numFmtId="296" formatCode="_-* #,##0.00%_-;* \(#,##0.00\)%_-;_-@_-"/>
    <numFmt numFmtId="297" formatCode="0.0\ \x\ ;\(0.0\)\ \x\ "/>
    <numFmt numFmtId="298" formatCode="0.0%;\(0.0%\);\-"/>
    <numFmt numFmtId="299" formatCode="0.00%;\(0.00%\);\-"/>
    <numFmt numFmtId="300" formatCode="#,##0.0%_);\(#,##0.0%\);&quot;--&quot;\%_)"/>
    <numFmt numFmtId="301" formatCode="#,##0.00%_);\(#,##0.00%\);&quot;--&quot;\%_)"/>
    <numFmt numFmtId="302" formatCode="#,##0.00;[Red]\-#,##0.00;\-"/>
    <numFmt numFmtId="303" formatCode="0.000000"/>
    <numFmt numFmtId="304" formatCode="#,##0.0;[Red]\(#,##0.0\)"/>
    <numFmt numFmtId="305" formatCode="0;\-0;;@"/>
    <numFmt numFmtId="306" formatCode="&quot;$&quot;#\-##/##"/>
    <numFmt numFmtId="307" formatCode="0.000%"/>
    <numFmt numFmtId="308" formatCode="0.00\ \ \ \ "/>
    <numFmt numFmtId="309" formatCode="#,##0.0,;\(#,##0.0,\)"/>
    <numFmt numFmtId="310" formatCode="&quot;$&quot;@"/>
    <numFmt numFmtId="311" formatCode="#,##0.00;[Red]#,##0.00;\-"/>
    <numFmt numFmtId="312" formatCode="#,##0.0_);[Red]\(#,##0.0\);\-"/>
    <numFmt numFmtId="313" formatCode="#,##0.0;[Red]\-#,##0.0;\-"/>
    <numFmt numFmtId="314" formatCode="&quot;£&quot;#,##0.0"/>
    <numFmt numFmtId="315" formatCode="#,##0.0_);\-#,##0.0_);\-_)"/>
    <numFmt numFmtId="316" formatCode="dd\-mmm\-yyyy"/>
    <numFmt numFmtId="317" formatCode="#,###,##0,&quot;k&quot;"/>
    <numFmt numFmtId="318" formatCode="&quot;£&quot;#,##0.0000"/>
    <numFmt numFmtId="319" formatCode="_(&quot;£&quot;* #,##0_);_(&quot;£&quot;* \(#,##0\);_(&quot;£&quot;* &quot;-&quot;_);_(@_)"/>
    <numFmt numFmtId="320" formatCode="0____"/>
    <numFmt numFmtId="321" formatCode="General\ &quot;Weighting&quot;"/>
    <numFmt numFmtId="322" formatCode="_ * #,##0.0_);_ * \(#,##0.0\)"/>
    <numFmt numFmtId="323" formatCode="0.00\ ;\-0.00\ ;&quot;- &quot;"/>
    <numFmt numFmtId="324" formatCode="\$#,##0.0,,&quot;m&quot;"/>
    <numFmt numFmtId="325" formatCode="\$#,##0.0,&quot;k&quot;"/>
    <numFmt numFmtId="326" formatCode="_-&quot;$&quot;* #,##0_-;\-&quot;$&quot;* #,##0_-;_-&quot;$&quot;* &quot;-&quot;_-;_-@_-"/>
    <numFmt numFmtId="327" formatCode="_-&quot;$&quot;* #,##0.00_-;\-&quot;$&quot;* #,##0.00_-;_-&quot;$&quot;* &quot;-&quot;??_-;_-@_-"/>
    <numFmt numFmtId="328" formatCode="_-* #,##0\ &quot;DM&quot;_-;\-* #,##0\ &quot;DM&quot;_-;_-* &quot;-&quot;\ &quot;DM&quot;_-;_-@_-"/>
    <numFmt numFmtId="329" formatCode="_-* #,##0.00\ &quot;DM&quot;_-;\-* #,##0.00\ &quot;DM&quot;_-;_-* &quot;-&quot;??\ &quot;DM&quot;_-;_-@_-"/>
    <numFmt numFmtId="330" formatCode="_-* #,##0_р_._-;\-* #,##0_р_._-;_-* &quot;-&quot;_р_._-;_-@_-"/>
    <numFmt numFmtId="331" formatCode="_-* #,##0.00_р_._-;\-* #,##0.00_р_._-;_-* &quot;-&quot;??_р_._-;_-@_-"/>
    <numFmt numFmtId="332" formatCode="dd\ mmm\ yyyy_);;&quot;-  &quot;;&quot; &quot;@"/>
    <numFmt numFmtId="333" formatCode="dd\ mmm\ yy_);;&quot;-  &quot;;&quot; &quot;@"/>
    <numFmt numFmtId="334" formatCode="#,##0.0000_);\(#,##0.0000\);&quot;-  &quot;;&quot; &quot;@"/>
    <numFmt numFmtId="335" formatCode="_(* #,##0_);_(* \(#,##0\);_(* &quot;-&quot;??_);_(@_)"/>
    <numFmt numFmtId="336" formatCode="_-* #,##0.0_-;\-* #,##0.0_-;_-* &quot;-&quot;??_-;_-@_-"/>
    <numFmt numFmtId="337" formatCode="_(* #,##0.0_);_(* \(#,##0.0\);_(* &quot;-&quot;??_);_(@_)"/>
    <numFmt numFmtId="338" formatCode="#,##0_);\(#,##0\);\-_)"/>
    <numFmt numFmtId="339" formatCode="_-* #,##0.0_-;\-* #,##0.0_-;_-* &quot;-&quot;?_-;_-@_-"/>
    <numFmt numFmtId="340" formatCode="_-* #,##0.000_-;\-* #,##0.000_-;_-* &quot;-&quot;?_-;_-@_-"/>
    <numFmt numFmtId="341" formatCode="0.000"/>
    <numFmt numFmtId="342" formatCode="_(* #,##0.000_);_(* \(#,##0.000\);_(* &quot;-&quot;??_);_(@_)"/>
    <numFmt numFmtId="343" formatCode="#,##0.00_ ;\-#,##0.00\ "/>
    <numFmt numFmtId="344" formatCode="0.0000000"/>
    <numFmt numFmtId="345" formatCode="&quot;£&quot;#,##0.00"/>
    <numFmt numFmtId="346" formatCode="0.0000"/>
    <numFmt numFmtId="347" formatCode="_(* #,##0.0000_);_(* \(#,##0.0000\);_(* &quot;-&quot;??_);_(@_)"/>
    <numFmt numFmtId="348" formatCode="0.000000000000000%"/>
    <numFmt numFmtId="349" formatCode="0.00000000"/>
  </numFmts>
  <fonts count="257">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0"/>
      <name val="Arial"/>
      <family val="2"/>
    </font>
    <font>
      <sz val="9"/>
      <name val="Arial"/>
      <family val="2"/>
    </font>
    <font>
      <b/>
      <sz val="10"/>
      <name val="Tms Rmn"/>
    </font>
    <font>
      <sz val="10"/>
      <name val="GillSans"/>
      <family val="2"/>
    </font>
    <font>
      <sz val="10"/>
      <name val="Times New Roman"/>
      <family val="1"/>
    </font>
    <font>
      <sz val="11"/>
      <name val="CG Omega"/>
      <family val="2"/>
    </font>
    <font>
      <sz val="10"/>
      <color indexed="8"/>
      <name val="MS Sans Serif"/>
      <family val="2"/>
    </font>
    <font>
      <sz val="12"/>
      <name val="Times New Roman"/>
      <family val="1"/>
    </font>
    <font>
      <b/>
      <sz val="10"/>
      <name val="Garamond"/>
      <family val="1"/>
    </font>
    <font>
      <sz val="9"/>
      <name val="Times"/>
      <family val="1"/>
    </font>
    <font>
      <sz val="10"/>
      <name val="Helv"/>
      <charset val="204"/>
    </font>
    <font>
      <sz val="10"/>
      <name val="MS Sans Serif"/>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sz val="11"/>
      <name val="CG Omega"/>
    </font>
    <font>
      <b/>
      <sz val="10"/>
      <color indexed="12"/>
      <name val="Tms Rmn"/>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sz val="6"/>
      <color indexed="10"/>
      <name val="Trebuchet MS"/>
      <family val="2"/>
    </font>
    <font>
      <b/>
      <sz val="11"/>
      <color indexed="9"/>
      <name val="Calibri"/>
      <family val="2"/>
    </font>
    <font>
      <b/>
      <sz val="9"/>
      <color indexed="18"/>
      <name val="Arial"/>
      <family val="2"/>
    </font>
    <font>
      <b/>
      <sz val="8"/>
      <name val="Arial"/>
      <family val="2"/>
    </font>
    <font>
      <sz val="8"/>
      <name val="Palatino"/>
      <family val="1"/>
    </font>
    <font>
      <sz val="10"/>
      <color theme="1"/>
      <name val="Verdana"/>
      <family val="2"/>
    </font>
    <font>
      <sz val="10"/>
      <color indexed="8"/>
      <name val="Verdana"/>
      <family val="2"/>
    </font>
    <font>
      <sz val="1"/>
      <color indexed="8"/>
      <name val="Courier"/>
      <family val="3"/>
    </font>
    <font>
      <i/>
      <sz val="9"/>
      <name val="MS Sans Serif"/>
      <family val="2"/>
    </font>
    <font>
      <sz val="10"/>
      <name val="MS Serif"/>
      <family val="1"/>
    </font>
    <font>
      <b/>
      <sz val="14"/>
      <color indexed="8"/>
      <name val="Arial"/>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23"/>
      <name val="Arial"/>
      <family val="2"/>
    </font>
    <font>
      <i/>
      <sz val="11"/>
      <color indexed="23"/>
      <name val="Calibri"/>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Arial"/>
      <family val="2"/>
    </font>
    <font>
      <i/>
      <sz val="1"/>
      <color indexed="8"/>
      <name val="Courier"/>
      <family val="3"/>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name val="Book Antiqua"/>
      <family val="1"/>
    </font>
    <font>
      <sz val="10"/>
      <color indexed="16"/>
      <name val="Arial"/>
      <family val="2"/>
      <charset val="204"/>
    </font>
    <font>
      <sz val="6"/>
      <name val="Arial"/>
      <family val="2"/>
    </font>
    <font>
      <sz val="11"/>
      <color indexed="17"/>
      <name val="Calibri"/>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0"/>
      <color indexed="16"/>
      <name val="Arial"/>
      <family val="2"/>
    </font>
    <font>
      <sz val="8"/>
      <color indexed="12"/>
      <name val="Arial"/>
      <family val="2"/>
    </font>
    <font>
      <u/>
      <sz val="10"/>
      <color theme="10"/>
      <name val="Verdana"/>
      <family val="2"/>
    </font>
    <font>
      <u/>
      <sz val="10"/>
      <color indexed="12"/>
      <name val="Verdana"/>
      <family val="2"/>
    </font>
    <font>
      <u/>
      <sz val="10"/>
      <color indexed="12"/>
      <name val="Arial"/>
      <family val="2"/>
    </font>
    <font>
      <u/>
      <sz val="9"/>
      <color indexed="12"/>
      <name val="Geneva"/>
      <family val="2"/>
    </font>
    <font>
      <u/>
      <sz val="7.7"/>
      <color indexed="12"/>
      <name val="CG Omega"/>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u/>
      <sz val="11"/>
      <color indexed="48"/>
      <name val="CG Omega"/>
      <family val="2"/>
    </font>
    <font>
      <sz val="10"/>
      <color theme="0" tint="-4.9989318521683403E-2"/>
      <name val="Gill Sans MT"/>
      <family val="2"/>
    </font>
    <font>
      <sz val="8"/>
      <color indexed="60"/>
      <name val="Trebuchet MS"/>
      <family val="2"/>
    </font>
    <font>
      <sz val="11"/>
      <color indexed="53"/>
      <name val="Calibri"/>
      <family val="2"/>
    </font>
    <font>
      <sz val="11"/>
      <color indexed="52"/>
      <name val="Calibri"/>
      <family val="2"/>
    </font>
    <font>
      <sz val="10"/>
      <color indexed="20"/>
      <name val="Arial"/>
      <family val="2"/>
    </font>
    <font>
      <b/>
      <sz val="14"/>
      <name val="Arial"/>
      <family val="2"/>
    </font>
    <font>
      <b/>
      <sz val="15"/>
      <name val="Times"/>
      <family val="1"/>
    </font>
    <font>
      <b/>
      <sz val="11"/>
      <name val="Helv"/>
    </font>
    <font>
      <sz val="11"/>
      <color indexed="60"/>
      <name val="Calibri"/>
      <family val="2"/>
    </font>
    <font>
      <sz val="7"/>
      <name val="Small Fonts"/>
      <family val="2"/>
    </font>
    <font>
      <sz val="12"/>
      <name val="Helv"/>
    </font>
    <font>
      <sz val="11"/>
      <color indexed="8"/>
      <name val="Calibri"/>
      <family val="2"/>
      <scheme val="minor"/>
    </font>
    <font>
      <sz val="10"/>
      <name val="CG Omega"/>
    </font>
    <font>
      <sz val="10"/>
      <name val="Times New Roman"/>
      <family val="1"/>
      <charset val="204"/>
    </font>
    <font>
      <sz val="10"/>
      <name val="Verdana"/>
      <family val="2"/>
    </font>
    <font>
      <sz val="10"/>
      <color theme="1"/>
      <name val="Arial"/>
      <family val="2"/>
    </font>
    <font>
      <sz val="10"/>
      <name val="CG Omega"/>
      <family val="2"/>
    </font>
    <font>
      <sz val="8"/>
      <name val="Helv"/>
      <charset val="204"/>
    </font>
    <font>
      <sz val="10"/>
      <name val="Palatino"/>
      <family val="1"/>
    </font>
    <font>
      <sz val="10"/>
      <name val="Arial CE"/>
      <charset val="238"/>
    </font>
    <font>
      <sz val="8"/>
      <name val="Arial CE"/>
    </font>
    <font>
      <sz val="13"/>
      <name val="GillSans"/>
      <family val="2"/>
    </font>
    <font>
      <b/>
      <sz val="10"/>
      <color indexed="22"/>
      <name val="Arial"/>
      <family val="2"/>
    </font>
    <font>
      <b/>
      <sz val="9"/>
      <name val="Arial"/>
      <family val="2"/>
    </font>
    <font>
      <b/>
      <sz val="9"/>
      <color indexed="52"/>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19"/>
      <color indexed="48"/>
      <name val="Arial"/>
      <family val="2"/>
    </font>
    <font>
      <sz val="10"/>
      <color indexed="10"/>
      <name val="Arial"/>
      <family val="2"/>
    </font>
    <font>
      <b/>
      <sz val="8"/>
      <color indexed="16"/>
      <name val="Arial"/>
      <family val="2"/>
    </font>
    <font>
      <b/>
      <sz val="20"/>
      <name val="Times New Roman"/>
      <family val="1"/>
    </font>
    <font>
      <sz val="10"/>
      <name val="Geneva"/>
      <family val="2"/>
    </font>
    <font>
      <b/>
      <sz val="18"/>
      <name val="Arial"/>
      <family val="2"/>
    </font>
    <font>
      <b/>
      <sz val="18"/>
      <color indexed="62"/>
      <name val="Cambria"/>
      <family val="2"/>
    </font>
    <font>
      <sz val="10"/>
      <color indexed="38"/>
      <name val="Book Antiqua"/>
      <family val="1"/>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b/>
      <sz val="18"/>
      <color indexed="56"/>
      <name val="Cambria"/>
      <family val="2"/>
    </font>
    <font>
      <b/>
      <u/>
      <sz val="12"/>
      <name val="Arial"/>
      <family val="2"/>
    </font>
    <font>
      <u/>
      <sz val="11"/>
      <name val="GillSans"/>
      <family val="2"/>
    </font>
    <font>
      <sz val="16"/>
      <name val="Arial"/>
      <family val="2"/>
    </font>
    <font>
      <u/>
      <sz val="8"/>
      <color indexed="8"/>
      <name val="Arial"/>
      <family val="2"/>
    </font>
    <font>
      <sz val="12"/>
      <name val="Arial Black"/>
      <family val="2"/>
    </font>
    <font>
      <sz val="10"/>
      <color indexed="12"/>
      <name val="Arial"/>
      <family val="2"/>
      <charset val="204"/>
    </font>
    <font>
      <sz val="11"/>
      <color indexed="10"/>
      <name val="Calibri"/>
      <family val="2"/>
    </font>
    <font>
      <sz val="10"/>
      <name val="Corporate Mono"/>
    </font>
    <font>
      <b/>
      <sz val="16"/>
      <name val="Arial"/>
      <family val="2"/>
    </font>
    <font>
      <b/>
      <sz val="24"/>
      <color indexed="10"/>
      <name val="Arial"/>
      <family val="2"/>
    </font>
    <font>
      <sz val="10"/>
      <name val="Arial Cyr"/>
      <charset val="204"/>
    </font>
    <font>
      <sz val="10"/>
      <name val="NTHarmonica"/>
    </font>
    <font>
      <sz val="9"/>
      <name val="Tahoma"/>
      <family val="2"/>
      <charset val="204"/>
    </font>
    <font>
      <sz val="10"/>
      <color theme="1"/>
      <name val="Gill Sans MT"/>
      <family val="2"/>
    </font>
    <font>
      <sz val="10"/>
      <name val="Gill Sans MT"/>
      <family val="2"/>
    </font>
    <font>
      <sz val="9"/>
      <color rgb="FF000000"/>
      <name val="Verdana"/>
      <family val="2"/>
    </font>
    <font>
      <sz val="9"/>
      <color theme="1"/>
      <name val="Verdana"/>
      <family val="2"/>
    </font>
    <font>
      <b/>
      <sz val="9"/>
      <color theme="1"/>
      <name val="Verdana"/>
      <family val="2"/>
    </font>
    <font>
      <b/>
      <sz val="9"/>
      <name val="Verdana"/>
      <family val="2"/>
    </font>
    <font>
      <sz val="9"/>
      <name val="Verdana"/>
      <family val="2"/>
    </font>
    <font>
      <i/>
      <sz val="9"/>
      <color theme="1"/>
      <name val="Verdana"/>
      <family val="2"/>
    </font>
    <font>
      <b/>
      <sz val="9"/>
      <color rgb="FFFF0000"/>
      <name val="Verdana"/>
      <family val="2"/>
    </font>
    <font>
      <sz val="9"/>
      <color rgb="FFFF0000"/>
      <name val="Verdana"/>
      <family val="2"/>
    </font>
    <font>
      <sz val="9"/>
      <color theme="0"/>
      <name val="Verdana"/>
      <family val="2"/>
    </font>
    <font>
      <b/>
      <sz val="9"/>
      <color theme="0"/>
      <name val="Verdana"/>
      <family val="2"/>
    </font>
    <font>
      <sz val="10"/>
      <color theme="1"/>
      <name val="Times New Roman"/>
      <family val="1"/>
    </font>
    <font>
      <sz val="11"/>
      <color rgb="FF000000"/>
      <name val="Calibri"/>
      <family val="2"/>
      <scheme val="minor"/>
    </font>
    <font>
      <b/>
      <sz val="11"/>
      <color indexed="17"/>
      <name val="Calibri"/>
      <family val="2"/>
    </font>
    <font>
      <sz val="19"/>
      <name val="Arial"/>
      <family val="2"/>
    </font>
    <font>
      <b/>
      <sz val="11"/>
      <color theme="1"/>
      <name val="Calibri"/>
      <family val="2"/>
      <scheme val="minor"/>
    </font>
    <font>
      <b/>
      <sz val="10"/>
      <color theme="0"/>
      <name val="Verdana"/>
      <family val="2"/>
    </font>
    <font>
      <b/>
      <sz val="10"/>
      <color theme="1"/>
      <name val="Verdana"/>
      <family val="2"/>
    </font>
    <font>
      <sz val="10"/>
      <color theme="0"/>
      <name val="Verdana"/>
      <family val="2"/>
    </font>
    <font>
      <sz val="11"/>
      <color theme="1"/>
      <name val="Verdana"/>
      <family val="2"/>
    </font>
    <font>
      <sz val="10"/>
      <color theme="1"/>
      <name val="Segoe UI"/>
      <family val="2"/>
    </font>
    <font>
      <i/>
      <sz val="9"/>
      <color rgb="FFFFC000"/>
      <name val="Verdana"/>
      <family val="2"/>
    </font>
    <font>
      <sz val="9"/>
      <color rgb="FFFFC000"/>
      <name val="Verdana"/>
      <family val="2"/>
    </font>
    <font>
      <sz val="9"/>
      <color rgb="FF339933"/>
      <name val="Verdana"/>
      <family val="2"/>
    </font>
    <font>
      <b/>
      <sz val="10"/>
      <color rgb="FF000000"/>
      <name val="Segoe UI"/>
      <family val="2"/>
    </font>
    <font>
      <vertAlign val="superscript"/>
      <sz val="9"/>
      <color theme="1"/>
      <name val="Verdana"/>
      <family val="2"/>
    </font>
    <font>
      <b/>
      <sz val="9"/>
      <color rgb="FF000000"/>
      <name val="Verdana"/>
      <family val="2"/>
    </font>
    <font>
      <b/>
      <sz val="10"/>
      <color theme="0"/>
      <name val="Calibri"/>
      <family val="4"/>
      <scheme val="minor"/>
    </font>
    <font>
      <sz val="11"/>
      <name val="Calibri"/>
      <family val="2"/>
      <scheme val="minor"/>
    </font>
    <font>
      <sz val="11"/>
      <color theme="0"/>
      <name val="Calibri"/>
      <family val="2"/>
      <scheme val="minor"/>
    </font>
    <font>
      <b/>
      <sz val="16"/>
      <color theme="1"/>
      <name val="Verdana"/>
      <family val="2"/>
    </font>
    <font>
      <u/>
      <sz val="11"/>
      <color theme="10"/>
      <name val="Calibri"/>
      <family val="2"/>
      <scheme val="minor"/>
    </font>
    <font>
      <sz val="10"/>
      <color theme="1"/>
      <name val="Calibri"/>
      <family val="2"/>
      <scheme val="minor"/>
    </font>
    <font>
      <u/>
      <sz val="12"/>
      <color theme="10"/>
      <name val="Verdana"/>
      <family val="2"/>
    </font>
    <font>
      <b/>
      <sz val="16"/>
      <color theme="0"/>
      <name val="Verdana"/>
      <family val="2"/>
    </font>
    <font>
      <b/>
      <sz val="14"/>
      <color theme="0"/>
      <name val="Verdana"/>
      <family val="2"/>
    </font>
    <font>
      <b/>
      <sz val="20"/>
      <color theme="0"/>
      <name val="Verdana"/>
      <family val="2"/>
    </font>
    <font>
      <b/>
      <sz val="12"/>
      <name val="Verdana"/>
      <family val="2"/>
    </font>
    <font>
      <sz val="14"/>
      <name val="Calibri"/>
      <family val="2"/>
      <scheme val="minor"/>
    </font>
    <font>
      <sz val="11"/>
      <color rgb="FFFF0000"/>
      <name val="Calibri"/>
      <family val="2"/>
      <scheme val="minor"/>
    </font>
    <font>
      <u/>
      <sz val="14"/>
      <color theme="10"/>
      <name val="Calibri"/>
      <family val="2"/>
      <scheme val="minor"/>
    </font>
    <font>
      <sz val="8"/>
      <name val="Calibri"/>
      <family val="2"/>
      <scheme val="minor"/>
    </font>
    <font>
      <sz val="9.6"/>
      <color rgb="FF000000"/>
      <name val="Verdana"/>
      <family val="2"/>
    </font>
    <font>
      <sz val="9"/>
      <color theme="0"/>
      <name val="Verdana"/>
      <family val="2"/>
    </font>
  </fonts>
  <fills count="117">
    <fill>
      <patternFill patternType="none"/>
    </fill>
    <fill>
      <patternFill patternType="gray125"/>
    </fill>
    <fill>
      <patternFill patternType="solid">
        <fgColor rgb="FFFFC7CE"/>
      </patternFill>
    </fill>
    <fill>
      <patternFill patternType="solid">
        <fgColor indexed="21"/>
        <bgColor indexed="21"/>
      </patternFill>
    </fill>
    <fill>
      <patternFill patternType="solid">
        <fgColor indexed="22"/>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53"/>
      </patternFill>
    </fill>
    <fill>
      <patternFill patternType="solid">
        <fgColor indexed="10"/>
        <bgColor indexed="64"/>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43"/>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35"/>
        <bgColor indexed="64"/>
      </patternFill>
    </fill>
    <fill>
      <patternFill patternType="gray0625">
        <fgColor indexed="11"/>
        <bgColor indexed="26"/>
      </patternFill>
    </fill>
    <fill>
      <patternFill patternType="solid">
        <fgColor indexed="42"/>
        <bgColor indexed="42"/>
      </patternFill>
    </fill>
    <fill>
      <patternFill patternType="solid">
        <fgColor indexed="26"/>
        <bgColor indexed="64"/>
      </patternFill>
    </fill>
    <fill>
      <patternFill patternType="solid">
        <fgColor indexed="29"/>
        <bgColor indexed="64"/>
      </patternFill>
    </fill>
    <fill>
      <patternFill patternType="solid">
        <fgColor theme="0" tint="-0.499984740745262"/>
        <bgColor indexed="64"/>
      </patternFill>
    </fill>
    <fill>
      <patternFill patternType="solid">
        <fgColor indexed="47"/>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solid">
        <fgColor indexed="51"/>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42"/>
        <bgColor indexed="64"/>
      </patternFill>
    </fill>
    <fill>
      <patternFill patternType="solid">
        <fgColor indexed="27"/>
        <bgColor indexed="64"/>
      </patternFill>
    </fill>
    <fill>
      <patternFill patternType="solid">
        <fgColor rgb="FFD4FAFC"/>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5E1FF"/>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1" tint="0.499984740745262"/>
        <bgColor indexed="64"/>
      </patternFill>
    </fill>
    <fill>
      <patternFill patternType="solid">
        <fgColor rgb="FFFFFF99"/>
        <bgColor indexed="64"/>
      </patternFill>
    </fill>
    <fill>
      <patternFill patternType="solid">
        <fgColor theme="2"/>
        <bgColor indexed="64"/>
      </patternFill>
    </fill>
    <fill>
      <patternFill patternType="solid">
        <fgColor theme="0" tint="-0.34998626667073579"/>
        <bgColor indexed="64"/>
      </patternFill>
    </fill>
    <fill>
      <patternFill patternType="solid">
        <fgColor theme="0"/>
        <bgColor indexed="64"/>
      </patternFill>
    </fill>
    <fill>
      <patternFill patternType="solid">
        <fgColor indexed="35"/>
        <bgColor indexed="35"/>
      </patternFill>
    </fill>
    <fill>
      <patternFill patternType="solid">
        <fgColor rgb="FFFF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366092"/>
        <bgColor indexed="64"/>
      </patternFill>
    </fill>
    <fill>
      <patternFill patternType="solid">
        <fgColor theme="4" tint="0.39997558519241921"/>
        <bgColor indexed="64"/>
      </patternFill>
    </fill>
    <fill>
      <patternFill patternType="solid">
        <fgColor theme="4"/>
        <bgColor theme="4"/>
      </patternFill>
    </fill>
    <fill>
      <patternFill patternType="solid">
        <fgColor rgb="FFBFBFBF"/>
        <bgColor indexed="64"/>
      </patternFill>
    </fill>
    <fill>
      <patternFill patternType="solid">
        <fgColor rgb="FF60497A"/>
        <bgColor indexed="64"/>
      </patternFill>
    </fill>
    <fill>
      <patternFill patternType="solid">
        <fgColor theme="4"/>
        <bgColor indexed="64"/>
      </patternFill>
    </fill>
    <fill>
      <patternFill patternType="solid">
        <fgColor theme="3" tint="0.79998168889431442"/>
        <bgColor indexed="64"/>
      </patternFill>
    </fill>
    <fill>
      <patternFill patternType="solid">
        <fgColor theme="3"/>
        <bgColor indexed="64"/>
      </patternFill>
    </fill>
  </fills>
  <borders count="120">
    <border>
      <left/>
      <right/>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n">
        <color indexed="64"/>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right/>
      <top/>
      <bottom style="dotted">
        <color indexed="64"/>
      </bottom>
      <diagonal/>
    </border>
    <border>
      <left/>
      <right/>
      <top style="thin">
        <color auto="1"/>
      </top>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indexed="64"/>
      </left>
      <right style="thin">
        <color indexed="64"/>
      </right>
      <top style="thin">
        <color indexed="64"/>
      </top>
      <bottom style="thin">
        <color indexed="64"/>
      </bottom>
      <diagonal/>
    </border>
    <border>
      <left/>
      <right/>
      <top style="medium">
        <color auto="1"/>
      </top>
      <bottom style="medium">
        <color auto="1"/>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12"/>
      </right>
      <top/>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rgb="FF000000"/>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thin">
        <color indexed="64"/>
      </top>
      <bottom style="medium">
        <color indexed="64"/>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theme="2"/>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right style="thin">
        <color indexed="64"/>
      </right>
      <top style="thin">
        <color indexed="64"/>
      </top>
      <bottom/>
      <diagonal/>
    </border>
    <border>
      <left style="medium">
        <color indexed="64"/>
      </left>
      <right/>
      <top style="thin">
        <color indexed="64"/>
      </top>
      <bottom/>
      <diagonal/>
    </border>
  </borders>
  <cellStyleXfs count="42545">
    <xf numFmtId="0" fontId="0" fillId="0" borderId="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6" fontId="9" fillId="0" borderId="0">
      <alignment vertical="top"/>
    </xf>
    <xf numFmtId="166" fontId="9" fillId="0" borderId="0">
      <alignment vertical="top"/>
    </xf>
    <xf numFmtId="167" fontId="10" fillId="0" borderId="0"/>
    <xf numFmtId="168" fontId="11" fillId="3" borderId="1">
      <alignment horizontal="center"/>
      <protection locked="0"/>
    </xf>
    <xf numFmtId="169" fontId="9" fillId="0" borderId="0"/>
    <xf numFmtId="169" fontId="9" fillId="0" borderId="0"/>
    <xf numFmtId="169" fontId="9" fillId="0" borderId="0"/>
    <xf numFmtId="169" fontId="9" fillId="0" borderId="0"/>
    <xf numFmtId="169" fontId="9" fillId="0" borderId="0"/>
    <xf numFmtId="166" fontId="12" fillId="0" borderId="0"/>
    <xf numFmtId="167" fontId="10" fillId="0" borderId="0"/>
    <xf numFmtId="169" fontId="9" fillId="0" borderId="0"/>
    <xf numFmtId="169" fontId="9" fillId="0" borderId="0"/>
    <xf numFmtId="169" fontId="9" fillId="0" borderId="0"/>
    <xf numFmtId="169" fontId="9" fillId="0" borderId="0"/>
    <xf numFmtId="169" fontId="9" fillId="0" borderId="0"/>
    <xf numFmtId="170" fontId="13" fillId="0" borderId="0" applyFont="0" applyFill="0" applyBorder="0" applyAlignment="0" applyProtection="0">
      <protection locked="0"/>
    </xf>
    <xf numFmtId="171" fontId="12" fillId="0" borderId="0">
      <alignment horizontal="right"/>
    </xf>
    <xf numFmtId="172" fontId="12" fillId="4" borderId="0"/>
    <xf numFmtId="173" fontId="12" fillId="4" borderId="0"/>
    <xf numFmtId="174" fontId="12" fillId="4" borderId="0"/>
    <xf numFmtId="175" fontId="12" fillId="4" borderId="0">
      <alignment horizontal="right"/>
    </xf>
    <xf numFmtId="0" fontId="14" fillId="0" borderId="0"/>
    <xf numFmtId="0" fontId="14" fillId="0" borderId="0"/>
    <xf numFmtId="176" fontId="14" fillId="0" borderId="0"/>
    <xf numFmtId="176"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177" fontId="9" fillId="0" borderId="0"/>
    <xf numFmtId="177" fontId="9" fillId="0" borderId="0"/>
    <xf numFmtId="0" fontId="9" fillId="0" borderId="0"/>
    <xf numFmtId="167" fontId="9" fillId="0" borderId="0"/>
    <xf numFmtId="173"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14" fillId="0" borderId="0"/>
    <xf numFmtId="166" fontId="9" fillId="0" borderId="0"/>
    <xf numFmtId="0" fontId="9" fillId="0" borderId="0"/>
    <xf numFmtId="166" fontId="14" fillId="0" borderId="0"/>
    <xf numFmtId="166" fontId="9" fillId="0" borderId="0"/>
    <xf numFmtId="166" fontId="9" fillId="0" borderId="0"/>
    <xf numFmtId="166"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14" fillId="0" borderId="0"/>
    <xf numFmtId="0" fontId="9" fillId="0" borderId="0"/>
    <xf numFmtId="0" fontId="9" fillId="0" borderId="0"/>
    <xf numFmtId="0" fontId="14" fillId="0" borderId="0"/>
    <xf numFmtId="0" fontId="14" fillId="0" borderId="0"/>
    <xf numFmtId="0" fontId="14" fillId="0" borderId="0"/>
    <xf numFmtId="0" fontId="9" fillId="0" borderId="0"/>
    <xf numFmtId="0" fontId="14" fillId="0" borderId="0"/>
    <xf numFmtId="0" fontId="14" fillId="0" borderId="0"/>
    <xf numFmtId="166" fontId="14" fillId="0" borderId="0"/>
    <xf numFmtId="0" fontId="9" fillId="0" borderId="0"/>
    <xf numFmtId="0" fontId="9" fillId="0" borderId="0"/>
    <xf numFmtId="0" fontId="9" fillId="0" borderId="0"/>
    <xf numFmtId="17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16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9" fillId="0" borderId="0"/>
    <xf numFmtId="166" fontId="9" fillId="0" borderId="0" applyBorder="0"/>
    <xf numFmtId="166" fontId="15" fillId="0" borderId="0" applyNumberFormat="0" applyFont="0" applyFill="0" applyBorder="0" applyAlignment="0" applyProtection="0"/>
    <xf numFmtId="179" fontId="9" fillId="0" borderId="0" applyFont="0" applyFill="0" applyBorder="0" applyAlignment="0" applyProtection="0"/>
    <xf numFmtId="166" fontId="16" fillId="0" borderId="0" applyNumberFormat="0" applyFill="0" applyBorder="0" applyAlignment="0" applyProtection="0">
      <alignment vertical="top"/>
      <protection locked="0"/>
    </xf>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applyNumberFormat="0" applyFill="0" applyBorder="0" applyAlignment="0" applyProtection="0"/>
    <xf numFmtId="0" fontId="17" fillId="0" borderId="0" applyNumberFormat="0" applyFill="0" applyBorder="0" applyAlignment="0" applyProtection="0"/>
    <xf numFmtId="180" fontId="18" fillId="0" borderId="0">
      <alignment horizontal="right" vertical="center"/>
    </xf>
    <xf numFmtId="0" fontId="19" fillId="0" borderId="0"/>
    <xf numFmtId="0" fontId="19" fillId="0" borderId="0"/>
    <xf numFmtId="0" fontId="19" fillId="0" borderId="0"/>
    <xf numFmtId="0" fontId="19" fillId="0" borderId="0"/>
    <xf numFmtId="0" fontId="19" fillId="0" borderId="0"/>
    <xf numFmtId="0" fontId="9" fillId="0" borderId="0"/>
    <xf numFmtId="0" fontId="9" fillId="0" borderId="0"/>
    <xf numFmtId="0" fontId="9" fillId="0" borderId="0" applyFont="0" applyFill="0" applyBorder="0" applyAlignment="0" applyProtection="0"/>
    <xf numFmtId="0" fontId="17" fillId="0" borderId="0" applyNumberFormat="0" applyFill="0" applyBorder="0" applyAlignment="0" applyProtection="0"/>
    <xf numFmtId="166" fontId="19" fillId="0" borderId="0"/>
    <xf numFmtId="38" fontId="20" fillId="0" borderId="0" applyFont="0" applyFill="0" applyBorder="0" applyAlignment="0" applyProtection="0"/>
    <xf numFmtId="38" fontId="20"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38" fontId="20" fillId="0" borderId="0" applyFont="0" applyFill="0" applyBorder="0" applyAlignment="0" applyProtection="0"/>
    <xf numFmtId="38" fontId="20" fillId="0" borderId="0" applyFont="0" applyFill="0" applyBorder="0" applyAlignment="0" applyProtection="0"/>
    <xf numFmtId="166" fontId="19" fillId="0" borderId="0"/>
    <xf numFmtId="166" fontId="9" fillId="0" borderId="0" applyFont="0" applyFill="0" applyBorder="0" applyAlignment="0" applyProtection="0"/>
    <xf numFmtId="166" fontId="19" fillId="0" borderId="0"/>
    <xf numFmtId="166" fontId="19" fillId="0" borderId="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xf numFmtId="0" fontId="9" fillId="0" borderId="0" applyFont="0" applyFill="0" applyBorder="0" applyAlignment="0" applyProtection="0"/>
    <xf numFmtId="0" fontId="19" fillId="0" borderId="0"/>
    <xf numFmtId="166" fontId="9" fillId="0" borderId="0"/>
    <xf numFmtId="166" fontId="9" fillId="0" borderId="0"/>
    <xf numFmtId="166"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8" fontId="20" fillId="0" borderId="0" applyFont="0" applyFill="0" applyBorder="0" applyAlignment="0" applyProtection="0"/>
    <xf numFmtId="181" fontId="9" fillId="0" borderId="0" applyFont="0" applyFill="0" applyBorder="0" applyAlignment="0" applyProtection="0"/>
    <xf numFmtId="166" fontId="10" fillId="0" borderId="0" applyFont="0" applyFill="0" applyBorder="0" applyAlignment="0" applyProtection="0"/>
    <xf numFmtId="181" fontId="9" fillId="0" borderId="0" applyFont="0" applyFill="0" applyBorder="0" applyAlignment="0" applyProtection="0"/>
    <xf numFmtId="166" fontId="9" fillId="0" borderId="0"/>
    <xf numFmtId="166" fontId="9" fillId="0" borderId="0"/>
    <xf numFmtId="0" fontId="9" fillId="0" borderId="0"/>
    <xf numFmtId="166" fontId="19" fillId="0" borderId="0"/>
    <xf numFmtId="0" fontId="9" fillId="0" borderId="0" applyFont="0" applyFill="0" applyBorder="0" applyAlignment="0" applyProtection="0"/>
    <xf numFmtId="0" fontId="9"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9" fillId="0" borderId="0" applyFont="0" applyFill="0" applyBorder="0" applyAlignment="0" applyProtection="0"/>
    <xf numFmtId="182" fontId="9" fillId="0" borderId="0" applyFont="0" applyFill="0" applyBorder="0" applyAlignment="0" applyProtection="0"/>
    <xf numFmtId="166" fontId="10" fillId="0" borderId="0" applyFont="0" applyFill="0" applyBorder="0" applyAlignment="0" applyProtection="0"/>
    <xf numFmtId="183" fontId="9" fillId="0" borderId="0" applyFont="0" applyFill="0" applyBorder="0" applyAlignment="0" applyProtection="0"/>
    <xf numFmtId="182" fontId="9" fillId="0" borderId="0" applyFont="0" applyFill="0" applyBorder="0" applyAlignment="0" applyProtection="0"/>
    <xf numFmtId="183" fontId="9" fillId="0" borderId="0" applyFont="0" applyFill="0" applyBorder="0" applyAlignment="0" applyProtection="0"/>
    <xf numFmtId="39" fontId="9" fillId="0" borderId="0" applyFont="0" applyFill="0" applyBorder="0" applyAlignment="0" applyProtection="0"/>
    <xf numFmtId="166" fontId="10" fillId="0" borderId="0" applyFont="0" applyFill="0" applyBorder="0" applyAlignment="0" applyProtection="0"/>
    <xf numFmtId="39" fontId="9" fillId="0" borderId="0" applyFont="0" applyFill="0" applyBorder="0" applyAlignment="0" applyProtection="0"/>
    <xf numFmtId="166" fontId="9" fillId="0" borderId="0"/>
    <xf numFmtId="0" fontId="9"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66" fontId="19" fillId="0" borderId="0"/>
    <xf numFmtId="166" fontId="16" fillId="0" borderId="0"/>
    <xf numFmtId="166" fontId="16" fillId="0" borderId="0"/>
    <xf numFmtId="38" fontId="20" fillId="0" borderId="0" applyAlignment="0" applyProtection="0"/>
    <xf numFmtId="38" fontId="20" fillId="0" borderId="0" applyFont="0" applyBorder="0" applyAlignment="0" applyProtection="0"/>
    <xf numFmtId="184" fontId="9" fillId="0" borderId="0" applyFont="0" applyFill="0" applyBorder="0" applyProtection="0">
      <alignment vertical="top"/>
    </xf>
    <xf numFmtId="38" fontId="20" fillId="0" borderId="0" applyFont="0" applyFill="0" applyBorder="0" applyAlignment="0" applyProtection="0"/>
    <xf numFmtId="38" fontId="20"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6" fontId="19" fillId="0" borderId="0"/>
    <xf numFmtId="166"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19" fillId="0" borderId="0"/>
    <xf numFmtId="38" fontId="20" fillId="0" borderId="0" applyFont="0" applyFill="0" applyBorder="0" applyAlignment="0" applyProtection="0"/>
    <xf numFmtId="38" fontId="20"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166" fontId="19" fillId="0" borderId="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9" fillId="0" borderId="0"/>
    <xf numFmtId="38" fontId="21" fillId="0" borderId="0" applyAlignment="0" applyProtection="0"/>
    <xf numFmtId="0" fontId="9" fillId="0" borderId="0" applyFont="0" applyFill="0" applyBorder="0" applyAlignment="0" applyProtection="0"/>
    <xf numFmtId="184" fontId="9" fillId="0" borderId="0" applyFont="0" applyFill="0" applyBorder="0" applyProtection="0">
      <alignment vertical="top"/>
    </xf>
    <xf numFmtId="38" fontId="21" fillId="0" borderId="0" applyAlignment="0" applyProtection="0"/>
    <xf numFmtId="38" fontId="20" fillId="0" borderId="0" applyFont="0" applyFill="0" applyBorder="0" applyAlignment="0" applyProtection="0"/>
    <xf numFmtId="38" fontId="2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6" fontId="9" fillId="0" borderId="0"/>
    <xf numFmtId="166" fontId="9" fillId="0" borderId="0"/>
    <xf numFmtId="166" fontId="9" fillId="0" borderId="0"/>
    <xf numFmtId="166" fontId="9" fillId="0" borderId="0"/>
    <xf numFmtId="166" fontId="9" fillId="0" borderId="0"/>
    <xf numFmtId="166" fontId="9" fillId="0" borderId="0"/>
    <xf numFmtId="0" fontId="9" fillId="0" borderId="0"/>
    <xf numFmtId="166" fontId="19" fillId="0" borderId="0"/>
    <xf numFmtId="185" fontId="9" fillId="0" borderId="0" applyFont="0" applyFill="0" applyBorder="0" applyAlignment="0" applyProtection="0"/>
    <xf numFmtId="166" fontId="10" fillId="0" borderId="0" applyFont="0" applyFill="0" applyBorder="0" applyAlignment="0" applyProtection="0"/>
    <xf numFmtId="186" fontId="9" fillId="0" borderId="0" applyFont="0" applyFill="0" applyBorder="0" applyAlignment="0" applyProtection="0"/>
    <xf numFmtId="185" fontId="9" fillId="0" borderId="0" applyFont="0" applyFill="0" applyBorder="0" applyAlignment="0" applyProtection="0"/>
    <xf numFmtId="186" fontId="9" fillId="0" borderId="0" applyFont="0" applyFill="0" applyBorder="0" applyAlignment="0" applyProtection="0"/>
    <xf numFmtId="187" fontId="9" fillId="0" borderId="0" applyFont="0" applyFill="0" applyBorder="0" applyAlignment="0" applyProtection="0"/>
    <xf numFmtId="166" fontId="10" fillId="0" borderId="0" applyFont="0" applyFill="0" applyBorder="0" applyAlignment="0" applyProtection="0"/>
    <xf numFmtId="188" fontId="9" fillId="0" borderId="0" applyFont="0" applyFill="0" applyBorder="0" applyAlignment="0" applyProtection="0"/>
    <xf numFmtId="187" fontId="9" fillId="0" borderId="0" applyFont="0" applyFill="0" applyBorder="0" applyAlignment="0" applyProtection="0"/>
    <xf numFmtId="188" fontId="9" fillId="0" borderId="0" applyFont="0" applyFill="0" applyBorder="0" applyAlignment="0" applyProtection="0"/>
    <xf numFmtId="0" fontId="9" fillId="0" borderId="0" applyFont="0" applyFill="0" applyBorder="0" applyAlignment="0" applyProtection="0"/>
    <xf numFmtId="166" fontId="19" fillId="0" borderId="0"/>
    <xf numFmtId="166" fontId="19" fillId="0" borderId="0"/>
    <xf numFmtId="166" fontId="9" fillId="0" borderId="0"/>
    <xf numFmtId="0" fontId="9" fillId="0" borderId="0" applyFont="0" applyFill="0" applyBorder="0" applyAlignment="0" applyProtection="0"/>
    <xf numFmtId="166" fontId="19" fillId="0" borderId="0"/>
    <xf numFmtId="38" fontId="21" fillId="0" borderId="0" applyAlignment="0" applyProtection="0"/>
    <xf numFmtId="166" fontId="9" fillId="0" borderId="0"/>
    <xf numFmtId="166" fontId="9" fillId="0" borderId="0"/>
    <xf numFmtId="38" fontId="20" fillId="0" borderId="0" applyFont="0" applyFill="0" applyBorder="0" applyAlignment="0" applyProtection="0"/>
    <xf numFmtId="38" fontId="20" fillId="0" borderId="0" applyFont="0" applyFill="0" applyBorder="0" applyAlignment="0" applyProtection="0"/>
    <xf numFmtId="189" fontId="9" fillId="0" borderId="0" applyFont="0" applyFill="0" applyBorder="0" applyAlignment="0" applyProtection="0"/>
    <xf numFmtId="166" fontId="10" fillId="0" borderId="0" applyFont="0" applyFill="0" applyBorder="0" applyAlignment="0" applyProtection="0"/>
    <xf numFmtId="190" fontId="9" fillId="0" borderId="0" applyFont="0" applyFill="0" applyBorder="0" applyAlignment="0" applyProtection="0"/>
    <xf numFmtId="189" fontId="9" fillId="0" borderId="0" applyFont="0" applyFill="0" applyBorder="0" applyAlignment="0" applyProtection="0"/>
    <xf numFmtId="190" fontId="9" fillId="0" borderId="0" applyFont="0" applyFill="0" applyBorder="0" applyAlignment="0" applyProtection="0"/>
    <xf numFmtId="191" fontId="9" fillId="0" borderId="0" applyFont="0" applyFill="0" applyBorder="0" applyAlignment="0" applyProtection="0"/>
    <xf numFmtId="166" fontId="10" fillId="0" borderId="0" applyFont="0" applyFill="0" applyBorder="0" applyAlignment="0" applyProtection="0"/>
    <xf numFmtId="192" fontId="9" fillId="0" borderId="0" applyFont="0" applyFill="0" applyBorder="0" applyAlignment="0" applyProtection="0"/>
    <xf numFmtId="191" fontId="9" fillId="0" borderId="0" applyFont="0" applyFill="0" applyBorder="0" applyAlignment="0" applyProtection="0"/>
    <xf numFmtId="192" fontId="9" fillId="0" borderId="0" applyFont="0" applyFill="0" applyBorder="0" applyAlignment="0" applyProtection="0"/>
    <xf numFmtId="166" fontId="22" fillId="0" borderId="0"/>
    <xf numFmtId="166" fontId="22" fillId="0" borderId="0"/>
    <xf numFmtId="166" fontId="22" fillId="0" borderId="0"/>
    <xf numFmtId="166" fontId="9" fillId="0" borderId="0" applyFont="0" applyFill="0" applyBorder="0" applyAlignment="0" applyProtection="0"/>
    <xf numFmtId="0" fontId="9"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9"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166" fontId="9" fillId="0" borderId="0" applyFont="0" applyFill="0" applyBorder="0" applyAlignment="0" applyProtection="0"/>
    <xf numFmtId="0" fontId="9" fillId="0" borderId="0"/>
    <xf numFmtId="0" fontId="9"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9" fillId="0" borderId="0"/>
    <xf numFmtId="0" fontId="9" fillId="0" borderId="0" applyFon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38" fontId="20" fillId="0" borderId="0" applyFont="0" applyFill="0" applyBorder="0" applyAlignment="0" applyProtection="0"/>
    <xf numFmtId="38" fontId="20" fillId="0" borderId="0" applyFont="0" applyFill="0" applyBorder="0" applyAlignment="0" applyProtection="0"/>
    <xf numFmtId="0" fontId="9" fillId="0" borderId="0" applyFont="0" applyFill="0" applyBorder="0" applyAlignment="0" applyProtection="0"/>
    <xf numFmtId="166" fontId="23" fillId="0" borderId="0" applyNumberFormat="0" applyFill="0" applyBorder="0" applyProtection="0">
      <alignment horizontal="left"/>
    </xf>
    <xf numFmtId="166" fontId="24" fillId="0" borderId="0" applyNumberFormat="0" applyFill="0" applyBorder="0" applyProtection="0">
      <alignment horizontal="centerContinuous"/>
    </xf>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6" fontId="22" fillId="0" borderId="0"/>
    <xf numFmtId="166" fontId="22" fillId="0" borderId="0"/>
    <xf numFmtId="193" fontId="25" fillId="0" borderId="0"/>
    <xf numFmtId="166" fontId="16" fillId="0" borderId="0"/>
    <xf numFmtId="166" fontId="16" fillId="0" borderId="0"/>
    <xf numFmtId="166" fontId="22" fillId="0" borderId="0"/>
    <xf numFmtId="166" fontId="22" fillId="0" borderId="0"/>
    <xf numFmtId="166" fontId="22" fillId="0" borderId="0"/>
    <xf numFmtId="0" fontId="9" fillId="0" borderId="0" applyFont="0" applyFill="0" applyBorder="0" applyAlignment="0" applyProtection="0"/>
    <xf numFmtId="166" fontId="9" fillId="0" borderId="0"/>
    <xf numFmtId="166" fontId="19" fillId="0" borderId="0"/>
    <xf numFmtId="193" fontId="25"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94" fontId="26" fillId="0" borderId="0" applyFont="0" applyFill="0" applyBorder="0" applyAlignment="0" applyProtection="0"/>
    <xf numFmtId="195" fontId="16" fillId="0" borderId="0" applyFont="0" applyFill="0" applyBorder="0" applyAlignment="0" applyProtection="0"/>
    <xf numFmtId="196" fontId="27" fillId="0" borderId="0"/>
    <xf numFmtId="197" fontId="16" fillId="0" borderId="0" applyFont="0" applyFill="0" applyBorder="0" applyAlignment="0" applyProtection="0"/>
    <xf numFmtId="198" fontId="26" fillId="0" borderId="0" applyFont="0" applyFill="0" applyBorder="0" applyAlignment="0" applyProtection="0"/>
    <xf numFmtId="0" fontId="14" fillId="0" borderId="0"/>
    <xf numFmtId="0" fontId="9" fillId="0" borderId="0"/>
    <xf numFmtId="0" fontId="9" fillId="0" borderId="0"/>
    <xf numFmtId="0" fontId="9" fillId="0" borderId="0"/>
    <xf numFmtId="17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9" fillId="0" borderId="0"/>
    <xf numFmtId="0" fontId="14" fillId="0" borderId="0"/>
    <xf numFmtId="0" fontId="14" fillId="0" borderId="0"/>
    <xf numFmtId="0" fontId="14" fillId="0" borderId="0"/>
    <xf numFmtId="0" fontId="9" fillId="0" borderId="0"/>
    <xf numFmtId="0" fontId="14" fillId="0" borderId="0"/>
    <xf numFmtId="0" fontId="9" fillId="0" borderId="0"/>
    <xf numFmtId="0" fontId="14" fillId="0" borderId="0"/>
    <xf numFmtId="0" fontId="9" fillId="0" borderId="0"/>
    <xf numFmtId="0" fontId="9" fillId="0" borderId="0"/>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0" fontId="14" fillId="0" borderId="0">
      <alignment vertical="justify"/>
    </xf>
    <xf numFmtId="166" fontId="9" fillId="0" borderId="0"/>
    <xf numFmtId="199" fontId="9" fillId="0" borderId="0" applyBorder="0"/>
    <xf numFmtId="0" fontId="9" fillId="0" borderId="0"/>
    <xf numFmtId="0" fontId="9" fillId="0" borderId="0"/>
    <xf numFmtId="166" fontId="9" fillId="0" borderId="0" applyBorder="0"/>
    <xf numFmtId="199" fontId="9" fillId="0" borderId="0" applyBorder="0"/>
    <xf numFmtId="193" fontId="25" fillId="0" borderId="0"/>
    <xf numFmtId="200" fontId="27" fillId="0" borderId="0"/>
    <xf numFmtId="200" fontId="29" fillId="0" borderId="0"/>
    <xf numFmtId="201" fontId="27" fillId="0" borderId="0"/>
    <xf numFmtId="202" fontId="13" fillId="0" borderId="0" applyFont="0" applyFill="0" applyBorder="0" applyAlignment="0" applyProtection="0">
      <protection locked="0"/>
    </xf>
    <xf numFmtId="203" fontId="30" fillId="0" borderId="0"/>
    <xf numFmtId="166" fontId="29" fillId="0" borderId="0"/>
    <xf numFmtId="203" fontId="31" fillId="0" borderId="0"/>
    <xf numFmtId="0" fontId="32" fillId="5" borderId="0" applyNumberFormat="0" applyBorder="0" applyAlignment="0" applyProtection="0"/>
    <xf numFmtId="0" fontId="33" fillId="6" borderId="0" applyNumberFormat="0" applyBorder="0" applyAlignment="0" applyProtection="0"/>
    <xf numFmtId="0" fontId="32" fillId="5" borderId="0" applyNumberFormat="0" applyBorder="0" applyAlignment="0" applyProtection="0"/>
    <xf numFmtId="0" fontId="33" fillId="6"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3" fillId="6"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3" fillId="6" borderId="0" applyNumberFormat="0" applyBorder="0" applyAlignment="0" applyProtection="0"/>
    <xf numFmtId="0" fontId="32" fillId="5" borderId="0" applyNumberFormat="0" applyBorder="0" applyAlignment="0" applyProtection="0"/>
    <xf numFmtId="0" fontId="33" fillId="6" borderId="0" applyNumberFormat="0" applyBorder="0" applyAlignment="0" applyProtection="0"/>
    <xf numFmtId="0" fontId="32" fillId="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2" fillId="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2" fillId="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177" fontId="34" fillId="6"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2" fillId="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177" fontId="34" fillId="8" borderId="0" applyNumberFormat="0" applyBorder="0" applyAlignment="0" applyProtection="0"/>
    <xf numFmtId="0" fontId="32" fillId="9" borderId="0" applyNumberFormat="0" applyBorder="0" applyAlignment="0" applyProtection="0"/>
    <xf numFmtId="0" fontId="33" fillId="10" borderId="0" applyNumberFormat="0" applyBorder="0" applyAlignment="0" applyProtection="0"/>
    <xf numFmtId="0" fontId="32" fillId="9" borderId="0" applyNumberFormat="0" applyBorder="0" applyAlignment="0" applyProtection="0"/>
    <xf numFmtId="0" fontId="33" fillId="10"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3" fillId="10"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3" fillId="10" borderId="0" applyNumberFormat="0" applyBorder="0" applyAlignment="0" applyProtection="0"/>
    <xf numFmtId="0" fontId="32" fillId="9" borderId="0" applyNumberFormat="0" applyBorder="0" applyAlignment="0" applyProtection="0"/>
    <xf numFmtId="0" fontId="33" fillId="10" borderId="0" applyNumberFormat="0" applyBorder="0" applyAlignment="0" applyProtection="0"/>
    <xf numFmtId="0" fontId="32"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177" fontId="34" fillId="10"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177" fontId="34" fillId="12"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177" fontId="34" fillId="14" borderId="0" applyNumberFormat="0" applyBorder="0" applyAlignment="0" applyProtection="0"/>
    <xf numFmtId="0" fontId="32" fillId="8" borderId="0" applyNumberFormat="0" applyBorder="0" applyAlignment="0" applyProtection="0"/>
    <xf numFmtId="0" fontId="33" fillId="15" borderId="0" applyNumberFormat="0" applyBorder="0" applyAlignment="0" applyProtection="0"/>
    <xf numFmtId="0" fontId="32" fillId="8" borderId="0" applyNumberFormat="0" applyBorder="0" applyAlignment="0" applyProtection="0"/>
    <xf numFmtId="0" fontId="33" fillId="1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3" fillId="1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3" fillId="15" borderId="0" applyNumberFormat="0" applyBorder="0" applyAlignment="0" applyProtection="0"/>
    <xf numFmtId="0" fontId="32" fillId="8" borderId="0" applyNumberFormat="0" applyBorder="0" applyAlignment="0" applyProtection="0"/>
    <xf numFmtId="0" fontId="33" fillId="15" borderId="0" applyNumberFormat="0" applyBorder="0" applyAlignment="0" applyProtection="0"/>
    <xf numFmtId="0" fontId="32" fillId="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8"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177" fontId="34" fillId="15" borderId="0" applyNumberFormat="0" applyBorder="0" applyAlignment="0" applyProtection="0"/>
    <xf numFmtId="204" fontId="27" fillId="0" borderId="0"/>
    <xf numFmtId="205" fontId="29" fillId="0" borderId="0"/>
    <xf numFmtId="204" fontId="35" fillId="0" borderId="0"/>
    <xf numFmtId="0" fontId="9" fillId="0" borderId="0"/>
    <xf numFmtId="0" fontId="9" fillId="0" borderId="0"/>
    <xf numFmtId="206" fontId="27" fillId="0" borderId="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177" fontId="34" fillId="13"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2"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177" fontId="34" fillId="7"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177" fontId="34" fillId="18" borderId="0" applyNumberFormat="0" applyBorder="0" applyAlignment="0" applyProtection="0"/>
    <xf numFmtId="0" fontId="32" fillId="19" borderId="0" applyNumberFormat="0" applyBorder="0" applyAlignment="0" applyProtection="0"/>
    <xf numFmtId="0" fontId="33" fillId="12" borderId="0" applyNumberFormat="0" applyBorder="0" applyAlignment="0" applyProtection="0"/>
    <xf numFmtId="0" fontId="32" fillId="19" borderId="0" applyNumberFormat="0" applyBorder="0" applyAlignment="0" applyProtection="0"/>
    <xf numFmtId="0" fontId="33" fillId="1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1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12" borderId="0" applyNumberFormat="0" applyBorder="0" applyAlignment="0" applyProtection="0"/>
    <xf numFmtId="0" fontId="32" fillId="19" borderId="0" applyNumberFormat="0" applyBorder="0" applyAlignment="0" applyProtection="0"/>
    <xf numFmtId="0" fontId="33" fillId="12" borderId="0" applyNumberFormat="0" applyBorder="0" applyAlignment="0" applyProtection="0"/>
    <xf numFmtId="0" fontId="32" fillId="19"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2" fillId="19"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2" fillId="19"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177" fontId="34" fillId="12"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2" fillId="16"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177" fontId="34" fillId="13" borderId="0" applyNumberFormat="0" applyBorder="0" applyAlignment="0" applyProtection="0"/>
    <xf numFmtId="0" fontId="32" fillId="15" borderId="0" applyNumberFormat="0" applyBorder="0" applyAlignment="0" applyProtection="0"/>
    <xf numFmtId="0" fontId="33" fillId="20" borderId="0" applyNumberFormat="0" applyBorder="0" applyAlignment="0" applyProtection="0"/>
    <xf numFmtId="0" fontId="32" fillId="15" borderId="0" applyNumberFormat="0" applyBorder="0" applyAlignment="0" applyProtection="0"/>
    <xf numFmtId="0" fontId="33" fillId="20"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3" fillId="20"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3" fillId="20" borderId="0" applyNumberFormat="0" applyBorder="0" applyAlignment="0" applyProtection="0"/>
    <xf numFmtId="0" fontId="32" fillId="15" borderId="0" applyNumberFormat="0" applyBorder="0" applyAlignment="0" applyProtection="0"/>
    <xf numFmtId="0" fontId="33" fillId="20" borderId="0" applyNumberFormat="0" applyBorder="0" applyAlignment="0" applyProtection="0"/>
    <xf numFmtId="0" fontId="32" fillId="15"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2" fillId="15"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2" fillId="15"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177" fontId="34" fillId="20" borderId="0" applyNumberFormat="0" applyBorder="0" applyAlignment="0" applyProtection="0"/>
    <xf numFmtId="0" fontId="36" fillId="16" borderId="0" applyNumberFormat="0" applyBorder="0" applyAlignment="0" applyProtection="0"/>
    <xf numFmtId="0" fontId="37" fillId="21" borderId="0" applyNumberFormat="0" applyBorder="0" applyAlignment="0" applyProtection="0"/>
    <xf numFmtId="0" fontId="36" fillId="16" borderId="0" applyNumberFormat="0" applyBorder="0" applyAlignment="0" applyProtection="0"/>
    <xf numFmtId="0" fontId="37" fillId="21"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21"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21" borderId="0" applyNumberFormat="0" applyBorder="0" applyAlignment="0" applyProtection="0"/>
    <xf numFmtId="0" fontId="36" fillId="16" borderId="0" applyNumberFormat="0" applyBorder="0" applyAlignment="0" applyProtection="0"/>
    <xf numFmtId="0" fontId="37" fillId="21" borderId="0" applyNumberFormat="0" applyBorder="0" applyAlignment="0" applyProtection="0"/>
    <xf numFmtId="0" fontId="36" fillId="16"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6" fillId="16"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6" fillId="16"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177" fontId="38" fillId="21" borderId="0" applyNumberFormat="0" applyBorder="0" applyAlignment="0" applyProtection="0"/>
    <xf numFmtId="0" fontId="36" fillId="7" borderId="0" applyNumberFormat="0" applyBorder="0" applyAlignment="0" applyProtection="0"/>
    <xf numFmtId="0" fontId="37" fillId="7" borderId="0" applyNumberFormat="0" applyBorder="0" applyAlignment="0" applyProtection="0"/>
    <xf numFmtId="0" fontId="36" fillId="7" borderId="0" applyNumberFormat="0" applyBorder="0" applyAlignment="0" applyProtection="0"/>
    <xf numFmtId="0" fontId="37"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7"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37" fillId="7" borderId="0" applyNumberFormat="0" applyBorder="0" applyAlignment="0" applyProtection="0"/>
    <xf numFmtId="0" fontId="36" fillId="7" borderId="0" applyNumberFormat="0" applyBorder="0" applyAlignment="0" applyProtection="0"/>
    <xf numFmtId="0" fontId="37" fillId="7" borderId="0" applyNumberFormat="0" applyBorder="0" applyAlignment="0" applyProtection="0"/>
    <xf numFmtId="0" fontId="36"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6"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6"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177" fontId="38" fillId="7"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77" fontId="38" fillId="18" borderId="0" applyNumberFormat="0" applyBorder="0" applyAlignment="0" applyProtection="0"/>
    <xf numFmtId="0" fontId="36" fillId="19" borderId="0" applyNumberFormat="0" applyBorder="0" applyAlignment="0" applyProtection="0"/>
    <xf numFmtId="0" fontId="37" fillId="22" borderId="0" applyNumberFormat="0" applyBorder="0" applyAlignment="0" applyProtection="0"/>
    <xf numFmtId="0" fontId="36" fillId="19" borderId="0" applyNumberFormat="0" applyBorder="0" applyAlignment="0" applyProtection="0"/>
    <xf numFmtId="0" fontId="37" fillId="22"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22"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7" fillId="22" borderId="0" applyNumberFormat="0" applyBorder="0" applyAlignment="0" applyProtection="0"/>
    <xf numFmtId="0" fontId="36" fillId="19" borderId="0" applyNumberFormat="0" applyBorder="0" applyAlignment="0" applyProtection="0"/>
    <xf numFmtId="0" fontId="37" fillId="22" borderId="0" applyNumberFormat="0" applyBorder="0" applyAlignment="0" applyProtection="0"/>
    <xf numFmtId="0" fontId="36" fillId="19"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6" fillId="19"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6" fillId="19"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177" fontId="38" fillId="22" borderId="0" applyNumberFormat="0" applyBorder="0" applyAlignment="0" applyProtection="0"/>
    <xf numFmtId="0" fontId="36" fillId="16" borderId="0" applyNumberFormat="0" applyBorder="0" applyAlignment="0" applyProtection="0"/>
    <xf numFmtId="0" fontId="37" fillId="23" borderId="0" applyNumberFormat="0" applyBorder="0" applyAlignment="0" applyProtection="0"/>
    <xf numFmtId="0" fontId="36" fillId="16" borderId="0" applyNumberFormat="0" applyBorder="0" applyAlignment="0" applyProtection="0"/>
    <xf numFmtId="0" fontId="37" fillId="23"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23"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7" fillId="23" borderId="0" applyNumberFormat="0" applyBorder="0" applyAlignment="0" applyProtection="0"/>
    <xf numFmtId="0" fontId="36" fillId="16" borderId="0" applyNumberFormat="0" applyBorder="0" applyAlignment="0" applyProtection="0"/>
    <xf numFmtId="0" fontId="37" fillId="23" borderId="0" applyNumberFormat="0" applyBorder="0" applyAlignment="0" applyProtection="0"/>
    <xf numFmtId="0" fontId="36"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6"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6"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177" fontId="38" fillId="23" borderId="0" applyNumberFormat="0" applyBorder="0" applyAlignment="0" applyProtection="0"/>
    <xf numFmtId="0" fontId="36" fillId="15" borderId="0" applyNumberFormat="0" applyBorder="0" applyAlignment="0" applyProtection="0"/>
    <xf numFmtId="0" fontId="37" fillId="24" borderId="0" applyNumberFormat="0" applyBorder="0" applyAlignment="0" applyProtection="0"/>
    <xf numFmtId="0" fontId="36" fillId="15" borderId="0" applyNumberFormat="0" applyBorder="0" applyAlignment="0" applyProtection="0"/>
    <xf numFmtId="0" fontId="37" fillId="2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2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7" fillId="24" borderId="0" applyNumberFormat="0" applyBorder="0" applyAlignment="0" applyProtection="0"/>
    <xf numFmtId="0" fontId="36" fillId="15" borderId="0" applyNumberFormat="0" applyBorder="0" applyAlignment="0" applyProtection="0"/>
    <xf numFmtId="0" fontId="37" fillId="24" borderId="0" applyNumberFormat="0" applyBorder="0" applyAlignment="0" applyProtection="0"/>
    <xf numFmtId="0" fontId="36" fillId="15"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6" fillId="15"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6" fillId="15"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177" fontId="38" fillId="24" borderId="0" applyNumberFormat="0" applyBorder="0" applyAlignment="0" applyProtection="0"/>
    <xf numFmtId="0" fontId="10" fillId="0" borderId="0"/>
    <xf numFmtId="0" fontId="33" fillId="25"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177" fontId="38" fillId="31"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177" fontId="38"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35" borderId="0" applyNumberFormat="0" applyBorder="0" applyAlignment="0" applyProtection="0"/>
    <xf numFmtId="0" fontId="33" fillId="41" borderId="0" applyNumberFormat="0" applyBorder="0" applyAlignment="0" applyProtection="0"/>
    <xf numFmtId="0" fontId="37" fillId="28"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77" fontId="38" fillId="17" borderId="0" applyNumberFormat="0" applyBorder="0" applyAlignment="0" applyProtection="0"/>
    <xf numFmtId="0" fontId="33" fillId="35" borderId="0" applyNumberFormat="0" applyBorder="0" applyAlignment="0" applyProtection="0"/>
    <xf numFmtId="0" fontId="33" fillId="33" borderId="0" applyNumberFormat="0" applyBorder="0" applyAlignment="0" applyProtection="0"/>
    <xf numFmtId="0" fontId="33" fillId="28" borderId="0" applyNumberFormat="0" applyBorder="0" applyAlignment="0" applyProtection="0"/>
    <xf numFmtId="0" fontId="33" fillId="36" borderId="0" applyNumberFormat="0" applyBorder="0" applyAlignment="0" applyProtection="0"/>
    <xf numFmtId="0" fontId="37" fillId="28" borderId="0" applyNumberFormat="0" applyBorder="0" applyAlignment="0" applyProtection="0"/>
    <xf numFmtId="0" fontId="37" fillId="42" borderId="0" applyNumberFormat="0" applyBorder="0" applyAlignment="0" applyProtection="0"/>
    <xf numFmtId="0" fontId="37" fillId="22" borderId="0" applyNumberFormat="0" applyBorder="0" applyAlignment="0" applyProtection="0"/>
    <xf numFmtId="0" fontId="37" fillId="42" borderId="0" applyNumberFormat="0" applyBorder="0" applyAlignment="0" applyProtection="0"/>
    <xf numFmtId="0" fontId="37" fillId="2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2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22" borderId="0" applyNumberFormat="0" applyBorder="0" applyAlignment="0" applyProtection="0"/>
    <xf numFmtId="0" fontId="37" fillId="42" borderId="0" applyNumberFormat="0" applyBorder="0" applyAlignment="0" applyProtection="0"/>
    <xf numFmtId="0" fontId="37" fillId="22" borderId="0" applyNumberFormat="0" applyBorder="0" applyAlignment="0" applyProtection="0"/>
    <xf numFmtId="0" fontId="37" fillId="4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4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4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177" fontId="38" fillId="22" borderId="0" applyNumberFormat="0" applyBorder="0" applyAlignment="0" applyProtection="0"/>
    <xf numFmtId="0" fontId="33" fillId="25" borderId="0" applyNumberFormat="0" applyBorder="0" applyAlignment="0" applyProtection="0"/>
    <xf numFmtId="0" fontId="33" fillId="3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7" fillId="27" borderId="0" applyNumberFormat="0" applyBorder="0" applyAlignment="0" applyProtection="0"/>
    <xf numFmtId="0" fontId="37" fillId="43" borderId="0" applyNumberFormat="0" applyBorder="0" applyAlignment="0" applyProtection="0"/>
    <xf numFmtId="0" fontId="37" fillId="23" borderId="0" applyNumberFormat="0" applyBorder="0" applyAlignment="0" applyProtection="0"/>
    <xf numFmtId="0" fontId="37" fillId="43" borderId="0" applyNumberFormat="0" applyBorder="0" applyAlignment="0" applyProtection="0"/>
    <xf numFmtId="0" fontId="37"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23" borderId="0" applyNumberFormat="0" applyBorder="0" applyAlignment="0" applyProtection="0"/>
    <xf numFmtId="0" fontId="37" fillId="43" borderId="0" applyNumberFormat="0" applyBorder="0" applyAlignment="0" applyProtection="0"/>
    <xf numFmtId="0" fontId="37" fillId="23" borderId="0" applyNumberFormat="0" applyBorder="0" applyAlignment="0" applyProtection="0"/>
    <xf numFmtId="0" fontId="37" fillId="4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4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4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177" fontId="38" fillId="23"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34" borderId="0" applyNumberFormat="0" applyBorder="0" applyAlignment="0" applyProtection="0"/>
    <xf numFmtId="0" fontId="33" fillId="45"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177" fontId="38" fillId="47" borderId="0" applyNumberFormat="0" applyBorder="0" applyAlignment="0" applyProtection="0"/>
    <xf numFmtId="207" fontId="9" fillId="48" borderId="2" applyFont="0" applyFill="0" applyBorder="0" applyAlignment="0" applyProtection="0"/>
    <xf numFmtId="208" fontId="39" fillId="0" borderId="3">
      <alignment horizontal="centerContinuous"/>
    </xf>
    <xf numFmtId="209" fontId="40" fillId="49" borderId="4">
      <alignment horizontal="center" vertical="center"/>
    </xf>
    <xf numFmtId="199" fontId="13" fillId="0" borderId="0" applyFont="0" applyFill="0" applyBorder="0" applyAlignment="0" applyProtection="0"/>
    <xf numFmtId="166" fontId="13" fillId="0" borderId="0" applyFont="0" applyFill="0" applyBorder="0" applyAlignment="0" applyProtection="0"/>
    <xf numFmtId="193" fontId="41" fillId="0" borderId="0" applyNumberFormat="0" applyFont="0" applyFill="0" applyBorder="0" applyProtection="0">
      <alignment horizontal="center"/>
    </xf>
    <xf numFmtId="210" fontId="42" fillId="0" borderId="0">
      <alignment horizontal="left"/>
    </xf>
    <xf numFmtId="0" fontId="30" fillId="0" borderId="0"/>
    <xf numFmtId="211" fontId="43" fillId="0" borderId="0" applyFont="0" applyFill="0" applyBorder="0" applyAlignment="0" applyProtection="0"/>
    <xf numFmtId="166" fontId="13" fillId="0" borderId="0" applyFont="0" applyFill="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5" fillId="8" borderId="0" applyNumberFormat="0" applyBorder="0" applyAlignment="0" applyProtection="0"/>
    <xf numFmtId="0" fontId="44" fillId="34" borderId="0" applyNumberFormat="0" applyBorder="0" applyAlignment="0" applyProtection="0"/>
    <xf numFmtId="0" fontId="45" fillId="8"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5" fillId="8"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5" fillId="8"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5" fillId="8" borderId="0" applyNumberFormat="0" applyBorder="0" applyAlignment="0" applyProtection="0"/>
    <xf numFmtId="0" fontId="44" fillId="34" borderId="0" applyNumberFormat="0" applyBorder="0" applyAlignment="0" applyProtection="0"/>
    <xf numFmtId="0" fontId="45" fillId="8"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5" fillId="8" borderId="0" applyNumberFormat="0" applyBorder="0" applyAlignment="0" applyProtection="0"/>
    <xf numFmtId="0" fontId="44" fillId="34" borderId="0" applyNumberFormat="0" applyBorder="0" applyAlignment="0" applyProtection="0"/>
    <xf numFmtId="0" fontId="45" fillId="8"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5" fillId="8"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6" fillId="2"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177" fontId="46" fillId="2"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7"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0" fontId="45" fillId="8" borderId="0" applyNumberFormat="0" applyBorder="0" applyAlignment="0" applyProtection="0"/>
    <xf numFmtId="177" fontId="48" fillId="8" borderId="0" applyNumberFormat="0" applyBorder="0" applyAlignment="0" applyProtection="0"/>
    <xf numFmtId="212" fontId="49" fillId="50" borderId="5" applyNumberFormat="0" applyBorder="0" applyAlignment="0">
      <alignment horizontal="centerContinuous" vertical="center"/>
      <protection hidden="1"/>
    </xf>
    <xf numFmtId="1" fontId="50" fillId="51" borderId="2" applyNumberFormat="0" applyBorder="0" applyAlignment="0">
      <alignment horizontal="center" vertical="top" wrapText="1"/>
      <protection hidden="1"/>
    </xf>
    <xf numFmtId="213" fontId="9" fillId="0" borderId="0" applyFont="0" applyFill="0" applyBorder="0" applyAlignment="0" applyProtection="0"/>
    <xf numFmtId="181" fontId="9" fillId="0" borderId="0" applyNumberFormat="0" applyFont="0" applyAlignment="0" applyProtection="0"/>
    <xf numFmtId="166" fontId="51" fillId="52" borderId="0">
      <alignment horizontal="left"/>
    </xf>
    <xf numFmtId="214" fontId="52" fillId="0" borderId="0" applyFill="0" applyBorder="0" applyAlignment="0" applyProtection="0"/>
    <xf numFmtId="2" fontId="53" fillId="53" borderId="6" applyProtection="0">
      <alignment horizontal="left"/>
      <protection locked="0"/>
    </xf>
    <xf numFmtId="166" fontId="40" fillId="49" borderId="0" applyNumberFormat="0" applyFont="0" applyAlignment="0">
      <alignment horizontal="center"/>
    </xf>
    <xf numFmtId="215" fontId="54" fillId="49" borderId="0" applyFont="0" applyFill="0" applyBorder="0" applyAlignment="0" applyProtection="0"/>
    <xf numFmtId="166" fontId="55" fillId="0" borderId="0" applyNumberFormat="0" applyFill="0" applyBorder="0" applyAlignment="0" applyProtection="0"/>
    <xf numFmtId="166" fontId="56" fillId="0" borderId="3" applyNumberFormat="0" applyFill="0" applyAlignment="0" applyProtection="0"/>
    <xf numFmtId="166" fontId="27" fillId="0" borderId="0"/>
    <xf numFmtId="216" fontId="57" fillId="54" borderId="0" applyFont="0" applyFill="0" applyBorder="0" applyAlignment="0" applyProtection="0"/>
    <xf numFmtId="217" fontId="10" fillId="0" borderId="0" applyAlignment="0" applyProtection="0"/>
    <xf numFmtId="49" fontId="25" fillId="0" borderId="0" applyNumberFormat="0" applyAlignment="0" applyProtection="0">
      <alignment horizontal="left"/>
    </xf>
    <xf numFmtId="49" fontId="58" fillId="0" borderId="7" applyNumberFormat="0" applyAlignment="0" applyProtection="0">
      <alignment horizontal="left" wrapText="1"/>
    </xf>
    <xf numFmtId="49" fontId="59" fillId="0" borderId="0" applyAlignment="0" applyProtection="0">
      <alignment horizontal="left"/>
    </xf>
    <xf numFmtId="218" fontId="16" fillId="0" borderId="0" applyFont="0" applyFill="0" applyBorder="0" applyAlignment="0" applyProtection="0"/>
    <xf numFmtId="166" fontId="60" fillId="0" borderId="0"/>
    <xf numFmtId="166" fontId="60" fillId="0" borderId="0"/>
    <xf numFmtId="166" fontId="60" fillId="0" borderId="0"/>
    <xf numFmtId="166" fontId="60" fillId="0" borderId="0"/>
    <xf numFmtId="166" fontId="60" fillId="0" borderId="0"/>
    <xf numFmtId="166" fontId="60" fillId="0" borderId="0"/>
    <xf numFmtId="166" fontId="60" fillId="0" borderId="0"/>
    <xf numFmtId="166" fontId="60" fillId="0" borderId="0"/>
    <xf numFmtId="166" fontId="60" fillId="0" borderId="0"/>
    <xf numFmtId="166" fontId="60" fillId="0" borderId="0"/>
    <xf numFmtId="166" fontId="60" fillId="0" borderId="0"/>
    <xf numFmtId="166" fontId="60" fillId="0" borderId="0"/>
    <xf numFmtId="166" fontId="60" fillId="0" borderId="0"/>
    <xf numFmtId="166" fontId="60" fillId="0" borderId="0"/>
    <xf numFmtId="166" fontId="60" fillId="0" borderId="0"/>
    <xf numFmtId="166" fontId="61" fillId="0" borderId="0"/>
    <xf numFmtId="219" fontId="10" fillId="0" borderId="0"/>
    <xf numFmtId="220" fontId="10" fillId="0" borderId="0"/>
    <xf numFmtId="166" fontId="13" fillId="0" borderId="0" applyFill="0" applyBorder="0" applyAlignment="0"/>
    <xf numFmtId="221" fontId="9" fillId="4" borderId="0"/>
    <xf numFmtId="166" fontId="9" fillId="0" borderId="0">
      <alignment vertical="center"/>
    </xf>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2" fillId="55" borderId="8" applyNumberFormat="0" applyAlignment="0" applyProtection="0"/>
    <xf numFmtId="0" fontId="63" fillId="19" borderId="8" applyNumberFormat="0" applyAlignment="0" applyProtection="0"/>
    <xf numFmtId="38" fontId="64" fillId="0" borderId="0" applyNumberFormat="0" applyFill="0" applyBorder="0" applyAlignment="0" applyProtection="0"/>
    <xf numFmtId="0" fontId="65" fillId="36" borderId="9" applyNumberFormat="0" applyAlignment="0" applyProtection="0"/>
    <xf numFmtId="0" fontId="65" fillId="56" borderId="9" applyNumberFormat="0" applyAlignment="0" applyProtection="0"/>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8" fontId="9" fillId="0" borderId="0" applyNumberFormat="0" applyFill="0" applyBorder="0" applyAlignment="0" applyProtection="0">
      <protection locked="0"/>
    </xf>
    <xf numFmtId="37" fontId="40" fillId="0" borderId="3">
      <alignment horizontal="center"/>
    </xf>
    <xf numFmtId="37" fontId="40" fillId="0" borderId="0">
      <alignment horizontal="center" vertical="center" wrapText="1"/>
    </xf>
    <xf numFmtId="1" fontId="66" fillId="0" borderId="10">
      <alignment vertical="top"/>
    </xf>
    <xf numFmtId="222" fontId="67" fillId="0" borderId="0" applyBorder="0">
      <alignment horizontal="right"/>
    </xf>
    <xf numFmtId="222" fontId="67" fillId="0" borderId="11" applyAlignment="0">
      <alignment horizontal="right"/>
    </xf>
    <xf numFmtId="223" fontId="16" fillId="0" borderId="0"/>
    <xf numFmtId="223" fontId="16" fillId="0" borderId="0"/>
    <xf numFmtId="223" fontId="16" fillId="0" borderId="0"/>
    <xf numFmtId="223" fontId="16" fillId="0" borderId="0"/>
    <xf numFmtId="223" fontId="16" fillId="0" borderId="0"/>
    <xf numFmtId="223" fontId="16" fillId="0" borderId="0"/>
    <xf numFmtId="223" fontId="16" fillId="0" borderId="0"/>
    <xf numFmtId="223" fontId="16" fillId="0" borderId="0"/>
    <xf numFmtId="38" fontId="9" fillId="0" borderId="0" applyFont="0" applyFill="0" applyBorder="0" applyAlignment="0" applyProtection="0"/>
    <xf numFmtId="193" fontId="13" fillId="0" borderId="0" applyFont="0" applyFill="0" applyBorder="0" applyAlignment="0" applyProtection="0">
      <protection locked="0"/>
    </xf>
    <xf numFmtId="40" fontId="13" fillId="0" borderId="0" applyFont="0" applyFill="0" applyBorder="0" applyAlignment="0" applyProtection="0">
      <protection locked="0"/>
    </xf>
    <xf numFmtId="0" fontId="9" fillId="0" borderId="0" applyNumberFormat="0" applyFont="0" applyBorder="0" applyAlignment="0"/>
    <xf numFmtId="196" fontId="27" fillId="0" borderId="0"/>
    <xf numFmtId="224" fontId="30" fillId="0" borderId="0"/>
    <xf numFmtId="166" fontId="68" fillId="0" borderId="0" applyFont="0" applyFill="0" applyBorder="0" applyAlignment="0" applyProtection="0">
      <alignment horizontal="right"/>
    </xf>
    <xf numFmtId="225" fontId="68" fillId="0" borderId="0" applyFont="0" applyFill="0" applyBorder="0" applyAlignment="0" applyProtection="0"/>
    <xf numFmtId="166" fontId="68" fillId="0" borderId="0" applyFont="0" applyFill="0" applyBorder="0" applyAlignment="0" applyProtection="0">
      <alignment horizontal="right"/>
    </xf>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14"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69" fillId="0" borderId="0" applyFont="0" applyFill="0" applyBorder="0" applyAlignment="0" applyProtection="0"/>
    <xf numFmtId="164" fontId="14" fillId="0" borderId="0" applyFont="0" applyFill="0" applyBorder="0" applyAlignment="0" applyProtection="0"/>
    <xf numFmtId="224" fontId="14" fillId="0" borderId="0" applyFont="0" applyFill="0" applyBorder="0" applyAlignment="0" applyProtection="0"/>
    <xf numFmtId="176" fontId="14" fillId="0" borderId="0" applyFont="0" applyFill="0" applyBorder="0" applyAlignment="0" applyProtection="0"/>
    <xf numFmtId="181"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226" fontId="14" fillId="0" borderId="0" applyFont="0" applyFill="0" applyBorder="0" applyAlignment="0" applyProtection="0"/>
    <xf numFmtId="227" fontId="14" fillId="0" borderId="0" applyFont="0" applyFill="0" applyBorder="0" applyAlignment="0" applyProtection="0"/>
    <xf numFmtId="227" fontId="14" fillId="0" borderId="0" applyFont="0" applyFill="0" applyBorder="0" applyAlignment="0" applyProtection="0"/>
    <xf numFmtId="222" fontId="14" fillId="0" borderId="0" applyFont="0" applyFill="0" applyBorder="0" applyAlignment="0" applyProtection="0"/>
    <xf numFmtId="175" fontId="14" fillId="0" borderId="0" applyFont="0" applyFill="0" applyBorder="0" applyAlignment="0" applyProtection="0"/>
    <xf numFmtId="228" fontId="14" fillId="0" borderId="0" applyFont="0" applyFill="0" applyBorder="0" applyAlignment="0" applyProtection="0"/>
    <xf numFmtId="228" fontId="14" fillId="0" borderId="0" applyFont="0" applyFill="0" applyBorder="0" applyAlignment="0" applyProtection="0"/>
    <xf numFmtId="228" fontId="14" fillId="0" borderId="0" applyFont="0" applyFill="0" applyBorder="0" applyAlignment="0" applyProtection="0"/>
    <xf numFmtId="222" fontId="14" fillId="0" borderId="0" applyFont="0" applyFill="0" applyBorder="0" applyAlignment="0" applyProtection="0"/>
    <xf numFmtId="222"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14"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9"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8"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8" fillId="0" borderId="0" applyFont="0" applyFill="0" applyBorder="0" applyAlignment="0" applyProtection="0"/>
    <xf numFmtId="229"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229"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229"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229"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9"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70"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230" fontId="9" fillId="0" borderId="0" applyFont="0" applyFill="0" applyBorder="0" applyAlignment="0" applyProtection="0"/>
    <xf numFmtId="164" fontId="14"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3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14"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4" fillId="0" borderId="0" applyFont="0" applyFill="0" applyBorder="0" applyAlignment="0" applyProtection="0"/>
    <xf numFmtId="164" fontId="3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2"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69"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231" fontId="9" fillId="0" borderId="0" applyFont="0" applyFill="0" applyBorder="0" applyAlignment="0" applyProtection="0"/>
    <xf numFmtId="164" fontId="32" fillId="0" borderId="0" applyFont="0" applyFill="0" applyBorder="0" applyAlignment="0" applyProtection="0"/>
    <xf numFmtId="164" fontId="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70"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70"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14"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33"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232" fontId="9" fillId="0" borderId="0" applyFont="0" applyFill="0" applyBorder="0" applyAlignment="0" applyProtection="0"/>
    <xf numFmtId="38" fontId="16" fillId="0" borderId="0" applyFill="0" applyBorder="0" applyProtection="0">
      <alignment horizontal="center"/>
    </xf>
    <xf numFmtId="166" fontId="71" fillId="0" borderId="0">
      <protection locked="0"/>
    </xf>
    <xf numFmtId="233" fontId="9" fillId="0" borderId="0" applyBorder="0"/>
    <xf numFmtId="234" fontId="25" fillId="0" borderId="0" applyBorder="0"/>
    <xf numFmtId="166" fontId="72" fillId="0" borderId="0"/>
    <xf numFmtId="235" fontId="9" fillId="0" borderId="0" applyFill="0" applyBorder="0">
      <alignment horizontal="left"/>
    </xf>
    <xf numFmtId="166" fontId="73" fillId="0" borderId="0" applyNumberFormat="0" applyAlignment="0">
      <alignment horizontal="left"/>
    </xf>
    <xf numFmtId="37" fontId="9" fillId="57" borderId="0" applyFont="0" applyBorder="0" applyAlignment="0" applyProtection="0"/>
    <xf numFmtId="181" fontId="22" fillId="57" borderId="0" applyFont="0" applyBorder="0" applyAlignment="0" applyProtection="0"/>
    <xf numFmtId="39" fontId="22" fillId="57" borderId="0" applyFont="0" applyBorder="0" applyAlignment="0" applyProtection="0"/>
    <xf numFmtId="236" fontId="74" fillId="0" borderId="0"/>
    <xf numFmtId="237" fontId="9" fillId="0" borderId="0" applyFont="0" applyFill="0" applyBorder="0" applyAlignment="0" applyProtection="0"/>
    <xf numFmtId="238" fontId="13" fillId="0" borderId="0" applyFont="0" applyFill="0" applyBorder="0" applyAlignment="0" applyProtection="0">
      <protection locked="0"/>
    </xf>
    <xf numFmtId="168" fontId="13" fillId="0" borderId="0" applyFont="0" applyFill="0" applyBorder="0" applyAlignment="0" applyProtection="0">
      <protection locked="0"/>
    </xf>
    <xf numFmtId="239" fontId="9" fillId="0" borderId="0">
      <alignment horizontal="right"/>
    </xf>
    <xf numFmtId="166" fontId="68" fillId="0" borderId="0" applyFont="0" applyFill="0" applyBorder="0" applyAlignment="0" applyProtection="0">
      <alignment horizontal="right"/>
    </xf>
    <xf numFmtId="166" fontId="68" fillId="0" borderId="0" applyFont="0" applyFill="0" applyBorder="0" applyAlignment="0" applyProtection="0">
      <alignment horizontal="right"/>
    </xf>
    <xf numFmtId="165" fontId="9" fillId="0" borderId="0" applyFont="0" applyFill="0" applyBorder="0" applyAlignment="0" applyProtection="0"/>
    <xf numFmtId="240" fontId="9" fillId="0" borderId="0" applyFont="0" applyFill="0" applyBorder="0" applyAlignment="0" applyProtection="0"/>
    <xf numFmtId="166" fontId="68" fillId="0" borderId="0" applyFont="0" applyFill="0" applyBorder="0" applyAlignment="0" applyProtection="0">
      <alignment horizontal="right"/>
    </xf>
    <xf numFmtId="165" fontId="9" fillId="0" borderId="0" applyFont="0" applyFill="0" applyBorder="0" applyAlignment="0" applyProtection="0"/>
    <xf numFmtId="235" fontId="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241" fontId="9" fillId="0" borderId="0" applyFont="0" applyFill="0" applyBorder="0" applyAlignment="0" applyProtection="0"/>
    <xf numFmtId="166" fontId="9" fillId="0" borderId="0" applyFont="0" applyFill="0" applyBorder="0" applyAlignment="0" applyProtection="0"/>
    <xf numFmtId="242" fontId="12" fillId="4" borderId="6">
      <alignment horizontal="right"/>
    </xf>
    <xf numFmtId="243" fontId="16" fillId="0" borderId="0" applyFont="0" applyFill="0" applyBorder="0" applyAlignment="0" applyProtection="0"/>
    <xf numFmtId="244" fontId="9" fillId="0" borderId="0" applyFill="0" applyBorder="0"/>
    <xf numFmtId="244" fontId="9" fillId="0" borderId="0" applyFill="0" applyBorder="0"/>
    <xf numFmtId="166" fontId="68" fillId="0" borderId="0" applyFont="0" applyFill="0" applyBorder="0" applyAlignment="0" applyProtection="0"/>
    <xf numFmtId="245" fontId="9" fillId="0" borderId="0" applyFont="0" applyFill="0" applyBorder="0" applyAlignment="0" applyProtection="0"/>
    <xf numFmtId="166" fontId="68" fillId="0" borderId="0" applyFont="0" applyFill="0" applyBorder="0" applyAlignment="0" applyProtection="0"/>
    <xf numFmtId="166" fontId="67" fillId="53" borderId="0">
      <alignment horizontal="left"/>
    </xf>
    <xf numFmtId="244" fontId="9" fillId="0" borderId="0" applyFill="0" applyBorder="0"/>
    <xf numFmtId="14" fontId="9" fillId="0" borderId="0"/>
    <xf numFmtId="201" fontId="30" fillId="0" borderId="0">
      <alignment horizontal="right"/>
    </xf>
    <xf numFmtId="196" fontId="30" fillId="0" borderId="0">
      <alignment horizontal="right"/>
      <protection locked="0"/>
    </xf>
    <xf numFmtId="196" fontId="30" fillId="0" borderId="0"/>
    <xf numFmtId="246" fontId="30" fillId="0" borderId="0">
      <alignment horizontal="right"/>
      <protection locked="0"/>
    </xf>
    <xf numFmtId="196" fontId="31" fillId="0" borderId="0"/>
    <xf numFmtId="247" fontId="9" fillId="0" borderId="0" applyFont="0" applyFill="0" applyBorder="0" applyAlignment="0" applyProtection="0"/>
    <xf numFmtId="248" fontId="9" fillId="0" borderId="0" applyFont="0" applyFill="0" applyBorder="0" applyAlignment="0" applyProtection="0"/>
    <xf numFmtId="193" fontId="41" fillId="4" borderId="0" applyNumberFormat="0" applyFont="0" applyBorder="0" applyAlignment="0" applyProtection="0"/>
    <xf numFmtId="168" fontId="16" fillId="0" borderId="0" applyFill="0" applyBorder="0" applyProtection="0">
      <alignment horizontal="center"/>
    </xf>
    <xf numFmtId="238" fontId="16" fillId="0" borderId="0">
      <alignment horizontal="center"/>
    </xf>
    <xf numFmtId="168" fontId="16" fillId="0" borderId="0" applyFill="0" applyBorder="0" applyProtection="0">
      <alignment horizontal="center"/>
    </xf>
    <xf numFmtId="235" fontId="75" fillId="0" borderId="0">
      <alignment horizontal="center"/>
    </xf>
    <xf numFmtId="166" fontId="68" fillId="0" borderId="12" applyNumberFormat="0" applyFont="0" applyFill="0" applyAlignment="0" applyProtection="0"/>
    <xf numFmtId="199" fontId="76" fillId="0" borderId="13"/>
    <xf numFmtId="200" fontId="30" fillId="0" borderId="0"/>
    <xf numFmtId="38" fontId="20" fillId="0" borderId="0" applyFont="0" applyFill="0" applyBorder="0" applyAlignment="0" applyProtection="0"/>
    <xf numFmtId="166" fontId="77" fillId="0" borderId="0" applyFont="0" applyFill="0" applyBorder="0" applyAlignment="0" applyProtection="0"/>
    <xf numFmtId="0" fontId="78" fillId="58" borderId="0" applyNumberFormat="0" applyBorder="0" applyAlignment="0" applyProtection="0"/>
    <xf numFmtId="0" fontId="78" fillId="59" borderId="0" applyNumberFormat="0" applyBorder="0" applyAlignment="0" applyProtection="0"/>
    <xf numFmtId="0" fontId="78" fillId="60" borderId="0" applyNumberFormat="0" applyBorder="0" applyAlignment="0" applyProtection="0"/>
    <xf numFmtId="166" fontId="79" fillId="0" borderId="0" applyNumberFormat="0" applyAlignment="0">
      <alignment horizontal="left"/>
    </xf>
    <xf numFmtId="249" fontId="12" fillId="0" borderId="0"/>
    <xf numFmtId="250" fontId="12" fillId="0" borderId="0"/>
    <xf numFmtId="251" fontId="12" fillId="0" borderId="0"/>
    <xf numFmtId="252" fontId="12" fillId="0" borderId="0"/>
    <xf numFmtId="253" fontId="12" fillId="0" borderId="0"/>
    <xf numFmtId="254" fontId="12" fillId="0" borderId="0"/>
    <xf numFmtId="177" fontId="20" fillId="0" borderId="0" applyFont="0" applyFill="0" applyBorder="0" applyAlignment="0" applyProtection="0"/>
    <xf numFmtId="255" fontId="9" fillId="0" borderId="0" applyFont="0" applyFill="0" applyBorder="0" applyAlignment="0" applyProtection="0"/>
    <xf numFmtId="256" fontId="9" fillId="0" borderId="0" applyFont="0" applyFill="0" applyBorder="0" applyAlignment="0" applyProtection="0"/>
    <xf numFmtId="257" fontId="9" fillId="0" borderId="0" applyFont="0" applyFill="0" applyBorder="0" applyAlignment="0" applyProtection="0"/>
    <xf numFmtId="166" fontId="9" fillId="0" borderId="0" applyFon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166" fontId="16" fillId="56" borderId="0" applyNumberFormat="0" applyFont="0" applyBorder="0" applyAlignment="0" applyProtection="0"/>
    <xf numFmtId="166" fontId="82" fillId="0" borderId="0" applyNumberFormat="0" applyFill="0" applyBorder="0" applyAlignment="0" applyProtection="0"/>
    <xf numFmtId="258" fontId="83" fillId="0" borderId="0" applyFill="0" applyBorder="0"/>
    <xf numFmtId="15" fontId="32" fillId="0" borderId="0" applyFill="0" applyBorder="0" applyProtection="0">
      <alignment horizontal="center"/>
    </xf>
    <xf numFmtId="166" fontId="16" fillId="8" borderId="0" applyNumberFormat="0" applyFont="0" applyBorder="0" applyAlignment="0" applyProtection="0"/>
    <xf numFmtId="259" fontId="84" fillId="19" borderId="14" applyAlignment="0" applyProtection="0"/>
    <xf numFmtId="260" fontId="85" fillId="0" borderId="0" applyNumberFormat="0" applyFill="0" applyBorder="0" applyAlignment="0" applyProtection="0"/>
    <xf numFmtId="260" fontId="86" fillId="0" borderId="0" applyNumberFormat="0" applyFill="0" applyBorder="0" applyAlignment="0" applyProtection="0"/>
    <xf numFmtId="15" fontId="87" fillId="61" borderId="15">
      <alignment horizontal="center"/>
      <protection locked="0"/>
    </xf>
    <xf numFmtId="261" fontId="87" fillId="61" borderId="15" applyAlignment="0">
      <protection locked="0"/>
    </xf>
    <xf numFmtId="260" fontId="87" fillId="61" borderId="15" applyAlignment="0">
      <protection locked="0"/>
    </xf>
    <xf numFmtId="260" fontId="32" fillId="0" borderId="0" applyFill="0" applyBorder="0" applyAlignment="0" applyProtection="0"/>
    <xf numFmtId="261" fontId="32" fillId="0" borderId="0" applyFill="0" applyBorder="0" applyAlignment="0" applyProtection="0"/>
    <xf numFmtId="262" fontId="32" fillId="0" borderId="0" applyFill="0" applyBorder="0" applyAlignment="0" applyProtection="0"/>
    <xf numFmtId="166" fontId="16" fillId="0" borderId="16" applyNumberFormat="0" applyFont="0" applyAlignment="0" applyProtection="0"/>
    <xf numFmtId="166" fontId="16" fillId="0" borderId="17" applyNumberFormat="0" applyFont="0" applyAlignment="0" applyProtection="0"/>
    <xf numFmtId="166" fontId="16" fillId="18" borderId="0" applyNumberFormat="0" applyFont="0" applyBorder="0" applyAlignment="0" applyProtection="0"/>
    <xf numFmtId="179" fontId="9" fillId="0" borderId="0" applyFont="0" applyFill="0" applyBorder="0" applyAlignment="0" applyProtection="0"/>
    <xf numFmtId="164" fontId="9" fillId="0" borderId="0" applyFont="0" applyFill="0" applyBorder="0" applyAlignment="0" applyProtection="0"/>
    <xf numFmtId="0" fontId="71" fillId="0" borderId="0">
      <protection locked="0"/>
    </xf>
    <xf numFmtId="0" fontId="71" fillId="0" borderId="0">
      <protection locked="0"/>
    </xf>
    <xf numFmtId="0" fontId="88" fillId="0" borderId="0">
      <protection locked="0"/>
    </xf>
    <xf numFmtId="0" fontId="71" fillId="0" borderId="0">
      <protection locked="0"/>
    </xf>
    <xf numFmtId="0" fontId="71" fillId="0" borderId="0">
      <protection locked="0"/>
    </xf>
    <xf numFmtId="0" fontId="71" fillId="0" borderId="0">
      <protection locked="0"/>
    </xf>
    <xf numFmtId="0" fontId="88" fillId="0" borderId="0">
      <protection locked="0"/>
    </xf>
    <xf numFmtId="1" fontId="89" fillId="62" borderId="18" applyNumberFormat="0" applyBorder="0" applyAlignment="0">
      <alignment horizontal="centerContinuous" vertical="center"/>
      <protection locked="0"/>
    </xf>
    <xf numFmtId="166" fontId="71" fillId="0" borderId="0">
      <protection locked="0"/>
    </xf>
    <xf numFmtId="235" fontId="90" fillId="0" borderId="0"/>
    <xf numFmtId="235" fontId="90" fillId="0" borderId="0"/>
    <xf numFmtId="166" fontId="91" fillId="0" borderId="0"/>
    <xf numFmtId="166" fontId="92" fillId="0" borderId="0" applyFill="0" applyBorder="0" applyProtection="0">
      <alignment horizontal="left"/>
    </xf>
    <xf numFmtId="4" fontId="93" fillId="0" borderId="0">
      <protection locked="0"/>
    </xf>
    <xf numFmtId="260" fontId="94" fillId="63" borderId="6" applyBorder="0" applyAlignment="0" applyProtection="0"/>
    <xf numFmtId="236" fontId="95" fillId="0" borderId="0"/>
    <xf numFmtId="250" fontId="12" fillId="0" borderId="19"/>
    <xf numFmtId="263" fontId="12" fillId="4" borderId="6">
      <alignment horizontal="right"/>
    </xf>
    <xf numFmtId="264" fontId="9" fillId="0" borderId="0" applyFont="0" applyFill="0" applyBorder="0" applyAlignment="0" applyProtection="0"/>
    <xf numFmtId="265" fontId="96" fillId="0" borderId="0" applyFont="0" applyFill="0" applyBorder="0" applyAlignment="0" applyProtection="0"/>
    <xf numFmtId="266" fontId="9" fillId="0" borderId="0" applyFont="0" applyFill="0" applyBorder="0" applyAlignment="0" applyProtection="0"/>
    <xf numFmtId="267" fontId="96" fillId="0" borderId="0" applyFont="0" applyFill="0" applyBorder="0" applyAlignment="0" applyProtection="0"/>
    <xf numFmtId="166" fontId="16" fillId="0" borderId="0" applyFont="0" applyFill="0" applyBorder="0" applyAlignment="0" applyProtection="0"/>
    <xf numFmtId="0" fontId="97" fillId="64" borderId="0" applyNumberFormat="0" applyBorder="0" applyAlignment="0" applyProtection="0"/>
    <xf numFmtId="0" fontId="97" fillId="10" borderId="0" applyNumberFormat="0" applyBorder="0" applyAlignment="0" applyProtection="0"/>
    <xf numFmtId="2" fontId="98" fillId="53" borderId="6" applyProtection="0">
      <alignment horizontal="left"/>
      <protection locked="0"/>
    </xf>
    <xf numFmtId="38" fontId="25" fillId="4" borderId="0" applyNumberFormat="0" applyBorder="0" applyAlignment="0" applyProtection="0"/>
    <xf numFmtId="0" fontId="9" fillId="19" borderId="0" applyNumberFormat="0" applyFont="0" applyBorder="0" applyAlignment="0" applyProtection="0"/>
    <xf numFmtId="268" fontId="67" fillId="65" borderId="20" applyNumberFormat="0" applyFont="0" applyAlignment="0"/>
    <xf numFmtId="166" fontId="68" fillId="0" borderId="0" applyFont="0" applyFill="0" applyBorder="0" applyAlignment="0" applyProtection="0">
      <alignment horizontal="right"/>
    </xf>
    <xf numFmtId="166" fontId="99" fillId="0" borderId="0" applyProtection="0">
      <alignment horizontal="right"/>
    </xf>
    <xf numFmtId="166" fontId="54" fillId="0" borderId="21" applyNumberFormat="0" applyAlignment="0" applyProtection="0">
      <alignment horizontal="left" vertical="center"/>
    </xf>
    <xf numFmtId="166" fontId="54" fillId="0" borderId="14">
      <alignment horizontal="left" vertical="center"/>
    </xf>
    <xf numFmtId="2" fontId="50" fillId="51" borderId="0" applyAlignment="0">
      <alignment horizontal="right"/>
      <protection locked="0"/>
    </xf>
    <xf numFmtId="0" fontId="100" fillId="0" borderId="22" applyNumberFormat="0" applyFill="0" applyAlignment="0" applyProtection="0"/>
    <xf numFmtId="0" fontId="101" fillId="0" borderId="23" applyNumberFormat="0" applyFill="0" applyAlignment="0" applyProtection="0"/>
    <xf numFmtId="0" fontId="102" fillId="0" borderId="24" applyNumberFormat="0" applyFill="0" applyAlignment="0" applyProtection="0"/>
    <xf numFmtId="0" fontId="103" fillId="0" borderId="24" applyNumberFormat="0" applyFill="0" applyAlignment="0" applyProtection="0"/>
    <xf numFmtId="0" fontId="104" fillId="0" borderId="7" applyNumberFormat="0" applyFill="0" applyAlignment="0" applyProtection="0"/>
    <xf numFmtId="0" fontId="105" fillId="0" borderId="25" applyNumberFormat="0" applyFill="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166" fontId="16" fillId="0" borderId="0">
      <protection locked="0"/>
    </xf>
    <xf numFmtId="166" fontId="16" fillId="0" borderId="0">
      <protection locked="0"/>
    </xf>
    <xf numFmtId="269" fontId="106" fillId="0" borderId="0">
      <alignment horizontal="right"/>
    </xf>
    <xf numFmtId="166" fontId="87" fillId="0" borderId="26" applyNumberFormat="0" applyFill="0" applyAlignment="0" applyProtection="0"/>
    <xf numFmtId="193" fontId="107" fillId="0" borderId="0" applyNumberFormat="0" applyBorder="0" applyAlignment="0" applyProtection="0">
      <alignment horizontal="right" wrapText="1"/>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177" fontId="111"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7" fontId="115" fillId="0" borderId="0" applyNumberFormat="0" applyFill="0" applyBorder="0" applyAlignment="0" applyProtection="0">
      <alignment vertical="top"/>
      <protection locked="0"/>
    </xf>
    <xf numFmtId="166" fontId="116" fillId="0" borderId="0">
      <alignment wrapText="1"/>
    </xf>
    <xf numFmtId="10" fontId="25" fillId="65" borderId="20" applyNumberFormat="0" applyBorder="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7" fillId="45" borderId="8" applyNumberFormat="0" applyAlignment="0" applyProtection="0"/>
    <xf numFmtId="0" fontId="118" fillId="15" borderId="8" applyNumberFormat="0" applyAlignment="0" applyProtection="0"/>
    <xf numFmtId="166" fontId="87" fillId="0" borderId="0" applyNumberFormat="0" applyFill="0" applyBorder="0" applyAlignment="0">
      <protection locked="0"/>
    </xf>
    <xf numFmtId="0" fontId="119" fillId="9" borderId="0"/>
    <xf numFmtId="221" fontId="40" fillId="66" borderId="0">
      <protection locked="0"/>
    </xf>
    <xf numFmtId="270" fontId="16" fillId="0" borderId="0"/>
    <xf numFmtId="222" fontId="9" fillId="0" borderId="0"/>
    <xf numFmtId="166" fontId="9" fillId="0" borderId="0" applyNumberFormat="0" applyFont="0" applyFill="0" applyBorder="0" applyProtection="0">
      <alignment horizontal="left" vertical="center"/>
    </xf>
    <xf numFmtId="271" fontId="120" fillId="67" borderId="0"/>
    <xf numFmtId="166" fontId="25" fillId="4" borderId="0"/>
    <xf numFmtId="38" fontId="121" fillId="0" borderId="0" applyNumberFormat="0" applyFill="0" applyBorder="0" applyAlignment="0" applyProtection="0"/>
    <xf numFmtId="0" fontId="122" fillId="0" borderId="27" applyNumberFormat="0" applyFill="0" applyAlignment="0" applyProtection="0"/>
    <xf numFmtId="0" fontId="123" fillId="0" borderId="28" applyNumberFormat="0" applyFill="0" applyAlignment="0" applyProtection="0"/>
    <xf numFmtId="185" fontId="26" fillId="0" borderId="0" applyFont="0" applyFill="0" applyBorder="0" applyAlignment="0" applyProtection="0">
      <alignment horizontal="right"/>
    </xf>
    <xf numFmtId="272"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273"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166" fontId="12" fillId="0" borderId="0">
      <alignment horizontal="right"/>
    </xf>
    <xf numFmtId="40" fontId="124" fillId="0" borderId="0">
      <alignment horizontal="right"/>
    </xf>
    <xf numFmtId="37" fontId="125" fillId="0" borderId="0"/>
    <xf numFmtId="166" fontId="126" fillId="0" borderId="0">
      <alignment vertical="center"/>
    </xf>
    <xf numFmtId="166" fontId="9" fillId="0" borderId="0" applyNumberForma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274" fontId="9" fillId="0" borderId="0" applyFont="0" applyFill="0" applyBorder="0" applyAlignment="0" applyProtection="0"/>
    <xf numFmtId="275" fontId="9" fillId="0" borderId="0" applyFont="0" applyFill="0" applyBorder="0" applyAlignment="0" applyProtection="0"/>
    <xf numFmtId="276" fontId="12" fillId="0" borderId="0">
      <alignment horizontal="right"/>
    </xf>
    <xf numFmtId="166" fontId="127" fillId="0" borderId="11"/>
    <xf numFmtId="277" fontId="20" fillId="0" borderId="0" applyFont="0" applyFill="0" applyBorder="0" applyAlignment="0" applyProtection="0"/>
    <xf numFmtId="278" fontId="20"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279" fontId="25" fillId="65" borderId="0">
      <alignment horizontal="center"/>
    </xf>
    <xf numFmtId="280" fontId="16" fillId="0" borderId="0" applyFill="0" applyBorder="0" applyProtection="0">
      <alignment horizontal="center"/>
    </xf>
    <xf numFmtId="281" fontId="16" fillId="0" borderId="0" applyFont="0" applyFill="0" applyBorder="0" applyAlignment="0" applyProtection="0">
      <alignment horizontal="centerContinuous"/>
      <protection locked="0"/>
    </xf>
    <xf numFmtId="282" fontId="25" fillId="0" borderId="0" applyFont="0" applyFill="0" applyBorder="0" applyAlignment="0" applyProtection="0">
      <alignment horizontal="right"/>
    </xf>
    <xf numFmtId="0" fontId="128" fillId="45" borderId="0" applyNumberFormat="0" applyBorder="0" applyAlignment="0" applyProtection="0"/>
    <xf numFmtId="0" fontId="128" fillId="61" borderId="0" applyNumberFormat="0" applyBorder="0" applyAlignment="0" applyProtection="0"/>
    <xf numFmtId="37" fontId="129" fillId="0" borderId="0"/>
    <xf numFmtId="178" fontId="9" fillId="0" borderId="0"/>
    <xf numFmtId="0" fontId="9"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283" fontId="13" fillId="0" borderId="0"/>
    <xf numFmtId="283" fontId="13" fillId="0" borderId="3"/>
    <xf numFmtId="283" fontId="13" fillId="0" borderId="29"/>
    <xf numFmtId="283" fontId="13" fillId="0" borderId="0"/>
    <xf numFmtId="284" fontId="30" fillId="0" borderId="0"/>
    <xf numFmtId="285" fontId="30" fillId="0" borderId="0"/>
    <xf numFmtId="286" fontId="30" fillId="0" borderId="0"/>
    <xf numFmtId="287" fontId="25" fillId="0" borderId="0"/>
    <xf numFmtId="288" fontId="25" fillId="0" borderId="0"/>
    <xf numFmtId="0" fontId="8"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7" fontId="69" fillId="0" borderId="0"/>
    <xf numFmtId="177" fontId="69" fillId="0" borderId="0"/>
    <xf numFmtId="177"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1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70" fillId="0" borderId="0"/>
    <xf numFmtId="0" fontId="70" fillId="0" borderId="0"/>
    <xf numFmtId="0" fontId="70" fillId="0" borderId="0"/>
    <xf numFmtId="0" fontId="70" fillId="0" borderId="0"/>
    <xf numFmtId="0" fontId="70" fillId="0" borderId="0"/>
    <xf numFmtId="0" fontId="14" fillId="0" borderId="0"/>
    <xf numFmtId="0" fontId="14" fillId="0" borderId="0"/>
    <xf numFmtId="0" fontId="14" fillId="0" borderId="0"/>
    <xf numFmtId="0" fontId="14" fillId="0" borderId="0"/>
    <xf numFmtId="0" fontId="14" fillId="0" borderId="0"/>
    <xf numFmtId="0" fontId="69" fillId="0" borderId="0"/>
    <xf numFmtId="0" fontId="70" fillId="0" borderId="0"/>
    <xf numFmtId="0" fontId="70" fillId="0" borderId="0"/>
    <xf numFmtId="0" fontId="70" fillId="0" borderId="0"/>
    <xf numFmtId="0" fontId="70" fillId="0" borderId="0"/>
    <xf numFmtId="0" fontId="14" fillId="0" borderId="0"/>
    <xf numFmtId="0" fontId="14" fillId="0" borderId="0"/>
    <xf numFmtId="0" fontId="14" fillId="0" borderId="0"/>
    <xf numFmtId="0" fontId="1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0" fillId="0" borderId="0"/>
    <xf numFmtId="0" fontId="14" fillId="0" borderId="0"/>
    <xf numFmtId="0" fontId="14" fillId="0" borderId="0"/>
    <xf numFmtId="0" fontId="14" fillId="0" borderId="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70" fillId="0" borderId="0"/>
    <xf numFmtId="0" fontId="14"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176"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8"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69"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69"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8"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8" fillId="0" borderId="0"/>
    <xf numFmtId="0" fontId="70" fillId="0" borderId="0"/>
    <xf numFmtId="0" fontId="8" fillId="0" borderId="0"/>
    <xf numFmtId="0" fontId="70" fillId="0" borderId="0"/>
    <xf numFmtId="0" fontId="8" fillId="0" borderId="0"/>
    <xf numFmtId="0" fontId="33" fillId="0" borderId="0"/>
    <xf numFmtId="0" fontId="69"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177"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8" fillId="0" borderId="0"/>
    <xf numFmtId="0" fontId="70" fillId="0" borderId="0"/>
    <xf numFmtId="0" fontId="8" fillId="0" borderId="0"/>
    <xf numFmtId="0" fontId="70" fillId="0" borderId="0"/>
    <xf numFmtId="0" fontId="8" fillId="0" borderId="0"/>
    <xf numFmtId="0" fontId="33" fillId="0" borderId="0"/>
    <xf numFmtId="0" fontId="69"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70"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70" fillId="0" borderId="0"/>
    <xf numFmtId="0" fontId="8" fillId="0" borderId="0"/>
    <xf numFmtId="0" fontId="70" fillId="0" borderId="0"/>
    <xf numFmtId="0" fontId="8" fillId="0" borderId="0"/>
    <xf numFmtId="0" fontId="69"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69"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0" fillId="0" borderId="0"/>
    <xf numFmtId="0" fontId="8" fillId="0" borderId="0"/>
    <xf numFmtId="0" fontId="8" fillId="0" borderId="0"/>
    <xf numFmtId="0" fontId="70" fillId="0" borderId="0"/>
    <xf numFmtId="0" fontId="8" fillId="0" borderId="0"/>
    <xf numFmtId="0" fontId="70"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3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33" fillId="0" borderId="0"/>
    <xf numFmtId="0" fontId="33" fillId="0" borderId="0"/>
    <xf numFmtId="0" fontId="33" fillId="0" borderId="0"/>
    <xf numFmtId="0" fontId="33"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2" fillId="0" borderId="0"/>
    <xf numFmtId="0" fontId="33" fillId="0" borderId="0" applyFill="0" applyBorder="0" applyAlignment="0" applyProtection="0"/>
    <xf numFmtId="0" fontId="69"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69" fillId="0" borderId="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6"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7"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applyFill="0" applyBorder="0" applyAlignment="0" applyProtection="0"/>
    <xf numFmtId="0" fontId="14" fillId="0" borderId="0"/>
    <xf numFmtId="0" fontId="33"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9"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9" fillId="0" borderId="0"/>
    <xf numFmtId="0" fontId="9" fillId="0" borderId="0"/>
    <xf numFmtId="0" fontId="9"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applyFill="0" applyBorder="0" applyAlignment="0" applyProtection="0"/>
    <xf numFmtId="0" fontId="33"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xf numFmtId="0" fontId="33" fillId="0" borderId="0"/>
    <xf numFmtId="0" fontId="33" fillId="0" borderId="0"/>
    <xf numFmtId="0" fontId="33" fillId="0" borderId="0"/>
    <xf numFmtId="0" fontId="33" fillId="0" borderId="0"/>
    <xf numFmtId="0" fontId="9" fillId="0" borderId="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3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14" fillId="0" borderId="0"/>
    <xf numFmtId="0"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8"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33" fillId="0" borderId="0" applyNumberFormat="0" applyFill="0" applyBorder="0" applyProtection="0">
      <alignment vertical="top" wrapText="1"/>
    </xf>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applyFont="0" applyFill="0" applyBorder="0" applyAlignment="0" applyProtection="0"/>
    <xf numFmtId="0" fontId="33" fillId="0" borderId="0" applyFill="0" applyBorder="0" applyAlignment="0" applyProtection="0"/>
    <xf numFmtId="0"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177"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33" fillId="0" borderId="0"/>
    <xf numFmtId="0" fontId="33" fillId="0" borderId="0"/>
    <xf numFmtId="0" fontId="70" fillId="0" borderId="0"/>
    <xf numFmtId="0" fontId="70" fillId="0" borderId="0"/>
    <xf numFmtId="0" fontId="70" fillId="0" borderId="0"/>
    <xf numFmtId="0" fontId="70" fillId="0" borderId="0"/>
    <xf numFmtId="0" fontId="69" fillId="0" borderId="0"/>
    <xf numFmtId="0" fontId="70" fillId="0" borderId="0"/>
    <xf numFmtId="0" fontId="69" fillId="0" borderId="0"/>
    <xf numFmtId="0" fontId="69" fillId="0" borderId="0"/>
    <xf numFmtId="0" fontId="69" fillId="0" borderId="0"/>
    <xf numFmtId="0" fontId="69" fillId="0" borderId="0"/>
    <xf numFmtId="0" fontId="69" fillId="0" borderId="0"/>
    <xf numFmtId="0" fontId="70" fillId="0" borderId="0"/>
    <xf numFmtId="0" fontId="14" fillId="0" borderId="0"/>
    <xf numFmtId="0" fontId="14" fillId="0" borderId="0"/>
    <xf numFmtId="0" fontId="14" fillId="0" borderId="0"/>
    <xf numFmtId="0" fontId="14" fillId="0" borderId="0"/>
    <xf numFmtId="0" fontId="14" fillId="0" borderId="0"/>
    <xf numFmtId="166" fontId="14" fillId="0" borderId="0"/>
    <xf numFmtId="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xf numFmtId="0" fontId="9" fillId="0" borderId="0"/>
    <xf numFmtId="0" fontId="14" fillId="0" borderId="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8" fillId="0" borderId="0"/>
    <xf numFmtId="0" fontId="133" fillId="0" borderId="0" applyNumberFormat="0" applyFill="0" applyBorder="0" applyProtection="0">
      <alignment vertical="top" wrapText="1"/>
    </xf>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xf numFmtId="0" fontId="9"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8" fillId="0" borderId="0"/>
    <xf numFmtId="0" fontId="70" fillId="0" borderId="0"/>
    <xf numFmtId="0" fontId="70" fillId="0" borderId="0"/>
    <xf numFmtId="0" fontId="70" fillId="0" borderId="0"/>
    <xf numFmtId="0" fontId="70" fillId="0" borderId="0"/>
    <xf numFmtId="0" fontId="70" fillId="0" borderId="0"/>
    <xf numFmtId="0" fontId="14"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9"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4"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9" fillId="0" borderId="0" applyNumberFormat="0" applyFont="0" applyFill="0" applyBorder="0" applyAlignment="0" applyProtection="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69"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289" fontId="33" fillId="0" borderId="0" applyFill="0" applyBorder="0" applyAlignment="0" applyProtection="0"/>
    <xf numFmtId="177" fontId="13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2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28"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69" fillId="0" borderId="0"/>
    <xf numFmtId="0" fontId="69" fillId="0" borderId="0"/>
    <xf numFmtId="0" fontId="33" fillId="0" borderId="0"/>
    <xf numFmtId="0" fontId="9" fillId="0" borderId="0"/>
    <xf numFmtId="0" fontId="70"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9" fillId="0" borderId="0"/>
    <xf numFmtId="0" fontId="9" fillId="0" borderId="0"/>
    <xf numFmtId="0" fontId="14" fillId="0" borderId="0"/>
    <xf numFmtId="0" fontId="1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pplyFill="0" applyBorder="0" applyAlignment="0" applyProtection="0"/>
    <xf numFmtId="0" fontId="33" fillId="0" borderId="0"/>
    <xf numFmtId="0" fontId="33" fillId="0" borderId="0"/>
    <xf numFmtId="0" fontId="33" fillId="0" borderId="0"/>
    <xf numFmtId="0" fontId="33" fillId="0" borderId="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14" fillId="0" borderId="0"/>
    <xf numFmtId="0" fontId="9" fillId="0" borderId="0"/>
    <xf numFmtId="166" fontId="9" fillId="0" borderId="0">
      <alignment vertical="center"/>
    </xf>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8"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33" fillId="0" borderId="0"/>
    <xf numFmtId="0" fontId="8" fillId="0" borderId="0"/>
    <xf numFmtId="0" fontId="131" fillId="0" borderId="0"/>
    <xf numFmtId="0" fontId="131" fillId="0" borderId="0"/>
    <xf numFmtId="0" fontId="131" fillId="0" borderId="0"/>
    <xf numFmtId="0" fontId="131"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33" fillId="0" borderId="0"/>
    <xf numFmtId="0" fontId="8" fillId="0" borderId="0"/>
    <xf numFmtId="0" fontId="33" fillId="0" borderId="0"/>
    <xf numFmtId="0" fontId="8" fillId="0" borderId="0"/>
    <xf numFmtId="0" fontId="69" fillId="0" borderId="0"/>
    <xf numFmtId="0" fontId="70" fillId="0" borderId="0"/>
    <xf numFmtId="0" fontId="70" fillId="0" borderId="0"/>
    <xf numFmtId="0" fontId="70" fillId="0" borderId="0"/>
    <xf numFmtId="0" fontId="70" fillId="0" borderId="0"/>
    <xf numFmtId="0" fontId="7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176" fontId="69" fillId="0" borderId="0"/>
    <xf numFmtId="176" fontId="70" fillId="0" borderId="0"/>
    <xf numFmtId="176" fontId="70" fillId="0" borderId="0"/>
    <xf numFmtId="176" fontId="70" fillId="0" borderId="0"/>
    <xf numFmtId="176" fontId="70" fillId="0" borderId="0"/>
    <xf numFmtId="176" fontId="70" fillId="0" borderId="0"/>
    <xf numFmtId="176" fontId="69"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176" fontId="70" fillId="0" borderId="0"/>
    <xf numFmtId="0" fontId="6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7" fontId="6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8" fillId="0" borderId="0"/>
    <xf numFmtId="0" fontId="32" fillId="0" borderId="0"/>
    <xf numFmtId="0" fontId="32" fillId="0" borderId="0"/>
    <xf numFmtId="0" fontId="32" fillId="0" borderId="0"/>
    <xf numFmtId="0" fontId="32" fillId="0" borderId="0"/>
    <xf numFmtId="0" fontId="6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2"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2" fillId="0" borderId="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177" fontId="69" fillId="0" borderId="0"/>
    <xf numFmtId="0" fontId="32" fillId="0" borderId="0"/>
    <xf numFmtId="0" fontId="69" fillId="0" borderId="0"/>
    <xf numFmtId="0" fontId="9" fillId="0" borderId="0"/>
    <xf numFmtId="177" fontId="69" fillId="0" borderId="0"/>
    <xf numFmtId="177" fontId="69" fillId="0" borderId="0"/>
    <xf numFmtId="177" fontId="69" fillId="0" borderId="0"/>
    <xf numFmtId="177" fontId="69" fillId="0" borderId="0"/>
    <xf numFmtId="177" fontId="69" fillId="0" borderId="0"/>
    <xf numFmtId="177" fontId="69" fillId="0" borderId="0"/>
    <xf numFmtId="177" fontId="69" fillId="0" borderId="0"/>
    <xf numFmtId="177" fontId="69" fillId="0" borderId="0"/>
    <xf numFmtId="177"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xf numFmtId="0" fontId="8" fillId="0" borderId="0"/>
    <xf numFmtId="0" fontId="8" fillId="0" borderId="0"/>
    <xf numFmtId="0" fontId="8" fillId="0" borderId="0"/>
    <xf numFmtId="0" fontId="13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3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77" fontId="1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xf numFmtId="0" fontId="14"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applyNumberFormat="0" applyFont="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0" fontId="9" fillId="0" borderId="0" applyNumberFormat="0" applyFont="0" applyFill="0" applyBorder="0" applyAlignment="0" applyProtection="0"/>
    <xf numFmtId="0" fontId="69" fillId="0" borderId="0"/>
    <xf numFmtId="0" fontId="9" fillId="0" borderId="0" applyNumberFormat="0" applyFont="0" applyFill="0" applyBorder="0" applyAlignment="0" applyProtection="0"/>
    <xf numFmtId="0" fontId="14" fillId="0" borderId="0"/>
    <xf numFmtId="0" fontId="2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69" fillId="0" borderId="0"/>
    <xf numFmtId="0" fontId="69" fillId="0" borderId="0"/>
    <xf numFmtId="0" fontId="9" fillId="0" borderId="0"/>
    <xf numFmtId="0" fontId="69" fillId="0" borderId="0"/>
    <xf numFmtId="0" fontId="8" fillId="0" borderId="0"/>
    <xf numFmtId="0" fontId="6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8"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9" fillId="0" borderId="0"/>
    <xf numFmtId="0" fontId="69" fillId="0" borderId="0"/>
    <xf numFmtId="0" fontId="69"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8" fillId="0" borderId="0">
      <alignment vertical="top"/>
    </xf>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3"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 fillId="0" borderId="0">
      <alignment vertical="top"/>
    </xf>
    <xf numFmtId="0" fontId="8" fillId="0" borderId="0"/>
    <xf numFmtId="0" fontId="8" fillId="0" borderId="0"/>
    <xf numFmtId="0" fontId="8" fillId="0" borderId="0"/>
    <xf numFmtId="0" fontId="8" fillId="0" borderId="0"/>
    <xf numFmtId="290" fontId="27" fillId="0" borderId="29"/>
    <xf numFmtId="0" fontId="87" fillId="0" borderId="0" applyFill="0" applyBorder="0">
      <protection locked="0"/>
    </xf>
    <xf numFmtId="166" fontId="9" fillId="0" borderId="0"/>
    <xf numFmtId="166" fontId="137" fillId="0" borderId="0"/>
    <xf numFmtId="166" fontId="138" fillId="0" borderId="0"/>
    <xf numFmtId="166" fontId="139" fillId="0" borderId="0"/>
    <xf numFmtId="166" fontId="140" fillId="0" borderId="0"/>
    <xf numFmtId="166" fontId="22" fillId="0" borderId="0"/>
    <xf numFmtId="38" fontId="141" fillId="0" borderId="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44" borderId="30" applyNumberFormat="0" applyFont="0" applyAlignment="0" applyProtection="0"/>
    <xf numFmtId="177" fontId="9" fillId="44" borderId="30"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44" borderId="30"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44" borderId="30"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44" borderId="30"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44" borderId="30" applyNumberFormat="0" applyFon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44" borderId="30" applyNumberFormat="0" applyFont="0" applyAlignment="0" applyProtection="0"/>
    <xf numFmtId="0" fontId="9" fillId="9" borderId="30" applyNumberFormat="0" applyFont="0" applyAlignment="0" applyProtection="0"/>
    <xf numFmtId="291" fontId="9" fillId="68" borderId="31" applyFont="0" applyFill="0" applyBorder="0" applyAlignment="0" applyProtection="0">
      <alignment vertical="center"/>
    </xf>
    <xf numFmtId="166" fontId="9" fillId="0" borderId="0"/>
    <xf numFmtId="0" fontId="11" fillId="3" borderId="1">
      <alignment horizontal="center"/>
      <protection locked="0"/>
    </xf>
    <xf numFmtId="37" fontId="9" fillId="0" borderId="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69" borderId="0">
      <alignment horizontal="right"/>
    </xf>
    <xf numFmtId="166" fontId="142" fillId="28" borderId="32" applyNumberFormat="0" applyBorder="0" applyAlignment="0">
      <alignment horizontal="center"/>
      <protection hidden="1"/>
    </xf>
    <xf numFmtId="166" fontId="143" fillId="0" borderId="32" applyNumberFormat="0" applyBorder="0" applyAlignment="0">
      <alignment horizontal="center"/>
      <protection locked="0"/>
    </xf>
    <xf numFmtId="2" fontId="144" fillId="53" borderId="6">
      <alignment horizontal="left"/>
    </xf>
    <xf numFmtId="0" fontId="30" fillId="3" borderId="1">
      <alignment horizontal="left" wrapText="1"/>
      <protection locked="0"/>
    </xf>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55" borderId="33" applyNumberFormat="0" applyAlignment="0" applyProtection="0"/>
    <xf numFmtId="0" fontId="145" fillId="19" borderId="33" applyNumberFormat="0" applyAlignment="0" applyProtection="0"/>
    <xf numFmtId="40" fontId="32" fillId="11" borderId="0">
      <alignment horizontal="right"/>
    </xf>
    <xf numFmtId="166" fontId="146" fillId="70" borderId="0">
      <alignment horizontal="center"/>
    </xf>
    <xf numFmtId="166" fontId="147" fillId="71" borderId="0"/>
    <xf numFmtId="166" fontId="148" fillId="11" borderId="0" applyBorder="0">
      <alignment horizontal="centerContinuous"/>
    </xf>
    <xf numFmtId="166" fontId="149" fillId="71" borderId="0" applyBorder="0">
      <alignment horizontal="centerContinuous"/>
    </xf>
    <xf numFmtId="166" fontId="16" fillId="72" borderId="0" applyNumberFormat="0" applyFont="0" applyBorder="0" applyAlignment="0"/>
    <xf numFmtId="1" fontId="150" fillId="0" borderId="0" applyProtection="0">
      <alignment horizontal="right" vertical="center"/>
    </xf>
    <xf numFmtId="181" fontId="151" fillId="0" borderId="0">
      <alignment horizontal="left"/>
    </xf>
    <xf numFmtId="292" fontId="12" fillId="0" borderId="0"/>
    <xf numFmtId="293" fontId="12" fillId="0" borderId="0"/>
    <xf numFmtId="239" fontId="9" fillId="0" borderId="0" applyFont="0" applyFill="0" applyBorder="0" applyAlignment="0" applyProtection="0"/>
    <xf numFmtId="294" fontId="9" fillId="0" borderId="0" applyFont="0" applyFill="0" applyBorder="0" applyAlignment="0" applyProtection="0"/>
    <xf numFmtId="229" fontId="13" fillId="0" borderId="0" applyFont="0" applyFill="0" applyBorder="0" applyAlignment="0" applyProtection="0">
      <protection locked="0"/>
    </xf>
    <xf numFmtId="10" fontId="13" fillId="0" borderId="0" applyFont="0" applyFill="0" applyBorder="0" applyAlignment="0" applyProtection="0">
      <protection locked="0"/>
    </xf>
    <xf numFmtId="10" fontId="9"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3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3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3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3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3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3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33"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4" fillId="0" borderId="0" applyFont="0" applyFill="0" applyBorder="0" applyAlignment="0" applyProtection="0"/>
    <xf numFmtId="9" fontId="69" fillId="0" borderId="0" applyFont="0" applyFill="0" applyBorder="0" applyAlignment="0" applyProtection="0"/>
    <xf numFmtId="9" fontId="8"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28" fillId="0" borderId="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95" fontId="30" fillId="0" borderId="0"/>
    <xf numFmtId="9" fontId="8"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14"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296" fontId="40" fillId="57" borderId="0" applyBorder="0" applyAlignment="0">
      <protection locked="0"/>
    </xf>
    <xf numFmtId="9" fontId="30" fillId="0" borderId="0"/>
    <xf numFmtId="229" fontId="30" fillId="0" borderId="0"/>
    <xf numFmtId="10" fontId="30" fillId="0" borderId="0"/>
    <xf numFmtId="297" fontId="9" fillId="0" borderId="0" applyFont="0" applyFill="0" applyBorder="0" applyAlignment="0" applyProtection="0"/>
    <xf numFmtId="298" fontId="27" fillId="0" borderId="0"/>
    <xf numFmtId="299" fontId="27" fillId="0" borderId="0"/>
    <xf numFmtId="299" fontId="30" fillId="0" borderId="0"/>
    <xf numFmtId="300" fontId="9" fillId="0" borderId="0" applyBorder="0">
      <alignment horizontal="right"/>
    </xf>
    <xf numFmtId="301" fontId="25" fillId="0" borderId="0" applyBorder="0"/>
    <xf numFmtId="10" fontId="9" fillId="53" borderId="0"/>
    <xf numFmtId="166" fontId="9" fillId="0" borderId="0">
      <protection locked="0"/>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3" borderId="20">
      <alignment vertical="center"/>
    </xf>
    <xf numFmtId="303"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2"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3" borderId="20">
      <alignment vertical="center"/>
    </xf>
    <xf numFmtId="303" fontId="70" fillId="73"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3" borderId="20">
      <alignment vertical="center"/>
    </xf>
    <xf numFmtId="303" fontId="70" fillId="73"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3"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70" fillId="74"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303" fontId="70" fillId="73" borderId="20">
      <alignment vertical="center"/>
    </xf>
    <xf numFmtId="303" fontId="70" fillId="73"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70" fillId="74"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3" borderId="20">
      <alignment vertical="center"/>
    </xf>
    <xf numFmtId="0" fontId="70"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3" borderId="20">
      <alignment vertical="center"/>
    </xf>
    <xf numFmtId="0" fontId="70"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70" fillId="74" borderId="20">
      <alignment vertical="center"/>
    </xf>
    <xf numFmtId="0" fontId="69" fillId="73" borderId="20">
      <alignment vertical="center"/>
    </xf>
    <xf numFmtId="0" fontId="69" fillId="73" borderId="20">
      <alignment vertical="center"/>
    </xf>
    <xf numFmtId="0" fontId="69" fillId="73" borderId="20">
      <alignment vertical="center"/>
    </xf>
    <xf numFmtId="0" fontId="70" fillId="74" borderId="20">
      <alignment vertical="center"/>
    </xf>
    <xf numFmtId="0" fontId="70" fillId="74" borderId="20">
      <alignment vertical="center"/>
    </xf>
    <xf numFmtId="0"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0" fontId="9" fillId="0" borderId="0" applyNumberFormat="0" applyFont="0" applyFill="0" applyBorder="0" applyAlignment="0" applyProtection="0"/>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3" borderId="20">
      <alignment vertical="center"/>
    </xf>
    <xf numFmtId="304" fontId="70" fillId="73"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3" borderId="20">
      <alignment vertical="center"/>
    </xf>
    <xf numFmtId="304" fontId="70"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2" fontId="70" fillId="73"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2"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4"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3" borderId="20">
      <alignment vertical="center"/>
    </xf>
    <xf numFmtId="304" fontId="70" fillId="73"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4" fontId="70" fillId="73"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4"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3" borderId="20">
      <alignment vertical="center"/>
    </xf>
    <xf numFmtId="304"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2"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3" borderId="20">
      <alignment vertical="center"/>
    </xf>
    <xf numFmtId="304" fontId="70"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5"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69" fillId="73" borderId="20">
      <alignment vertical="center"/>
    </xf>
    <xf numFmtId="0" fontId="9" fillId="0" borderId="0" applyNumberFormat="0" applyFont="0" applyFill="0" applyBorder="0" applyAlignment="0" applyProtection="0"/>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3" borderId="20">
      <alignment vertical="center"/>
    </xf>
    <xf numFmtId="304" fontId="70"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4" borderId="20">
      <alignment vertical="center"/>
    </xf>
    <xf numFmtId="304"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4" borderId="20">
      <alignment vertical="center"/>
    </xf>
    <xf numFmtId="304"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5" fontId="69" fillId="73" borderId="20">
      <alignment vertical="center"/>
    </xf>
    <xf numFmtId="304" fontId="70" fillId="74" borderId="20">
      <alignment vertical="center"/>
    </xf>
    <xf numFmtId="304" fontId="70" fillId="74" borderId="20">
      <alignment vertical="center"/>
    </xf>
    <xf numFmtId="304" fontId="70" fillId="73" borderId="20">
      <alignment vertical="center"/>
    </xf>
    <xf numFmtId="304" fontId="70" fillId="73"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5"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3" borderId="20">
      <alignment vertical="center"/>
    </xf>
    <xf numFmtId="305"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5" fontId="70" fillId="73" borderId="20">
      <alignment vertical="center"/>
    </xf>
    <xf numFmtId="305" fontId="70" fillId="73" borderId="20">
      <alignment vertical="center"/>
    </xf>
    <xf numFmtId="305"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3" borderId="20">
      <alignment vertical="center"/>
    </xf>
    <xf numFmtId="305" fontId="70" fillId="73" borderId="20">
      <alignment vertical="center"/>
    </xf>
    <xf numFmtId="305" fontId="69" fillId="73" borderId="20">
      <alignment vertical="center"/>
    </xf>
    <xf numFmtId="305" fontId="69" fillId="73" borderId="20">
      <alignment vertical="center"/>
    </xf>
    <xf numFmtId="305" fontId="69" fillId="73" borderId="20">
      <alignment vertical="center"/>
    </xf>
    <xf numFmtId="305" fontId="69" fillId="73" borderId="20">
      <alignment vertical="center"/>
    </xf>
    <xf numFmtId="305" fontId="69" fillId="73" borderId="20">
      <alignment vertical="center"/>
    </xf>
    <xf numFmtId="305" fontId="69" fillId="73" borderId="20">
      <alignment vertical="center"/>
    </xf>
    <xf numFmtId="305" fontId="69" fillId="73" borderId="20">
      <alignment vertical="center"/>
    </xf>
    <xf numFmtId="305" fontId="69" fillId="73" borderId="20">
      <alignment vertical="center"/>
    </xf>
    <xf numFmtId="305" fontId="70" fillId="74" borderId="20">
      <alignment vertical="center"/>
    </xf>
    <xf numFmtId="305" fontId="69" fillId="73" borderId="20">
      <alignment vertical="center"/>
    </xf>
    <xf numFmtId="305" fontId="69" fillId="73" borderId="20">
      <alignment vertical="center"/>
    </xf>
    <xf numFmtId="305" fontId="69" fillId="73" borderId="20">
      <alignment vertical="center"/>
    </xf>
    <xf numFmtId="305" fontId="69" fillId="73" borderId="20">
      <alignment vertical="center"/>
    </xf>
    <xf numFmtId="305"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4" fontId="70" fillId="73"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5"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4"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5"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3" borderId="20">
      <alignment vertical="center"/>
    </xf>
    <xf numFmtId="304" fontId="70" fillId="73" borderId="20">
      <alignment vertical="center"/>
    </xf>
    <xf numFmtId="305"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5"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3" borderId="20">
      <alignment vertical="center"/>
    </xf>
    <xf numFmtId="304" fontId="70"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5" fontId="69" fillId="73"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5" fontId="70" fillId="74" borderId="20">
      <alignment vertical="center"/>
    </xf>
    <xf numFmtId="304" fontId="69" fillId="73" borderId="20">
      <alignment vertical="center"/>
    </xf>
    <xf numFmtId="305" fontId="70" fillId="74" borderId="20">
      <alignment vertical="center"/>
    </xf>
    <xf numFmtId="305"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69" fillId="73"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69" fillId="73" borderId="20">
      <alignment vertical="center"/>
    </xf>
    <xf numFmtId="0" fontId="9" fillId="0" borderId="0" applyNumberFormat="0" applyFont="0" applyFill="0" applyBorder="0" applyAlignment="0" applyProtection="0"/>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4"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3" borderId="20">
      <alignment vertical="center"/>
    </xf>
    <xf numFmtId="303" fontId="70" fillId="73"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0" fontId="9" fillId="0" borderId="0" applyNumberFormat="0" applyFont="0" applyFill="0" applyBorder="0" applyAlignment="0" applyProtection="0"/>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4" borderId="20">
      <alignment vertical="center"/>
    </xf>
    <xf numFmtId="303" fontId="70" fillId="74"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3" borderId="20">
      <alignment vertical="center"/>
    </xf>
    <xf numFmtId="303" fontId="70" fillId="73"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3" borderId="20">
      <alignment vertical="center"/>
    </xf>
    <xf numFmtId="304" fontId="70"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3" borderId="20">
      <alignment vertical="center"/>
    </xf>
    <xf numFmtId="304" fontId="70"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3" fontId="70" fillId="73"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3"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3" borderId="20">
      <alignment vertical="center"/>
    </xf>
    <xf numFmtId="303" fontId="70" fillId="73"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4"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3" borderId="20">
      <alignment vertical="center"/>
    </xf>
    <xf numFmtId="303" fontId="70" fillId="73"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3" fontId="70" fillId="74" borderId="20">
      <alignment vertical="center"/>
    </xf>
    <xf numFmtId="304" fontId="69" fillId="73"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4"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3" borderId="20">
      <alignment vertical="center"/>
    </xf>
    <xf numFmtId="302"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3" borderId="20">
      <alignment vertical="center"/>
    </xf>
    <xf numFmtId="302" fontId="70"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3" fontId="70" fillId="73"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3" fontId="70" fillId="74"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3" borderId="20">
      <alignment vertical="center"/>
    </xf>
    <xf numFmtId="303" fontId="70" fillId="73" borderId="20">
      <alignment vertical="center"/>
    </xf>
    <xf numFmtId="302"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3" fontId="70" fillId="73" borderId="20">
      <alignment vertical="center"/>
    </xf>
    <xf numFmtId="303" fontId="70"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2" fontId="70" fillId="74"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3" fontId="69" fillId="73"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2" fontId="70" fillId="74" borderId="20">
      <alignment vertical="center"/>
    </xf>
    <xf numFmtId="303" fontId="70" fillId="74" borderId="20">
      <alignment vertical="center"/>
    </xf>
    <xf numFmtId="306" fontId="12" fillId="0" borderId="0">
      <alignment horizontal="right"/>
    </xf>
    <xf numFmtId="40" fontId="9" fillId="0" borderId="0"/>
    <xf numFmtId="1" fontId="152" fillId="4" borderId="0">
      <alignment horizontal="center"/>
    </xf>
    <xf numFmtId="166"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166" fontId="153" fillId="0" borderId="11">
      <alignment horizontal="center"/>
    </xf>
    <xf numFmtId="3" fontId="20" fillId="0" borderId="0" applyFont="0" applyFill="0" applyBorder="0" applyAlignment="0" applyProtection="0"/>
    <xf numFmtId="166" fontId="20" fillId="75" borderId="0" applyNumberFormat="0" applyFont="0" applyBorder="0" applyAlignment="0" applyProtection="0"/>
    <xf numFmtId="307" fontId="9" fillId="54" borderId="34" applyFont="0" applyFill="0" applyBorder="0" applyAlignment="0" applyProtection="0"/>
    <xf numFmtId="308" fontId="12" fillId="4" borderId="0"/>
    <xf numFmtId="309" fontId="154" fillId="4" borderId="0" applyFill="0"/>
    <xf numFmtId="166" fontId="155" fillId="0" borderId="0">
      <alignment horizontal="left" indent="7"/>
    </xf>
    <xf numFmtId="166" fontId="154" fillId="0" borderId="0" applyFill="0">
      <alignment horizontal="left" indent="7"/>
    </xf>
    <xf numFmtId="309" fontId="40" fillId="0" borderId="14">
      <alignment horizontal="right"/>
    </xf>
    <xf numFmtId="166" fontId="40" fillId="0" borderId="20" applyNumberFormat="0" applyFont="0" applyBorder="0">
      <alignment horizontal="right"/>
    </xf>
    <xf numFmtId="166" fontId="156" fillId="0" borderId="0" applyFill="0"/>
    <xf numFmtId="166" fontId="40" fillId="0" borderId="0" applyFill="0"/>
    <xf numFmtId="309" fontId="157" fillId="0" borderId="14" applyFill="0"/>
    <xf numFmtId="166" fontId="9" fillId="0" borderId="0" applyNumberFormat="0" applyFont="0" applyBorder="0" applyAlignment="0"/>
    <xf numFmtId="166" fontId="158" fillId="0" borderId="0" applyFill="0">
      <alignment horizontal="left" indent="1"/>
    </xf>
    <xf numFmtId="166" fontId="157" fillId="0" borderId="0">
      <alignment horizontal="left" indent="1"/>
    </xf>
    <xf numFmtId="309" fontId="40" fillId="0" borderId="14" applyFill="0"/>
    <xf numFmtId="166" fontId="9" fillId="0" borderId="0" applyNumberFormat="0" applyFont="0" applyFill="0" applyBorder="0" applyAlignment="0"/>
    <xf numFmtId="166" fontId="156" fillId="0" borderId="0" applyFill="0">
      <alignment horizontal="left" indent="2"/>
    </xf>
    <xf numFmtId="166" fontId="40" fillId="0" borderId="0" applyFill="0">
      <alignment horizontal="left" indent="2"/>
    </xf>
    <xf numFmtId="309" fontId="157" fillId="0" borderId="14" applyFill="0"/>
    <xf numFmtId="166" fontId="9" fillId="0" borderId="0" applyNumberFormat="0" applyFont="0" applyBorder="0" applyAlignment="0"/>
    <xf numFmtId="166" fontId="158" fillId="0" borderId="0">
      <alignment horizontal="left" indent="3"/>
    </xf>
    <xf numFmtId="166" fontId="157" fillId="0" borderId="0" applyFill="0">
      <alignment horizontal="left" indent="3"/>
    </xf>
    <xf numFmtId="309" fontId="40" fillId="0" borderId="14" applyFill="0"/>
    <xf numFmtId="166" fontId="9" fillId="0" borderId="0" applyNumberFormat="0" applyFont="0" applyBorder="0" applyAlignment="0"/>
    <xf numFmtId="166" fontId="156" fillId="0" borderId="0">
      <alignment horizontal="left" indent="4"/>
    </xf>
    <xf numFmtId="166" fontId="40" fillId="0" borderId="0" applyFill="0">
      <alignment horizontal="left" indent="4"/>
    </xf>
    <xf numFmtId="309" fontId="157" fillId="0" borderId="14" applyFill="0"/>
    <xf numFmtId="166" fontId="9" fillId="0" borderId="0" applyNumberFormat="0" applyFont="0" applyBorder="0" applyAlignment="0"/>
    <xf numFmtId="166" fontId="158" fillId="0" borderId="0">
      <alignment horizontal="left" indent="5"/>
    </xf>
    <xf numFmtId="166" fontId="157" fillId="0" borderId="0" applyFill="0">
      <alignment horizontal="left" indent="5"/>
    </xf>
    <xf numFmtId="309" fontId="40" fillId="0" borderId="14" applyFill="0"/>
    <xf numFmtId="166" fontId="9" fillId="0" borderId="0" applyNumberFormat="0" applyFont="0" applyFill="0" applyBorder="0" applyAlignment="0"/>
    <xf numFmtId="166" fontId="40" fillId="0" borderId="0" applyFill="0">
      <alignment horizontal="left" indent="6"/>
    </xf>
    <xf numFmtId="310" fontId="12" fillId="4" borderId="6">
      <alignment horizontal="right"/>
    </xf>
    <xf numFmtId="0" fontId="159" fillId="0" borderId="0"/>
    <xf numFmtId="14" fontId="160" fillId="0" borderId="0" applyNumberFormat="0" applyFill="0" applyBorder="0" applyAlignment="0" applyProtection="0">
      <alignment horizontal="left"/>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69"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11" fontId="70" fillId="0" borderId="0">
      <protection locked="0"/>
    </xf>
    <xf numFmtId="302" fontId="70" fillId="65" borderId="20">
      <alignment vertical="center"/>
      <protection locked="0"/>
    </xf>
    <xf numFmtId="30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69" fillId="76" borderId="20">
      <alignment vertical="center"/>
      <protection locked="0"/>
    </xf>
    <xf numFmtId="312" fontId="69" fillId="76" borderId="20">
      <alignment vertical="center"/>
      <protection locked="0"/>
    </xf>
    <xf numFmtId="31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76" borderId="20">
      <alignment vertical="center"/>
      <protection locked="0"/>
    </xf>
    <xf numFmtId="0" fontId="70"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69" fillId="76"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0"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69"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0" fontId="9" fillId="0" borderId="0" applyNumberFormat="0" applyFont="0" applyFill="0" applyBorder="0" applyAlignment="0" applyProtection="0"/>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6" borderId="20">
      <alignment vertical="center"/>
      <protection locked="0"/>
    </xf>
    <xf numFmtId="304" fontId="70"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76" borderId="20">
      <alignment vertical="center"/>
      <protection locked="0"/>
    </xf>
    <xf numFmtId="304" fontId="70"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70" fillId="65"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4"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302"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302"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76" borderId="20">
      <alignment vertical="center"/>
      <protection locked="0"/>
    </xf>
    <xf numFmtId="229" fontId="70"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69" fillId="76"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229"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0" fontId="9" fillId="0" borderId="0" applyNumberFormat="0" applyFont="0" applyFill="0" applyBorder="0" applyAlignment="0" applyProtection="0"/>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69" fillId="76"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2"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69" fillId="76" borderId="20">
      <alignment vertical="center"/>
      <protection locked="0"/>
    </xf>
    <xf numFmtId="0" fontId="9" fillId="0" borderId="0" applyNumberFormat="0" applyFont="0" applyFill="0" applyBorder="0" applyAlignment="0" applyProtection="0"/>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65"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6" borderId="20">
      <alignment vertical="center"/>
      <protection locked="0"/>
    </xf>
    <xf numFmtId="304" fontId="70"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76" borderId="20">
      <alignment vertical="center"/>
      <protection locked="0"/>
    </xf>
    <xf numFmtId="304" fontId="70"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70" fillId="65"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0" fontId="9" fillId="0" borderId="0" applyNumberFormat="0" applyFont="0" applyFill="0" applyBorder="0" applyAlignment="0" applyProtection="0"/>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65" borderId="20">
      <alignment vertical="center"/>
      <protection locked="0"/>
    </xf>
    <xf numFmtId="304" fontId="70" fillId="65"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69" fillId="76"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4" fontId="70" fillId="65" borderId="20">
      <alignment vertical="center"/>
      <protection locked="0"/>
    </xf>
    <xf numFmtId="30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76" borderId="20">
      <alignment vertical="center"/>
      <protection locked="0"/>
    </xf>
    <xf numFmtId="312" fontId="70"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70" fillId="76" borderId="20">
      <alignment vertical="center"/>
      <protection locked="0"/>
    </xf>
    <xf numFmtId="302" fontId="70" fillId="76" borderId="20">
      <alignment vertical="center"/>
      <protection locked="0"/>
    </xf>
    <xf numFmtId="302" fontId="70"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02" fontId="69" fillId="76"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12" fontId="70" fillId="65" borderId="20">
      <alignment vertical="center"/>
      <protection locked="0"/>
    </xf>
    <xf numFmtId="302" fontId="70" fillId="65" borderId="20">
      <alignment vertical="center"/>
      <protection locked="0"/>
    </xf>
    <xf numFmtId="302" fontId="70" fillId="65" borderId="20">
      <alignment vertical="center"/>
      <protection locked="0"/>
    </xf>
    <xf numFmtId="313"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13"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5" fontId="69" fillId="77"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69" fillId="77" borderId="20">
      <alignment vertical="center"/>
    </xf>
    <xf numFmtId="0" fontId="9" fillId="0" borderId="0" applyNumberFormat="0" applyFont="0" applyFill="0" applyBorder="0" applyAlignment="0" applyProtection="0"/>
    <xf numFmtId="305" fontId="69" fillId="77"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5" fontId="70" fillId="78" borderId="20">
      <alignment vertical="center"/>
    </xf>
    <xf numFmtId="305" fontId="69" fillId="77"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5" fontId="70" fillId="77" borderId="20">
      <alignment vertical="center"/>
    </xf>
    <xf numFmtId="305" fontId="70" fillId="77" borderId="20">
      <alignment vertical="center"/>
    </xf>
    <xf numFmtId="305" fontId="69" fillId="77"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7" borderId="20">
      <alignment vertical="center"/>
    </xf>
    <xf numFmtId="305" fontId="70" fillId="77" borderId="20">
      <alignment vertical="center"/>
    </xf>
    <xf numFmtId="305" fontId="69" fillId="77" borderId="20">
      <alignment vertical="center"/>
    </xf>
    <xf numFmtId="305" fontId="69" fillId="77" borderId="20">
      <alignment vertical="center"/>
    </xf>
    <xf numFmtId="305" fontId="69" fillId="77" borderId="20">
      <alignment vertical="center"/>
    </xf>
    <xf numFmtId="305" fontId="69" fillId="77" borderId="20">
      <alignment vertical="center"/>
    </xf>
    <xf numFmtId="305" fontId="69" fillId="77" borderId="20">
      <alignment vertical="center"/>
    </xf>
    <xf numFmtId="305" fontId="69" fillId="77" borderId="20">
      <alignment vertical="center"/>
    </xf>
    <xf numFmtId="305" fontId="69" fillId="77" borderId="20">
      <alignment vertical="center"/>
    </xf>
    <xf numFmtId="305" fontId="69" fillId="77" borderId="20">
      <alignment vertical="center"/>
    </xf>
    <xf numFmtId="305" fontId="70" fillId="78" borderId="20">
      <alignment vertical="center"/>
    </xf>
    <xf numFmtId="305" fontId="69" fillId="77" borderId="20">
      <alignment vertical="center"/>
    </xf>
    <xf numFmtId="305" fontId="69" fillId="77" borderId="20">
      <alignment vertical="center"/>
    </xf>
    <xf numFmtId="305" fontId="69" fillId="77" borderId="20">
      <alignment vertical="center"/>
    </xf>
    <xf numFmtId="305" fontId="69" fillId="77" borderId="20">
      <alignment vertical="center"/>
    </xf>
    <xf numFmtId="305" fontId="69" fillId="77"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69" fillId="77"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0" fontId="9" fillId="0" borderId="0" applyNumberFormat="0" applyFont="0" applyFill="0" applyBorder="0" applyAlignment="0" applyProtection="0"/>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69" fillId="77"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5" fontId="70" fillId="78" borderId="20">
      <alignment vertical="center"/>
    </xf>
    <xf numFmtId="305" fontId="70" fillId="78" borderId="20">
      <alignment vertical="center"/>
    </xf>
    <xf numFmtId="305" fontId="69" fillId="77"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69" fillId="77"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05" fontId="70" fillId="78" borderId="20">
      <alignment vertical="center"/>
    </xf>
    <xf numFmtId="312"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7" borderId="20">
      <alignment vertical="center"/>
    </xf>
    <xf numFmtId="304" fontId="70" fillId="77" borderId="20">
      <alignment vertical="center"/>
    </xf>
    <xf numFmtId="304" fontId="70" fillId="77" borderId="20">
      <alignment vertical="center"/>
    </xf>
    <xf numFmtId="304" fontId="70"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69" fillId="77" borderId="20">
      <alignment vertical="center"/>
    </xf>
    <xf numFmtId="0" fontId="9" fillId="0" borderId="0" applyNumberFormat="0" applyFont="0" applyFill="0" applyBorder="0" applyAlignment="0" applyProtection="0"/>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8"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7" borderId="20">
      <alignment vertical="center"/>
    </xf>
    <xf numFmtId="304" fontId="70"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7" borderId="20">
      <alignment vertical="center"/>
    </xf>
    <xf numFmtId="304" fontId="70"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70" fillId="78"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8" borderId="20">
      <alignment vertical="center"/>
    </xf>
    <xf numFmtId="304" fontId="70" fillId="78"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4" fontId="70" fillId="77" borderId="20">
      <alignment vertical="center"/>
    </xf>
    <xf numFmtId="304" fontId="70" fillId="77" borderId="20">
      <alignment vertical="center"/>
    </xf>
    <xf numFmtId="304" fontId="70"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4" fontId="70" fillId="78" borderId="20">
      <alignment vertical="center"/>
    </xf>
    <xf numFmtId="304"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7" borderId="20">
      <alignment vertical="center"/>
    </xf>
    <xf numFmtId="304"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4" fontId="70" fillId="77" borderId="20">
      <alignment vertical="center"/>
    </xf>
    <xf numFmtId="304" fontId="70"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12" fontId="70" fillId="78"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7" borderId="20">
      <alignment vertical="center"/>
    </xf>
    <xf numFmtId="304" fontId="70"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7" borderId="20">
      <alignment vertical="center"/>
    </xf>
    <xf numFmtId="304" fontId="70"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70" fillId="78"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69" fillId="77"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69" fillId="77" borderId="20">
      <alignment vertical="center"/>
    </xf>
    <xf numFmtId="0" fontId="9" fillId="0" borderId="0" applyNumberFormat="0" applyFont="0" applyFill="0" applyBorder="0" applyAlignment="0" applyProtection="0"/>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8"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7" borderId="20">
      <alignment vertical="center"/>
    </xf>
    <xf numFmtId="303" fontId="70" fillId="77"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7" borderId="20">
      <alignment vertical="center"/>
    </xf>
    <xf numFmtId="303" fontId="70"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70" fillId="78"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0" fontId="9" fillId="0" borderId="0" applyNumberFormat="0" applyFont="0" applyFill="0" applyBorder="0" applyAlignment="0" applyProtection="0"/>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8" borderId="20">
      <alignment vertical="center"/>
    </xf>
    <xf numFmtId="303" fontId="70" fillId="78"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7" borderId="20">
      <alignment vertical="center"/>
    </xf>
    <xf numFmtId="303" fontId="70" fillId="77" borderId="20">
      <alignment vertical="center"/>
    </xf>
    <xf numFmtId="303" fontId="70" fillId="77" borderId="20">
      <alignment vertical="center"/>
    </xf>
    <xf numFmtId="303" fontId="70" fillId="77" borderId="20">
      <alignment vertical="center"/>
    </xf>
    <xf numFmtId="303" fontId="69" fillId="77" borderId="20">
      <alignment vertical="center"/>
    </xf>
    <xf numFmtId="303" fontId="69" fillId="77" borderId="20">
      <alignment vertical="center"/>
    </xf>
    <xf numFmtId="303"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7" borderId="20">
      <alignment vertical="center"/>
    </xf>
    <xf numFmtId="304" fontId="70"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7" borderId="20">
      <alignment vertical="center"/>
    </xf>
    <xf numFmtId="304" fontId="70"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70" fillId="78"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3" fontId="70" fillId="77" borderId="20">
      <alignment vertical="center"/>
    </xf>
    <xf numFmtId="303" fontId="70" fillId="77" borderId="20">
      <alignment vertical="center"/>
    </xf>
    <xf numFmtId="303" fontId="70"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3" fontId="70" fillId="78"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7" borderId="20">
      <alignment vertical="center"/>
    </xf>
    <xf numFmtId="303" fontId="70"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3" fontId="70" fillId="77" borderId="20">
      <alignment vertical="center"/>
    </xf>
    <xf numFmtId="303" fontId="70"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4" fontId="70" fillId="78"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7" borderId="20">
      <alignment vertical="center"/>
    </xf>
    <xf numFmtId="303" fontId="70" fillId="77"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7" borderId="20">
      <alignment vertical="center"/>
    </xf>
    <xf numFmtId="303" fontId="70"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70" fillId="78"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69" fillId="77"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3" fontId="70" fillId="78"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12" fontId="70" fillId="77" borderId="20">
      <alignment vertical="center"/>
    </xf>
    <xf numFmtId="31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7" borderId="20">
      <alignment vertical="center"/>
    </xf>
    <xf numFmtId="312" fontId="70"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2" fontId="70" fillId="78"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1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1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1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3"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69" fillId="77" borderId="20">
      <alignment vertical="center"/>
    </xf>
    <xf numFmtId="313" fontId="69" fillId="77" borderId="20">
      <alignment vertical="center"/>
    </xf>
    <xf numFmtId="313" fontId="69" fillId="77" borderId="20">
      <alignment vertical="center"/>
    </xf>
    <xf numFmtId="302" fontId="70" fillId="78"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70" fillId="78"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70" fillId="78"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77" borderId="20">
      <alignment vertical="center"/>
    </xf>
    <xf numFmtId="0" fontId="70"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7" borderId="20">
      <alignment vertical="center"/>
    </xf>
    <xf numFmtId="0" fontId="70"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69" fillId="77"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0"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0" fontId="9" fillId="0" borderId="0" applyNumberFormat="0" applyFont="0" applyFill="0" applyBorder="0" applyAlignment="0" applyProtection="0"/>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7" borderId="20">
      <alignment vertical="center"/>
    </xf>
    <xf numFmtId="304" fontId="70"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7" borderId="20">
      <alignment vertical="center"/>
    </xf>
    <xf numFmtId="304" fontId="70"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70" fillId="78"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4"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4" fontId="69" fillId="77"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4"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7" borderId="20">
      <alignment vertical="center"/>
    </xf>
    <xf numFmtId="302" fontId="70"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7" borderId="20">
      <alignment vertical="center"/>
    </xf>
    <xf numFmtId="302" fontId="70"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69" fillId="77"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8" borderId="20">
      <alignment vertical="center"/>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0" fontId="9" fillId="0" borderId="0" applyNumberFormat="0" applyFont="0" applyFill="0" applyBorder="0" applyAlignment="0" applyProtection="0"/>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9"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9"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80"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5" fontId="70" fillId="80" borderId="20">
      <alignment horizontal="right" vertical="center"/>
      <protection locked="0"/>
    </xf>
    <xf numFmtId="305" fontId="70" fillId="80"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80" borderId="20">
      <alignment horizontal="right" vertical="center"/>
      <protection locked="0"/>
    </xf>
    <xf numFmtId="305" fontId="70"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80" borderId="20">
      <alignment horizontal="right" vertical="center"/>
      <protection locked="0"/>
    </xf>
    <xf numFmtId="304" fontId="70" fillId="80"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5" fontId="70" fillId="79"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5" fontId="69" fillId="80"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305" fontId="70" fillId="79" borderId="20">
      <alignment horizontal="right" vertical="center"/>
      <protection locked="0"/>
    </xf>
    <xf numFmtId="0"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0" fontId="9" fillId="0" borderId="0" applyNumberFormat="0" applyFont="0" applyFill="0" applyBorder="0" applyAlignment="0" applyProtection="0"/>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9"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0" fontId="9" fillId="0" borderId="0" applyNumberFormat="0" applyFont="0" applyFill="0" applyBorder="0" applyAlignment="0" applyProtection="0"/>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9"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80" borderId="20">
      <alignment horizontal="right" vertical="center"/>
      <protection locked="0"/>
    </xf>
    <xf numFmtId="303" fontId="70"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4" fontId="70" fillId="79"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80" borderId="20">
      <alignment horizontal="right" vertical="center"/>
      <protection locked="0"/>
    </xf>
    <xf numFmtId="0" fontId="70"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80" borderId="20">
      <alignment horizontal="right" vertical="center"/>
      <protection locked="0"/>
    </xf>
    <xf numFmtId="303" fontId="70" fillId="80"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0" fontId="70" fillId="79"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80" borderId="20">
      <alignment horizontal="right" vertical="center"/>
      <protection locked="0"/>
    </xf>
    <xf numFmtId="303" fontId="70"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69" fillId="80"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303" fontId="70" fillId="79" borderId="20">
      <alignment horizontal="right" vertical="center"/>
      <protection locked="0"/>
    </xf>
    <xf numFmtId="0" fontId="69" fillId="80"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0" fontId="70" fillId="79" borderId="20">
      <alignment horizontal="right" vertical="center"/>
      <protection locked="0"/>
    </xf>
    <xf numFmtId="303"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0" fontId="9" fillId="0" borderId="0" applyNumberFormat="0" applyFont="0" applyFill="0" applyBorder="0" applyAlignment="0" applyProtection="0"/>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80" borderId="20">
      <alignment horizontal="right" vertical="center"/>
      <protection locked="0"/>
    </xf>
    <xf numFmtId="304" fontId="70"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4"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4" fontId="69" fillId="80"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80" borderId="20">
      <alignment horizontal="right" vertical="center"/>
      <protection locked="0"/>
    </xf>
    <xf numFmtId="302" fontId="70"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69" fillId="80"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02" fontId="70" fillId="79" borderId="20">
      <alignment horizontal="right" vertical="center"/>
      <protection locked="0"/>
    </xf>
    <xf numFmtId="311" fontId="70" fillId="0" borderId="0">
      <protection locked="0"/>
    </xf>
    <xf numFmtId="314" fontId="9" fillId="0" borderId="0" applyFont="0" applyFill="0" applyBorder="0" applyAlignment="0" applyProtection="0"/>
    <xf numFmtId="315" fontId="161" fillId="0" borderId="0"/>
    <xf numFmtId="181" fontId="162" fillId="0" borderId="0"/>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protection locked="0"/>
    </xf>
    <xf numFmtId="166" fontId="162" fillId="0" borderId="35">
      <alignment horizontal="centerContinuous"/>
    </xf>
    <xf numFmtId="166" fontId="162" fillId="0" borderId="35">
      <alignment horizontal="centerContinuous"/>
    </xf>
    <xf numFmtId="166" fontId="162" fillId="0" borderId="35">
      <alignment horizontal="centerContinuous"/>
    </xf>
    <xf numFmtId="181" fontId="162" fillId="0" borderId="0"/>
    <xf numFmtId="166" fontId="162" fillId="0" borderId="35">
      <protection locked="0"/>
    </xf>
    <xf numFmtId="166" fontId="162" fillId="0" borderId="35">
      <protection locked="0"/>
    </xf>
    <xf numFmtId="166" fontId="162" fillId="0" borderId="35">
      <protection locked="0"/>
    </xf>
    <xf numFmtId="181" fontId="162" fillId="0" borderId="0"/>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protection locked="0"/>
    </xf>
    <xf numFmtId="166" fontId="162" fillId="0" borderId="35">
      <protection locked="0"/>
    </xf>
    <xf numFmtId="166" fontId="162" fillId="0" borderId="35">
      <alignment horizontal="centerContinuous"/>
    </xf>
    <xf numFmtId="166" fontId="162" fillId="0" borderId="35">
      <alignment horizontal="centerContinuous"/>
    </xf>
    <xf numFmtId="166" fontId="162" fillId="0" borderId="35">
      <alignment horizontal="centerContinuous"/>
    </xf>
    <xf numFmtId="181" fontId="162" fillId="0" borderId="0"/>
    <xf numFmtId="166" fontId="162" fillId="0" borderId="35">
      <protection locked="0"/>
    </xf>
    <xf numFmtId="166" fontId="162" fillId="0" borderId="35">
      <protection locked="0"/>
    </xf>
    <xf numFmtId="166" fontId="162" fillId="0" borderId="35">
      <protection locked="0"/>
    </xf>
    <xf numFmtId="181" fontId="162" fillId="0" borderId="0"/>
    <xf numFmtId="166" fontId="162" fillId="0" borderId="35">
      <protection locked="0"/>
    </xf>
    <xf numFmtId="166" fontId="162" fillId="0" borderId="35">
      <protection locked="0"/>
    </xf>
    <xf numFmtId="166" fontId="162" fillId="0" borderId="35">
      <protection locked="0"/>
    </xf>
    <xf numFmtId="166" fontId="162" fillId="0" borderId="35">
      <alignment horizontal="centerContinuous"/>
    </xf>
    <xf numFmtId="166" fontId="162" fillId="0" borderId="35">
      <alignment horizontal="centerContinuous"/>
    </xf>
    <xf numFmtId="166" fontId="162" fillId="0" borderId="35">
      <alignment horizontal="centerContinuous"/>
    </xf>
    <xf numFmtId="181" fontId="162" fillId="0" borderId="0"/>
    <xf numFmtId="166" fontId="162" fillId="0" borderId="35">
      <protection locked="0"/>
    </xf>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protection locked="0"/>
    </xf>
    <xf numFmtId="166" fontId="162" fillId="0" borderId="35">
      <protection locked="0"/>
    </xf>
    <xf numFmtId="166" fontId="162" fillId="0" borderId="35">
      <alignment horizontal="centerContinuous"/>
    </xf>
    <xf numFmtId="166" fontId="162" fillId="0" borderId="35">
      <alignment horizontal="centerContinuous"/>
    </xf>
    <xf numFmtId="166" fontId="162" fillId="0" borderId="35">
      <alignment horizontal="centerContinuous"/>
    </xf>
    <xf numFmtId="181" fontId="162" fillId="0" borderId="0"/>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protection locked="0"/>
    </xf>
    <xf numFmtId="166" fontId="162" fillId="0" borderId="35">
      <protection locked="0"/>
    </xf>
    <xf numFmtId="166" fontId="162" fillId="0" borderId="35">
      <protection locked="0"/>
    </xf>
    <xf numFmtId="181" fontId="162" fillId="0" borderId="0"/>
    <xf numFmtId="166" fontId="162" fillId="0" borderId="0"/>
    <xf numFmtId="181" fontId="162" fillId="0" borderId="0"/>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protection locked="0"/>
    </xf>
    <xf numFmtId="181" fontId="162" fillId="0" borderId="0"/>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protection locked="0"/>
    </xf>
    <xf numFmtId="166" fontId="162" fillId="0" borderId="35">
      <protection locked="0"/>
    </xf>
    <xf numFmtId="166" fontId="162" fillId="0" borderId="35">
      <protection locked="0"/>
    </xf>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protection locked="0"/>
    </xf>
    <xf numFmtId="166" fontId="162" fillId="0" borderId="35">
      <protection locked="0"/>
    </xf>
    <xf numFmtId="166" fontId="162" fillId="0" borderId="35">
      <protection locked="0"/>
    </xf>
    <xf numFmtId="166" fontId="162" fillId="0" borderId="35">
      <protection locked="0"/>
    </xf>
    <xf numFmtId="166" fontId="162" fillId="0" borderId="35">
      <protection locked="0"/>
    </xf>
    <xf numFmtId="166" fontId="162" fillId="0" borderId="35">
      <protection locked="0"/>
    </xf>
    <xf numFmtId="181" fontId="162" fillId="0" borderId="0"/>
    <xf numFmtId="166" fontId="162" fillId="0" borderId="35">
      <protection locked="0"/>
    </xf>
    <xf numFmtId="166" fontId="162" fillId="0" borderId="35">
      <protection locked="0"/>
    </xf>
    <xf numFmtId="166" fontId="162" fillId="0" borderId="35">
      <protection locked="0"/>
    </xf>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protection locked="0"/>
    </xf>
    <xf numFmtId="166" fontId="162" fillId="0" borderId="35">
      <protection locked="0"/>
    </xf>
    <xf numFmtId="166" fontId="162" fillId="0" borderId="35">
      <protection locked="0"/>
    </xf>
    <xf numFmtId="166" fontId="162" fillId="0" borderId="35">
      <protection locked="0"/>
    </xf>
    <xf numFmtId="166" fontId="162" fillId="0" borderId="35">
      <protection locked="0"/>
    </xf>
    <xf numFmtId="181" fontId="162" fillId="0" borderId="0"/>
    <xf numFmtId="166" fontId="162" fillId="0" borderId="35">
      <alignment horizontal="centerContinuous"/>
    </xf>
    <xf numFmtId="166" fontId="162" fillId="0" borderId="35">
      <alignment horizontal="centerContinuous"/>
    </xf>
    <xf numFmtId="166" fontId="162" fillId="0" borderId="35">
      <alignment horizontal="centerContinuous"/>
    </xf>
    <xf numFmtId="166" fontId="162" fillId="0" borderId="35">
      <alignment horizontal="centerContinuous"/>
    </xf>
    <xf numFmtId="181" fontId="162" fillId="0" borderId="0"/>
    <xf numFmtId="166" fontId="162" fillId="0" borderId="35">
      <alignment horizontal="centerContinuous"/>
    </xf>
    <xf numFmtId="166" fontId="162" fillId="0" borderId="35">
      <alignment horizontal="centerContinuous"/>
    </xf>
    <xf numFmtId="166" fontId="162" fillId="0" borderId="35">
      <alignment horizontal="centerContinuous"/>
    </xf>
    <xf numFmtId="181" fontId="162" fillId="0" borderId="0"/>
    <xf numFmtId="166" fontId="162" fillId="0" borderId="35">
      <alignment horizontal="centerContinuous"/>
    </xf>
    <xf numFmtId="166" fontId="162" fillId="0" borderId="35">
      <alignment horizontal="centerContinuous"/>
    </xf>
    <xf numFmtId="166" fontId="162" fillId="0" borderId="35">
      <alignment horizontal="centerContinuous"/>
    </xf>
    <xf numFmtId="181" fontId="162" fillId="0" borderId="0"/>
    <xf numFmtId="166" fontId="162" fillId="0" borderId="35">
      <alignment horizontal="centerContinuous"/>
    </xf>
    <xf numFmtId="166" fontId="162" fillId="0" borderId="35">
      <alignment horizontal="centerContinuous"/>
    </xf>
    <xf numFmtId="166" fontId="162" fillId="0" borderId="35">
      <protection locked="0"/>
    </xf>
    <xf numFmtId="166" fontId="162" fillId="0" borderId="35">
      <alignment horizontal="centerContinuous"/>
    </xf>
    <xf numFmtId="166" fontId="162" fillId="0" borderId="35">
      <alignment horizontal="centerContinuous"/>
    </xf>
    <xf numFmtId="166" fontId="162" fillId="0" borderId="35">
      <alignment horizontal="centerContinuous"/>
    </xf>
    <xf numFmtId="181" fontId="162" fillId="0" borderId="0"/>
    <xf numFmtId="166" fontId="162" fillId="0" borderId="35">
      <protection locked="0"/>
    </xf>
    <xf numFmtId="166" fontId="162" fillId="0" borderId="35">
      <protection locked="0"/>
    </xf>
    <xf numFmtId="166" fontId="163" fillId="0" borderId="36">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64"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57" fillId="61" borderId="37" applyNumberFormat="0" applyProtection="0">
      <alignment vertical="center"/>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4" fontId="164" fillId="61" borderId="37" applyNumberFormat="0" applyProtection="0">
      <alignment horizontal="left" vertical="center"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0" fontId="164" fillId="61" borderId="37" applyNumberFormat="0" applyProtection="0">
      <alignment horizontal="left" vertical="top" indent="1"/>
    </xf>
    <xf numFmtId="4" fontId="164" fillId="5" borderId="0" applyNumberFormat="0" applyProtection="0">
      <alignment horizontal="left" vertical="center" indent="1"/>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8"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7"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38"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0"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24"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4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17"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81"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32" fillId="18" borderId="37" applyNumberFormat="0" applyProtection="0">
      <alignment horizontal="right" vertical="center"/>
    </xf>
    <xf numFmtId="4" fontId="164" fillId="82" borderId="38" applyNumberFormat="0" applyProtection="0">
      <alignment horizontal="left" vertical="center" indent="1"/>
    </xf>
    <xf numFmtId="4" fontId="32" fillId="83" borderId="0" applyNumberFormat="0" applyProtection="0">
      <alignment horizontal="left" vertical="center" indent="1"/>
    </xf>
    <xf numFmtId="4" fontId="84" fillId="16" borderId="0" applyNumberFormat="0" applyProtection="0">
      <alignment horizontal="left" vertical="center" indent="1"/>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5" borderId="37" applyNumberFormat="0" applyProtection="0">
      <alignment horizontal="right" vertical="center"/>
    </xf>
    <xf numFmtId="4" fontId="32" fillId="83" borderId="0" applyNumberFormat="0" applyProtection="0">
      <alignment horizontal="left" vertical="center" indent="1"/>
    </xf>
    <xf numFmtId="4" fontId="32" fillId="83" borderId="0" applyNumberFormat="0" applyProtection="0">
      <alignment horizontal="left" vertical="center" indent="1"/>
    </xf>
    <xf numFmtId="4" fontId="25" fillId="83" borderId="39" applyNumberFormat="0" applyProtection="0">
      <alignment horizontal="left" vertical="center" indent="1"/>
    </xf>
    <xf numFmtId="4" fontId="32" fillId="5" borderId="0" applyNumberFormat="0" applyProtection="0">
      <alignment horizontal="left" vertical="center" indent="1"/>
    </xf>
    <xf numFmtId="4" fontId="32" fillId="5" borderId="0" applyNumberFormat="0" applyProtection="0">
      <alignment horizontal="left" vertical="center" indent="1"/>
    </xf>
    <xf numFmtId="4" fontId="25" fillId="5" borderId="39"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9" fillId="16" borderId="37" applyNumberFormat="0" applyProtection="0">
      <alignment horizontal="left" vertical="center" indent="1"/>
    </xf>
    <xf numFmtId="0" fontId="25" fillId="19" borderId="40" applyNumberFormat="0" applyProtection="0">
      <alignment horizontal="left" vertical="center"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9" fillId="16" borderId="37" applyNumberFormat="0" applyProtection="0">
      <alignment horizontal="left" vertical="top" indent="1"/>
    </xf>
    <xf numFmtId="0" fontId="25" fillId="16" borderId="37" applyNumberFormat="0" applyProtection="0">
      <alignment horizontal="left" vertical="top"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9" fillId="5" borderId="37" applyNumberFormat="0" applyProtection="0">
      <alignment horizontal="left" vertical="center" indent="1"/>
    </xf>
    <xf numFmtId="0" fontId="25" fillId="84" borderId="40" applyNumberFormat="0" applyProtection="0">
      <alignment horizontal="left" vertical="center"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9" fillId="5" borderId="37" applyNumberFormat="0" applyProtection="0">
      <alignment horizontal="left" vertical="top" indent="1"/>
    </xf>
    <xf numFmtId="0" fontId="25" fillId="5" borderId="37" applyNumberFormat="0" applyProtection="0">
      <alignment horizontal="left" vertical="top"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9" fillId="13" borderId="37" applyNumberFormat="0" applyProtection="0">
      <alignment horizontal="left" vertical="center" indent="1"/>
    </xf>
    <xf numFmtId="0" fontId="25" fillId="13" borderId="40" applyNumberFormat="0" applyProtection="0">
      <alignment horizontal="left" vertical="center"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9" fillId="13" borderId="37" applyNumberFormat="0" applyProtection="0">
      <alignment horizontal="left" vertical="top" indent="1"/>
    </xf>
    <xf numFmtId="0" fontId="25" fillId="13" borderId="37" applyNumberFormat="0" applyProtection="0">
      <alignment horizontal="left" vertical="top"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9" fillId="83" borderId="37" applyNumberFormat="0" applyProtection="0">
      <alignment horizontal="left" vertical="center" indent="1"/>
    </xf>
    <xf numFmtId="0" fontId="25" fillId="83" borderId="40" applyNumberFormat="0" applyProtection="0">
      <alignment horizontal="left" vertical="center"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9" fillId="83" borderId="37" applyNumberFormat="0" applyProtection="0">
      <alignment horizontal="left" vertical="top" indent="1"/>
    </xf>
    <xf numFmtId="0" fontId="25" fillId="83" borderId="37" applyNumberFormat="0" applyProtection="0">
      <alignment horizontal="left" vertical="top" indent="1"/>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9" fillId="11" borderId="20" applyNumberFormat="0">
      <protection locked="0"/>
    </xf>
    <xf numFmtId="0" fontId="25" fillId="11" borderId="41" applyNumberFormat="0">
      <protection locked="0"/>
    </xf>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0" fontId="67" fillId="16" borderId="42" applyBorder="0"/>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32"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154" fillId="9" borderId="37" applyNumberFormat="0" applyProtection="0">
      <alignment vertical="center"/>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4" fontId="32" fillId="9" borderId="37" applyNumberFormat="0" applyProtection="0">
      <alignment horizontal="left" vertical="center"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0" fontId="32" fillId="9" borderId="37" applyNumberFormat="0" applyProtection="0">
      <alignment horizontal="left" vertical="top" indent="1"/>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32"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154" fillId="83" borderId="37" applyNumberFormat="0" applyProtection="0">
      <alignment horizontal="right" vertical="center"/>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4" fontId="32" fillId="5" borderId="37" applyNumberFormat="0" applyProtection="0">
      <alignment horizontal="left" vertical="center"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0" fontId="32" fillId="5" borderId="37" applyNumberFormat="0" applyProtection="0">
      <alignment horizontal="left" vertical="top" indent="1"/>
    </xf>
    <xf numFmtId="4" fontId="165" fillId="85" borderId="0" applyNumberFormat="0" applyProtection="0">
      <alignment horizontal="left" vertical="center" indent="1"/>
    </xf>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0" fontId="25" fillId="86" borderId="20"/>
    <xf numFmtId="166" fontId="25" fillId="86" borderId="20"/>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4" fontId="166" fillId="83" borderId="37" applyNumberFormat="0" applyProtection="0">
      <alignment horizontal="right" vertical="center"/>
    </xf>
    <xf numFmtId="38" fontId="167" fillId="0" borderId="43">
      <alignment horizontal="center"/>
    </xf>
    <xf numFmtId="166" fontId="168" fillId="87" borderId="0"/>
    <xf numFmtId="166" fontId="54" fillId="0" borderId="0"/>
    <xf numFmtId="38" fontId="20" fillId="0" borderId="0" applyFont="0" applyFill="0" applyBorder="0" applyAlignment="0" applyProtection="0"/>
    <xf numFmtId="40" fontId="169" fillId="0" borderId="0" applyFont="0" applyFill="0" applyBorder="0" applyAlignment="0" applyProtection="0"/>
    <xf numFmtId="290" fontId="27" fillId="88" borderId="0" applyFont="0"/>
    <xf numFmtId="166" fontId="170" fillId="0" borderId="0"/>
    <xf numFmtId="0" fontId="171" fillId="0" borderId="0" applyNumberFormat="0" applyFill="0" applyBorder="0" applyAlignment="0" applyProtection="0"/>
    <xf numFmtId="1" fontId="9" fillId="0" borderId="0"/>
    <xf numFmtId="166" fontId="20" fillId="0" borderId="0">
      <alignment textRotation="90"/>
    </xf>
    <xf numFmtId="178" fontId="31" fillId="0" borderId="0">
      <alignment vertical="center"/>
    </xf>
    <xf numFmtId="314" fontId="9" fillId="0" borderId="0" applyFont="0" applyFill="0" applyBorder="0" applyProtection="0">
      <alignment horizontal="right" vertical="center"/>
      <protection locked="0"/>
    </xf>
    <xf numFmtId="316" fontId="9" fillId="0" borderId="0" applyFont="0" applyFill="0" applyBorder="0">
      <alignment vertical="center"/>
    </xf>
    <xf numFmtId="0" fontId="9" fillId="89" borderId="0"/>
    <xf numFmtId="260" fontId="172" fillId="0" borderId="6"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xf numFmtId="166" fontId="9" fillId="0" borderId="0" applyFont="0" applyFill="0" applyBorder="0" applyAlignment="0" applyProtection="0"/>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38" fontId="9" fillId="0" borderId="0" applyFont="0" applyFill="0" applyBorder="0" applyAlignment="0" applyProtection="0"/>
    <xf numFmtId="166" fontId="9" fillId="0" borderId="0">
      <alignment vertical="top"/>
    </xf>
    <xf numFmtId="166" fontId="174" fillId="53" borderId="0" applyNumberFormat="0" applyProtection="0">
      <alignment horizontal="center" vertical="center"/>
    </xf>
    <xf numFmtId="4" fontId="32" fillId="53" borderId="0" applyProtection="0">
      <alignment horizontal="center" vertical="center"/>
    </xf>
    <xf numFmtId="166" fontId="175" fillId="53" borderId="0" applyNumberFormat="0" applyProtection="0">
      <alignment horizontal="center" vertical="center"/>
    </xf>
    <xf numFmtId="4" fontId="154" fillId="53" borderId="0" applyProtection="0">
      <alignment horizontal="center" vertical="center"/>
    </xf>
    <xf numFmtId="166" fontId="176" fillId="90" borderId="0" applyNumberFormat="0" applyProtection="0">
      <alignment horizontal="center" vertical="center"/>
    </xf>
    <xf numFmtId="4" fontId="166" fillId="90" borderId="0" applyProtection="0">
      <alignment horizontal="center" vertical="center"/>
    </xf>
    <xf numFmtId="166" fontId="173" fillId="53" borderId="0" applyNumberFormat="0" applyProtection="0">
      <alignment horizontal="center" vertical="center"/>
    </xf>
    <xf numFmtId="4" fontId="177" fillId="53" borderId="0" applyProtection="0">
      <alignment horizontal="center" vertical="center"/>
    </xf>
    <xf numFmtId="166" fontId="178" fillId="91" borderId="0" applyNumberFormat="0" applyProtection="0">
      <alignment horizontal="center" vertical="center"/>
    </xf>
    <xf numFmtId="4" fontId="36" fillId="91" borderId="0" applyProtection="0">
      <alignment horizontal="center" vertical="center"/>
    </xf>
    <xf numFmtId="166" fontId="164" fillId="53" borderId="0" applyNumberFormat="0" applyProtection="0">
      <alignment horizontal="center" vertical="center" wrapText="1"/>
    </xf>
    <xf numFmtId="166" fontId="157" fillId="53" borderId="0" applyNumberFormat="0" applyProtection="0">
      <alignment horizontal="center" vertical="center" wrapText="1"/>
    </xf>
    <xf numFmtId="166" fontId="116" fillId="90" borderId="0" applyNumberFormat="0" applyProtection="0">
      <alignment horizontal="center" vertical="center" wrapText="1"/>
    </xf>
    <xf numFmtId="166" fontId="179" fillId="53" borderId="0" applyNumberFormat="0" applyProtection="0">
      <alignment horizontal="center" vertical="center" wrapText="1"/>
    </xf>
    <xf numFmtId="166" fontId="164" fillId="53" borderId="0" applyNumberFormat="0" applyProtection="0">
      <alignment horizontal="center" vertical="center" wrapText="1"/>
    </xf>
    <xf numFmtId="4" fontId="180" fillId="53" borderId="0" applyProtection="0">
      <alignment horizontal="center" vertical="top" wrapText="1"/>
    </xf>
    <xf numFmtId="166" fontId="157" fillId="53" borderId="0" applyNumberFormat="0" applyProtection="0">
      <alignment horizontal="center" vertical="center" wrapText="1"/>
    </xf>
    <xf numFmtId="4" fontId="181" fillId="53" borderId="0" applyProtection="0">
      <alignment horizontal="center" vertical="top" wrapText="1"/>
    </xf>
    <xf numFmtId="166" fontId="116" fillId="90" borderId="0" applyNumberFormat="0" applyProtection="0">
      <alignment horizontal="center" vertical="center" wrapText="1"/>
    </xf>
    <xf numFmtId="4" fontId="182" fillId="90" borderId="0" applyProtection="0">
      <alignment horizontal="center" vertical="top" wrapText="1"/>
    </xf>
    <xf numFmtId="166" fontId="179" fillId="53" borderId="0" applyNumberFormat="0" applyProtection="0">
      <alignment horizontal="center" vertical="center" wrapText="1"/>
    </xf>
    <xf numFmtId="4" fontId="183" fillId="53" borderId="0" applyProtection="0">
      <alignment horizontal="center" vertical="top" wrapText="1"/>
    </xf>
    <xf numFmtId="166" fontId="147" fillId="91" borderId="0" applyNumberFormat="0" applyProtection="0">
      <alignment horizontal="center" vertical="center" wrapText="1"/>
    </xf>
    <xf numFmtId="4" fontId="184" fillId="91" borderId="0" applyProtection="0">
      <alignment horizontal="center" vertical="top" wrapText="1"/>
    </xf>
    <xf numFmtId="166" fontId="164" fillId="48" borderId="0" applyNumberFormat="0" applyProtection="0">
      <alignment horizontal="center" vertical="center" wrapText="1"/>
    </xf>
    <xf numFmtId="4" fontId="180" fillId="48" borderId="0" applyProtection="0">
      <alignment horizontal="center" vertical="top" wrapText="1"/>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7" fontId="173" fillId="53" borderId="0" applyProtection="0">
      <alignment horizontal="center" vertical="center"/>
    </xf>
    <xf numFmtId="166" fontId="185" fillId="0" borderId="0"/>
    <xf numFmtId="166" fontId="186" fillId="49" borderId="0"/>
    <xf numFmtId="166" fontId="187" fillId="0" borderId="0">
      <alignment horizontal="left" vertical="center"/>
    </xf>
    <xf numFmtId="236" fontId="54" fillId="0" borderId="0"/>
    <xf numFmtId="166" fontId="83" fillId="0" borderId="0"/>
    <xf numFmtId="166" fontId="54" fillId="0" borderId="0">
      <alignment horizontal="center"/>
    </xf>
    <xf numFmtId="37" fontId="40" fillId="0" borderId="44" applyNumberFormat="0"/>
    <xf numFmtId="40" fontId="9" fillId="0" borderId="0" applyBorder="0">
      <alignment horizontal="right"/>
    </xf>
    <xf numFmtId="37" fontId="40" fillId="0" borderId="44" applyNumberFormat="0"/>
    <xf numFmtId="40" fontId="188" fillId="0" borderId="0" applyBorder="0">
      <alignment horizontal="right"/>
    </xf>
    <xf numFmtId="0" fontId="189" fillId="0" borderId="45" applyNumberFormat="0" applyAlignment="0" applyProtection="0"/>
    <xf numFmtId="166" fontId="190" fillId="0" borderId="0" applyBorder="0" applyProtection="0">
      <alignment vertical="center"/>
    </xf>
    <xf numFmtId="166" fontId="190" fillId="0" borderId="3" applyBorder="0" applyProtection="0">
      <alignment horizontal="right" vertical="center"/>
    </xf>
    <xf numFmtId="166" fontId="191" fillId="92" borderId="0" applyBorder="0" applyProtection="0">
      <alignment horizontal="centerContinuous" vertical="center"/>
    </xf>
    <xf numFmtId="166" fontId="191" fillId="91" borderId="3" applyBorder="0" applyProtection="0">
      <alignment horizontal="centerContinuous" vertical="center"/>
    </xf>
    <xf numFmtId="166" fontId="192" fillId="0" borderId="0"/>
    <xf numFmtId="166" fontId="138" fillId="0" borderId="0"/>
    <xf numFmtId="166" fontId="193" fillId="0" borderId="0" applyFill="0" applyBorder="0" applyProtection="0">
      <alignment horizontal="left"/>
    </xf>
    <xf numFmtId="166" fontId="92" fillId="0" borderId="2" applyFill="0" applyBorder="0" applyProtection="0">
      <alignment horizontal="left" vertical="top"/>
    </xf>
    <xf numFmtId="166" fontId="194" fillId="0" borderId="0">
      <alignment horizontal="centerContinuous"/>
    </xf>
    <xf numFmtId="49" fontId="195" fillId="0" borderId="0"/>
    <xf numFmtId="170" fontId="9" fillId="54" borderId="0" applyFont="0" applyFill="0" applyBorder="0" applyAlignment="0" applyProtection="0"/>
    <xf numFmtId="49" fontId="54" fillId="0" borderId="0" applyFont="0" applyFill="0" applyBorder="0" applyAlignment="0" applyProtection="0"/>
    <xf numFmtId="166" fontId="196" fillId="0" borderId="0"/>
    <xf numFmtId="166" fontId="197" fillId="0" borderId="0"/>
    <xf numFmtId="317" fontId="54" fillId="0" borderId="0" applyFont="0" applyFill="0" applyBorder="0" applyAlignment="0" applyProtection="0"/>
    <xf numFmtId="318" fontId="9" fillId="0" borderId="0" applyFont="0" applyFill="0" applyBorder="0" applyAlignment="0" applyProtection="0"/>
    <xf numFmtId="319" fontId="9" fillId="0" borderId="0" applyFont="0" applyFill="0" applyBorder="0" applyAlignment="0" applyProtection="0"/>
    <xf numFmtId="0" fontId="171"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198" fillId="0" borderId="0" applyNumberFormat="0" applyFill="0" applyBorder="0" applyAlignment="0" applyProtection="0"/>
    <xf numFmtId="166" fontId="199" fillId="65" borderId="0">
      <alignment horizontal="right"/>
    </xf>
    <xf numFmtId="0" fontId="9" fillId="4" borderId="0" applyNumberFormat="0" applyFont="0" applyBorder="0" applyAlignment="0"/>
    <xf numFmtId="222" fontId="143" fillId="0" borderId="0"/>
    <xf numFmtId="166" fontId="200" fillId="0" borderId="0"/>
    <xf numFmtId="320" fontId="201" fillId="0" borderId="0"/>
    <xf numFmtId="181" fontId="9" fillId="0" borderId="44" applyNumberFormat="0" applyFont="0" applyFill="0" applyAlignment="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0" fontId="9" fillId="0" borderId="0" applyNumberFormat="0" applyFont="0" applyFill="0" applyBorder="0" applyAlignment="0" applyProtection="0"/>
    <xf numFmtId="0" fontId="9" fillId="0" borderId="0" applyNumberFormat="0" applyFont="0" applyFill="0" applyBorder="0" applyAlignment="0" applyProtection="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9" fontId="40" fillId="0" borderId="14" applyFill="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199" fontId="40" fillId="0" borderId="14" applyFill="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37" fontId="40" fillId="0" borderId="48" applyNumberFormat="0" applyFill="0"/>
    <xf numFmtId="287" fontId="66" fillId="0" borderId="49" applyAlignment="0"/>
    <xf numFmtId="288" fontId="66" fillId="0" borderId="49" applyAlignment="0"/>
    <xf numFmtId="222" fontId="23" fillId="0" borderId="49"/>
    <xf numFmtId="179" fontId="9" fillId="0" borderId="0" applyFont="0" applyFill="0" applyBorder="0" applyAlignment="0" applyProtection="0"/>
    <xf numFmtId="164" fontId="9" fillId="0" borderId="0" applyFont="0" applyFill="0" applyBorder="0" applyAlignment="0" applyProtection="0"/>
    <xf numFmtId="321" fontId="9" fillId="0" borderId="0" applyFont="0" applyFill="0" applyBorder="0" applyAlignment="0" applyProtection="0"/>
    <xf numFmtId="322" fontId="26" fillId="0" borderId="0" applyFont="0" applyFill="0" applyBorder="0" applyAlignment="0" applyProtection="0">
      <alignment horizontal="right"/>
    </xf>
    <xf numFmtId="166" fontId="202" fillId="0" borderId="0">
      <alignment horizontal="fill"/>
    </xf>
    <xf numFmtId="37" fontId="25" fillId="54" borderId="0" applyNumberFormat="0" applyBorder="0" applyAlignment="0" applyProtection="0"/>
    <xf numFmtId="37" fontId="25" fillId="0" borderId="0"/>
    <xf numFmtId="37" fontId="25" fillId="4" borderId="0" applyNumberFormat="0" applyBorder="0" applyAlignment="0" applyProtection="0"/>
    <xf numFmtId="3" fontId="107" fillId="0" borderId="26" applyProtection="0"/>
    <xf numFmtId="4" fontId="23" fillId="0" borderId="0">
      <protection locked="0"/>
    </xf>
    <xf numFmtId="323" fontId="152" fillId="4" borderId="2" applyBorder="0">
      <alignment horizontal="right" vertical="center"/>
      <protection locked="0"/>
    </xf>
    <xf numFmtId="166" fontId="9" fillId="0" borderId="0">
      <alignment vertical="top"/>
    </xf>
    <xf numFmtId="166" fontId="203" fillId="0" borderId="0" applyFont="0" applyFill="0" applyBorder="0" applyAlignment="0" applyProtection="0"/>
    <xf numFmtId="227" fontId="96" fillId="0" borderId="0" applyFont="0" applyFill="0" applyBorder="0" applyAlignment="0" applyProtection="0"/>
    <xf numFmtId="324" fontId="96" fillId="0" borderId="0" applyFont="0" applyFill="0" applyBorder="0" applyAlignment="0" applyProtection="0"/>
    <xf numFmtId="325" fontId="96" fillId="0" borderId="0" applyFont="0" applyFill="0" applyBorder="0" applyAlignment="0" applyProtection="0"/>
    <xf numFmtId="326" fontId="9" fillId="0" borderId="0" applyFont="0" applyFill="0" applyBorder="0" applyAlignment="0" applyProtection="0"/>
    <xf numFmtId="327" fontId="9" fillId="0" borderId="0" applyFont="0" applyFill="0" applyBorder="0" applyAlignment="0" applyProtection="0"/>
    <xf numFmtId="193" fontId="25" fillId="0" borderId="0"/>
    <xf numFmtId="166" fontId="204" fillId="0" borderId="0"/>
    <xf numFmtId="328" fontId="9" fillId="0" borderId="0" applyFont="0" applyFill="0" applyBorder="0" applyAlignment="0" applyProtection="0"/>
    <xf numFmtId="329" fontId="9" fillId="0" borderId="0" applyFont="0" applyFill="0" applyBorder="0" applyAlignment="0" applyProtection="0"/>
    <xf numFmtId="238" fontId="20" fillId="0" borderId="0" applyFont="0" applyFill="0" applyBorder="0" applyAlignment="0" applyProtection="0"/>
    <xf numFmtId="168" fontId="20" fillId="0" borderId="0" applyFont="0" applyFill="0" applyBorder="0" applyAlignment="0" applyProtection="0"/>
    <xf numFmtId="166" fontId="9" fillId="0" borderId="0" applyFont="0" applyFill="0" applyBorder="0">
      <alignment horizontal="right" vertical="center" wrapText="1"/>
    </xf>
    <xf numFmtId="0" fontId="205"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205" fillId="0" borderId="0" applyNumberFormat="0" applyFill="0" applyBorder="0" applyAlignment="0" applyProtection="0"/>
    <xf numFmtId="166" fontId="9" fillId="0" borderId="0" applyNumberFormat="0" applyFont="0" applyFill="0" applyBorder="0" applyProtection="0">
      <alignment horizontal="center" vertical="center" wrapText="1"/>
    </xf>
    <xf numFmtId="269" fontId="10" fillId="0" borderId="0"/>
    <xf numFmtId="193" fontId="25" fillId="0" borderId="0"/>
    <xf numFmtId="1" fontId="206" fillId="0" borderId="0">
      <alignment horizontal="center"/>
    </xf>
    <xf numFmtId="1" fontId="207" fillId="0" borderId="0">
      <alignment horizontal="centerContinuous"/>
    </xf>
    <xf numFmtId="0" fontId="9" fillId="9" borderId="0" applyNumberFormat="0" applyFont="0" applyBorder="0" applyAlignment="0" applyProtection="0"/>
    <xf numFmtId="166" fontId="208" fillId="4" borderId="0" applyNumberFormat="0" applyFont="0" applyBorder="0" applyAlignment="0" applyProtection="0">
      <alignment horizontal="left"/>
    </xf>
    <xf numFmtId="166" fontId="209" fillId="0" borderId="0"/>
    <xf numFmtId="193" fontId="25" fillId="0" borderId="0"/>
    <xf numFmtId="330" fontId="210" fillId="0" borderId="0" applyFont="0" applyFill="0" applyBorder="0" applyAlignment="0" applyProtection="0"/>
    <xf numFmtId="331" fontId="210" fillId="0" borderId="0" applyFont="0" applyFill="0" applyBorder="0" applyAlignment="0" applyProtection="0"/>
    <xf numFmtId="4" fontId="211" fillId="78" borderId="0" applyBorder="0">
      <alignment horizontal="right"/>
    </xf>
    <xf numFmtId="0" fontId="69" fillId="0" borderId="0"/>
    <xf numFmtId="0" fontId="108" fillId="0" borderId="0" applyNumberFormat="0" applyFill="0" applyBorder="0" applyAlignment="0" applyProtection="0"/>
    <xf numFmtId="166" fontId="14" fillId="0" borderId="0"/>
    <xf numFmtId="166" fontId="70" fillId="0" borderId="0"/>
    <xf numFmtId="164" fontId="69" fillId="0" borderId="0" applyFont="0" applyFill="0" applyBorder="0" applyAlignment="0" applyProtection="0"/>
    <xf numFmtId="0" fontId="69" fillId="0" borderId="0"/>
    <xf numFmtId="166" fontId="70" fillId="0" borderId="0"/>
    <xf numFmtId="166" fontId="69" fillId="0" borderId="0"/>
    <xf numFmtId="0" fontId="8" fillId="0" borderId="0"/>
    <xf numFmtId="166" fontId="9" fillId="0" borderId="0"/>
    <xf numFmtId="166" fontId="69" fillId="0" borderId="0"/>
    <xf numFmtId="166" fontId="70" fillId="0" borderId="0"/>
    <xf numFmtId="166" fontId="115" fillId="0" borderId="0" applyNumberFormat="0" applyFill="0" applyBorder="0" applyAlignment="0" applyProtection="0">
      <alignment vertical="top"/>
      <protection locked="0"/>
    </xf>
    <xf numFmtId="9" fontId="69"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289" fontId="9" fillId="0" borderId="0"/>
    <xf numFmtId="0" fontId="14" fillId="0" borderId="0"/>
    <xf numFmtId="0" fontId="14"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9" fillId="0" borderId="0" applyFont="0" applyFill="0" applyBorder="0" applyAlignment="0" applyProtection="0"/>
    <xf numFmtId="289" fontId="14" fillId="0" borderId="0"/>
    <xf numFmtId="289" fontId="9" fillId="0" borderId="0">
      <alignment vertical="center"/>
    </xf>
    <xf numFmtId="289" fontId="9" fillId="0" borderId="0"/>
    <xf numFmtId="289" fontId="9" fillId="0" borderId="0"/>
    <xf numFmtId="289" fontId="9" fillId="0" borderId="0"/>
    <xf numFmtId="289" fontId="9" fillId="0" borderId="0" applyNumberFormat="0" applyFont="0" applyBorder="0" applyAlignment="0"/>
    <xf numFmtId="289" fontId="9" fillId="0" borderId="0" applyNumberFormat="0" applyFont="0" applyBorder="0" applyAlignment="0"/>
    <xf numFmtId="289" fontId="9" fillId="0" borderId="0" applyNumberFormat="0" applyFont="0" applyBorder="0" applyAlignment="0"/>
    <xf numFmtId="289" fontId="9" fillId="0" borderId="0" applyNumberFormat="0" applyFont="0" applyBorder="0" applyAlignment="0"/>
    <xf numFmtId="289" fontId="9" fillId="0" borderId="0" applyNumberFormat="0" applyFont="0" applyBorder="0" applyAlignment="0"/>
    <xf numFmtId="289" fontId="9" fillId="0" borderId="0" applyNumberFormat="0" applyFont="0" applyBorder="0" applyAlignment="0"/>
    <xf numFmtId="289" fontId="9" fillId="0" borderId="0" applyNumberFormat="0" applyFont="0" applyBorder="0" applyAlignment="0"/>
    <xf numFmtId="289" fontId="9" fillId="0" borderId="0" applyNumberFormat="0" applyFont="0" applyBorder="0" applyAlignment="0"/>
    <xf numFmtId="229" fontId="14" fillId="0" borderId="0" applyFont="0" applyFill="0" applyBorder="0" applyAlignment="0" applyProtection="0"/>
    <xf numFmtId="229" fontId="14" fillId="0" borderId="0" applyFont="0" applyFill="0" applyBorder="0" applyAlignment="0" applyProtection="0"/>
    <xf numFmtId="229" fontId="14"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9"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332" fontId="7" fillId="0" borderId="0" applyFont="0" applyFill="0" applyBorder="0" applyProtection="0">
      <alignment vertical="top"/>
    </xf>
    <xf numFmtId="333" fontId="7" fillId="0" borderId="0" applyFont="0" applyFill="0" applyBorder="0" applyProtection="0">
      <alignment vertical="top"/>
    </xf>
    <xf numFmtId="334" fontId="7" fillId="0" borderId="0" applyFont="0" applyFill="0" applyBorder="0" applyProtection="0">
      <alignment vertical="top"/>
    </xf>
    <xf numFmtId="289" fontId="9" fillId="19" borderId="0" applyNumberFormat="0" applyFont="0" applyBorder="0" applyAlignment="0" applyProtection="0"/>
    <xf numFmtId="289" fontId="9" fillId="19" borderId="0" applyNumberFormat="0" applyFont="0" applyBorder="0" applyAlignment="0" applyProtection="0"/>
    <xf numFmtId="289" fontId="9" fillId="19" borderId="0" applyNumberFormat="0" applyFont="0" applyBorder="0" applyAlignment="0" applyProtection="0"/>
    <xf numFmtId="289" fontId="9" fillId="19" borderId="0" applyNumberFormat="0" applyFont="0" applyBorder="0" applyAlignment="0" applyProtection="0"/>
    <xf numFmtId="289" fontId="9" fillId="19" borderId="0" applyNumberFormat="0" applyFont="0" applyBorder="0" applyAlignment="0" applyProtection="0"/>
    <xf numFmtId="289" fontId="9" fillId="19" borderId="0" applyNumberFormat="0" applyFont="0" applyBorder="0" applyAlignment="0" applyProtection="0"/>
    <xf numFmtId="289" fontId="9" fillId="19" borderId="0" applyNumberFormat="0" applyFont="0" applyBorder="0" applyAlignment="0" applyProtection="0"/>
    <xf numFmtId="289" fontId="9" fillId="19" borderId="0" applyNumberFormat="0" applyFont="0" applyBorder="0" applyAlignment="0" applyProtection="0"/>
    <xf numFmtId="271" fontId="212" fillId="93" borderId="0"/>
    <xf numFmtId="271" fontId="213" fillId="94" borderId="0"/>
    <xf numFmtId="271" fontId="213" fillId="95" borderId="0">
      <alignment vertical="center"/>
    </xf>
    <xf numFmtId="0" fontId="8" fillId="0" borderId="0"/>
    <xf numFmtId="289" fontId="9"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9" fillId="0" borderId="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xf numFmtId="289" fontId="33" fillId="0" borderId="0"/>
    <xf numFmtId="289" fontId="33" fillId="0" borderId="0"/>
    <xf numFmtId="289" fontId="33" fillId="0" borderId="0"/>
    <xf numFmtId="289" fontId="33" fillId="0" borderId="0"/>
    <xf numFmtId="0" fontId="7" fillId="0" borderId="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289" fontId="33" fillId="0" borderId="0" applyFill="0" applyBorder="0" applyAlignment="0" applyProtection="0"/>
    <xf numFmtId="0" fontId="70" fillId="0" borderId="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9" fontId="32" fillId="0" borderId="0" applyFont="0" applyFill="0" applyBorder="0" applyAlignment="0" applyProtection="0"/>
    <xf numFmtId="304" fontId="70" fillId="74" borderId="20">
      <alignment vertical="center"/>
    </xf>
    <xf numFmtId="305" fontId="70" fillId="74" borderId="20">
      <alignment vertical="center"/>
    </xf>
    <xf numFmtId="304" fontId="70" fillId="74" borderId="20">
      <alignment vertical="center"/>
    </xf>
    <xf numFmtId="304" fontId="70" fillId="65" borderId="20">
      <alignment vertical="center"/>
      <protection locked="0"/>
    </xf>
    <xf numFmtId="302" fontId="70" fillId="65" borderId="20">
      <alignment vertical="center"/>
      <protection locked="0"/>
    </xf>
    <xf numFmtId="312" fontId="70" fillId="78" borderId="20">
      <alignment vertical="center"/>
    </xf>
    <xf numFmtId="304" fontId="70" fillId="78" borderId="20">
      <alignment vertical="center"/>
    </xf>
    <xf numFmtId="304" fontId="70" fillId="78" borderId="20">
      <alignment vertical="center"/>
    </xf>
    <xf numFmtId="305" fontId="70" fillId="79" borderId="20">
      <alignment horizontal="right" vertical="center"/>
      <protection locked="0"/>
    </xf>
    <xf numFmtId="304" fontId="70" fillId="79" borderId="20">
      <alignment horizontal="right" vertical="center"/>
      <protection locked="0"/>
    </xf>
    <xf numFmtId="304" fontId="70" fillId="79" borderId="20">
      <alignment horizontal="right" vertical="center"/>
      <protection locked="0"/>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11" borderId="41" applyNumberFormat="0">
      <protection locked="0"/>
    </xf>
    <xf numFmtId="289" fontId="25" fillId="11" borderId="41" applyNumberFormat="0">
      <protection locked="0"/>
    </xf>
    <xf numFmtId="289" fontId="25" fillId="11" borderId="41" applyNumberFormat="0">
      <protection locked="0"/>
    </xf>
    <xf numFmtId="289" fontId="25" fillId="11" borderId="41" applyNumberFormat="0">
      <protection locked="0"/>
    </xf>
    <xf numFmtId="289" fontId="25" fillId="11" borderId="41" applyNumberFormat="0">
      <protection locked="0"/>
    </xf>
    <xf numFmtId="289" fontId="25" fillId="11" borderId="41" applyNumberFormat="0">
      <protection locked="0"/>
    </xf>
    <xf numFmtId="289" fontId="9" fillId="9" borderId="0" applyNumberFormat="0" applyFont="0" applyBorder="0" applyAlignment="0" applyProtection="0"/>
    <xf numFmtId="289" fontId="9" fillId="9" borderId="0" applyNumberFormat="0" applyFont="0" applyBorder="0" applyAlignment="0" applyProtection="0"/>
    <xf numFmtId="289" fontId="9" fillId="9" borderId="0" applyNumberFormat="0" applyFont="0" applyBorder="0" applyAlignment="0" applyProtection="0"/>
    <xf numFmtId="289" fontId="9" fillId="9" borderId="0" applyNumberFormat="0" applyFont="0" applyBorder="0" applyAlignment="0" applyProtection="0"/>
    <xf numFmtId="289" fontId="9" fillId="9" borderId="0" applyNumberFormat="0" applyFont="0" applyBorder="0" applyAlignment="0" applyProtection="0"/>
    <xf numFmtId="289" fontId="9" fillId="9" borderId="0" applyNumberFormat="0" applyFont="0" applyBorder="0" applyAlignment="0" applyProtection="0"/>
    <xf numFmtId="289" fontId="9" fillId="9" borderId="0" applyNumberFormat="0" applyFont="0" applyBorder="0" applyAlignment="0" applyProtection="0"/>
    <xf numFmtId="289" fontId="9" fillId="9" borderId="0" applyNumberFormat="0" applyFont="0" applyBorder="0" applyAlignment="0" applyProtection="0"/>
    <xf numFmtId="9" fontId="8" fillId="0" borderId="0" applyFont="0" applyFill="0" applyBorder="0" applyAlignment="0" applyProtection="0"/>
    <xf numFmtId="289" fontId="226" fillId="105" borderId="40" applyNumberFormat="0" applyAlignment="0" applyProtection="0"/>
    <xf numFmtId="289" fontId="117" fillId="45" borderId="40" applyNumberForma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25" fillId="44" borderId="40" applyNumberFormat="0" applyFont="0" applyAlignment="0" applyProtection="0"/>
    <xf numFmtId="289" fontId="145" fillId="105" borderId="33" applyNumberFormat="0" applyAlignment="0" applyProtection="0"/>
    <xf numFmtId="4" fontId="25" fillId="23" borderId="40" applyNumberFormat="0" applyProtection="0">
      <alignment horizontal="left" vertical="center" indent="1"/>
    </xf>
    <xf numFmtId="4" fontId="25" fillId="82" borderId="39" applyNumberFormat="0" applyProtection="0">
      <alignment horizontal="left" vertical="center" indent="1"/>
    </xf>
    <xf numFmtId="4" fontId="9" fillId="16" borderId="39" applyNumberFormat="0" applyProtection="0">
      <alignment horizontal="left" vertical="center" indent="1"/>
    </xf>
    <xf numFmtId="4" fontId="9" fillId="16" borderId="39" applyNumberFormat="0" applyProtection="0">
      <alignment horizontal="left" vertical="center" indent="1"/>
    </xf>
    <xf numFmtId="4" fontId="25" fillId="83" borderId="39" applyNumberFormat="0" applyProtection="0">
      <alignment horizontal="left" vertical="center" indent="1"/>
    </xf>
    <xf numFmtId="4" fontId="25" fillId="5" borderId="39" applyNumberFormat="0" applyProtection="0">
      <alignment horizontal="left" vertical="center"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16"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5"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1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289" fontId="25" fillId="83" borderId="37" applyNumberFormat="0" applyProtection="0">
      <alignment horizontal="left" vertical="top" indent="1"/>
    </xf>
    <xf numFmtId="4" fontId="227" fillId="85" borderId="39" applyNumberFormat="0" applyProtection="0">
      <alignment horizontal="left" vertical="center" indent="1"/>
    </xf>
    <xf numFmtId="37" fontId="40" fillId="0" borderId="44" applyNumberFormat="0"/>
    <xf numFmtId="37" fontId="40" fillId="0" borderId="44" applyNumberFormat="0"/>
    <xf numFmtId="289" fontId="78" fillId="0" borderId="46" applyNumberFormat="0" applyFill="0" applyAlignment="0" applyProtection="0"/>
    <xf numFmtId="0" fontId="8" fillId="0" borderId="0"/>
    <xf numFmtId="0" fontId="6" fillId="0" borderId="0"/>
    <xf numFmtId="0" fontId="244" fillId="0" borderId="0" applyNumberFormat="0" applyFill="0" applyBorder="0" applyAlignment="0" applyProtection="0"/>
    <xf numFmtId="0" fontId="5" fillId="0" borderId="0"/>
    <xf numFmtId="0" fontId="4" fillId="0" borderId="0"/>
    <xf numFmtId="0" fontId="108" fillId="0" borderId="0" applyNumberForma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0" fillId="0" borderId="0"/>
    <xf numFmtId="0" fontId="108" fillId="0" borderId="0" applyNumberFormat="0" applyFill="0" applyBorder="0" applyAlignment="0" applyProtection="0"/>
    <xf numFmtId="9" fontId="4" fillId="0" borderId="0" applyFon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108" fillId="0" borderId="0" applyNumberFormat="0" applyFill="0" applyBorder="0" applyAlignment="0" applyProtection="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8" fillId="0" borderId="0" applyFont="0" applyFill="0" applyBorder="0" applyAlignment="0" applyProtection="0"/>
    <xf numFmtId="0" fontId="2" fillId="0" borderId="0"/>
    <xf numFmtId="164" fontId="8" fillId="0" borderId="0" applyFont="0" applyFill="0" applyBorder="0" applyAlignment="0" applyProtection="0"/>
  </cellStyleXfs>
  <cellXfs count="1311">
    <xf numFmtId="0" fontId="0" fillId="0" borderId="0" xfId="0"/>
    <xf numFmtId="0" fontId="216" fillId="0" borderId="0" xfId="0" applyFont="1"/>
    <xf numFmtId="0" fontId="215" fillId="0" borderId="0" xfId="0" applyFont="1"/>
    <xf numFmtId="0" fontId="215" fillId="0" borderId="20" xfId="0" applyFont="1" applyBorder="1" applyAlignment="1">
      <alignment horizontal="right"/>
    </xf>
    <xf numFmtId="0" fontId="216" fillId="0" borderId="20" xfId="0" applyFont="1" applyBorder="1"/>
    <xf numFmtId="0" fontId="215" fillId="0" borderId="20" xfId="0" applyFont="1" applyBorder="1"/>
    <xf numFmtId="0" fontId="215" fillId="0" borderId="20" xfId="0" applyFont="1" applyBorder="1" applyAlignment="1">
      <alignment horizontal="centerContinuous"/>
    </xf>
    <xf numFmtId="222" fontId="215" fillId="0" borderId="0" xfId="0" applyNumberFormat="1" applyFont="1"/>
    <xf numFmtId="9" fontId="215" fillId="0" borderId="0" xfId="42456" applyFont="1"/>
    <xf numFmtId="2" fontId="215" fillId="0" borderId="0" xfId="0" applyNumberFormat="1" applyFont="1"/>
    <xf numFmtId="9" fontId="215" fillId="0" borderId="0" xfId="42456" applyFont="1" applyFill="1" applyBorder="1"/>
    <xf numFmtId="222" fontId="216" fillId="0" borderId="0" xfId="0" applyNumberFormat="1" applyFont="1"/>
    <xf numFmtId="9" fontId="216" fillId="0" borderId="0" xfId="42456" applyFont="1" applyFill="1" applyBorder="1"/>
    <xf numFmtId="9" fontId="215" fillId="0" borderId="0" xfId="0" applyNumberFormat="1" applyFont="1"/>
    <xf numFmtId="0" fontId="220" fillId="0" borderId="0" xfId="0" applyFont="1"/>
    <xf numFmtId="222" fontId="220" fillId="0" borderId="0" xfId="0" applyNumberFormat="1" applyFont="1"/>
    <xf numFmtId="0" fontId="216" fillId="0" borderId="0" xfId="0" applyFont="1" applyAlignment="1">
      <alignment vertical="center"/>
    </xf>
    <xf numFmtId="275" fontId="215" fillId="0" borderId="0" xfId="0" applyNumberFormat="1" applyFont="1"/>
    <xf numFmtId="0" fontId="215" fillId="0" borderId="0" xfId="42051" applyFont="1"/>
    <xf numFmtId="0" fontId="215" fillId="96" borderId="0" xfId="0" applyFont="1" applyFill="1"/>
    <xf numFmtId="0" fontId="215" fillId="97" borderId="0" xfId="0" applyFont="1" applyFill="1"/>
    <xf numFmtId="0" fontId="215" fillId="98" borderId="0" xfId="0" applyFont="1" applyFill="1"/>
    <xf numFmtId="0" fontId="215" fillId="99" borderId="0" xfId="0" applyFont="1" applyFill="1"/>
    <xf numFmtId="0" fontId="222" fillId="97" borderId="20" xfId="0" applyFont="1" applyFill="1" applyBorder="1"/>
    <xf numFmtId="0" fontId="222" fillId="93" borderId="0" xfId="0" applyFont="1" applyFill="1"/>
    <xf numFmtId="2" fontId="222" fillId="97" borderId="20" xfId="0" applyNumberFormat="1" applyFont="1" applyFill="1" applyBorder="1"/>
    <xf numFmtId="0" fontId="215" fillId="101" borderId="0" xfId="0" applyFont="1" applyFill="1"/>
    <xf numFmtId="0" fontId="215" fillId="101" borderId="20" xfId="0" applyFont="1" applyFill="1" applyBorder="1"/>
    <xf numFmtId="1" fontId="222" fillId="97" borderId="20" xfId="0" applyNumberFormat="1" applyFont="1" applyFill="1" applyBorder="1"/>
    <xf numFmtId="164" fontId="222" fillId="98" borderId="20" xfId="42049" applyFont="1" applyFill="1" applyBorder="1"/>
    <xf numFmtId="164" fontId="222" fillId="97" borderId="20" xfId="42049" applyFont="1" applyFill="1" applyBorder="1"/>
    <xf numFmtId="2" fontId="222" fillId="98" borderId="20" xfId="0" applyNumberFormat="1" applyFont="1" applyFill="1" applyBorder="1"/>
    <xf numFmtId="2" fontId="215" fillId="103" borderId="20" xfId="0" applyNumberFormat="1" applyFont="1" applyFill="1" applyBorder="1"/>
    <xf numFmtId="9" fontId="215" fillId="103" borderId="20" xfId="42456" applyFont="1" applyFill="1" applyBorder="1"/>
    <xf numFmtId="2" fontId="216" fillId="103" borderId="20" xfId="0" applyNumberFormat="1" applyFont="1" applyFill="1" applyBorder="1"/>
    <xf numFmtId="9" fontId="216" fillId="103" borderId="20" xfId="42456" applyFont="1" applyFill="1" applyBorder="1"/>
    <xf numFmtId="9" fontId="222" fillId="97" borderId="20" xfId="42456" applyFont="1" applyFill="1" applyBorder="1"/>
    <xf numFmtId="0" fontId="219" fillId="0" borderId="0" xfId="0" applyFont="1"/>
    <xf numFmtId="0" fontId="215" fillId="0" borderId="50" xfId="0" applyFont="1" applyBorder="1" applyAlignment="1">
      <alignment horizontal="right"/>
    </xf>
    <xf numFmtId="0" fontId="221" fillId="0" borderId="0" xfId="0" applyFont="1"/>
    <xf numFmtId="0" fontId="215" fillId="0" borderId="0" xfId="0" applyFont="1" applyAlignment="1">
      <alignment vertical="center"/>
    </xf>
    <xf numFmtId="1" fontId="214" fillId="0" borderId="0" xfId="42051" applyNumberFormat="1" applyFont="1"/>
    <xf numFmtId="9" fontId="214" fillId="0" borderId="0" xfId="42051" applyNumberFormat="1" applyFont="1"/>
    <xf numFmtId="0" fontId="218" fillId="0" borderId="0" xfId="0" applyFont="1" applyAlignment="1">
      <alignment vertical="center"/>
    </xf>
    <xf numFmtId="1" fontId="215" fillId="0" borderId="0" xfId="0" applyNumberFormat="1" applyFont="1"/>
    <xf numFmtId="0" fontId="218" fillId="0" borderId="20" xfId="0" applyFont="1" applyBorder="1"/>
    <xf numFmtId="0" fontId="215" fillId="100" borderId="20" xfId="0" applyFont="1" applyFill="1" applyBorder="1"/>
    <xf numFmtId="164" fontId="214" fillId="0" borderId="0" xfId="42052" applyFont="1" applyFill="1" applyBorder="1" applyAlignment="1">
      <alignment horizontal="right" wrapText="1"/>
    </xf>
    <xf numFmtId="4" fontId="222" fillId="97" borderId="20" xfId="0" applyNumberFormat="1" applyFont="1" applyFill="1" applyBorder="1"/>
    <xf numFmtId="4" fontId="222" fillId="97" borderId="20" xfId="0" applyNumberFormat="1" applyFont="1" applyFill="1" applyBorder="1" applyAlignment="1">
      <alignment horizontal="right"/>
    </xf>
    <xf numFmtId="0" fontId="216" fillId="0" borderId="0" xfId="0" applyFont="1" applyAlignment="1">
      <alignment wrapText="1"/>
    </xf>
    <xf numFmtId="10" fontId="222" fillId="97" borderId="20" xfId="0" applyNumberFormat="1" applyFont="1" applyFill="1" applyBorder="1"/>
    <xf numFmtId="335" fontId="222" fillId="97" borderId="20" xfId="42049" applyNumberFormat="1" applyFont="1" applyFill="1" applyBorder="1"/>
    <xf numFmtId="335" fontId="215" fillId="0" borderId="0" xfId="42049" applyNumberFormat="1" applyFont="1" applyFill="1"/>
    <xf numFmtId="336" fontId="218" fillId="0" borderId="0" xfId="0" applyNumberFormat="1" applyFont="1"/>
    <xf numFmtId="336" fontId="218" fillId="0" borderId="0" xfId="42049" applyNumberFormat="1" applyFont="1" applyFill="1" applyBorder="1"/>
    <xf numFmtId="0" fontId="215" fillId="0" borderId="0" xfId="0" applyFont="1" applyAlignment="1">
      <alignment wrapText="1"/>
    </xf>
    <xf numFmtId="222" fontId="218" fillId="0" borderId="20" xfId="0" applyNumberFormat="1" applyFont="1" applyBorder="1" applyAlignment="1">
      <alignment horizontal="center" vertical="center" wrapText="1"/>
    </xf>
    <xf numFmtId="0" fontId="216" fillId="0" borderId="0" xfId="0" applyFont="1" applyAlignment="1">
      <alignment horizontal="left" wrapText="1"/>
    </xf>
    <xf numFmtId="335" fontId="223" fillId="97" borderId="20" xfId="42049" applyNumberFormat="1" applyFont="1" applyFill="1" applyBorder="1"/>
    <xf numFmtId="0" fontId="216" fillId="0" borderId="0" xfId="0" applyFont="1" applyAlignment="1">
      <alignment horizontal="left" vertical="top"/>
    </xf>
    <xf numFmtId="0" fontId="216" fillId="0" borderId="0" xfId="0" applyFont="1" applyAlignment="1">
      <alignment horizontal="left" vertical="top" wrapText="1"/>
    </xf>
    <xf numFmtId="2" fontId="215" fillId="101" borderId="20" xfId="0" applyNumberFormat="1" applyFont="1" applyFill="1" applyBorder="1"/>
    <xf numFmtId="9" fontId="215" fillId="101" borderId="20" xfId="42456" applyFont="1" applyFill="1" applyBorder="1"/>
    <xf numFmtId="0" fontId="216" fillId="0" borderId="0" xfId="10606" applyFont="1"/>
    <xf numFmtId="1" fontId="220" fillId="0" borderId="0" xfId="0" applyNumberFormat="1" applyFont="1"/>
    <xf numFmtId="0" fontId="217" fillId="0" borderId="20" xfId="0" applyFont="1" applyBorder="1"/>
    <xf numFmtId="0" fontId="218" fillId="0" borderId="0" xfId="0" applyFont="1"/>
    <xf numFmtId="0" fontId="218" fillId="0" borderId="5" xfId="0" applyFont="1" applyBorder="1"/>
    <xf numFmtId="0" fontId="217" fillId="0" borderId="5" xfId="0" applyFont="1" applyBorder="1"/>
    <xf numFmtId="9" fontId="218" fillId="103" borderId="20" xfId="0" applyNumberFormat="1" applyFont="1" applyFill="1" applyBorder="1"/>
    <xf numFmtId="9" fontId="217" fillId="103" borderId="20" xfId="0" applyNumberFormat="1" applyFont="1" applyFill="1" applyBorder="1"/>
    <xf numFmtId="1" fontId="222" fillId="98" borderId="20" xfId="0" applyNumberFormat="1" applyFont="1" applyFill="1" applyBorder="1"/>
    <xf numFmtId="222" fontId="215" fillId="0" borderId="20" xfId="0" applyNumberFormat="1" applyFont="1" applyBorder="1" applyAlignment="1">
      <alignment horizontal="center" vertical="center" wrapText="1"/>
    </xf>
    <xf numFmtId="270" fontId="218" fillId="0" borderId="20" xfId="0" applyNumberFormat="1" applyFont="1" applyBorder="1" applyAlignment="1">
      <alignment horizontal="center" vertical="center" wrapText="1"/>
    </xf>
    <xf numFmtId="10" fontId="218" fillId="0" borderId="20" xfId="42456" applyNumberFormat="1" applyFont="1" applyFill="1" applyBorder="1" applyAlignment="1">
      <alignment horizontal="center" vertical="center" wrapText="1"/>
    </xf>
    <xf numFmtId="0" fontId="215" fillId="0" borderId="0" xfId="0" applyFont="1" applyAlignment="1">
      <alignment horizontal="center" vertical="center"/>
    </xf>
    <xf numFmtId="0" fontId="215" fillId="0" borderId="50" xfId="0" applyFont="1" applyBorder="1" applyAlignment="1">
      <alignment horizontal="right" vertical="center"/>
    </xf>
    <xf numFmtId="0" fontId="215" fillId="0" borderId="50" xfId="0" applyFont="1" applyBorder="1" applyAlignment="1">
      <alignment horizontal="center" vertical="center"/>
    </xf>
    <xf numFmtId="9" fontId="215" fillId="0" borderId="20" xfId="42456" applyFont="1" applyFill="1" applyBorder="1"/>
    <xf numFmtId="1" fontId="223" fillId="97" borderId="20" xfId="0" applyNumberFormat="1" applyFont="1" applyFill="1" applyBorder="1"/>
    <xf numFmtId="164" fontId="223" fillId="98" borderId="20" xfId="42049" applyFont="1" applyFill="1" applyBorder="1"/>
    <xf numFmtId="337" fontId="223" fillId="98" borderId="20" xfId="42049" applyNumberFormat="1" applyFont="1" applyFill="1" applyBorder="1"/>
    <xf numFmtId="335" fontId="222" fillId="98" borderId="20" xfId="42049" applyNumberFormat="1" applyFont="1" applyFill="1" applyBorder="1"/>
    <xf numFmtId="335" fontId="223" fillId="98" borderId="20" xfId="42049" applyNumberFormat="1" applyFont="1" applyFill="1" applyBorder="1"/>
    <xf numFmtId="164" fontId="223" fillId="97" borderId="20" xfId="42049" applyFont="1" applyFill="1" applyBorder="1"/>
    <xf numFmtId="337" fontId="223" fillId="97" borderId="20" xfId="42049" applyNumberFormat="1" applyFont="1" applyFill="1" applyBorder="1"/>
    <xf numFmtId="164" fontId="215" fillId="99" borderId="20" xfId="42049" applyFont="1" applyFill="1" applyBorder="1"/>
    <xf numFmtId="164" fontId="216" fillId="99" borderId="20" xfId="42049" applyFont="1" applyFill="1" applyBorder="1"/>
    <xf numFmtId="2" fontId="222" fillId="97" borderId="20" xfId="42050" applyNumberFormat="1" applyFont="1" applyFill="1" applyBorder="1"/>
    <xf numFmtId="164" fontId="218" fillId="101" borderId="20" xfId="42049" applyFont="1" applyFill="1" applyBorder="1"/>
    <xf numFmtId="164" fontId="217" fillId="101" borderId="20" xfId="42049" applyFont="1" applyFill="1" applyBorder="1"/>
    <xf numFmtId="1" fontId="215" fillId="96" borderId="20" xfId="0" applyNumberFormat="1" applyFont="1" applyFill="1" applyBorder="1"/>
    <xf numFmtId="9" fontId="215" fillId="96" borderId="20" xfId="42456" applyFont="1" applyFill="1" applyBorder="1"/>
    <xf numFmtId="1" fontId="216" fillId="96" borderId="20" xfId="0" applyNumberFormat="1" applyFont="1" applyFill="1" applyBorder="1"/>
    <xf numFmtId="9" fontId="216" fillId="96" borderId="20" xfId="42456" applyFont="1" applyFill="1" applyBorder="1"/>
    <xf numFmtId="9" fontId="223" fillId="97" borderId="20" xfId="42456" applyFont="1" applyFill="1" applyBorder="1"/>
    <xf numFmtId="335" fontId="215" fillId="96" borderId="20" xfId="42049" applyNumberFormat="1" applyFont="1" applyFill="1" applyBorder="1"/>
    <xf numFmtId="335" fontId="216" fillId="96" borderId="20" xfId="42049" applyNumberFormat="1" applyFont="1" applyFill="1" applyBorder="1"/>
    <xf numFmtId="0" fontId="222" fillId="97" borderId="20" xfId="0" applyFont="1" applyFill="1" applyBorder="1" applyAlignment="1">
      <alignment wrapText="1"/>
    </xf>
    <xf numFmtId="0" fontId="215" fillId="0" borderId="20" xfId="0" applyFont="1" applyBorder="1" applyAlignment="1">
      <alignment horizontal="center" vertical="center" wrapText="1"/>
    </xf>
    <xf numFmtId="0" fontId="218" fillId="0" borderId="20" xfId="0" applyFont="1" applyBorder="1" applyAlignment="1">
      <alignment horizontal="center" vertical="center"/>
    </xf>
    <xf numFmtId="0" fontId="215" fillId="0" borderId="20" xfId="0" applyFont="1" applyBorder="1" applyAlignment="1">
      <alignment horizontal="center" vertical="center"/>
    </xf>
    <xf numFmtId="0" fontId="215" fillId="0" borderId="6" xfId="0" applyFont="1" applyBorder="1"/>
    <xf numFmtId="338" fontId="222" fillId="98" borderId="20" xfId="0" applyNumberFormat="1" applyFont="1" applyFill="1" applyBorder="1"/>
    <xf numFmtId="10" fontId="215" fillId="93" borderId="20" xfId="42456" applyNumberFormat="1" applyFont="1" applyFill="1" applyBorder="1"/>
    <xf numFmtId="222" fontId="215" fillId="0" borderId="20" xfId="0" applyNumberFormat="1" applyFont="1" applyBorder="1"/>
    <xf numFmtId="0" fontId="219" fillId="0" borderId="0" xfId="0" applyFont="1" applyAlignment="1">
      <alignment vertical="center"/>
    </xf>
    <xf numFmtId="0" fontId="220" fillId="0" borderId="0" xfId="0" applyFont="1" applyAlignment="1">
      <alignment vertical="center"/>
    </xf>
    <xf numFmtId="0" fontId="215" fillId="0" borderId="0" xfId="0" applyFont="1" applyAlignment="1">
      <alignment horizontal="right"/>
    </xf>
    <xf numFmtId="17" fontId="215" fillId="0" borderId="0" xfId="0" applyNumberFormat="1" applyFont="1"/>
    <xf numFmtId="2" fontId="216" fillId="0" borderId="0" xfId="0" applyNumberFormat="1" applyFont="1" applyAlignment="1">
      <alignment horizontal="right" vertical="center"/>
    </xf>
    <xf numFmtId="335" fontId="215" fillId="0" borderId="0" xfId="0" applyNumberFormat="1" applyFont="1"/>
    <xf numFmtId="0" fontId="216" fillId="102" borderId="52" xfId="0" applyFont="1" applyFill="1" applyBorder="1" applyAlignment="1">
      <alignment horizontal="left" vertical="top"/>
    </xf>
    <xf numFmtId="10" fontId="222" fillId="97" borderId="20" xfId="42456" applyNumberFormat="1" applyFont="1" applyFill="1" applyBorder="1"/>
    <xf numFmtId="2" fontId="216" fillId="0" borderId="0" xfId="0" applyNumberFormat="1" applyFont="1" applyAlignment="1">
      <alignment horizontal="left" vertical="top"/>
    </xf>
    <xf numFmtId="9" fontId="215" fillId="103" borderId="20" xfId="0" applyNumberFormat="1" applyFont="1" applyFill="1" applyBorder="1"/>
    <xf numFmtId="9" fontId="216" fillId="103" borderId="20" xfId="0" applyNumberFormat="1" applyFont="1" applyFill="1" applyBorder="1"/>
    <xf numFmtId="1" fontId="215" fillId="103" borderId="20" xfId="42049" applyNumberFormat="1" applyFont="1" applyFill="1" applyBorder="1"/>
    <xf numFmtId="1" fontId="216" fillId="103" borderId="20" xfId="42049" applyNumberFormat="1" applyFont="1" applyFill="1" applyBorder="1"/>
    <xf numFmtId="1" fontId="216" fillId="0" borderId="0" xfId="0" applyNumberFormat="1" applyFont="1" applyAlignment="1">
      <alignment horizontal="left" vertical="top" wrapText="1"/>
    </xf>
    <xf numFmtId="9" fontId="216" fillId="0" borderId="0" xfId="42456" applyFont="1" applyFill="1" applyBorder="1" applyAlignment="1">
      <alignment horizontal="left" vertical="top" wrapText="1"/>
    </xf>
    <xf numFmtId="164" fontId="215" fillId="0" borderId="0" xfId="0" applyNumberFormat="1" applyFont="1"/>
    <xf numFmtId="339" fontId="215" fillId="0" borderId="0" xfId="0" applyNumberFormat="1" applyFont="1"/>
    <xf numFmtId="340" fontId="215" fillId="0" borderId="0" xfId="0" applyNumberFormat="1" applyFont="1"/>
    <xf numFmtId="337" fontId="215" fillId="0" borderId="0" xfId="0" applyNumberFormat="1" applyFont="1"/>
    <xf numFmtId="10" fontId="215" fillId="103" borderId="20" xfId="42456" applyNumberFormat="1" applyFont="1" applyFill="1" applyBorder="1"/>
    <xf numFmtId="1" fontId="215" fillId="0" borderId="20" xfId="42050" applyNumberFormat="1" applyFont="1" applyBorder="1" applyAlignment="1">
      <alignment horizontal="center"/>
    </xf>
    <xf numFmtId="335" fontId="222" fillId="97" borderId="20" xfId="42049" applyNumberFormat="1" applyFont="1" applyFill="1" applyBorder="1" applyAlignment="1">
      <alignment horizontal="right"/>
    </xf>
    <xf numFmtId="0" fontId="215" fillId="0" borderId="20" xfId="0" applyFont="1" applyBorder="1" applyAlignment="1">
      <alignment vertical="center"/>
    </xf>
    <xf numFmtId="0" fontId="215" fillId="0" borderId="20" xfId="0" applyFont="1" applyBorder="1" applyAlignment="1">
      <alignment horizontal="right" vertical="center"/>
    </xf>
    <xf numFmtId="164" fontId="222" fillId="101" borderId="20" xfId="42049" applyFont="1" applyFill="1" applyBorder="1"/>
    <xf numFmtId="2" fontId="222" fillId="101" borderId="20" xfId="0" applyNumberFormat="1" applyFont="1" applyFill="1" applyBorder="1"/>
    <xf numFmtId="0" fontId="217" fillId="0" borderId="0" xfId="0" applyFont="1"/>
    <xf numFmtId="0" fontId="215" fillId="0" borderId="0" xfId="42051" applyFont="1" applyAlignment="1">
      <alignment wrapText="1"/>
    </xf>
    <xf numFmtId="335" fontId="223" fillId="0" borderId="0" xfId="42049" applyNumberFormat="1" applyFont="1" applyFill="1" applyBorder="1" applyAlignment="1">
      <alignment horizontal="right"/>
    </xf>
    <xf numFmtId="229" fontId="223" fillId="0" borderId="0" xfId="42456" applyNumberFormat="1" applyFont="1" applyFill="1" applyBorder="1" applyAlignment="1">
      <alignment horizontal="right"/>
    </xf>
    <xf numFmtId="222" fontId="223" fillId="0" borderId="0" xfId="42049" applyNumberFormat="1" applyFont="1" applyFill="1" applyBorder="1" applyAlignment="1">
      <alignment horizontal="right"/>
    </xf>
    <xf numFmtId="222" fontId="217" fillId="96" borderId="20" xfId="0" applyNumberFormat="1" applyFont="1" applyFill="1" applyBorder="1" applyAlignment="1">
      <alignment vertical="center"/>
    </xf>
    <xf numFmtId="2" fontId="222" fillId="97" borderId="20" xfId="0" applyNumberFormat="1" applyFont="1" applyFill="1" applyBorder="1" applyAlignment="1">
      <alignment horizontal="right" vertical="center"/>
    </xf>
    <xf numFmtId="0" fontId="217" fillId="0" borderId="0" xfId="0" applyFont="1" applyAlignment="1">
      <alignment vertical="center"/>
    </xf>
    <xf numFmtId="222" fontId="222" fillId="101" borderId="20" xfId="0" applyNumberFormat="1" applyFont="1" applyFill="1" applyBorder="1" applyAlignment="1">
      <alignment vertical="center"/>
    </xf>
    <xf numFmtId="270" fontId="222" fillId="101" borderId="20" xfId="0" applyNumberFormat="1" applyFont="1" applyFill="1" applyBorder="1"/>
    <xf numFmtId="338" fontId="222" fillId="101" borderId="20" xfId="0" applyNumberFormat="1" applyFont="1" applyFill="1" applyBorder="1"/>
    <xf numFmtId="337" fontId="222" fillId="101" borderId="20" xfId="42049" applyNumberFormat="1" applyFont="1" applyFill="1" applyBorder="1"/>
    <xf numFmtId="10" fontId="215" fillId="101" borderId="20" xfId="42456" applyNumberFormat="1" applyFont="1" applyFill="1" applyBorder="1"/>
    <xf numFmtId="1" fontId="222" fillId="101" borderId="20" xfId="0" applyNumberFormat="1" applyFont="1" applyFill="1" applyBorder="1"/>
    <xf numFmtId="1" fontId="215" fillId="0" borderId="0" xfId="0" applyNumberFormat="1" applyFont="1" applyAlignment="1">
      <alignment horizontal="right" vertical="center"/>
    </xf>
    <xf numFmtId="2" fontId="216" fillId="0" borderId="20" xfId="0" applyNumberFormat="1" applyFont="1" applyBorder="1" applyAlignment="1">
      <alignment horizontal="right" vertical="center"/>
    </xf>
    <xf numFmtId="0" fontId="216" fillId="0" borderId="0" xfId="0" applyFont="1" applyAlignment="1">
      <alignment horizontal="left"/>
    </xf>
    <xf numFmtId="0" fontId="222" fillId="101" borderId="20" xfId="0" applyFont="1" applyFill="1" applyBorder="1"/>
    <xf numFmtId="2" fontId="218" fillId="101" borderId="20" xfId="42050" applyNumberFormat="1" applyFont="1" applyFill="1" applyBorder="1"/>
    <xf numFmtId="0" fontId="222" fillId="101" borderId="20" xfId="0" applyFont="1" applyFill="1" applyBorder="1" applyAlignment="1">
      <alignment wrapText="1"/>
    </xf>
    <xf numFmtId="164" fontId="215" fillId="96" borderId="20" xfId="0" applyNumberFormat="1" applyFont="1" applyFill="1" applyBorder="1"/>
    <xf numFmtId="4" fontId="215" fillId="101" borderId="20" xfId="0" applyNumberFormat="1" applyFont="1" applyFill="1" applyBorder="1"/>
    <xf numFmtId="2" fontId="222" fillId="97" borderId="20" xfId="0" quotePrefix="1" applyNumberFormat="1" applyFont="1" applyFill="1" applyBorder="1"/>
    <xf numFmtId="0" fontId="228" fillId="0" borderId="0" xfId="0" applyFont="1" applyAlignment="1">
      <alignment horizontal="left" vertical="top" wrapText="1"/>
    </xf>
    <xf numFmtId="0" fontId="0" fillId="0" borderId="0" xfId="0" applyAlignment="1">
      <alignment horizontal="left" vertical="top" wrapText="1"/>
    </xf>
    <xf numFmtId="2" fontId="216" fillId="0" borderId="0" xfId="0" applyNumberFormat="1" applyFont="1"/>
    <xf numFmtId="0" fontId="215" fillId="0" borderId="5" xfId="0" applyFont="1" applyBorder="1"/>
    <xf numFmtId="0" fontId="215" fillId="102" borderId="53" xfId="0" applyFont="1" applyFill="1" applyBorder="1" applyAlignment="1">
      <alignment wrapText="1"/>
    </xf>
    <xf numFmtId="0" fontId="215" fillId="102" borderId="52" xfId="0" applyFont="1" applyFill="1" applyBorder="1" applyAlignment="1">
      <alignment wrapText="1"/>
    </xf>
    <xf numFmtId="0" fontId="215" fillId="0" borderId="1" xfId="0" applyFont="1" applyBorder="1" applyAlignment="1">
      <alignment horizontal="center" wrapText="1"/>
    </xf>
    <xf numFmtId="0" fontId="215" fillId="0" borderId="1" xfId="0" applyFont="1" applyBorder="1" applyAlignment="1">
      <alignment horizontal="center" vertical="center" wrapText="1"/>
    </xf>
    <xf numFmtId="9" fontId="222" fillId="97" borderId="20" xfId="42456" applyFont="1" applyFill="1" applyBorder="1" applyAlignment="1">
      <alignment horizontal="right"/>
    </xf>
    <xf numFmtId="2" fontId="215" fillId="0" borderId="20" xfId="0" applyNumberFormat="1" applyFont="1" applyBorder="1"/>
    <xf numFmtId="0" fontId="218" fillId="104" borderId="20" xfId="0" applyFont="1" applyFill="1" applyBorder="1"/>
    <xf numFmtId="222" fontId="218" fillId="101" borderId="20" xfId="0" applyNumberFormat="1" applyFont="1" applyFill="1" applyBorder="1" applyAlignment="1">
      <alignment horizontal="right" vertical="center"/>
    </xf>
    <xf numFmtId="2" fontId="215" fillId="97" borderId="20" xfId="0" applyNumberFormat="1" applyFont="1" applyFill="1" applyBorder="1" applyAlignment="1">
      <alignment horizontal="center"/>
    </xf>
    <xf numFmtId="9" fontId="215" fillId="0" borderId="20" xfId="42456" applyFont="1" applyFill="1" applyBorder="1" applyAlignment="1">
      <alignment horizontal="center" vertical="center" wrapText="1"/>
    </xf>
    <xf numFmtId="0" fontId="215" fillId="0" borderId="54" xfId="0" applyFont="1" applyBorder="1"/>
    <xf numFmtId="0" fontId="215" fillId="0" borderId="0" xfId="0" applyFont="1" applyAlignment="1">
      <alignment horizontal="center"/>
    </xf>
    <xf numFmtId="0" fontId="215" fillId="0" borderId="20" xfId="0" applyFont="1" applyBorder="1" applyAlignment="1">
      <alignment horizontal="left" vertical="center" wrapText="1"/>
    </xf>
    <xf numFmtId="0" fontId="222" fillId="97" borderId="20" xfId="42510" applyFont="1" applyFill="1" applyBorder="1" applyAlignment="1">
      <alignment wrapText="1"/>
    </xf>
    <xf numFmtId="0" fontId="232" fillId="0" borderId="0" xfId="0" applyFont="1"/>
    <xf numFmtId="0" fontId="232" fillId="0" borderId="0" xfId="0" applyFont="1" applyAlignment="1">
      <alignment horizontal="left" wrapText="1"/>
    </xf>
    <xf numFmtId="0" fontId="232" fillId="0" borderId="0" xfId="0" applyFont="1" applyAlignment="1">
      <alignment horizontal="left" vertical="top"/>
    </xf>
    <xf numFmtId="164" fontId="0" fillId="0" borderId="0" xfId="0" applyNumberFormat="1"/>
    <xf numFmtId="0" fontId="233" fillId="0" borderId="0" xfId="0" applyFont="1"/>
    <xf numFmtId="0" fontId="215" fillId="0" borderId="65" xfId="0" applyFont="1" applyBorder="1" applyAlignment="1">
      <alignment horizontal="center" vertical="center" wrapText="1"/>
    </xf>
    <xf numFmtId="0" fontId="230" fillId="0" borderId="0" xfId="0" applyFont="1" applyAlignment="1">
      <alignment horizontal="left" vertical="top" wrapText="1"/>
    </xf>
    <xf numFmtId="0" fontId="230" fillId="0" borderId="0" xfId="0" applyFont="1" applyAlignment="1">
      <alignment horizontal="left" vertical="top"/>
    </xf>
    <xf numFmtId="0" fontId="222" fillId="94" borderId="0" xfId="0" applyFont="1" applyFill="1"/>
    <xf numFmtId="1" fontId="215" fillId="94" borderId="20" xfId="0" applyNumberFormat="1" applyFont="1" applyFill="1" applyBorder="1" applyAlignment="1">
      <alignment vertical="center"/>
    </xf>
    <xf numFmtId="335" fontId="218" fillId="94" borderId="20" xfId="42049" applyNumberFormat="1" applyFont="1" applyFill="1" applyBorder="1"/>
    <xf numFmtId="335" fontId="222" fillId="109" borderId="20" xfId="42049" applyNumberFormat="1" applyFont="1" applyFill="1" applyBorder="1" applyAlignment="1">
      <alignment horizontal="center"/>
    </xf>
    <xf numFmtId="0" fontId="215" fillId="0" borderId="76" xfId="0" applyFont="1" applyBorder="1"/>
    <xf numFmtId="0" fontId="215" fillId="0" borderId="77" xfId="0" applyFont="1" applyBorder="1"/>
    <xf numFmtId="335" fontId="222" fillId="109" borderId="50" xfId="42049" applyNumberFormat="1" applyFont="1" applyFill="1" applyBorder="1" applyAlignment="1">
      <alignment horizontal="center"/>
    </xf>
    <xf numFmtId="0" fontId="216" fillId="102" borderId="50" xfId="0" applyFont="1" applyFill="1" applyBorder="1" applyAlignment="1">
      <alignment horizontal="left" vertical="top"/>
    </xf>
    <xf numFmtId="0" fontId="216" fillId="102" borderId="53" xfId="0" applyFont="1" applyFill="1" applyBorder="1" applyAlignment="1">
      <alignment horizontal="left" vertical="top"/>
    </xf>
    <xf numFmtId="2" fontId="222" fillId="94" borderId="20" xfId="0" applyNumberFormat="1" applyFont="1" applyFill="1" applyBorder="1"/>
    <xf numFmtId="0" fontId="216" fillId="102" borderId="50" xfId="0" applyFont="1" applyFill="1" applyBorder="1" applyAlignment="1">
      <alignment horizontal="left" vertical="top" wrapText="1"/>
    </xf>
    <xf numFmtId="0" fontId="216" fillId="102" borderId="53" xfId="0" applyFont="1" applyFill="1" applyBorder="1" applyAlignment="1">
      <alignment horizontal="left" vertical="top" wrapText="1"/>
    </xf>
    <xf numFmtId="1" fontId="214" fillId="0" borderId="0" xfId="15288" applyNumberFormat="1" applyFont="1" applyAlignment="1">
      <alignment horizontal="center" vertical="center" wrapText="1"/>
    </xf>
    <xf numFmtId="0" fontId="216" fillId="0" borderId="5" xfId="0" applyFont="1" applyBorder="1"/>
    <xf numFmtId="0" fontId="215" fillId="0" borderId="73" xfId="0" applyFont="1" applyBorder="1" applyAlignment="1">
      <alignment horizontal="center" vertical="center"/>
    </xf>
    <xf numFmtId="0" fontId="215" fillId="0" borderId="72" xfId="0" applyFont="1" applyBorder="1" applyAlignment="1">
      <alignment horizontal="center" vertical="center"/>
    </xf>
    <xf numFmtId="337" fontId="222" fillId="98" borderId="73" xfId="42049" applyNumberFormat="1" applyFont="1" applyFill="1" applyBorder="1"/>
    <xf numFmtId="337" fontId="223" fillId="98" borderId="62" xfId="42049" applyNumberFormat="1" applyFont="1" applyFill="1" applyBorder="1"/>
    <xf numFmtId="337" fontId="223" fillId="98" borderId="68" xfId="42049" applyNumberFormat="1" applyFont="1" applyFill="1" applyBorder="1"/>
    <xf numFmtId="337" fontId="223" fillId="98" borderId="69" xfId="42049" applyNumberFormat="1" applyFont="1" applyFill="1" applyBorder="1"/>
    <xf numFmtId="337" fontId="222" fillId="97" borderId="73" xfId="42049" applyNumberFormat="1" applyFont="1" applyFill="1" applyBorder="1"/>
    <xf numFmtId="337" fontId="223" fillId="97" borderId="73" xfId="42049" applyNumberFormat="1" applyFont="1" applyFill="1" applyBorder="1"/>
    <xf numFmtId="337" fontId="223" fillId="97" borderId="62" xfId="42049" applyNumberFormat="1" applyFont="1" applyFill="1" applyBorder="1"/>
    <xf numFmtId="337" fontId="223" fillId="97" borderId="68" xfId="42049" applyNumberFormat="1" applyFont="1" applyFill="1" applyBorder="1"/>
    <xf numFmtId="337" fontId="223" fillId="97" borderId="69" xfId="42049" applyNumberFormat="1" applyFont="1" applyFill="1" applyBorder="1"/>
    <xf numFmtId="0" fontId="216" fillId="0" borderId="6" xfId="0" applyFont="1" applyBorder="1"/>
    <xf numFmtId="0" fontId="216" fillId="0" borderId="3" xfId="0" applyFont="1" applyBorder="1"/>
    <xf numFmtId="0" fontId="216" fillId="0" borderId="0" xfId="0" applyFont="1" applyAlignment="1">
      <alignment horizontal="center" vertical="center"/>
    </xf>
    <xf numFmtId="0" fontId="220" fillId="0" borderId="0" xfId="0" applyFont="1" applyAlignment="1">
      <alignment horizontal="left" vertical="center"/>
    </xf>
    <xf numFmtId="2" fontId="222" fillId="97" borderId="20" xfId="0" applyNumberFormat="1" applyFont="1" applyFill="1" applyBorder="1" applyAlignment="1">
      <alignment horizontal="center"/>
    </xf>
    <xf numFmtId="2" fontId="215" fillId="97" borderId="20" xfId="0" applyNumberFormat="1" applyFont="1" applyFill="1" applyBorder="1"/>
    <xf numFmtId="0" fontId="220" fillId="0" borderId="0" xfId="0" applyFont="1" applyAlignment="1">
      <alignment horizontal="left"/>
    </xf>
    <xf numFmtId="0" fontId="215" fillId="0" borderId="81" xfId="0" applyFont="1" applyBorder="1" applyAlignment="1">
      <alignment horizontal="center" vertical="center"/>
    </xf>
    <xf numFmtId="0" fontId="216" fillId="0" borderId="18" xfId="0" applyFont="1" applyBorder="1"/>
    <xf numFmtId="0" fontId="216" fillId="102" borderId="50" xfId="0" applyFont="1" applyFill="1" applyBorder="1" applyAlignment="1">
      <alignment vertical="top" wrapText="1"/>
    </xf>
    <xf numFmtId="0" fontId="216" fillId="102" borderId="53" xfId="0" applyFont="1" applyFill="1" applyBorder="1" applyAlignment="1">
      <alignment vertical="top" wrapText="1"/>
    </xf>
    <xf numFmtId="0" fontId="216" fillId="102" borderId="53" xfId="0" applyFont="1" applyFill="1" applyBorder="1" applyAlignment="1">
      <alignment vertical="top"/>
    </xf>
    <xf numFmtId="0" fontId="216" fillId="102" borderId="52" xfId="0" applyFont="1" applyFill="1" applyBorder="1" applyAlignment="1">
      <alignment vertical="top"/>
    </xf>
    <xf numFmtId="335" fontId="223" fillId="97" borderId="62" xfId="42049" applyNumberFormat="1" applyFont="1" applyFill="1" applyBorder="1"/>
    <xf numFmtId="335" fontId="222" fillId="101" borderId="72" xfId="42049" applyNumberFormat="1" applyFont="1" applyFill="1" applyBorder="1"/>
    <xf numFmtId="335" fontId="223" fillId="101" borderId="69" xfId="42049" applyNumberFormat="1" applyFont="1" applyFill="1" applyBorder="1"/>
    <xf numFmtId="0" fontId="219" fillId="0" borderId="82" xfId="0" applyFont="1" applyBorder="1" applyAlignment="1">
      <alignment horizontal="center" vertical="center" wrapText="1"/>
    </xf>
    <xf numFmtId="3" fontId="215" fillId="0" borderId="0" xfId="0" applyNumberFormat="1" applyFont="1"/>
    <xf numFmtId="0" fontId="216" fillId="102" borderId="52" xfId="0" applyFont="1" applyFill="1" applyBorder="1" applyAlignment="1">
      <alignment horizontal="left" vertical="top" wrapText="1"/>
    </xf>
    <xf numFmtId="335" fontId="222" fillId="97" borderId="5" xfId="42049" applyNumberFormat="1" applyFont="1" applyFill="1" applyBorder="1"/>
    <xf numFmtId="2" fontId="222" fillId="106" borderId="20" xfId="0" applyNumberFormat="1" applyFont="1" applyFill="1" applyBorder="1"/>
    <xf numFmtId="9" fontId="215" fillId="0" borderId="0" xfId="42456" applyFont="1" applyFill="1"/>
    <xf numFmtId="2" fontId="0" fillId="0" borderId="0" xfId="0" applyNumberFormat="1"/>
    <xf numFmtId="0" fontId="234" fillId="0" borderId="0" xfId="0" applyFont="1" applyAlignment="1">
      <alignment horizontal="center" vertical="center" wrapText="1"/>
    </xf>
    <xf numFmtId="0" fontId="235" fillId="0" borderId="0" xfId="0" applyFont="1" applyAlignment="1">
      <alignment horizontal="center" vertical="center" wrapText="1"/>
    </xf>
    <xf numFmtId="0" fontId="236" fillId="0" borderId="0" xfId="0" applyFont="1" applyAlignment="1">
      <alignment horizontal="center" vertical="center" wrapText="1"/>
    </xf>
    <xf numFmtId="0" fontId="216" fillId="0" borderId="0" xfId="0" applyFont="1" applyAlignment="1">
      <alignment horizontal="right"/>
    </xf>
    <xf numFmtId="0" fontId="216" fillId="0" borderId="0" xfId="0" applyFont="1" applyAlignment="1">
      <alignment horizontal="right" wrapText="1"/>
    </xf>
    <xf numFmtId="2" fontId="222" fillId="97" borderId="20" xfId="0" applyNumberFormat="1" applyFont="1" applyFill="1" applyBorder="1" applyAlignment="1">
      <alignment vertical="center"/>
    </xf>
    <xf numFmtId="2" fontId="222" fillId="97" borderId="20" xfId="42049" applyNumberFormat="1" applyFont="1" applyFill="1" applyBorder="1" applyAlignment="1">
      <alignment vertical="center"/>
    </xf>
    <xf numFmtId="2" fontId="217" fillId="93" borderId="20" xfId="0" applyNumberFormat="1" applyFont="1" applyFill="1" applyBorder="1" applyAlignment="1">
      <alignment vertical="center"/>
    </xf>
    <xf numFmtId="2" fontId="217" fillId="96" borderId="20" xfId="0" applyNumberFormat="1" applyFont="1" applyFill="1" applyBorder="1" applyAlignment="1">
      <alignment vertical="center"/>
    </xf>
    <xf numFmtId="2" fontId="215" fillId="0" borderId="0" xfId="0" applyNumberFormat="1" applyFont="1" applyAlignment="1">
      <alignment vertical="center"/>
    </xf>
    <xf numFmtId="2" fontId="218" fillId="101" borderId="20" xfId="0" applyNumberFormat="1" applyFont="1" applyFill="1" applyBorder="1" applyAlignment="1">
      <alignment horizontal="right" vertical="center"/>
    </xf>
    <xf numFmtId="2" fontId="217" fillId="110" borderId="20" xfId="0" applyNumberFormat="1" applyFont="1" applyFill="1" applyBorder="1" applyAlignment="1">
      <alignment vertical="center"/>
    </xf>
    <xf numFmtId="2" fontId="218" fillId="103" borderId="20" xfId="0" applyNumberFormat="1" applyFont="1" applyFill="1" applyBorder="1"/>
    <xf numFmtId="2" fontId="218" fillId="103" borderId="20" xfId="42049" applyNumberFormat="1" applyFont="1" applyFill="1" applyBorder="1"/>
    <xf numFmtId="336" fontId="219" fillId="0" borderId="0" xfId="0" applyNumberFormat="1" applyFont="1"/>
    <xf numFmtId="0" fontId="215" fillId="0" borderId="5" xfId="0" applyFont="1" applyBorder="1" applyAlignment="1">
      <alignment horizontal="center" vertical="center"/>
    </xf>
    <xf numFmtId="0" fontId="215" fillId="0" borderId="14" xfId="0" applyFont="1" applyBorder="1" applyAlignment="1">
      <alignment horizontal="center" vertical="center"/>
    </xf>
    <xf numFmtId="0" fontId="215" fillId="0" borderId="51" xfId="0" applyFont="1" applyBorder="1" applyAlignment="1">
      <alignment horizontal="center" vertical="center"/>
    </xf>
    <xf numFmtId="0" fontId="215" fillId="0" borderId="76" xfId="0" applyFont="1" applyBorder="1" applyAlignment="1">
      <alignment horizontal="left" vertical="center"/>
    </xf>
    <xf numFmtId="0" fontId="215" fillId="0" borderId="79" xfId="0" applyFont="1" applyBorder="1" applyAlignment="1">
      <alignment horizontal="left" vertical="center"/>
    </xf>
    <xf numFmtId="0" fontId="215" fillId="0" borderId="80" xfId="0" applyFont="1" applyBorder="1" applyAlignment="1">
      <alignment horizontal="left" vertical="center"/>
    </xf>
    <xf numFmtId="1" fontId="215" fillId="0" borderId="20" xfId="0" applyNumberFormat="1" applyFont="1" applyBorder="1" applyAlignment="1">
      <alignment horizontal="center" vertical="center" wrapText="1"/>
    </xf>
    <xf numFmtId="1" fontId="222" fillId="97" borderId="20" xfId="42049" applyNumberFormat="1" applyFont="1" applyFill="1" applyBorder="1"/>
    <xf numFmtId="1" fontId="223" fillId="97" borderId="20" xfId="42049" applyNumberFormat="1" applyFont="1" applyFill="1" applyBorder="1"/>
    <xf numFmtId="2" fontId="215" fillId="73" borderId="0" xfId="0" applyNumberFormat="1" applyFont="1" applyFill="1"/>
    <xf numFmtId="0" fontId="237" fillId="0" borderId="0" xfId="0" applyFont="1"/>
    <xf numFmtId="2" fontId="218" fillId="93" borderId="20" xfId="0" applyNumberFormat="1" applyFont="1" applyFill="1" applyBorder="1"/>
    <xf numFmtId="338" fontId="215" fillId="0" borderId="0" xfId="0" applyNumberFormat="1" applyFont="1" applyAlignment="1">
      <alignment horizontal="center"/>
    </xf>
    <xf numFmtId="1" fontId="223" fillId="98" borderId="20" xfId="0" applyNumberFormat="1" applyFont="1" applyFill="1" applyBorder="1"/>
    <xf numFmtId="2" fontId="215" fillId="0" borderId="6" xfId="0" applyNumberFormat="1" applyFont="1" applyBorder="1"/>
    <xf numFmtId="2" fontId="216" fillId="102" borderId="53" xfId="0" applyNumberFormat="1" applyFont="1" applyFill="1" applyBorder="1" applyAlignment="1">
      <alignment horizontal="left" vertical="top" wrapText="1"/>
    </xf>
    <xf numFmtId="2" fontId="215" fillId="93" borderId="20" xfId="0" applyNumberFormat="1" applyFont="1" applyFill="1" applyBorder="1"/>
    <xf numFmtId="0" fontId="230" fillId="0" borderId="0" xfId="0" applyFont="1"/>
    <xf numFmtId="341" fontId="215" fillId="0" borderId="0" xfId="0" applyNumberFormat="1" applyFont="1"/>
    <xf numFmtId="0" fontId="215" fillId="0" borderId="0" xfId="6346" applyFont="1" applyAlignment="1">
      <alignment horizontal="left"/>
    </xf>
    <xf numFmtId="0" fontId="215" fillId="0" borderId="0" xfId="6346" applyFont="1" applyAlignment="1">
      <alignment horizontal="center"/>
    </xf>
    <xf numFmtId="0" fontId="215" fillId="0" borderId="0" xfId="6346" applyFont="1"/>
    <xf numFmtId="0" fontId="215" fillId="0" borderId="0" xfId="0" applyFont="1" applyAlignment="1">
      <alignment horizontal="center" vertical="center" wrapText="1"/>
    </xf>
    <xf numFmtId="0" fontId="215" fillId="0" borderId="20" xfId="6346" applyFont="1" applyBorder="1" applyAlignment="1">
      <alignment horizontal="center" vertical="center"/>
    </xf>
    <xf numFmtId="0" fontId="215" fillId="0" borderId="0" xfId="6346" applyFont="1" applyAlignment="1">
      <alignment horizontal="center" vertical="center"/>
    </xf>
    <xf numFmtId="0" fontId="215" fillId="103" borderId="0" xfId="6346" applyFont="1" applyFill="1" applyAlignment="1">
      <alignment horizontal="center" vertical="center"/>
    </xf>
    <xf numFmtId="0" fontId="215" fillId="0" borderId="73" xfId="0" applyFont="1" applyBorder="1"/>
    <xf numFmtId="0" fontId="215" fillId="0" borderId="68" xfId="6346" applyFont="1" applyBorder="1" applyAlignment="1">
      <alignment horizontal="center" vertical="center"/>
    </xf>
    <xf numFmtId="0" fontId="215" fillId="0" borderId="64" xfId="0" applyFont="1" applyBorder="1"/>
    <xf numFmtId="0" fontId="215" fillId="0" borderId="63" xfId="6346" applyFont="1" applyBorder="1" applyAlignment="1">
      <alignment vertical="top" wrapText="1"/>
    </xf>
    <xf numFmtId="0" fontId="215" fillId="103" borderId="74" xfId="6346" applyFont="1" applyFill="1" applyBorder="1" applyAlignment="1">
      <alignment horizontal="center" vertical="center"/>
    </xf>
    <xf numFmtId="0" fontId="215" fillId="0" borderId="74" xfId="6346" applyFont="1" applyBorder="1" applyAlignment="1">
      <alignment horizontal="center" vertical="center"/>
    </xf>
    <xf numFmtId="0" fontId="215" fillId="104" borderId="11" xfId="6346" applyFont="1" applyFill="1" applyBorder="1" applyAlignment="1">
      <alignment horizontal="center" vertical="center"/>
    </xf>
    <xf numFmtId="0" fontId="215" fillId="104" borderId="58" xfId="6346" applyFont="1" applyFill="1" applyBorder="1" applyAlignment="1">
      <alignment vertical="top" wrapText="1"/>
    </xf>
    <xf numFmtId="0" fontId="215" fillId="0" borderId="62" xfId="0" applyFont="1" applyBorder="1"/>
    <xf numFmtId="0" fontId="215" fillId="103" borderId="2" xfId="6346" applyFont="1" applyFill="1" applyBorder="1" applyAlignment="1">
      <alignment horizontal="center"/>
    </xf>
    <xf numFmtId="0" fontId="215" fillId="103" borderId="85" xfId="6346" applyFont="1" applyFill="1" applyBorder="1" applyAlignment="1">
      <alignment horizontal="center"/>
    </xf>
    <xf numFmtId="0" fontId="215" fillId="104" borderId="0" xfId="0" applyFont="1" applyFill="1" applyAlignment="1">
      <alignment wrapText="1"/>
    </xf>
    <xf numFmtId="0" fontId="215" fillId="0" borderId="11" xfId="0" applyFont="1" applyBorder="1" applyAlignment="1">
      <alignment wrapText="1"/>
    </xf>
    <xf numFmtId="0" fontId="215" fillId="0" borderId="59" xfId="0" applyFont="1" applyBorder="1" applyAlignment="1">
      <alignment horizontal="center" wrapText="1"/>
    </xf>
    <xf numFmtId="0" fontId="216" fillId="0" borderId="0" xfId="6346" applyFont="1" applyAlignment="1">
      <alignment horizontal="center" vertical="center"/>
    </xf>
    <xf numFmtId="0" fontId="216" fillId="0" borderId="0" xfId="0" applyFont="1" applyAlignment="1">
      <alignment vertical="center" wrapText="1"/>
    </xf>
    <xf numFmtId="0" fontId="215" fillId="103" borderId="58" xfId="0" applyFont="1" applyFill="1" applyBorder="1" applyAlignment="1">
      <alignment horizontal="center" vertical="center" wrapText="1"/>
    </xf>
    <xf numFmtId="0" fontId="215" fillId="103" borderId="59" xfId="0" applyFont="1" applyFill="1" applyBorder="1" applyAlignment="1">
      <alignment horizontal="center" vertical="center" wrapText="1"/>
    </xf>
    <xf numFmtId="0" fontId="215" fillId="0" borderId="83" xfId="0" applyFont="1" applyBorder="1" applyAlignment="1">
      <alignment horizontal="center" vertical="center" wrapText="1"/>
    </xf>
    <xf numFmtId="0" fontId="215" fillId="103" borderId="11" xfId="0" applyFont="1" applyFill="1" applyBorder="1" applyAlignment="1">
      <alignment horizontal="center" vertical="center" wrapText="1"/>
    </xf>
    <xf numFmtId="0" fontId="215" fillId="0" borderId="83" xfId="6346" applyFont="1" applyBorder="1" applyAlignment="1">
      <alignment horizontal="center" vertical="center" wrapText="1"/>
    </xf>
    <xf numFmtId="0" fontId="215" fillId="103" borderId="58" xfId="6346" applyFont="1" applyFill="1" applyBorder="1" applyAlignment="1">
      <alignment horizontal="center" vertical="center" wrapText="1"/>
    </xf>
    <xf numFmtId="0" fontId="215" fillId="103" borderId="11" xfId="6346" applyFont="1" applyFill="1" applyBorder="1" applyAlignment="1">
      <alignment horizontal="center" vertical="center" wrapText="1"/>
    </xf>
    <xf numFmtId="0" fontId="215" fillId="103" borderId="59" xfId="6346" applyFont="1" applyFill="1" applyBorder="1" applyAlignment="1">
      <alignment horizontal="center" vertical="center" wrapText="1"/>
    </xf>
    <xf numFmtId="0" fontId="215" fillId="0" borderId="84" xfId="6346" applyFont="1" applyBorder="1" applyAlignment="1">
      <alignment horizontal="center" vertical="center"/>
    </xf>
    <xf numFmtId="0" fontId="215" fillId="0" borderId="70" xfId="6346" applyFont="1" applyBorder="1" applyAlignment="1">
      <alignment horizontal="center" vertical="center"/>
    </xf>
    <xf numFmtId="0" fontId="215" fillId="0" borderId="52" xfId="6346" applyFont="1" applyBorder="1" applyAlignment="1">
      <alignment horizontal="center" vertical="center"/>
    </xf>
    <xf numFmtId="1" fontId="215" fillId="0" borderId="52" xfId="6346" applyNumberFormat="1" applyFont="1" applyBorder="1" applyAlignment="1">
      <alignment horizontal="center" vertical="center"/>
    </xf>
    <xf numFmtId="1" fontId="215" fillId="0" borderId="70" xfId="6346" applyNumberFormat="1" applyFont="1" applyBorder="1" applyAlignment="1">
      <alignment horizontal="center" vertical="center"/>
    </xf>
    <xf numFmtId="1" fontId="215" fillId="103" borderId="0" xfId="6346" applyNumberFormat="1" applyFont="1" applyFill="1" applyAlignment="1">
      <alignment horizontal="center" vertical="center"/>
    </xf>
    <xf numFmtId="0" fontId="215" fillId="0" borderId="73" xfId="6346" applyFont="1" applyBorder="1" applyAlignment="1">
      <alignment horizontal="center" vertical="center"/>
    </xf>
    <xf numFmtId="0" fontId="215" fillId="0" borderId="72" xfId="6346" applyFont="1" applyBorder="1" applyAlignment="1">
      <alignment horizontal="center" vertical="center"/>
    </xf>
    <xf numFmtId="0" fontId="238" fillId="103" borderId="0" xfId="6346" applyFont="1" applyFill="1" applyAlignment="1">
      <alignment horizontal="center" vertical="center"/>
    </xf>
    <xf numFmtId="0" fontId="215" fillId="0" borderId="62" xfId="6346" applyFont="1" applyBorder="1" applyAlignment="1">
      <alignment horizontal="center" vertical="center"/>
    </xf>
    <xf numFmtId="0" fontId="215" fillId="0" borderId="69" xfId="6346" applyFont="1" applyBorder="1" applyAlignment="1">
      <alignment horizontal="center" vertical="center"/>
    </xf>
    <xf numFmtId="0" fontId="215" fillId="103" borderId="11" xfId="6346" applyFont="1" applyFill="1" applyBorder="1" applyAlignment="1">
      <alignment horizontal="center" vertical="center"/>
    </xf>
    <xf numFmtId="1" fontId="215" fillId="103" borderId="11" xfId="6346" applyNumberFormat="1" applyFont="1" applyFill="1" applyBorder="1" applyAlignment="1">
      <alignment horizontal="center" vertical="center"/>
    </xf>
    <xf numFmtId="0" fontId="215" fillId="103" borderId="86" xfId="6346" applyFont="1" applyFill="1" applyBorder="1" applyAlignment="1">
      <alignment horizontal="center" vertical="center"/>
    </xf>
    <xf numFmtId="0" fontId="215" fillId="103" borderId="56" xfId="6346" applyFont="1" applyFill="1" applyBorder="1" applyAlignment="1">
      <alignment horizontal="center" vertical="center"/>
    </xf>
    <xf numFmtId="0" fontId="215" fillId="103" borderId="87" xfId="6346" applyFont="1" applyFill="1" applyBorder="1" applyAlignment="1">
      <alignment horizontal="center" vertical="center"/>
    </xf>
    <xf numFmtId="0" fontId="215" fillId="103" borderId="75" xfId="6346" applyFont="1" applyFill="1" applyBorder="1" applyAlignment="1">
      <alignment horizontal="center" vertical="center"/>
    </xf>
    <xf numFmtId="0" fontId="215" fillId="104" borderId="0" xfId="0" applyFont="1" applyFill="1"/>
    <xf numFmtId="0" fontId="215" fillId="104" borderId="0" xfId="0" applyFont="1" applyFill="1" applyAlignment="1">
      <alignment horizontal="center" vertical="center" wrapText="1"/>
    </xf>
    <xf numFmtId="0" fontId="216" fillId="104" borderId="0" xfId="0" applyFont="1" applyFill="1" applyAlignment="1">
      <alignment horizontal="center" wrapText="1"/>
    </xf>
    <xf numFmtId="0" fontId="216" fillId="104" borderId="0" xfId="0" applyFont="1" applyFill="1" applyAlignment="1">
      <alignment horizontal="right" wrapText="1"/>
    </xf>
    <xf numFmtId="0" fontId="219" fillId="0" borderId="91" xfId="0" applyFont="1" applyBorder="1" applyAlignment="1">
      <alignment horizontal="center" vertical="center" wrapText="1"/>
    </xf>
    <xf numFmtId="0" fontId="0" fillId="0" borderId="64" xfId="0" applyBorder="1"/>
    <xf numFmtId="0" fontId="215" fillId="0" borderId="65" xfId="0" applyFont="1" applyBorder="1" applyAlignment="1">
      <alignment horizontal="center" vertical="center"/>
    </xf>
    <xf numFmtId="0" fontId="215" fillId="0" borderId="66" xfId="0" applyFont="1" applyBorder="1" applyAlignment="1">
      <alignment horizontal="center" vertical="center"/>
    </xf>
    <xf numFmtId="0" fontId="215" fillId="0" borderId="0" xfId="0" applyFont="1" applyAlignment="1">
      <alignment horizontal="left" vertical="center" wrapText="1"/>
    </xf>
    <xf numFmtId="164" fontId="222" fillId="0" borderId="0" xfId="42049" applyFont="1" applyFill="1" applyBorder="1"/>
    <xf numFmtId="1" fontId="218" fillId="94" borderId="20" xfId="0" applyNumberFormat="1" applyFont="1" applyFill="1" applyBorder="1" applyAlignment="1">
      <alignment vertical="center"/>
    </xf>
    <xf numFmtId="9" fontId="217" fillId="103" borderId="20" xfId="42456" applyFont="1" applyFill="1" applyBorder="1"/>
    <xf numFmtId="0" fontId="216" fillId="0" borderId="0" xfId="0" applyFont="1" applyAlignment="1">
      <alignment horizontal="left" vertical="center" wrapText="1"/>
    </xf>
    <xf numFmtId="222" fontId="216" fillId="0" borderId="0" xfId="0" applyNumberFormat="1" applyFont="1" applyAlignment="1">
      <alignment horizontal="right"/>
    </xf>
    <xf numFmtId="222" fontId="216" fillId="0" borderId="0" xfId="0" applyNumberFormat="1" applyFont="1" applyAlignment="1">
      <alignment wrapText="1"/>
    </xf>
    <xf numFmtId="222" fontId="215" fillId="0" borderId="20" xfId="0" applyNumberFormat="1" applyFont="1" applyBorder="1" applyAlignment="1">
      <alignment horizontal="center" vertical="center"/>
    </xf>
    <xf numFmtId="222" fontId="217" fillId="96" borderId="0" xfId="0" applyNumberFormat="1" applyFont="1" applyFill="1" applyAlignment="1">
      <alignment vertical="center"/>
    </xf>
    <xf numFmtId="2" fontId="217" fillId="0" borderId="0" xfId="0" applyNumberFormat="1" applyFont="1" applyAlignment="1">
      <alignment vertical="center"/>
    </xf>
    <xf numFmtId="335" fontId="222" fillId="0" borderId="0" xfId="42049" applyNumberFormat="1" applyFont="1" applyFill="1" applyBorder="1"/>
    <xf numFmtId="17" fontId="215" fillId="0" borderId="0" xfId="0" applyNumberFormat="1" applyFont="1" applyAlignment="1">
      <alignment horizontal="center" vertical="center"/>
    </xf>
    <xf numFmtId="0" fontId="216" fillId="0" borderId="0" xfId="0" applyFont="1" applyAlignment="1">
      <alignment horizontal="left" vertical="center"/>
    </xf>
    <xf numFmtId="164" fontId="223" fillId="0" borderId="0" xfId="42049" applyFont="1" applyFill="1" applyBorder="1"/>
    <xf numFmtId="164" fontId="217" fillId="0" borderId="0" xfId="42049" applyFont="1" applyFill="1" applyBorder="1"/>
    <xf numFmtId="2" fontId="222" fillId="0" borderId="0" xfId="0" applyNumberFormat="1" applyFont="1"/>
    <xf numFmtId="342" fontId="222" fillId="0" borderId="0" xfId="42049" applyNumberFormat="1" applyFont="1" applyFill="1" applyBorder="1"/>
    <xf numFmtId="0" fontId="218" fillId="0" borderId="0" xfId="0" applyFont="1" applyAlignment="1">
      <alignment wrapText="1"/>
    </xf>
    <xf numFmtId="0" fontId="216" fillId="102" borderId="97" xfId="0" applyFont="1" applyFill="1" applyBorder="1" applyAlignment="1">
      <alignment horizontal="left" vertical="top" wrapText="1"/>
    </xf>
    <xf numFmtId="0" fontId="216" fillId="102" borderId="83" xfId="0" applyFont="1" applyFill="1" applyBorder="1" applyAlignment="1">
      <alignment horizontal="left" vertical="top" wrapText="1"/>
    </xf>
    <xf numFmtId="1" fontId="218" fillId="0" borderId="20" xfId="0" applyNumberFormat="1" applyFont="1" applyBorder="1"/>
    <xf numFmtId="1" fontId="222" fillId="97" borderId="52" xfId="0" applyNumberFormat="1" applyFont="1" applyFill="1" applyBorder="1"/>
    <xf numFmtId="1" fontId="215" fillId="96" borderId="20" xfId="42049" applyNumberFormat="1" applyFont="1" applyFill="1" applyBorder="1"/>
    <xf numFmtId="9" fontId="222" fillId="97" borderId="31" xfId="42456" applyFont="1" applyFill="1" applyBorder="1"/>
    <xf numFmtId="0" fontId="218" fillId="0" borderId="60" xfId="0" applyFont="1" applyBorder="1"/>
    <xf numFmtId="0" fontId="218" fillId="0" borderId="61" xfId="0" applyFont="1" applyBorder="1"/>
    <xf numFmtId="1" fontId="215" fillId="96" borderId="73" xfId="42049" applyNumberFormat="1" applyFont="1" applyFill="1" applyBorder="1"/>
    <xf numFmtId="1" fontId="218" fillId="0" borderId="64" xfId="0" applyNumberFormat="1" applyFont="1" applyBorder="1"/>
    <xf numFmtId="1" fontId="218" fillId="0" borderId="65" xfId="0" applyNumberFormat="1" applyFont="1" applyBorder="1"/>
    <xf numFmtId="1" fontId="218" fillId="0" borderId="66" xfId="0" applyNumberFormat="1" applyFont="1" applyBorder="1"/>
    <xf numFmtId="1" fontId="218" fillId="0" borderId="73" xfId="0" applyNumberFormat="1" applyFont="1" applyBorder="1"/>
    <xf numFmtId="1" fontId="218" fillId="0" borderId="72" xfId="0" applyNumberFormat="1" applyFont="1" applyBorder="1"/>
    <xf numFmtId="1" fontId="222" fillId="97" borderId="84" xfId="0" applyNumberFormat="1" applyFont="1" applyFill="1" applyBorder="1"/>
    <xf numFmtId="9" fontId="222" fillId="97" borderId="70" xfId="42456" applyFont="1" applyFill="1" applyBorder="1"/>
    <xf numFmtId="1" fontId="222" fillId="97" borderId="88" xfId="0" applyNumberFormat="1" applyFont="1" applyFill="1" applyBorder="1"/>
    <xf numFmtId="1" fontId="222" fillId="97" borderId="53" xfId="0" applyNumberFormat="1" applyFont="1" applyFill="1" applyBorder="1"/>
    <xf numFmtId="9" fontId="222" fillId="97" borderId="2" xfId="42456" applyFont="1" applyFill="1" applyBorder="1"/>
    <xf numFmtId="9" fontId="222" fillId="97" borderId="89" xfId="42456" applyFont="1" applyFill="1" applyBorder="1"/>
    <xf numFmtId="1" fontId="215" fillId="96" borderId="78" xfId="42049" applyNumberFormat="1" applyFont="1" applyFill="1" applyBorder="1"/>
    <xf numFmtId="1" fontId="215" fillId="96" borderId="50" xfId="42049" applyNumberFormat="1" applyFont="1" applyFill="1" applyBorder="1"/>
    <xf numFmtId="1" fontId="223" fillId="97" borderId="63" xfId="0" applyNumberFormat="1" applyFont="1" applyFill="1" applyBorder="1"/>
    <xf numFmtId="1" fontId="223" fillId="97" borderId="74" xfId="0" applyNumberFormat="1" applyFont="1" applyFill="1" applyBorder="1"/>
    <xf numFmtId="9" fontId="223" fillId="97" borderId="86" xfId="42456" applyFont="1" applyFill="1" applyBorder="1"/>
    <xf numFmtId="9" fontId="223" fillId="97" borderId="75" xfId="42456" applyFont="1" applyFill="1" applyBorder="1"/>
    <xf numFmtId="1" fontId="216" fillId="96" borderId="63" xfId="42049" applyNumberFormat="1" applyFont="1" applyFill="1" applyBorder="1"/>
    <xf numFmtId="1" fontId="216" fillId="96" borderId="74" xfId="42049" applyNumberFormat="1" applyFont="1" applyFill="1" applyBorder="1"/>
    <xf numFmtId="0" fontId="219" fillId="0" borderId="92" xfId="0" applyFont="1" applyBorder="1" applyAlignment="1">
      <alignment horizontal="center" vertical="center" wrapText="1"/>
    </xf>
    <xf numFmtId="9" fontId="215" fillId="0" borderId="60" xfId="42456" applyFont="1" applyBorder="1" applyAlignment="1">
      <alignment horizontal="center" vertical="center" wrapText="1"/>
    </xf>
    <xf numFmtId="9" fontId="216" fillId="0" borderId="93" xfId="42456" applyFont="1" applyBorder="1" applyAlignment="1">
      <alignment horizontal="center" vertical="center" wrapText="1"/>
    </xf>
    <xf numFmtId="1" fontId="222" fillId="97" borderId="73" xfId="0" applyNumberFormat="1" applyFont="1" applyFill="1" applyBorder="1"/>
    <xf numFmtId="1" fontId="215" fillId="96" borderId="72" xfId="42049" applyNumberFormat="1" applyFont="1" applyFill="1" applyBorder="1"/>
    <xf numFmtId="1" fontId="222" fillId="97" borderId="78" xfId="0" applyNumberFormat="1" applyFont="1" applyFill="1" applyBorder="1"/>
    <xf numFmtId="1" fontId="222" fillId="97" borderId="50" xfId="0" applyNumberFormat="1" applyFont="1" applyFill="1" applyBorder="1"/>
    <xf numFmtId="1" fontId="215" fillId="96" borderId="71" xfId="42049" applyNumberFormat="1" applyFont="1" applyFill="1" applyBorder="1"/>
    <xf numFmtId="1" fontId="216" fillId="96" borderId="75" xfId="42049" applyNumberFormat="1" applyFont="1" applyFill="1" applyBorder="1"/>
    <xf numFmtId="1" fontId="215" fillId="96" borderId="52" xfId="42049" applyNumberFormat="1" applyFont="1" applyFill="1" applyBorder="1"/>
    <xf numFmtId="1" fontId="215" fillId="96" borderId="70" xfId="42049" applyNumberFormat="1" applyFont="1" applyFill="1" applyBorder="1"/>
    <xf numFmtId="0" fontId="219" fillId="0" borderId="58" xfId="0" applyFont="1" applyBorder="1" applyAlignment="1">
      <alignment horizontal="center" vertical="center" wrapText="1"/>
    </xf>
    <xf numFmtId="0" fontId="219" fillId="0" borderId="62" xfId="0" applyFont="1" applyBorder="1" applyAlignment="1">
      <alignment horizontal="center" vertical="center" wrapText="1"/>
    </xf>
    <xf numFmtId="0" fontId="219" fillId="0" borderId="68" xfId="0" applyFont="1" applyBorder="1" applyAlignment="1">
      <alignment horizontal="center" vertical="center" wrapText="1"/>
    </xf>
    <xf numFmtId="0" fontId="215" fillId="0" borderId="20" xfId="0" applyFont="1" applyBorder="1" applyAlignment="1">
      <alignment horizontal="center"/>
    </xf>
    <xf numFmtId="0" fontId="215" fillId="0" borderId="20" xfId="42051" applyFont="1" applyBorder="1" applyAlignment="1">
      <alignment horizontal="center" vertical="center" wrapText="1"/>
    </xf>
    <xf numFmtId="0" fontId="215" fillId="0" borderId="5" xfId="0" applyFont="1" applyBorder="1" applyAlignment="1">
      <alignment horizontal="center" vertical="center" wrapText="1"/>
    </xf>
    <xf numFmtId="0" fontId="215" fillId="0" borderId="51" xfId="0" applyFont="1" applyBorder="1" applyAlignment="1">
      <alignment horizontal="center" vertical="center" wrapText="1"/>
    </xf>
    <xf numFmtId="0" fontId="215" fillId="0" borderId="5" xfId="42051" applyFont="1" applyBorder="1" applyAlignment="1">
      <alignment horizontal="center" vertical="center" wrapText="1"/>
    </xf>
    <xf numFmtId="0" fontId="215" fillId="0" borderId="51" xfId="42051" applyFont="1" applyBorder="1" applyAlignment="1">
      <alignment horizontal="center" vertical="center" wrapText="1"/>
    </xf>
    <xf numFmtId="222" fontId="215" fillId="0" borderId="14" xfId="0" applyNumberFormat="1" applyFont="1" applyBorder="1" applyAlignment="1">
      <alignment horizontal="center" vertical="center"/>
    </xf>
    <xf numFmtId="222" fontId="215" fillId="0" borderId="51" xfId="0" applyNumberFormat="1" applyFont="1" applyBorder="1" applyAlignment="1">
      <alignment horizontal="center" vertical="center"/>
    </xf>
    <xf numFmtId="0" fontId="215" fillId="0" borderId="50" xfId="0" applyFont="1" applyBorder="1" applyAlignment="1">
      <alignment horizontal="center" vertical="center" wrapText="1"/>
    </xf>
    <xf numFmtId="222" fontId="222" fillId="97" borderId="20" xfId="0" applyNumberFormat="1" applyFont="1" applyFill="1" applyBorder="1" applyAlignment="1">
      <alignment wrapText="1"/>
    </xf>
    <xf numFmtId="0" fontId="230" fillId="0" borderId="0" xfId="0" applyFont="1" applyAlignment="1">
      <alignment vertical="center"/>
    </xf>
    <xf numFmtId="0" fontId="230" fillId="0" borderId="0" xfId="0" applyFont="1" applyAlignment="1">
      <alignment vertical="center" wrapText="1"/>
    </xf>
    <xf numFmtId="0" fontId="0" fillId="0" borderId="20" xfId="0" applyBorder="1" applyAlignment="1">
      <alignment vertical="center" wrapText="1"/>
    </xf>
    <xf numFmtId="0" fontId="0" fillId="0" borderId="0" xfId="0" applyAlignment="1">
      <alignment vertical="center"/>
    </xf>
    <xf numFmtId="0" fontId="215" fillId="0" borderId="65" xfId="0" applyFont="1" applyBorder="1" applyAlignment="1">
      <alignment horizontal="left" vertical="center" wrapText="1"/>
    </xf>
    <xf numFmtId="0" fontId="216" fillId="0" borderId="66" xfId="0" applyFont="1" applyBorder="1" applyAlignment="1">
      <alignment horizontal="left" vertical="center" wrapText="1"/>
    </xf>
    <xf numFmtId="0" fontId="215" fillId="0" borderId="73" xfId="0" applyFont="1" applyBorder="1" applyAlignment="1">
      <alignment horizontal="left" vertical="center"/>
    </xf>
    <xf numFmtId="0" fontId="216" fillId="0" borderId="62" xfId="0" applyFont="1" applyBorder="1" applyAlignment="1">
      <alignment horizontal="left" vertical="center"/>
    </xf>
    <xf numFmtId="0" fontId="215" fillId="0" borderId="78" xfId="0" applyFont="1" applyBorder="1" applyAlignment="1">
      <alignment horizontal="right" vertical="center"/>
    </xf>
    <xf numFmtId="2" fontId="222" fillId="97" borderId="73" xfId="0" applyNumberFormat="1" applyFont="1" applyFill="1" applyBorder="1"/>
    <xf numFmtId="0" fontId="215" fillId="101" borderId="72" xfId="0" applyFont="1" applyFill="1" applyBorder="1" applyAlignment="1">
      <alignment horizontal="center"/>
    </xf>
    <xf numFmtId="2" fontId="223" fillId="97" borderId="62" xfId="0" applyNumberFormat="1" applyFont="1" applyFill="1" applyBorder="1"/>
    <xf numFmtId="2" fontId="223" fillId="97" borderId="68" xfId="0" applyNumberFormat="1" applyFont="1" applyFill="1" applyBorder="1"/>
    <xf numFmtId="2" fontId="215" fillId="101" borderId="68" xfId="0" applyNumberFormat="1" applyFont="1" applyFill="1" applyBorder="1"/>
    <xf numFmtId="0" fontId="215" fillId="101" borderId="68" xfId="0" applyFont="1" applyFill="1" applyBorder="1"/>
    <xf numFmtId="0" fontId="215" fillId="0" borderId="69" xfId="0" applyFont="1" applyBorder="1" applyAlignment="1">
      <alignment horizontal="center"/>
    </xf>
    <xf numFmtId="0" fontId="215" fillId="0" borderId="99" xfId="0" applyFont="1" applyBorder="1"/>
    <xf numFmtId="0" fontId="215" fillId="0" borderId="81" xfId="0" applyFont="1" applyBorder="1"/>
    <xf numFmtId="0" fontId="216" fillId="0" borderId="100" xfId="0" applyFont="1" applyBorder="1"/>
    <xf numFmtId="0" fontId="215" fillId="0" borderId="72" xfId="0" applyFont="1" applyBorder="1" applyAlignment="1">
      <alignment horizontal="right" vertical="center"/>
    </xf>
    <xf numFmtId="164" fontId="215" fillId="96" borderId="73" xfId="0" applyNumberFormat="1" applyFont="1" applyFill="1" applyBorder="1"/>
    <xf numFmtId="0" fontId="215" fillId="101" borderId="72" xfId="0" applyFont="1" applyFill="1" applyBorder="1"/>
    <xf numFmtId="0" fontId="215" fillId="101" borderId="69" xfId="0" applyFont="1" applyFill="1" applyBorder="1"/>
    <xf numFmtId="0" fontId="215" fillId="0" borderId="100" xfId="0" applyFont="1" applyBorder="1"/>
    <xf numFmtId="0" fontId="215" fillId="0" borderId="64" xfId="0" applyFont="1" applyBorder="1" applyAlignment="1">
      <alignment horizontal="center" vertical="center" wrapText="1"/>
    </xf>
    <xf numFmtId="0" fontId="215" fillId="0" borderId="66" xfId="0" applyFont="1" applyBorder="1" applyAlignment="1">
      <alignment horizontal="center" vertical="center" wrapText="1"/>
    </xf>
    <xf numFmtId="222" fontId="222" fillId="97" borderId="73" xfId="0" applyNumberFormat="1" applyFont="1" applyFill="1" applyBorder="1"/>
    <xf numFmtId="2" fontId="222" fillId="97" borderId="72" xfId="0" applyNumberFormat="1" applyFont="1" applyFill="1" applyBorder="1"/>
    <xf numFmtId="222" fontId="223" fillId="103" borderId="62" xfId="0" applyNumberFormat="1" applyFont="1" applyFill="1" applyBorder="1"/>
    <xf numFmtId="2" fontId="223" fillId="103" borderId="68" xfId="0" applyNumberFormat="1" applyFont="1" applyFill="1" applyBorder="1"/>
    <xf numFmtId="2" fontId="223" fillId="103" borderId="69" xfId="0" applyNumberFormat="1" applyFont="1" applyFill="1" applyBorder="1"/>
    <xf numFmtId="2" fontId="222" fillId="97" borderId="62" xfId="0" applyNumberFormat="1" applyFont="1" applyFill="1" applyBorder="1"/>
    <xf numFmtId="2" fontId="222" fillId="97" borderId="68" xfId="0" applyNumberFormat="1" applyFont="1" applyFill="1" applyBorder="1"/>
    <xf numFmtId="2" fontId="222" fillId="101" borderId="73" xfId="0" applyNumberFormat="1" applyFont="1" applyFill="1" applyBorder="1"/>
    <xf numFmtId="2" fontId="222" fillId="101" borderId="72" xfId="0" applyNumberFormat="1" applyFont="1" applyFill="1" applyBorder="1"/>
    <xf numFmtId="2" fontId="222" fillId="101" borderId="62" xfId="0" applyNumberFormat="1" applyFont="1" applyFill="1" applyBorder="1"/>
    <xf numFmtId="2" fontId="222" fillId="101" borderId="68" xfId="0" applyNumberFormat="1" applyFont="1" applyFill="1" applyBorder="1"/>
    <xf numFmtId="2" fontId="222" fillId="101" borderId="69" xfId="0" applyNumberFormat="1" applyFont="1" applyFill="1" applyBorder="1"/>
    <xf numFmtId="222" fontId="222" fillId="101" borderId="73" xfId="0" applyNumberFormat="1" applyFont="1" applyFill="1" applyBorder="1"/>
    <xf numFmtId="0" fontId="215" fillId="0" borderId="101" xfId="0" applyFont="1" applyBorder="1" applyAlignment="1">
      <alignment horizontal="center" vertical="center" wrapText="1"/>
    </xf>
    <xf numFmtId="0" fontId="215" fillId="0" borderId="102" xfId="0" applyFont="1" applyBorder="1" applyAlignment="1">
      <alignment horizontal="center" vertical="center" wrapText="1"/>
    </xf>
    <xf numFmtId="335" fontId="222" fillId="97" borderId="73" xfId="42049" applyNumberFormat="1" applyFont="1" applyFill="1" applyBorder="1" applyAlignment="1">
      <alignment horizontal="right"/>
    </xf>
    <xf numFmtId="9" fontId="222" fillId="97" borderId="72" xfId="42456" applyFont="1" applyFill="1" applyBorder="1" applyAlignment="1">
      <alignment horizontal="right"/>
    </xf>
    <xf numFmtId="335" fontId="222" fillId="101" borderId="51" xfId="42049" applyNumberFormat="1" applyFont="1" applyFill="1" applyBorder="1" applyAlignment="1">
      <alignment horizontal="right"/>
    </xf>
    <xf numFmtId="335" fontId="222" fillId="101" borderId="73" xfId="42049" applyNumberFormat="1" applyFont="1" applyFill="1" applyBorder="1" applyAlignment="1">
      <alignment horizontal="right"/>
    </xf>
    <xf numFmtId="9" fontId="222" fillId="101" borderId="72" xfId="42456" applyFont="1" applyFill="1" applyBorder="1" applyAlignment="1">
      <alignment horizontal="right"/>
    </xf>
    <xf numFmtId="335" fontId="222" fillId="101" borderId="62" xfId="42049" applyNumberFormat="1" applyFont="1" applyFill="1" applyBorder="1" applyAlignment="1">
      <alignment horizontal="right"/>
    </xf>
    <xf numFmtId="9" fontId="222" fillId="101" borderId="69" xfId="42456" applyFont="1" applyFill="1" applyBorder="1" applyAlignment="1">
      <alignment horizontal="right"/>
    </xf>
    <xf numFmtId="0" fontId="215" fillId="0" borderId="103" xfId="0" applyFont="1" applyBorder="1" applyAlignment="1">
      <alignment horizontal="center" vertical="center" wrapText="1"/>
    </xf>
    <xf numFmtId="9" fontId="222" fillId="101" borderId="5" xfId="42456" applyFont="1" applyFill="1" applyBorder="1" applyAlignment="1">
      <alignment horizontal="right"/>
    </xf>
    <xf numFmtId="9" fontId="222" fillId="101" borderId="98" xfId="42456" applyFont="1" applyFill="1" applyBorder="1" applyAlignment="1">
      <alignment horizontal="right"/>
    </xf>
    <xf numFmtId="335" fontId="222" fillId="101" borderId="104" xfId="42049" applyNumberFormat="1" applyFont="1" applyFill="1" applyBorder="1" applyAlignment="1">
      <alignment horizontal="right"/>
    </xf>
    <xf numFmtId="335" fontId="222" fillId="101" borderId="81" xfId="42049" applyNumberFormat="1" applyFont="1" applyFill="1" applyBorder="1" applyAlignment="1">
      <alignment horizontal="right"/>
    </xf>
    <xf numFmtId="335" fontId="222" fillId="101" borderId="100" xfId="42049" applyNumberFormat="1" applyFont="1" applyFill="1" applyBorder="1" applyAlignment="1">
      <alignment horizontal="right"/>
    </xf>
    <xf numFmtId="17" fontId="215" fillId="0" borderId="64" xfId="0" applyNumberFormat="1" applyFont="1" applyBorder="1" applyAlignment="1">
      <alignment horizontal="center" vertical="center"/>
    </xf>
    <xf numFmtId="164" fontId="222" fillId="98" borderId="73" xfId="42049" applyFont="1" applyFill="1" applyBorder="1"/>
    <xf numFmtId="164" fontId="222" fillId="98" borderId="72" xfId="42049" applyFont="1" applyFill="1" applyBorder="1"/>
    <xf numFmtId="164" fontId="222" fillId="98" borderId="62" xfId="42049" applyFont="1" applyFill="1" applyBorder="1"/>
    <xf numFmtId="0" fontId="215" fillId="0" borderId="99" xfId="0" applyFont="1" applyBorder="1" applyAlignment="1">
      <alignment wrapText="1"/>
    </xf>
    <xf numFmtId="164" fontId="222" fillId="97" borderId="73" xfId="42049" applyFont="1" applyFill="1" applyBorder="1"/>
    <xf numFmtId="164" fontId="222" fillId="97" borderId="72" xfId="42049" applyFont="1" applyFill="1" applyBorder="1"/>
    <xf numFmtId="164" fontId="223" fillId="97" borderId="62" xfId="42049" applyFont="1" applyFill="1" applyBorder="1"/>
    <xf numFmtId="0" fontId="215" fillId="0" borderId="100" xfId="0" applyFont="1" applyBorder="1" applyAlignment="1">
      <alignment wrapText="1"/>
    </xf>
    <xf numFmtId="342" fontId="222" fillId="97" borderId="73" xfId="42049" applyNumberFormat="1" applyFont="1" applyFill="1" applyBorder="1"/>
    <xf numFmtId="342" fontId="222" fillId="97" borderId="72" xfId="42049" applyNumberFormat="1" applyFont="1" applyFill="1" applyBorder="1"/>
    <xf numFmtId="342" fontId="223" fillId="97" borderId="62" xfId="42049" applyNumberFormat="1" applyFont="1" applyFill="1" applyBorder="1"/>
    <xf numFmtId="0" fontId="216" fillId="0" borderId="93" xfId="0" applyFont="1" applyBorder="1"/>
    <xf numFmtId="0" fontId="215" fillId="0" borderId="78" xfId="0" applyFont="1" applyBorder="1" applyAlignment="1">
      <alignment horizontal="center" vertical="center"/>
    </xf>
    <xf numFmtId="0" fontId="215" fillId="0" borderId="71" xfId="0" applyFont="1" applyBorder="1" applyAlignment="1">
      <alignment horizontal="center" vertical="center"/>
    </xf>
    <xf numFmtId="2" fontId="222" fillId="98" borderId="73" xfId="0" applyNumberFormat="1" applyFont="1" applyFill="1" applyBorder="1"/>
    <xf numFmtId="2" fontId="222" fillId="98" borderId="72" xfId="0" applyNumberFormat="1" applyFont="1" applyFill="1" applyBorder="1"/>
    <xf numFmtId="2" fontId="223" fillId="98" borderId="62" xfId="0" applyNumberFormat="1" applyFont="1" applyFill="1" applyBorder="1"/>
    <xf numFmtId="2" fontId="223" fillId="98" borderId="68" xfId="0" applyNumberFormat="1" applyFont="1" applyFill="1" applyBorder="1"/>
    <xf numFmtId="2" fontId="223" fillId="98" borderId="69" xfId="0" applyNumberFormat="1" applyFont="1" applyFill="1" applyBorder="1"/>
    <xf numFmtId="2" fontId="218" fillId="101" borderId="72" xfId="0" applyNumberFormat="1" applyFont="1" applyFill="1" applyBorder="1"/>
    <xf numFmtId="2" fontId="217" fillId="101" borderId="69" xfId="0" applyNumberFormat="1" applyFont="1" applyFill="1" applyBorder="1"/>
    <xf numFmtId="0" fontId="215" fillId="0" borderId="73" xfId="0" applyFont="1" applyBorder="1" applyAlignment="1">
      <alignment horizontal="center"/>
    </xf>
    <xf numFmtId="0" fontId="215" fillId="0" borderId="72" xfId="0" applyFont="1" applyBorder="1" applyAlignment="1">
      <alignment horizontal="center"/>
    </xf>
    <xf numFmtId="2" fontId="223" fillId="97" borderId="69" xfId="0" applyNumberFormat="1" applyFont="1" applyFill="1" applyBorder="1"/>
    <xf numFmtId="0" fontId="215" fillId="0" borderId="107" xfId="0" applyFont="1" applyBorder="1"/>
    <xf numFmtId="2" fontId="215" fillId="0" borderId="64" xfId="0" applyNumberFormat="1" applyFont="1" applyBorder="1" applyAlignment="1">
      <alignment horizontal="center" vertical="center"/>
    </xf>
    <xf numFmtId="2" fontId="215" fillId="0" borderId="66" xfId="0" applyNumberFormat="1" applyFont="1" applyBorder="1" applyAlignment="1">
      <alignment horizontal="center" vertical="center"/>
    </xf>
    <xf numFmtId="222" fontId="222" fillId="98" borderId="73" xfId="0" applyNumberFormat="1" applyFont="1" applyFill="1" applyBorder="1"/>
    <xf numFmtId="222" fontId="222" fillId="97" borderId="72" xfId="0" applyNumberFormat="1" applyFont="1" applyFill="1" applyBorder="1"/>
    <xf numFmtId="222" fontId="223" fillId="98" borderId="62" xfId="0" applyNumberFormat="1" applyFont="1" applyFill="1" applyBorder="1"/>
    <xf numFmtId="222" fontId="223" fillId="97" borderId="69" xfId="0" applyNumberFormat="1" applyFont="1" applyFill="1" applyBorder="1"/>
    <xf numFmtId="0" fontId="215" fillId="100" borderId="72" xfId="0" applyFont="1" applyFill="1" applyBorder="1"/>
    <xf numFmtId="0" fontId="215" fillId="100" borderId="68" xfId="0" applyFont="1" applyFill="1" applyBorder="1"/>
    <xf numFmtId="0" fontId="215" fillId="100" borderId="69" xfId="0" applyFont="1" applyFill="1" applyBorder="1"/>
    <xf numFmtId="0" fontId="215" fillId="0" borderId="78" xfId="0" applyFont="1" applyBorder="1" applyAlignment="1">
      <alignment horizontal="right"/>
    </xf>
    <xf numFmtId="0" fontId="215" fillId="0" borderId="71" xfId="0" applyFont="1" applyBorder="1" applyAlignment="1">
      <alignment horizontal="right"/>
    </xf>
    <xf numFmtId="335" fontId="222" fillId="97" borderId="68" xfId="42049" applyNumberFormat="1" applyFont="1" applyFill="1" applyBorder="1"/>
    <xf numFmtId="0" fontId="215" fillId="100" borderId="65" xfId="0" applyFont="1" applyFill="1" applyBorder="1"/>
    <xf numFmtId="0" fontId="215" fillId="100" borderId="66" xfId="0" applyFont="1" applyFill="1" applyBorder="1"/>
    <xf numFmtId="164" fontId="222" fillId="97" borderId="68" xfId="42049" applyFont="1" applyFill="1" applyBorder="1"/>
    <xf numFmtId="10" fontId="222" fillId="97" borderId="73" xfId="0" applyNumberFormat="1" applyFont="1" applyFill="1" applyBorder="1"/>
    <xf numFmtId="10" fontId="222" fillId="97" borderId="62" xfId="0" applyNumberFormat="1" applyFont="1" applyFill="1" applyBorder="1"/>
    <xf numFmtId="10" fontId="222" fillId="97" borderId="68" xfId="0" applyNumberFormat="1" applyFont="1" applyFill="1" applyBorder="1"/>
    <xf numFmtId="335" fontId="222" fillId="97" borderId="73" xfId="42049" applyNumberFormat="1" applyFont="1" applyFill="1" applyBorder="1"/>
    <xf numFmtId="3" fontId="222" fillId="101" borderId="72" xfId="0" applyNumberFormat="1" applyFont="1" applyFill="1" applyBorder="1" applyAlignment="1">
      <alignment horizontal="center" vertical="center"/>
    </xf>
    <xf numFmtId="3" fontId="223" fillId="101" borderId="69" xfId="0" applyNumberFormat="1" applyFont="1" applyFill="1" applyBorder="1" applyAlignment="1">
      <alignment horizontal="center" vertical="center"/>
    </xf>
    <xf numFmtId="335" fontId="223" fillId="109" borderId="63" xfId="42049" applyNumberFormat="1" applyFont="1" applyFill="1" applyBorder="1" applyAlignment="1">
      <alignment horizontal="center"/>
    </xf>
    <xf numFmtId="335" fontId="223" fillId="109" borderId="74" xfId="42049" applyNumberFormat="1" applyFont="1" applyFill="1" applyBorder="1" applyAlignment="1">
      <alignment horizontal="center"/>
    </xf>
    <xf numFmtId="3" fontId="223" fillId="97" borderId="62" xfId="0" applyNumberFormat="1" applyFont="1" applyFill="1" applyBorder="1" applyAlignment="1">
      <alignment horizontal="right" vertical="center"/>
    </xf>
    <xf numFmtId="0" fontId="0" fillId="0" borderId="0" xfId="0" applyAlignment="1">
      <alignment horizontal="right" vertical="top" wrapText="1"/>
    </xf>
    <xf numFmtId="0" fontId="215" fillId="100" borderId="64" xfId="0" applyFont="1" applyFill="1" applyBorder="1" applyAlignment="1">
      <alignment horizontal="right"/>
    </xf>
    <xf numFmtId="9" fontId="222" fillId="97" borderId="65" xfId="0" applyNumberFormat="1" applyFont="1" applyFill="1" applyBorder="1" applyAlignment="1">
      <alignment horizontal="right"/>
    </xf>
    <xf numFmtId="0" fontId="215" fillId="100" borderId="65" xfId="0" applyFont="1" applyFill="1" applyBorder="1" applyAlignment="1">
      <alignment horizontal="right"/>
    </xf>
    <xf numFmtId="0" fontId="215" fillId="100" borderId="73" xfId="0" applyFont="1" applyFill="1" applyBorder="1" applyAlignment="1">
      <alignment horizontal="right"/>
    </xf>
    <xf numFmtId="9" fontId="222" fillId="97" borderId="20" xfId="0" applyNumberFormat="1" applyFont="1" applyFill="1" applyBorder="1" applyAlignment="1">
      <alignment horizontal="right"/>
    </xf>
    <xf numFmtId="0" fontId="215" fillId="100" borderId="20" xfId="0" applyFont="1" applyFill="1" applyBorder="1" applyAlignment="1">
      <alignment horizontal="right"/>
    </xf>
    <xf numFmtId="0" fontId="215" fillId="100" borderId="62" xfId="0" applyFont="1" applyFill="1" applyBorder="1" applyAlignment="1">
      <alignment horizontal="right"/>
    </xf>
    <xf numFmtId="0" fontId="215" fillId="100" borderId="68" xfId="0" applyFont="1" applyFill="1" applyBorder="1" applyAlignment="1">
      <alignment horizontal="right"/>
    </xf>
    <xf numFmtId="335" fontId="222" fillId="97" borderId="65" xfId="42049" applyNumberFormat="1" applyFont="1" applyFill="1" applyBorder="1" applyAlignment="1">
      <alignment horizontal="right"/>
    </xf>
    <xf numFmtId="0" fontId="233" fillId="0" borderId="0" xfId="0" applyFont="1" applyAlignment="1">
      <alignment horizontal="right"/>
    </xf>
    <xf numFmtId="10" fontId="222" fillId="97" borderId="73" xfId="0" applyNumberFormat="1" applyFont="1" applyFill="1" applyBorder="1" applyAlignment="1">
      <alignment horizontal="right"/>
    </xf>
    <xf numFmtId="335" fontId="215" fillId="0" borderId="0" xfId="0" applyNumberFormat="1" applyFont="1" applyAlignment="1">
      <alignment horizontal="right"/>
    </xf>
    <xf numFmtId="1" fontId="214" fillId="0" borderId="0" xfId="15288" applyNumberFormat="1" applyFont="1" applyAlignment="1">
      <alignment horizontal="right"/>
    </xf>
    <xf numFmtId="0" fontId="217" fillId="0" borderId="0" xfId="0" applyFont="1" applyAlignment="1">
      <alignment horizontal="right"/>
    </xf>
    <xf numFmtId="335" fontId="223" fillId="97" borderId="68" xfId="42049" applyNumberFormat="1" applyFont="1" applyFill="1" applyBorder="1" applyAlignment="1">
      <alignment horizontal="right"/>
    </xf>
    <xf numFmtId="335" fontId="223" fillId="97" borderId="69" xfId="42049" applyNumberFormat="1" applyFont="1" applyFill="1" applyBorder="1" applyAlignment="1">
      <alignment horizontal="right"/>
    </xf>
    <xf numFmtId="335" fontId="223" fillId="97" borderId="62" xfId="42049" applyNumberFormat="1" applyFont="1" applyFill="1" applyBorder="1" applyAlignment="1">
      <alignment horizontal="right"/>
    </xf>
    <xf numFmtId="1" fontId="215" fillId="0" borderId="0" xfId="0" applyNumberFormat="1" applyFont="1" applyAlignment="1">
      <alignment horizontal="right"/>
    </xf>
    <xf numFmtId="0" fontId="215" fillId="0" borderId="50" xfId="0" applyFont="1" applyBorder="1" applyAlignment="1">
      <alignment horizontal="right" vertical="center" wrapText="1"/>
    </xf>
    <xf numFmtId="0" fontId="215" fillId="0" borderId="0" xfId="0" applyFont="1" applyAlignment="1" applyProtection="1">
      <alignment horizontal="right"/>
      <protection locked="0"/>
    </xf>
    <xf numFmtId="0" fontId="221" fillId="0" borderId="0" xfId="0" applyFont="1" applyAlignment="1">
      <alignment horizontal="right"/>
    </xf>
    <xf numFmtId="0" fontId="215" fillId="0" borderId="0" xfId="42051" applyFont="1" applyAlignment="1">
      <alignment horizontal="right" wrapText="1"/>
    </xf>
    <xf numFmtId="0" fontId="215" fillId="0" borderId="20" xfId="0" applyFont="1" applyBorder="1" applyAlignment="1">
      <alignment horizontal="right" vertical="center" wrapText="1"/>
    </xf>
    <xf numFmtId="2" fontId="222" fillId="97" borderId="20" xfId="0" applyNumberFormat="1" applyFont="1" applyFill="1" applyBorder="1" applyAlignment="1">
      <alignment horizontal="right"/>
    </xf>
    <xf numFmtId="0" fontId="215" fillId="0" borderId="0" xfId="0" applyFont="1" applyAlignment="1">
      <alignment horizontal="right" vertical="center"/>
    </xf>
    <xf numFmtId="1" fontId="214" fillId="0" borderId="0" xfId="42051" applyNumberFormat="1" applyFont="1" applyAlignment="1">
      <alignment horizontal="right"/>
    </xf>
    <xf numFmtId="0" fontId="215" fillId="0" borderId="20" xfId="42051" applyFont="1" applyBorder="1" applyAlignment="1">
      <alignment horizontal="right" vertical="center" wrapText="1"/>
    </xf>
    <xf numFmtId="1" fontId="239" fillId="0" borderId="0" xfId="15288" applyNumberFormat="1" applyFont="1" applyAlignment="1">
      <alignment horizontal="center" vertical="center" wrapText="1"/>
    </xf>
    <xf numFmtId="335" fontId="222" fillId="97" borderId="62" xfId="42049" applyNumberFormat="1" applyFont="1" applyFill="1" applyBorder="1"/>
    <xf numFmtId="335" fontId="222" fillId="101" borderId="69" xfId="42049" applyNumberFormat="1" applyFont="1" applyFill="1" applyBorder="1"/>
    <xf numFmtId="1" fontId="214" fillId="0" borderId="64" xfId="42052" applyNumberFormat="1" applyFont="1" applyFill="1" applyBorder="1" applyAlignment="1">
      <alignment horizontal="center" vertical="center" wrapText="1"/>
    </xf>
    <xf numFmtId="1" fontId="214" fillId="0" borderId="65" xfId="42052" applyNumberFormat="1" applyFont="1" applyFill="1" applyBorder="1" applyAlignment="1">
      <alignment horizontal="center" vertical="center" wrapText="1"/>
    </xf>
    <xf numFmtId="0" fontId="215" fillId="0" borderId="64" xfId="0" applyFont="1" applyBorder="1" applyAlignment="1">
      <alignment horizontal="right" vertical="center" wrapText="1"/>
    </xf>
    <xf numFmtId="0" fontId="215" fillId="0" borderId="65" xfId="0" applyFont="1" applyBorder="1" applyAlignment="1">
      <alignment horizontal="right" vertical="center" wrapText="1"/>
    </xf>
    <xf numFmtId="10" fontId="222" fillId="97" borderId="73" xfId="42456" applyNumberFormat="1" applyFont="1" applyFill="1" applyBorder="1" applyAlignment="1">
      <alignment horizontal="right"/>
    </xf>
    <xf numFmtId="10" fontId="215" fillId="101" borderId="72" xfId="42456" applyNumberFormat="1" applyFont="1" applyFill="1" applyBorder="1"/>
    <xf numFmtId="10" fontId="216" fillId="101" borderId="69" xfId="42456" applyNumberFormat="1" applyFont="1" applyFill="1" applyBorder="1"/>
    <xf numFmtId="0" fontId="218" fillId="0" borderId="99" xfId="0" applyFont="1" applyBorder="1"/>
    <xf numFmtId="0" fontId="218" fillId="0" borderId="81" xfId="0" applyFont="1" applyBorder="1"/>
    <xf numFmtId="0" fontId="217" fillId="0" borderId="100" xfId="0" applyFont="1" applyBorder="1"/>
    <xf numFmtId="0" fontId="215" fillId="0" borderId="64" xfId="0" applyFont="1" applyBorder="1" applyAlignment="1">
      <alignment horizontal="right" vertical="center"/>
    </xf>
    <xf numFmtId="0" fontId="215" fillId="0" borderId="65" xfId="0" applyFont="1" applyBorder="1" applyAlignment="1">
      <alignment horizontal="right" vertical="center"/>
    </xf>
    <xf numFmtId="0" fontId="215" fillId="0" borderId="64" xfId="0" applyFont="1" applyBorder="1" applyAlignment="1">
      <alignment horizontal="center" vertical="center"/>
    </xf>
    <xf numFmtId="0" fontId="215" fillId="0" borderId="78" xfId="0" applyFont="1" applyBorder="1" applyAlignment="1">
      <alignment horizontal="right" vertical="center" wrapText="1"/>
    </xf>
    <xf numFmtId="229" fontId="222" fillId="97" borderId="73" xfId="42456" applyNumberFormat="1" applyFont="1" applyFill="1" applyBorder="1" applyAlignment="1">
      <alignment horizontal="right"/>
    </xf>
    <xf numFmtId="229" fontId="222" fillId="101" borderId="72" xfId="42456" applyNumberFormat="1" applyFont="1" applyFill="1" applyBorder="1"/>
    <xf numFmtId="229" fontId="222" fillId="101" borderId="69" xfId="42456" applyNumberFormat="1" applyFont="1" applyFill="1" applyBorder="1"/>
    <xf numFmtId="0" fontId="215" fillId="0" borderId="64" xfId="42051" applyFont="1" applyBorder="1" applyAlignment="1">
      <alignment horizontal="right" vertical="center" wrapText="1"/>
    </xf>
    <xf numFmtId="0" fontId="215" fillId="0" borderId="65" xfId="42051" applyFont="1" applyBorder="1" applyAlignment="1">
      <alignment horizontal="right" vertical="center" wrapText="1"/>
    </xf>
    <xf numFmtId="0" fontId="215" fillId="0" borderId="106" xfId="42051" applyFont="1" applyBorder="1" applyAlignment="1">
      <alignment horizontal="center" vertical="center" wrapText="1"/>
    </xf>
    <xf numFmtId="0" fontId="215" fillId="0" borderId="105" xfId="42051" applyFont="1" applyBorder="1" applyAlignment="1">
      <alignment horizontal="center" vertical="center" wrapText="1"/>
    </xf>
    <xf numFmtId="0" fontId="215" fillId="0" borderId="80" xfId="42051" applyFont="1" applyBorder="1" applyAlignment="1">
      <alignment horizontal="center" vertical="center" wrapText="1"/>
    </xf>
    <xf numFmtId="0" fontId="215" fillId="0" borderId="73" xfId="0" applyFont="1" applyBorder="1" applyAlignment="1">
      <alignment horizontal="right" vertical="center" wrapText="1"/>
    </xf>
    <xf numFmtId="0" fontId="215" fillId="0" borderId="72" xfId="0" applyFont="1" applyBorder="1" applyAlignment="1">
      <alignment horizontal="center" vertical="center" wrapText="1"/>
    </xf>
    <xf numFmtId="4" fontId="222" fillId="97" borderId="73" xfId="0" applyNumberFormat="1" applyFont="1" applyFill="1" applyBorder="1" applyAlignment="1">
      <alignment horizontal="right"/>
    </xf>
    <xf numFmtId="0" fontId="215" fillId="101" borderId="5" xfId="0" applyFont="1" applyFill="1" applyBorder="1"/>
    <xf numFmtId="0" fontId="215" fillId="101" borderId="51" xfId="0" applyFont="1" applyFill="1" applyBorder="1"/>
    <xf numFmtId="0" fontId="215" fillId="101" borderId="104" xfId="0" applyFont="1" applyFill="1" applyBorder="1"/>
    <xf numFmtId="0" fontId="215" fillId="0" borderId="76" xfId="42051" applyFont="1" applyBorder="1" applyAlignment="1">
      <alignment horizontal="center" vertical="center" wrapText="1"/>
    </xf>
    <xf numFmtId="0" fontId="215" fillId="0" borderId="73" xfId="0" applyFont="1" applyBorder="1" applyAlignment="1">
      <alignment horizontal="center" vertical="center" wrapText="1"/>
    </xf>
    <xf numFmtId="0" fontId="215" fillId="101" borderId="73" xfId="0" applyFont="1" applyFill="1" applyBorder="1"/>
    <xf numFmtId="0" fontId="215" fillId="0" borderId="106" xfId="42051" applyFont="1" applyBorder="1" applyAlignment="1">
      <alignment horizontal="right" vertical="center" wrapText="1"/>
    </xf>
    <xf numFmtId="0" fontId="215" fillId="0" borderId="5" xfId="0" applyFont="1" applyBorder="1" applyAlignment="1">
      <alignment horizontal="right" vertical="center" wrapText="1"/>
    </xf>
    <xf numFmtId="2" fontId="222" fillId="97" borderId="5" xfId="0" applyNumberFormat="1" applyFont="1" applyFill="1" applyBorder="1" applyAlignment="1">
      <alignment horizontal="right"/>
    </xf>
    <xf numFmtId="4" fontId="222" fillId="97" borderId="5" xfId="0" applyNumberFormat="1" applyFont="1" applyFill="1" applyBorder="1" applyAlignment="1">
      <alignment horizontal="right"/>
    </xf>
    <xf numFmtId="4" fontId="222" fillId="97" borderId="73" xfId="0" applyNumberFormat="1" applyFont="1" applyFill="1" applyBorder="1"/>
    <xf numFmtId="4" fontId="222" fillId="97" borderId="72" xfId="0" applyNumberFormat="1" applyFont="1" applyFill="1" applyBorder="1"/>
    <xf numFmtId="0" fontId="215" fillId="0" borderId="99" xfId="0" applyFont="1" applyBorder="1" applyAlignment="1">
      <alignment horizontal="right"/>
    </xf>
    <xf numFmtId="0" fontId="215" fillId="0" borderId="81" xfId="0" applyFont="1" applyBorder="1" applyAlignment="1">
      <alignment horizontal="right"/>
    </xf>
    <xf numFmtId="0" fontId="216" fillId="0" borderId="100" xfId="0" applyFont="1" applyBorder="1" applyAlignment="1">
      <alignment horizontal="right"/>
    </xf>
    <xf numFmtId="0" fontId="215" fillId="0" borderId="0" xfId="0" applyFont="1" applyAlignment="1">
      <alignment horizontal="left" vertical="center"/>
    </xf>
    <xf numFmtId="0" fontId="215" fillId="0" borderId="72" xfId="42051" applyFont="1" applyBorder="1" applyAlignment="1">
      <alignment horizontal="center" vertical="center" wrapText="1"/>
    </xf>
    <xf numFmtId="0" fontId="216" fillId="0" borderId="73" xfId="42051" applyFont="1" applyBorder="1" applyAlignment="1">
      <alignment horizontal="center" wrapText="1"/>
    </xf>
    <xf numFmtId="2" fontId="223" fillId="97" borderId="68" xfId="42051" applyNumberFormat="1" applyFont="1" applyFill="1" applyBorder="1" applyAlignment="1">
      <alignment horizontal="right" wrapText="1"/>
    </xf>
    <xf numFmtId="2" fontId="223" fillId="97" borderId="98" xfId="42051" applyNumberFormat="1" applyFont="1" applyFill="1" applyBorder="1" applyAlignment="1">
      <alignment horizontal="right" wrapText="1"/>
    </xf>
    <xf numFmtId="0" fontId="215" fillId="0" borderId="5" xfId="42051" applyFont="1" applyBorder="1" applyAlignment="1">
      <alignment horizontal="right" vertical="center" wrapText="1"/>
    </xf>
    <xf numFmtId="0" fontId="215" fillId="0" borderId="73" xfId="42051" applyFont="1" applyBorder="1" applyAlignment="1">
      <alignment horizontal="center" vertical="center" wrapText="1"/>
    </xf>
    <xf numFmtId="2" fontId="223" fillId="97" borderId="93" xfId="42051" applyNumberFormat="1" applyFont="1" applyFill="1" applyBorder="1" applyAlignment="1">
      <alignment horizontal="right" wrapText="1"/>
    </xf>
    <xf numFmtId="2" fontId="223" fillId="97" borderId="69" xfId="42051" applyNumberFormat="1" applyFont="1" applyFill="1" applyBorder="1" applyAlignment="1">
      <alignment horizontal="right" wrapText="1"/>
    </xf>
    <xf numFmtId="0" fontId="215" fillId="0" borderId="106" xfId="42051" applyFont="1" applyBorder="1" applyAlignment="1">
      <alignment horizontal="left" vertical="center" wrapText="1"/>
    </xf>
    <xf numFmtId="0" fontId="215" fillId="0" borderId="73" xfId="42051" applyFont="1" applyBorder="1" applyAlignment="1">
      <alignment horizontal="right" vertical="center" wrapText="1"/>
    </xf>
    <xf numFmtId="4" fontId="215" fillId="101" borderId="72" xfId="0" applyNumberFormat="1" applyFont="1" applyFill="1" applyBorder="1"/>
    <xf numFmtId="4" fontId="223" fillId="97" borderId="62" xfId="0" applyNumberFormat="1" applyFont="1" applyFill="1" applyBorder="1" applyAlignment="1">
      <alignment horizontal="right"/>
    </xf>
    <xf numFmtId="4" fontId="223" fillId="97" borderId="68" xfId="0" applyNumberFormat="1" applyFont="1" applyFill="1" applyBorder="1" applyAlignment="1">
      <alignment horizontal="right"/>
    </xf>
    <xf numFmtId="4" fontId="223" fillId="97" borderId="68" xfId="0" applyNumberFormat="1" applyFont="1" applyFill="1" applyBorder="1"/>
    <xf numFmtId="4" fontId="216" fillId="101" borderId="68" xfId="0" applyNumberFormat="1" applyFont="1" applyFill="1" applyBorder="1"/>
    <xf numFmtId="4" fontId="216" fillId="101" borderId="69" xfId="0" applyNumberFormat="1" applyFont="1" applyFill="1" applyBorder="1"/>
    <xf numFmtId="4" fontId="223" fillId="97" borderId="98" xfId="0" applyNumberFormat="1" applyFont="1" applyFill="1" applyBorder="1" applyAlignment="1">
      <alignment horizontal="right"/>
    </xf>
    <xf numFmtId="4" fontId="223" fillId="97" borderId="62" xfId="0" applyNumberFormat="1" applyFont="1" applyFill="1" applyBorder="1"/>
    <xf numFmtId="4" fontId="223" fillId="97" borderId="69" xfId="0" applyNumberFormat="1" applyFont="1" applyFill="1" applyBorder="1"/>
    <xf numFmtId="4" fontId="215" fillId="101" borderId="73" xfId="0" applyNumberFormat="1" applyFont="1" applyFill="1" applyBorder="1"/>
    <xf numFmtId="4" fontId="216" fillId="101" borderId="62" xfId="0" applyNumberFormat="1" applyFont="1" applyFill="1" applyBorder="1"/>
    <xf numFmtId="0" fontId="215" fillId="0" borderId="81" xfId="0" applyFont="1" applyBorder="1" applyAlignment="1">
      <alignment wrapText="1"/>
    </xf>
    <xf numFmtId="0" fontId="215" fillId="0" borderId="71" xfId="0" applyFont="1" applyBorder="1" applyAlignment="1">
      <alignment horizontal="center" vertical="center" wrapText="1"/>
    </xf>
    <xf numFmtId="2" fontId="222" fillId="97" borderId="73" xfId="0" applyNumberFormat="1" applyFont="1" applyFill="1" applyBorder="1" applyAlignment="1">
      <alignment horizontal="right"/>
    </xf>
    <xf numFmtId="2" fontId="223" fillId="97" borderId="62" xfId="0" applyNumberFormat="1" applyFont="1" applyFill="1" applyBorder="1" applyAlignment="1">
      <alignment horizontal="right"/>
    </xf>
    <xf numFmtId="2" fontId="223" fillId="97" borderId="68" xfId="0" applyNumberFormat="1" applyFont="1" applyFill="1" applyBorder="1" applyAlignment="1">
      <alignment horizontal="right"/>
    </xf>
    <xf numFmtId="2" fontId="223" fillId="101" borderId="68" xfId="0" applyNumberFormat="1" applyFont="1" applyFill="1" applyBorder="1"/>
    <xf numFmtId="2" fontId="223" fillId="101" borderId="69" xfId="0" applyNumberFormat="1" applyFont="1" applyFill="1" applyBorder="1"/>
    <xf numFmtId="335" fontId="223" fillId="97" borderId="62" xfId="0" applyNumberFormat="1" applyFont="1" applyFill="1" applyBorder="1" applyAlignment="1">
      <alignment horizontal="right"/>
    </xf>
    <xf numFmtId="0" fontId="216" fillId="101" borderId="69" xfId="0" applyFont="1" applyFill="1" applyBorder="1"/>
    <xf numFmtId="0" fontId="215" fillId="0" borderId="64" xfId="42051" applyFont="1" applyBorder="1" applyAlignment="1">
      <alignment horizontal="left" vertical="center" wrapText="1"/>
    </xf>
    <xf numFmtId="0" fontId="215" fillId="0" borderId="65" xfId="42051" applyFont="1" applyBorder="1" applyAlignment="1">
      <alignment horizontal="left" vertical="center" wrapText="1"/>
    </xf>
    <xf numFmtId="0" fontId="215" fillId="0" borderId="76" xfId="42051" applyFont="1" applyBorder="1" applyAlignment="1">
      <alignment horizontal="left" vertical="center" wrapText="1"/>
    </xf>
    <xf numFmtId="0" fontId="215" fillId="0" borderId="80" xfId="42051" applyFont="1" applyBorder="1" applyAlignment="1">
      <alignment horizontal="left" vertical="center" wrapText="1"/>
    </xf>
    <xf numFmtId="0" fontId="215" fillId="0" borderId="51" xfId="42051" applyFont="1" applyBorder="1" applyAlignment="1">
      <alignment horizontal="right" vertical="center" wrapText="1"/>
    </xf>
    <xf numFmtId="4" fontId="222" fillId="97" borderId="51" xfId="0" applyNumberFormat="1" applyFont="1" applyFill="1" applyBorder="1" applyAlignment="1">
      <alignment horizontal="right"/>
    </xf>
    <xf numFmtId="2" fontId="223" fillId="97" borderId="104" xfId="42051" applyNumberFormat="1" applyFont="1" applyFill="1" applyBorder="1" applyAlignment="1">
      <alignment horizontal="right" wrapText="1"/>
    </xf>
    <xf numFmtId="164" fontId="222" fillId="106" borderId="72" xfId="0" applyNumberFormat="1" applyFont="1" applyFill="1" applyBorder="1" applyAlignment="1">
      <alignment horizontal="right"/>
    </xf>
    <xf numFmtId="0" fontId="218" fillId="94" borderId="64" xfId="0" applyFont="1" applyFill="1" applyBorder="1" applyAlignment="1">
      <alignment horizontal="center" vertical="center"/>
    </xf>
    <xf numFmtId="0" fontId="218" fillId="94" borderId="65" xfId="0" applyFont="1" applyFill="1" applyBorder="1" applyAlignment="1">
      <alignment horizontal="center" vertical="center"/>
    </xf>
    <xf numFmtId="0" fontId="218" fillId="94" borderId="66" xfId="0" applyFont="1" applyFill="1" applyBorder="1" applyAlignment="1">
      <alignment horizontal="center" vertical="center"/>
    </xf>
    <xf numFmtId="229" fontId="218" fillId="94" borderId="73" xfId="42456" applyNumberFormat="1" applyFont="1" applyFill="1" applyBorder="1"/>
    <xf numFmtId="229" fontId="218" fillId="94" borderId="20" xfId="42456" applyNumberFormat="1" applyFont="1" applyFill="1" applyBorder="1"/>
    <xf numFmtId="335" fontId="218" fillId="94" borderId="72" xfId="42049" applyNumberFormat="1" applyFont="1" applyFill="1" applyBorder="1"/>
    <xf numFmtId="229" fontId="218" fillId="94" borderId="62" xfId="42456" applyNumberFormat="1" applyFont="1" applyFill="1" applyBorder="1"/>
    <xf numFmtId="229" fontId="218" fillId="94" borderId="68" xfId="42456" applyNumberFormat="1" applyFont="1" applyFill="1" applyBorder="1"/>
    <xf numFmtId="335" fontId="218" fillId="94" borderId="68" xfId="42049" applyNumberFormat="1" applyFont="1" applyFill="1" applyBorder="1"/>
    <xf numFmtId="335" fontId="218" fillId="94" borderId="69" xfId="42049" applyNumberFormat="1" applyFont="1" applyFill="1" applyBorder="1"/>
    <xf numFmtId="0" fontId="215" fillId="94" borderId="99" xfId="0" applyFont="1" applyFill="1" applyBorder="1"/>
    <xf numFmtId="0" fontId="215" fillId="94" borderId="81" xfId="0" applyFont="1" applyFill="1" applyBorder="1"/>
    <xf numFmtId="0" fontId="215" fillId="94" borderId="100" xfId="0" applyFont="1" applyFill="1" applyBorder="1"/>
    <xf numFmtId="0" fontId="215" fillId="0" borderId="64" xfId="0" applyFont="1" applyBorder="1" applyAlignment="1">
      <alignment vertical="center" wrapText="1"/>
    </xf>
    <xf numFmtId="0" fontId="215" fillId="0" borderId="65" xfId="0" applyFont="1" applyBorder="1" applyAlignment="1">
      <alignment vertical="center" wrapText="1"/>
    </xf>
    <xf numFmtId="0" fontId="215" fillId="0" borderId="66" xfId="0" applyFont="1" applyBorder="1" applyAlignment="1">
      <alignment vertical="center" wrapText="1"/>
    </xf>
    <xf numFmtId="3" fontId="222" fillId="97" borderId="73" xfId="0" applyNumberFormat="1" applyFont="1" applyFill="1" applyBorder="1"/>
    <xf numFmtId="0" fontId="218" fillId="101" borderId="72" xfId="0" applyFont="1" applyFill="1" applyBorder="1"/>
    <xf numFmtId="0" fontId="215" fillId="0" borderId="76" xfId="0" applyFont="1" applyBorder="1" applyAlignment="1">
      <alignment horizontal="center" vertical="center"/>
    </xf>
    <xf numFmtId="0" fontId="215" fillId="0" borderId="105" xfId="0" applyFont="1" applyBorder="1" applyAlignment="1">
      <alignment horizontal="center" vertical="center"/>
    </xf>
    <xf numFmtId="0" fontId="215" fillId="0" borderId="80" xfId="0" applyFont="1" applyBorder="1" applyAlignment="1">
      <alignment horizontal="center" vertical="center"/>
    </xf>
    <xf numFmtId="2" fontId="215" fillId="103" borderId="73" xfId="0" applyNumberFormat="1" applyFont="1" applyFill="1" applyBorder="1"/>
    <xf numFmtId="9" fontId="215" fillId="103" borderId="62" xfId="42456" applyFont="1" applyFill="1" applyBorder="1"/>
    <xf numFmtId="9" fontId="215" fillId="103" borderId="68" xfId="42456" applyFont="1" applyFill="1" applyBorder="1"/>
    <xf numFmtId="9" fontId="215" fillId="103" borderId="69" xfId="42456" applyFont="1" applyFill="1" applyBorder="1"/>
    <xf numFmtId="2" fontId="222" fillId="97" borderId="5" xfId="0" applyNumberFormat="1" applyFont="1" applyFill="1" applyBorder="1"/>
    <xf numFmtId="2" fontId="222" fillId="101" borderId="5" xfId="0" applyNumberFormat="1" applyFont="1" applyFill="1" applyBorder="1"/>
    <xf numFmtId="9" fontId="215" fillId="103" borderId="98" xfId="42456" applyFont="1" applyFill="1" applyBorder="1"/>
    <xf numFmtId="0" fontId="215" fillId="0" borderId="108" xfId="0" applyFont="1" applyBorder="1" applyAlignment="1">
      <alignment wrapText="1"/>
    </xf>
    <xf numFmtId="0" fontId="215" fillId="0" borderId="99" xfId="0" applyFont="1" applyBorder="1" applyAlignment="1">
      <alignment horizontal="left" vertical="center" wrapText="1"/>
    </xf>
    <xf numFmtId="0" fontId="215" fillId="0" borderId="81" xfId="0" applyFont="1" applyBorder="1" applyAlignment="1">
      <alignment horizontal="left" vertical="center" wrapText="1"/>
    </xf>
    <xf numFmtId="0" fontId="215" fillId="0" borderId="100" xfId="0" applyFont="1" applyBorder="1" applyAlignment="1">
      <alignment horizontal="left" vertical="center" wrapText="1"/>
    </xf>
    <xf numFmtId="0" fontId="217" fillId="0" borderId="0" xfId="0" applyFont="1" applyAlignment="1">
      <alignment wrapText="1"/>
    </xf>
    <xf numFmtId="2" fontId="217" fillId="93" borderId="52" xfId="0" applyNumberFormat="1" applyFont="1" applyFill="1" applyBorder="1" applyAlignment="1">
      <alignment vertical="center"/>
    </xf>
    <xf numFmtId="2" fontId="217" fillId="93" borderId="52" xfId="42049" applyNumberFormat="1" applyFont="1" applyFill="1" applyBorder="1" applyAlignment="1">
      <alignment vertical="center"/>
    </xf>
    <xf numFmtId="222" fontId="215" fillId="0" borderId="73" xfId="0" applyNumberFormat="1" applyFont="1" applyBorder="1" applyAlignment="1">
      <alignment horizontal="center" vertical="center" wrapText="1"/>
    </xf>
    <xf numFmtId="222" fontId="215" fillId="0" borderId="73" xfId="0" applyNumberFormat="1" applyFont="1" applyBorder="1" applyAlignment="1">
      <alignment horizontal="center" vertical="center"/>
    </xf>
    <xf numFmtId="222" fontId="222" fillId="97" borderId="72" xfId="0" applyNumberFormat="1" applyFont="1" applyFill="1" applyBorder="1" applyAlignment="1">
      <alignment vertical="center"/>
    </xf>
    <xf numFmtId="1" fontId="218" fillId="94" borderId="68" xfId="0" applyNumberFormat="1" applyFont="1" applyFill="1" applyBorder="1" applyAlignment="1">
      <alignment vertical="center"/>
    </xf>
    <xf numFmtId="2" fontId="222" fillId="97" borderId="68" xfId="0" applyNumberFormat="1" applyFont="1" applyFill="1" applyBorder="1" applyAlignment="1">
      <alignment horizontal="right" vertical="center"/>
    </xf>
    <xf numFmtId="222" fontId="218" fillId="101" borderId="68" xfId="0" applyNumberFormat="1" applyFont="1" applyFill="1" applyBorder="1" applyAlignment="1">
      <alignment horizontal="right" vertical="center"/>
    </xf>
    <xf numFmtId="1" fontId="215" fillId="94" borderId="68" xfId="0" applyNumberFormat="1" applyFont="1" applyFill="1" applyBorder="1" applyAlignment="1">
      <alignment vertical="center"/>
    </xf>
    <xf numFmtId="222" fontId="215" fillId="0" borderId="99" xfId="0" applyNumberFormat="1" applyFont="1" applyBorder="1"/>
    <xf numFmtId="222" fontId="215" fillId="0" borderId="81" xfId="0" applyNumberFormat="1" applyFont="1" applyBorder="1"/>
    <xf numFmtId="222" fontId="215" fillId="0" borderId="100" xfId="0" applyNumberFormat="1" applyFont="1" applyBorder="1"/>
    <xf numFmtId="2" fontId="217" fillId="93" borderId="52" xfId="0" applyNumberFormat="1" applyFont="1" applyFill="1" applyBorder="1" applyAlignment="1">
      <alignment horizontal="right" vertical="center"/>
    </xf>
    <xf numFmtId="2" fontId="222" fillId="97" borderId="72" xfId="0" applyNumberFormat="1" applyFont="1" applyFill="1" applyBorder="1" applyAlignment="1">
      <alignment vertical="center"/>
    </xf>
    <xf numFmtId="2" fontId="218" fillId="101" borderId="68" xfId="0" applyNumberFormat="1" applyFont="1" applyFill="1" applyBorder="1" applyAlignment="1">
      <alignment horizontal="right" vertical="center"/>
    </xf>
    <xf numFmtId="222" fontId="215" fillId="0" borderId="99" xfId="0" applyNumberFormat="1" applyFont="1" applyBorder="1" applyAlignment="1">
      <alignment horizontal="right"/>
    </xf>
    <xf numFmtId="222" fontId="215" fillId="0" borderId="81" xfId="0" applyNumberFormat="1" applyFont="1" applyBorder="1" applyAlignment="1">
      <alignment horizontal="right"/>
    </xf>
    <xf numFmtId="222" fontId="215" fillId="0" borderId="100" xfId="0" applyNumberFormat="1" applyFont="1" applyBorder="1" applyAlignment="1">
      <alignment horizontal="right"/>
    </xf>
    <xf numFmtId="222" fontId="222" fillId="101" borderId="52" xfId="0" applyNumberFormat="1" applyFont="1" applyFill="1" applyBorder="1" applyAlignment="1">
      <alignment vertical="center"/>
    </xf>
    <xf numFmtId="222" fontId="215" fillId="0" borderId="77" xfId="0" applyNumberFormat="1" applyFont="1" applyBorder="1" applyAlignment="1">
      <alignment horizontal="left" vertical="center"/>
    </xf>
    <xf numFmtId="222" fontId="222" fillId="101" borderId="73" xfId="0" applyNumberFormat="1" applyFont="1" applyFill="1" applyBorder="1" applyAlignment="1">
      <alignment vertical="center"/>
    </xf>
    <xf numFmtId="222" fontId="222" fillId="101" borderId="72" xfId="0" applyNumberFormat="1" applyFont="1" applyFill="1" applyBorder="1" applyAlignment="1">
      <alignment vertical="center"/>
    </xf>
    <xf numFmtId="222" fontId="222" fillId="101" borderId="62" xfId="0" applyNumberFormat="1" applyFont="1" applyFill="1" applyBorder="1" applyAlignment="1">
      <alignment vertical="center"/>
    </xf>
    <xf numFmtId="222" fontId="222" fillId="101" borderId="68" xfId="0" applyNumberFormat="1" applyFont="1" applyFill="1" applyBorder="1" applyAlignment="1">
      <alignment vertical="center"/>
    </xf>
    <xf numFmtId="222" fontId="222" fillId="101" borderId="69" xfId="0" applyNumberFormat="1" applyFont="1" applyFill="1" applyBorder="1" applyAlignment="1">
      <alignment vertical="center"/>
    </xf>
    <xf numFmtId="2" fontId="218" fillId="103" borderId="73" xfId="0" applyNumberFormat="1" applyFont="1" applyFill="1" applyBorder="1"/>
    <xf numFmtId="2" fontId="218" fillId="103" borderId="72" xfId="0" applyNumberFormat="1" applyFont="1" applyFill="1" applyBorder="1"/>
    <xf numFmtId="2" fontId="217" fillId="103" borderId="62" xfId="0" applyNumberFormat="1" applyFont="1" applyFill="1" applyBorder="1"/>
    <xf numFmtId="2" fontId="217" fillId="103" borderId="68" xfId="0" applyNumberFormat="1" applyFont="1" applyFill="1" applyBorder="1"/>
    <xf numFmtId="2" fontId="217" fillId="103" borderId="69" xfId="0" applyNumberFormat="1" applyFont="1" applyFill="1" applyBorder="1"/>
    <xf numFmtId="222" fontId="216" fillId="0" borderId="100" xfId="0" applyNumberFormat="1" applyFont="1" applyBorder="1"/>
    <xf numFmtId="270" fontId="222" fillId="101" borderId="73" xfId="0" applyNumberFormat="1" applyFont="1" applyFill="1" applyBorder="1"/>
    <xf numFmtId="270" fontId="222" fillId="101" borderId="72" xfId="0" applyNumberFormat="1" applyFont="1" applyFill="1" applyBorder="1"/>
    <xf numFmtId="270" fontId="222" fillId="101" borderId="62" xfId="0" applyNumberFormat="1" applyFont="1" applyFill="1" applyBorder="1"/>
    <xf numFmtId="270" fontId="222" fillId="101" borderId="68" xfId="0" applyNumberFormat="1" applyFont="1" applyFill="1" applyBorder="1"/>
    <xf numFmtId="270" fontId="222" fillId="101" borderId="69" xfId="0" applyNumberFormat="1" applyFont="1" applyFill="1" applyBorder="1"/>
    <xf numFmtId="270" fontId="222" fillId="101" borderId="52" xfId="0" applyNumberFormat="1" applyFont="1" applyFill="1" applyBorder="1"/>
    <xf numFmtId="0" fontId="218" fillId="0" borderId="64" xfId="0" applyFont="1" applyBorder="1" applyAlignment="1">
      <alignment horizontal="center" vertical="center" wrapText="1"/>
    </xf>
    <xf numFmtId="0" fontId="215" fillId="94" borderId="72" xfId="0" applyFont="1" applyFill="1" applyBorder="1"/>
    <xf numFmtId="10" fontId="215" fillId="103" borderId="68" xfId="42456" applyNumberFormat="1" applyFont="1" applyFill="1" applyBorder="1"/>
    <xf numFmtId="0" fontId="215" fillId="94" borderId="69" xfId="0" applyFont="1" applyFill="1" applyBorder="1"/>
    <xf numFmtId="335" fontId="223" fillId="97" borderId="52" xfId="42049" applyNumberFormat="1" applyFont="1" applyFill="1" applyBorder="1"/>
    <xf numFmtId="10" fontId="222" fillId="97" borderId="68" xfId="42456" applyNumberFormat="1" applyFont="1" applyFill="1" applyBorder="1"/>
    <xf numFmtId="335" fontId="222" fillId="97" borderId="51" xfId="42049" applyNumberFormat="1" applyFont="1" applyFill="1" applyBorder="1"/>
    <xf numFmtId="335" fontId="222" fillId="97" borderId="104" xfId="42049" applyNumberFormat="1" applyFont="1" applyFill="1" applyBorder="1"/>
    <xf numFmtId="335" fontId="223" fillId="97" borderId="54" xfId="42049" applyNumberFormat="1" applyFont="1" applyFill="1" applyBorder="1"/>
    <xf numFmtId="0" fontId="215" fillId="0" borderId="99" xfId="0" applyFont="1" applyBorder="1" applyAlignment="1">
      <alignment horizontal="center" vertical="center"/>
    </xf>
    <xf numFmtId="0" fontId="215" fillId="101" borderId="81" xfId="0" applyFont="1" applyFill="1" applyBorder="1"/>
    <xf numFmtId="0" fontId="215" fillId="101" borderId="100" xfId="0" applyFont="1" applyFill="1" applyBorder="1"/>
    <xf numFmtId="2" fontId="215" fillId="0" borderId="51" xfId="0" applyNumberFormat="1" applyFont="1" applyBorder="1" applyAlignment="1">
      <alignment horizontal="center" vertical="center" wrapText="1"/>
    </xf>
    <xf numFmtId="9" fontId="215" fillId="0" borderId="51" xfId="42456" applyFont="1" applyFill="1" applyBorder="1" applyAlignment="1">
      <alignment horizontal="center" vertical="center" wrapText="1"/>
    </xf>
    <xf numFmtId="2" fontId="222" fillId="97" borderId="51" xfId="0" applyNumberFormat="1" applyFont="1" applyFill="1" applyBorder="1"/>
    <xf numFmtId="0" fontId="222" fillId="96" borderId="52" xfId="0" applyFont="1" applyFill="1" applyBorder="1"/>
    <xf numFmtId="2" fontId="215" fillId="0" borderId="73" xfId="0" applyNumberFormat="1" applyFont="1" applyBorder="1" applyAlignment="1">
      <alignment horizontal="center" vertical="center" wrapText="1"/>
    </xf>
    <xf numFmtId="9" fontId="215" fillId="0" borderId="73" xfId="42456" applyFont="1" applyFill="1" applyBorder="1" applyAlignment="1">
      <alignment horizontal="center" vertical="center" wrapText="1"/>
    </xf>
    <xf numFmtId="1" fontId="215" fillId="94" borderId="72" xfId="0" applyNumberFormat="1" applyFont="1" applyFill="1" applyBorder="1" applyAlignment="1">
      <alignment horizontal="right"/>
    </xf>
    <xf numFmtId="0" fontId="222" fillId="97" borderId="68" xfId="0" applyFont="1" applyFill="1" applyBorder="1"/>
    <xf numFmtId="2" fontId="222" fillId="97" borderId="68" xfId="0" applyNumberFormat="1" applyFont="1" applyFill="1" applyBorder="1" applyAlignment="1">
      <alignment horizontal="center"/>
    </xf>
    <xf numFmtId="1" fontId="215" fillId="94" borderId="69" xfId="0" applyNumberFormat="1" applyFont="1" applyFill="1" applyBorder="1" applyAlignment="1">
      <alignment horizontal="right"/>
    </xf>
    <xf numFmtId="0" fontId="222" fillId="101" borderId="51" xfId="0" applyFont="1" applyFill="1" applyBorder="1"/>
    <xf numFmtId="0" fontId="216" fillId="0" borderId="76" xfId="0" applyFont="1" applyBorder="1"/>
    <xf numFmtId="0" fontId="216" fillId="0" borderId="80" xfId="0" applyFont="1" applyBorder="1"/>
    <xf numFmtId="2" fontId="222" fillId="106" borderId="73" xfId="0" applyNumberFormat="1" applyFont="1" applyFill="1" applyBorder="1"/>
    <xf numFmtId="2" fontId="222" fillId="106" borderId="68" xfId="0" applyNumberFormat="1" applyFont="1" applyFill="1" applyBorder="1"/>
    <xf numFmtId="0" fontId="222" fillId="101" borderId="73" xfId="0" applyFont="1" applyFill="1" applyBorder="1"/>
    <xf numFmtId="1" fontId="215" fillId="94" borderId="72" xfId="0" applyNumberFormat="1" applyFont="1" applyFill="1" applyBorder="1"/>
    <xf numFmtId="0" fontId="222" fillId="101" borderId="62" xfId="0" applyFont="1" applyFill="1" applyBorder="1"/>
    <xf numFmtId="2" fontId="222" fillId="94" borderId="68" xfId="0" applyNumberFormat="1" applyFont="1" applyFill="1" applyBorder="1"/>
    <xf numFmtId="1" fontId="215" fillId="94" borderId="69" xfId="0" applyNumberFormat="1" applyFont="1" applyFill="1" applyBorder="1"/>
    <xf numFmtId="0" fontId="222" fillId="101" borderId="68" xfId="0" applyFont="1" applyFill="1" applyBorder="1"/>
    <xf numFmtId="1" fontId="215" fillId="94" borderId="5" xfId="0" applyNumberFormat="1" applyFont="1" applyFill="1" applyBorder="1"/>
    <xf numFmtId="1" fontId="215" fillId="94" borderId="98" xfId="0" applyNumberFormat="1" applyFont="1" applyFill="1" applyBorder="1"/>
    <xf numFmtId="0" fontId="222" fillId="101" borderId="104" xfId="0" applyFont="1" applyFill="1" applyBorder="1"/>
    <xf numFmtId="2" fontId="222" fillId="97" borderId="104" xfId="0" applyNumberFormat="1" applyFont="1" applyFill="1" applyBorder="1"/>
    <xf numFmtId="0" fontId="222" fillId="96" borderId="54" xfId="0" applyFont="1" applyFill="1" applyBorder="1"/>
    <xf numFmtId="2" fontId="215" fillId="96" borderId="52" xfId="0" applyNumberFormat="1" applyFont="1" applyFill="1" applyBorder="1"/>
    <xf numFmtId="0" fontId="215" fillId="108" borderId="65" xfId="0" applyFont="1" applyFill="1" applyBorder="1" applyAlignment="1">
      <alignment horizontal="center" vertical="center" wrapText="1"/>
    </xf>
    <xf numFmtId="0" fontId="215" fillId="108" borderId="66" xfId="0" applyFont="1" applyFill="1" applyBorder="1" applyAlignment="1">
      <alignment horizontal="center" vertical="center" wrapText="1"/>
    </xf>
    <xf numFmtId="1" fontId="215" fillId="94" borderId="72" xfId="0" applyNumberFormat="1" applyFont="1" applyFill="1" applyBorder="1" applyAlignment="1">
      <alignment horizontal="center"/>
    </xf>
    <xf numFmtId="2" fontId="215" fillId="97" borderId="68" xfId="0" applyNumberFormat="1" applyFont="1" applyFill="1" applyBorder="1" applyAlignment="1">
      <alignment horizontal="center"/>
    </xf>
    <xf numFmtId="1" fontId="215" fillId="94" borderId="69" xfId="0" applyNumberFormat="1" applyFont="1" applyFill="1" applyBorder="1" applyAlignment="1">
      <alignment horizontal="center"/>
    </xf>
    <xf numFmtId="0" fontId="216" fillId="0" borderId="52" xfId="0" applyFont="1" applyBorder="1"/>
    <xf numFmtId="0" fontId="215" fillId="108" borderId="65" xfId="0" applyFont="1" applyFill="1" applyBorder="1" applyAlignment="1">
      <alignment vertical="center" wrapText="1"/>
    </xf>
    <xf numFmtId="0" fontId="215" fillId="108" borderId="66" xfId="0" applyFont="1" applyFill="1" applyBorder="1" applyAlignment="1">
      <alignment vertical="center" wrapText="1"/>
    </xf>
    <xf numFmtId="2" fontId="215" fillId="97" borderId="68" xfId="0" applyNumberFormat="1" applyFont="1" applyFill="1" applyBorder="1"/>
    <xf numFmtId="0" fontId="215" fillId="96" borderId="52" xfId="0" applyFont="1" applyFill="1" applyBorder="1"/>
    <xf numFmtId="2" fontId="222" fillId="94" borderId="72" xfId="0" applyNumberFormat="1" applyFont="1" applyFill="1" applyBorder="1"/>
    <xf numFmtId="2" fontId="222" fillId="94" borderId="69" xfId="0" applyNumberFormat="1" applyFont="1" applyFill="1" applyBorder="1"/>
    <xf numFmtId="0" fontId="215" fillId="108" borderId="106" xfId="0" applyFont="1" applyFill="1" applyBorder="1" applyAlignment="1">
      <alignment horizontal="center" vertical="center" wrapText="1"/>
    </xf>
    <xf numFmtId="164" fontId="222" fillId="97" borderId="62" xfId="42049" applyFont="1" applyFill="1" applyBorder="1"/>
    <xf numFmtId="0" fontId="215" fillId="0" borderId="93" xfId="0" applyFont="1" applyBorder="1"/>
    <xf numFmtId="2" fontId="222" fillId="97" borderId="68" xfId="42050" applyNumberFormat="1" applyFont="1" applyFill="1" applyBorder="1"/>
    <xf numFmtId="335" fontId="218" fillId="94" borderId="73" xfId="42049" applyNumberFormat="1" applyFont="1" applyFill="1" applyBorder="1" applyAlignment="1">
      <alignment horizontal="center"/>
    </xf>
    <xf numFmtId="335" fontId="215" fillId="101" borderId="72" xfId="0" applyNumberFormat="1" applyFont="1" applyFill="1" applyBorder="1"/>
    <xf numFmtId="335" fontId="215" fillId="101" borderId="69" xfId="0" applyNumberFormat="1" applyFont="1" applyFill="1" applyBorder="1"/>
    <xf numFmtId="335" fontId="218" fillId="94" borderId="73" xfId="42049" applyNumberFormat="1" applyFont="1" applyFill="1" applyBorder="1"/>
    <xf numFmtId="335" fontId="218" fillId="94" borderId="62" xfId="42049" applyNumberFormat="1" applyFont="1" applyFill="1" applyBorder="1"/>
    <xf numFmtId="0" fontId="215" fillId="0" borderId="0" xfId="0" applyFont="1" applyAlignment="1">
      <alignment horizontal="left"/>
    </xf>
    <xf numFmtId="0" fontId="225" fillId="0" borderId="64" xfId="0" applyFont="1" applyBorder="1" applyAlignment="1">
      <alignment horizontal="center" vertical="center" wrapText="1"/>
    </xf>
    <xf numFmtId="0" fontId="225" fillId="0" borderId="65" xfId="0" applyFont="1" applyBorder="1" applyAlignment="1">
      <alignment horizontal="center" vertical="center" wrapText="1"/>
    </xf>
    <xf numFmtId="0" fontId="225" fillId="0" borderId="66" xfId="0" applyFont="1" applyBorder="1" applyAlignment="1">
      <alignment horizontal="center" vertical="center" wrapText="1"/>
    </xf>
    <xf numFmtId="164" fontId="223" fillId="97" borderId="100" xfId="42049" applyFont="1" applyFill="1" applyBorder="1"/>
    <xf numFmtId="0" fontId="224" fillId="0" borderId="0" xfId="0" applyFont="1" applyAlignment="1">
      <alignment vertical="top" wrapText="1"/>
    </xf>
    <xf numFmtId="0" fontId="214" fillId="0" borderId="99" xfId="0" applyFont="1" applyBorder="1" applyAlignment="1">
      <alignment horizontal="right" vertical="center"/>
    </xf>
    <xf numFmtId="0" fontId="214" fillId="0" borderId="81" xfId="0" applyFont="1" applyBorder="1" applyAlignment="1">
      <alignment horizontal="right" vertical="center"/>
    </xf>
    <xf numFmtId="0" fontId="239" fillId="0" borderId="100" xfId="0" applyFont="1" applyBorder="1" applyAlignment="1">
      <alignment horizontal="right" vertical="center"/>
    </xf>
    <xf numFmtId="2" fontId="222" fillId="97" borderId="73" xfId="42050" applyNumberFormat="1" applyFont="1" applyFill="1" applyBorder="1"/>
    <xf numFmtId="2" fontId="222" fillId="97" borderId="72" xfId="42050" applyNumberFormat="1" applyFont="1" applyFill="1" applyBorder="1"/>
    <xf numFmtId="2" fontId="223" fillId="97" borderId="62" xfId="42050" applyNumberFormat="1" applyFont="1" applyFill="1" applyBorder="1"/>
    <xf numFmtId="2" fontId="223" fillId="97" borderId="68" xfId="42050" applyNumberFormat="1" applyFont="1" applyFill="1" applyBorder="1"/>
    <xf numFmtId="2" fontId="223" fillId="97" borderId="69" xfId="42050" applyNumberFormat="1" applyFont="1" applyFill="1" applyBorder="1"/>
    <xf numFmtId="2" fontId="218" fillId="101" borderId="73" xfId="42050" applyNumberFormat="1" applyFont="1" applyFill="1" applyBorder="1"/>
    <xf numFmtId="2" fontId="218" fillId="101" borderId="72" xfId="42050" applyNumberFormat="1" applyFont="1" applyFill="1" applyBorder="1"/>
    <xf numFmtId="2" fontId="218" fillId="101" borderId="62" xfId="42050" applyNumberFormat="1" applyFont="1" applyFill="1" applyBorder="1"/>
    <xf numFmtId="2" fontId="218" fillId="101" borderId="68" xfId="42050" applyNumberFormat="1" applyFont="1" applyFill="1" applyBorder="1"/>
    <xf numFmtId="2" fontId="218" fillId="101" borderId="69" xfId="42050" applyNumberFormat="1" applyFont="1" applyFill="1" applyBorder="1"/>
    <xf numFmtId="0" fontId="218" fillId="0" borderId="51" xfId="0" applyFont="1" applyBorder="1" applyAlignment="1">
      <alignment horizontal="center" vertical="center" wrapText="1"/>
    </xf>
    <xf numFmtId="0" fontId="218" fillId="0" borderId="73" xfId="0" applyFont="1" applyBorder="1" applyAlignment="1">
      <alignment horizontal="center" vertical="center" wrapText="1"/>
    </xf>
    <xf numFmtId="270" fontId="222" fillId="97" borderId="73" xfId="0" applyNumberFormat="1" applyFont="1" applyFill="1" applyBorder="1"/>
    <xf numFmtId="9" fontId="222" fillId="97" borderId="72" xfId="0" applyNumberFormat="1" applyFont="1" applyFill="1" applyBorder="1"/>
    <xf numFmtId="270" fontId="223" fillId="97" borderId="62" xfId="0" applyNumberFormat="1" applyFont="1" applyFill="1" applyBorder="1"/>
    <xf numFmtId="9" fontId="223" fillId="97" borderId="69" xfId="0" applyNumberFormat="1" applyFont="1" applyFill="1" applyBorder="1"/>
    <xf numFmtId="0" fontId="222" fillId="97" borderId="73" xfId="0" applyFont="1" applyFill="1" applyBorder="1" applyAlignment="1">
      <alignment wrapText="1"/>
    </xf>
    <xf numFmtId="0" fontId="222" fillId="97" borderId="72" xfId="0" applyFont="1" applyFill="1" applyBorder="1" applyAlignment="1">
      <alignment wrapText="1"/>
    </xf>
    <xf numFmtId="0" fontId="222" fillId="97" borderId="62" xfId="0" applyFont="1" applyFill="1" applyBorder="1" applyAlignment="1">
      <alignment wrapText="1"/>
    </xf>
    <xf numFmtId="0" fontId="222" fillId="97" borderId="68" xfId="0" applyFont="1" applyFill="1" applyBorder="1" applyAlignment="1">
      <alignment wrapText="1"/>
    </xf>
    <xf numFmtId="222" fontId="222" fillId="97" borderId="68" xfId="0" applyNumberFormat="1" applyFont="1" applyFill="1" applyBorder="1" applyAlignment="1">
      <alignment wrapText="1"/>
    </xf>
    <xf numFmtId="0" fontId="222" fillId="97" borderId="69" xfId="0" applyFont="1" applyFill="1" applyBorder="1" applyAlignment="1">
      <alignment wrapText="1"/>
    </xf>
    <xf numFmtId="0" fontId="222" fillId="101" borderId="73" xfId="0" applyFont="1" applyFill="1" applyBorder="1" applyAlignment="1">
      <alignment wrapText="1"/>
    </xf>
    <xf numFmtId="0" fontId="222" fillId="101" borderId="72" xfId="0" applyFont="1" applyFill="1" applyBorder="1" applyAlignment="1">
      <alignment wrapText="1"/>
    </xf>
    <xf numFmtId="0" fontId="222" fillId="101" borderId="62" xfId="0" applyFont="1" applyFill="1" applyBorder="1" applyAlignment="1">
      <alignment wrapText="1"/>
    </xf>
    <xf numFmtId="0" fontId="222" fillId="101" borderId="68" xfId="0" applyFont="1" applyFill="1" applyBorder="1" applyAlignment="1">
      <alignment wrapText="1"/>
    </xf>
    <xf numFmtId="0" fontId="222" fillId="101" borderId="69" xfId="0" applyFont="1" applyFill="1" applyBorder="1" applyAlignment="1">
      <alignment wrapText="1"/>
    </xf>
    <xf numFmtId="0" fontId="230" fillId="0" borderId="64" xfId="0" applyFont="1" applyBorder="1" applyAlignment="1">
      <alignment vertical="center" wrapText="1"/>
    </xf>
    <xf numFmtId="0" fontId="230" fillId="0" borderId="65" xfId="0" applyFont="1" applyBorder="1" applyAlignment="1">
      <alignment vertical="center" wrapText="1"/>
    </xf>
    <xf numFmtId="0" fontId="230" fillId="0" borderId="66" xfId="0" applyFont="1" applyBorder="1" applyAlignment="1">
      <alignment vertical="center" wrapText="1"/>
    </xf>
    <xf numFmtId="0" fontId="0" fillId="0" borderId="73" xfId="0" applyBorder="1" applyAlignment="1">
      <alignment vertical="center" wrapText="1"/>
    </xf>
    <xf numFmtId="0" fontId="0" fillId="0" borderId="72" xfId="0" applyBorder="1" applyAlignment="1">
      <alignment vertical="center" wrapText="1"/>
    </xf>
    <xf numFmtId="0" fontId="0" fillId="0" borderId="62" xfId="0" applyBorder="1" applyAlignment="1">
      <alignment vertical="center" wrapText="1"/>
    </xf>
    <xf numFmtId="0" fontId="0" fillId="0" borderId="68" xfId="0" applyBorder="1" applyAlignment="1">
      <alignment vertical="center" wrapText="1"/>
    </xf>
    <xf numFmtId="0" fontId="0" fillId="0" borderId="69" xfId="0" applyBorder="1" applyAlignment="1">
      <alignment vertical="center" wrapText="1"/>
    </xf>
    <xf numFmtId="0" fontId="0" fillId="0" borderId="63" xfId="0" applyBorder="1" applyAlignment="1">
      <alignment vertical="center"/>
    </xf>
    <xf numFmtId="0" fontId="0" fillId="0" borderId="74" xfId="0" applyBorder="1" applyAlignment="1">
      <alignment vertical="center"/>
    </xf>
    <xf numFmtId="0" fontId="0" fillId="0" borderId="75" xfId="0" applyBorder="1" applyAlignment="1">
      <alignment vertical="center"/>
    </xf>
    <xf numFmtId="0" fontId="215" fillId="0" borderId="64" xfId="0" applyFont="1" applyBorder="1" applyAlignment="1">
      <alignment horizontal="center"/>
    </xf>
    <xf numFmtId="0" fontId="215" fillId="0" borderId="65" xfId="0" applyFont="1" applyBorder="1" applyAlignment="1">
      <alignment horizontal="center"/>
    </xf>
    <xf numFmtId="0" fontId="215" fillId="0" borderId="66" xfId="0" applyFont="1" applyBorder="1" applyAlignment="1">
      <alignment horizontal="center"/>
    </xf>
    <xf numFmtId="0" fontId="215" fillId="0" borderId="97" xfId="0" applyFont="1" applyBorder="1"/>
    <xf numFmtId="2" fontId="215" fillId="0" borderId="97" xfId="0" applyNumberFormat="1" applyFont="1" applyBorder="1"/>
    <xf numFmtId="0" fontId="215" fillId="0" borderId="83" xfId="0" applyFont="1" applyBorder="1"/>
    <xf numFmtId="337" fontId="218" fillId="0" borderId="20" xfId="0" applyNumberFormat="1" applyFont="1" applyBorder="1" applyAlignment="1">
      <alignment horizontal="center" vertical="center"/>
    </xf>
    <xf numFmtId="338" fontId="218" fillId="0" borderId="73" xfId="0" applyNumberFormat="1" applyFont="1" applyBorder="1" applyAlignment="1">
      <alignment horizontal="center" vertical="center"/>
    </xf>
    <xf numFmtId="0" fontId="218" fillId="0" borderId="72" xfId="0" applyFont="1" applyBorder="1" applyAlignment="1">
      <alignment horizontal="center" vertical="center"/>
    </xf>
    <xf numFmtId="0" fontId="215" fillId="0" borderId="101" xfId="0" applyFont="1" applyBorder="1" applyAlignment="1">
      <alignment vertical="center"/>
    </xf>
    <xf numFmtId="0" fontId="216" fillId="0" borderId="60" xfId="0" applyFont="1" applyBorder="1" applyAlignment="1">
      <alignment wrapText="1"/>
    </xf>
    <xf numFmtId="0" fontId="215" fillId="0" borderId="60" xfId="0" applyFont="1" applyBorder="1" applyAlignment="1">
      <alignment horizontal="left" indent="1"/>
    </xf>
    <xf numFmtId="0" fontId="215" fillId="0" borderId="58" xfId="0" applyFont="1" applyBorder="1" applyAlignment="1">
      <alignment horizontal="left" indent="1"/>
    </xf>
    <xf numFmtId="0" fontId="0" fillId="104" borderId="0" xfId="0" applyFill="1"/>
    <xf numFmtId="0" fontId="216" fillId="104" borderId="0" xfId="0" applyFont="1" applyFill="1"/>
    <xf numFmtId="0" fontId="215" fillId="104" borderId="64" xfId="0" applyFont="1" applyFill="1" applyBorder="1" applyAlignment="1">
      <alignment horizontal="center" vertical="center" wrapText="1"/>
    </xf>
    <xf numFmtId="0" fontId="215" fillId="104" borderId="65" xfId="0" applyFont="1" applyFill="1" applyBorder="1" applyAlignment="1">
      <alignment horizontal="center" vertical="center" wrapText="1"/>
    </xf>
    <xf numFmtId="1" fontId="215" fillId="104" borderId="65" xfId="0" applyNumberFormat="1" applyFont="1" applyFill="1" applyBorder="1" applyAlignment="1">
      <alignment horizontal="center" vertical="center" wrapText="1"/>
    </xf>
    <xf numFmtId="0" fontId="215" fillId="104" borderId="66" xfId="0" applyFont="1" applyFill="1" applyBorder="1" applyAlignment="1">
      <alignment horizontal="center" vertical="center" wrapText="1"/>
    </xf>
    <xf numFmtId="0" fontId="0" fillId="104" borderId="64" xfId="0" applyFill="1" applyBorder="1"/>
    <xf numFmtId="0" fontId="215" fillId="104" borderId="65" xfId="0" applyFont="1" applyFill="1" applyBorder="1" applyAlignment="1">
      <alignment horizontal="center" vertical="center"/>
    </xf>
    <xf numFmtId="0" fontId="215" fillId="104" borderId="66" xfId="0" applyFont="1" applyFill="1" applyBorder="1" applyAlignment="1">
      <alignment horizontal="center" vertical="center"/>
    </xf>
    <xf numFmtId="0" fontId="215" fillId="104" borderId="5" xfId="0" applyFont="1" applyFill="1" applyBorder="1"/>
    <xf numFmtId="0" fontId="0" fillId="104" borderId="73" xfId="0" applyFill="1" applyBorder="1"/>
    <xf numFmtId="9" fontId="0" fillId="104" borderId="72" xfId="0" applyNumberFormat="1" applyFill="1" applyBorder="1"/>
    <xf numFmtId="0" fontId="216" fillId="104" borderId="5" xfId="0" applyFont="1" applyFill="1" applyBorder="1"/>
    <xf numFmtId="0" fontId="228" fillId="104" borderId="0" xfId="0" applyFont="1" applyFill="1"/>
    <xf numFmtId="0" fontId="215" fillId="104" borderId="20" xfId="0" applyFont="1" applyFill="1" applyBorder="1"/>
    <xf numFmtId="0" fontId="217" fillId="104" borderId="20" xfId="0" applyFont="1" applyFill="1" applyBorder="1"/>
    <xf numFmtId="9" fontId="215" fillId="104" borderId="72" xfId="42456" applyFont="1" applyFill="1" applyBorder="1" applyAlignment="1">
      <alignment horizontal="center" vertical="center"/>
    </xf>
    <xf numFmtId="9" fontId="228" fillId="104" borderId="0" xfId="42456" applyFont="1" applyFill="1"/>
    <xf numFmtId="9" fontId="0" fillId="104" borderId="0" xfId="42456" applyFont="1" applyFill="1"/>
    <xf numFmtId="1" fontId="215" fillId="104" borderId="73" xfId="0" applyNumberFormat="1" applyFont="1" applyFill="1" applyBorder="1" applyAlignment="1">
      <alignment horizontal="center" vertical="center"/>
    </xf>
    <xf numFmtId="1" fontId="228" fillId="104" borderId="0" xfId="0" applyNumberFormat="1" applyFont="1" applyFill="1"/>
    <xf numFmtId="1" fontId="0" fillId="104" borderId="0" xfId="0" applyNumberFormat="1" applyFill="1"/>
    <xf numFmtId="9" fontId="222" fillId="98" borderId="20" xfId="42456" applyFont="1" applyFill="1" applyBorder="1"/>
    <xf numFmtId="2" fontId="222" fillId="97" borderId="52" xfId="0" applyNumberFormat="1" applyFont="1" applyFill="1" applyBorder="1"/>
    <xf numFmtId="335" fontId="223" fillId="98" borderId="20" xfId="42049" applyNumberFormat="1" applyFont="1" applyFill="1" applyBorder="1" applyAlignment="1">
      <alignment horizontal="center"/>
    </xf>
    <xf numFmtId="9" fontId="216" fillId="0" borderId="0" xfId="0" applyNumberFormat="1" applyFont="1"/>
    <xf numFmtId="1" fontId="221" fillId="0" borderId="20" xfId="0" applyNumberFormat="1" applyFont="1" applyBorder="1"/>
    <xf numFmtId="0" fontId="14" fillId="0" borderId="0" xfId="15477"/>
    <xf numFmtId="9" fontId="215" fillId="103" borderId="5" xfId="42456" applyFont="1" applyFill="1" applyBorder="1"/>
    <xf numFmtId="0" fontId="215" fillId="0" borderId="50" xfId="0" applyFont="1" applyBorder="1"/>
    <xf numFmtId="9" fontId="215" fillId="103" borderId="50" xfId="42456" applyFont="1" applyFill="1" applyBorder="1"/>
    <xf numFmtId="9" fontId="215" fillId="103" borderId="18" xfId="42456" applyFont="1" applyFill="1" applyBorder="1"/>
    <xf numFmtId="0" fontId="240" fillId="111" borderId="109" xfId="6177" applyFont="1" applyFill="1" applyBorder="1" applyAlignment="1">
      <alignment horizontal="right"/>
    </xf>
    <xf numFmtId="0" fontId="240" fillId="111" borderId="110" xfId="6177" applyFont="1" applyFill="1" applyBorder="1" applyAlignment="1">
      <alignment horizontal="right"/>
    </xf>
    <xf numFmtId="0" fontId="228" fillId="0" borderId="0" xfId="0" applyFont="1"/>
    <xf numFmtId="10" fontId="0" fillId="0" borderId="0" xfId="0" applyNumberFormat="1"/>
    <xf numFmtId="0" fontId="240" fillId="111" borderId="111" xfId="6177" applyFont="1" applyFill="1" applyBorder="1" applyAlignment="1">
      <alignment horizontal="right" wrapText="1"/>
    </xf>
    <xf numFmtId="0" fontId="0" fillId="0" borderId="0" xfId="0" applyAlignment="1">
      <alignment wrapText="1"/>
    </xf>
    <xf numFmtId="0" fontId="218" fillId="104" borderId="52" xfId="0" applyFont="1" applyFill="1" applyBorder="1"/>
    <xf numFmtId="0" fontId="218" fillId="104" borderId="31" xfId="0" applyFont="1" applyFill="1" applyBorder="1"/>
    <xf numFmtId="0" fontId="215" fillId="101" borderId="18" xfId="0" applyFont="1" applyFill="1" applyBorder="1"/>
    <xf numFmtId="1" fontId="218" fillId="94" borderId="72" xfId="0" applyNumberFormat="1" applyFont="1" applyFill="1" applyBorder="1"/>
    <xf numFmtId="2" fontId="218" fillId="94" borderId="20" xfId="0" applyNumberFormat="1" applyFont="1" applyFill="1" applyBorder="1"/>
    <xf numFmtId="0" fontId="222" fillId="96" borderId="20" xfId="0" applyFont="1" applyFill="1" applyBorder="1"/>
    <xf numFmtId="2" fontId="215" fillId="96" borderId="20" xfId="0" applyNumberFormat="1" applyFont="1" applyFill="1" applyBorder="1"/>
    <xf numFmtId="164" fontId="223" fillId="97" borderId="72" xfId="42049" applyFont="1" applyFill="1" applyBorder="1"/>
    <xf numFmtId="342" fontId="223" fillId="97" borderId="72" xfId="42049" applyNumberFormat="1" applyFont="1" applyFill="1" applyBorder="1"/>
    <xf numFmtId="0" fontId="241" fillId="0" borderId="0" xfId="0" applyFont="1"/>
    <xf numFmtId="2" fontId="223" fillId="97" borderId="72" xfId="42050" applyNumberFormat="1" applyFont="1" applyFill="1" applyBorder="1"/>
    <xf numFmtId="2" fontId="223" fillId="97" borderId="20" xfId="0" applyNumberFormat="1" applyFont="1" applyFill="1" applyBorder="1"/>
    <xf numFmtId="9" fontId="222" fillId="97" borderId="73" xfId="42049" applyNumberFormat="1" applyFont="1" applyFill="1" applyBorder="1" applyAlignment="1">
      <alignment horizontal="right"/>
    </xf>
    <xf numFmtId="10" fontId="222" fillId="97" borderId="73" xfId="42049" applyNumberFormat="1" applyFont="1" applyFill="1" applyBorder="1"/>
    <xf numFmtId="0" fontId="222" fillId="0" borderId="20" xfId="0" applyFont="1" applyBorder="1"/>
    <xf numFmtId="0" fontId="242" fillId="0" borderId="0" xfId="0" applyFont="1"/>
    <xf numFmtId="1" fontId="215" fillId="0" borderId="112" xfId="42050" applyNumberFormat="1" applyFont="1" applyBorder="1" applyAlignment="1">
      <alignment horizontal="center"/>
    </xf>
    <xf numFmtId="1" fontId="215" fillId="0" borderId="113" xfId="42050" applyNumberFormat="1" applyFont="1" applyBorder="1" applyAlignment="1">
      <alignment horizontal="center"/>
    </xf>
    <xf numFmtId="1" fontId="215" fillId="0" borderId="114" xfId="42050" applyNumberFormat="1" applyFont="1" applyBorder="1" applyAlignment="1">
      <alignment horizontal="center"/>
    </xf>
    <xf numFmtId="10" fontId="223" fillId="97" borderId="73" xfId="0" applyNumberFormat="1" applyFont="1" applyFill="1" applyBorder="1" applyAlignment="1">
      <alignment horizontal="right"/>
    </xf>
    <xf numFmtId="0" fontId="215" fillId="0" borderId="106" xfId="0" applyFont="1" applyBorder="1" applyAlignment="1">
      <alignment horizontal="center"/>
    </xf>
    <xf numFmtId="222" fontId="222" fillId="97" borderId="73" xfId="0" applyNumberFormat="1" applyFont="1" applyFill="1" applyBorder="1" applyAlignment="1">
      <alignment wrapText="1"/>
    </xf>
    <xf numFmtId="0" fontId="222" fillId="97" borderId="73" xfId="0" applyFont="1" applyFill="1" applyBorder="1" applyAlignment="1">
      <alignment vertical="top" wrapText="1"/>
    </xf>
    <xf numFmtId="0" fontId="215" fillId="0" borderId="2" xfId="0" applyFont="1" applyBorder="1"/>
    <xf numFmtId="0" fontId="215" fillId="0" borderId="52" xfId="0" applyFont="1" applyBorder="1" applyAlignment="1">
      <alignment horizontal="center"/>
    </xf>
    <xf numFmtId="10" fontId="241" fillId="0" borderId="0" xfId="42456" applyNumberFormat="1" applyFont="1" applyFill="1"/>
    <xf numFmtId="0" fontId="243" fillId="0" borderId="0" xfId="0" applyFont="1"/>
    <xf numFmtId="0" fontId="216" fillId="0" borderId="20" xfId="0" applyFont="1" applyBorder="1" applyAlignment="1">
      <alignment horizontal="right"/>
    </xf>
    <xf numFmtId="222" fontId="215" fillId="0" borderId="20" xfId="0" applyNumberFormat="1" applyFont="1" applyBorder="1" applyAlignment="1">
      <alignment horizontal="right"/>
    </xf>
    <xf numFmtId="2" fontId="215" fillId="0" borderId="20" xfId="0" applyNumberFormat="1" applyFont="1" applyBorder="1" applyAlignment="1">
      <alignment horizontal="right"/>
    </xf>
    <xf numFmtId="10" fontId="215" fillId="0" borderId="20" xfId="0" applyNumberFormat="1" applyFont="1" applyBorder="1"/>
    <xf numFmtId="10" fontId="215" fillId="0" borderId="20" xfId="0" applyNumberFormat="1" applyFont="1" applyBorder="1" applyAlignment="1">
      <alignment horizontal="right"/>
    </xf>
    <xf numFmtId="0" fontId="215" fillId="0" borderId="20" xfId="0" applyFont="1" applyBorder="1" applyAlignment="1">
      <alignment wrapText="1"/>
    </xf>
    <xf numFmtId="0" fontId="0" fillId="0" borderId="3" xfId="0" applyBorder="1"/>
    <xf numFmtId="0" fontId="0" fillId="0" borderId="44" xfId="0" applyBorder="1"/>
    <xf numFmtId="9" fontId="223" fillId="97" borderId="68" xfId="0" applyNumberFormat="1" applyFont="1" applyFill="1" applyBorder="1" applyAlignment="1">
      <alignment horizontal="right"/>
    </xf>
    <xf numFmtId="335" fontId="223" fillId="97" borderId="20" xfId="0" applyNumberFormat="1" applyFont="1" applyFill="1" applyBorder="1"/>
    <xf numFmtId="0" fontId="0" fillId="0" borderId="14" xfId="0" applyBorder="1"/>
    <xf numFmtId="0" fontId="14" fillId="0" borderId="14" xfId="15477" applyBorder="1"/>
    <xf numFmtId="10" fontId="0" fillId="0" borderId="14" xfId="0" applyNumberFormat="1" applyBorder="1"/>
    <xf numFmtId="0" fontId="0" fillId="0" borderId="5" xfId="0" applyBorder="1"/>
    <xf numFmtId="0" fontId="228" fillId="0" borderId="14" xfId="0" applyFont="1" applyBorder="1"/>
    <xf numFmtId="2" fontId="0" fillId="0" borderId="14" xfId="0" applyNumberFormat="1" applyBorder="1"/>
    <xf numFmtId="1" fontId="0" fillId="0" borderId="14" xfId="0" applyNumberFormat="1" applyBorder="1"/>
    <xf numFmtId="9" fontId="223" fillId="97" borderId="72" xfId="0" applyNumberFormat="1" applyFont="1" applyFill="1" applyBorder="1"/>
    <xf numFmtId="1" fontId="215" fillId="0" borderId="20" xfId="0" applyNumberFormat="1" applyFont="1" applyBorder="1"/>
    <xf numFmtId="1" fontId="222" fillId="97" borderId="72" xfId="0" applyNumberFormat="1" applyFont="1" applyFill="1" applyBorder="1"/>
    <xf numFmtId="1" fontId="223" fillId="97" borderId="72" xfId="0" applyNumberFormat="1" applyFont="1" applyFill="1" applyBorder="1"/>
    <xf numFmtId="0" fontId="245" fillId="0" borderId="0" xfId="0" applyFont="1"/>
    <xf numFmtId="0" fontId="246" fillId="0" borderId="115" xfId="42512" applyFont="1" applyBorder="1"/>
    <xf numFmtId="0" fontId="0" fillId="0" borderId="115" xfId="0" applyBorder="1"/>
    <xf numFmtId="0" fontId="0" fillId="0" borderId="116" xfId="0" applyBorder="1"/>
    <xf numFmtId="0" fontId="0" fillId="100" borderId="0" xfId="0" applyFill="1"/>
    <xf numFmtId="0" fontId="247" fillId="100" borderId="0" xfId="0" applyFont="1" applyFill="1"/>
    <xf numFmtId="0" fontId="246" fillId="0" borderId="117" xfId="42512" applyFont="1" applyBorder="1"/>
    <xf numFmtId="0" fontId="248" fillId="0" borderId="0" xfId="0" applyFont="1" applyAlignment="1">
      <alignment vertical="center" wrapText="1"/>
    </xf>
    <xf numFmtId="0" fontId="249" fillId="100" borderId="0" xfId="0" applyFont="1" applyFill="1"/>
    <xf numFmtId="0" fontId="216" fillId="100" borderId="0" xfId="0" applyFont="1" applyFill="1"/>
    <xf numFmtId="0" fontId="246" fillId="0" borderId="0" xfId="42512" applyFont="1" applyBorder="1"/>
    <xf numFmtId="0" fontId="250" fillId="0" borderId="0" xfId="0" applyFont="1"/>
    <xf numFmtId="0" fontId="251" fillId="0" borderId="0" xfId="0" applyFont="1"/>
    <xf numFmtId="0" fontId="247" fillId="0" borderId="0" xfId="0" applyFont="1"/>
    <xf numFmtId="0" fontId="223" fillId="67" borderId="20" xfId="0" applyFont="1" applyFill="1" applyBorder="1"/>
    <xf numFmtId="0" fontId="222" fillId="67" borderId="20" xfId="0" applyFont="1" applyFill="1" applyBorder="1"/>
    <xf numFmtId="0" fontId="223" fillId="67" borderId="20" xfId="0" applyFont="1" applyFill="1" applyBorder="1" applyAlignment="1">
      <alignment horizontal="right"/>
    </xf>
    <xf numFmtId="10" fontId="215" fillId="0" borderId="0" xfId="42456" applyNumberFormat="1" applyFont="1" applyFill="1"/>
    <xf numFmtId="222" fontId="223" fillId="103" borderId="62" xfId="0" applyNumberFormat="1" applyFont="1" applyFill="1" applyBorder="1" applyAlignment="1">
      <alignment horizontal="right"/>
    </xf>
    <xf numFmtId="229" fontId="215" fillId="0" borderId="0" xfId="0" applyNumberFormat="1" applyFont="1"/>
    <xf numFmtId="0" fontId="241" fillId="0" borderId="0" xfId="15477" applyFont="1"/>
    <xf numFmtId="1" fontId="0" fillId="0" borderId="0" xfId="0" applyNumberFormat="1"/>
    <xf numFmtId="4" fontId="215" fillId="0" borderId="0" xfId="0" applyNumberFormat="1" applyFont="1"/>
    <xf numFmtId="3" fontId="223" fillId="98" borderId="20" xfId="42049" applyNumberFormat="1" applyFont="1" applyFill="1" applyBorder="1"/>
    <xf numFmtId="1" fontId="216" fillId="0" borderId="20" xfId="0" applyNumberFormat="1" applyFont="1" applyBorder="1"/>
    <xf numFmtId="1" fontId="222" fillId="67" borderId="20" xfId="0" applyNumberFormat="1" applyFont="1" applyFill="1" applyBorder="1"/>
    <xf numFmtId="1" fontId="223" fillId="67" borderId="20" xfId="0" applyNumberFormat="1" applyFont="1" applyFill="1" applyBorder="1"/>
    <xf numFmtId="9" fontId="216" fillId="0" borderId="0" xfId="42456" applyFont="1"/>
    <xf numFmtId="337" fontId="215" fillId="0" borderId="0" xfId="42049" applyNumberFormat="1" applyFont="1"/>
    <xf numFmtId="335" fontId="215" fillId="0" borderId="0" xfId="42049" applyNumberFormat="1" applyFont="1"/>
    <xf numFmtId="0" fontId="215" fillId="0" borderId="103" xfId="0" applyFont="1" applyBorder="1" applyAlignment="1">
      <alignment vertical="center"/>
    </xf>
    <xf numFmtId="0" fontId="215" fillId="0" borderId="0" xfId="0" applyFont="1" applyAlignment="1">
      <alignment horizontal="left" indent="1"/>
    </xf>
    <xf numFmtId="0" fontId="215" fillId="0" borderId="11" xfId="0" applyFont="1" applyBorder="1" applyAlignment="1">
      <alignment horizontal="left" indent="1"/>
    </xf>
    <xf numFmtId="10" fontId="222" fillId="97" borderId="73" xfId="42456" applyNumberFormat="1" applyFont="1" applyFill="1" applyBorder="1"/>
    <xf numFmtId="10" fontId="222" fillId="97" borderId="62" xfId="42456" applyNumberFormat="1" applyFont="1" applyFill="1" applyBorder="1"/>
    <xf numFmtId="2" fontId="215" fillId="94" borderId="20" xfId="0" applyNumberFormat="1" applyFont="1" applyFill="1" applyBorder="1"/>
    <xf numFmtId="2" fontId="215" fillId="94" borderId="68" xfId="0" applyNumberFormat="1" applyFont="1" applyFill="1" applyBorder="1"/>
    <xf numFmtId="9" fontId="222" fillId="97" borderId="65" xfId="42456" applyFont="1" applyFill="1" applyBorder="1" applyAlignment="1">
      <alignment horizontal="right"/>
    </xf>
    <xf numFmtId="9" fontId="222" fillId="97" borderId="68" xfId="42456" applyFont="1" applyFill="1" applyBorder="1" applyAlignment="1">
      <alignment horizontal="right"/>
    </xf>
    <xf numFmtId="0" fontId="222" fillId="97" borderId="65" xfId="0" applyFont="1" applyFill="1" applyBorder="1" applyAlignment="1">
      <alignment horizontal="right"/>
    </xf>
    <xf numFmtId="0" fontId="222" fillId="97" borderId="20" xfId="0" applyFont="1" applyFill="1" applyBorder="1" applyAlignment="1">
      <alignment horizontal="right"/>
    </xf>
    <xf numFmtId="0" fontId="222" fillId="97" borderId="68" xfId="0" applyFont="1" applyFill="1" applyBorder="1" applyAlignment="1">
      <alignment horizontal="right"/>
    </xf>
    <xf numFmtId="10" fontId="215" fillId="0" borderId="0" xfId="0" applyNumberFormat="1" applyFont="1" applyAlignment="1">
      <alignment horizontal="right"/>
    </xf>
    <xf numFmtId="0" fontId="222" fillId="0" borderId="0" xfId="0" applyFont="1"/>
    <xf numFmtId="0" fontId="223" fillId="0" borderId="0" xfId="0" applyFont="1" applyAlignment="1">
      <alignment horizontal="left" vertical="top"/>
    </xf>
    <xf numFmtId="2" fontId="218" fillId="112" borderId="20" xfId="0" applyNumberFormat="1" applyFont="1" applyFill="1" applyBorder="1"/>
    <xf numFmtId="10" fontId="218" fillId="112" borderId="20" xfId="42456" applyNumberFormat="1" applyFont="1" applyFill="1" applyBorder="1"/>
    <xf numFmtId="338" fontId="222" fillId="113" borderId="20" xfId="0" applyNumberFormat="1" applyFont="1" applyFill="1" applyBorder="1"/>
    <xf numFmtId="335" fontId="222" fillId="97" borderId="62" xfId="42049" applyNumberFormat="1" applyFont="1" applyFill="1" applyBorder="1" applyAlignment="1">
      <alignment horizontal="right"/>
    </xf>
    <xf numFmtId="9" fontId="222" fillId="97" borderId="5" xfId="42456" applyFont="1" applyFill="1" applyBorder="1" applyAlignment="1">
      <alignment horizontal="right"/>
    </xf>
    <xf numFmtId="335" fontId="222" fillId="97" borderId="51" xfId="42049" applyNumberFormat="1" applyFont="1" applyFill="1" applyBorder="1" applyAlignment="1">
      <alignment horizontal="right"/>
    </xf>
    <xf numFmtId="335" fontId="222" fillId="97" borderId="81" xfId="42049" applyNumberFormat="1" applyFont="1" applyFill="1" applyBorder="1" applyAlignment="1">
      <alignment horizontal="right"/>
    </xf>
    <xf numFmtId="9" fontId="222" fillId="97" borderId="98" xfId="42456" applyFont="1" applyFill="1" applyBorder="1" applyAlignment="1">
      <alignment horizontal="right"/>
    </xf>
    <xf numFmtId="9" fontId="222" fillId="97" borderId="69" xfId="42456" applyFont="1" applyFill="1" applyBorder="1" applyAlignment="1">
      <alignment horizontal="right"/>
    </xf>
    <xf numFmtId="335" fontId="222" fillId="97" borderId="104" xfId="42049" applyNumberFormat="1" applyFont="1" applyFill="1" applyBorder="1" applyAlignment="1">
      <alignment horizontal="right"/>
    </xf>
    <xf numFmtId="164" fontId="215" fillId="103" borderId="73" xfId="0" applyNumberFormat="1" applyFont="1" applyFill="1" applyBorder="1"/>
    <xf numFmtId="164" fontId="215" fillId="103" borderId="20" xfId="0" applyNumberFormat="1" applyFont="1" applyFill="1" applyBorder="1"/>
    <xf numFmtId="164" fontId="215" fillId="103" borderId="72" xfId="0" applyNumberFormat="1" applyFont="1" applyFill="1" applyBorder="1"/>
    <xf numFmtId="337" fontId="218" fillId="96" borderId="73" xfId="42049" applyNumberFormat="1" applyFont="1" applyFill="1" applyBorder="1"/>
    <xf numFmtId="4" fontId="222" fillId="97" borderId="72" xfId="0" applyNumberFormat="1" applyFont="1" applyFill="1" applyBorder="1" applyAlignment="1">
      <alignment horizontal="right"/>
    </xf>
    <xf numFmtId="2" fontId="222" fillId="97" borderId="72" xfId="0" applyNumberFormat="1" applyFont="1" applyFill="1" applyBorder="1" applyAlignment="1">
      <alignment horizontal="right"/>
    </xf>
    <xf numFmtId="0" fontId="241" fillId="0" borderId="14" xfId="0" applyFont="1" applyBorder="1"/>
    <xf numFmtId="0" fontId="223" fillId="97" borderId="62" xfId="0" applyFont="1" applyFill="1" applyBorder="1"/>
    <xf numFmtId="1" fontId="241" fillId="0" borderId="0" xfId="42456" applyNumberFormat="1" applyFont="1" applyFill="1"/>
    <xf numFmtId="1" fontId="222" fillId="109" borderId="73" xfId="0" applyNumberFormat="1" applyFont="1" applyFill="1" applyBorder="1"/>
    <xf numFmtId="164" fontId="222" fillId="113" borderId="20" xfId="42049" applyFont="1" applyFill="1" applyBorder="1"/>
    <xf numFmtId="2" fontId="222" fillId="113" borderId="20" xfId="0" applyNumberFormat="1" applyFont="1" applyFill="1" applyBorder="1"/>
    <xf numFmtId="164" fontId="223" fillId="113" borderId="20" xfId="42049" applyFont="1" applyFill="1" applyBorder="1"/>
    <xf numFmtId="0" fontId="240" fillId="114" borderId="110" xfId="6177" applyFont="1" applyFill="1" applyBorder="1" applyAlignment="1">
      <alignment horizontal="right"/>
    </xf>
    <xf numFmtId="2" fontId="223" fillId="98" borderId="20" xfId="0" applyNumberFormat="1" applyFont="1" applyFill="1" applyBorder="1"/>
    <xf numFmtId="2" fontId="223" fillId="113" borderId="20" xfId="0" applyNumberFormat="1" applyFont="1" applyFill="1" applyBorder="1"/>
    <xf numFmtId="2" fontId="218" fillId="115" borderId="20" xfId="0" applyNumberFormat="1" applyFont="1" applyFill="1" applyBorder="1"/>
    <xf numFmtId="2" fontId="218" fillId="115" borderId="68" xfId="0" applyNumberFormat="1" applyFont="1" applyFill="1" applyBorder="1"/>
    <xf numFmtId="0" fontId="219" fillId="0" borderId="96" xfId="0" applyFont="1" applyBorder="1" applyAlignment="1">
      <alignment horizontal="center" vertical="center" wrapText="1"/>
    </xf>
    <xf numFmtId="0" fontId="217" fillId="0" borderId="3" xfId="0" applyFont="1" applyBorder="1" applyAlignment="1">
      <alignment vertical="center"/>
    </xf>
    <xf numFmtId="2" fontId="222" fillId="97" borderId="62" xfId="42049" applyNumberFormat="1" applyFont="1" applyFill="1" applyBorder="1"/>
    <xf numFmtId="2" fontId="223" fillId="97" borderId="62" xfId="42049" applyNumberFormat="1" applyFont="1" applyFill="1" applyBorder="1"/>
    <xf numFmtId="0" fontId="5" fillId="0" borderId="0" xfId="42513"/>
    <xf numFmtId="0" fontId="5" fillId="0" borderId="0" xfId="42513" applyAlignment="1">
      <alignment horizontal="center"/>
    </xf>
    <xf numFmtId="0" fontId="253" fillId="0" borderId="115" xfId="42512" applyFont="1" applyBorder="1"/>
    <xf numFmtId="229" fontId="215" fillId="0" borderId="0" xfId="42456" applyNumberFormat="1" applyFont="1" applyFill="1"/>
    <xf numFmtId="164" fontId="216" fillId="103" borderId="62" xfId="0" applyNumberFormat="1" applyFont="1" applyFill="1" applyBorder="1"/>
    <xf numFmtId="164" fontId="216" fillId="103" borderId="68" xfId="0" applyNumberFormat="1" applyFont="1" applyFill="1" applyBorder="1"/>
    <xf numFmtId="164" fontId="216" fillId="103" borderId="69" xfId="0" applyNumberFormat="1" applyFont="1" applyFill="1" applyBorder="1"/>
    <xf numFmtId="164" fontId="216" fillId="103" borderId="73" xfId="0" applyNumberFormat="1" applyFont="1" applyFill="1" applyBorder="1"/>
    <xf numFmtId="164" fontId="216" fillId="103" borderId="20" xfId="0" applyNumberFormat="1" applyFont="1" applyFill="1" applyBorder="1"/>
    <xf numFmtId="164" fontId="216" fillId="103" borderId="72" xfId="0" applyNumberFormat="1" applyFont="1" applyFill="1" applyBorder="1"/>
    <xf numFmtId="2" fontId="222" fillId="94" borderId="20" xfId="0" applyNumberFormat="1" applyFont="1" applyFill="1" applyBorder="1" applyAlignment="1">
      <alignment horizontal="center"/>
    </xf>
    <xf numFmtId="2" fontId="222" fillId="94" borderId="68" xfId="0" applyNumberFormat="1" applyFont="1" applyFill="1" applyBorder="1" applyAlignment="1">
      <alignment horizontal="center"/>
    </xf>
    <xf numFmtId="9" fontId="0" fillId="104" borderId="20" xfId="0" applyNumberFormat="1" applyFill="1" applyBorder="1"/>
    <xf numFmtId="0" fontId="228" fillId="104" borderId="73" xfId="0" applyFont="1" applyFill="1" applyBorder="1"/>
    <xf numFmtId="9" fontId="228" fillId="104" borderId="72" xfId="0" applyNumberFormat="1" applyFont="1" applyFill="1" applyBorder="1"/>
    <xf numFmtId="3" fontId="222" fillId="97" borderId="20" xfId="0" applyNumberFormat="1" applyFont="1" applyFill="1" applyBorder="1"/>
    <xf numFmtId="0" fontId="215" fillId="0" borderId="78" xfId="42051" applyFont="1" applyBorder="1" applyAlignment="1">
      <alignment horizontal="center" wrapText="1"/>
    </xf>
    <xf numFmtId="4" fontId="222" fillId="97" borderId="118" xfId="0" applyNumberFormat="1" applyFont="1" applyFill="1" applyBorder="1" applyAlignment="1">
      <alignment horizontal="right"/>
    </xf>
    <xf numFmtId="4" fontId="222" fillId="97" borderId="50" xfId="0" applyNumberFormat="1" applyFont="1" applyFill="1" applyBorder="1" applyAlignment="1">
      <alignment horizontal="right"/>
    </xf>
    <xf numFmtId="4" fontId="222" fillId="97" borderId="18" xfId="0" applyNumberFormat="1" applyFont="1" applyFill="1" applyBorder="1" applyAlignment="1">
      <alignment horizontal="right"/>
    </xf>
    <xf numFmtId="4" fontId="222" fillId="97" borderId="119" xfId="0" applyNumberFormat="1" applyFont="1" applyFill="1" applyBorder="1"/>
    <xf numFmtId="4" fontId="222" fillId="97" borderId="18" xfId="0" applyNumberFormat="1" applyFont="1" applyFill="1" applyBorder="1"/>
    <xf numFmtId="4" fontId="222" fillId="97" borderId="71" xfId="0" applyNumberFormat="1" applyFont="1" applyFill="1" applyBorder="1"/>
    <xf numFmtId="2" fontId="222" fillId="97" borderId="78" xfId="0" applyNumberFormat="1" applyFont="1" applyFill="1" applyBorder="1"/>
    <xf numFmtId="2" fontId="222" fillId="97" borderId="50" xfId="0" applyNumberFormat="1" applyFont="1" applyFill="1" applyBorder="1"/>
    <xf numFmtId="2" fontId="222" fillId="97" borderId="71" xfId="0" applyNumberFormat="1" applyFont="1" applyFill="1" applyBorder="1"/>
    <xf numFmtId="164" fontId="218" fillId="0" borderId="71" xfId="0" applyNumberFormat="1" applyFont="1" applyBorder="1" applyAlignment="1">
      <alignment horizontal="right" wrapText="1"/>
    </xf>
    <xf numFmtId="2" fontId="216" fillId="0" borderId="5" xfId="0" applyNumberFormat="1" applyFont="1" applyBorder="1" applyAlignment="1">
      <alignment horizontal="right" vertical="center"/>
    </xf>
    <xf numFmtId="0" fontId="223" fillId="97" borderId="73" xfId="0" applyFont="1" applyFill="1" applyBorder="1"/>
    <xf numFmtId="0" fontId="0" fillId="104" borderId="20" xfId="0" applyFill="1" applyBorder="1"/>
    <xf numFmtId="0" fontId="215" fillId="104" borderId="20" xfId="0" applyFont="1" applyFill="1" applyBorder="1" applyAlignment="1">
      <alignment horizontal="center" vertical="center"/>
    </xf>
    <xf numFmtId="9" fontId="8" fillId="104" borderId="20" xfId="42456" applyFont="1" applyFill="1" applyBorder="1"/>
    <xf numFmtId="0" fontId="228" fillId="104" borderId="20" xfId="0" applyFont="1" applyFill="1" applyBorder="1"/>
    <xf numFmtId="9" fontId="228" fillId="104" borderId="20" xfId="42456" applyFont="1" applyFill="1" applyBorder="1"/>
    <xf numFmtId="1" fontId="215" fillId="94" borderId="20" xfId="0" applyNumberFormat="1" applyFont="1" applyFill="1" applyBorder="1"/>
    <xf numFmtId="2" fontId="223" fillId="97" borderId="73" xfId="0" applyNumberFormat="1" applyFont="1" applyFill="1" applyBorder="1"/>
    <xf numFmtId="343" fontId="222" fillId="97" borderId="20" xfId="0" applyNumberFormat="1" applyFont="1" applyFill="1" applyBorder="1"/>
    <xf numFmtId="343" fontId="223" fillId="97" borderId="68" xfId="0" applyNumberFormat="1" applyFont="1" applyFill="1" applyBorder="1"/>
    <xf numFmtId="2" fontId="223" fillId="97" borderId="72" xfId="0" applyNumberFormat="1" applyFont="1" applyFill="1" applyBorder="1"/>
    <xf numFmtId="338" fontId="215" fillId="0" borderId="0" xfId="0" applyNumberFormat="1" applyFont="1"/>
    <xf numFmtId="9" fontId="218" fillId="112" borderId="20" xfId="42456" applyFont="1" applyFill="1" applyBorder="1"/>
    <xf numFmtId="335" fontId="0" fillId="0" borderId="0" xfId="0" applyNumberFormat="1"/>
    <xf numFmtId="2" fontId="222" fillId="97" borderId="20" xfId="0" applyNumberFormat="1" applyFont="1" applyFill="1" applyBorder="1" applyAlignment="1">
      <alignment wrapText="1"/>
    </xf>
    <xf numFmtId="0" fontId="244" fillId="0" borderId="0" xfId="42512"/>
    <xf numFmtId="0" fontId="216" fillId="0" borderId="79" xfId="0" applyFont="1" applyBorder="1" applyAlignment="1">
      <alignment horizontal="left"/>
    </xf>
    <xf numFmtId="2" fontId="223" fillId="97" borderId="73" xfId="42050" applyNumberFormat="1" applyFont="1" applyFill="1" applyBorder="1"/>
    <xf numFmtId="0" fontId="215" fillId="0" borderId="112" xfId="0" applyFont="1" applyBorder="1" applyAlignment="1">
      <alignment horizontal="center" vertical="center" wrapText="1"/>
    </xf>
    <xf numFmtId="164" fontId="0" fillId="0" borderId="114" xfId="0" applyNumberFormat="1" applyBorder="1" applyAlignment="1">
      <alignment horizontal="center" vertical="center" wrapText="1"/>
    </xf>
    <xf numFmtId="0" fontId="215" fillId="0" borderId="114" xfId="0" applyFont="1" applyBorder="1" applyAlignment="1">
      <alignment horizontal="center" vertical="center" wrapText="1"/>
    </xf>
    <xf numFmtId="164" fontId="0" fillId="0" borderId="113" xfId="0" applyNumberFormat="1" applyBorder="1" applyAlignment="1">
      <alignment horizontal="center" vertical="center" wrapText="1"/>
    </xf>
    <xf numFmtId="0" fontId="215" fillId="0" borderId="79" xfId="0" applyFont="1" applyBorder="1" applyAlignment="1">
      <alignment horizontal="center" vertical="center"/>
    </xf>
    <xf numFmtId="0" fontId="216" fillId="0" borderId="79" xfId="0" applyFont="1" applyBorder="1"/>
    <xf numFmtId="0" fontId="219" fillId="0" borderId="101" xfId="0" applyFont="1" applyBorder="1" applyAlignment="1">
      <alignment horizontal="center" vertical="center" wrapText="1"/>
    </xf>
    <xf numFmtId="0" fontId="219" fillId="0" borderId="103" xfId="0" applyFont="1" applyBorder="1" applyAlignment="1">
      <alignment horizontal="center" vertical="center" wrapText="1"/>
    </xf>
    <xf numFmtId="0" fontId="219" fillId="0" borderId="102" xfId="0" applyFont="1" applyBorder="1" applyAlignment="1">
      <alignment horizontal="center" vertical="center" wrapText="1"/>
    </xf>
    <xf numFmtId="0" fontId="215" fillId="0" borderId="112" xfId="0" applyFont="1" applyBorder="1" applyAlignment="1">
      <alignment horizontal="right"/>
    </xf>
    <xf numFmtId="0" fontId="215" fillId="0" borderId="114" xfId="0" applyFont="1" applyBorder="1" applyAlignment="1">
      <alignment horizontal="right"/>
    </xf>
    <xf numFmtId="0" fontId="215" fillId="0" borderId="113" xfId="0" applyFont="1" applyBorder="1" applyAlignment="1">
      <alignment horizontal="right"/>
    </xf>
    <xf numFmtId="0" fontId="215" fillId="0" borderId="112" xfId="0" applyFont="1" applyBorder="1" applyAlignment="1">
      <alignment horizontal="right" vertical="center"/>
    </xf>
    <xf numFmtId="0" fontId="215" fillId="0" borderId="114" xfId="0" applyFont="1" applyBorder="1" applyAlignment="1">
      <alignment horizontal="right" vertical="center"/>
    </xf>
    <xf numFmtId="0" fontId="215" fillId="0" borderId="114" xfId="0" applyFont="1" applyBorder="1" applyAlignment="1">
      <alignment horizontal="center" vertical="center"/>
    </xf>
    <xf numFmtId="0" fontId="215" fillId="0" borderId="113" xfId="0" applyFont="1" applyBorder="1" applyAlignment="1">
      <alignment horizontal="center" vertical="center"/>
    </xf>
    <xf numFmtId="0" fontId="215" fillId="0" borderId="112" xfId="0" applyFont="1" applyBorder="1" applyAlignment="1">
      <alignment horizontal="center" vertical="center"/>
    </xf>
    <xf numFmtId="0" fontId="215" fillId="0" borderId="112" xfId="0" applyFont="1" applyBorder="1" applyAlignment="1">
      <alignment horizontal="right" vertical="center" wrapText="1"/>
    </xf>
    <xf numFmtId="0" fontId="215" fillId="0" borderId="114" xfId="0" applyFont="1" applyBorder="1" applyAlignment="1">
      <alignment horizontal="right" vertical="center" wrapText="1"/>
    </xf>
    <xf numFmtId="0" fontId="215" fillId="0" borderId="79" xfId="42051" applyFont="1" applyBorder="1" applyAlignment="1">
      <alignment horizontal="center" vertical="center" wrapText="1"/>
    </xf>
    <xf numFmtId="0" fontId="215" fillId="0" borderId="79" xfId="42051" applyFont="1" applyBorder="1" applyAlignment="1">
      <alignment horizontal="left" vertical="center" wrapText="1"/>
    </xf>
    <xf numFmtId="344" fontId="0" fillId="0" borderId="14" xfId="0" applyNumberFormat="1" applyBorder="1"/>
    <xf numFmtId="0" fontId="216" fillId="104" borderId="73" xfId="42051" applyFont="1" applyFill="1" applyBorder="1" applyAlignment="1">
      <alignment horizontal="center" wrapText="1"/>
    </xf>
    <xf numFmtId="0" fontId="215" fillId="104" borderId="72" xfId="42051" applyFont="1" applyFill="1" applyBorder="1" applyAlignment="1">
      <alignment horizontal="right" wrapText="1"/>
    </xf>
    <xf numFmtId="0" fontId="215" fillId="104" borderId="72" xfId="0" applyFont="1" applyFill="1" applyBorder="1" applyAlignment="1">
      <alignment horizontal="right"/>
    </xf>
    <xf numFmtId="0" fontId="215" fillId="104" borderId="73" xfId="42051" applyFont="1" applyFill="1" applyBorder="1" applyAlignment="1">
      <alignment horizontal="center" wrapText="1"/>
    </xf>
    <xf numFmtId="0" fontId="215" fillId="0" borderId="53" xfId="0" applyFont="1" applyBorder="1"/>
    <xf numFmtId="10" fontId="223" fillId="97" borderId="86" xfId="42456" applyNumberFormat="1" applyFont="1" applyFill="1" applyBorder="1"/>
    <xf numFmtId="271" fontId="222" fillId="98" borderId="20" xfId="0" applyNumberFormat="1" applyFont="1" applyFill="1" applyBorder="1"/>
    <xf numFmtId="1" fontId="252" fillId="0" borderId="0" xfId="0" applyNumberFormat="1" applyFont="1"/>
    <xf numFmtId="10" fontId="241" fillId="0" borderId="0" xfId="0" applyNumberFormat="1" applyFont="1"/>
    <xf numFmtId="10" fontId="0" fillId="0" borderId="0" xfId="0" applyNumberFormat="1" applyAlignment="1">
      <alignment horizontal="left" indent="4"/>
    </xf>
    <xf numFmtId="2" fontId="241" fillId="0" borderId="0" xfId="0" applyNumberFormat="1" applyFont="1"/>
    <xf numFmtId="1" fontId="241" fillId="0" borderId="0" xfId="0" applyNumberFormat="1" applyFont="1"/>
    <xf numFmtId="9" fontId="241" fillId="0" borderId="0" xfId="42456" applyFont="1" applyFill="1"/>
    <xf numFmtId="342" fontId="222" fillId="97" borderId="81" xfId="42049" applyNumberFormat="1" applyFont="1" applyFill="1" applyBorder="1" applyAlignment="1">
      <alignment horizontal="right"/>
    </xf>
    <xf numFmtId="342" fontId="0" fillId="0" borderId="14" xfId="0" applyNumberFormat="1" applyBorder="1"/>
    <xf numFmtId="229" fontId="215" fillId="0" borderId="0" xfId="42456" applyNumberFormat="1" applyFont="1"/>
    <xf numFmtId="10" fontId="215" fillId="0" borderId="0" xfId="42456" applyNumberFormat="1" applyFont="1"/>
    <xf numFmtId="164" fontId="216" fillId="0" borderId="0" xfId="0" applyNumberFormat="1" applyFont="1"/>
    <xf numFmtId="345" fontId="0" fillId="104" borderId="20" xfId="0" applyNumberFormat="1" applyFill="1" applyBorder="1"/>
    <xf numFmtId="345" fontId="228" fillId="104" borderId="20" xfId="0" applyNumberFormat="1" applyFont="1" applyFill="1" applyBorder="1"/>
    <xf numFmtId="17" fontId="215" fillId="0" borderId="74" xfId="0" applyNumberFormat="1" applyFont="1" applyBorder="1" applyAlignment="1">
      <alignment horizontal="center" vertical="center"/>
    </xf>
    <xf numFmtId="1" fontId="215" fillId="0" borderId="52" xfId="0" applyNumberFormat="1" applyFont="1" applyBorder="1"/>
    <xf numFmtId="17" fontId="215" fillId="0" borderId="63" xfId="0" applyNumberFormat="1" applyFont="1" applyBorder="1" applyAlignment="1">
      <alignment horizontal="center" vertical="center"/>
    </xf>
    <xf numFmtId="17" fontId="215" fillId="0" borderId="75" xfId="0" applyNumberFormat="1" applyFont="1" applyBorder="1" applyAlignment="1">
      <alignment horizontal="center" vertical="center"/>
    </xf>
    <xf numFmtId="222" fontId="0" fillId="0" borderId="14" xfId="0" applyNumberFormat="1" applyBorder="1"/>
    <xf numFmtId="1" fontId="215" fillId="96" borderId="5" xfId="42049" applyNumberFormat="1" applyFont="1" applyFill="1" applyBorder="1"/>
    <xf numFmtId="1" fontId="215" fillId="96" borderId="18" xfId="42049" applyNumberFormat="1" applyFont="1" applyFill="1" applyBorder="1"/>
    <xf numFmtId="1" fontId="216" fillId="96" borderId="86" xfId="42049" applyNumberFormat="1" applyFont="1" applyFill="1" applyBorder="1"/>
    <xf numFmtId="0" fontId="218" fillId="0" borderId="6" xfId="0" applyFont="1" applyBorder="1"/>
    <xf numFmtId="9" fontId="215" fillId="96" borderId="50" xfId="42456" applyFont="1" applyFill="1" applyBorder="1"/>
    <xf numFmtId="9" fontId="216" fillId="96" borderId="74" xfId="42456" applyFont="1" applyFill="1" applyBorder="1"/>
    <xf numFmtId="335" fontId="0" fillId="104" borderId="0" xfId="0" applyNumberFormat="1" applyFill="1"/>
    <xf numFmtId="1" fontId="222" fillId="97" borderId="68" xfId="0" applyNumberFormat="1" applyFont="1" applyFill="1" applyBorder="1" applyAlignment="1">
      <alignment wrapText="1"/>
    </xf>
    <xf numFmtId="341" fontId="222" fillId="97" borderId="20" xfId="0" applyNumberFormat="1" applyFont="1" applyFill="1" applyBorder="1"/>
    <xf numFmtId="341" fontId="222" fillId="97" borderId="68" xfId="0" applyNumberFormat="1" applyFont="1" applyFill="1" applyBorder="1"/>
    <xf numFmtId="9" fontId="222" fillId="97" borderId="5" xfId="42456" applyFont="1" applyFill="1" applyBorder="1"/>
    <xf numFmtId="9" fontId="223" fillId="97" borderId="98" xfId="42456" applyFont="1" applyFill="1" applyBorder="1"/>
    <xf numFmtId="9" fontId="223" fillId="97" borderId="68" xfId="42456" applyFont="1" applyFill="1" applyBorder="1"/>
    <xf numFmtId="0" fontId="255" fillId="0" borderId="0" xfId="0" applyFont="1" applyAlignment="1">
      <alignment horizontal="center" vertical="center" readingOrder="1"/>
    </xf>
    <xf numFmtId="0" fontId="3" fillId="0" borderId="115" xfId="0" applyFont="1" applyBorder="1" applyAlignment="1">
      <alignment vertical="center" wrapText="1"/>
    </xf>
    <xf numFmtId="0" fontId="3" fillId="0" borderId="117" xfId="0" applyFont="1" applyBorder="1" applyAlignment="1">
      <alignment vertical="center" wrapText="1"/>
    </xf>
    <xf numFmtId="0" fontId="215" fillId="0" borderId="53" xfId="0" applyFont="1" applyBorder="1" applyAlignment="1">
      <alignment horizontal="center" vertical="center" wrapText="1"/>
    </xf>
    <xf numFmtId="0" fontId="3" fillId="104" borderId="0" xfId="0" applyFont="1" applyFill="1" applyAlignment="1">
      <alignment vertical="center"/>
    </xf>
    <xf numFmtId="10" fontId="222" fillId="97" borderId="73" xfId="42456" applyNumberFormat="1" applyFont="1" applyFill="1" applyBorder="1" applyAlignment="1">
      <alignment horizontal="right" vertical="center"/>
    </xf>
    <xf numFmtId="10" fontId="222" fillId="97" borderId="20" xfId="42456" applyNumberFormat="1" applyFont="1" applyFill="1" applyBorder="1" applyAlignment="1">
      <alignment horizontal="right" vertical="center"/>
    </xf>
    <xf numFmtId="10" fontId="223" fillId="97" borderId="62" xfId="42456" applyNumberFormat="1" applyFont="1" applyFill="1" applyBorder="1" applyAlignment="1">
      <alignment horizontal="right" vertical="center"/>
    </xf>
    <xf numFmtId="10" fontId="223" fillId="97" borderId="68" xfId="42456" applyNumberFormat="1" applyFont="1" applyFill="1" applyBorder="1" applyAlignment="1">
      <alignment horizontal="right" vertical="center"/>
    </xf>
    <xf numFmtId="10" fontId="223" fillId="97" borderId="20" xfId="42456" applyNumberFormat="1" applyFont="1" applyFill="1" applyBorder="1" applyAlignment="1">
      <alignment horizontal="right" vertical="center"/>
    </xf>
    <xf numFmtId="2" fontId="222" fillId="109" borderId="66" xfId="42456" applyNumberFormat="1" applyFont="1" applyFill="1" applyBorder="1" applyAlignment="1">
      <alignment horizontal="right"/>
    </xf>
    <xf numFmtId="2" fontId="223" fillId="109" borderId="66" xfId="42456" applyNumberFormat="1" applyFont="1" applyFill="1" applyBorder="1" applyAlignment="1">
      <alignment horizontal="right"/>
    </xf>
    <xf numFmtId="341" fontId="222" fillId="97" borderId="73" xfId="0" applyNumberFormat="1" applyFont="1" applyFill="1" applyBorder="1"/>
    <xf numFmtId="0" fontId="2" fillId="0" borderId="115" xfId="0" applyFont="1" applyBorder="1" applyAlignment="1">
      <alignment vertical="center" wrapText="1"/>
    </xf>
    <xf numFmtId="0" fontId="2" fillId="0" borderId="117" xfId="0" applyFont="1" applyBorder="1" applyAlignment="1">
      <alignment vertical="center" wrapText="1"/>
    </xf>
    <xf numFmtId="0" fontId="215" fillId="0" borderId="20" xfId="0" applyFont="1" applyBorder="1" applyAlignment="1">
      <alignment horizontal="center" vertical="center"/>
    </xf>
    <xf numFmtId="0" fontId="215" fillId="0" borderId="5" xfId="0" applyFont="1" applyBorder="1" applyAlignment="1">
      <alignment vertical="center"/>
    </xf>
    <xf numFmtId="0" fontId="215" fillId="0" borderId="14" xfId="0" applyFont="1" applyBorder="1" applyAlignment="1">
      <alignment vertical="center"/>
    </xf>
    <xf numFmtId="0" fontId="215" fillId="0" borderId="51" xfId="0" applyFont="1" applyBorder="1" applyAlignment="1">
      <alignment vertical="center"/>
    </xf>
    <xf numFmtId="0" fontId="215" fillId="0" borderId="20" xfId="0" applyFont="1" applyBorder="1" applyAlignment="1"/>
    <xf numFmtId="337" fontId="217" fillId="96" borderId="68" xfId="42049" applyNumberFormat="1" applyFont="1" applyFill="1" applyBorder="1"/>
    <xf numFmtId="0" fontId="215" fillId="0" borderId="84" xfId="6346" applyFont="1" applyBorder="1" applyAlignment="1">
      <alignment horizontal="center" vertical="center"/>
    </xf>
    <xf numFmtId="1" fontId="223" fillId="97" borderId="73" xfId="0" applyNumberFormat="1" applyFont="1" applyFill="1" applyBorder="1"/>
    <xf numFmtId="0" fontId="215" fillId="103" borderId="20" xfId="42456" applyNumberFormat="1" applyFont="1" applyFill="1" applyBorder="1"/>
    <xf numFmtId="0" fontId="0" fillId="0" borderId="0" xfId="0" applyFill="1"/>
    <xf numFmtId="0" fontId="241" fillId="0" borderId="0" xfId="15477" applyFont="1" applyFill="1"/>
    <xf numFmtId="1" fontId="0" fillId="0" borderId="0" xfId="0" applyNumberFormat="1" applyFill="1"/>
    <xf numFmtId="0" fontId="215" fillId="0" borderId="0" xfId="6346" applyFont="1" applyFill="1"/>
    <xf numFmtId="0" fontId="215" fillId="0" borderId="0" xfId="6346" applyFont="1" applyFill="1" applyAlignment="1">
      <alignment horizontal="center" vertical="center"/>
    </xf>
    <xf numFmtId="0" fontId="215" fillId="0" borderId="0" xfId="6346" applyFont="1" applyFill="1" applyAlignment="1">
      <alignment horizontal="left"/>
    </xf>
    <xf numFmtId="0" fontId="215" fillId="0" borderId="0" xfId="6346" applyFont="1" applyFill="1" applyAlignment="1">
      <alignment horizontal="center"/>
    </xf>
    <xf numFmtId="0" fontId="215" fillId="0" borderId="0" xfId="0" applyFont="1" applyFill="1"/>
    <xf numFmtId="0" fontId="0" fillId="0" borderId="14" xfId="0" applyFill="1" applyBorder="1"/>
    <xf numFmtId="0" fontId="256" fillId="97" borderId="73" xfId="0" applyFont="1" applyFill="1" applyBorder="1" applyAlignment="1">
      <alignment wrapText="1"/>
    </xf>
    <xf numFmtId="0" fontId="256" fillId="97" borderId="20" xfId="0" applyFont="1" applyFill="1" applyBorder="1" applyAlignment="1">
      <alignment wrapText="1"/>
    </xf>
    <xf numFmtId="2" fontId="256" fillId="97" borderId="20" xfId="0" applyNumberFormat="1" applyFont="1" applyFill="1" applyBorder="1" applyAlignment="1">
      <alignment wrapText="1"/>
    </xf>
    <xf numFmtId="0" fontId="256" fillId="97" borderId="72" xfId="0" applyFont="1" applyFill="1" applyBorder="1" applyAlignment="1">
      <alignment wrapText="1"/>
    </xf>
    <xf numFmtId="0" fontId="215" fillId="0" borderId="119" xfId="0" applyFont="1" applyBorder="1"/>
    <xf numFmtId="0" fontId="216" fillId="0" borderId="55" xfId="0" applyFont="1" applyBorder="1"/>
    <xf numFmtId="335" fontId="222" fillId="109" borderId="52" xfId="42049" applyNumberFormat="1" applyFont="1" applyFill="1" applyBorder="1" applyAlignment="1">
      <alignment horizontal="center"/>
    </xf>
    <xf numFmtId="9" fontId="222" fillId="109" borderId="52" xfId="42456" applyFont="1" applyFill="1" applyBorder="1" applyAlignment="1">
      <alignment horizontal="right"/>
    </xf>
    <xf numFmtId="0" fontId="216" fillId="0" borderId="63" xfId="0" applyFont="1" applyBorder="1" applyAlignment="1">
      <alignment horizontal="center" vertical="center" wrapText="1"/>
    </xf>
    <xf numFmtId="0" fontId="216" fillId="0" borderId="74" xfId="0" applyFont="1" applyBorder="1" applyAlignment="1">
      <alignment horizontal="center" vertical="center" wrapText="1"/>
    </xf>
    <xf numFmtId="0" fontId="216" fillId="0" borderId="75" xfId="0" applyFont="1" applyBorder="1" applyAlignment="1">
      <alignment horizontal="center" vertical="center" wrapText="1"/>
    </xf>
    <xf numFmtId="10" fontId="215" fillId="0" borderId="20" xfId="0" applyNumberFormat="1" applyFont="1" applyFill="1" applyBorder="1"/>
    <xf numFmtId="0" fontId="0" fillId="0" borderId="14" xfId="0" applyNumberFormat="1" applyBorder="1"/>
    <xf numFmtId="2" fontId="241" fillId="0" borderId="0" xfId="0" applyNumberFormat="1" applyFont="1" applyFill="1"/>
    <xf numFmtId="1" fontId="241" fillId="0" borderId="0" xfId="0" applyNumberFormat="1" applyFont="1" applyFill="1"/>
    <xf numFmtId="10" fontId="241" fillId="0" borderId="0" xfId="0" applyNumberFormat="1" applyFont="1" applyFill="1"/>
    <xf numFmtId="2" fontId="0" fillId="0" borderId="0" xfId="0" applyNumberFormat="1" applyFill="1"/>
    <xf numFmtId="345" fontId="0" fillId="104" borderId="20" xfId="0" applyNumberFormat="1" applyFont="1" applyFill="1" applyBorder="1"/>
    <xf numFmtId="0" fontId="215" fillId="0" borderId="70" xfId="6346" applyFont="1" applyBorder="1" applyAlignment="1">
      <alignment horizontal="center" vertical="center"/>
    </xf>
    <xf numFmtId="10" fontId="215" fillId="103" borderId="20" xfId="0" applyNumberFormat="1" applyFont="1" applyFill="1" applyBorder="1"/>
    <xf numFmtId="337" fontId="222" fillId="109" borderId="20" xfId="42049" applyNumberFormat="1" applyFont="1" applyFill="1" applyBorder="1"/>
    <xf numFmtId="337" fontId="222" fillId="116" borderId="20" xfId="42049" applyNumberFormat="1" applyFont="1" applyFill="1" applyBorder="1"/>
    <xf numFmtId="346" fontId="218" fillId="93" borderId="20" xfId="0" applyNumberFormat="1" applyFont="1" applyFill="1" applyBorder="1"/>
    <xf numFmtId="190" fontId="215" fillId="0" borderId="0" xfId="0" applyNumberFormat="1" applyFont="1"/>
    <xf numFmtId="4" fontId="216" fillId="0" borderId="0" xfId="0" applyNumberFormat="1" applyFont="1"/>
    <xf numFmtId="271" fontId="215" fillId="0" borderId="0" xfId="0" applyNumberFormat="1" applyFont="1"/>
    <xf numFmtId="347" fontId="222" fillId="97" borderId="73" xfId="42049" applyNumberFormat="1" applyFont="1" applyFill="1" applyBorder="1"/>
    <xf numFmtId="347" fontId="222" fillId="97" borderId="20" xfId="42049" applyNumberFormat="1" applyFont="1" applyFill="1" applyBorder="1"/>
    <xf numFmtId="9" fontId="223" fillId="109" borderId="52" xfId="42456" applyFont="1" applyFill="1" applyBorder="1" applyAlignment="1">
      <alignment horizontal="right"/>
    </xf>
    <xf numFmtId="343" fontId="215" fillId="0" borderId="0" xfId="0" applyNumberFormat="1" applyFont="1"/>
    <xf numFmtId="229" fontId="215" fillId="96" borderId="72" xfId="42456" applyNumberFormat="1" applyFont="1" applyFill="1" applyBorder="1"/>
    <xf numFmtId="229" fontId="215" fillId="96" borderId="71" xfId="42456" applyNumberFormat="1" applyFont="1" applyFill="1" applyBorder="1"/>
    <xf numFmtId="229" fontId="216" fillId="96" borderId="75" xfId="42456" applyNumberFormat="1" applyFont="1" applyFill="1" applyBorder="1"/>
    <xf numFmtId="229" fontId="222" fillId="97" borderId="70" xfId="42456" applyNumberFormat="1" applyFont="1" applyFill="1" applyBorder="1"/>
    <xf numFmtId="229" fontId="222" fillId="97" borderId="89" xfId="42456" applyNumberFormat="1" applyFont="1" applyFill="1" applyBorder="1"/>
    <xf numFmtId="229" fontId="223" fillId="97" borderId="75" xfId="42456" applyNumberFormat="1" applyFont="1" applyFill="1" applyBorder="1"/>
    <xf numFmtId="348" fontId="215" fillId="0" borderId="0" xfId="0" applyNumberFormat="1" applyFont="1" applyAlignment="1">
      <alignment horizontal="right"/>
    </xf>
    <xf numFmtId="341" fontId="216" fillId="0" borderId="0" xfId="0" applyNumberFormat="1" applyFont="1"/>
    <xf numFmtId="307" fontId="215" fillId="0" borderId="0" xfId="0" applyNumberFormat="1" applyFont="1"/>
    <xf numFmtId="346" fontId="216" fillId="0" borderId="0" xfId="0" applyNumberFormat="1" applyFont="1"/>
    <xf numFmtId="303" fontId="215" fillId="0" borderId="0" xfId="0" applyNumberFormat="1" applyFont="1"/>
    <xf numFmtId="303" fontId="222" fillId="97" borderId="20" xfId="0" applyNumberFormat="1" applyFont="1" applyFill="1" applyBorder="1"/>
    <xf numFmtId="349" fontId="215" fillId="0" borderId="0" xfId="0" applyNumberFormat="1" applyFont="1"/>
    <xf numFmtId="349" fontId="222" fillId="97" borderId="20" xfId="0" applyNumberFormat="1" applyFont="1" applyFill="1" applyBorder="1"/>
    <xf numFmtId="349" fontId="222" fillId="97" borderId="68" xfId="0" applyNumberFormat="1" applyFont="1" applyFill="1" applyBorder="1"/>
    <xf numFmtId="346" fontId="222" fillId="97" borderId="20" xfId="0" applyNumberFormat="1" applyFont="1" applyFill="1" applyBorder="1"/>
    <xf numFmtId="0" fontId="5" fillId="0" borderId="0" xfId="42513" applyAlignment="1">
      <alignment horizontal="center"/>
    </xf>
    <xf numFmtId="0" fontId="216" fillId="0" borderId="3" xfId="0" applyFont="1" applyBorder="1" applyAlignment="1">
      <alignment horizontal="center"/>
    </xf>
    <xf numFmtId="0" fontId="215" fillId="0" borderId="78" xfId="6346" applyFont="1" applyBorder="1" applyAlignment="1">
      <alignment horizontal="center" vertical="center"/>
    </xf>
    <xf numFmtId="0" fontId="215" fillId="0" borderId="67" xfId="6346" applyFont="1" applyBorder="1" applyAlignment="1">
      <alignment horizontal="center" vertical="center"/>
    </xf>
    <xf numFmtId="0" fontId="215" fillId="0" borderId="71" xfId="6346" applyFont="1" applyBorder="1" applyAlignment="1">
      <alignment horizontal="center" vertical="center"/>
    </xf>
    <xf numFmtId="0" fontId="215" fillId="0" borderId="90" xfId="6346" applyFont="1" applyBorder="1" applyAlignment="1">
      <alignment horizontal="center" vertical="center"/>
    </xf>
    <xf numFmtId="0" fontId="216" fillId="103" borderId="101" xfId="6346" applyFont="1" applyFill="1" applyBorder="1" applyAlignment="1">
      <alignment horizontal="center" vertical="center"/>
    </xf>
    <xf numFmtId="0" fontId="216" fillId="103" borderId="102" xfId="6346" applyFont="1" applyFill="1" applyBorder="1" applyAlignment="1">
      <alignment horizontal="center" vertical="center"/>
    </xf>
    <xf numFmtId="0" fontId="215" fillId="0" borderId="88" xfId="6346" applyFont="1" applyBorder="1" applyAlignment="1">
      <alignment horizontal="center" vertical="center"/>
    </xf>
    <xf numFmtId="0" fontId="215" fillId="0" borderId="84" xfId="6346" applyFont="1" applyBorder="1" applyAlignment="1">
      <alignment horizontal="center" vertical="center"/>
    </xf>
    <xf numFmtId="0" fontId="215" fillId="0" borderId="89" xfId="6346" applyFont="1" applyBorder="1" applyAlignment="1">
      <alignment horizontal="center" vertical="center"/>
    </xf>
    <xf numFmtId="0" fontId="215" fillId="0" borderId="70" xfId="6346" applyFont="1" applyBorder="1" applyAlignment="1">
      <alignment horizontal="center" vertical="center"/>
    </xf>
    <xf numFmtId="0" fontId="216" fillId="103" borderId="101" xfId="0" applyFont="1" applyFill="1" applyBorder="1" applyAlignment="1">
      <alignment horizontal="center" vertical="center" wrapText="1"/>
    </xf>
    <xf numFmtId="0" fontId="216" fillId="103" borderId="103" xfId="0" applyFont="1" applyFill="1" applyBorder="1" applyAlignment="1">
      <alignment horizontal="center" vertical="center" wrapText="1"/>
    </xf>
    <xf numFmtId="0" fontId="216" fillId="103" borderId="102" xfId="0" applyFont="1" applyFill="1" applyBorder="1" applyAlignment="1">
      <alignment horizontal="center" vertical="center" wrapText="1"/>
    </xf>
    <xf numFmtId="0" fontId="216" fillId="103" borderId="103" xfId="6346" applyFont="1" applyFill="1" applyBorder="1" applyAlignment="1">
      <alignment horizontal="center" vertical="center"/>
    </xf>
    <xf numFmtId="0" fontId="216" fillId="102" borderId="0" xfId="0" applyFont="1" applyFill="1" applyAlignment="1">
      <alignment horizontal="left" vertical="top"/>
    </xf>
    <xf numFmtId="0" fontId="216" fillId="0" borderId="74" xfId="0" applyFont="1" applyBorder="1" applyAlignment="1">
      <alignment horizontal="center"/>
    </xf>
    <xf numFmtId="164" fontId="230" fillId="0" borderId="74" xfId="0" applyNumberFormat="1" applyFont="1" applyBorder="1" applyAlignment="1">
      <alignment horizontal="center"/>
    </xf>
    <xf numFmtId="164" fontId="230" fillId="0" borderId="75" xfId="0" applyNumberFormat="1" applyFont="1" applyBorder="1" applyAlignment="1">
      <alignment horizontal="center"/>
    </xf>
    <xf numFmtId="0" fontId="230" fillId="0" borderId="55" xfId="0" applyFont="1" applyBorder="1" applyAlignment="1">
      <alignment horizontal="center"/>
    </xf>
    <xf numFmtId="0" fontId="230" fillId="0" borderId="56" xfId="0" applyFont="1" applyBorder="1" applyAlignment="1">
      <alignment horizontal="center"/>
    </xf>
    <xf numFmtId="0" fontId="230" fillId="0" borderId="87" xfId="0" applyFont="1" applyBorder="1" applyAlignment="1">
      <alignment horizontal="center"/>
    </xf>
    <xf numFmtId="0" fontId="230" fillId="0" borderId="86" xfId="0" applyFont="1" applyBorder="1" applyAlignment="1">
      <alignment horizontal="center"/>
    </xf>
    <xf numFmtId="0" fontId="230" fillId="0" borderId="57" xfId="0" applyFont="1" applyBorder="1" applyAlignment="1">
      <alignment horizontal="center"/>
    </xf>
    <xf numFmtId="0" fontId="216" fillId="0" borderId="55" xfId="0" applyFont="1" applyBorder="1" applyAlignment="1">
      <alignment horizontal="center"/>
    </xf>
    <xf numFmtId="0" fontId="216" fillId="0" borderId="56" xfId="0" applyFont="1" applyBorder="1" applyAlignment="1">
      <alignment horizontal="center"/>
    </xf>
    <xf numFmtId="0" fontId="216" fillId="0" borderId="87" xfId="0" applyFont="1" applyBorder="1" applyAlignment="1">
      <alignment horizontal="center"/>
    </xf>
    <xf numFmtId="164" fontId="230" fillId="0" borderId="86" xfId="0" applyNumberFormat="1" applyFont="1" applyBorder="1" applyAlignment="1">
      <alignment horizontal="center"/>
    </xf>
    <xf numFmtId="164" fontId="230" fillId="0" borderId="56" xfId="0" applyNumberFormat="1" applyFont="1" applyBorder="1" applyAlignment="1">
      <alignment horizontal="center"/>
    </xf>
    <xf numFmtId="164" fontId="230" fillId="0" borderId="87" xfId="0" applyNumberFormat="1" applyFont="1" applyBorder="1" applyAlignment="1">
      <alignment horizontal="center"/>
    </xf>
    <xf numFmtId="0" fontId="216" fillId="0" borderId="86" xfId="0" applyFont="1" applyBorder="1" applyAlignment="1">
      <alignment horizontal="center"/>
    </xf>
    <xf numFmtId="164" fontId="230" fillId="0" borderId="57" xfId="0" applyNumberFormat="1" applyFont="1" applyBorder="1" applyAlignment="1">
      <alignment horizontal="center"/>
    </xf>
    <xf numFmtId="0" fontId="230" fillId="0" borderId="63" xfId="0" applyFont="1" applyBorder="1" applyAlignment="1">
      <alignment horizontal="center"/>
    </xf>
    <xf numFmtId="0" fontId="230" fillId="0" borderId="74" xfId="0" applyFont="1" applyBorder="1" applyAlignment="1">
      <alignment horizontal="center"/>
    </xf>
    <xf numFmtId="0" fontId="230" fillId="0" borderId="75" xfId="0" applyFont="1" applyBorder="1" applyAlignment="1">
      <alignment horizontal="center"/>
    </xf>
    <xf numFmtId="0" fontId="216" fillId="0" borderId="63" xfId="0" applyFont="1" applyBorder="1" applyAlignment="1">
      <alignment horizontal="center"/>
    </xf>
    <xf numFmtId="0" fontId="215" fillId="0" borderId="76" xfId="0" applyFont="1" applyBorder="1" applyAlignment="1">
      <alignment horizontal="center" vertical="center"/>
    </xf>
    <xf numFmtId="0" fontId="215" fillId="0" borderId="79" xfId="0" applyFont="1" applyBorder="1" applyAlignment="1">
      <alignment horizontal="center" vertical="center"/>
    </xf>
    <xf numFmtId="0" fontId="215" fillId="0" borderId="80" xfId="0" applyFont="1" applyBorder="1" applyAlignment="1">
      <alignment horizontal="center" vertical="center"/>
    </xf>
    <xf numFmtId="0" fontId="215" fillId="0" borderId="55" xfId="0" applyFont="1" applyBorder="1" applyAlignment="1">
      <alignment horizontal="center" vertical="center" wrapText="1"/>
    </xf>
    <xf numFmtId="0" fontId="215" fillId="0" borderId="57" xfId="0" applyFont="1" applyBorder="1" applyAlignment="1">
      <alignment horizontal="center" vertical="center" wrapText="1"/>
    </xf>
    <xf numFmtId="0" fontId="215" fillId="0" borderId="0" xfId="0" applyFont="1" applyAlignment="1">
      <alignment vertical="center" wrapText="1"/>
    </xf>
    <xf numFmtId="0" fontId="215" fillId="0" borderId="56" xfId="0" applyFont="1" applyBorder="1" applyAlignment="1">
      <alignment horizontal="center" vertical="center" wrapText="1"/>
    </xf>
    <xf numFmtId="0" fontId="215" fillId="108" borderId="113" xfId="0" applyFont="1" applyFill="1" applyBorder="1" applyAlignment="1">
      <alignment horizontal="center" vertical="center" wrapText="1"/>
    </xf>
    <xf numFmtId="0" fontId="215" fillId="108" borderId="70" xfId="0" applyFont="1" applyFill="1" applyBorder="1" applyAlignment="1">
      <alignment horizontal="center" vertical="center" wrapText="1"/>
    </xf>
    <xf numFmtId="0" fontId="216" fillId="0" borderId="64" xfId="0" applyFont="1" applyBorder="1" applyAlignment="1">
      <alignment horizontal="center" vertical="center" wrapText="1"/>
    </xf>
    <xf numFmtId="0" fontId="216" fillId="0" borderId="65" xfId="0" applyFont="1" applyBorder="1" applyAlignment="1">
      <alignment horizontal="center" vertical="center" wrapText="1"/>
    </xf>
    <xf numFmtId="0" fontId="3" fillId="0" borderId="20" xfId="0" applyFont="1" applyBorder="1" applyAlignment="1">
      <alignment horizontal="left" vertical="top" wrapText="1"/>
    </xf>
    <xf numFmtId="0" fontId="231" fillId="100" borderId="20" xfId="0" applyFont="1" applyFill="1" applyBorder="1" applyAlignment="1">
      <alignment horizontal="center" vertical="top" wrapText="1"/>
    </xf>
    <xf numFmtId="0" fontId="230" fillId="107" borderId="20" xfId="0" applyFont="1" applyFill="1" applyBorder="1" applyAlignment="1">
      <alignment horizontal="center" vertical="top"/>
    </xf>
    <xf numFmtId="0" fontId="3" fillId="0" borderId="5" xfId="0" applyFont="1" applyBorder="1" applyAlignment="1">
      <alignment horizontal="left" vertical="top" wrapText="1"/>
    </xf>
    <xf numFmtId="0" fontId="3" fillId="0" borderId="14" xfId="0" applyFont="1" applyBorder="1" applyAlignment="1">
      <alignment horizontal="left" vertical="top" wrapText="1"/>
    </xf>
    <xf numFmtId="0" fontId="3" fillId="0" borderId="51" xfId="0" applyFont="1" applyBorder="1" applyAlignment="1">
      <alignment horizontal="left" vertical="top" wrapText="1"/>
    </xf>
    <xf numFmtId="0" fontId="3" fillId="0" borderId="20" xfId="0" applyFont="1" applyBorder="1" applyAlignment="1">
      <alignment horizontal="left" vertical="top"/>
    </xf>
    <xf numFmtId="0" fontId="216" fillId="0" borderId="64" xfId="0" applyFont="1" applyBorder="1" applyAlignment="1">
      <alignment horizontal="center"/>
    </xf>
    <xf numFmtId="0" fontId="216" fillId="0" borderId="65" xfId="0" applyFont="1" applyBorder="1" applyAlignment="1">
      <alignment horizontal="center"/>
    </xf>
    <xf numFmtId="0" fontId="216" fillId="0" borderId="66" xfId="0" applyFont="1" applyBorder="1" applyAlignment="1">
      <alignment horizontal="center"/>
    </xf>
    <xf numFmtId="0" fontId="216" fillId="102" borderId="20" xfId="0" applyFont="1" applyFill="1" applyBorder="1" applyAlignment="1">
      <alignment horizontal="left" vertical="top" wrapText="1"/>
    </xf>
    <xf numFmtId="0" fontId="216" fillId="102" borderId="107" xfId="0" applyFont="1" applyFill="1" applyBorder="1" applyAlignment="1">
      <alignment horizontal="left" vertical="top" wrapText="1"/>
    </xf>
    <xf numFmtId="0" fontId="216" fillId="102" borderId="97" xfId="0" applyFont="1" applyFill="1" applyBorder="1" applyAlignment="1">
      <alignment horizontal="left" vertical="top" wrapText="1"/>
    </xf>
    <xf numFmtId="0" fontId="216" fillId="102" borderId="50" xfId="0" applyFont="1" applyFill="1" applyBorder="1" applyAlignment="1">
      <alignment horizontal="left" vertical="top" wrapText="1"/>
    </xf>
    <xf numFmtId="0" fontId="216" fillId="102" borderId="53" xfId="0" applyFont="1" applyFill="1" applyBorder="1" applyAlignment="1">
      <alignment horizontal="left" vertical="top" wrapText="1"/>
    </xf>
    <xf numFmtId="0" fontId="219" fillId="0" borderId="103" xfId="0" applyFont="1" applyBorder="1" applyAlignment="1">
      <alignment horizontal="left" wrapText="1"/>
    </xf>
    <xf numFmtId="0" fontId="219" fillId="0" borderId="0" xfId="0" applyFont="1" applyAlignment="1">
      <alignment horizontal="left" wrapText="1"/>
    </xf>
    <xf numFmtId="0" fontId="216" fillId="102" borderId="107" xfId="0" applyFont="1" applyFill="1" applyBorder="1" applyAlignment="1">
      <alignment horizontal="center" vertical="top" wrapText="1"/>
    </xf>
    <xf numFmtId="0" fontId="216" fillId="102" borderId="97" xfId="0" applyFont="1" applyFill="1" applyBorder="1" applyAlignment="1">
      <alignment horizontal="center" vertical="top" wrapText="1"/>
    </xf>
    <xf numFmtId="0" fontId="215" fillId="0" borderId="0" xfId="0" applyFont="1" applyAlignment="1">
      <alignment horizontal="center" wrapText="1"/>
    </xf>
    <xf numFmtId="0" fontId="215" fillId="0" borderId="76" xfId="0" applyFont="1" applyBorder="1" applyAlignment="1">
      <alignment horizontal="center"/>
    </xf>
    <xf numFmtId="0" fontId="215" fillId="0" borderId="105" xfId="0" applyFont="1" applyBorder="1" applyAlignment="1">
      <alignment horizontal="center"/>
    </xf>
    <xf numFmtId="0" fontId="215" fillId="0" borderId="106" xfId="0" applyFont="1" applyBorder="1" applyAlignment="1">
      <alignment horizontal="center"/>
    </xf>
    <xf numFmtId="0" fontId="215" fillId="0" borderId="80" xfId="0" applyFont="1" applyBorder="1" applyAlignment="1">
      <alignment horizontal="center"/>
    </xf>
    <xf numFmtId="0" fontId="216" fillId="102" borderId="83" xfId="0" applyFont="1" applyFill="1" applyBorder="1" applyAlignment="1">
      <alignment horizontal="center" vertical="top" wrapText="1"/>
    </xf>
    <xf numFmtId="0" fontId="216" fillId="0" borderId="3" xfId="0" applyFont="1" applyBorder="1" applyAlignment="1">
      <alignment horizontal="left"/>
    </xf>
    <xf numFmtId="0" fontId="216" fillId="0" borderId="0" xfId="0" applyFont="1" applyAlignment="1">
      <alignment horizontal="left"/>
    </xf>
    <xf numFmtId="0" fontId="231" fillId="100" borderId="5" xfId="0" applyFont="1" applyFill="1" applyBorder="1" applyAlignment="1">
      <alignment horizontal="center" vertical="top" wrapText="1"/>
    </xf>
    <xf numFmtId="0" fontId="231" fillId="100" borderId="14" xfId="0" applyFont="1" applyFill="1" applyBorder="1" applyAlignment="1">
      <alignment horizontal="center" vertical="top" wrapText="1"/>
    </xf>
    <xf numFmtId="0" fontId="230" fillId="107" borderId="5" xfId="0" applyFont="1" applyFill="1" applyBorder="1" applyAlignment="1">
      <alignment horizontal="center" vertical="top"/>
    </xf>
    <xf numFmtId="0" fontId="230" fillId="107" borderId="14" xfId="0" applyFont="1" applyFill="1" applyBorder="1" applyAlignment="1">
      <alignment horizontal="center" vertical="top"/>
    </xf>
    <xf numFmtId="0" fontId="230" fillId="107" borderId="51" xfId="0" applyFont="1" applyFill="1" applyBorder="1" applyAlignment="1">
      <alignment horizontal="center" vertical="top"/>
    </xf>
    <xf numFmtId="0" fontId="230" fillId="0" borderId="20" xfId="0" applyFont="1" applyBorder="1" applyAlignment="1">
      <alignment horizontal="left" vertical="top" wrapText="1"/>
    </xf>
    <xf numFmtId="0" fontId="216" fillId="102" borderId="20" xfId="0" applyFont="1" applyFill="1" applyBorder="1" applyAlignment="1">
      <alignment horizontal="left" vertical="top"/>
    </xf>
    <xf numFmtId="222" fontId="215" fillId="0" borderId="76" xfId="0" applyNumberFormat="1" applyFont="1" applyBorder="1" applyAlignment="1">
      <alignment horizontal="center" vertical="center"/>
    </xf>
    <xf numFmtId="222" fontId="215" fillId="0" borderId="79" xfId="0" applyNumberFormat="1" applyFont="1" applyBorder="1" applyAlignment="1">
      <alignment horizontal="center" vertical="center"/>
    </xf>
    <xf numFmtId="222" fontId="215" fillId="0" borderId="105" xfId="0" applyNumberFormat="1" applyFont="1" applyBorder="1" applyAlignment="1">
      <alignment horizontal="center" vertical="center"/>
    </xf>
    <xf numFmtId="0" fontId="215" fillId="0" borderId="106" xfId="0" applyFont="1" applyBorder="1" applyAlignment="1">
      <alignment horizontal="center" vertical="center"/>
    </xf>
    <xf numFmtId="0" fontId="215" fillId="0" borderId="105" xfId="0" applyFont="1" applyBorder="1" applyAlignment="1">
      <alignment horizontal="center" vertical="center"/>
    </xf>
    <xf numFmtId="0" fontId="216" fillId="0" borderId="0" xfId="0" applyFont="1" applyAlignment="1">
      <alignment horizontal="center"/>
    </xf>
    <xf numFmtId="0" fontId="216" fillId="0" borderId="6" xfId="0" applyFont="1" applyBorder="1" applyAlignment="1">
      <alignment horizontal="center"/>
    </xf>
    <xf numFmtId="0" fontId="215" fillId="0" borderId="0" xfId="0" applyFont="1" applyAlignment="1">
      <alignment horizontal="center"/>
    </xf>
    <xf numFmtId="0" fontId="215" fillId="0" borderId="106" xfId="0" applyFont="1" applyBorder="1" applyAlignment="1">
      <alignment horizontal="center" vertical="center" wrapText="1"/>
    </xf>
    <xf numFmtId="0" fontId="215" fillId="0" borderId="105" xfId="0" applyFont="1" applyBorder="1" applyAlignment="1">
      <alignment horizontal="center" vertical="center" wrapText="1"/>
    </xf>
    <xf numFmtId="0" fontId="215" fillId="0" borderId="79" xfId="0" applyFont="1" applyBorder="1" applyAlignment="1">
      <alignment horizontal="center" vertical="center" wrapText="1"/>
    </xf>
    <xf numFmtId="0" fontId="215" fillId="0" borderId="80" xfId="0" applyFont="1" applyBorder="1" applyAlignment="1">
      <alignment horizontal="center" vertical="center" wrapText="1"/>
    </xf>
    <xf numFmtId="0" fontId="215" fillId="0" borderId="106" xfId="0" applyFont="1" applyFill="1" applyBorder="1" applyAlignment="1">
      <alignment horizontal="center" vertical="center"/>
    </xf>
    <xf numFmtId="0" fontId="215" fillId="0" borderId="79" xfId="0" applyFont="1" applyFill="1" applyBorder="1" applyAlignment="1">
      <alignment horizontal="center" vertical="center"/>
    </xf>
    <xf numFmtId="0" fontId="215" fillId="0" borderId="80" xfId="0" applyFont="1" applyFill="1" applyBorder="1" applyAlignment="1">
      <alignment horizontal="center" vertical="center"/>
    </xf>
    <xf numFmtId="0" fontId="216" fillId="102" borderId="20" xfId="0" applyFont="1" applyFill="1" applyBorder="1" applyAlignment="1">
      <alignment horizontal="center" vertical="top" wrapText="1"/>
    </xf>
    <xf numFmtId="0" fontId="219" fillId="0" borderId="96" xfId="0" applyFont="1" applyBorder="1" applyAlignment="1">
      <alignment horizontal="center" vertical="center" wrapText="1"/>
    </xf>
    <xf numFmtId="0" fontId="219" fillId="0" borderId="94" xfId="0" applyFont="1" applyBorder="1" applyAlignment="1">
      <alignment horizontal="center" vertical="center" wrapText="1"/>
    </xf>
    <xf numFmtId="0" fontId="219" fillId="0" borderId="101" xfId="0" applyFont="1" applyBorder="1" applyAlignment="1">
      <alignment horizontal="center" vertical="center" wrapText="1"/>
    </xf>
    <xf numFmtId="0" fontId="219" fillId="0" borderId="103" xfId="0" applyFont="1" applyBorder="1" applyAlignment="1">
      <alignment horizontal="center" vertical="center" wrapText="1"/>
    </xf>
    <xf numFmtId="0" fontId="219" fillId="0" borderId="95" xfId="0" applyFont="1" applyBorder="1" applyAlignment="1">
      <alignment horizontal="center" vertical="center" wrapText="1"/>
    </xf>
    <xf numFmtId="0" fontId="218" fillId="0" borderId="106" xfId="0" applyFont="1" applyBorder="1" applyAlignment="1">
      <alignment horizontal="center" vertical="center"/>
    </xf>
    <xf numFmtId="0" fontId="218" fillId="0" borderId="79" xfId="0" applyFont="1" applyBorder="1" applyAlignment="1">
      <alignment horizontal="center" vertical="center"/>
    </xf>
    <xf numFmtId="0" fontId="218" fillId="0" borderId="80" xfId="0" applyFont="1" applyBorder="1" applyAlignment="1">
      <alignment horizontal="center" vertical="center"/>
    </xf>
    <xf numFmtId="0" fontId="219" fillId="0" borderId="65" xfId="0" applyFont="1" applyBorder="1" applyAlignment="1">
      <alignment horizontal="center" vertical="center" wrapText="1"/>
    </xf>
    <xf numFmtId="0" fontId="219" fillId="0" borderId="66" xfId="0" applyFont="1" applyBorder="1" applyAlignment="1">
      <alignment horizontal="center" vertical="center" wrapText="1"/>
    </xf>
    <xf numFmtId="0" fontId="219" fillId="0" borderId="64" xfId="0" applyFont="1" applyBorder="1" applyAlignment="1">
      <alignment horizontal="center" vertical="center" wrapText="1"/>
    </xf>
    <xf numFmtId="0" fontId="215" fillId="0" borderId="76" xfId="0" applyFont="1" applyBorder="1" applyAlignment="1">
      <alignment horizontal="left" vertical="center"/>
    </xf>
    <xf numFmtId="0" fontId="215" fillId="0" borderId="105" xfId="0" applyFont="1" applyBorder="1" applyAlignment="1">
      <alignment horizontal="left" vertical="center"/>
    </xf>
    <xf numFmtId="0" fontId="215" fillId="0" borderId="105" xfId="42051" applyFont="1" applyBorder="1" applyAlignment="1">
      <alignment horizontal="left" vertical="center" wrapText="1"/>
    </xf>
    <xf numFmtId="0" fontId="215" fillId="0" borderId="65" xfId="42051" applyFont="1" applyBorder="1" applyAlignment="1">
      <alignment horizontal="left" vertical="center" wrapText="1"/>
    </xf>
    <xf numFmtId="0" fontId="215" fillId="0" borderId="106" xfId="42051" applyFont="1" applyBorder="1" applyAlignment="1">
      <alignment horizontal="left" vertical="center" wrapText="1"/>
    </xf>
    <xf numFmtId="0" fontId="218" fillId="0" borderId="64" xfId="6177" applyFont="1" applyBorder="1" applyAlignment="1">
      <alignment horizontal="center" vertical="center" wrapText="1"/>
    </xf>
    <xf numFmtId="0" fontId="218" fillId="0" borderId="73" xfId="6177" applyFont="1" applyBorder="1" applyAlignment="1">
      <alignment horizontal="center" vertical="center" wrapText="1"/>
    </xf>
    <xf numFmtId="0" fontId="215" fillId="0" borderId="66" xfId="42051" applyFont="1" applyBorder="1" applyAlignment="1">
      <alignment horizontal="right" vertical="center" wrapText="1"/>
    </xf>
    <xf numFmtId="0" fontId="215" fillId="0" borderId="72" xfId="42051" applyFont="1" applyBorder="1" applyAlignment="1">
      <alignment horizontal="right" vertical="center" wrapText="1"/>
    </xf>
    <xf numFmtId="0" fontId="216" fillId="0" borderId="62" xfId="42051" applyFont="1" applyBorder="1" applyAlignment="1">
      <alignment horizontal="center" wrapText="1"/>
    </xf>
    <xf numFmtId="0" fontId="216" fillId="0" borderId="69" xfId="42051" applyFont="1" applyBorder="1" applyAlignment="1">
      <alignment horizontal="center" wrapText="1"/>
    </xf>
    <xf numFmtId="0" fontId="215" fillId="0" borderId="106" xfId="0" applyFont="1" applyBorder="1" applyAlignment="1">
      <alignment horizontal="left" vertical="center"/>
    </xf>
    <xf numFmtId="0" fontId="215" fillId="0" borderId="76" xfId="0" applyFont="1" applyBorder="1" applyAlignment="1">
      <alignment horizontal="center" vertical="center" wrapText="1"/>
    </xf>
    <xf numFmtId="0" fontId="215" fillId="0" borderId="76" xfId="42051" applyFont="1" applyBorder="1" applyAlignment="1">
      <alignment horizontal="left" vertical="center" wrapText="1"/>
    </xf>
    <xf numFmtId="0" fontId="215" fillId="0" borderId="79" xfId="42051" applyFont="1" applyBorder="1" applyAlignment="1">
      <alignment horizontal="left" vertical="center" wrapText="1"/>
    </xf>
    <xf numFmtId="0" fontId="215" fillId="0" borderId="80" xfId="42051" applyFont="1" applyBorder="1" applyAlignment="1">
      <alignment horizontal="left" vertical="center" wrapText="1"/>
    </xf>
    <xf numFmtId="0" fontId="215" fillId="0" borderId="80" xfId="0" applyFont="1" applyBorder="1" applyAlignment="1">
      <alignment horizontal="left" vertical="center"/>
    </xf>
    <xf numFmtId="0" fontId="230" fillId="0" borderId="20" xfId="0" applyFont="1" applyBorder="1" applyAlignment="1">
      <alignment horizontal="left" vertical="top"/>
    </xf>
    <xf numFmtId="0" fontId="216" fillId="102" borderId="99" xfId="0" applyFont="1" applyFill="1" applyBorder="1" applyAlignment="1">
      <alignment horizontal="left" vertical="top"/>
    </xf>
    <xf numFmtId="0" fontId="216" fillId="102" borderId="81" xfId="0" applyFont="1" applyFill="1" applyBorder="1" applyAlignment="1">
      <alignment horizontal="left" vertical="top"/>
    </xf>
    <xf numFmtId="0" fontId="216" fillId="102" borderId="100" xfId="0" applyFont="1" applyFill="1" applyBorder="1" applyAlignment="1">
      <alignment horizontal="left" vertical="top"/>
    </xf>
    <xf numFmtId="0" fontId="230" fillId="107" borderId="20" xfId="0" applyFont="1" applyFill="1" applyBorder="1" applyAlignment="1">
      <alignment horizontal="center"/>
    </xf>
    <xf numFmtId="0" fontId="216" fillId="0" borderId="76" xfId="0" applyFont="1" applyBorder="1" applyAlignment="1">
      <alignment horizontal="left"/>
    </xf>
    <xf numFmtId="0" fontId="216" fillId="0" borderId="79" xfId="0" applyFont="1" applyBorder="1" applyAlignment="1">
      <alignment horizontal="left"/>
    </xf>
    <xf numFmtId="0" fontId="216" fillId="0" borderId="80" xfId="0" applyFont="1" applyBorder="1" applyAlignment="1">
      <alignment horizontal="left"/>
    </xf>
    <xf numFmtId="0" fontId="215" fillId="0" borderId="71" xfId="0" applyFont="1" applyBorder="1" applyAlignment="1">
      <alignment horizontal="center" vertical="center" wrapText="1"/>
    </xf>
    <xf numFmtId="0" fontId="215" fillId="0" borderId="70" xfId="0" applyFont="1" applyBorder="1" applyAlignment="1">
      <alignment horizontal="center" vertical="center" wrapText="1"/>
    </xf>
    <xf numFmtId="0" fontId="215" fillId="0" borderId="50" xfId="0" applyFont="1" applyBorder="1" applyAlignment="1">
      <alignment horizontal="center" vertical="center" wrapText="1"/>
    </xf>
    <xf numFmtId="0" fontId="215" fillId="0" borderId="52" xfId="0" applyFont="1" applyBorder="1" applyAlignment="1">
      <alignment horizontal="center" vertical="center" wrapText="1"/>
    </xf>
    <xf numFmtId="0" fontId="216" fillId="102" borderId="50" xfId="0" applyFont="1" applyFill="1" applyBorder="1" applyAlignment="1">
      <alignment horizontal="left" vertical="top"/>
    </xf>
    <xf numFmtId="0" fontId="216" fillId="102" borderId="53" xfId="0" applyFont="1" applyFill="1" applyBorder="1" applyAlignment="1">
      <alignment horizontal="left" vertical="top"/>
    </xf>
    <xf numFmtId="0" fontId="216" fillId="102" borderId="52" xfId="0" applyFont="1" applyFill="1" applyBorder="1" applyAlignment="1">
      <alignment horizontal="left" vertical="top"/>
    </xf>
    <xf numFmtId="0" fontId="216" fillId="102" borderId="50" xfId="0" applyFont="1" applyFill="1" applyBorder="1" applyAlignment="1">
      <alignment horizontal="center" vertical="top" wrapText="1"/>
    </xf>
    <xf numFmtId="0" fontId="216" fillId="102" borderId="53" xfId="0" applyFont="1" applyFill="1" applyBorder="1" applyAlignment="1">
      <alignment horizontal="center" vertical="top" wrapText="1"/>
    </xf>
    <xf numFmtId="0" fontId="216" fillId="102" borderId="52" xfId="0" applyFont="1" applyFill="1" applyBorder="1" applyAlignment="1">
      <alignment horizontal="center" vertical="top" wrapText="1"/>
    </xf>
    <xf numFmtId="0" fontId="215" fillId="0" borderId="6" xfId="0" applyFont="1" applyBorder="1" applyAlignment="1">
      <alignment horizontal="center" wrapText="1"/>
    </xf>
    <xf numFmtId="0" fontId="216" fillId="0" borderId="105" xfId="0" applyFont="1" applyBorder="1" applyAlignment="1">
      <alignment horizontal="left"/>
    </xf>
    <xf numFmtId="0" fontId="215" fillId="0" borderId="18" xfId="0" applyFont="1" applyBorder="1" applyAlignment="1">
      <alignment horizontal="center" vertical="center" wrapText="1"/>
    </xf>
    <xf numFmtId="0" fontId="215" fillId="0" borderId="31" xfId="0" applyFont="1" applyBorder="1" applyAlignment="1">
      <alignment horizontal="center" vertical="center" wrapText="1"/>
    </xf>
    <xf numFmtId="0" fontId="215" fillId="0" borderId="20" xfId="0" applyFont="1" applyBorder="1" applyAlignment="1">
      <alignment horizontal="center" vertical="center" wrapText="1"/>
    </xf>
    <xf numFmtId="0" fontId="216" fillId="0" borderId="20" xfId="0" applyFont="1" applyBorder="1" applyAlignment="1">
      <alignment horizontal="left"/>
    </xf>
    <xf numFmtId="0" fontId="217" fillId="0" borderId="11" xfId="0" applyFont="1" applyBorder="1" applyAlignment="1">
      <alignment horizontal="left"/>
    </xf>
    <xf numFmtId="0" fontId="216" fillId="0" borderId="106" xfId="0" applyFont="1" applyBorder="1" applyAlignment="1">
      <alignment horizontal="left"/>
    </xf>
    <xf numFmtId="2" fontId="215" fillId="0" borderId="78" xfId="0" applyNumberFormat="1" applyFont="1" applyBorder="1" applyAlignment="1">
      <alignment horizontal="center" vertical="center" wrapText="1"/>
    </xf>
    <xf numFmtId="2" fontId="215" fillId="0" borderId="84" xfId="0" applyNumberFormat="1" applyFont="1" applyBorder="1" applyAlignment="1">
      <alignment horizontal="center" vertical="center" wrapText="1"/>
    </xf>
    <xf numFmtId="0" fontId="216" fillId="0" borderId="31" xfId="0" applyFont="1" applyBorder="1" applyAlignment="1">
      <alignment horizontal="left"/>
    </xf>
    <xf numFmtId="0" fontId="217" fillId="0" borderId="0" xfId="0" applyFont="1" applyAlignment="1">
      <alignment horizontal="left" vertical="center"/>
    </xf>
    <xf numFmtId="0" fontId="217" fillId="0" borderId="0" xfId="0" applyFont="1" applyAlignment="1">
      <alignment horizontal="left"/>
    </xf>
    <xf numFmtId="0" fontId="215" fillId="0" borderId="79" xfId="0" applyFont="1" applyBorder="1" applyAlignment="1">
      <alignment horizontal="left" vertical="center"/>
    </xf>
    <xf numFmtId="0" fontId="215" fillId="0" borderId="5" xfId="0" applyFont="1" applyBorder="1" applyAlignment="1">
      <alignment horizontal="center" vertical="center"/>
    </xf>
    <xf numFmtId="0" fontId="215" fillId="0" borderId="14" xfId="0" applyFont="1" applyBorder="1" applyAlignment="1">
      <alignment horizontal="center" vertical="center"/>
    </xf>
    <xf numFmtId="0" fontId="215" fillId="0" borderId="51" xfId="0" applyFont="1" applyBorder="1" applyAlignment="1">
      <alignment horizontal="center" vertical="center"/>
    </xf>
    <xf numFmtId="0" fontId="215" fillId="0" borderId="20" xfId="0" applyFont="1" applyBorder="1" applyAlignment="1">
      <alignment horizontal="center"/>
    </xf>
    <xf numFmtId="0" fontId="215" fillId="0" borderId="20" xfId="0" applyFont="1" applyBorder="1" applyAlignment="1">
      <alignment horizontal="center" vertical="center"/>
    </xf>
    <xf numFmtId="0" fontId="218" fillId="0" borderId="5" xfId="0" applyFont="1" applyBorder="1" applyAlignment="1">
      <alignment horizontal="center" vertical="center"/>
    </xf>
    <xf numFmtId="0" fontId="0" fillId="0" borderId="14" xfId="0" applyBorder="1" applyAlignment="1">
      <alignment horizontal="center" vertical="center"/>
    </xf>
    <xf numFmtId="0" fontId="0" fillId="0" borderId="51" xfId="0" applyBorder="1" applyAlignment="1">
      <alignment horizontal="center" vertical="center"/>
    </xf>
    <xf numFmtId="0" fontId="218" fillId="0" borderId="20" xfId="0" applyFont="1" applyBorder="1" applyAlignment="1">
      <alignment horizontal="center" vertical="center"/>
    </xf>
    <xf numFmtId="0" fontId="215" fillId="104" borderId="64" xfId="0" applyFont="1" applyFill="1" applyBorder="1" applyAlignment="1">
      <alignment horizontal="center" vertical="center"/>
    </xf>
    <xf numFmtId="0" fontId="215" fillId="104" borderId="66" xfId="0" applyFont="1" applyFill="1" applyBorder="1" applyAlignment="1">
      <alignment horizontal="center" vertical="center"/>
    </xf>
  </cellXfs>
  <cellStyles count="42545">
    <cellStyle name=" 1" xfId="1" xr:uid="{00000000-0005-0000-0000-000000000000}"/>
    <cellStyle name=" 1 10" xfId="2" xr:uid="{00000000-0005-0000-0000-000001000000}"/>
    <cellStyle name=" 1 10 2" xfId="3" xr:uid="{00000000-0005-0000-0000-000002000000}"/>
    <cellStyle name=" 1 10 3" xfId="4" xr:uid="{00000000-0005-0000-0000-000003000000}"/>
    <cellStyle name=" 1 10 4" xfId="5" xr:uid="{00000000-0005-0000-0000-000004000000}"/>
    <cellStyle name=" 1 10 5" xfId="6" xr:uid="{00000000-0005-0000-0000-000005000000}"/>
    <cellStyle name=" 1 10 6" xfId="7" xr:uid="{00000000-0005-0000-0000-000006000000}"/>
    <cellStyle name=" 1 10 7" xfId="8" xr:uid="{00000000-0005-0000-0000-000007000000}"/>
    <cellStyle name=" 1 10 8" xfId="9" xr:uid="{00000000-0005-0000-0000-000008000000}"/>
    <cellStyle name=" 1 11" xfId="10" xr:uid="{00000000-0005-0000-0000-000009000000}"/>
    <cellStyle name=" 1 11 2" xfId="11" xr:uid="{00000000-0005-0000-0000-00000A000000}"/>
    <cellStyle name=" 1 11 3" xfId="12" xr:uid="{00000000-0005-0000-0000-00000B000000}"/>
    <cellStyle name=" 1 11 4" xfId="13" xr:uid="{00000000-0005-0000-0000-00000C000000}"/>
    <cellStyle name=" 1 11 5" xfId="14" xr:uid="{00000000-0005-0000-0000-00000D000000}"/>
    <cellStyle name=" 1 11 6" xfId="15" xr:uid="{00000000-0005-0000-0000-00000E000000}"/>
    <cellStyle name=" 1 11 7" xfId="16" xr:uid="{00000000-0005-0000-0000-00000F000000}"/>
    <cellStyle name=" 1 11 8" xfId="17" xr:uid="{00000000-0005-0000-0000-000010000000}"/>
    <cellStyle name=" 1 12" xfId="18" xr:uid="{00000000-0005-0000-0000-000011000000}"/>
    <cellStyle name=" 1 12 2" xfId="19" xr:uid="{00000000-0005-0000-0000-000012000000}"/>
    <cellStyle name=" 1 12 3" xfId="20" xr:uid="{00000000-0005-0000-0000-000013000000}"/>
    <cellStyle name=" 1 12 4" xfId="21" xr:uid="{00000000-0005-0000-0000-000014000000}"/>
    <cellStyle name=" 1 12 5" xfId="22" xr:uid="{00000000-0005-0000-0000-000015000000}"/>
    <cellStyle name=" 1 12 6" xfId="23" xr:uid="{00000000-0005-0000-0000-000016000000}"/>
    <cellStyle name=" 1 12 7" xfId="24" xr:uid="{00000000-0005-0000-0000-000017000000}"/>
    <cellStyle name=" 1 12 8" xfId="25" xr:uid="{00000000-0005-0000-0000-000018000000}"/>
    <cellStyle name=" 1 13" xfId="26" xr:uid="{00000000-0005-0000-0000-000019000000}"/>
    <cellStyle name=" 1 13 2" xfId="27" xr:uid="{00000000-0005-0000-0000-00001A000000}"/>
    <cellStyle name=" 1 13 3" xfId="28" xr:uid="{00000000-0005-0000-0000-00001B000000}"/>
    <cellStyle name=" 1 13 4" xfId="29" xr:uid="{00000000-0005-0000-0000-00001C000000}"/>
    <cellStyle name=" 1 13 5" xfId="30" xr:uid="{00000000-0005-0000-0000-00001D000000}"/>
    <cellStyle name=" 1 13 6" xfId="31" xr:uid="{00000000-0005-0000-0000-00001E000000}"/>
    <cellStyle name=" 1 13 7" xfId="32" xr:uid="{00000000-0005-0000-0000-00001F000000}"/>
    <cellStyle name=" 1 13 8" xfId="33" xr:uid="{00000000-0005-0000-0000-000020000000}"/>
    <cellStyle name=" 1 14" xfId="34" xr:uid="{00000000-0005-0000-0000-000021000000}"/>
    <cellStyle name=" 1 14 2" xfId="35" xr:uid="{00000000-0005-0000-0000-000022000000}"/>
    <cellStyle name=" 1 14 3" xfId="36" xr:uid="{00000000-0005-0000-0000-000023000000}"/>
    <cellStyle name=" 1 14 4" xfId="37" xr:uid="{00000000-0005-0000-0000-000024000000}"/>
    <cellStyle name=" 1 14 5" xfId="38" xr:uid="{00000000-0005-0000-0000-000025000000}"/>
    <cellStyle name=" 1 14 6" xfId="39" xr:uid="{00000000-0005-0000-0000-000026000000}"/>
    <cellStyle name=" 1 14 7" xfId="40" xr:uid="{00000000-0005-0000-0000-000027000000}"/>
    <cellStyle name=" 1 14 8" xfId="41" xr:uid="{00000000-0005-0000-0000-000028000000}"/>
    <cellStyle name=" 1 15" xfId="42" xr:uid="{00000000-0005-0000-0000-000029000000}"/>
    <cellStyle name=" 1 15 2" xfId="43" xr:uid="{00000000-0005-0000-0000-00002A000000}"/>
    <cellStyle name=" 1 15 3" xfId="44" xr:uid="{00000000-0005-0000-0000-00002B000000}"/>
    <cellStyle name=" 1 15 4" xfId="45" xr:uid="{00000000-0005-0000-0000-00002C000000}"/>
    <cellStyle name=" 1 15 5" xfId="46" xr:uid="{00000000-0005-0000-0000-00002D000000}"/>
    <cellStyle name=" 1 15 6" xfId="47" xr:uid="{00000000-0005-0000-0000-00002E000000}"/>
    <cellStyle name=" 1 15 7" xfId="48" xr:uid="{00000000-0005-0000-0000-00002F000000}"/>
    <cellStyle name=" 1 15 8" xfId="49" xr:uid="{00000000-0005-0000-0000-000030000000}"/>
    <cellStyle name=" 1 16" xfId="50" xr:uid="{00000000-0005-0000-0000-000031000000}"/>
    <cellStyle name=" 1 16 2" xfId="51" xr:uid="{00000000-0005-0000-0000-000032000000}"/>
    <cellStyle name=" 1 16 3" xfId="52" xr:uid="{00000000-0005-0000-0000-000033000000}"/>
    <cellStyle name=" 1 16 4" xfId="53" xr:uid="{00000000-0005-0000-0000-000034000000}"/>
    <cellStyle name=" 1 16 5" xfId="54" xr:uid="{00000000-0005-0000-0000-000035000000}"/>
    <cellStyle name=" 1 16 6" xfId="55" xr:uid="{00000000-0005-0000-0000-000036000000}"/>
    <cellStyle name=" 1 16 7" xfId="56" xr:uid="{00000000-0005-0000-0000-000037000000}"/>
    <cellStyle name=" 1 16 8" xfId="57" xr:uid="{00000000-0005-0000-0000-000038000000}"/>
    <cellStyle name=" 1 17" xfId="58" xr:uid="{00000000-0005-0000-0000-000039000000}"/>
    <cellStyle name=" 1 17 2" xfId="59" xr:uid="{00000000-0005-0000-0000-00003A000000}"/>
    <cellStyle name=" 1 17 3" xfId="60" xr:uid="{00000000-0005-0000-0000-00003B000000}"/>
    <cellStyle name=" 1 17 4" xfId="61" xr:uid="{00000000-0005-0000-0000-00003C000000}"/>
    <cellStyle name=" 1 17 5" xfId="62" xr:uid="{00000000-0005-0000-0000-00003D000000}"/>
    <cellStyle name=" 1 17 6" xfId="63" xr:uid="{00000000-0005-0000-0000-00003E000000}"/>
    <cellStyle name=" 1 17 7" xfId="64" xr:uid="{00000000-0005-0000-0000-00003F000000}"/>
    <cellStyle name=" 1 17 8" xfId="65" xr:uid="{00000000-0005-0000-0000-000040000000}"/>
    <cellStyle name=" 1 18" xfId="66" xr:uid="{00000000-0005-0000-0000-000041000000}"/>
    <cellStyle name=" 1 18 2" xfId="67" xr:uid="{00000000-0005-0000-0000-000042000000}"/>
    <cellStyle name=" 1 18 3" xfId="68" xr:uid="{00000000-0005-0000-0000-000043000000}"/>
    <cellStyle name=" 1 18 4" xfId="69" xr:uid="{00000000-0005-0000-0000-000044000000}"/>
    <cellStyle name=" 1 18 5" xfId="70" xr:uid="{00000000-0005-0000-0000-000045000000}"/>
    <cellStyle name=" 1 18 6" xfId="71" xr:uid="{00000000-0005-0000-0000-000046000000}"/>
    <cellStyle name=" 1 18 7" xfId="72" xr:uid="{00000000-0005-0000-0000-000047000000}"/>
    <cellStyle name=" 1 18 8" xfId="73" xr:uid="{00000000-0005-0000-0000-000048000000}"/>
    <cellStyle name=" 1 19" xfId="74" xr:uid="{00000000-0005-0000-0000-000049000000}"/>
    <cellStyle name=" 1 19 2" xfId="75" xr:uid="{00000000-0005-0000-0000-00004A000000}"/>
    <cellStyle name=" 1 19 3" xfId="76" xr:uid="{00000000-0005-0000-0000-00004B000000}"/>
    <cellStyle name=" 1 19 4" xfId="77" xr:uid="{00000000-0005-0000-0000-00004C000000}"/>
    <cellStyle name=" 1 19 5" xfId="78" xr:uid="{00000000-0005-0000-0000-00004D000000}"/>
    <cellStyle name=" 1 19 6" xfId="79" xr:uid="{00000000-0005-0000-0000-00004E000000}"/>
    <cellStyle name=" 1 19 7" xfId="80" xr:uid="{00000000-0005-0000-0000-00004F000000}"/>
    <cellStyle name=" 1 19 8" xfId="81" xr:uid="{00000000-0005-0000-0000-000050000000}"/>
    <cellStyle name=" 1 2" xfId="82" xr:uid="{00000000-0005-0000-0000-000051000000}"/>
    <cellStyle name=" 1 2 10" xfId="83" xr:uid="{00000000-0005-0000-0000-000052000000}"/>
    <cellStyle name=" 1 2 11" xfId="84" xr:uid="{00000000-0005-0000-0000-000053000000}"/>
    <cellStyle name=" 1 2 12" xfId="85" xr:uid="{00000000-0005-0000-0000-000054000000}"/>
    <cellStyle name=" 1 2 2" xfId="86" xr:uid="{00000000-0005-0000-0000-000055000000}"/>
    <cellStyle name=" 1 2 2 2" xfId="87" xr:uid="{00000000-0005-0000-0000-000056000000}"/>
    <cellStyle name=" 1 2 2 3" xfId="88" xr:uid="{00000000-0005-0000-0000-000057000000}"/>
    <cellStyle name=" 1 2 2 4" xfId="89" xr:uid="{00000000-0005-0000-0000-000058000000}"/>
    <cellStyle name=" 1 2 2 5" xfId="90" xr:uid="{00000000-0005-0000-0000-000059000000}"/>
    <cellStyle name=" 1 2 2 6" xfId="91" xr:uid="{00000000-0005-0000-0000-00005A000000}"/>
    <cellStyle name=" 1 2 3" xfId="92" xr:uid="{00000000-0005-0000-0000-00005B000000}"/>
    <cellStyle name=" 1 2 3 2" xfId="93" xr:uid="{00000000-0005-0000-0000-00005C000000}"/>
    <cellStyle name=" 1 2 3 3" xfId="94" xr:uid="{00000000-0005-0000-0000-00005D000000}"/>
    <cellStyle name=" 1 2 3 4" xfId="95" xr:uid="{00000000-0005-0000-0000-00005E000000}"/>
    <cellStyle name=" 1 2 3 5" xfId="96" xr:uid="{00000000-0005-0000-0000-00005F000000}"/>
    <cellStyle name=" 1 2 3 6" xfId="97" xr:uid="{00000000-0005-0000-0000-000060000000}"/>
    <cellStyle name=" 1 2 4" xfId="98" xr:uid="{00000000-0005-0000-0000-000061000000}"/>
    <cellStyle name=" 1 2 4 2" xfId="99" xr:uid="{00000000-0005-0000-0000-000062000000}"/>
    <cellStyle name=" 1 2 4 3" xfId="100" xr:uid="{00000000-0005-0000-0000-000063000000}"/>
    <cellStyle name=" 1 2 4 4" xfId="101" xr:uid="{00000000-0005-0000-0000-000064000000}"/>
    <cellStyle name=" 1 2 4 5" xfId="102" xr:uid="{00000000-0005-0000-0000-000065000000}"/>
    <cellStyle name=" 1 2 4 6" xfId="103" xr:uid="{00000000-0005-0000-0000-000066000000}"/>
    <cellStyle name=" 1 2 5" xfId="104" xr:uid="{00000000-0005-0000-0000-000067000000}"/>
    <cellStyle name=" 1 2 5 2" xfId="105" xr:uid="{00000000-0005-0000-0000-000068000000}"/>
    <cellStyle name=" 1 2 5 3" xfId="106" xr:uid="{00000000-0005-0000-0000-000069000000}"/>
    <cellStyle name=" 1 2 5 4" xfId="107" xr:uid="{00000000-0005-0000-0000-00006A000000}"/>
    <cellStyle name=" 1 2 5 5" xfId="108" xr:uid="{00000000-0005-0000-0000-00006B000000}"/>
    <cellStyle name=" 1 2 5 6" xfId="109" xr:uid="{00000000-0005-0000-0000-00006C000000}"/>
    <cellStyle name=" 1 2 6" xfId="110" xr:uid="{00000000-0005-0000-0000-00006D000000}"/>
    <cellStyle name=" 1 2 6 2" xfId="111" xr:uid="{00000000-0005-0000-0000-00006E000000}"/>
    <cellStyle name=" 1 2 6 3" xfId="112" xr:uid="{00000000-0005-0000-0000-00006F000000}"/>
    <cellStyle name=" 1 2 6 4" xfId="113" xr:uid="{00000000-0005-0000-0000-000070000000}"/>
    <cellStyle name=" 1 2 6 5" xfId="114" xr:uid="{00000000-0005-0000-0000-000071000000}"/>
    <cellStyle name=" 1 2 7" xfId="115" xr:uid="{00000000-0005-0000-0000-000072000000}"/>
    <cellStyle name=" 1 2 8" xfId="116" xr:uid="{00000000-0005-0000-0000-000073000000}"/>
    <cellStyle name=" 1 2 9" xfId="117" xr:uid="{00000000-0005-0000-0000-000074000000}"/>
    <cellStyle name=" 1 20" xfId="118" xr:uid="{00000000-0005-0000-0000-000075000000}"/>
    <cellStyle name=" 1 20 2" xfId="119" xr:uid="{00000000-0005-0000-0000-000076000000}"/>
    <cellStyle name=" 1 20 3" xfId="120" xr:uid="{00000000-0005-0000-0000-000077000000}"/>
    <cellStyle name=" 1 20 4" xfId="121" xr:uid="{00000000-0005-0000-0000-000078000000}"/>
    <cellStyle name=" 1 20 5" xfId="122" xr:uid="{00000000-0005-0000-0000-000079000000}"/>
    <cellStyle name=" 1 20 6" xfId="123" xr:uid="{00000000-0005-0000-0000-00007A000000}"/>
    <cellStyle name=" 1 20 7" xfId="124" xr:uid="{00000000-0005-0000-0000-00007B000000}"/>
    <cellStyle name=" 1 20 8" xfId="125" xr:uid="{00000000-0005-0000-0000-00007C000000}"/>
    <cellStyle name=" 1 21" xfId="126" xr:uid="{00000000-0005-0000-0000-00007D000000}"/>
    <cellStyle name=" 1 21 2" xfId="127" xr:uid="{00000000-0005-0000-0000-00007E000000}"/>
    <cellStyle name=" 1 21 3" xfId="128" xr:uid="{00000000-0005-0000-0000-00007F000000}"/>
    <cellStyle name=" 1 21 4" xfId="129" xr:uid="{00000000-0005-0000-0000-000080000000}"/>
    <cellStyle name=" 1 21 5" xfId="130" xr:uid="{00000000-0005-0000-0000-000081000000}"/>
    <cellStyle name=" 1 21 6" xfId="131" xr:uid="{00000000-0005-0000-0000-000082000000}"/>
    <cellStyle name=" 1 21 7" xfId="132" xr:uid="{00000000-0005-0000-0000-000083000000}"/>
    <cellStyle name=" 1 21 8" xfId="133" xr:uid="{00000000-0005-0000-0000-000084000000}"/>
    <cellStyle name=" 1 22" xfId="134" xr:uid="{00000000-0005-0000-0000-000085000000}"/>
    <cellStyle name=" 1 22 2" xfId="135" xr:uid="{00000000-0005-0000-0000-000086000000}"/>
    <cellStyle name=" 1 22 3" xfId="136" xr:uid="{00000000-0005-0000-0000-000087000000}"/>
    <cellStyle name=" 1 22 4" xfId="137" xr:uid="{00000000-0005-0000-0000-000088000000}"/>
    <cellStyle name=" 1 22 5" xfId="138" xr:uid="{00000000-0005-0000-0000-000089000000}"/>
    <cellStyle name=" 1 22 6" xfId="139" xr:uid="{00000000-0005-0000-0000-00008A000000}"/>
    <cellStyle name=" 1 22 7" xfId="140" xr:uid="{00000000-0005-0000-0000-00008B000000}"/>
    <cellStyle name=" 1 22 8" xfId="141" xr:uid="{00000000-0005-0000-0000-00008C000000}"/>
    <cellStyle name=" 1 23" xfId="142" xr:uid="{00000000-0005-0000-0000-00008D000000}"/>
    <cellStyle name=" 1 23 2" xfId="143" xr:uid="{00000000-0005-0000-0000-00008E000000}"/>
    <cellStyle name=" 1 23 3" xfId="144" xr:uid="{00000000-0005-0000-0000-00008F000000}"/>
    <cellStyle name=" 1 23 4" xfId="145" xr:uid="{00000000-0005-0000-0000-000090000000}"/>
    <cellStyle name=" 1 23 5" xfId="146" xr:uid="{00000000-0005-0000-0000-000091000000}"/>
    <cellStyle name=" 1 23 6" xfId="147" xr:uid="{00000000-0005-0000-0000-000092000000}"/>
    <cellStyle name=" 1 23 7" xfId="148" xr:uid="{00000000-0005-0000-0000-000093000000}"/>
    <cellStyle name=" 1 23 8" xfId="149" xr:uid="{00000000-0005-0000-0000-000094000000}"/>
    <cellStyle name=" 1 24" xfId="150" xr:uid="{00000000-0005-0000-0000-000095000000}"/>
    <cellStyle name=" 1 24 2" xfId="151" xr:uid="{00000000-0005-0000-0000-000096000000}"/>
    <cellStyle name=" 1 24 3" xfId="152" xr:uid="{00000000-0005-0000-0000-000097000000}"/>
    <cellStyle name=" 1 24 4" xfId="153" xr:uid="{00000000-0005-0000-0000-000098000000}"/>
    <cellStyle name=" 1 24 5" xfId="154" xr:uid="{00000000-0005-0000-0000-000099000000}"/>
    <cellStyle name=" 1 25" xfId="155" xr:uid="{00000000-0005-0000-0000-00009A000000}"/>
    <cellStyle name=" 1 25 2" xfId="156" xr:uid="{00000000-0005-0000-0000-00009B000000}"/>
    <cellStyle name=" 1 25 3" xfId="157" xr:uid="{00000000-0005-0000-0000-00009C000000}"/>
    <cellStyle name=" 1 25 4" xfId="158" xr:uid="{00000000-0005-0000-0000-00009D000000}"/>
    <cellStyle name=" 1 25 5" xfId="159" xr:uid="{00000000-0005-0000-0000-00009E000000}"/>
    <cellStyle name=" 1 3" xfId="160" xr:uid="{00000000-0005-0000-0000-00009F000000}"/>
    <cellStyle name=" 1 3 10" xfId="161" xr:uid="{00000000-0005-0000-0000-0000A0000000}"/>
    <cellStyle name=" 1 3 11" xfId="162" xr:uid="{00000000-0005-0000-0000-0000A1000000}"/>
    <cellStyle name=" 1 3 2" xfId="163" xr:uid="{00000000-0005-0000-0000-0000A2000000}"/>
    <cellStyle name=" 1 3 2 2" xfId="164" xr:uid="{00000000-0005-0000-0000-0000A3000000}"/>
    <cellStyle name=" 1 3 2 3" xfId="165" xr:uid="{00000000-0005-0000-0000-0000A4000000}"/>
    <cellStyle name=" 1 3 2 4" xfId="166" xr:uid="{00000000-0005-0000-0000-0000A5000000}"/>
    <cellStyle name=" 1 3 2 5" xfId="167" xr:uid="{00000000-0005-0000-0000-0000A6000000}"/>
    <cellStyle name=" 1 3 2 6" xfId="168" xr:uid="{00000000-0005-0000-0000-0000A7000000}"/>
    <cellStyle name=" 1 3 3" xfId="169" xr:uid="{00000000-0005-0000-0000-0000A8000000}"/>
    <cellStyle name=" 1 3 3 2" xfId="170" xr:uid="{00000000-0005-0000-0000-0000A9000000}"/>
    <cellStyle name=" 1 3 3 3" xfId="171" xr:uid="{00000000-0005-0000-0000-0000AA000000}"/>
    <cellStyle name=" 1 3 3 4" xfId="172" xr:uid="{00000000-0005-0000-0000-0000AB000000}"/>
    <cellStyle name=" 1 3 3 5" xfId="173" xr:uid="{00000000-0005-0000-0000-0000AC000000}"/>
    <cellStyle name=" 1 3 3 6" xfId="174" xr:uid="{00000000-0005-0000-0000-0000AD000000}"/>
    <cellStyle name=" 1 3 4" xfId="175" xr:uid="{00000000-0005-0000-0000-0000AE000000}"/>
    <cellStyle name=" 1 3 4 2" xfId="176" xr:uid="{00000000-0005-0000-0000-0000AF000000}"/>
    <cellStyle name=" 1 3 4 3" xfId="177" xr:uid="{00000000-0005-0000-0000-0000B0000000}"/>
    <cellStyle name=" 1 3 4 4" xfId="178" xr:uid="{00000000-0005-0000-0000-0000B1000000}"/>
    <cellStyle name=" 1 3 4 5" xfId="179" xr:uid="{00000000-0005-0000-0000-0000B2000000}"/>
    <cellStyle name=" 1 3 4 6" xfId="180" xr:uid="{00000000-0005-0000-0000-0000B3000000}"/>
    <cellStyle name=" 1 3 5" xfId="181" xr:uid="{00000000-0005-0000-0000-0000B4000000}"/>
    <cellStyle name=" 1 3 5 2" xfId="182" xr:uid="{00000000-0005-0000-0000-0000B5000000}"/>
    <cellStyle name=" 1 3 5 3" xfId="183" xr:uid="{00000000-0005-0000-0000-0000B6000000}"/>
    <cellStyle name=" 1 3 5 4" xfId="184" xr:uid="{00000000-0005-0000-0000-0000B7000000}"/>
    <cellStyle name=" 1 3 5 5" xfId="185" xr:uid="{00000000-0005-0000-0000-0000B8000000}"/>
    <cellStyle name=" 1 3 5 6" xfId="186" xr:uid="{00000000-0005-0000-0000-0000B9000000}"/>
    <cellStyle name=" 1 3 6" xfId="187" xr:uid="{00000000-0005-0000-0000-0000BA000000}"/>
    <cellStyle name=" 1 3 7" xfId="188" xr:uid="{00000000-0005-0000-0000-0000BB000000}"/>
    <cellStyle name=" 1 3 8" xfId="189" xr:uid="{00000000-0005-0000-0000-0000BC000000}"/>
    <cellStyle name=" 1 3 9" xfId="190" xr:uid="{00000000-0005-0000-0000-0000BD000000}"/>
    <cellStyle name=" 1 4" xfId="191" xr:uid="{00000000-0005-0000-0000-0000BE000000}"/>
    <cellStyle name=" 1 4 2" xfId="192" xr:uid="{00000000-0005-0000-0000-0000BF000000}"/>
    <cellStyle name=" 1 4 3" xfId="193" xr:uid="{00000000-0005-0000-0000-0000C0000000}"/>
    <cellStyle name=" 1 4 4" xfId="194" xr:uid="{00000000-0005-0000-0000-0000C1000000}"/>
    <cellStyle name=" 1 4 5" xfId="195" xr:uid="{00000000-0005-0000-0000-0000C2000000}"/>
    <cellStyle name=" 1 4 6" xfId="196" xr:uid="{00000000-0005-0000-0000-0000C3000000}"/>
    <cellStyle name=" 1 4 7" xfId="197" xr:uid="{00000000-0005-0000-0000-0000C4000000}"/>
    <cellStyle name=" 1 4 8" xfId="198" xr:uid="{00000000-0005-0000-0000-0000C5000000}"/>
    <cellStyle name=" 1 5" xfId="199" xr:uid="{00000000-0005-0000-0000-0000C6000000}"/>
    <cellStyle name=" 1 5 2" xfId="200" xr:uid="{00000000-0005-0000-0000-0000C7000000}"/>
    <cellStyle name=" 1 5 3" xfId="201" xr:uid="{00000000-0005-0000-0000-0000C8000000}"/>
    <cellStyle name=" 1 5 4" xfId="202" xr:uid="{00000000-0005-0000-0000-0000C9000000}"/>
    <cellStyle name=" 1 5 5" xfId="203" xr:uid="{00000000-0005-0000-0000-0000CA000000}"/>
    <cellStyle name=" 1 5 6" xfId="204" xr:uid="{00000000-0005-0000-0000-0000CB000000}"/>
    <cellStyle name=" 1 5 7" xfId="205" xr:uid="{00000000-0005-0000-0000-0000CC000000}"/>
    <cellStyle name=" 1 5 8" xfId="206" xr:uid="{00000000-0005-0000-0000-0000CD000000}"/>
    <cellStyle name=" 1 6" xfId="207" xr:uid="{00000000-0005-0000-0000-0000CE000000}"/>
    <cellStyle name=" 1 6 2" xfId="208" xr:uid="{00000000-0005-0000-0000-0000CF000000}"/>
    <cellStyle name=" 1 6 3" xfId="209" xr:uid="{00000000-0005-0000-0000-0000D0000000}"/>
    <cellStyle name=" 1 6 4" xfId="210" xr:uid="{00000000-0005-0000-0000-0000D1000000}"/>
    <cellStyle name=" 1 6 5" xfId="211" xr:uid="{00000000-0005-0000-0000-0000D2000000}"/>
    <cellStyle name=" 1 6 6" xfId="212" xr:uid="{00000000-0005-0000-0000-0000D3000000}"/>
    <cellStyle name=" 1 6 7" xfId="213" xr:uid="{00000000-0005-0000-0000-0000D4000000}"/>
    <cellStyle name=" 1 6 8" xfId="214" xr:uid="{00000000-0005-0000-0000-0000D5000000}"/>
    <cellStyle name=" 1 7" xfId="215" xr:uid="{00000000-0005-0000-0000-0000D6000000}"/>
    <cellStyle name=" 1 7 2" xfId="216" xr:uid="{00000000-0005-0000-0000-0000D7000000}"/>
    <cellStyle name=" 1 7 3" xfId="217" xr:uid="{00000000-0005-0000-0000-0000D8000000}"/>
    <cellStyle name=" 1 7 4" xfId="218" xr:uid="{00000000-0005-0000-0000-0000D9000000}"/>
    <cellStyle name=" 1 7 5" xfId="219" xr:uid="{00000000-0005-0000-0000-0000DA000000}"/>
    <cellStyle name=" 1 7 6" xfId="220" xr:uid="{00000000-0005-0000-0000-0000DB000000}"/>
    <cellStyle name=" 1 7 7" xfId="221" xr:uid="{00000000-0005-0000-0000-0000DC000000}"/>
    <cellStyle name=" 1 7 8" xfId="222" xr:uid="{00000000-0005-0000-0000-0000DD000000}"/>
    <cellStyle name=" 1 8" xfId="223" xr:uid="{00000000-0005-0000-0000-0000DE000000}"/>
    <cellStyle name=" 1 8 2" xfId="224" xr:uid="{00000000-0005-0000-0000-0000DF000000}"/>
    <cellStyle name=" 1 8 3" xfId="225" xr:uid="{00000000-0005-0000-0000-0000E0000000}"/>
    <cellStyle name=" 1 8 4" xfId="226" xr:uid="{00000000-0005-0000-0000-0000E1000000}"/>
    <cellStyle name=" 1 8 5" xfId="227" xr:uid="{00000000-0005-0000-0000-0000E2000000}"/>
    <cellStyle name=" 1 8 6" xfId="228" xr:uid="{00000000-0005-0000-0000-0000E3000000}"/>
    <cellStyle name=" 1 8 7" xfId="229" xr:uid="{00000000-0005-0000-0000-0000E4000000}"/>
    <cellStyle name=" 1 8 8" xfId="230" xr:uid="{00000000-0005-0000-0000-0000E5000000}"/>
    <cellStyle name=" 1 9" xfId="231" xr:uid="{00000000-0005-0000-0000-0000E6000000}"/>
    <cellStyle name=" 1 9 2" xfId="232" xr:uid="{00000000-0005-0000-0000-0000E7000000}"/>
    <cellStyle name=" 1 9 3" xfId="233" xr:uid="{00000000-0005-0000-0000-0000E8000000}"/>
    <cellStyle name=" 1 9 4" xfId="234" xr:uid="{00000000-0005-0000-0000-0000E9000000}"/>
    <cellStyle name=" 1 9 5" xfId="235" xr:uid="{00000000-0005-0000-0000-0000EA000000}"/>
    <cellStyle name=" 1 9 6" xfId="236" xr:uid="{00000000-0005-0000-0000-0000EB000000}"/>
    <cellStyle name=" 1 9 7" xfId="237" xr:uid="{00000000-0005-0000-0000-0000EC000000}"/>
    <cellStyle name=" 1 9 8" xfId="238" xr:uid="{00000000-0005-0000-0000-0000ED000000}"/>
    <cellStyle name=" 2" xfId="239" xr:uid="{00000000-0005-0000-0000-0000EE000000}"/>
    <cellStyle name=" 3" xfId="240" xr:uid="{00000000-0005-0000-0000-0000EF000000}"/>
    <cellStyle name="$" xfId="241" xr:uid="{00000000-0005-0000-0000-0000F0000000}"/>
    <cellStyle name="$ BOX" xfId="242" xr:uid="{00000000-0005-0000-0000-0000F1000000}"/>
    <cellStyle name="$_DCF Shell 2" xfId="243" xr:uid="{00000000-0005-0000-0000-0000F2000000}"/>
    <cellStyle name="$_DCF Shell 2_Draft RIIO plan presentation template - Customer Opsx Centre V7" xfId="244" xr:uid="{00000000-0005-0000-0000-0000F3000000}"/>
    <cellStyle name="$_DCF Shell 2_Spreadsheet to populate plan slides 120810" xfId="245" xr:uid="{00000000-0005-0000-0000-0000F4000000}"/>
    <cellStyle name="$_DCF Shell 2_SS templates" xfId="246" xr:uid="{00000000-0005-0000-0000-0000F5000000}"/>
    <cellStyle name="$_DCF Shell 2_Total summary" xfId="247" xr:uid="{00000000-0005-0000-0000-0000F6000000}"/>
    <cellStyle name="$_Marathon SOP Backup_v10" xfId="248" xr:uid="{00000000-0005-0000-0000-0000F7000000}"/>
    <cellStyle name="$_Model_Sep_2_02" xfId="249" xr:uid="{00000000-0005-0000-0000-0000F8000000}"/>
    <cellStyle name="$_Pipeline Model v1 (09_09_02) v3" xfId="250" xr:uid="{00000000-0005-0000-0000-0000F9000000}"/>
    <cellStyle name="$_Pipeline Model v1 (09_09_02) v3_Draft RIIO plan presentation template - Customer Opsx Centre V7" xfId="251" xr:uid="{00000000-0005-0000-0000-0000FA000000}"/>
    <cellStyle name="$_Pipeline Model v1 (09_09_02) v3_Spreadsheet to populate plan slides 120810" xfId="252" xr:uid="{00000000-0005-0000-0000-0000FB000000}"/>
    <cellStyle name="$_Pipeline Model v1 (09_09_02) v3_SS templates" xfId="253" xr:uid="{00000000-0005-0000-0000-0000FC000000}"/>
    <cellStyle name="$_Pipeline Model v1 (09_09_02) v3_Total summary" xfId="254" xr:uid="{00000000-0005-0000-0000-0000FD000000}"/>
    <cellStyle name="$1000s (0)" xfId="255" xr:uid="{00000000-0005-0000-0000-0000FE000000}"/>
    <cellStyle name="$m" xfId="256" xr:uid="{00000000-0005-0000-0000-0000FF000000}"/>
    <cellStyle name="$q" xfId="257" xr:uid="{00000000-0005-0000-0000-000000010000}"/>
    <cellStyle name="$q*" xfId="258" xr:uid="{00000000-0005-0000-0000-000001010000}"/>
    <cellStyle name="$qA" xfId="259" xr:uid="{00000000-0005-0000-0000-000002010000}"/>
    <cellStyle name="$qRange" xfId="260" xr:uid="{00000000-0005-0000-0000-000003010000}"/>
    <cellStyle name="%" xfId="261" xr:uid="{00000000-0005-0000-0000-000004010000}"/>
    <cellStyle name="% 10" xfId="262" xr:uid="{00000000-0005-0000-0000-000005010000}"/>
    <cellStyle name="% 10 2" xfId="263" xr:uid="{00000000-0005-0000-0000-000006010000}"/>
    <cellStyle name="% 10 2 2" xfId="264" xr:uid="{00000000-0005-0000-0000-000007010000}"/>
    <cellStyle name="% 100" xfId="265" xr:uid="{00000000-0005-0000-0000-000008010000}"/>
    <cellStyle name="% 101" xfId="266" xr:uid="{00000000-0005-0000-0000-000009010000}"/>
    <cellStyle name="% 102" xfId="267" xr:uid="{00000000-0005-0000-0000-00000A010000}"/>
    <cellStyle name="% 103" xfId="268" xr:uid="{00000000-0005-0000-0000-00000B010000}"/>
    <cellStyle name="% 104" xfId="269" xr:uid="{00000000-0005-0000-0000-00000C010000}"/>
    <cellStyle name="% 105" xfId="270" xr:uid="{00000000-0005-0000-0000-00000D010000}"/>
    <cellStyle name="% 106" xfId="271" xr:uid="{00000000-0005-0000-0000-00000E010000}"/>
    <cellStyle name="% 107" xfId="272" xr:uid="{00000000-0005-0000-0000-00000F010000}"/>
    <cellStyle name="% 108" xfId="273" xr:uid="{00000000-0005-0000-0000-000010010000}"/>
    <cellStyle name="% 109" xfId="274" xr:uid="{00000000-0005-0000-0000-000011010000}"/>
    <cellStyle name="% 11" xfId="275" xr:uid="{00000000-0005-0000-0000-000012010000}"/>
    <cellStyle name="% 110" xfId="276" xr:uid="{00000000-0005-0000-0000-000013010000}"/>
    <cellStyle name="% 111" xfId="277" xr:uid="{00000000-0005-0000-0000-000014010000}"/>
    <cellStyle name="% 112" xfId="278" xr:uid="{00000000-0005-0000-0000-000015010000}"/>
    <cellStyle name="% 113" xfId="279" xr:uid="{00000000-0005-0000-0000-000016010000}"/>
    <cellStyle name="% 114" xfId="42037" xr:uid="{00000000-0005-0000-0000-000017010000}"/>
    <cellStyle name="% 12" xfId="280" xr:uid="{00000000-0005-0000-0000-000018010000}"/>
    <cellStyle name="% 13" xfId="281" xr:uid="{00000000-0005-0000-0000-000019010000}"/>
    <cellStyle name="% 14" xfId="282" xr:uid="{00000000-0005-0000-0000-00001A010000}"/>
    <cellStyle name="% 15" xfId="283" xr:uid="{00000000-0005-0000-0000-00001B010000}"/>
    <cellStyle name="% 16" xfId="284" xr:uid="{00000000-0005-0000-0000-00001C010000}"/>
    <cellStyle name="% 17" xfId="285" xr:uid="{00000000-0005-0000-0000-00001D010000}"/>
    <cellStyle name="% 18" xfId="286" xr:uid="{00000000-0005-0000-0000-00001E010000}"/>
    <cellStyle name="% 19" xfId="287" xr:uid="{00000000-0005-0000-0000-00001F010000}"/>
    <cellStyle name="% 2" xfId="288" xr:uid="{00000000-0005-0000-0000-000020010000}"/>
    <cellStyle name="% 2 10" xfId="289" xr:uid="{00000000-0005-0000-0000-000021010000}"/>
    <cellStyle name="% 2 11" xfId="290" xr:uid="{00000000-0005-0000-0000-000022010000}"/>
    <cellStyle name="% 2 12" xfId="291" xr:uid="{00000000-0005-0000-0000-000023010000}"/>
    <cellStyle name="% 2 13" xfId="292" xr:uid="{00000000-0005-0000-0000-000024010000}"/>
    <cellStyle name="% 2 14" xfId="293" xr:uid="{00000000-0005-0000-0000-000025010000}"/>
    <cellStyle name="% 2 15" xfId="294" xr:uid="{00000000-0005-0000-0000-000026010000}"/>
    <cellStyle name="% 2 16" xfId="295" xr:uid="{00000000-0005-0000-0000-000027010000}"/>
    <cellStyle name="% 2 17" xfId="296" xr:uid="{00000000-0005-0000-0000-000028010000}"/>
    <cellStyle name="% 2 18" xfId="297" xr:uid="{00000000-0005-0000-0000-000029010000}"/>
    <cellStyle name="% 2 19" xfId="298" xr:uid="{00000000-0005-0000-0000-00002A010000}"/>
    <cellStyle name="% 2 2" xfId="299" xr:uid="{00000000-0005-0000-0000-00002B010000}"/>
    <cellStyle name="% 2 2 2" xfId="300" xr:uid="{00000000-0005-0000-0000-00002C010000}"/>
    <cellStyle name="% 2 2 2 2" xfId="301" xr:uid="{00000000-0005-0000-0000-00002D010000}"/>
    <cellStyle name="% 2 2 2 3" xfId="302" xr:uid="{00000000-0005-0000-0000-00002E010000}"/>
    <cellStyle name="% 2 2 2 4" xfId="303" xr:uid="{00000000-0005-0000-0000-00002F010000}"/>
    <cellStyle name="% 2 2 2 5" xfId="304" xr:uid="{00000000-0005-0000-0000-000030010000}"/>
    <cellStyle name="% 2 2 2 6" xfId="305" xr:uid="{00000000-0005-0000-0000-000031010000}"/>
    <cellStyle name="% 2 2 2 7" xfId="306" xr:uid="{00000000-0005-0000-0000-000032010000}"/>
    <cellStyle name="% 2 2 2 8" xfId="307" xr:uid="{00000000-0005-0000-0000-000033010000}"/>
    <cellStyle name="% 2 2 3" xfId="308" xr:uid="{00000000-0005-0000-0000-000034010000}"/>
    <cellStyle name="% 2 2 3 2" xfId="309" xr:uid="{00000000-0005-0000-0000-000035010000}"/>
    <cellStyle name="% 2 2 3 3" xfId="310" xr:uid="{00000000-0005-0000-0000-000036010000}"/>
    <cellStyle name="% 2 2 4" xfId="311" xr:uid="{00000000-0005-0000-0000-000037010000}"/>
    <cellStyle name="% 2 2 4 2" xfId="312" xr:uid="{00000000-0005-0000-0000-000038010000}"/>
    <cellStyle name="% 2 2 4 3" xfId="313" xr:uid="{00000000-0005-0000-0000-000039010000}"/>
    <cellStyle name="% 2 2 4 4" xfId="314" xr:uid="{00000000-0005-0000-0000-00003A010000}"/>
    <cellStyle name="% 2 2_3.1.2 DB Pension Detail" xfId="315" xr:uid="{00000000-0005-0000-0000-00003B010000}"/>
    <cellStyle name="% 2 20" xfId="316" xr:uid="{00000000-0005-0000-0000-00003C010000}"/>
    <cellStyle name="% 2 21" xfId="317" xr:uid="{00000000-0005-0000-0000-00003D010000}"/>
    <cellStyle name="% 2 22" xfId="318" xr:uid="{00000000-0005-0000-0000-00003E010000}"/>
    <cellStyle name="% 2 23" xfId="319" xr:uid="{00000000-0005-0000-0000-00003F010000}"/>
    <cellStyle name="% 2 24" xfId="320" xr:uid="{00000000-0005-0000-0000-000040010000}"/>
    <cellStyle name="% 2 25" xfId="321" xr:uid="{00000000-0005-0000-0000-000041010000}"/>
    <cellStyle name="% 2 26" xfId="322" xr:uid="{00000000-0005-0000-0000-000042010000}"/>
    <cellStyle name="% 2 27" xfId="323" xr:uid="{00000000-0005-0000-0000-000043010000}"/>
    <cellStyle name="% 2 28" xfId="324" xr:uid="{00000000-0005-0000-0000-000044010000}"/>
    <cellStyle name="% 2 29" xfId="325" xr:uid="{00000000-0005-0000-0000-000045010000}"/>
    <cellStyle name="% 2 3" xfId="326" xr:uid="{00000000-0005-0000-0000-000046010000}"/>
    <cellStyle name="% 2 30" xfId="327" xr:uid="{00000000-0005-0000-0000-000047010000}"/>
    <cellStyle name="% 2 31" xfId="328" xr:uid="{00000000-0005-0000-0000-000048010000}"/>
    <cellStyle name="% 2 32" xfId="329" xr:uid="{00000000-0005-0000-0000-000049010000}"/>
    <cellStyle name="% 2 33" xfId="330" xr:uid="{00000000-0005-0000-0000-00004A010000}"/>
    <cellStyle name="% 2 34" xfId="331" xr:uid="{00000000-0005-0000-0000-00004B010000}"/>
    <cellStyle name="% 2 35" xfId="332" xr:uid="{00000000-0005-0000-0000-00004C010000}"/>
    <cellStyle name="% 2 36" xfId="333" xr:uid="{00000000-0005-0000-0000-00004D010000}"/>
    <cellStyle name="% 2 37" xfId="334" xr:uid="{00000000-0005-0000-0000-00004E010000}"/>
    <cellStyle name="% 2 38" xfId="335" xr:uid="{00000000-0005-0000-0000-00004F010000}"/>
    <cellStyle name="% 2 39" xfId="336" xr:uid="{00000000-0005-0000-0000-000050010000}"/>
    <cellStyle name="% 2 4" xfId="337" xr:uid="{00000000-0005-0000-0000-000051010000}"/>
    <cellStyle name="% 2 40" xfId="338" xr:uid="{00000000-0005-0000-0000-000052010000}"/>
    <cellStyle name="% 2 41" xfId="339" xr:uid="{00000000-0005-0000-0000-000053010000}"/>
    <cellStyle name="% 2 42" xfId="340" xr:uid="{00000000-0005-0000-0000-000054010000}"/>
    <cellStyle name="% 2 43" xfId="341" xr:uid="{00000000-0005-0000-0000-000055010000}"/>
    <cellStyle name="% 2 44" xfId="342" xr:uid="{00000000-0005-0000-0000-000056010000}"/>
    <cellStyle name="% 2 45" xfId="343" xr:uid="{00000000-0005-0000-0000-000057010000}"/>
    <cellStyle name="% 2 46" xfId="344" xr:uid="{00000000-0005-0000-0000-000058010000}"/>
    <cellStyle name="% 2 47" xfId="345" xr:uid="{00000000-0005-0000-0000-000059010000}"/>
    <cellStyle name="% 2 5" xfId="346" xr:uid="{00000000-0005-0000-0000-00005A010000}"/>
    <cellStyle name="% 2 6" xfId="347" xr:uid="{00000000-0005-0000-0000-00005B010000}"/>
    <cellStyle name="% 2 7" xfId="348" xr:uid="{00000000-0005-0000-0000-00005C010000}"/>
    <cellStyle name="% 2 8" xfId="349" xr:uid="{00000000-0005-0000-0000-00005D010000}"/>
    <cellStyle name="% 2 9" xfId="350" xr:uid="{00000000-0005-0000-0000-00005E010000}"/>
    <cellStyle name="% 2_1.3s Accounting C Costs Scots" xfId="351" xr:uid="{00000000-0005-0000-0000-00005F010000}"/>
    <cellStyle name="% 20" xfId="352" xr:uid="{00000000-0005-0000-0000-000060010000}"/>
    <cellStyle name="% 21" xfId="353" xr:uid="{00000000-0005-0000-0000-000061010000}"/>
    <cellStyle name="% 22" xfId="354" xr:uid="{00000000-0005-0000-0000-000062010000}"/>
    <cellStyle name="% 23" xfId="355" xr:uid="{00000000-0005-0000-0000-000063010000}"/>
    <cellStyle name="% 24" xfId="356" xr:uid="{00000000-0005-0000-0000-000064010000}"/>
    <cellStyle name="% 25" xfId="357" xr:uid="{00000000-0005-0000-0000-000065010000}"/>
    <cellStyle name="% 26" xfId="358" xr:uid="{00000000-0005-0000-0000-000066010000}"/>
    <cellStyle name="% 27" xfId="359" xr:uid="{00000000-0005-0000-0000-000067010000}"/>
    <cellStyle name="% 28" xfId="360" xr:uid="{00000000-0005-0000-0000-000068010000}"/>
    <cellStyle name="% 29" xfId="361" xr:uid="{00000000-0005-0000-0000-000069010000}"/>
    <cellStyle name="% 3" xfId="362" xr:uid="{00000000-0005-0000-0000-00006A010000}"/>
    <cellStyle name="% 3 10" xfId="363" xr:uid="{00000000-0005-0000-0000-00006B010000}"/>
    <cellStyle name="% 3 11" xfId="364" xr:uid="{00000000-0005-0000-0000-00006C010000}"/>
    <cellStyle name="% 3 12" xfId="365" xr:uid="{00000000-0005-0000-0000-00006D010000}"/>
    <cellStyle name="% 3 13" xfId="366" xr:uid="{00000000-0005-0000-0000-00006E010000}"/>
    <cellStyle name="% 3 14" xfId="367" xr:uid="{00000000-0005-0000-0000-00006F010000}"/>
    <cellStyle name="% 3 15" xfId="368" xr:uid="{00000000-0005-0000-0000-000070010000}"/>
    <cellStyle name="% 3 16" xfId="369" xr:uid="{00000000-0005-0000-0000-000071010000}"/>
    <cellStyle name="% 3 17" xfId="370" xr:uid="{00000000-0005-0000-0000-000072010000}"/>
    <cellStyle name="% 3 18" xfId="371" xr:uid="{00000000-0005-0000-0000-000073010000}"/>
    <cellStyle name="% 3 19" xfId="372" xr:uid="{00000000-0005-0000-0000-000074010000}"/>
    <cellStyle name="% 3 2" xfId="373" xr:uid="{00000000-0005-0000-0000-000075010000}"/>
    <cellStyle name="% 3 2 10" xfId="374" xr:uid="{00000000-0005-0000-0000-000076010000}"/>
    <cellStyle name="% 3 2 11" xfId="375" xr:uid="{00000000-0005-0000-0000-000077010000}"/>
    <cellStyle name="% 3 2 12" xfId="376" xr:uid="{00000000-0005-0000-0000-000078010000}"/>
    <cellStyle name="% 3 2 13" xfId="377" xr:uid="{00000000-0005-0000-0000-000079010000}"/>
    <cellStyle name="% 3 2 14" xfId="378" xr:uid="{00000000-0005-0000-0000-00007A010000}"/>
    <cellStyle name="% 3 2 15" xfId="379" xr:uid="{00000000-0005-0000-0000-00007B010000}"/>
    <cellStyle name="% 3 2 16" xfId="380" xr:uid="{00000000-0005-0000-0000-00007C010000}"/>
    <cellStyle name="% 3 2 17" xfId="381" xr:uid="{00000000-0005-0000-0000-00007D010000}"/>
    <cellStyle name="% 3 2 18" xfId="382" xr:uid="{00000000-0005-0000-0000-00007E010000}"/>
    <cellStyle name="% 3 2 19" xfId="383" xr:uid="{00000000-0005-0000-0000-00007F010000}"/>
    <cellStyle name="% 3 2 2" xfId="384" xr:uid="{00000000-0005-0000-0000-000080010000}"/>
    <cellStyle name="% 3 2 2 10" xfId="385" xr:uid="{00000000-0005-0000-0000-000081010000}"/>
    <cellStyle name="% 3 2 2 11" xfId="386" xr:uid="{00000000-0005-0000-0000-000082010000}"/>
    <cellStyle name="% 3 2 2 12" xfId="387" xr:uid="{00000000-0005-0000-0000-000083010000}"/>
    <cellStyle name="% 3 2 2 13" xfId="388" xr:uid="{00000000-0005-0000-0000-000084010000}"/>
    <cellStyle name="% 3 2 2 14" xfId="389" xr:uid="{00000000-0005-0000-0000-000085010000}"/>
    <cellStyle name="% 3 2 2 15" xfId="390" xr:uid="{00000000-0005-0000-0000-000086010000}"/>
    <cellStyle name="% 3 2 2 16" xfId="391" xr:uid="{00000000-0005-0000-0000-000087010000}"/>
    <cellStyle name="% 3 2 2 17" xfId="392" xr:uid="{00000000-0005-0000-0000-000088010000}"/>
    <cellStyle name="% 3 2 2 2" xfId="393" xr:uid="{00000000-0005-0000-0000-000089010000}"/>
    <cellStyle name="% 3 2 2 3" xfId="394" xr:uid="{00000000-0005-0000-0000-00008A010000}"/>
    <cellStyle name="% 3 2 2 4" xfId="395" xr:uid="{00000000-0005-0000-0000-00008B010000}"/>
    <cellStyle name="% 3 2 2 5" xfId="396" xr:uid="{00000000-0005-0000-0000-00008C010000}"/>
    <cellStyle name="% 3 2 2 6" xfId="397" xr:uid="{00000000-0005-0000-0000-00008D010000}"/>
    <cellStyle name="% 3 2 2 7" xfId="398" xr:uid="{00000000-0005-0000-0000-00008E010000}"/>
    <cellStyle name="% 3 2 2 8" xfId="399" xr:uid="{00000000-0005-0000-0000-00008F010000}"/>
    <cellStyle name="% 3 2 2 9" xfId="400" xr:uid="{00000000-0005-0000-0000-000090010000}"/>
    <cellStyle name="% 3 2 20" xfId="401" xr:uid="{00000000-0005-0000-0000-000091010000}"/>
    <cellStyle name="% 3 2 21" xfId="402" xr:uid="{00000000-0005-0000-0000-000092010000}"/>
    <cellStyle name="% 3 2 22" xfId="403" xr:uid="{00000000-0005-0000-0000-000093010000}"/>
    <cellStyle name="% 3 2 23" xfId="404" xr:uid="{00000000-0005-0000-0000-000094010000}"/>
    <cellStyle name="% 3 2 24" xfId="405" xr:uid="{00000000-0005-0000-0000-000095010000}"/>
    <cellStyle name="% 3 2 25" xfId="406" xr:uid="{00000000-0005-0000-0000-000096010000}"/>
    <cellStyle name="% 3 2 26" xfId="407" xr:uid="{00000000-0005-0000-0000-000097010000}"/>
    <cellStyle name="% 3 2 27" xfId="408" xr:uid="{00000000-0005-0000-0000-000098010000}"/>
    <cellStyle name="% 3 2 28" xfId="409" xr:uid="{00000000-0005-0000-0000-000099010000}"/>
    <cellStyle name="% 3 2 29" xfId="410" xr:uid="{00000000-0005-0000-0000-00009A010000}"/>
    <cellStyle name="% 3 2 3" xfId="411" xr:uid="{00000000-0005-0000-0000-00009B010000}"/>
    <cellStyle name="% 3 2 30" xfId="412" xr:uid="{00000000-0005-0000-0000-00009C010000}"/>
    <cellStyle name="% 3 2 31" xfId="413" xr:uid="{00000000-0005-0000-0000-00009D010000}"/>
    <cellStyle name="% 3 2 32" xfId="414" xr:uid="{00000000-0005-0000-0000-00009E010000}"/>
    <cellStyle name="% 3 2 33" xfId="415" xr:uid="{00000000-0005-0000-0000-00009F010000}"/>
    <cellStyle name="% 3 2 34" xfId="416" xr:uid="{00000000-0005-0000-0000-0000A0010000}"/>
    <cellStyle name="% 3 2 35" xfId="417" xr:uid="{00000000-0005-0000-0000-0000A1010000}"/>
    <cellStyle name="% 3 2 36" xfId="418" xr:uid="{00000000-0005-0000-0000-0000A2010000}"/>
    <cellStyle name="% 3 2 37" xfId="419" xr:uid="{00000000-0005-0000-0000-0000A3010000}"/>
    <cellStyle name="% 3 2 38" xfId="420" xr:uid="{00000000-0005-0000-0000-0000A4010000}"/>
    <cellStyle name="% 3 2 39" xfId="421" xr:uid="{00000000-0005-0000-0000-0000A5010000}"/>
    <cellStyle name="% 3 2 4" xfId="422" xr:uid="{00000000-0005-0000-0000-0000A6010000}"/>
    <cellStyle name="% 3 2 40" xfId="423" xr:uid="{00000000-0005-0000-0000-0000A7010000}"/>
    <cellStyle name="% 3 2 41" xfId="424" xr:uid="{00000000-0005-0000-0000-0000A8010000}"/>
    <cellStyle name="% 3 2 42" xfId="425" xr:uid="{00000000-0005-0000-0000-0000A9010000}"/>
    <cellStyle name="% 3 2 43" xfId="426" xr:uid="{00000000-0005-0000-0000-0000AA010000}"/>
    <cellStyle name="% 3 2 44" xfId="427" xr:uid="{00000000-0005-0000-0000-0000AB010000}"/>
    <cellStyle name="% 3 2 45" xfId="428" xr:uid="{00000000-0005-0000-0000-0000AC010000}"/>
    <cellStyle name="% 3 2 46" xfId="429" xr:uid="{00000000-0005-0000-0000-0000AD010000}"/>
    <cellStyle name="% 3 2 47" xfId="430" xr:uid="{00000000-0005-0000-0000-0000AE010000}"/>
    <cellStyle name="% 3 2 48" xfId="431" xr:uid="{00000000-0005-0000-0000-0000AF010000}"/>
    <cellStyle name="% 3 2 49" xfId="432" xr:uid="{00000000-0005-0000-0000-0000B0010000}"/>
    <cellStyle name="% 3 2 5" xfId="433" xr:uid="{00000000-0005-0000-0000-0000B1010000}"/>
    <cellStyle name="% 3 2 50" xfId="434" xr:uid="{00000000-0005-0000-0000-0000B2010000}"/>
    <cellStyle name="% 3 2 51" xfId="435" xr:uid="{00000000-0005-0000-0000-0000B3010000}"/>
    <cellStyle name="% 3 2 52" xfId="436" xr:uid="{00000000-0005-0000-0000-0000B4010000}"/>
    <cellStyle name="% 3 2 53" xfId="437" xr:uid="{00000000-0005-0000-0000-0000B5010000}"/>
    <cellStyle name="% 3 2 54" xfId="438" xr:uid="{00000000-0005-0000-0000-0000B6010000}"/>
    <cellStyle name="% 3 2 55" xfId="439" xr:uid="{00000000-0005-0000-0000-0000B7010000}"/>
    <cellStyle name="% 3 2 56" xfId="440" xr:uid="{00000000-0005-0000-0000-0000B8010000}"/>
    <cellStyle name="% 3 2 57" xfId="441" xr:uid="{00000000-0005-0000-0000-0000B9010000}"/>
    <cellStyle name="% 3 2 58" xfId="442" xr:uid="{00000000-0005-0000-0000-0000BA010000}"/>
    <cellStyle name="% 3 2 59" xfId="443" xr:uid="{00000000-0005-0000-0000-0000BB010000}"/>
    <cellStyle name="% 3 2 6" xfId="444" xr:uid="{00000000-0005-0000-0000-0000BC010000}"/>
    <cellStyle name="% 3 2 60" xfId="445" xr:uid="{00000000-0005-0000-0000-0000BD010000}"/>
    <cellStyle name="% 3 2 61" xfId="446" xr:uid="{00000000-0005-0000-0000-0000BE010000}"/>
    <cellStyle name="% 3 2 62" xfId="447" xr:uid="{00000000-0005-0000-0000-0000BF010000}"/>
    <cellStyle name="% 3 2 63" xfId="448" xr:uid="{00000000-0005-0000-0000-0000C0010000}"/>
    <cellStyle name="% 3 2 64" xfId="449" xr:uid="{00000000-0005-0000-0000-0000C1010000}"/>
    <cellStyle name="% 3 2 65" xfId="450" xr:uid="{00000000-0005-0000-0000-0000C2010000}"/>
    <cellStyle name="% 3 2 66" xfId="451" xr:uid="{00000000-0005-0000-0000-0000C3010000}"/>
    <cellStyle name="% 3 2 67" xfId="452" xr:uid="{00000000-0005-0000-0000-0000C4010000}"/>
    <cellStyle name="% 3 2 68" xfId="453" xr:uid="{00000000-0005-0000-0000-0000C5010000}"/>
    <cellStyle name="% 3 2 69" xfId="454" xr:uid="{00000000-0005-0000-0000-0000C6010000}"/>
    <cellStyle name="% 3 2 7" xfId="455" xr:uid="{00000000-0005-0000-0000-0000C7010000}"/>
    <cellStyle name="% 3 2 70" xfId="456" xr:uid="{00000000-0005-0000-0000-0000C8010000}"/>
    <cellStyle name="% 3 2 71" xfId="457" xr:uid="{00000000-0005-0000-0000-0000C9010000}"/>
    <cellStyle name="% 3 2 72" xfId="458" xr:uid="{00000000-0005-0000-0000-0000CA010000}"/>
    <cellStyle name="% 3 2 73" xfId="459" xr:uid="{00000000-0005-0000-0000-0000CB010000}"/>
    <cellStyle name="% 3 2 74" xfId="460" xr:uid="{00000000-0005-0000-0000-0000CC010000}"/>
    <cellStyle name="% 3 2 75" xfId="461" xr:uid="{00000000-0005-0000-0000-0000CD010000}"/>
    <cellStyle name="% 3 2 76" xfId="462" xr:uid="{00000000-0005-0000-0000-0000CE010000}"/>
    <cellStyle name="% 3 2 77" xfId="463" xr:uid="{00000000-0005-0000-0000-0000CF010000}"/>
    <cellStyle name="% 3 2 78" xfId="464" xr:uid="{00000000-0005-0000-0000-0000D0010000}"/>
    <cellStyle name="% 3 2 8" xfId="465" xr:uid="{00000000-0005-0000-0000-0000D1010000}"/>
    <cellStyle name="% 3 2 9" xfId="466" xr:uid="{00000000-0005-0000-0000-0000D2010000}"/>
    <cellStyle name="% 3 20" xfId="467" xr:uid="{00000000-0005-0000-0000-0000D3010000}"/>
    <cellStyle name="% 3 21" xfId="468" xr:uid="{00000000-0005-0000-0000-0000D4010000}"/>
    <cellStyle name="% 3 22" xfId="469" xr:uid="{00000000-0005-0000-0000-0000D5010000}"/>
    <cellStyle name="% 3 23" xfId="470" xr:uid="{00000000-0005-0000-0000-0000D6010000}"/>
    <cellStyle name="% 3 24" xfId="471" xr:uid="{00000000-0005-0000-0000-0000D7010000}"/>
    <cellStyle name="% 3 25" xfId="472" xr:uid="{00000000-0005-0000-0000-0000D8010000}"/>
    <cellStyle name="% 3 26" xfId="473" xr:uid="{00000000-0005-0000-0000-0000D9010000}"/>
    <cellStyle name="% 3 27" xfId="474" xr:uid="{00000000-0005-0000-0000-0000DA010000}"/>
    <cellStyle name="% 3 28" xfId="475" xr:uid="{00000000-0005-0000-0000-0000DB010000}"/>
    <cellStyle name="% 3 29" xfId="476" xr:uid="{00000000-0005-0000-0000-0000DC010000}"/>
    <cellStyle name="% 3 3" xfId="477" xr:uid="{00000000-0005-0000-0000-0000DD010000}"/>
    <cellStyle name="% 3 3 10" xfId="478" xr:uid="{00000000-0005-0000-0000-0000DE010000}"/>
    <cellStyle name="% 3 3 11" xfId="479" xr:uid="{00000000-0005-0000-0000-0000DF010000}"/>
    <cellStyle name="% 3 3 12" xfId="480" xr:uid="{00000000-0005-0000-0000-0000E0010000}"/>
    <cellStyle name="% 3 3 13" xfId="481" xr:uid="{00000000-0005-0000-0000-0000E1010000}"/>
    <cellStyle name="% 3 3 14" xfId="482" xr:uid="{00000000-0005-0000-0000-0000E2010000}"/>
    <cellStyle name="% 3 3 15" xfId="483" xr:uid="{00000000-0005-0000-0000-0000E3010000}"/>
    <cellStyle name="% 3 3 16" xfId="484" xr:uid="{00000000-0005-0000-0000-0000E4010000}"/>
    <cellStyle name="% 3 3 17" xfId="485" xr:uid="{00000000-0005-0000-0000-0000E5010000}"/>
    <cellStyle name="% 3 3 2" xfId="486" xr:uid="{00000000-0005-0000-0000-0000E6010000}"/>
    <cellStyle name="% 3 3 3" xfId="487" xr:uid="{00000000-0005-0000-0000-0000E7010000}"/>
    <cellStyle name="% 3 3 4" xfId="488" xr:uid="{00000000-0005-0000-0000-0000E8010000}"/>
    <cellStyle name="% 3 3 5" xfId="489" xr:uid="{00000000-0005-0000-0000-0000E9010000}"/>
    <cellStyle name="% 3 3 6" xfId="490" xr:uid="{00000000-0005-0000-0000-0000EA010000}"/>
    <cellStyle name="% 3 3 7" xfId="491" xr:uid="{00000000-0005-0000-0000-0000EB010000}"/>
    <cellStyle name="% 3 3 8" xfId="492" xr:uid="{00000000-0005-0000-0000-0000EC010000}"/>
    <cellStyle name="% 3 3 9" xfId="493" xr:uid="{00000000-0005-0000-0000-0000ED010000}"/>
    <cellStyle name="% 3 30" xfId="494" xr:uid="{00000000-0005-0000-0000-0000EE010000}"/>
    <cellStyle name="% 3 31" xfId="495" xr:uid="{00000000-0005-0000-0000-0000EF010000}"/>
    <cellStyle name="% 3 32" xfId="496" xr:uid="{00000000-0005-0000-0000-0000F0010000}"/>
    <cellStyle name="% 3 33" xfId="497" xr:uid="{00000000-0005-0000-0000-0000F1010000}"/>
    <cellStyle name="% 3 34" xfId="498" xr:uid="{00000000-0005-0000-0000-0000F2010000}"/>
    <cellStyle name="% 3 35" xfId="499" xr:uid="{00000000-0005-0000-0000-0000F3010000}"/>
    <cellStyle name="% 3 36" xfId="500" xr:uid="{00000000-0005-0000-0000-0000F4010000}"/>
    <cellStyle name="% 3 37" xfId="501" xr:uid="{00000000-0005-0000-0000-0000F5010000}"/>
    <cellStyle name="% 3 38" xfId="502" xr:uid="{00000000-0005-0000-0000-0000F6010000}"/>
    <cellStyle name="% 3 39" xfId="503" xr:uid="{00000000-0005-0000-0000-0000F7010000}"/>
    <cellStyle name="% 3 4" xfId="504" xr:uid="{00000000-0005-0000-0000-0000F8010000}"/>
    <cellStyle name="% 3 4 10" xfId="505" xr:uid="{00000000-0005-0000-0000-0000F9010000}"/>
    <cellStyle name="% 3 4 11" xfId="506" xr:uid="{00000000-0005-0000-0000-0000FA010000}"/>
    <cellStyle name="% 3 4 12" xfId="507" xr:uid="{00000000-0005-0000-0000-0000FB010000}"/>
    <cellStyle name="% 3 4 13" xfId="508" xr:uid="{00000000-0005-0000-0000-0000FC010000}"/>
    <cellStyle name="% 3 4 14" xfId="509" xr:uid="{00000000-0005-0000-0000-0000FD010000}"/>
    <cellStyle name="% 3 4 15" xfId="510" xr:uid="{00000000-0005-0000-0000-0000FE010000}"/>
    <cellStyle name="% 3 4 16" xfId="511" xr:uid="{00000000-0005-0000-0000-0000FF010000}"/>
    <cellStyle name="% 3 4 17" xfId="512" xr:uid="{00000000-0005-0000-0000-000000020000}"/>
    <cellStyle name="% 3 4 2" xfId="513" xr:uid="{00000000-0005-0000-0000-000001020000}"/>
    <cellStyle name="% 3 4 3" xfId="514" xr:uid="{00000000-0005-0000-0000-000002020000}"/>
    <cellStyle name="% 3 4 4" xfId="515" xr:uid="{00000000-0005-0000-0000-000003020000}"/>
    <cellStyle name="% 3 4 5" xfId="516" xr:uid="{00000000-0005-0000-0000-000004020000}"/>
    <cellStyle name="% 3 4 6" xfId="517" xr:uid="{00000000-0005-0000-0000-000005020000}"/>
    <cellStyle name="% 3 4 7" xfId="518" xr:uid="{00000000-0005-0000-0000-000006020000}"/>
    <cellStyle name="% 3 4 8" xfId="519" xr:uid="{00000000-0005-0000-0000-000007020000}"/>
    <cellStyle name="% 3 4 9" xfId="520" xr:uid="{00000000-0005-0000-0000-000008020000}"/>
    <cellStyle name="% 3 40" xfId="521" xr:uid="{00000000-0005-0000-0000-000009020000}"/>
    <cellStyle name="% 3 41" xfId="522" xr:uid="{00000000-0005-0000-0000-00000A020000}"/>
    <cellStyle name="% 3 42" xfId="523" xr:uid="{00000000-0005-0000-0000-00000B020000}"/>
    <cellStyle name="% 3 43" xfId="524" xr:uid="{00000000-0005-0000-0000-00000C020000}"/>
    <cellStyle name="% 3 44" xfId="525" xr:uid="{00000000-0005-0000-0000-00000D020000}"/>
    <cellStyle name="% 3 45" xfId="526" xr:uid="{00000000-0005-0000-0000-00000E020000}"/>
    <cellStyle name="% 3 46" xfId="527" xr:uid="{00000000-0005-0000-0000-00000F020000}"/>
    <cellStyle name="% 3 47" xfId="528" xr:uid="{00000000-0005-0000-0000-000010020000}"/>
    <cellStyle name="% 3 48" xfId="529" xr:uid="{00000000-0005-0000-0000-000011020000}"/>
    <cellStyle name="% 3 49" xfId="530" xr:uid="{00000000-0005-0000-0000-000012020000}"/>
    <cellStyle name="% 3 5" xfId="531" xr:uid="{00000000-0005-0000-0000-000013020000}"/>
    <cellStyle name="% 3 50" xfId="532" xr:uid="{00000000-0005-0000-0000-000014020000}"/>
    <cellStyle name="% 3 51" xfId="533" xr:uid="{00000000-0005-0000-0000-000015020000}"/>
    <cellStyle name="% 3 52" xfId="534" xr:uid="{00000000-0005-0000-0000-000016020000}"/>
    <cellStyle name="% 3 53" xfId="535" xr:uid="{00000000-0005-0000-0000-000017020000}"/>
    <cellStyle name="% 3 54" xfId="536" xr:uid="{00000000-0005-0000-0000-000018020000}"/>
    <cellStyle name="% 3 55" xfId="537" xr:uid="{00000000-0005-0000-0000-000019020000}"/>
    <cellStyle name="% 3 56" xfId="538" xr:uid="{00000000-0005-0000-0000-00001A020000}"/>
    <cellStyle name="% 3 57" xfId="539" xr:uid="{00000000-0005-0000-0000-00001B020000}"/>
    <cellStyle name="% 3 58" xfId="540" xr:uid="{00000000-0005-0000-0000-00001C020000}"/>
    <cellStyle name="% 3 59" xfId="541" xr:uid="{00000000-0005-0000-0000-00001D020000}"/>
    <cellStyle name="% 3 6" xfId="542" xr:uid="{00000000-0005-0000-0000-00001E020000}"/>
    <cellStyle name="% 3 60" xfId="543" xr:uid="{00000000-0005-0000-0000-00001F020000}"/>
    <cellStyle name="% 3 61" xfId="544" xr:uid="{00000000-0005-0000-0000-000020020000}"/>
    <cellStyle name="% 3 62" xfId="545" xr:uid="{00000000-0005-0000-0000-000021020000}"/>
    <cellStyle name="% 3 63" xfId="546" xr:uid="{00000000-0005-0000-0000-000022020000}"/>
    <cellStyle name="% 3 64" xfId="547" xr:uid="{00000000-0005-0000-0000-000023020000}"/>
    <cellStyle name="% 3 65" xfId="548" xr:uid="{00000000-0005-0000-0000-000024020000}"/>
    <cellStyle name="% 3 66" xfId="549" xr:uid="{00000000-0005-0000-0000-000025020000}"/>
    <cellStyle name="% 3 67" xfId="550" xr:uid="{00000000-0005-0000-0000-000026020000}"/>
    <cellStyle name="% 3 68" xfId="551" xr:uid="{00000000-0005-0000-0000-000027020000}"/>
    <cellStyle name="% 3 69" xfId="552" xr:uid="{00000000-0005-0000-0000-000028020000}"/>
    <cellStyle name="% 3 7" xfId="553" xr:uid="{00000000-0005-0000-0000-000029020000}"/>
    <cellStyle name="% 3 70" xfId="554" xr:uid="{00000000-0005-0000-0000-00002A020000}"/>
    <cellStyle name="% 3 71" xfId="555" xr:uid="{00000000-0005-0000-0000-00002B020000}"/>
    <cellStyle name="% 3 72" xfId="556" xr:uid="{00000000-0005-0000-0000-00002C020000}"/>
    <cellStyle name="% 3 73" xfId="557" xr:uid="{00000000-0005-0000-0000-00002D020000}"/>
    <cellStyle name="% 3 74" xfId="558" xr:uid="{00000000-0005-0000-0000-00002E020000}"/>
    <cellStyle name="% 3 75" xfId="559" xr:uid="{00000000-0005-0000-0000-00002F020000}"/>
    <cellStyle name="% 3 76" xfId="560" xr:uid="{00000000-0005-0000-0000-000030020000}"/>
    <cellStyle name="% 3 77" xfId="561" xr:uid="{00000000-0005-0000-0000-000031020000}"/>
    <cellStyle name="% 3 78" xfId="562" xr:uid="{00000000-0005-0000-0000-000032020000}"/>
    <cellStyle name="% 3 8" xfId="563" xr:uid="{00000000-0005-0000-0000-000033020000}"/>
    <cellStyle name="% 3 9" xfId="564" xr:uid="{00000000-0005-0000-0000-000034020000}"/>
    <cellStyle name="% 30" xfId="565" xr:uid="{00000000-0005-0000-0000-000035020000}"/>
    <cellStyle name="% 31" xfId="566" xr:uid="{00000000-0005-0000-0000-000036020000}"/>
    <cellStyle name="% 32" xfId="567" xr:uid="{00000000-0005-0000-0000-000037020000}"/>
    <cellStyle name="% 33" xfId="568" xr:uid="{00000000-0005-0000-0000-000038020000}"/>
    <cellStyle name="% 34" xfId="569" xr:uid="{00000000-0005-0000-0000-000039020000}"/>
    <cellStyle name="% 35" xfId="570" xr:uid="{00000000-0005-0000-0000-00003A020000}"/>
    <cellStyle name="% 36" xfId="571" xr:uid="{00000000-0005-0000-0000-00003B020000}"/>
    <cellStyle name="% 37" xfId="572" xr:uid="{00000000-0005-0000-0000-00003C020000}"/>
    <cellStyle name="% 38" xfId="573" xr:uid="{00000000-0005-0000-0000-00003D020000}"/>
    <cellStyle name="% 39" xfId="574" xr:uid="{00000000-0005-0000-0000-00003E020000}"/>
    <cellStyle name="% 4" xfId="575" xr:uid="{00000000-0005-0000-0000-00003F020000}"/>
    <cellStyle name="% 4 2" xfId="576" xr:uid="{00000000-0005-0000-0000-000040020000}"/>
    <cellStyle name="% 4 3" xfId="577" xr:uid="{00000000-0005-0000-0000-000041020000}"/>
    <cellStyle name="% 4 4" xfId="578" xr:uid="{00000000-0005-0000-0000-000042020000}"/>
    <cellStyle name="% 4 5" xfId="579" xr:uid="{00000000-0005-0000-0000-000043020000}"/>
    <cellStyle name="% 4 6" xfId="580" xr:uid="{00000000-0005-0000-0000-000044020000}"/>
    <cellStyle name="% 4 7" xfId="581" xr:uid="{00000000-0005-0000-0000-000045020000}"/>
    <cellStyle name="% 4 8" xfId="582" xr:uid="{00000000-0005-0000-0000-000046020000}"/>
    <cellStyle name="% 40" xfId="583" xr:uid="{00000000-0005-0000-0000-000047020000}"/>
    <cellStyle name="% 41" xfId="584" xr:uid="{00000000-0005-0000-0000-000048020000}"/>
    <cellStyle name="% 42" xfId="585" xr:uid="{00000000-0005-0000-0000-000049020000}"/>
    <cellStyle name="% 43" xfId="586" xr:uid="{00000000-0005-0000-0000-00004A020000}"/>
    <cellStyle name="% 44" xfId="587" xr:uid="{00000000-0005-0000-0000-00004B020000}"/>
    <cellStyle name="% 45" xfId="588" xr:uid="{00000000-0005-0000-0000-00004C020000}"/>
    <cellStyle name="% 46" xfId="589" xr:uid="{00000000-0005-0000-0000-00004D020000}"/>
    <cellStyle name="% 47" xfId="590" xr:uid="{00000000-0005-0000-0000-00004E020000}"/>
    <cellStyle name="% 48" xfId="591" xr:uid="{00000000-0005-0000-0000-00004F020000}"/>
    <cellStyle name="% 49" xfId="592" xr:uid="{00000000-0005-0000-0000-000050020000}"/>
    <cellStyle name="% 5" xfId="593" xr:uid="{00000000-0005-0000-0000-000051020000}"/>
    <cellStyle name="% 50" xfId="594" xr:uid="{00000000-0005-0000-0000-000052020000}"/>
    <cellStyle name="% 51" xfId="595" xr:uid="{00000000-0005-0000-0000-000053020000}"/>
    <cellStyle name="% 52" xfId="596" xr:uid="{00000000-0005-0000-0000-000054020000}"/>
    <cellStyle name="% 53" xfId="597" xr:uid="{00000000-0005-0000-0000-000055020000}"/>
    <cellStyle name="% 54" xfId="598" xr:uid="{00000000-0005-0000-0000-000056020000}"/>
    <cellStyle name="% 55" xfId="599" xr:uid="{00000000-0005-0000-0000-000057020000}"/>
    <cellStyle name="% 56" xfId="600" xr:uid="{00000000-0005-0000-0000-000058020000}"/>
    <cellStyle name="% 57" xfId="601" xr:uid="{00000000-0005-0000-0000-000059020000}"/>
    <cellStyle name="% 58" xfId="602" xr:uid="{00000000-0005-0000-0000-00005A020000}"/>
    <cellStyle name="% 59" xfId="603" xr:uid="{00000000-0005-0000-0000-00005B020000}"/>
    <cellStyle name="% 6" xfId="604" xr:uid="{00000000-0005-0000-0000-00005C020000}"/>
    <cellStyle name="% 60" xfId="605" xr:uid="{00000000-0005-0000-0000-00005D020000}"/>
    <cellStyle name="% 61" xfId="606" xr:uid="{00000000-0005-0000-0000-00005E020000}"/>
    <cellStyle name="% 62" xfId="607" xr:uid="{00000000-0005-0000-0000-00005F020000}"/>
    <cellStyle name="% 63" xfId="608" xr:uid="{00000000-0005-0000-0000-000060020000}"/>
    <cellStyle name="% 64" xfId="609" xr:uid="{00000000-0005-0000-0000-000061020000}"/>
    <cellStyle name="% 65" xfId="610" xr:uid="{00000000-0005-0000-0000-000062020000}"/>
    <cellStyle name="% 66" xfId="611" xr:uid="{00000000-0005-0000-0000-000063020000}"/>
    <cellStyle name="% 67" xfId="612" xr:uid="{00000000-0005-0000-0000-000064020000}"/>
    <cellStyle name="% 68" xfId="613" xr:uid="{00000000-0005-0000-0000-000065020000}"/>
    <cellStyle name="% 69" xfId="614" xr:uid="{00000000-0005-0000-0000-000066020000}"/>
    <cellStyle name="% 7" xfId="615" xr:uid="{00000000-0005-0000-0000-000067020000}"/>
    <cellStyle name="% 70" xfId="616" xr:uid="{00000000-0005-0000-0000-000068020000}"/>
    <cellStyle name="% 71" xfId="617" xr:uid="{00000000-0005-0000-0000-000069020000}"/>
    <cellStyle name="% 72" xfId="618" xr:uid="{00000000-0005-0000-0000-00006A020000}"/>
    <cellStyle name="% 73" xfId="619" xr:uid="{00000000-0005-0000-0000-00006B020000}"/>
    <cellStyle name="% 74" xfId="620" xr:uid="{00000000-0005-0000-0000-00006C020000}"/>
    <cellStyle name="% 75" xfId="621" xr:uid="{00000000-0005-0000-0000-00006D020000}"/>
    <cellStyle name="% 76" xfId="622" xr:uid="{00000000-0005-0000-0000-00006E020000}"/>
    <cellStyle name="% 77" xfId="623" xr:uid="{00000000-0005-0000-0000-00006F020000}"/>
    <cellStyle name="% 78" xfId="624" xr:uid="{00000000-0005-0000-0000-000070020000}"/>
    <cellStyle name="% 79" xfId="625" xr:uid="{00000000-0005-0000-0000-000071020000}"/>
    <cellStyle name="% 8" xfId="626" xr:uid="{00000000-0005-0000-0000-000072020000}"/>
    <cellStyle name="% 80" xfId="627" xr:uid="{00000000-0005-0000-0000-000073020000}"/>
    <cellStyle name="% 81" xfId="628" xr:uid="{00000000-0005-0000-0000-000074020000}"/>
    <cellStyle name="% 82" xfId="629" xr:uid="{00000000-0005-0000-0000-000075020000}"/>
    <cellStyle name="% 83" xfId="630" xr:uid="{00000000-0005-0000-0000-000076020000}"/>
    <cellStyle name="% 84" xfId="631" xr:uid="{00000000-0005-0000-0000-000077020000}"/>
    <cellStyle name="% 85" xfId="632" xr:uid="{00000000-0005-0000-0000-000078020000}"/>
    <cellStyle name="% 86" xfId="633" xr:uid="{00000000-0005-0000-0000-000079020000}"/>
    <cellStyle name="% 87" xfId="634" xr:uid="{00000000-0005-0000-0000-00007A020000}"/>
    <cellStyle name="% 88" xfId="635" xr:uid="{00000000-0005-0000-0000-00007B020000}"/>
    <cellStyle name="% 89" xfId="636" xr:uid="{00000000-0005-0000-0000-00007C020000}"/>
    <cellStyle name="% 9" xfId="637" xr:uid="{00000000-0005-0000-0000-00007D020000}"/>
    <cellStyle name="% 90" xfId="638" xr:uid="{00000000-0005-0000-0000-00007E020000}"/>
    <cellStyle name="% 91" xfId="639" xr:uid="{00000000-0005-0000-0000-00007F020000}"/>
    <cellStyle name="% 92" xfId="640" xr:uid="{00000000-0005-0000-0000-000080020000}"/>
    <cellStyle name="% 93" xfId="641" xr:uid="{00000000-0005-0000-0000-000081020000}"/>
    <cellStyle name="% 94" xfId="642" xr:uid="{00000000-0005-0000-0000-000082020000}"/>
    <cellStyle name="% 95" xfId="643" xr:uid="{00000000-0005-0000-0000-000083020000}"/>
    <cellStyle name="% 96" xfId="644" xr:uid="{00000000-0005-0000-0000-000084020000}"/>
    <cellStyle name="% 97" xfId="645" xr:uid="{00000000-0005-0000-0000-000085020000}"/>
    <cellStyle name="% 98" xfId="646" xr:uid="{00000000-0005-0000-0000-000086020000}"/>
    <cellStyle name="% 99" xfId="647" xr:uid="{00000000-0005-0000-0000-000087020000}"/>
    <cellStyle name="%_1. +-Changes from RIIO vD4 to vD5" xfId="648" xr:uid="{00000000-0005-0000-0000-000088020000}"/>
    <cellStyle name="%_1.3 Acc Costs NG (2011)" xfId="649" xr:uid="{00000000-0005-0000-0000-000089020000}"/>
    <cellStyle name="%_1.3 Acc Costs NG (2011) 2" xfId="650" xr:uid="{00000000-0005-0000-0000-00008A020000}"/>
    <cellStyle name="%_1.3 Acc Costs NG (2011) 3" xfId="651" xr:uid="{00000000-0005-0000-0000-00008B020000}"/>
    <cellStyle name="%_1.3 Acc Costs NG (2011) 4" xfId="652" xr:uid="{00000000-0005-0000-0000-00008C020000}"/>
    <cellStyle name="%_1.3 Acc Costs NG (2011) 5" xfId="653" xr:uid="{00000000-0005-0000-0000-00008D020000}"/>
    <cellStyle name="%_1.3 Acc Costs NG (2011) 6" xfId="654" xr:uid="{00000000-0005-0000-0000-00008E020000}"/>
    <cellStyle name="%_1.3 Acc Costs NG (2011) 7" xfId="655" xr:uid="{00000000-0005-0000-0000-00008F020000}"/>
    <cellStyle name="%_1.3 Acc Costs NG (2011) 8" xfId="656" xr:uid="{00000000-0005-0000-0000-000090020000}"/>
    <cellStyle name="%_1.3 Rec to old modelling" xfId="657" xr:uid="{00000000-0005-0000-0000-000091020000}"/>
    <cellStyle name="%_1.3s Accounting C Costs Scots" xfId="658" xr:uid="{00000000-0005-0000-0000-000092020000}"/>
    <cellStyle name="%_1.5 Opex Reconciliation NG" xfId="659" xr:uid="{00000000-0005-0000-0000-000093020000}"/>
    <cellStyle name="%_1.8 Irregular Items" xfId="660" xr:uid="{00000000-0005-0000-0000-000094020000}"/>
    <cellStyle name="%_1.8 Irregular Items 2" xfId="661" xr:uid="{00000000-0005-0000-0000-000095020000}"/>
    <cellStyle name="%_1.8 Irregular Items 3" xfId="662" xr:uid="{00000000-0005-0000-0000-000096020000}"/>
    <cellStyle name="%_1.8 Irregular Items 4" xfId="663" xr:uid="{00000000-0005-0000-0000-000097020000}"/>
    <cellStyle name="%_1.8 Irregular Items 5" xfId="664" xr:uid="{00000000-0005-0000-0000-000098020000}"/>
    <cellStyle name="%_1.8 Irregular Items 6" xfId="665" xr:uid="{00000000-0005-0000-0000-000099020000}"/>
    <cellStyle name="%_1.8 Irregular Items 7" xfId="666" xr:uid="{00000000-0005-0000-0000-00009A020000}"/>
    <cellStyle name="%_1.8 Irregular Items 8" xfId="667" xr:uid="{00000000-0005-0000-0000-00009B020000}"/>
    <cellStyle name="%_2.14 Year on Year Movt" xfId="668" xr:uid="{00000000-0005-0000-0000-00009C020000}"/>
    <cellStyle name="%_2.14 Year on Year Movt ( (2013)" xfId="669" xr:uid="{00000000-0005-0000-0000-00009D020000}"/>
    <cellStyle name="%_2.14 Year on Year Movt ( (2013) 2" xfId="670" xr:uid="{00000000-0005-0000-0000-00009E020000}"/>
    <cellStyle name="%_2.14 Year on Year Movt ( (2013) 3" xfId="671" xr:uid="{00000000-0005-0000-0000-00009F020000}"/>
    <cellStyle name="%_2.14 Year on Year Movt ( (2013) 4" xfId="672" xr:uid="{00000000-0005-0000-0000-0000A0020000}"/>
    <cellStyle name="%_2.14 Year on Year Movt ( (2013) 5" xfId="673" xr:uid="{00000000-0005-0000-0000-0000A1020000}"/>
    <cellStyle name="%_2.14 Year on Year Movt ( (2013) 6" xfId="674" xr:uid="{00000000-0005-0000-0000-0000A2020000}"/>
    <cellStyle name="%_2.14 Year on Year Movt ( (2013) 7" xfId="675" xr:uid="{00000000-0005-0000-0000-0000A3020000}"/>
    <cellStyle name="%_2.14 Year on Year Movt ( (2013) 8" xfId="676" xr:uid="{00000000-0005-0000-0000-0000A4020000}"/>
    <cellStyle name="%_2.14 Year on Year Movt (2011)" xfId="677" xr:uid="{00000000-0005-0000-0000-0000A5020000}"/>
    <cellStyle name="%_2.14 Year on Year Movt (2011) 2" xfId="678" xr:uid="{00000000-0005-0000-0000-0000A6020000}"/>
    <cellStyle name="%_2.14 Year on Year Movt (2011) 3" xfId="679" xr:uid="{00000000-0005-0000-0000-0000A7020000}"/>
    <cellStyle name="%_2.14 Year on Year Movt (2011) 4" xfId="680" xr:uid="{00000000-0005-0000-0000-0000A8020000}"/>
    <cellStyle name="%_2.14 Year on Year Movt (2011) 5" xfId="681" xr:uid="{00000000-0005-0000-0000-0000A9020000}"/>
    <cellStyle name="%_2.14 Year on Year Movt (2011) 6" xfId="682" xr:uid="{00000000-0005-0000-0000-0000AA020000}"/>
    <cellStyle name="%_2.14 Year on Year Movt (2011) 7" xfId="683" xr:uid="{00000000-0005-0000-0000-0000AB020000}"/>
    <cellStyle name="%_2.14 Year on Year Movt (2011) 8" xfId="684" xr:uid="{00000000-0005-0000-0000-0000AC020000}"/>
    <cellStyle name="%_2.14 Year on Year Movt (2012)" xfId="685" xr:uid="{00000000-0005-0000-0000-0000AD020000}"/>
    <cellStyle name="%_2.14 Year on Year Movt (2012) 2" xfId="686" xr:uid="{00000000-0005-0000-0000-0000AE020000}"/>
    <cellStyle name="%_2.14 Year on Year Movt (2012) 3" xfId="687" xr:uid="{00000000-0005-0000-0000-0000AF020000}"/>
    <cellStyle name="%_2.14 Year on Year Movt (2012) 4" xfId="688" xr:uid="{00000000-0005-0000-0000-0000B0020000}"/>
    <cellStyle name="%_2.14 Year on Year Movt (2012) 5" xfId="689" xr:uid="{00000000-0005-0000-0000-0000B1020000}"/>
    <cellStyle name="%_2.14 Year on Year Movt (2012) 6" xfId="690" xr:uid="{00000000-0005-0000-0000-0000B2020000}"/>
    <cellStyle name="%_2.14 Year on Year Movt (2012) 7" xfId="691" xr:uid="{00000000-0005-0000-0000-0000B3020000}"/>
    <cellStyle name="%_2.14 Year on Year Movt (2012) 8" xfId="692" xr:uid="{00000000-0005-0000-0000-0000B4020000}"/>
    <cellStyle name="%_2.4 Exc &amp; Demin " xfId="693" xr:uid="{00000000-0005-0000-0000-0000B5020000}"/>
    <cellStyle name="%_2.7s Insurance" xfId="694" xr:uid="{00000000-0005-0000-0000-0000B6020000}"/>
    <cellStyle name="%_2010_NGET_TPCR4_RO_FBPQ(Opex) trace only FINAL(DPP)" xfId="695" xr:uid="{00000000-0005-0000-0000-0000B7020000}"/>
    <cellStyle name="%_2010_NGET_TPCR4_RO_FBPQ(Opex) trace only FINAL(DPP) 2" xfId="696" xr:uid="{00000000-0005-0000-0000-0000B8020000}"/>
    <cellStyle name="%_2010_NGET_TPCR4_RO_FBPQ(Opex) trace only FINAL(DPP) 3" xfId="697" xr:uid="{00000000-0005-0000-0000-0000B9020000}"/>
    <cellStyle name="%_2010_NGET_TPCR4_RO_FBPQ(Opex) trace only FINAL(DPP) 4" xfId="698" xr:uid="{00000000-0005-0000-0000-0000BA020000}"/>
    <cellStyle name="%_2010_NGET_TPCR4_RO_FBPQ(Opex) trace only FINAL(DPP) 5" xfId="699" xr:uid="{00000000-0005-0000-0000-0000BB020000}"/>
    <cellStyle name="%_2010_NGET_TPCR4_RO_FBPQ(Opex) trace only FINAL(DPP) 6" xfId="700" xr:uid="{00000000-0005-0000-0000-0000BC020000}"/>
    <cellStyle name="%_2010_NGET_TPCR4_RO_FBPQ(Opex) trace only FINAL(DPP) 7" xfId="701" xr:uid="{00000000-0005-0000-0000-0000BD020000}"/>
    <cellStyle name="%_2010_NGET_TPCR4_RO_FBPQ(Opex) trace only FINAL(DPP) 8" xfId="702" xr:uid="{00000000-0005-0000-0000-0000BE020000}"/>
    <cellStyle name="%_3.1.2 DB Pension Detail" xfId="703" xr:uid="{00000000-0005-0000-0000-0000BF020000}"/>
    <cellStyle name="%_3.3 Tax" xfId="704" xr:uid="{00000000-0005-0000-0000-0000C0020000}"/>
    <cellStyle name="%_3.3 Tax 2" xfId="705" xr:uid="{00000000-0005-0000-0000-0000C1020000}"/>
    <cellStyle name="%_3.3 Tax 2 2" xfId="706" xr:uid="{00000000-0005-0000-0000-0000C2020000}"/>
    <cellStyle name="%_3.3 Tax 3" xfId="707" xr:uid="{00000000-0005-0000-0000-0000C3020000}"/>
    <cellStyle name="%_3.3 Tax_2.14 Year on Year Movt" xfId="708" xr:uid="{00000000-0005-0000-0000-0000C4020000}"/>
    <cellStyle name="%_3.3 Tax_2.4 Exc &amp; Demin " xfId="709" xr:uid="{00000000-0005-0000-0000-0000C5020000}"/>
    <cellStyle name="%_3.3 Tax_2.7s Insurance" xfId="710" xr:uid="{00000000-0005-0000-0000-0000C6020000}"/>
    <cellStyle name="%_3.3 Tax_3.1.2 DB Pension Detail" xfId="711" xr:uid="{00000000-0005-0000-0000-0000C7020000}"/>
    <cellStyle name="%_3.3 Tax_4.16 Asset lives" xfId="712" xr:uid="{00000000-0005-0000-0000-0000C8020000}"/>
    <cellStyle name="%_4.16 Asset lives" xfId="713" xr:uid="{00000000-0005-0000-0000-0000C9020000}"/>
    <cellStyle name="%_4.2 Activity Indicators" xfId="714" xr:uid="{00000000-0005-0000-0000-0000CA020000}"/>
    <cellStyle name="%_4.2 Activity Indicators 2" xfId="715" xr:uid="{00000000-0005-0000-0000-0000CB020000}"/>
    <cellStyle name="%_4.2 Activity Indicators 2 2" xfId="716" xr:uid="{00000000-0005-0000-0000-0000CC020000}"/>
    <cellStyle name="%_4.2 Activity Indicators 3" xfId="717" xr:uid="{00000000-0005-0000-0000-0000CD020000}"/>
    <cellStyle name="%_4.20 Scheme Listing NLR" xfId="718" xr:uid="{00000000-0005-0000-0000-0000CE020000}"/>
    <cellStyle name="%_4.3 Transmission system performance" xfId="719" xr:uid="{00000000-0005-0000-0000-0000CF020000}"/>
    <cellStyle name="%_5.15.1 Cond &amp; Risk-Entry Points" xfId="720" xr:uid="{00000000-0005-0000-0000-0000D0020000}"/>
    <cellStyle name="%_5.15.2 Cond &amp; Risk-Exit Points" xfId="721" xr:uid="{00000000-0005-0000-0000-0000D1020000}"/>
    <cellStyle name="%_5.15.3 Cond &amp; Risk-Comps" xfId="722" xr:uid="{00000000-0005-0000-0000-0000D2020000}"/>
    <cellStyle name="%_5.15.4 Cond &amp; Risk-Pipelines" xfId="723" xr:uid="{00000000-0005-0000-0000-0000D3020000}"/>
    <cellStyle name="%_5.15.5 Cond &amp; Risk-Multijunctin" xfId="724" xr:uid="{00000000-0005-0000-0000-0000D4020000}"/>
    <cellStyle name="%_5.6 Environmental " xfId="725" xr:uid="{00000000-0005-0000-0000-0000D5020000}"/>
    <cellStyle name="%_5.9 Asset data " xfId="726" xr:uid="{00000000-0005-0000-0000-0000D6020000}"/>
    <cellStyle name="%_Book1" xfId="727" xr:uid="{00000000-0005-0000-0000-0000D7020000}"/>
    <cellStyle name="%_BP10+ GTO Capex Split CN" xfId="728" xr:uid="{00000000-0005-0000-0000-0000D8020000}"/>
    <cellStyle name="%_Business Plan " xfId="729" xr:uid="{00000000-0005-0000-0000-0000D9020000}"/>
    <cellStyle name="%_Copy of Repair Draft RIIO Plan v0.11" xfId="730" xr:uid="{00000000-0005-0000-0000-0000DA020000}"/>
    <cellStyle name="%_Customer Operations Business Plan Input Reqs (3)" xfId="731" xr:uid="{00000000-0005-0000-0000-0000DB020000}"/>
    <cellStyle name="%_Draft RIIO plan presentation template - Commercial (2)" xfId="732" xr:uid="{00000000-0005-0000-0000-0000DC020000}"/>
    <cellStyle name="%_Draft RIIO plan presentation template - Customer Opsx Centre V2 (2)" xfId="733" xr:uid="{00000000-0005-0000-0000-0000DD020000}"/>
    <cellStyle name="%_Draft RIIO plan presentation template - Customer Opsx Centre V2 (2) - updated with mapping" xfId="734" xr:uid="{00000000-0005-0000-0000-0000DE020000}"/>
    <cellStyle name="%_Draft RIIO plan presentation template - Customer Opsx Centre V7" xfId="735" xr:uid="{00000000-0005-0000-0000-0000DF020000}"/>
    <cellStyle name="%_Emergency DRAFT RIIO Plan V0 3 1" xfId="736" xr:uid="{00000000-0005-0000-0000-0000E0020000}"/>
    <cellStyle name="%_Emergency DRAFT RIIO Plan V0 9" xfId="737" xr:uid="{00000000-0005-0000-0000-0000E1020000}"/>
    <cellStyle name="%_EMS 0.1 Emergency Process" xfId="738" xr:uid="{00000000-0005-0000-0000-0000E2020000}"/>
    <cellStyle name="%_EMS 0.1 Emergency Process - Opex plan template" xfId="739" xr:uid="{00000000-0005-0000-0000-0000E3020000}"/>
    <cellStyle name="%_EMS 0.2 Emergency Process" xfId="740" xr:uid="{00000000-0005-0000-0000-0000E4020000}"/>
    <cellStyle name="%_GTO Non Operational Capex Roll-over submission (FINAL with property)" xfId="741" xr:uid="{00000000-0005-0000-0000-0000E5020000}"/>
    <cellStyle name="%_Maintenance Draft RIIO Plan v0.1" xfId="742" xr:uid="{00000000-0005-0000-0000-0000E6020000}"/>
    <cellStyle name="%_Manual Adjustments" xfId="743" xr:uid="{00000000-0005-0000-0000-0000E7020000}"/>
    <cellStyle name="%_Network Strategy Business Plan Input Reqs - v10" xfId="744" xr:uid="{00000000-0005-0000-0000-0000E8020000}"/>
    <cellStyle name="%_NGET Opex PCRRP Tables 31 Mar 2010 Final" xfId="745" xr:uid="{00000000-0005-0000-0000-0000E9020000}"/>
    <cellStyle name="%_NGET Opex PCRRP Tables 31 Mar 2010 Final 2" xfId="746" xr:uid="{00000000-0005-0000-0000-0000EA020000}"/>
    <cellStyle name="%_NGG Capex PCRRP Tables 31 Mar 2010 DraftV6 FINAL" xfId="747" xr:uid="{00000000-0005-0000-0000-0000EB020000}"/>
    <cellStyle name="%_NGG Opex PCRRP Tables 31 Mar 2009" xfId="748" xr:uid="{00000000-0005-0000-0000-0000EC020000}"/>
    <cellStyle name="%_NGG Opex PCRRP Tables 31 Mar 2009 2" xfId="749" xr:uid="{00000000-0005-0000-0000-0000ED020000}"/>
    <cellStyle name="%_NGG Opex PCRRP Tables 31 Mar 2010 final" xfId="750" xr:uid="{00000000-0005-0000-0000-0000EE020000}"/>
    <cellStyle name="%_NGG TPCR4 MG Workings" xfId="751" xr:uid="{00000000-0005-0000-0000-0000EF020000}"/>
    <cellStyle name="%_NGG TPCR4 Rollover FBPQ (Capex)" xfId="752" xr:uid="{00000000-0005-0000-0000-0000F0020000}"/>
    <cellStyle name="%_Non formula" xfId="753" xr:uid="{00000000-0005-0000-0000-0000F1020000}"/>
    <cellStyle name="%_Opex Consolidation v0.4" xfId="754" xr:uid="{00000000-0005-0000-0000-0000F2020000}"/>
    <cellStyle name="%_Opex Input" xfId="42054" xr:uid="{00000000-0005-0000-0000-0000F3020000}"/>
    <cellStyle name="%_Opex plan template draft5" xfId="755" xr:uid="{00000000-0005-0000-0000-0000F4020000}"/>
    <cellStyle name="%_Opex plan template draft5b" xfId="756" xr:uid="{00000000-0005-0000-0000-0000F5020000}"/>
    <cellStyle name="%_Opex plan template draft5b 2" xfId="757" xr:uid="{00000000-0005-0000-0000-0000F6020000}"/>
    <cellStyle name="%_Opex plan template draft5b 2 2" xfId="758" xr:uid="{00000000-0005-0000-0000-0000F7020000}"/>
    <cellStyle name="%_Opex plan template draft5b 3" xfId="759" xr:uid="{00000000-0005-0000-0000-0000F8020000}"/>
    <cellStyle name="%_Opex plan template draft5b 3 2" xfId="760" xr:uid="{00000000-0005-0000-0000-0000F9020000}"/>
    <cellStyle name="%_Opex plan template draft6" xfId="761" xr:uid="{00000000-0005-0000-0000-0000FA020000}"/>
    <cellStyle name="%_Reactor (No scheme)" xfId="762" xr:uid="{00000000-0005-0000-0000-0000FB020000}"/>
    <cellStyle name="%_Reactor (Schemes)" xfId="763" xr:uid="{00000000-0005-0000-0000-0000FC020000}"/>
    <cellStyle name="%_Reactor_revisit (No scheme)" xfId="764" xr:uid="{00000000-0005-0000-0000-0000FD020000}"/>
    <cellStyle name="%_Reactor_revisit (Schemes)" xfId="765" xr:uid="{00000000-0005-0000-0000-0000FE020000}"/>
    <cellStyle name="%_Repair Draft RIIO Plan v0.12" xfId="766" xr:uid="{00000000-0005-0000-0000-0000FF020000}"/>
    <cellStyle name="%_Repair Draft RIIO Plan v0.18" xfId="767" xr:uid="{00000000-0005-0000-0000-000000030000}"/>
    <cellStyle name="%_Repair Draft RIIO Plan v0.19" xfId="768" xr:uid="{00000000-0005-0000-0000-000001030000}"/>
    <cellStyle name="%_Repair Draft RIIO Plan v0.20" xfId="769" xr:uid="{00000000-0005-0000-0000-000002030000}"/>
    <cellStyle name="%_Repair Draft RIIO Plan v0.5" xfId="770" xr:uid="{00000000-0005-0000-0000-000003030000}"/>
    <cellStyle name="%_Repair Draft RIIO Plan v0.6" xfId="771" xr:uid="{00000000-0005-0000-0000-000004030000}"/>
    <cellStyle name="%_Repair Draft RIIO Plan v0.9" xfId="772" xr:uid="{00000000-0005-0000-0000-000005030000}"/>
    <cellStyle name="%_RIIO Baseline Plan v3A with Reg Comparison &amp; Graphs" xfId="773" xr:uid="{00000000-0005-0000-0000-000006030000}"/>
    <cellStyle name="%_RIIO plan template - NS v1" xfId="774" xr:uid="{00000000-0005-0000-0000-000007030000}"/>
    <cellStyle name="%_RRP Rec" xfId="42055" xr:uid="{00000000-0005-0000-0000-000008030000}"/>
    <cellStyle name="%_RRP table" xfId="775" xr:uid="{00000000-0005-0000-0000-000009030000}"/>
    <cellStyle name="%_RRP table_1" xfId="776" xr:uid="{00000000-0005-0000-0000-00000A030000}"/>
    <cellStyle name="%_Sch 2.1 Eng schedule 2009-10 Final @ 270710" xfId="777" xr:uid="{00000000-0005-0000-0000-00000B030000}"/>
    <cellStyle name="%_Sch 2.1 Eng schedule 2009-10 Final @ 270710 2" xfId="778" xr:uid="{00000000-0005-0000-0000-00000C030000}"/>
    <cellStyle name="%_Sch 2.1 Eng schedule 2009-10 Final @ 270710 3" xfId="779" xr:uid="{00000000-0005-0000-0000-00000D030000}"/>
    <cellStyle name="%_Sch 2.1 Eng schedule 2009-10 Final @ 270710 4" xfId="780" xr:uid="{00000000-0005-0000-0000-00000E030000}"/>
    <cellStyle name="%_Sch 2.1 Eng schedule 2009-10 Final @ 270710 5" xfId="781" xr:uid="{00000000-0005-0000-0000-00000F030000}"/>
    <cellStyle name="%_Sch 2.1 Eng schedule 2009-10 Final @ 270710 6" xfId="782" xr:uid="{00000000-0005-0000-0000-000010030000}"/>
    <cellStyle name="%_Sch 2.1 Eng schedule 2009-10 Final @ 270710 7" xfId="783" xr:uid="{00000000-0005-0000-0000-000011030000}"/>
    <cellStyle name="%_Sch 2.1 Eng schedule 2009-10 Final @ 270710 8" xfId="784" xr:uid="{00000000-0005-0000-0000-000012030000}"/>
    <cellStyle name="%_Section 5" xfId="42056" xr:uid="{00000000-0005-0000-0000-000013030000}"/>
    <cellStyle name="%_Sheet1" xfId="785" xr:uid="{00000000-0005-0000-0000-000014030000}"/>
    <cellStyle name="%_Stat  Accounts" xfId="786" xr:uid="{00000000-0005-0000-0000-000015030000}"/>
    <cellStyle name="%_Switchgear (No scheme)" xfId="787" xr:uid="{00000000-0005-0000-0000-000016030000}"/>
    <cellStyle name="%_Switchgear (Schemes)" xfId="788" xr:uid="{00000000-0005-0000-0000-000017030000}"/>
    <cellStyle name="%_Switchgear_revisit (No scheme)" xfId="789" xr:uid="{00000000-0005-0000-0000-000018030000}"/>
    <cellStyle name="%_Switchgear_revisit (Schemes)" xfId="790" xr:uid="{00000000-0005-0000-0000-000019030000}"/>
    <cellStyle name="%_Table 4 28_Final" xfId="791" xr:uid="{00000000-0005-0000-0000-00001A030000}"/>
    <cellStyle name="%_Table 4-16 - Asset Lives - 2009-10_Final" xfId="792" xr:uid="{00000000-0005-0000-0000-00001B030000}"/>
    <cellStyle name="%_Table 4-16 - Asset Lives - 2009-10_Final (2)" xfId="793" xr:uid="{00000000-0005-0000-0000-00001C030000}"/>
    <cellStyle name="%_Total summary" xfId="794" xr:uid="{00000000-0005-0000-0000-00001D030000}"/>
    <cellStyle name="%_TPCR4 RollOver NGG Draft Table 5.8 v2" xfId="795" xr:uid="{00000000-0005-0000-0000-00001E030000}"/>
    <cellStyle name="%_TPCR4 RollOver NGG Draft Table 5.8 v2 2" xfId="796" xr:uid="{00000000-0005-0000-0000-00001F030000}"/>
    <cellStyle name="%_TPCR4 RollOver NGG Draft Table 5.8 v2 3" xfId="797" xr:uid="{00000000-0005-0000-0000-000020030000}"/>
    <cellStyle name="%_TPCR4 RollOver NGG Draft Table 5.8 v2 4" xfId="798" xr:uid="{00000000-0005-0000-0000-000021030000}"/>
    <cellStyle name="%_TPCR4 RollOver NGG Draft Table 5.8 v2 5" xfId="799" xr:uid="{00000000-0005-0000-0000-000022030000}"/>
    <cellStyle name="%_TPCR4 RollOver NGG Draft Table 5.8 v2 6" xfId="800" xr:uid="{00000000-0005-0000-0000-000023030000}"/>
    <cellStyle name="%_TPCR4 RollOver NGG Draft Table 5.8 v2 7" xfId="801" xr:uid="{00000000-0005-0000-0000-000024030000}"/>
    <cellStyle name="%_TPCR4 RollOver NGG Draft Table 5.8 v2 8" xfId="802" xr:uid="{00000000-0005-0000-0000-000025030000}"/>
    <cellStyle name="%_Transformer data based on November Freeze and RIIObaseline D6 data 10062011" xfId="803" xr:uid="{00000000-0005-0000-0000-000026030000}"/>
    <cellStyle name="%_Transmission PCRRP tables_SPTL_200809 V1" xfId="804" xr:uid="{00000000-0005-0000-0000-000027030000}"/>
    <cellStyle name="%_Transmission PCRRP tables_SPTL_200809 V1 2" xfId="805" xr:uid="{00000000-0005-0000-0000-000028030000}"/>
    <cellStyle name="%_Transmission PCRRP tables_SPTL_200809 V1 3" xfId="806" xr:uid="{00000000-0005-0000-0000-000029030000}"/>
    <cellStyle name="%_Transmission PCRRP tables_SPTL_200809 V1 4" xfId="807" xr:uid="{00000000-0005-0000-0000-00002A030000}"/>
    <cellStyle name="%_Transmission PCRRP tables_SPTL_200809 V1_3.1.2 DB Pension Detail" xfId="808" xr:uid="{00000000-0005-0000-0000-00002B030000}"/>
    <cellStyle name="%_Transmission PCRRP tables_SPTL_200809 V1_4.20 Scheme Listing NLR" xfId="809" xr:uid="{00000000-0005-0000-0000-00002C030000}"/>
    <cellStyle name="%_Transmission PCRRP tables_SPTL_200809 V1_Table 4 28_Final" xfId="810" xr:uid="{00000000-0005-0000-0000-00002D030000}"/>
    <cellStyle name="%_Transmission PCRRP tables_SPTL_200809 V1_Table 4-16 - Asset Lives - 2009-10_Final" xfId="811" xr:uid="{00000000-0005-0000-0000-00002E030000}"/>
    <cellStyle name="%_Transmission PCRRP tables_SPTL_200809 V1_Table 4-16 - Asset Lives - 2009-10_Final (2)" xfId="812" xr:uid="{00000000-0005-0000-0000-00002F030000}"/>
    <cellStyle name="%_Tx (No scheme)" xfId="813" xr:uid="{00000000-0005-0000-0000-000030030000}"/>
    <cellStyle name="%_Tx (Schemes)" xfId="814" xr:uid="{00000000-0005-0000-0000-000031030000}"/>
    <cellStyle name="%_Tx_revisit (No scheme)" xfId="815" xr:uid="{00000000-0005-0000-0000-000032030000}"/>
    <cellStyle name="%_Tx_revisit (Schemes)" xfId="816" xr:uid="{00000000-0005-0000-0000-000033030000}"/>
    <cellStyle name="%_VR Asset Man NGET 1.3 1.7 1.8, 2.14 2.15" xfId="817" xr:uid="{00000000-0005-0000-0000-000034030000}"/>
    <cellStyle name="%_VR NGET Opex tables" xfId="818" xr:uid="{00000000-0005-0000-0000-000035030000}"/>
    <cellStyle name="%_VR NGET Opex tables_1.5 Opex Reconciliation NG" xfId="819" xr:uid="{00000000-0005-0000-0000-000036030000}"/>
    <cellStyle name="%_VR Pensions Opex tables" xfId="820" xr:uid="{00000000-0005-0000-0000-000037030000}"/>
    <cellStyle name="%_VR Pensions Opex tables_2010_NGET_TPCR4_RO_FBPQ(Opex) trace only FINAL(DPP)" xfId="821" xr:uid="{00000000-0005-0000-0000-000038030000}"/>
    <cellStyle name="%_Winter - Pay deal impacts - Repair" xfId="822" xr:uid="{00000000-0005-0000-0000-000039030000}"/>
    <cellStyle name="%_WJBP Acc Ctrl v3" xfId="823" xr:uid="{00000000-0005-0000-0000-00003A030000}"/>
    <cellStyle name="******************************************" xfId="824" xr:uid="{00000000-0005-0000-0000-00003B030000}"/>
    <cellStyle name="?? [0]_VERA" xfId="825" xr:uid="{00000000-0005-0000-0000-00003C030000}"/>
    <cellStyle name="?????_VERA" xfId="826" xr:uid="{00000000-0005-0000-0000-00003D030000}"/>
    <cellStyle name="??_VERA" xfId="827" xr:uid="{00000000-0005-0000-0000-00003E030000}"/>
    <cellStyle name="_070323 - 5yr opex BPQ (Final)" xfId="828" xr:uid="{00000000-0005-0000-0000-00003F030000}"/>
    <cellStyle name="_070323 - 5yr opex BPQ (Final) 2" xfId="829" xr:uid="{00000000-0005-0000-0000-000040030000}"/>
    <cellStyle name="_070323 - 5yr opex BPQ (Final) 3" xfId="830" xr:uid="{00000000-0005-0000-0000-000041030000}"/>
    <cellStyle name="_070323 - 5yr opex BPQ (Final) 4" xfId="831" xr:uid="{00000000-0005-0000-0000-000042030000}"/>
    <cellStyle name="_070323 - 5yr opex BPQ (Final) 5" xfId="832" xr:uid="{00000000-0005-0000-0000-000043030000}"/>
    <cellStyle name="_070323 - 5yr opex BPQ (Final) 6" xfId="833" xr:uid="{00000000-0005-0000-0000-000044030000}"/>
    <cellStyle name="_070323 - 5yr opex BPQ (Final) 7" xfId="834" xr:uid="{00000000-0005-0000-0000-000045030000}"/>
    <cellStyle name="_070323 - 5yr opex BPQ (Final) 8" xfId="835" xr:uid="{00000000-0005-0000-0000-000046030000}"/>
    <cellStyle name="_0708 GSO Capex RRP (detail)" xfId="836" xr:uid="{00000000-0005-0000-0000-000047030000}"/>
    <cellStyle name="_0708 GSO Capex RRP (detail) 2" xfId="42057" xr:uid="{00000000-0005-0000-0000-000048030000}"/>
    <cellStyle name="_0708 GSO Capex RRP (detail) 2 2" xfId="42058" xr:uid="{00000000-0005-0000-0000-000049030000}"/>
    <cellStyle name="_0708 GSO Capex RRP (detail) 2 3" xfId="42059" xr:uid="{00000000-0005-0000-0000-00004A030000}"/>
    <cellStyle name="_0708 GSO Capex RRP (detail) 2 4" xfId="42060" xr:uid="{00000000-0005-0000-0000-00004B030000}"/>
    <cellStyle name="_0708 GSO Capex RRP (detail) 2 5" xfId="42061" xr:uid="{00000000-0005-0000-0000-00004C030000}"/>
    <cellStyle name="_0708 GSO Capex RRP (detail) 2 6" xfId="42062" xr:uid="{00000000-0005-0000-0000-00004D030000}"/>
    <cellStyle name="_0708 GSO Capex RRP (detail) 2 7" xfId="42063" xr:uid="{00000000-0005-0000-0000-00004E030000}"/>
    <cellStyle name="_0708 GSO Capex RRP (detail) 2 8" xfId="42064" xr:uid="{00000000-0005-0000-0000-00004F030000}"/>
    <cellStyle name="_0708 GSO Capex RRP (detail)_Opex Input" xfId="42065" xr:uid="{00000000-0005-0000-0000-000050030000}"/>
    <cellStyle name="_0708 GSO Capex RRP (detail)_RRP table" xfId="837" xr:uid="{00000000-0005-0000-0000-000051030000}"/>
    <cellStyle name="_0708 TO Non-Op Capex (detail)" xfId="838" xr:uid="{00000000-0005-0000-0000-000052030000}"/>
    <cellStyle name="_0708 TO Non-Op Capex (detail) 2" xfId="839" xr:uid="{00000000-0005-0000-0000-000053030000}"/>
    <cellStyle name="_0708 TO Non-Op Capex (detail) 3" xfId="840" xr:uid="{00000000-0005-0000-0000-000054030000}"/>
    <cellStyle name="_0708 TO Non-Op Capex (detail) 4" xfId="841" xr:uid="{00000000-0005-0000-0000-000055030000}"/>
    <cellStyle name="_0708 TO Non-Op Capex (detail) 5" xfId="842" xr:uid="{00000000-0005-0000-0000-000056030000}"/>
    <cellStyle name="_0708 TO Non-Op Capex (detail) 6" xfId="843" xr:uid="{00000000-0005-0000-0000-000057030000}"/>
    <cellStyle name="_0708 TO Non-Op Capex (detail) 7" xfId="844" xr:uid="{00000000-0005-0000-0000-000058030000}"/>
    <cellStyle name="_0708 TO Non-Op Capex (detail) 8" xfId="845" xr:uid="{00000000-0005-0000-0000-000059030000}"/>
    <cellStyle name="_0708 TO Non-Op Capex (detail)_1.3 Rec to old modelling" xfId="846" xr:uid="{00000000-0005-0000-0000-00005A030000}"/>
    <cellStyle name="_0708 TO Non-Op Capex (detail)_1.5 Opex Reconciliation NG" xfId="847" xr:uid="{00000000-0005-0000-0000-00005B030000}"/>
    <cellStyle name="_0708 TO Non-Op Capex (detail)_2010_NGET_TPCR4_RO_FBPQ(Opex) trace only FINAL(DPP)" xfId="848" xr:uid="{00000000-0005-0000-0000-00005C030000}"/>
    <cellStyle name="_0708 TO Non-Op Capex (detail)_2010_NGET_TPCR4_RO_FBPQ(Opex) trace only FINAL(DPP) 2" xfId="849" xr:uid="{00000000-0005-0000-0000-00005D030000}"/>
    <cellStyle name="_0708 TO Non-Op Capex (detail)_2010_NGET_TPCR4_RO_FBPQ(Opex) trace only FINAL(DPP) 3" xfId="850" xr:uid="{00000000-0005-0000-0000-00005E030000}"/>
    <cellStyle name="_0708 TO Non-Op Capex (detail)_2010_NGET_TPCR4_RO_FBPQ(Opex) trace only FINAL(DPP) 4" xfId="851" xr:uid="{00000000-0005-0000-0000-00005F030000}"/>
    <cellStyle name="_0708 TO Non-Op Capex (detail)_2010_NGET_TPCR4_RO_FBPQ(Opex) trace only FINAL(DPP) 5" xfId="852" xr:uid="{00000000-0005-0000-0000-000060030000}"/>
    <cellStyle name="_0708 TO Non-Op Capex (detail)_2010_NGET_TPCR4_RO_FBPQ(Opex) trace only FINAL(DPP) 6" xfId="853" xr:uid="{00000000-0005-0000-0000-000061030000}"/>
    <cellStyle name="_0708 TO Non-Op Capex (detail)_2010_NGET_TPCR4_RO_FBPQ(Opex) trace only FINAL(DPP) 7" xfId="854" xr:uid="{00000000-0005-0000-0000-000062030000}"/>
    <cellStyle name="_0708 TO Non-Op Capex (detail)_2010_NGET_TPCR4_RO_FBPQ(Opex) trace only FINAL(DPP) 8" xfId="855" xr:uid="{00000000-0005-0000-0000-000063030000}"/>
    <cellStyle name="_0708 TO Non-Op Capex (detail)_Manual Adjustments" xfId="856" xr:uid="{00000000-0005-0000-0000-000064030000}"/>
    <cellStyle name="_0708 TO Non-Op Capex (detail)_NGET Opex PCRRP Tables 31 Mar 2010 Final" xfId="857" xr:uid="{00000000-0005-0000-0000-000065030000}"/>
    <cellStyle name="_0708 TO Non-Op Capex (detail)_RRP table" xfId="858" xr:uid="{00000000-0005-0000-0000-000066030000}"/>
    <cellStyle name="_0708 TO Non-Op Capex (detail)_Sheet1" xfId="859" xr:uid="{00000000-0005-0000-0000-000067030000}"/>
    <cellStyle name="_070822 Mains and services workload phasing (2)" xfId="860" xr:uid="{00000000-0005-0000-0000-000068030000}"/>
    <cellStyle name="_070822 Repex - submission vp (2)" xfId="861" xr:uid="{00000000-0005-0000-0000-000069030000}"/>
    <cellStyle name="_0decimals" xfId="862" xr:uid="{00000000-0005-0000-0000-00006A030000}"/>
    <cellStyle name="_1.3 Acc Costs NG (2011)" xfId="863" xr:uid="{00000000-0005-0000-0000-00006B030000}"/>
    <cellStyle name="_1.8 Irregular Items" xfId="864" xr:uid="{00000000-0005-0000-0000-00006C030000}"/>
    <cellStyle name="_2.14 Year on Year Movt ( (2013)" xfId="865" xr:uid="{00000000-0005-0000-0000-00006D030000}"/>
    <cellStyle name="_2.14 Year on Year Movt (2011)" xfId="866" xr:uid="{00000000-0005-0000-0000-00006E030000}"/>
    <cellStyle name="_2.14 Year on Year Movt (2012)" xfId="867" xr:uid="{00000000-0005-0000-0000-00006F030000}"/>
    <cellStyle name="_2.9 UK BS Reconciliation" xfId="868" xr:uid="{00000000-0005-0000-0000-000070030000}"/>
    <cellStyle name="_2.9 UK BS Reconciliation_RRP table" xfId="869" xr:uid="{00000000-0005-0000-0000-000071030000}"/>
    <cellStyle name="_2010 Budget workings (Draft 5)" xfId="870" xr:uid="{00000000-0005-0000-0000-000072030000}"/>
    <cellStyle name="_2010 Draft Budgeted Summary 150709 (2)" xfId="871" xr:uid="{00000000-0005-0000-0000-000073030000}"/>
    <cellStyle name="_Accounting entries Feb 09" xfId="872" xr:uid="{00000000-0005-0000-0000-000074030000}"/>
    <cellStyle name="_Actuals" xfId="873" xr:uid="{00000000-0005-0000-0000-000075030000}"/>
    <cellStyle name="_Actuals 2" xfId="874" xr:uid="{00000000-0005-0000-0000-000076030000}"/>
    <cellStyle name="_Admin 01e" xfId="875" xr:uid="{00000000-0005-0000-0000-000077030000}"/>
    <cellStyle name="_Admin 01e 2" xfId="876" xr:uid="{00000000-0005-0000-0000-000078030000}"/>
    <cellStyle name="_Admin 01e 2 2" xfId="877" xr:uid="{00000000-0005-0000-0000-000079030000}"/>
    <cellStyle name="_Admin 01e 3" xfId="878" xr:uid="{00000000-0005-0000-0000-00007A030000}"/>
    <cellStyle name="_Admin 01e_SGN_14m" xfId="879" xr:uid="{00000000-0005-0000-0000-00007B030000}"/>
    <cellStyle name="_Admin 01e_strategic model 05j (INDEXATION)" xfId="880" xr:uid="{00000000-0005-0000-0000-00007C030000}"/>
    <cellStyle name="_Admin 01o" xfId="881" xr:uid="{00000000-0005-0000-0000-00007D030000}"/>
    <cellStyle name="_Admin 01o 2" xfId="882" xr:uid="{00000000-0005-0000-0000-00007E030000}"/>
    <cellStyle name="_Admin 01o 2 2" xfId="883" xr:uid="{00000000-0005-0000-0000-00007F030000}"/>
    <cellStyle name="_Admin 01o 3" xfId="884" xr:uid="{00000000-0005-0000-0000-000080030000}"/>
    <cellStyle name="_Admin 01o_SGN_14m" xfId="885" xr:uid="{00000000-0005-0000-0000-000081030000}"/>
    <cellStyle name="_Admin 01o_strategic model 05j (INDEXATION)" xfId="886" xr:uid="{00000000-0005-0000-0000-000082030000}"/>
    <cellStyle name="_Admin 02b" xfId="887" xr:uid="{00000000-0005-0000-0000-000083030000}"/>
    <cellStyle name="_Admin 02b 2" xfId="888" xr:uid="{00000000-0005-0000-0000-000084030000}"/>
    <cellStyle name="_Admin 02b 2 2" xfId="889" xr:uid="{00000000-0005-0000-0000-000085030000}"/>
    <cellStyle name="_Admin 02b 3" xfId="890" xr:uid="{00000000-0005-0000-0000-000086030000}"/>
    <cellStyle name="_Admin 02b_SGN_14m" xfId="891" xr:uid="{00000000-0005-0000-0000-000087030000}"/>
    <cellStyle name="_Admin 02b_strategic model 05j (INDEXATION)" xfId="892" xr:uid="{00000000-0005-0000-0000-000088030000}"/>
    <cellStyle name="_Amended Capex position 2011-12" xfId="893" xr:uid="{00000000-0005-0000-0000-000089030000}"/>
    <cellStyle name="_Balance Sheet Rec" xfId="894" xr:uid="{00000000-0005-0000-0000-00008A030000}"/>
    <cellStyle name="_Balance Sheet Rec 2" xfId="895" xr:uid="{00000000-0005-0000-0000-00008B030000}"/>
    <cellStyle name="_Berr Strading Analysis v 04 (2012 to 2020) v0 8 (no capex from 2012)" xfId="896" xr:uid="{00000000-0005-0000-0000-00008C030000}"/>
    <cellStyle name="_Book1 (2)" xfId="897" xr:uid="{00000000-0005-0000-0000-00008D030000}"/>
    <cellStyle name="_Book2" xfId="898" xr:uid="{00000000-0005-0000-0000-00008E030000}"/>
    <cellStyle name="_Book3" xfId="899" xr:uid="{00000000-0005-0000-0000-00008F030000}"/>
    <cellStyle name="_Book4" xfId="900" xr:uid="{00000000-0005-0000-0000-000090030000}"/>
    <cellStyle name="_Book4 2" xfId="42066" xr:uid="{00000000-0005-0000-0000-000091030000}"/>
    <cellStyle name="_Book4 2 2" xfId="42067" xr:uid="{00000000-0005-0000-0000-000092030000}"/>
    <cellStyle name="_Book4 2 3" xfId="42068" xr:uid="{00000000-0005-0000-0000-000093030000}"/>
    <cellStyle name="_Book4 2 4" xfId="42069" xr:uid="{00000000-0005-0000-0000-000094030000}"/>
    <cellStyle name="_Book4 2 5" xfId="42070" xr:uid="{00000000-0005-0000-0000-000095030000}"/>
    <cellStyle name="_Book4 2 6" xfId="42071" xr:uid="{00000000-0005-0000-0000-000096030000}"/>
    <cellStyle name="_Book4 2 7" xfId="42072" xr:uid="{00000000-0005-0000-0000-000097030000}"/>
    <cellStyle name="_Book4 2 8" xfId="42073" xr:uid="{00000000-0005-0000-0000-000098030000}"/>
    <cellStyle name="_BP10.2 v BP10v6 Reg Tables" xfId="901" xr:uid="{00000000-0005-0000-0000-000099030000}"/>
    <cellStyle name="_BP10.2 v BP10v6 Reg Tables_Reactor (No scheme)" xfId="902" xr:uid="{00000000-0005-0000-0000-00009A030000}"/>
    <cellStyle name="_BP10.2 v BP10v6 Reg Tables_Reactor (Schemes)" xfId="903" xr:uid="{00000000-0005-0000-0000-00009B030000}"/>
    <cellStyle name="_BP10.2 v BP10v6 Reg Tables_Reactor_revisit (No scheme)" xfId="904" xr:uid="{00000000-0005-0000-0000-00009C030000}"/>
    <cellStyle name="_BP10.2 v BP10v6 Reg Tables_Reactor_revisit (Schemes)" xfId="905" xr:uid="{00000000-0005-0000-0000-00009D030000}"/>
    <cellStyle name="_BP10.2 v BP10v6 Reg Tables_Tx (No scheme)" xfId="906" xr:uid="{00000000-0005-0000-0000-00009E030000}"/>
    <cellStyle name="_BP10.2 v BP10v6 Reg Tables_Tx (Schemes)" xfId="907" xr:uid="{00000000-0005-0000-0000-00009F030000}"/>
    <cellStyle name="_BP10.2 v BP10v6 Reg Tables_Tx_revisit (No scheme)" xfId="908" xr:uid="{00000000-0005-0000-0000-0000A0030000}"/>
    <cellStyle name="_BP10.2 v BP10v6 Reg Tables_Tx_revisit (Schemes)" xfId="909" xr:uid="{00000000-0005-0000-0000-0000A1030000}"/>
    <cellStyle name="_BP10+ GTO Capex Split CN" xfId="910" xr:uid="{00000000-0005-0000-0000-0000A2030000}"/>
    <cellStyle name="_BP10+post TIC 1 Jun" xfId="911" xr:uid="{00000000-0005-0000-0000-0000A3030000}"/>
    <cellStyle name="_BP10+post TIC 1 Jun 2" xfId="42074" xr:uid="{00000000-0005-0000-0000-0000A4030000}"/>
    <cellStyle name="_BP10+post TIC 1 Jun 2 2" xfId="42075" xr:uid="{00000000-0005-0000-0000-0000A5030000}"/>
    <cellStyle name="_BP10+post TIC 1 Jun 2 3" xfId="42076" xr:uid="{00000000-0005-0000-0000-0000A6030000}"/>
    <cellStyle name="_BP10+post TIC 1 Jun 2 4" xfId="42077" xr:uid="{00000000-0005-0000-0000-0000A7030000}"/>
    <cellStyle name="_BP10+post TIC 1 Jun 2 5" xfId="42078" xr:uid="{00000000-0005-0000-0000-0000A8030000}"/>
    <cellStyle name="_BP10+post TIC 1 Jun 2 6" xfId="42079" xr:uid="{00000000-0005-0000-0000-0000A9030000}"/>
    <cellStyle name="_BP10+post TIC 1 Jun 2 7" xfId="42080" xr:uid="{00000000-0005-0000-0000-0000AA030000}"/>
    <cellStyle name="_BP10+post TIC 1 Jun 2 8" xfId="42081" xr:uid="{00000000-0005-0000-0000-0000AB030000}"/>
    <cellStyle name="_BP11 GTO Capex Split CN v3 Dec-15 upload" xfId="912" xr:uid="{00000000-0005-0000-0000-0000AC030000}"/>
    <cellStyle name="_BSIS-JUN-008 APX" xfId="913" xr:uid="{00000000-0005-0000-0000-0000AD030000}"/>
    <cellStyle name="_BSIS-MAY-011 &amp; BSIS-MAY-012R Escrow Ac's" xfId="914" xr:uid="{00000000-0005-0000-0000-0000AE030000}"/>
    <cellStyle name="_Business Plan " xfId="915" xr:uid="{00000000-0005-0000-0000-0000AF030000}"/>
    <cellStyle name="_capex 1011" xfId="916" xr:uid="{00000000-0005-0000-0000-0000B0030000}"/>
    <cellStyle name="_Capex summary" xfId="917" xr:uid="{00000000-0005-0000-0000-0000B1030000}"/>
    <cellStyle name="_Capital Plan - IS UK" xfId="918" xr:uid="{00000000-0005-0000-0000-0000B2030000}"/>
    <cellStyle name="_Capital Plan - IS UK 2" xfId="919" xr:uid="{00000000-0005-0000-0000-0000B3030000}"/>
    <cellStyle name="_Capital Plan - IS UK 3" xfId="920" xr:uid="{00000000-0005-0000-0000-0000B4030000}"/>
    <cellStyle name="_Capital Plan - IS UK 4" xfId="921" xr:uid="{00000000-0005-0000-0000-0000B5030000}"/>
    <cellStyle name="_Capital Plan - IS UK 5" xfId="922" xr:uid="{00000000-0005-0000-0000-0000B6030000}"/>
    <cellStyle name="_Capital Plan - IS UK 6" xfId="923" xr:uid="{00000000-0005-0000-0000-0000B7030000}"/>
    <cellStyle name="_Capital Plan - IS UK 7" xfId="924" xr:uid="{00000000-0005-0000-0000-0000B8030000}"/>
    <cellStyle name="_Capital Plan - IS UK 8" xfId="925" xr:uid="{00000000-0005-0000-0000-0000B9030000}"/>
    <cellStyle name="_Capital Plan - IS UK_0910 GSO Capex RRP - Final (Detail) v2 220710" xfId="926" xr:uid="{00000000-0005-0000-0000-0000BA030000}"/>
    <cellStyle name="_Capital Plan - IS UK_0910 GSO Capex RRP - Final (Detail) v2 220710 2" xfId="42082" xr:uid="{00000000-0005-0000-0000-0000BB030000}"/>
    <cellStyle name="_Capital Plan - IS UK_0910 GSO Capex RRP - Final (Detail) v2 220710 2 2" xfId="42083" xr:uid="{00000000-0005-0000-0000-0000BC030000}"/>
    <cellStyle name="_Capital Plan - IS UK_0910 GSO Capex RRP - Final (Detail) v2 220710 2 3" xfId="42084" xr:uid="{00000000-0005-0000-0000-0000BD030000}"/>
    <cellStyle name="_Capital Plan - IS UK_0910 GSO Capex RRP - Final (Detail) v2 220710 2 4" xfId="42085" xr:uid="{00000000-0005-0000-0000-0000BE030000}"/>
    <cellStyle name="_Capital Plan - IS UK_0910 GSO Capex RRP - Final (Detail) v2 220710 2 5" xfId="42086" xr:uid="{00000000-0005-0000-0000-0000BF030000}"/>
    <cellStyle name="_Capital Plan - IS UK_0910 GSO Capex RRP - Final (Detail) v2 220710 2 6" xfId="42087" xr:uid="{00000000-0005-0000-0000-0000C0030000}"/>
    <cellStyle name="_Capital Plan - IS UK_0910 GSO Capex RRP - Final (Detail) v2 220710 2 7" xfId="42088" xr:uid="{00000000-0005-0000-0000-0000C1030000}"/>
    <cellStyle name="_Capital Plan - IS UK_0910 GSO Capex RRP - Final (Detail) v2 220710 2 8" xfId="42089" xr:uid="{00000000-0005-0000-0000-0000C2030000}"/>
    <cellStyle name="_Capital Plan - IS UK_0910 GSO Capex RRP - Final (Detail) v2 220710_Opex Input" xfId="42090" xr:uid="{00000000-0005-0000-0000-0000C3030000}"/>
    <cellStyle name="_Capital Plan - IS UK_1.3 Rec to old modelling" xfId="927" xr:uid="{00000000-0005-0000-0000-0000C4030000}"/>
    <cellStyle name="_Capital Plan - IS UK_1.5 Opex Reconciliation NG" xfId="928" xr:uid="{00000000-0005-0000-0000-0000C5030000}"/>
    <cellStyle name="_Capital Plan - IS UK_2010_NGET_TPCR4_RO_FBPQ(Opex) trace only FINAL(DPP)" xfId="929" xr:uid="{00000000-0005-0000-0000-0000C6030000}"/>
    <cellStyle name="_Capital Plan - IS UK_2010_NGET_TPCR4_RO_FBPQ(Opex) trace only FINAL(DPP) 2" xfId="930" xr:uid="{00000000-0005-0000-0000-0000C7030000}"/>
    <cellStyle name="_Capital Plan - IS UK_2010_NGET_TPCR4_RO_FBPQ(Opex) trace only FINAL(DPP) 3" xfId="931" xr:uid="{00000000-0005-0000-0000-0000C8030000}"/>
    <cellStyle name="_Capital Plan - IS UK_2010_NGET_TPCR4_RO_FBPQ(Opex) trace only FINAL(DPP) 4" xfId="932" xr:uid="{00000000-0005-0000-0000-0000C9030000}"/>
    <cellStyle name="_Capital Plan - IS UK_2010_NGET_TPCR4_RO_FBPQ(Opex) trace only FINAL(DPP) 5" xfId="933" xr:uid="{00000000-0005-0000-0000-0000CA030000}"/>
    <cellStyle name="_Capital Plan - IS UK_2010_NGET_TPCR4_RO_FBPQ(Opex) trace only FINAL(DPP) 6" xfId="934" xr:uid="{00000000-0005-0000-0000-0000CB030000}"/>
    <cellStyle name="_Capital Plan - IS UK_2010_NGET_TPCR4_RO_FBPQ(Opex) trace only FINAL(DPP) 7" xfId="935" xr:uid="{00000000-0005-0000-0000-0000CC030000}"/>
    <cellStyle name="_Capital Plan - IS UK_2010_NGET_TPCR4_RO_FBPQ(Opex) trace only FINAL(DPP) 8" xfId="936" xr:uid="{00000000-0005-0000-0000-0000CD030000}"/>
    <cellStyle name="_Capital Plan - IS UK_Manual Adjustments" xfId="937" xr:uid="{00000000-0005-0000-0000-0000CE030000}"/>
    <cellStyle name="_Capital Plan - IS UK_NGET Opex PCRRP Tables 31 Mar 2010 Final" xfId="938" xr:uid="{00000000-0005-0000-0000-0000CF030000}"/>
    <cellStyle name="_Capital Plan - IS UK_RRP table" xfId="939" xr:uid="{00000000-0005-0000-0000-0000D0030000}"/>
    <cellStyle name="_Capital Plan - IS UK_RRP table_1" xfId="940" xr:uid="{00000000-0005-0000-0000-0000D1030000}"/>
    <cellStyle name="_Capital Plan - IS UK_Sheet1" xfId="941" xr:uid="{00000000-0005-0000-0000-0000D2030000}"/>
    <cellStyle name="_Capital Plan - IS UK_Stat  Accounts" xfId="942" xr:uid="{00000000-0005-0000-0000-0000D3030000}"/>
    <cellStyle name="_CFO tables - New style" xfId="943" xr:uid="{00000000-0005-0000-0000-0000D4030000}"/>
    <cellStyle name="_Comma" xfId="944" xr:uid="{00000000-0005-0000-0000-0000D5030000}"/>
    <cellStyle name="_Comma_CSC" xfId="945" xr:uid="{00000000-0005-0000-0000-0000D6030000}"/>
    <cellStyle name="_Comma_merger_plans_modified_9_3_1999" xfId="946" xr:uid="{00000000-0005-0000-0000-0000D7030000}"/>
    <cellStyle name="_Commercial Escrow journals" xfId="947" xr:uid="{00000000-0005-0000-0000-0000D8030000}"/>
    <cellStyle name="_Commercial RIIO Business Plan V1" xfId="948" xr:uid="{00000000-0005-0000-0000-0000D9030000}"/>
    <cellStyle name="_Consolidated Financial Statements (Planet Data Book Format) v9.5" xfId="949" xr:uid="{00000000-0005-0000-0000-0000DA030000}"/>
    <cellStyle name="_Consolidated NS Forecast - 2011-12 Jan-11" xfId="950" xr:uid="{00000000-0005-0000-0000-0000DB030000}"/>
    <cellStyle name="_Copy of SGN 10a Business Plan 2010v1" xfId="951" xr:uid="{00000000-0005-0000-0000-0000DC030000}"/>
    <cellStyle name="_Copy of SGN 10a Business Plan 2010v15 updated budget 190310l" xfId="952" xr:uid="{00000000-0005-0000-0000-0000DD030000}"/>
    <cellStyle name="_Copy of SGN 4.19 v3(OTPP) RF4" xfId="953" xr:uid="{00000000-0005-0000-0000-0000DE030000}"/>
    <cellStyle name="_Copy of SGN 4.19 v3(OTPP) RF4 2" xfId="954" xr:uid="{00000000-0005-0000-0000-0000DF030000}"/>
    <cellStyle name="_Cover" xfId="955" xr:uid="{00000000-0005-0000-0000-0000E0030000}"/>
    <cellStyle name="_Currency" xfId="956" xr:uid="{00000000-0005-0000-0000-0000E1030000}"/>
    <cellStyle name="_Currency_CSC" xfId="957" xr:uid="{00000000-0005-0000-0000-0000E2030000}"/>
    <cellStyle name="_Currency_merger_plans_modified_9_3_1999" xfId="958" xr:uid="{00000000-0005-0000-0000-0000E3030000}"/>
    <cellStyle name="_Currency_Model_Sep_2_02" xfId="959" xr:uid="{00000000-0005-0000-0000-0000E4030000}"/>
    <cellStyle name="_Currency_Pipeline Model v1 (09_09_02) v3" xfId="960" xr:uid="{00000000-0005-0000-0000-0000E5030000}"/>
    <cellStyle name="_CurrencySpace" xfId="961" xr:uid="{00000000-0005-0000-0000-0000E6030000}"/>
    <cellStyle name="_CurrencySpace_CSC" xfId="962" xr:uid="{00000000-0005-0000-0000-0000E7030000}"/>
    <cellStyle name="_CurrencySpace_merger_plans_modified_9_3_1999" xfId="963" xr:uid="{00000000-0005-0000-0000-0000E8030000}"/>
    <cellStyle name="_Customer Ops RIIO Business Plan V2" xfId="964" xr:uid="{00000000-0005-0000-0000-0000E9030000}"/>
    <cellStyle name="_Dalmuir 05l" xfId="965" xr:uid="{00000000-0005-0000-0000-0000EA030000}"/>
    <cellStyle name="_dashboard example 01b" xfId="966" xr:uid="{00000000-0005-0000-0000-0000EB030000}"/>
    <cellStyle name="_dashboard example 01b 2" xfId="967" xr:uid="{00000000-0005-0000-0000-0000EC030000}"/>
    <cellStyle name="_Data" xfId="968" xr:uid="{00000000-0005-0000-0000-0000ED030000}"/>
    <cellStyle name="_DFR.24 NBMHT 03g" xfId="969" xr:uid="{00000000-0005-0000-0000-0000EE030000}"/>
    <cellStyle name="_DFR.24 NBMHT 03g 2" xfId="970" xr:uid="{00000000-0005-0000-0000-0000EF030000}"/>
    <cellStyle name="_DFR.24 NBMHT 03g 2 2" xfId="971" xr:uid="{00000000-0005-0000-0000-0000F0030000}"/>
    <cellStyle name="_DFR.24 NBMHT 03g 3" xfId="972" xr:uid="{00000000-0005-0000-0000-0000F1030000}"/>
    <cellStyle name="_DFR.24 NBMHT 03g_SGN_14m" xfId="973" xr:uid="{00000000-0005-0000-0000-0000F2030000}"/>
    <cellStyle name="_DFR.24 NBMHT 03g_strategic model 05j (INDEXATION)" xfId="974" xr:uid="{00000000-0005-0000-0000-0000F3030000}"/>
    <cellStyle name="_DR2 Oracle mapping document" xfId="975" xr:uid="{00000000-0005-0000-0000-0000F4030000}"/>
    <cellStyle name="_Draft RIIO plan presentation template - CSDx Centre" xfId="976" xr:uid="{00000000-0005-0000-0000-0000F5030000}"/>
    <cellStyle name="_Draft RIIO plan presentation template - Customer Opsx Centre V7" xfId="977" xr:uid="{00000000-0005-0000-0000-0000F6030000}"/>
    <cellStyle name="_Electricity North West_v2.28" xfId="978" xr:uid="{00000000-0005-0000-0000-0000F7030000}"/>
    <cellStyle name="_Extraction of Consolidated Financial Statements (Planet Data Book Format)" xfId="979" xr:uid="{00000000-0005-0000-0000-0000F8030000}"/>
    <cellStyle name="_F1F9 ExModel 24b DFR01a" xfId="980" xr:uid="{00000000-0005-0000-0000-0000F9030000}"/>
    <cellStyle name="_Finan - South" xfId="981" xr:uid="{00000000-0005-0000-0000-0000FA030000}"/>
    <cellStyle name="_Finan - South 2" xfId="982" xr:uid="{00000000-0005-0000-0000-0000FB030000}"/>
    <cellStyle name="_Gas TO major Projects Forecast Jun-10" xfId="983" xr:uid="{00000000-0005-0000-0000-0000FC030000}"/>
    <cellStyle name="_Gas TO major Projects Forecast Jun-10 2" xfId="42091" xr:uid="{00000000-0005-0000-0000-0000FD030000}"/>
    <cellStyle name="_Gas TO major Projects Forecast Jun-10 2 2" xfId="42092" xr:uid="{00000000-0005-0000-0000-0000FE030000}"/>
    <cellStyle name="_Gas TO major Projects Forecast Jun-10 2 3" xfId="42093" xr:uid="{00000000-0005-0000-0000-0000FF030000}"/>
    <cellStyle name="_Gas TO major Projects Forecast Jun-10 2 4" xfId="42094" xr:uid="{00000000-0005-0000-0000-000000040000}"/>
    <cellStyle name="_Gas TO major Projects Forecast Jun-10 2 5" xfId="42095" xr:uid="{00000000-0005-0000-0000-000001040000}"/>
    <cellStyle name="_Gas TO major Projects Forecast Jun-10 2 6" xfId="42096" xr:uid="{00000000-0005-0000-0000-000002040000}"/>
    <cellStyle name="_Gas TO major Projects Forecast Jun-10 2 7" xfId="42097" xr:uid="{00000000-0005-0000-0000-000003040000}"/>
    <cellStyle name="_Gas TO major Projects Forecast Jun-10 2 8" xfId="42098" xr:uid="{00000000-0005-0000-0000-000004040000}"/>
    <cellStyle name="_Gas TO major Projects Forecast May-10 BP10+ v5" xfId="984" xr:uid="{00000000-0005-0000-0000-000005040000}"/>
    <cellStyle name="_Gas TO major Projects Forecast May-10 BP10+ v5 2" xfId="42099" xr:uid="{00000000-0005-0000-0000-000006040000}"/>
    <cellStyle name="_Gas TO major Projects Forecast May-10 BP10+ v5 2 2" xfId="42100" xr:uid="{00000000-0005-0000-0000-000007040000}"/>
    <cellStyle name="_Gas TO major Projects Forecast May-10 BP10+ v5 2 3" xfId="42101" xr:uid="{00000000-0005-0000-0000-000008040000}"/>
    <cellStyle name="_Gas TO major Projects Forecast May-10 BP10+ v5 2 4" xfId="42102" xr:uid="{00000000-0005-0000-0000-000009040000}"/>
    <cellStyle name="_Gas TO major Projects Forecast May-10 BP10+ v5 2 5" xfId="42103" xr:uid="{00000000-0005-0000-0000-00000A040000}"/>
    <cellStyle name="_Gas TO major Projects Forecast May-10 BP10+ v5 2 6" xfId="42104" xr:uid="{00000000-0005-0000-0000-00000B040000}"/>
    <cellStyle name="_Gas TO major Projects Forecast May-10 BP10+ v5 2 7" xfId="42105" xr:uid="{00000000-0005-0000-0000-00000C040000}"/>
    <cellStyle name="_Gas TO major Projects Forecast May-10 BP10+ v5 2 8" xfId="42106" xr:uid="{00000000-0005-0000-0000-00000D040000}"/>
    <cellStyle name="_GDUK manpower summary (3)" xfId="985" xr:uid="{00000000-0005-0000-0000-00000E040000}"/>
    <cellStyle name="_GDx 2010_11 Q3 QPR tables - UK v3" xfId="986" xr:uid="{00000000-0005-0000-0000-00000F040000}"/>
    <cellStyle name="_Genesys 12f" xfId="987" xr:uid="{00000000-0005-0000-0000-000010040000}"/>
    <cellStyle name="_Genesys 17e" xfId="988" xr:uid="{00000000-0005-0000-0000-000011040000}"/>
    <cellStyle name="_GTO Commodity Pricing Model &amp; Risk Score Model Workings BP11 v2" xfId="989" xr:uid="{00000000-0005-0000-0000-000012040000}"/>
    <cellStyle name="_GTO Non Operational Capex Roll-over submission (FINAL with property)" xfId="990" xr:uid="{00000000-0005-0000-0000-000013040000}"/>
    <cellStyle name="_HoldCo" xfId="991" xr:uid="{00000000-0005-0000-0000-000014040000}"/>
    <cellStyle name="_HoldCo 2" xfId="992" xr:uid="{00000000-0005-0000-0000-000015040000}"/>
    <cellStyle name="_HoldCo_Finan - South" xfId="993" xr:uid="{00000000-0005-0000-0000-000016040000}"/>
    <cellStyle name="_HoldCo_Inputs" xfId="994" xr:uid="{00000000-0005-0000-0000-000017040000}"/>
    <cellStyle name="_HoldCo_RF Rec" xfId="995" xr:uid="{00000000-0005-0000-0000-000018040000}"/>
    <cellStyle name="_HoldCo_SCOT FinStat" xfId="996" xr:uid="{00000000-0005-0000-0000-000019040000}"/>
    <cellStyle name="_HoldCo_South FinStat" xfId="997" xr:uid="{00000000-0005-0000-0000-00001A040000}"/>
    <cellStyle name="_Inflation Output" xfId="998" xr:uid="{00000000-0005-0000-0000-00001B040000}"/>
    <cellStyle name="_Inflation Output 2" xfId="999" xr:uid="{00000000-0005-0000-0000-00001C040000}"/>
    <cellStyle name="_ING Mthly Accounting Entries Feb 09" xfId="1000" xr:uid="{00000000-0005-0000-0000-00001D040000}"/>
    <cellStyle name="_Inputs" xfId="1001" xr:uid="{00000000-0005-0000-0000-00001E040000}"/>
    <cellStyle name="_Inputs 2" xfId="1002" xr:uid="{00000000-0005-0000-0000-00001F040000}"/>
    <cellStyle name="_Inputs 2008" xfId="1003" xr:uid="{00000000-0005-0000-0000-000020040000}"/>
    <cellStyle name="_Inputs 2008 2" xfId="1004" xr:uid="{00000000-0005-0000-0000-000021040000}"/>
    <cellStyle name="_IS" xfId="1005" xr:uid="{00000000-0005-0000-0000-000022040000}"/>
    <cellStyle name="_key indicators comparison" xfId="1006" xr:uid="{00000000-0005-0000-0000-000023040000}"/>
    <cellStyle name="_Kilo 31a" xfId="1007" xr:uid="{00000000-0005-0000-0000-000024040000}"/>
    <cellStyle name="_Lazuli Example Model 24d" xfId="1008" xr:uid="{00000000-0005-0000-0000-000025040000}"/>
    <cellStyle name="_Liquidity chart_Amended_16Jan09" xfId="1009" xr:uid="{00000000-0005-0000-0000-000026040000}"/>
    <cellStyle name="_MASTER OPEX COMMERCIAL AS AT 24-02-09" xfId="1010" xr:uid="{00000000-0005-0000-0000-000027040000}"/>
    <cellStyle name="_MASTER OPEX COMMERCIAL AS AT 24-02-09 2" xfId="1011" xr:uid="{00000000-0005-0000-0000-000028040000}"/>
    <cellStyle name="_Metering" xfId="1012" xr:uid="{00000000-0005-0000-0000-000029040000}"/>
    <cellStyle name="_Metering 2" xfId="1013" xr:uid="{00000000-0005-0000-0000-00002A040000}"/>
    <cellStyle name="_Metering 3" xfId="1014" xr:uid="{00000000-0005-0000-0000-00002B040000}"/>
    <cellStyle name="_Metering 4" xfId="1015" xr:uid="{00000000-0005-0000-0000-00002C040000}"/>
    <cellStyle name="_Metering 5" xfId="1016" xr:uid="{00000000-0005-0000-0000-00002D040000}"/>
    <cellStyle name="_Metering 6" xfId="1017" xr:uid="{00000000-0005-0000-0000-00002E040000}"/>
    <cellStyle name="_Metering 7" xfId="1018" xr:uid="{00000000-0005-0000-0000-00002F040000}"/>
    <cellStyle name="_Metering 8" xfId="1019" xr:uid="{00000000-0005-0000-0000-000030040000}"/>
    <cellStyle name="_Metering_Customer Operations Business Plan Input Reqs (3)" xfId="1020" xr:uid="{00000000-0005-0000-0000-000031040000}"/>
    <cellStyle name="_Metering_Draft RIIO plan presentation template - Commercial (2)" xfId="1021" xr:uid="{00000000-0005-0000-0000-000032040000}"/>
    <cellStyle name="_Metering_Draft RIIO plan presentation template - Customer Opsx Centre V2 (2)" xfId="1022" xr:uid="{00000000-0005-0000-0000-000033040000}"/>
    <cellStyle name="_Metering_Draft RIIO plan presentation template - Customer Opsx Centre V2 (2) - updated with mapping" xfId="1023" xr:uid="{00000000-0005-0000-0000-000034040000}"/>
    <cellStyle name="_Metering_Network Strategy Business Plan Input Reqs - v10" xfId="1024" xr:uid="{00000000-0005-0000-0000-000035040000}"/>
    <cellStyle name="_Metering_Non formula" xfId="1025" xr:uid="{00000000-0005-0000-0000-000036040000}"/>
    <cellStyle name="_Metering_RRP table" xfId="1026" xr:uid="{00000000-0005-0000-0000-000037040000}"/>
    <cellStyle name="_Monthly Value" xfId="1027" xr:uid="{00000000-0005-0000-0000-000038040000}"/>
    <cellStyle name="_Multiple" xfId="1028" xr:uid="{00000000-0005-0000-0000-000039040000}"/>
    <cellStyle name="_Multiple_CSC" xfId="1029" xr:uid="{00000000-0005-0000-0000-00003A040000}"/>
    <cellStyle name="_Multiple_merger_plans_modified_9_3_1999" xfId="1030" xr:uid="{00000000-0005-0000-0000-00003B040000}"/>
    <cellStyle name="_Multiple_Model_Sep_2_02" xfId="1031" xr:uid="{00000000-0005-0000-0000-00003C040000}"/>
    <cellStyle name="_Multiple_Pipeline Model v1 (09_09_02) v3" xfId="1032" xr:uid="{00000000-0005-0000-0000-00003D040000}"/>
    <cellStyle name="_MultipleSpace" xfId="1033" xr:uid="{00000000-0005-0000-0000-00003E040000}"/>
    <cellStyle name="_MultipleSpace_CSC" xfId="1034" xr:uid="{00000000-0005-0000-0000-00003F040000}"/>
    <cellStyle name="_MultipleSpace_merger_plans_modified_9_3_1999" xfId="1035" xr:uid="{00000000-0005-0000-0000-000040040000}"/>
    <cellStyle name="_MultipleSpace_Model_Sep_2_02" xfId="1036" xr:uid="{00000000-0005-0000-0000-000041040000}"/>
    <cellStyle name="_MultipleSpace_Pipeline Model v1 (09_09_02) v3" xfId="1037" xr:uid="{00000000-0005-0000-0000-000042040000}"/>
    <cellStyle name="_New CFO (2)" xfId="1038" xr:uid="{00000000-0005-0000-0000-000043040000}"/>
    <cellStyle name="_NFOR Budget 201112 control totals" xfId="1039" xr:uid="{00000000-0005-0000-0000-000044040000}"/>
    <cellStyle name="_NGM  Business Valuation Jan 10 v7 no links(sg)" xfId="1040" xr:uid="{00000000-0005-0000-0000-000045040000}"/>
    <cellStyle name="_Notes" xfId="1041" xr:uid="{00000000-0005-0000-0000-000046040000}"/>
    <cellStyle name="_Notes 01t" xfId="1042" xr:uid="{00000000-0005-0000-0000-000047040000}"/>
    <cellStyle name="_NS RIIO WJ Business Plan v3" xfId="1043" xr:uid="{00000000-0005-0000-0000-000048040000}"/>
    <cellStyle name="_Old_Op_10.64_01a" xfId="1044" xr:uid="{00000000-0005-0000-0000-000049040000}"/>
    <cellStyle name="_Opex 1011" xfId="1045" xr:uid="{00000000-0005-0000-0000-00004A040000}"/>
    <cellStyle name="_Opex initiatives tracker v1.5 (post 9 aug update )" xfId="1046" xr:uid="{00000000-0005-0000-0000-00004B040000}"/>
    <cellStyle name="_OTPP Review" xfId="1047" xr:uid="{00000000-0005-0000-0000-00004C040000}"/>
    <cellStyle name="_OTPP Review 2" xfId="1048" xr:uid="{00000000-0005-0000-0000-00004D040000}"/>
    <cellStyle name="_Percent" xfId="1049" xr:uid="{00000000-0005-0000-0000-00004E040000}"/>
    <cellStyle name="_Percent_CSC" xfId="1050" xr:uid="{00000000-0005-0000-0000-00004F040000}"/>
    <cellStyle name="_Percent_merger_plans_modified_9_3_1999" xfId="1051" xr:uid="{00000000-0005-0000-0000-000050040000}"/>
    <cellStyle name="_Percent_Model_Sep_2_02" xfId="1052" xr:uid="{00000000-0005-0000-0000-000051040000}"/>
    <cellStyle name="_Percent_Pipeline Model v1 (09_09_02) v3" xfId="1053" xr:uid="{00000000-0005-0000-0000-000052040000}"/>
    <cellStyle name="_PercentSpace" xfId="1054" xr:uid="{00000000-0005-0000-0000-000053040000}"/>
    <cellStyle name="_PercentSpace_CSC" xfId="1055" xr:uid="{00000000-0005-0000-0000-000054040000}"/>
    <cellStyle name="_PercentSpace_merger_plans_modified_9_3_1999" xfId="1056" xr:uid="{00000000-0005-0000-0000-000055040000}"/>
    <cellStyle name="_PercentSpace_Model_Sep_2_02" xfId="1057" xr:uid="{00000000-0005-0000-0000-000056040000}"/>
    <cellStyle name="_PercentSpace_Pipeline Model v1 (09_09_02) v3" xfId="1058" xr:uid="{00000000-0005-0000-0000-000057040000}"/>
    <cellStyle name="_Plan Challenge 1011" xfId="1059" xr:uid="{00000000-0005-0000-0000-000058040000}"/>
    <cellStyle name="_Plan Challenge 1011_Baseline - MASTER DATA (ORG) - v5.4 (P&amp;OD) BUSINESS PLAN" xfId="1060" xr:uid="{00000000-0005-0000-0000-000059040000}"/>
    <cellStyle name="_Plan Challenge 1011_Baseline - MASTER DATA (ORG) - v5.4 (P&amp;OD) BUSINESS PLAN_SS templates" xfId="1061" xr:uid="{00000000-0005-0000-0000-00005A040000}"/>
    <cellStyle name="_Plan October QPR Templates - Shares Services (includes Business Services)" xfId="1062" xr:uid="{00000000-0005-0000-0000-00005B040000}"/>
    <cellStyle name="_Pre Release Checklist 01l" xfId="1063" xr:uid="{00000000-0005-0000-0000-00005C040000}"/>
    <cellStyle name="_Repex Forecast 090717" xfId="1064" xr:uid="{00000000-0005-0000-0000-00005D040000}"/>
    <cellStyle name="_Repex Performance Pack 090720" xfId="1065" xr:uid="{00000000-0005-0000-0000-00005E040000}"/>
    <cellStyle name="_RF Rec" xfId="1066" xr:uid="{00000000-0005-0000-0000-00005F040000}"/>
    <cellStyle name="_RF Rec 2" xfId="1067" xr:uid="{00000000-0005-0000-0000-000060040000}"/>
    <cellStyle name="_SCOT FinStat" xfId="1068" xr:uid="{00000000-0005-0000-0000-000061040000}"/>
    <cellStyle name="_SCOT FinStat 2" xfId="1069" xr:uid="{00000000-0005-0000-0000-000062040000}"/>
    <cellStyle name="_Scotland Capex" xfId="1070" xr:uid="{00000000-0005-0000-0000-000063040000}"/>
    <cellStyle name="_SGN 10a Copy of Business Plan 2010v14 update 180510" xfId="1071" xr:uid="{00000000-0005-0000-0000-000064040000}"/>
    <cellStyle name="_SGN 4.18" xfId="1072" xr:uid="{00000000-0005-0000-0000-000065040000}"/>
    <cellStyle name="_SGN 4.18 2" xfId="1073" xr:uid="{00000000-0005-0000-0000-000066040000}"/>
    <cellStyle name="_Sheet1" xfId="1074" xr:uid="{00000000-0005-0000-0000-000067040000}"/>
    <cellStyle name="_Sheet1 2" xfId="1075" xr:uid="{00000000-0005-0000-0000-000068040000}"/>
    <cellStyle name="_Sheet1_1" xfId="1076" xr:uid="{00000000-0005-0000-0000-000069040000}"/>
    <cellStyle name="_Sheet1_1 2" xfId="1077" xr:uid="{00000000-0005-0000-0000-00006A040000}"/>
    <cellStyle name="_Sheet1_1_SGN_14m" xfId="1078" xr:uid="{00000000-0005-0000-0000-00006B040000}"/>
    <cellStyle name="_Sheet1_SGN_14m" xfId="1079" xr:uid="{00000000-0005-0000-0000-00006C040000}"/>
    <cellStyle name="_Sheet2" xfId="1080" xr:uid="{00000000-0005-0000-0000-00006D040000}"/>
    <cellStyle name="_Sheets to populate 1112 Budget Slides" xfId="1081" xr:uid="{00000000-0005-0000-0000-00006E040000}"/>
    <cellStyle name="_Skel Mod 01l" xfId="1082" xr:uid="{00000000-0005-0000-0000-00006F040000}"/>
    <cellStyle name="_South FinStat" xfId="1083" xr:uid="{00000000-0005-0000-0000-000070040000}"/>
    <cellStyle name="_South FinStat 2" xfId="1084" xr:uid="{00000000-0005-0000-0000-000071040000}"/>
    <cellStyle name="_Spreadsheet to populate plan slides 120810" xfId="1085" xr:uid="{00000000-0005-0000-0000-000072040000}"/>
    <cellStyle name="_Summaries" xfId="1086" xr:uid="{00000000-0005-0000-0000-000073040000}"/>
    <cellStyle name="_Summary" xfId="1087" xr:uid="{00000000-0005-0000-0000-000074040000}"/>
    <cellStyle name="_Summary (inc. Contract &amp; Conn.)" xfId="1088" xr:uid="{00000000-0005-0000-0000-000075040000}"/>
    <cellStyle name="_Sundry" xfId="1089" xr:uid="{00000000-0005-0000-0000-000076040000}"/>
    <cellStyle name="_TableRowHead" xfId="1090" xr:uid="{00000000-0005-0000-0000-000077040000}"/>
    <cellStyle name="_TableSuperHead" xfId="1091" xr:uid="{00000000-0005-0000-0000-000078040000}"/>
    <cellStyle name="_TEMPLATE 01m" xfId="1092" xr:uid="{00000000-0005-0000-0000-000079040000}"/>
    <cellStyle name="_Test scoring_UKGDx_20070924_Pilot (DV)" xfId="1093" xr:uid="{00000000-0005-0000-0000-00007A040000}"/>
    <cellStyle name="_Test scoring_UKGDx_20070924_Pilot (DV) 2" xfId="1094" xr:uid="{00000000-0005-0000-0000-00007B040000}"/>
    <cellStyle name="_Test scoring_UKGDx_20070924_Pilot (DV) 3" xfId="1095" xr:uid="{00000000-0005-0000-0000-00007C040000}"/>
    <cellStyle name="_Test scoring_UKGDx_20070924_Pilot (DV) 4" xfId="1096" xr:uid="{00000000-0005-0000-0000-00007D040000}"/>
    <cellStyle name="_Test scoring_UKGDx_20070924_Pilot (DV) 5" xfId="1097" xr:uid="{00000000-0005-0000-0000-00007E040000}"/>
    <cellStyle name="_Test scoring_UKGDx_20070924_Pilot (DV) 6" xfId="1098" xr:uid="{00000000-0005-0000-0000-00007F040000}"/>
    <cellStyle name="_Test scoring_UKGDx_20070924_Pilot (DV) 7" xfId="1099" xr:uid="{00000000-0005-0000-0000-000080040000}"/>
    <cellStyle name="_Test scoring_UKGDx_20070924_Pilot (DV) 8" xfId="1100" xr:uid="{00000000-0005-0000-0000-000081040000}"/>
    <cellStyle name="_TGK-14" xfId="1101" xr:uid="{00000000-0005-0000-0000-000082040000}"/>
    <cellStyle name="_TGK-9" xfId="1102" xr:uid="{00000000-0005-0000-0000-000083040000}"/>
    <cellStyle name="_TGK-9_1" xfId="1103" xr:uid="{00000000-0005-0000-0000-000084040000}"/>
    <cellStyle name="_Third Party-IT Data Collection Template" xfId="1104" xr:uid="{00000000-0005-0000-0000-000085040000}"/>
    <cellStyle name="_Total summary" xfId="1105" xr:uid="{00000000-0005-0000-0000-000086040000}"/>
    <cellStyle name="_Tower Definition (2)" xfId="1106" xr:uid="{00000000-0005-0000-0000-000087040000}"/>
    <cellStyle name="_Tower Definition (2)_Baseline - MASTER DATA (ORG) - v5.4 (P&amp;OD) BUSINESS PLAN" xfId="1107" xr:uid="{00000000-0005-0000-0000-000088040000}"/>
    <cellStyle name="_Tower Definition (2)_Baseline - MASTER DATA (ORG) - v5.4 (P&amp;OD) BUSINESS PLAN_SS templates" xfId="1108" xr:uid="{00000000-0005-0000-0000-000089040000}"/>
    <cellStyle name="_track 01a" xfId="1109" xr:uid="{00000000-0005-0000-0000-00008A040000}"/>
    <cellStyle name="_Transmission agency" xfId="1110" xr:uid="{00000000-0005-0000-0000-00008B040000}"/>
    <cellStyle name="_UKT RAV Summary (Mar-10) v2" xfId="1111" xr:uid="{00000000-0005-0000-0000-00008C040000}"/>
    <cellStyle name="_Vattenfall Euro CY" xfId="1112" xr:uid="{00000000-0005-0000-0000-00008D040000}"/>
    <cellStyle name="_VT FinMod 72d" xfId="1113" xr:uid="{00000000-0005-0000-0000-00008E040000}"/>
    <cellStyle name="_VT FinMod 72d 2" xfId="1114" xr:uid="{00000000-0005-0000-0000-00008F040000}"/>
    <cellStyle name="_VT FinMod 72d 2 2" xfId="1115" xr:uid="{00000000-0005-0000-0000-000090040000}"/>
    <cellStyle name="_VT FinMod 72d 3" xfId="1116" xr:uid="{00000000-0005-0000-0000-000091040000}"/>
    <cellStyle name="_VT FinMod 72d Option Effects" xfId="1117" xr:uid="{00000000-0005-0000-0000-000092040000}"/>
    <cellStyle name="_VT FinMod 72d Option Effects 2" xfId="1118" xr:uid="{00000000-0005-0000-0000-000093040000}"/>
    <cellStyle name="_VT FinMod 72d Option Effects 2 2" xfId="1119" xr:uid="{00000000-0005-0000-0000-000094040000}"/>
    <cellStyle name="_VT FinMod 72d Option Effects 3" xfId="1120" xr:uid="{00000000-0005-0000-0000-000095040000}"/>
    <cellStyle name="_VT FinMod 72d Option Effects_SGN_14m" xfId="1121" xr:uid="{00000000-0005-0000-0000-000096040000}"/>
    <cellStyle name="_VT FinMod 72d Option Effects_strategic model 05j (INDEXATION)" xfId="1122" xr:uid="{00000000-0005-0000-0000-000097040000}"/>
    <cellStyle name="_VT FinMod 72d_SGN_14m" xfId="1123" xr:uid="{00000000-0005-0000-0000-000098040000}"/>
    <cellStyle name="_VT FinMod 72d_strategic model 05j (INDEXATION)" xfId="1124" xr:uid="{00000000-0005-0000-0000-000099040000}"/>
    <cellStyle name="_VT FinMod 74a - pre D&amp;T deletion" xfId="1125" xr:uid="{00000000-0005-0000-0000-00009A040000}"/>
    <cellStyle name="_VT FinMod 74a - pre D&amp;T deletion 2" xfId="1126" xr:uid="{00000000-0005-0000-0000-00009B040000}"/>
    <cellStyle name="_VT FinMod 74a - pre D&amp;T deletion 2 2" xfId="1127" xr:uid="{00000000-0005-0000-0000-00009C040000}"/>
    <cellStyle name="_VT FinMod 74a - pre D&amp;T deletion 3" xfId="1128" xr:uid="{00000000-0005-0000-0000-00009D040000}"/>
    <cellStyle name="_VT FinMod 74a - pre D&amp;T deletion_SGN_14m" xfId="1129" xr:uid="{00000000-0005-0000-0000-00009E040000}"/>
    <cellStyle name="_VT FinMod 74a - pre D&amp;T deletion_strategic model 05j (INDEXATION)" xfId="1130" xr:uid="{00000000-0005-0000-0000-00009F040000}"/>
    <cellStyle name="_VT FinMod 76p" xfId="1131" xr:uid="{00000000-0005-0000-0000-0000A0040000}"/>
    <cellStyle name="_VT FinMod 76p 2" xfId="1132" xr:uid="{00000000-0005-0000-0000-0000A1040000}"/>
    <cellStyle name="_VT FinMod 76p 2 2" xfId="1133" xr:uid="{00000000-0005-0000-0000-0000A2040000}"/>
    <cellStyle name="_VT FinMod 76p 3" xfId="1134" xr:uid="{00000000-0005-0000-0000-0000A3040000}"/>
    <cellStyle name="_VT FinMod 76p_SGN_14m" xfId="1135" xr:uid="{00000000-0005-0000-0000-0000A4040000}"/>
    <cellStyle name="_VT FinMod 76p_strategic model 05j (INDEXATION)" xfId="1136" xr:uid="{00000000-0005-0000-0000-0000A5040000}"/>
    <cellStyle name="’Ê‰Ý [0.00]_Area" xfId="1137" xr:uid="{00000000-0005-0000-0000-0000A6040000}"/>
    <cellStyle name="’Ê‰Ý_Area" xfId="1138" xr:uid="{00000000-0005-0000-0000-0000A7040000}"/>
    <cellStyle name="£" xfId="1139" xr:uid="{00000000-0005-0000-0000-0000A8040000}"/>
    <cellStyle name="£ BP" xfId="1140" xr:uid="{00000000-0005-0000-0000-0000A9040000}"/>
    <cellStyle name="£[2]" xfId="1141" xr:uid="{00000000-0005-0000-0000-0000AA040000}"/>
    <cellStyle name="¥ JY" xfId="1142" xr:uid="{00000000-0005-0000-0000-0000AB040000}"/>
    <cellStyle name="€" xfId="1143" xr:uid="{00000000-0005-0000-0000-0000AC040000}"/>
    <cellStyle name="=C:\WINNT\SYSTEM32\COMMAND.COM" xfId="1144" xr:uid="{00000000-0005-0000-0000-0000AD040000}"/>
    <cellStyle name="=C:\WINNT\SYSTEM32\COMMAND.COM 10" xfId="1145" xr:uid="{00000000-0005-0000-0000-0000AE040000}"/>
    <cellStyle name="=C:\WINNT\SYSTEM32\COMMAND.COM 11" xfId="1146" xr:uid="{00000000-0005-0000-0000-0000AF040000}"/>
    <cellStyle name="=C:\WINNT\SYSTEM32\COMMAND.COM 12" xfId="1147" xr:uid="{00000000-0005-0000-0000-0000B0040000}"/>
    <cellStyle name="=C:\WINNT\SYSTEM32\COMMAND.COM 12 2" xfId="1148" xr:uid="{00000000-0005-0000-0000-0000B1040000}"/>
    <cellStyle name="=C:\WINNT\SYSTEM32\COMMAND.COM 13" xfId="1149" xr:uid="{00000000-0005-0000-0000-0000B2040000}"/>
    <cellStyle name="=C:\WINNT\SYSTEM32\COMMAND.COM 14" xfId="1150" xr:uid="{00000000-0005-0000-0000-0000B3040000}"/>
    <cellStyle name="=C:\WINNT\SYSTEM32\COMMAND.COM 15" xfId="1151" xr:uid="{00000000-0005-0000-0000-0000B4040000}"/>
    <cellStyle name="=C:\WINNT\SYSTEM32\COMMAND.COM 16" xfId="1152" xr:uid="{00000000-0005-0000-0000-0000B5040000}"/>
    <cellStyle name="=C:\WINNT\SYSTEM32\COMMAND.COM 17" xfId="1153" xr:uid="{00000000-0005-0000-0000-0000B6040000}"/>
    <cellStyle name="=C:\WINNT\SYSTEM32\COMMAND.COM 18" xfId="1154" xr:uid="{00000000-0005-0000-0000-0000B7040000}"/>
    <cellStyle name="=C:\WINNT\SYSTEM32\COMMAND.COM 19" xfId="1155" xr:uid="{00000000-0005-0000-0000-0000B8040000}"/>
    <cellStyle name="=C:\WINNT\SYSTEM32\COMMAND.COM 2" xfId="1156" xr:uid="{00000000-0005-0000-0000-0000B9040000}"/>
    <cellStyle name="=C:\WINNT\SYSTEM32\COMMAND.COM 2 2" xfId="1157" xr:uid="{00000000-0005-0000-0000-0000BA040000}"/>
    <cellStyle name="=C:\WINNT\SYSTEM32\COMMAND.COM 2 2 10" xfId="1158" xr:uid="{00000000-0005-0000-0000-0000BB040000}"/>
    <cellStyle name="=C:\WINNT\SYSTEM32\COMMAND.COM 2 2 11" xfId="1159" xr:uid="{00000000-0005-0000-0000-0000BC040000}"/>
    <cellStyle name="=C:\WINNT\SYSTEM32\COMMAND.COM 2 2 12" xfId="1160" xr:uid="{00000000-0005-0000-0000-0000BD040000}"/>
    <cellStyle name="=C:\WINNT\SYSTEM32\COMMAND.COM 2 2 13" xfId="1161" xr:uid="{00000000-0005-0000-0000-0000BE040000}"/>
    <cellStyle name="=C:\WINNT\SYSTEM32\COMMAND.COM 2 2 14" xfId="1162" xr:uid="{00000000-0005-0000-0000-0000BF040000}"/>
    <cellStyle name="=C:\WINNT\SYSTEM32\COMMAND.COM 2 2 15" xfId="1163" xr:uid="{00000000-0005-0000-0000-0000C0040000}"/>
    <cellStyle name="=C:\WINNT\SYSTEM32\COMMAND.COM 2 2 16" xfId="1164" xr:uid="{00000000-0005-0000-0000-0000C1040000}"/>
    <cellStyle name="=C:\WINNT\SYSTEM32\COMMAND.COM 2 2 17" xfId="1165" xr:uid="{00000000-0005-0000-0000-0000C2040000}"/>
    <cellStyle name="=C:\WINNT\SYSTEM32\COMMAND.COM 2 2 18" xfId="1166" xr:uid="{00000000-0005-0000-0000-0000C3040000}"/>
    <cellStyle name="=C:\WINNT\SYSTEM32\COMMAND.COM 2 2 19" xfId="1167" xr:uid="{00000000-0005-0000-0000-0000C4040000}"/>
    <cellStyle name="=C:\WINNT\SYSTEM32\COMMAND.COM 2 2 2" xfId="1168" xr:uid="{00000000-0005-0000-0000-0000C5040000}"/>
    <cellStyle name="=C:\WINNT\SYSTEM32\COMMAND.COM 2 2 2 2" xfId="1169" xr:uid="{00000000-0005-0000-0000-0000C6040000}"/>
    <cellStyle name="=C:\WINNT\SYSTEM32\COMMAND.COM 2 2 2 3" xfId="42107" xr:uid="{00000000-0005-0000-0000-0000C7040000}"/>
    <cellStyle name="=C:\WINNT\SYSTEM32\COMMAND.COM 2 2 2_NGN_RIIO-GD1_ BPDT (tab 2.0-4.3)" xfId="1170" xr:uid="{00000000-0005-0000-0000-0000C8040000}"/>
    <cellStyle name="=C:\WINNT\SYSTEM32\COMMAND.COM 2 2 20" xfId="1171" xr:uid="{00000000-0005-0000-0000-0000C9040000}"/>
    <cellStyle name="=C:\WINNT\SYSTEM32\COMMAND.COM 2 2 21" xfId="1172" xr:uid="{00000000-0005-0000-0000-0000CA040000}"/>
    <cellStyle name="=C:\WINNT\SYSTEM32\COMMAND.COM 2 2 22" xfId="1173" xr:uid="{00000000-0005-0000-0000-0000CB040000}"/>
    <cellStyle name="=C:\WINNT\SYSTEM32\COMMAND.COM 2 2 23" xfId="1174" xr:uid="{00000000-0005-0000-0000-0000CC040000}"/>
    <cellStyle name="=C:\WINNT\SYSTEM32\COMMAND.COM 2 2 24" xfId="1175" xr:uid="{00000000-0005-0000-0000-0000CD040000}"/>
    <cellStyle name="=C:\WINNT\SYSTEM32\COMMAND.COM 2 2 25" xfId="1176" xr:uid="{00000000-0005-0000-0000-0000CE040000}"/>
    <cellStyle name="=C:\WINNT\SYSTEM32\COMMAND.COM 2 2 26" xfId="1177" xr:uid="{00000000-0005-0000-0000-0000CF040000}"/>
    <cellStyle name="=C:\WINNT\SYSTEM32\COMMAND.COM 2 2 27" xfId="1178" xr:uid="{00000000-0005-0000-0000-0000D0040000}"/>
    <cellStyle name="=C:\WINNT\SYSTEM32\COMMAND.COM 2 2 28" xfId="1179" xr:uid="{00000000-0005-0000-0000-0000D1040000}"/>
    <cellStyle name="=C:\WINNT\SYSTEM32\COMMAND.COM 2 2 29" xfId="1180" xr:uid="{00000000-0005-0000-0000-0000D2040000}"/>
    <cellStyle name="=C:\WINNT\SYSTEM32\COMMAND.COM 2 2 3" xfId="1181" xr:uid="{00000000-0005-0000-0000-0000D3040000}"/>
    <cellStyle name="=C:\WINNT\SYSTEM32\COMMAND.COM 2 2 30" xfId="1182" xr:uid="{00000000-0005-0000-0000-0000D4040000}"/>
    <cellStyle name="=C:\WINNT\SYSTEM32\COMMAND.COM 2 2 31" xfId="1183" xr:uid="{00000000-0005-0000-0000-0000D5040000}"/>
    <cellStyle name="=C:\WINNT\SYSTEM32\COMMAND.COM 2 2 32" xfId="1184" xr:uid="{00000000-0005-0000-0000-0000D6040000}"/>
    <cellStyle name="=C:\WINNT\SYSTEM32\COMMAND.COM 2 2 33" xfId="1185" xr:uid="{00000000-0005-0000-0000-0000D7040000}"/>
    <cellStyle name="=C:\WINNT\SYSTEM32\COMMAND.COM 2 2 34" xfId="1186" xr:uid="{00000000-0005-0000-0000-0000D8040000}"/>
    <cellStyle name="=C:\WINNT\SYSTEM32\COMMAND.COM 2 2 35" xfId="1187" xr:uid="{00000000-0005-0000-0000-0000D9040000}"/>
    <cellStyle name="=C:\WINNT\SYSTEM32\COMMAND.COM 2 2 36" xfId="1188" xr:uid="{00000000-0005-0000-0000-0000DA040000}"/>
    <cellStyle name="=C:\WINNT\SYSTEM32\COMMAND.COM 2 2 37" xfId="1189" xr:uid="{00000000-0005-0000-0000-0000DB040000}"/>
    <cellStyle name="=C:\WINNT\SYSTEM32\COMMAND.COM 2 2 38" xfId="1190" xr:uid="{00000000-0005-0000-0000-0000DC040000}"/>
    <cellStyle name="=C:\WINNT\SYSTEM32\COMMAND.COM 2 2 39" xfId="1191" xr:uid="{00000000-0005-0000-0000-0000DD040000}"/>
    <cellStyle name="=C:\WINNT\SYSTEM32\COMMAND.COM 2 2 4" xfId="1192" xr:uid="{00000000-0005-0000-0000-0000DE040000}"/>
    <cellStyle name="=C:\WINNT\SYSTEM32\COMMAND.COM 2 2 40" xfId="1193" xr:uid="{00000000-0005-0000-0000-0000DF040000}"/>
    <cellStyle name="=C:\WINNT\SYSTEM32\COMMAND.COM 2 2 41" xfId="1194" xr:uid="{00000000-0005-0000-0000-0000E0040000}"/>
    <cellStyle name="=C:\WINNT\SYSTEM32\COMMAND.COM 2 2 42" xfId="1195" xr:uid="{00000000-0005-0000-0000-0000E1040000}"/>
    <cellStyle name="=C:\WINNT\SYSTEM32\COMMAND.COM 2 2 43" xfId="1196" xr:uid="{00000000-0005-0000-0000-0000E2040000}"/>
    <cellStyle name="=C:\WINNT\SYSTEM32\COMMAND.COM 2 2 44" xfId="1197" xr:uid="{00000000-0005-0000-0000-0000E3040000}"/>
    <cellStyle name="=C:\WINNT\SYSTEM32\COMMAND.COM 2 2 45" xfId="1198" xr:uid="{00000000-0005-0000-0000-0000E4040000}"/>
    <cellStyle name="=C:\WINNT\SYSTEM32\COMMAND.COM 2 2 46" xfId="1199" xr:uid="{00000000-0005-0000-0000-0000E5040000}"/>
    <cellStyle name="=C:\WINNT\SYSTEM32\COMMAND.COM 2 2 47" xfId="1200" xr:uid="{00000000-0005-0000-0000-0000E6040000}"/>
    <cellStyle name="=C:\WINNT\SYSTEM32\COMMAND.COM 2 2 48" xfId="1201" xr:uid="{00000000-0005-0000-0000-0000E7040000}"/>
    <cellStyle name="=C:\WINNT\SYSTEM32\COMMAND.COM 2 2 5" xfId="1202" xr:uid="{00000000-0005-0000-0000-0000E8040000}"/>
    <cellStyle name="=C:\WINNT\SYSTEM32\COMMAND.COM 2 2 6" xfId="1203" xr:uid="{00000000-0005-0000-0000-0000E9040000}"/>
    <cellStyle name="=C:\WINNT\SYSTEM32\COMMAND.COM 2 2 7" xfId="1204" xr:uid="{00000000-0005-0000-0000-0000EA040000}"/>
    <cellStyle name="=C:\WINNT\SYSTEM32\COMMAND.COM 2 2 8" xfId="1205" xr:uid="{00000000-0005-0000-0000-0000EB040000}"/>
    <cellStyle name="=C:\WINNT\SYSTEM32\COMMAND.COM 2 2 9" xfId="1206" xr:uid="{00000000-0005-0000-0000-0000EC040000}"/>
    <cellStyle name="=C:\WINNT\SYSTEM32\COMMAND.COM 2 2_1.3s Accounting C Costs Scots" xfId="1207" xr:uid="{00000000-0005-0000-0000-0000ED040000}"/>
    <cellStyle name="=C:\WINNT\SYSTEM32\COMMAND.COM 2 3" xfId="1208" xr:uid="{00000000-0005-0000-0000-0000EE040000}"/>
    <cellStyle name="=C:\WINNT\SYSTEM32\COMMAND.COM 2 4" xfId="1209" xr:uid="{00000000-0005-0000-0000-0000EF040000}"/>
    <cellStyle name="=C:\WINNT\SYSTEM32\COMMAND.COM 2 5" xfId="1210" xr:uid="{00000000-0005-0000-0000-0000F0040000}"/>
    <cellStyle name="=C:\WINNT\SYSTEM32\COMMAND.COM 2 6" xfId="1211" xr:uid="{00000000-0005-0000-0000-0000F1040000}"/>
    <cellStyle name="=C:\WINNT\SYSTEM32\COMMAND.COM 2 7" xfId="1212" xr:uid="{00000000-0005-0000-0000-0000F2040000}"/>
    <cellStyle name="=C:\WINNT\SYSTEM32\COMMAND.COM 2 8" xfId="1213" xr:uid="{00000000-0005-0000-0000-0000F3040000}"/>
    <cellStyle name="=C:\WINNT\SYSTEM32\COMMAND.COM 2 9" xfId="1214" xr:uid="{00000000-0005-0000-0000-0000F4040000}"/>
    <cellStyle name="=C:\WINNT\SYSTEM32\COMMAND.COM 2_Opex Input" xfId="42108" xr:uid="{00000000-0005-0000-0000-0000F5040000}"/>
    <cellStyle name="=C:\WINNT\SYSTEM32\COMMAND.COM 20" xfId="1215" xr:uid="{00000000-0005-0000-0000-0000F6040000}"/>
    <cellStyle name="=C:\WINNT\SYSTEM32\COMMAND.COM 21" xfId="1216" xr:uid="{00000000-0005-0000-0000-0000F7040000}"/>
    <cellStyle name="=C:\WINNT\SYSTEM32\COMMAND.COM 22" xfId="1217" xr:uid="{00000000-0005-0000-0000-0000F8040000}"/>
    <cellStyle name="=C:\WINNT\SYSTEM32\COMMAND.COM 23" xfId="1218" xr:uid="{00000000-0005-0000-0000-0000F9040000}"/>
    <cellStyle name="=C:\WINNT\SYSTEM32\COMMAND.COM 23 2" xfId="42109" xr:uid="{00000000-0005-0000-0000-0000FA040000}"/>
    <cellStyle name="=C:\WINNT\SYSTEM32\COMMAND.COM 24" xfId="1219" xr:uid="{00000000-0005-0000-0000-0000FB040000}"/>
    <cellStyle name="=C:\WINNT\SYSTEM32\COMMAND.COM 25" xfId="1220" xr:uid="{00000000-0005-0000-0000-0000FC040000}"/>
    <cellStyle name="=C:\WINNT\SYSTEM32\COMMAND.COM 25 2" xfId="42110" xr:uid="{00000000-0005-0000-0000-0000FD040000}"/>
    <cellStyle name="=C:\WINNT\SYSTEM32\COMMAND.COM 25 3" xfId="42111" xr:uid="{00000000-0005-0000-0000-0000FE040000}"/>
    <cellStyle name="=C:\WINNT\SYSTEM32\COMMAND.COM 26" xfId="1221" xr:uid="{00000000-0005-0000-0000-0000FF040000}"/>
    <cellStyle name="=C:\WINNT\SYSTEM32\COMMAND.COM 27" xfId="1222" xr:uid="{00000000-0005-0000-0000-000000050000}"/>
    <cellStyle name="=C:\WINNT\SYSTEM32\COMMAND.COM 28" xfId="1223" xr:uid="{00000000-0005-0000-0000-000001050000}"/>
    <cellStyle name="=C:\WINNT\SYSTEM32\COMMAND.COM 29" xfId="1224" xr:uid="{00000000-0005-0000-0000-000002050000}"/>
    <cellStyle name="=C:\WINNT\SYSTEM32\COMMAND.COM 3" xfId="1225" xr:uid="{00000000-0005-0000-0000-000003050000}"/>
    <cellStyle name="=C:\WINNT\SYSTEM32\COMMAND.COM 3 2" xfId="1226" xr:uid="{00000000-0005-0000-0000-000004050000}"/>
    <cellStyle name="=C:\WINNT\SYSTEM32\COMMAND.COM 3 3" xfId="1227" xr:uid="{00000000-0005-0000-0000-000005050000}"/>
    <cellStyle name="=C:\WINNT\SYSTEM32\COMMAND.COM 3 4" xfId="1228" xr:uid="{00000000-0005-0000-0000-000006050000}"/>
    <cellStyle name="=C:\WINNT\SYSTEM32\COMMAND.COM 3 5" xfId="1229" xr:uid="{00000000-0005-0000-0000-000007050000}"/>
    <cellStyle name="=C:\WINNT\SYSTEM32\COMMAND.COM 3 6" xfId="1230" xr:uid="{00000000-0005-0000-0000-000008050000}"/>
    <cellStyle name="=C:\WINNT\SYSTEM32\COMMAND.COM 3 7" xfId="1231" xr:uid="{00000000-0005-0000-0000-000009050000}"/>
    <cellStyle name="=C:\WINNT\SYSTEM32\COMMAND.COM 3 8" xfId="1232" xr:uid="{00000000-0005-0000-0000-00000A050000}"/>
    <cellStyle name="=C:\WINNT\SYSTEM32\COMMAND.COM 30" xfId="1233" xr:uid="{00000000-0005-0000-0000-00000B050000}"/>
    <cellStyle name="=C:\WINNT\SYSTEM32\COMMAND.COM 31" xfId="1234" xr:uid="{00000000-0005-0000-0000-00000C050000}"/>
    <cellStyle name="=C:\WINNT\SYSTEM32\COMMAND.COM 32" xfId="1235" xr:uid="{00000000-0005-0000-0000-00000D050000}"/>
    <cellStyle name="=C:\WINNT\SYSTEM32\COMMAND.COM 33" xfId="1236" xr:uid="{00000000-0005-0000-0000-00000E050000}"/>
    <cellStyle name="=C:\WINNT\SYSTEM32\COMMAND.COM 34" xfId="1237" xr:uid="{00000000-0005-0000-0000-00000F050000}"/>
    <cellStyle name="=C:\WINNT\SYSTEM32\COMMAND.COM 35" xfId="1238" xr:uid="{00000000-0005-0000-0000-000010050000}"/>
    <cellStyle name="=C:\WINNT\SYSTEM32\COMMAND.COM 36" xfId="1239" xr:uid="{00000000-0005-0000-0000-000011050000}"/>
    <cellStyle name="=C:\WINNT\SYSTEM32\COMMAND.COM 37" xfId="1240" xr:uid="{00000000-0005-0000-0000-000012050000}"/>
    <cellStyle name="=C:\WINNT\SYSTEM32\COMMAND.COM 38" xfId="1241" xr:uid="{00000000-0005-0000-0000-000013050000}"/>
    <cellStyle name="=C:\WINNT\SYSTEM32\COMMAND.COM 39" xfId="1242" xr:uid="{00000000-0005-0000-0000-000014050000}"/>
    <cellStyle name="=C:\WINNT\SYSTEM32\COMMAND.COM 4" xfId="1243" xr:uid="{00000000-0005-0000-0000-000015050000}"/>
    <cellStyle name="=C:\WINNT\SYSTEM32\COMMAND.COM 4 10" xfId="1244" xr:uid="{00000000-0005-0000-0000-000016050000}"/>
    <cellStyle name="=C:\WINNT\SYSTEM32\COMMAND.COM 4 11" xfId="1245" xr:uid="{00000000-0005-0000-0000-000017050000}"/>
    <cellStyle name="=C:\WINNT\SYSTEM32\COMMAND.COM 4 12" xfId="1246" xr:uid="{00000000-0005-0000-0000-000018050000}"/>
    <cellStyle name="=C:\WINNT\SYSTEM32\COMMAND.COM 4 13" xfId="1247" xr:uid="{00000000-0005-0000-0000-000019050000}"/>
    <cellStyle name="=C:\WINNT\SYSTEM32\COMMAND.COM 4 14" xfId="1248" xr:uid="{00000000-0005-0000-0000-00001A050000}"/>
    <cellStyle name="=C:\WINNT\SYSTEM32\COMMAND.COM 4 15" xfId="1249" xr:uid="{00000000-0005-0000-0000-00001B050000}"/>
    <cellStyle name="=C:\WINNT\SYSTEM32\COMMAND.COM 4 16" xfId="1250" xr:uid="{00000000-0005-0000-0000-00001C050000}"/>
    <cellStyle name="=C:\WINNT\SYSTEM32\COMMAND.COM 4 17" xfId="1251" xr:uid="{00000000-0005-0000-0000-00001D050000}"/>
    <cellStyle name="=C:\WINNT\SYSTEM32\COMMAND.COM 4 18" xfId="1252" xr:uid="{00000000-0005-0000-0000-00001E050000}"/>
    <cellStyle name="=C:\WINNT\SYSTEM32\COMMAND.COM 4 19" xfId="1253" xr:uid="{00000000-0005-0000-0000-00001F050000}"/>
    <cellStyle name="=C:\WINNT\SYSTEM32\COMMAND.COM 4 2" xfId="1254" xr:uid="{00000000-0005-0000-0000-000020050000}"/>
    <cellStyle name="=C:\WINNT\SYSTEM32\COMMAND.COM 4 20" xfId="1255" xr:uid="{00000000-0005-0000-0000-000021050000}"/>
    <cellStyle name="=C:\WINNT\SYSTEM32\COMMAND.COM 4 21" xfId="1256" xr:uid="{00000000-0005-0000-0000-000022050000}"/>
    <cellStyle name="=C:\WINNT\SYSTEM32\COMMAND.COM 4 22" xfId="1257" xr:uid="{00000000-0005-0000-0000-000023050000}"/>
    <cellStyle name="=C:\WINNT\SYSTEM32\COMMAND.COM 4 23" xfId="1258" xr:uid="{00000000-0005-0000-0000-000024050000}"/>
    <cellStyle name="=C:\WINNT\SYSTEM32\COMMAND.COM 4 24" xfId="1259" xr:uid="{00000000-0005-0000-0000-000025050000}"/>
    <cellStyle name="=C:\WINNT\SYSTEM32\COMMAND.COM 4 25" xfId="1260" xr:uid="{00000000-0005-0000-0000-000026050000}"/>
    <cellStyle name="=C:\WINNT\SYSTEM32\COMMAND.COM 4 26" xfId="1261" xr:uid="{00000000-0005-0000-0000-000027050000}"/>
    <cellStyle name="=C:\WINNT\SYSTEM32\COMMAND.COM 4 27" xfId="1262" xr:uid="{00000000-0005-0000-0000-000028050000}"/>
    <cellStyle name="=C:\WINNT\SYSTEM32\COMMAND.COM 4 28" xfId="1263" xr:uid="{00000000-0005-0000-0000-000029050000}"/>
    <cellStyle name="=C:\WINNT\SYSTEM32\COMMAND.COM 4 29" xfId="1264" xr:uid="{00000000-0005-0000-0000-00002A050000}"/>
    <cellStyle name="=C:\WINNT\SYSTEM32\COMMAND.COM 4 3" xfId="1265" xr:uid="{00000000-0005-0000-0000-00002B050000}"/>
    <cellStyle name="=C:\WINNT\SYSTEM32\COMMAND.COM 4 30" xfId="1266" xr:uid="{00000000-0005-0000-0000-00002C050000}"/>
    <cellStyle name="=C:\WINNT\SYSTEM32\COMMAND.COM 4 31" xfId="1267" xr:uid="{00000000-0005-0000-0000-00002D050000}"/>
    <cellStyle name="=C:\WINNT\SYSTEM32\COMMAND.COM 4 32" xfId="1268" xr:uid="{00000000-0005-0000-0000-00002E050000}"/>
    <cellStyle name="=C:\WINNT\SYSTEM32\COMMAND.COM 4 33" xfId="1269" xr:uid="{00000000-0005-0000-0000-00002F050000}"/>
    <cellStyle name="=C:\WINNT\SYSTEM32\COMMAND.COM 4 34" xfId="1270" xr:uid="{00000000-0005-0000-0000-000030050000}"/>
    <cellStyle name="=C:\WINNT\SYSTEM32\COMMAND.COM 4 35" xfId="1271" xr:uid="{00000000-0005-0000-0000-000031050000}"/>
    <cellStyle name="=C:\WINNT\SYSTEM32\COMMAND.COM 4 36" xfId="1272" xr:uid="{00000000-0005-0000-0000-000032050000}"/>
    <cellStyle name="=C:\WINNT\SYSTEM32\COMMAND.COM 4 37" xfId="1273" xr:uid="{00000000-0005-0000-0000-000033050000}"/>
    <cellStyle name="=C:\WINNT\SYSTEM32\COMMAND.COM 4 38" xfId="1274" xr:uid="{00000000-0005-0000-0000-000034050000}"/>
    <cellStyle name="=C:\WINNT\SYSTEM32\COMMAND.COM 4 39" xfId="1275" xr:uid="{00000000-0005-0000-0000-000035050000}"/>
    <cellStyle name="=C:\WINNT\SYSTEM32\COMMAND.COM 4 4" xfId="1276" xr:uid="{00000000-0005-0000-0000-000036050000}"/>
    <cellStyle name="=C:\WINNT\SYSTEM32\COMMAND.COM 4 40" xfId="1277" xr:uid="{00000000-0005-0000-0000-000037050000}"/>
    <cellStyle name="=C:\WINNT\SYSTEM32\COMMAND.COM 4 41" xfId="1278" xr:uid="{00000000-0005-0000-0000-000038050000}"/>
    <cellStyle name="=C:\WINNT\SYSTEM32\COMMAND.COM 4 42" xfId="1279" xr:uid="{00000000-0005-0000-0000-000039050000}"/>
    <cellStyle name="=C:\WINNT\SYSTEM32\COMMAND.COM 4 43" xfId="1280" xr:uid="{00000000-0005-0000-0000-00003A050000}"/>
    <cellStyle name="=C:\WINNT\SYSTEM32\COMMAND.COM 4 44" xfId="1281" xr:uid="{00000000-0005-0000-0000-00003B050000}"/>
    <cellStyle name="=C:\WINNT\SYSTEM32\COMMAND.COM 4 45" xfId="1282" xr:uid="{00000000-0005-0000-0000-00003C050000}"/>
    <cellStyle name="=C:\WINNT\SYSTEM32\COMMAND.COM 4 46" xfId="1283" xr:uid="{00000000-0005-0000-0000-00003D050000}"/>
    <cellStyle name="=C:\WINNT\SYSTEM32\COMMAND.COM 4 47" xfId="1284" xr:uid="{00000000-0005-0000-0000-00003E050000}"/>
    <cellStyle name="=C:\WINNT\SYSTEM32\COMMAND.COM 4 5" xfId="1285" xr:uid="{00000000-0005-0000-0000-00003F050000}"/>
    <cellStyle name="=C:\WINNT\SYSTEM32\COMMAND.COM 4 6" xfId="1286" xr:uid="{00000000-0005-0000-0000-000040050000}"/>
    <cellStyle name="=C:\WINNT\SYSTEM32\COMMAND.COM 4 7" xfId="1287" xr:uid="{00000000-0005-0000-0000-000041050000}"/>
    <cellStyle name="=C:\WINNT\SYSTEM32\COMMAND.COM 4 8" xfId="1288" xr:uid="{00000000-0005-0000-0000-000042050000}"/>
    <cellStyle name="=C:\WINNT\SYSTEM32\COMMAND.COM 4 9" xfId="1289" xr:uid="{00000000-0005-0000-0000-000043050000}"/>
    <cellStyle name="=C:\WINNT\SYSTEM32\COMMAND.COM 4_1.3s Accounting C Costs Scots" xfId="1290" xr:uid="{00000000-0005-0000-0000-000044050000}"/>
    <cellStyle name="=C:\WINNT\SYSTEM32\COMMAND.COM 40" xfId="1291" xr:uid="{00000000-0005-0000-0000-000045050000}"/>
    <cellStyle name="=C:\WINNT\SYSTEM32\COMMAND.COM 41" xfId="1292" xr:uid="{00000000-0005-0000-0000-000046050000}"/>
    <cellStyle name="=C:\WINNT\SYSTEM32\COMMAND.COM 42" xfId="1293" xr:uid="{00000000-0005-0000-0000-000047050000}"/>
    <cellStyle name="=C:\WINNT\SYSTEM32\COMMAND.COM 43" xfId="1294" xr:uid="{00000000-0005-0000-0000-000048050000}"/>
    <cellStyle name="=C:\WINNT\SYSTEM32\COMMAND.COM 44" xfId="1295" xr:uid="{00000000-0005-0000-0000-000049050000}"/>
    <cellStyle name="=C:\WINNT\SYSTEM32\COMMAND.COM 45" xfId="1296" xr:uid="{00000000-0005-0000-0000-00004A050000}"/>
    <cellStyle name="=C:\WINNT\SYSTEM32\COMMAND.COM 46" xfId="1297" xr:uid="{00000000-0005-0000-0000-00004B050000}"/>
    <cellStyle name="=C:\WINNT\SYSTEM32\COMMAND.COM 47" xfId="1298" xr:uid="{00000000-0005-0000-0000-00004C050000}"/>
    <cellStyle name="=C:\WINNT\SYSTEM32\COMMAND.COM 48" xfId="1299" xr:uid="{00000000-0005-0000-0000-00004D050000}"/>
    <cellStyle name="=C:\WINNT\SYSTEM32\COMMAND.COM 49" xfId="1300" xr:uid="{00000000-0005-0000-0000-00004E050000}"/>
    <cellStyle name="=C:\WINNT\SYSTEM32\COMMAND.COM 5" xfId="1301" xr:uid="{00000000-0005-0000-0000-00004F050000}"/>
    <cellStyle name="=C:\WINNT\SYSTEM32\COMMAND.COM 5 10" xfId="1302" xr:uid="{00000000-0005-0000-0000-000050050000}"/>
    <cellStyle name="=C:\WINNT\SYSTEM32\COMMAND.COM 5 10 2" xfId="1303" xr:uid="{00000000-0005-0000-0000-000051050000}"/>
    <cellStyle name="=C:\WINNT\SYSTEM32\COMMAND.COM 5 10 3" xfId="1304" xr:uid="{00000000-0005-0000-0000-000052050000}"/>
    <cellStyle name="=C:\WINNT\SYSTEM32\COMMAND.COM 5 10 4" xfId="1305" xr:uid="{00000000-0005-0000-0000-000053050000}"/>
    <cellStyle name="=C:\WINNT\SYSTEM32\COMMAND.COM 5 10 5" xfId="1306" xr:uid="{00000000-0005-0000-0000-000054050000}"/>
    <cellStyle name="=C:\WINNT\SYSTEM32\COMMAND.COM 5 10 6" xfId="1307" xr:uid="{00000000-0005-0000-0000-000055050000}"/>
    <cellStyle name="=C:\WINNT\SYSTEM32\COMMAND.COM 5 10 7" xfId="1308" xr:uid="{00000000-0005-0000-0000-000056050000}"/>
    <cellStyle name="=C:\WINNT\SYSTEM32\COMMAND.COM 5 10 8" xfId="1309" xr:uid="{00000000-0005-0000-0000-000057050000}"/>
    <cellStyle name="=C:\WINNT\SYSTEM32\COMMAND.COM 5 11" xfId="1310" xr:uid="{00000000-0005-0000-0000-000058050000}"/>
    <cellStyle name="=C:\WINNT\SYSTEM32\COMMAND.COM 5 11 2" xfId="1311" xr:uid="{00000000-0005-0000-0000-000059050000}"/>
    <cellStyle name="=C:\WINNT\SYSTEM32\COMMAND.COM 5 11 3" xfId="1312" xr:uid="{00000000-0005-0000-0000-00005A050000}"/>
    <cellStyle name="=C:\WINNT\SYSTEM32\COMMAND.COM 5 11 4" xfId="1313" xr:uid="{00000000-0005-0000-0000-00005B050000}"/>
    <cellStyle name="=C:\WINNT\SYSTEM32\COMMAND.COM 5 11 5" xfId="1314" xr:uid="{00000000-0005-0000-0000-00005C050000}"/>
    <cellStyle name="=C:\WINNT\SYSTEM32\COMMAND.COM 5 11 6" xfId="1315" xr:uid="{00000000-0005-0000-0000-00005D050000}"/>
    <cellStyle name="=C:\WINNT\SYSTEM32\COMMAND.COM 5 11 7" xfId="1316" xr:uid="{00000000-0005-0000-0000-00005E050000}"/>
    <cellStyle name="=C:\WINNT\SYSTEM32\COMMAND.COM 5 11 8" xfId="1317" xr:uid="{00000000-0005-0000-0000-00005F050000}"/>
    <cellStyle name="=C:\WINNT\SYSTEM32\COMMAND.COM 5 12" xfId="1318" xr:uid="{00000000-0005-0000-0000-000060050000}"/>
    <cellStyle name="=C:\WINNT\SYSTEM32\COMMAND.COM 5 12 2" xfId="1319" xr:uid="{00000000-0005-0000-0000-000061050000}"/>
    <cellStyle name="=C:\WINNT\SYSTEM32\COMMAND.COM 5 12 3" xfId="1320" xr:uid="{00000000-0005-0000-0000-000062050000}"/>
    <cellStyle name="=C:\WINNT\SYSTEM32\COMMAND.COM 5 12 4" xfId="1321" xr:uid="{00000000-0005-0000-0000-000063050000}"/>
    <cellStyle name="=C:\WINNT\SYSTEM32\COMMAND.COM 5 12 5" xfId="1322" xr:uid="{00000000-0005-0000-0000-000064050000}"/>
    <cellStyle name="=C:\WINNT\SYSTEM32\COMMAND.COM 5 12 6" xfId="1323" xr:uid="{00000000-0005-0000-0000-000065050000}"/>
    <cellStyle name="=C:\WINNT\SYSTEM32\COMMAND.COM 5 12 7" xfId="1324" xr:uid="{00000000-0005-0000-0000-000066050000}"/>
    <cellStyle name="=C:\WINNT\SYSTEM32\COMMAND.COM 5 12 8" xfId="1325" xr:uid="{00000000-0005-0000-0000-000067050000}"/>
    <cellStyle name="=C:\WINNT\SYSTEM32\COMMAND.COM 5 13" xfId="1326" xr:uid="{00000000-0005-0000-0000-000068050000}"/>
    <cellStyle name="=C:\WINNT\SYSTEM32\COMMAND.COM 5 13 2" xfId="1327" xr:uid="{00000000-0005-0000-0000-000069050000}"/>
    <cellStyle name="=C:\WINNT\SYSTEM32\COMMAND.COM 5 13 3" xfId="1328" xr:uid="{00000000-0005-0000-0000-00006A050000}"/>
    <cellStyle name="=C:\WINNT\SYSTEM32\COMMAND.COM 5 13 4" xfId="1329" xr:uid="{00000000-0005-0000-0000-00006B050000}"/>
    <cellStyle name="=C:\WINNT\SYSTEM32\COMMAND.COM 5 13 5" xfId="1330" xr:uid="{00000000-0005-0000-0000-00006C050000}"/>
    <cellStyle name="=C:\WINNT\SYSTEM32\COMMAND.COM 5 13 6" xfId="1331" xr:uid="{00000000-0005-0000-0000-00006D050000}"/>
    <cellStyle name="=C:\WINNT\SYSTEM32\COMMAND.COM 5 13 7" xfId="1332" xr:uid="{00000000-0005-0000-0000-00006E050000}"/>
    <cellStyle name="=C:\WINNT\SYSTEM32\COMMAND.COM 5 13 8" xfId="1333" xr:uid="{00000000-0005-0000-0000-00006F050000}"/>
    <cellStyle name="=C:\WINNT\SYSTEM32\COMMAND.COM 5 14" xfId="1334" xr:uid="{00000000-0005-0000-0000-000070050000}"/>
    <cellStyle name="=C:\WINNT\SYSTEM32\COMMAND.COM 5 14 2" xfId="1335" xr:uid="{00000000-0005-0000-0000-000071050000}"/>
    <cellStyle name="=C:\WINNT\SYSTEM32\COMMAND.COM 5 14 3" xfId="1336" xr:uid="{00000000-0005-0000-0000-000072050000}"/>
    <cellStyle name="=C:\WINNT\SYSTEM32\COMMAND.COM 5 14 4" xfId="1337" xr:uid="{00000000-0005-0000-0000-000073050000}"/>
    <cellStyle name="=C:\WINNT\SYSTEM32\COMMAND.COM 5 14 5" xfId="1338" xr:uid="{00000000-0005-0000-0000-000074050000}"/>
    <cellStyle name="=C:\WINNT\SYSTEM32\COMMAND.COM 5 14 6" xfId="1339" xr:uid="{00000000-0005-0000-0000-000075050000}"/>
    <cellStyle name="=C:\WINNT\SYSTEM32\COMMAND.COM 5 14 7" xfId="1340" xr:uid="{00000000-0005-0000-0000-000076050000}"/>
    <cellStyle name="=C:\WINNT\SYSTEM32\COMMAND.COM 5 14 8" xfId="1341" xr:uid="{00000000-0005-0000-0000-000077050000}"/>
    <cellStyle name="=C:\WINNT\SYSTEM32\COMMAND.COM 5 15" xfId="1342" xr:uid="{00000000-0005-0000-0000-000078050000}"/>
    <cellStyle name="=C:\WINNT\SYSTEM32\COMMAND.COM 5 15 2" xfId="1343" xr:uid="{00000000-0005-0000-0000-000079050000}"/>
    <cellStyle name="=C:\WINNT\SYSTEM32\COMMAND.COM 5 15 3" xfId="1344" xr:uid="{00000000-0005-0000-0000-00007A050000}"/>
    <cellStyle name="=C:\WINNT\SYSTEM32\COMMAND.COM 5 15 4" xfId="1345" xr:uid="{00000000-0005-0000-0000-00007B050000}"/>
    <cellStyle name="=C:\WINNT\SYSTEM32\COMMAND.COM 5 15 5" xfId="1346" xr:uid="{00000000-0005-0000-0000-00007C050000}"/>
    <cellStyle name="=C:\WINNT\SYSTEM32\COMMAND.COM 5 15 6" xfId="1347" xr:uid="{00000000-0005-0000-0000-00007D050000}"/>
    <cellStyle name="=C:\WINNT\SYSTEM32\COMMAND.COM 5 15 7" xfId="1348" xr:uid="{00000000-0005-0000-0000-00007E050000}"/>
    <cellStyle name="=C:\WINNT\SYSTEM32\COMMAND.COM 5 15 8" xfId="1349" xr:uid="{00000000-0005-0000-0000-00007F050000}"/>
    <cellStyle name="=C:\WINNT\SYSTEM32\COMMAND.COM 5 16" xfId="1350" xr:uid="{00000000-0005-0000-0000-000080050000}"/>
    <cellStyle name="=C:\WINNT\SYSTEM32\COMMAND.COM 5 16 2" xfId="1351" xr:uid="{00000000-0005-0000-0000-000081050000}"/>
    <cellStyle name="=C:\WINNT\SYSTEM32\COMMAND.COM 5 16 3" xfId="1352" xr:uid="{00000000-0005-0000-0000-000082050000}"/>
    <cellStyle name="=C:\WINNT\SYSTEM32\COMMAND.COM 5 16 4" xfId="1353" xr:uid="{00000000-0005-0000-0000-000083050000}"/>
    <cellStyle name="=C:\WINNT\SYSTEM32\COMMAND.COM 5 16 5" xfId="1354" xr:uid="{00000000-0005-0000-0000-000084050000}"/>
    <cellStyle name="=C:\WINNT\SYSTEM32\COMMAND.COM 5 16 6" xfId="1355" xr:uid="{00000000-0005-0000-0000-000085050000}"/>
    <cellStyle name="=C:\WINNT\SYSTEM32\COMMAND.COM 5 16 7" xfId="1356" xr:uid="{00000000-0005-0000-0000-000086050000}"/>
    <cellStyle name="=C:\WINNT\SYSTEM32\COMMAND.COM 5 16 8" xfId="1357" xr:uid="{00000000-0005-0000-0000-000087050000}"/>
    <cellStyle name="=C:\WINNT\SYSTEM32\COMMAND.COM 5 17" xfId="1358" xr:uid="{00000000-0005-0000-0000-000088050000}"/>
    <cellStyle name="=C:\WINNT\SYSTEM32\COMMAND.COM 5 17 2" xfId="1359" xr:uid="{00000000-0005-0000-0000-000089050000}"/>
    <cellStyle name="=C:\WINNT\SYSTEM32\COMMAND.COM 5 17 3" xfId="1360" xr:uid="{00000000-0005-0000-0000-00008A050000}"/>
    <cellStyle name="=C:\WINNT\SYSTEM32\COMMAND.COM 5 17 4" xfId="1361" xr:uid="{00000000-0005-0000-0000-00008B050000}"/>
    <cellStyle name="=C:\WINNT\SYSTEM32\COMMAND.COM 5 17 5" xfId="1362" xr:uid="{00000000-0005-0000-0000-00008C050000}"/>
    <cellStyle name="=C:\WINNT\SYSTEM32\COMMAND.COM 5 17 6" xfId="1363" xr:uid="{00000000-0005-0000-0000-00008D050000}"/>
    <cellStyle name="=C:\WINNT\SYSTEM32\COMMAND.COM 5 17 7" xfId="1364" xr:uid="{00000000-0005-0000-0000-00008E050000}"/>
    <cellStyle name="=C:\WINNT\SYSTEM32\COMMAND.COM 5 17 8" xfId="1365" xr:uid="{00000000-0005-0000-0000-00008F050000}"/>
    <cellStyle name="=C:\WINNT\SYSTEM32\COMMAND.COM 5 18" xfId="1366" xr:uid="{00000000-0005-0000-0000-000090050000}"/>
    <cellStyle name="=C:\WINNT\SYSTEM32\COMMAND.COM 5 18 2" xfId="1367" xr:uid="{00000000-0005-0000-0000-000091050000}"/>
    <cellStyle name="=C:\WINNT\SYSTEM32\COMMAND.COM 5 18 3" xfId="1368" xr:uid="{00000000-0005-0000-0000-000092050000}"/>
    <cellStyle name="=C:\WINNT\SYSTEM32\COMMAND.COM 5 18 4" xfId="1369" xr:uid="{00000000-0005-0000-0000-000093050000}"/>
    <cellStyle name="=C:\WINNT\SYSTEM32\COMMAND.COM 5 18 5" xfId="1370" xr:uid="{00000000-0005-0000-0000-000094050000}"/>
    <cellStyle name="=C:\WINNT\SYSTEM32\COMMAND.COM 5 18 6" xfId="1371" xr:uid="{00000000-0005-0000-0000-000095050000}"/>
    <cellStyle name="=C:\WINNT\SYSTEM32\COMMAND.COM 5 18 7" xfId="1372" xr:uid="{00000000-0005-0000-0000-000096050000}"/>
    <cellStyle name="=C:\WINNT\SYSTEM32\COMMAND.COM 5 18 8" xfId="1373" xr:uid="{00000000-0005-0000-0000-000097050000}"/>
    <cellStyle name="=C:\WINNT\SYSTEM32\COMMAND.COM 5 19" xfId="1374" xr:uid="{00000000-0005-0000-0000-000098050000}"/>
    <cellStyle name="=C:\WINNT\SYSTEM32\COMMAND.COM 5 19 2" xfId="1375" xr:uid="{00000000-0005-0000-0000-000099050000}"/>
    <cellStyle name="=C:\WINNT\SYSTEM32\COMMAND.COM 5 19 3" xfId="1376" xr:uid="{00000000-0005-0000-0000-00009A050000}"/>
    <cellStyle name="=C:\WINNT\SYSTEM32\COMMAND.COM 5 19 4" xfId="1377" xr:uid="{00000000-0005-0000-0000-00009B050000}"/>
    <cellStyle name="=C:\WINNT\SYSTEM32\COMMAND.COM 5 19 5" xfId="1378" xr:uid="{00000000-0005-0000-0000-00009C050000}"/>
    <cellStyle name="=C:\WINNT\SYSTEM32\COMMAND.COM 5 19 6" xfId="1379" xr:uid="{00000000-0005-0000-0000-00009D050000}"/>
    <cellStyle name="=C:\WINNT\SYSTEM32\COMMAND.COM 5 19 7" xfId="1380" xr:uid="{00000000-0005-0000-0000-00009E050000}"/>
    <cellStyle name="=C:\WINNT\SYSTEM32\COMMAND.COM 5 19 8" xfId="1381" xr:uid="{00000000-0005-0000-0000-00009F050000}"/>
    <cellStyle name="=C:\WINNT\SYSTEM32\COMMAND.COM 5 2" xfId="1382" xr:uid="{00000000-0005-0000-0000-0000A0050000}"/>
    <cellStyle name="=C:\WINNT\SYSTEM32\COMMAND.COM 5 2 2" xfId="1383" xr:uid="{00000000-0005-0000-0000-0000A1050000}"/>
    <cellStyle name="=C:\WINNT\SYSTEM32\COMMAND.COM 5 2 3" xfId="1384" xr:uid="{00000000-0005-0000-0000-0000A2050000}"/>
    <cellStyle name="=C:\WINNT\SYSTEM32\COMMAND.COM 5 2 4" xfId="1385" xr:uid="{00000000-0005-0000-0000-0000A3050000}"/>
    <cellStyle name="=C:\WINNT\SYSTEM32\COMMAND.COM 5 2 5" xfId="1386" xr:uid="{00000000-0005-0000-0000-0000A4050000}"/>
    <cellStyle name="=C:\WINNT\SYSTEM32\COMMAND.COM 5 2 6" xfId="1387" xr:uid="{00000000-0005-0000-0000-0000A5050000}"/>
    <cellStyle name="=C:\WINNT\SYSTEM32\COMMAND.COM 5 2 7" xfId="1388" xr:uid="{00000000-0005-0000-0000-0000A6050000}"/>
    <cellStyle name="=C:\WINNT\SYSTEM32\COMMAND.COM 5 2 8" xfId="1389" xr:uid="{00000000-0005-0000-0000-0000A7050000}"/>
    <cellStyle name="=C:\WINNT\SYSTEM32\COMMAND.COM 5 2 9" xfId="1390" xr:uid="{00000000-0005-0000-0000-0000A8050000}"/>
    <cellStyle name="=C:\WINNT\SYSTEM32\COMMAND.COM 5 20" xfId="1391" xr:uid="{00000000-0005-0000-0000-0000A9050000}"/>
    <cellStyle name="=C:\WINNT\SYSTEM32\COMMAND.COM 5 20 2" xfId="1392" xr:uid="{00000000-0005-0000-0000-0000AA050000}"/>
    <cellStyle name="=C:\WINNT\SYSTEM32\COMMAND.COM 5 20 3" xfId="1393" xr:uid="{00000000-0005-0000-0000-0000AB050000}"/>
    <cellStyle name="=C:\WINNT\SYSTEM32\COMMAND.COM 5 20 4" xfId="1394" xr:uid="{00000000-0005-0000-0000-0000AC050000}"/>
    <cellStyle name="=C:\WINNT\SYSTEM32\COMMAND.COM 5 20 5" xfId="1395" xr:uid="{00000000-0005-0000-0000-0000AD050000}"/>
    <cellStyle name="=C:\WINNT\SYSTEM32\COMMAND.COM 5 20 6" xfId="1396" xr:uid="{00000000-0005-0000-0000-0000AE050000}"/>
    <cellStyle name="=C:\WINNT\SYSTEM32\COMMAND.COM 5 20 7" xfId="1397" xr:uid="{00000000-0005-0000-0000-0000AF050000}"/>
    <cellStyle name="=C:\WINNT\SYSTEM32\COMMAND.COM 5 20 8" xfId="1398" xr:uid="{00000000-0005-0000-0000-0000B0050000}"/>
    <cellStyle name="=C:\WINNT\SYSTEM32\COMMAND.COM 5 21" xfId="1399" xr:uid="{00000000-0005-0000-0000-0000B1050000}"/>
    <cellStyle name="=C:\WINNT\SYSTEM32\COMMAND.COM 5 21 2" xfId="1400" xr:uid="{00000000-0005-0000-0000-0000B2050000}"/>
    <cellStyle name="=C:\WINNT\SYSTEM32\COMMAND.COM 5 21 3" xfId="1401" xr:uid="{00000000-0005-0000-0000-0000B3050000}"/>
    <cellStyle name="=C:\WINNT\SYSTEM32\COMMAND.COM 5 21 4" xfId="1402" xr:uid="{00000000-0005-0000-0000-0000B4050000}"/>
    <cellStyle name="=C:\WINNT\SYSTEM32\COMMAND.COM 5 21 5" xfId="1403" xr:uid="{00000000-0005-0000-0000-0000B5050000}"/>
    <cellStyle name="=C:\WINNT\SYSTEM32\COMMAND.COM 5 21 6" xfId="1404" xr:uid="{00000000-0005-0000-0000-0000B6050000}"/>
    <cellStyle name="=C:\WINNT\SYSTEM32\COMMAND.COM 5 21 7" xfId="1405" xr:uid="{00000000-0005-0000-0000-0000B7050000}"/>
    <cellStyle name="=C:\WINNT\SYSTEM32\COMMAND.COM 5 21 8" xfId="1406" xr:uid="{00000000-0005-0000-0000-0000B8050000}"/>
    <cellStyle name="=C:\WINNT\SYSTEM32\COMMAND.COM 5 22" xfId="1407" xr:uid="{00000000-0005-0000-0000-0000B9050000}"/>
    <cellStyle name="=C:\WINNT\SYSTEM32\COMMAND.COM 5 22 2" xfId="1408" xr:uid="{00000000-0005-0000-0000-0000BA050000}"/>
    <cellStyle name="=C:\WINNT\SYSTEM32\COMMAND.COM 5 22 3" xfId="1409" xr:uid="{00000000-0005-0000-0000-0000BB050000}"/>
    <cellStyle name="=C:\WINNT\SYSTEM32\COMMAND.COM 5 22 4" xfId="1410" xr:uid="{00000000-0005-0000-0000-0000BC050000}"/>
    <cellStyle name="=C:\WINNT\SYSTEM32\COMMAND.COM 5 22 5" xfId="1411" xr:uid="{00000000-0005-0000-0000-0000BD050000}"/>
    <cellStyle name="=C:\WINNT\SYSTEM32\COMMAND.COM 5 22 6" xfId="1412" xr:uid="{00000000-0005-0000-0000-0000BE050000}"/>
    <cellStyle name="=C:\WINNT\SYSTEM32\COMMAND.COM 5 22 7" xfId="1413" xr:uid="{00000000-0005-0000-0000-0000BF050000}"/>
    <cellStyle name="=C:\WINNT\SYSTEM32\COMMAND.COM 5 22 8" xfId="1414" xr:uid="{00000000-0005-0000-0000-0000C0050000}"/>
    <cellStyle name="=C:\WINNT\SYSTEM32\COMMAND.COM 5 3" xfId="1415" xr:uid="{00000000-0005-0000-0000-0000C1050000}"/>
    <cellStyle name="=C:\WINNT\SYSTEM32\COMMAND.COM 5 3 2" xfId="1416" xr:uid="{00000000-0005-0000-0000-0000C2050000}"/>
    <cellStyle name="=C:\WINNT\SYSTEM32\COMMAND.COM 5 3 3" xfId="1417" xr:uid="{00000000-0005-0000-0000-0000C3050000}"/>
    <cellStyle name="=C:\WINNT\SYSTEM32\COMMAND.COM 5 3 4" xfId="1418" xr:uid="{00000000-0005-0000-0000-0000C4050000}"/>
    <cellStyle name="=C:\WINNT\SYSTEM32\COMMAND.COM 5 3 5" xfId="1419" xr:uid="{00000000-0005-0000-0000-0000C5050000}"/>
    <cellStyle name="=C:\WINNT\SYSTEM32\COMMAND.COM 5 3 6" xfId="1420" xr:uid="{00000000-0005-0000-0000-0000C6050000}"/>
    <cellStyle name="=C:\WINNT\SYSTEM32\COMMAND.COM 5 3 7" xfId="1421" xr:uid="{00000000-0005-0000-0000-0000C7050000}"/>
    <cellStyle name="=C:\WINNT\SYSTEM32\COMMAND.COM 5 3 8" xfId="1422" xr:uid="{00000000-0005-0000-0000-0000C8050000}"/>
    <cellStyle name="=C:\WINNT\SYSTEM32\COMMAND.COM 5 4" xfId="1423" xr:uid="{00000000-0005-0000-0000-0000C9050000}"/>
    <cellStyle name="=C:\WINNT\SYSTEM32\COMMAND.COM 5 4 2" xfId="1424" xr:uid="{00000000-0005-0000-0000-0000CA050000}"/>
    <cellStyle name="=C:\WINNT\SYSTEM32\COMMAND.COM 5 4 3" xfId="1425" xr:uid="{00000000-0005-0000-0000-0000CB050000}"/>
    <cellStyle name="=C:\WINNT\SYSTEM32\COMMAND.COM 5 4 4" xfId="1426" xr:uid="{00000000-0005-0000-0000-0000CC050000}"/>
    <cellStyle name="=C:\WINNT\SYSTEM32\COMMAND.COM 5 4 5" xfId="1427" xr:uid="{00000000-0005-0000-0000-0000CD050000}"/>
    <cellStyle name="=C:\WINNT\SYSTEM32\COMMAND.COM 5 4 6" xfId="1428" xr:uid="{00000000-0005-0000-0000-0000CE050000}"/>
    <cellStyle name="=C:\WINNT\SYSTEM32\COMMAND.COM 5 4 7" xfId="1429" xr:uid="{00000000-0005-0000-0000-0000CF050000}"/>
    <cellStyle name="=C:\WINNT\SYSTEM32\COMMAND.COM 5 4 8" xfId="1430" xr:uid="{00000000-0005-0000-0000-0000D0050000}"/>
    <cellStyle name="=C:\WINNT\SYSTEM32\COMMAND.COM 5 5" xfId="1431" xr:uid="{00000000-0005-0000-0000-0000D1050000}"/>
    <cellStyle name="=C:\WINNT\SYSTEM32\COMMAND.COM 5 5 2" xfId="1432" xr:uid="{00000000-0005-0000-0000-0000D2050000}"/>
    <cellStyle name="=C:\WINNT\SYSTEM32\COMMAND.COM 5 5 3" xfId="1433" xr:uid="{00000000-0005-0000-0000-0000D3050000}"/>
    <cellStyle name="=C:\WINNT\SYSTEM32\COMMAND.COM 5 5 4" xfId="1434" xr:uid="{00000000-0005-0000-0000-0000D4050000}"/>
    <cellStyle name="=C:\WINNT\SYSTEM32\COMMAND.COM 5 5 5" xfId="1435" xr:uid="{00000000-0005-0000-0000-0000D5050000}"/>
    <cellStyle name="=C:\WINNT\SYSTEM32\COMMAND.COM 5 5 6" xfId="1436" xr:uid="{00000000-0005-0000-0000-0000D6050000}"/>
    <cellStyle name="=C:\WINNT\SYSTEM32\COMMAND.COM 5 5 7" xfId="1437" xr:uid="{00000000-0005-0000-0000-0000D7050000}"/>
    <cellStyle name="=C:\WINNT\SYSTEM32\COMMAND.COM 5 5 8" xfId="1438" xr:uid="{00000000-0005-0000-0000-0000D8050000}"/>
    <cellStyle name="=C:\WINNT\SYSTEM32\COMMAND.COM 5 6" xfId="1439" xr:uid="{00000000-0005-0000-0000-0000D9050000}"/>
    <cellStyle name="=C:\WINNT\SYSTEM32\COMMAND.COM 5 6 2" xfId="1440" xr:uid="{00000000-0005-0000-0000-0000DA050000}"/>
    <cellStyle name="=C:\WINNT\SYSTEM32\COMMAND.COM 5 6 3" xfId="1441" xr:uid="{00000000-0005-0000-0000-0000DB050000}"/>
    <cellStyle name="=C:\WINNT\SYSTEM32\COMMAND.COM 5 6 4" xfId="1442" xr:uid="{00000000-0005-0000-0000-0000DC050000}"/>
    <cellStyle name="=C:\WINNT\SYSTEM32\COMMAND.COM 5 6 5" xfId="1443" xr:uid="{00000000-0005-0000-0000-0000DD050000}"/>
    <cellStyle name="=C:\WINNT\SYSTEM32\COMMAND.COM 5 6 6" xfId="1444" xr:uid="{00000000-0005-0000-0000-0000DE050000}"/>
    <cellStyle name="=C:\WINNT\SYSTEM32\COMMAND.COM 5 6 7" xfId="1445" xr:uid="{00000000-0005-0000-0000-0000DF050000}"/>
    <cellStyle name="=C:\WINNT\SYSTEM32\COMMAND.COM 5 6 8" xfId="1446" xr:uid="{00000000-0005-0000-0000-0000E0050000}"/>
    <cellStyle name="=C:\WINNT\SYSTEM32\COMMAND.COM 5 7" xfId="1447" xr:uid="{00000000-0005-0000-0000-0000E1050000}"/>
    <cellStyle name="=C:\WINNT\SYSTEM32\COMMAND.COM 5 7 2" xfId="1448" xr:uid="{00000000-0005-0000-0000-0000E2050000}"/>
    <cellStyle name="=C:\WINNT\SYSTEM32\COMMAND.COM 5 7 3" xfId="1449" xr:uid="{00000000-0005-0000-0000-0000E3050000}"/>
    <cellStyle name="=C:\WINNT\SYSTEM32\COMMAND.COM 5 7 4" xfId="1450" xr:uid="{00000000-0005-0000-0000-0000E4050000}"/>
    <cellStyle name="=C:\WINNT\SYSTEM32\COMMAND.COM 5 7 5" xfId="1451" xr:uid="{00000000-0005-0000-0000-0000E5050000}"/>
    <cellStyle name="=C:\WINNT\SYSTEM32\COMMAND.COM 5 7 6" xfId="1452" xr:uid="{00000000-0005-0000-0000-0000E6050000}"/>
    <cellStyle name="=C:\WINNT\SYSTEM32\COMMAND.COM 5 7 7" xfId="1453" xr:uid="{00000000-0005-0000-0000-0000E7050000}"/>
    <cellStyle name="=C:\WINNT\SYSTEM32\COMMAND.COM 5 7 8" xfId="1454" xr:uid="{00000000-0005-0000-0000-0000E8050000}"/>
    <cellStyle name="=C:\WINNT\SYSTEM32\COMMAND.COM 5 8" xfId="1455" xr:uid="{00000000-0005-0000-0000-0000E9050000}"/>
    <cellStyle name="=C:\WINNT\SYSTEM32\COMMAND.COM 5 8 2" xfId="1456" xr:uid="{00000000-0005-0000-0000-0000EA050000}"/>
    <cellStyle name="=C:\WINNT\SYSTEM32\COMMAND.COM 5 8 3" xfId="1457" xr:uid="{00000000-0005-0000-0000-0000EB050000}"/>
    <cellStyle name="=C:\WINNT\SYSTEM32\COMMAND.COM 5 8 4" xfId="1458" xr:uid="{00000000-0005-0000-0000-0000EC050000}"/>
    <cellStyle name="=C:\WINNT\SYSTEM32\COMMAND.COM 5 8 5" xfId="1459" xr:uid="{00000000-0005-0000-0000-0000ED050000}"/>
    <cellStyle name="=C:\WINNT\SYSTEM32\COMMAND.COM 5 8 6" xfId="1460" xr:uid="{00000000-0005-0000-0000-0000EE050000}"/>
    <cellStyle name="=C:\WINNT\SYSTEM32\COMMAND.COM 5 8 7" xfId="1461" xr:uid="{00000000-0005-0000-0000-0000EF050000}"/>
    <cellStyle name="=C:\WINNT\SYSTEM32\COMMAND.COM 5 8 8" xfId="1462" xr:uid="{00000000-0005-0000-0000-0000F0050000}"/>
    <cellStyle name="=C:\WINNT\SYSTEM32\COMMAND.COM 5 9" xfId="1463" xr:uid="{00000000-0005-0000-0000-0000F1050000}"/>
    <cellStyle name="=C:\WINNT\SYSTEM32\COMMAND.COM 5 9 2" xfId="1464" xr:uid="{00000000-0005-0000-0000-0000F2050000}"/>
    <cellStyle name="=C:\WINNT\SYSTEM32\COMMAND.COM 5 9 3" xfId="1465" xr:uid="{00000000-0005-0000-0000-0000F3050000}"/>
    <cellStyle name="=C:\WINNT\SYSTEM32\COMMAND.COM 5 9 4" xfId="1466" xr:uid="{00000000-0005-0000-0000-0000F4050000}"/>
    <cellStyle name="=C:\WINNT\SYSTEM32\COMMAND.COM 5 9 5" xfId="1467" xr:uid="{00000000-0005-0000-0000-0000F5050000}"/>
    <cellStyle name="=C:\WINNT\SYSTEM32\COMMAND.COM 5 9 6" xfId="1468" xr:uid="{00000000-0005-0000-0000-0000F6050000}"/>
    <cellStyle name="=C:\WINNT\SYSTEM32\COMMAND.COM 5 9 7" xfId="1469" xr:uid="{00000000-0005-0000-0000-0000F7050000}"/>
    <cellStyle name="=C:\WINNT\SYSTEM32\COMMAND.COM 5 9 8" xfId="1470" xr:uid="{00000000-0005-0000-0000-0000F8050000}"/>
    <cellStyle name="=C:\WINNT\SYSTEM32\COMMAND.COM 50" xfId="1471" xr:uid="{00000000-0005-0000-0000-0000F9050000}"/>
    <cellStyle name="=C:\WINNT\SYSTEM32\COMMAND.COM 51" xfId="1472" xr:uid="{00000000-0005-0000-0000-0000FA050000}"/>
    <cellStyle name="=C:\WINNT\SYSTEM32\COMMAND.COM 52" xfId="1473" xr:uid="{00000000-0005-0000-0000-0000FB050000}"/>
    <cellStyle name="=C:\WINNT\SYSTEM32\COMMAND.COM 53" xfId="1474" xr:uid="{00000000-0005-0000-0000-0000FC050000}"/>
    <cellStyle name="=C:\WINNT\SYSTEM32\COMMAND.COM 54" xfId="1475" xr:uid="{00000000-0005-0000-0000-0000FD050000}"/>
    <cellStyle name="=C:\WINNT\SYSTEM32\COMMAND.COM 55" xfId="1476" xr:uid="{00000000-0005-0000-0000-0000FE050000}"/>
    <cellStyle name="=C:\WINNT\SYSTEM32\COMMAND.COM 56" xfId="1477" xr:uid="{00000000-0005-0000-0000-0000FF050000}"/>
    <cellStyle name="=C:\WINNT\SYSTEM32\COMMAND.COM 57" xfId="1478" xr:uid="{00000000-0005-0000-0000-000000060000}"/>
    <cellStyle name="=C:\WINNT\SYSTEM32\COMMAND.COM 58" xfId="1479" xr:uid="{00000000-0005-0000-0000-000001060000}"/>
    <cellStyle name="=C:\WINNT\SYSTEM32\COMMAND.COM 59" xfId="1480" xr:uid="{00000000-0005-0000-0000-000002060000}"/>
    <cellStyle name="=C:\WINNT\SYSTEM32\COMMAND.COM 6" xfId="1481" xr:uid="{00000000-0005-0000-0000-000003060000}"/>
    <cellStyle name="=C:\WINNT\SYSTEM32\COMMAND.COM 6 2" xfId="1482" xr:uid="{00000000-0005-0000-0000-000004060000}"/>
    <cellStyle name="=C:\WINNT\SYSTEM32\COMMAND.COM 6 3" xfId="1483" xr:uid="{00000000-0005-0000-0000-000005060000}"/>
    <cellStyle name="=C:\WINNT\SYSTEM32\COMMAND.COM 60" xfId="1484" xr:uid="{00000000-0005-0000-0000-000006060000}"/>
    <cellStyle name="=C:\WINNT\SYSTEM32\COMMAND.COM 61" xfId="1485" xr:uid="{00000000-0005-0000-0000-000007060000}"/>
    <cellStyle name="=C:\WINNT\SYSTEM32\COMMAND.COM 62" xfId="1486" xr:uid="{00000000-0005-0000-0000-000008060000}"/>
    <cellStyle name="=C:\WINNT\SYSTEM32\COMMAND.COM 63" xfId="1487" xr:uid="{00000000-0005-0000-0000-000009060000}"/>
    <cellStyle name="=C:\WINNT\SYSTEM32\COMMAND.COM 64" xfId="1488" xr:uid="{00000000-0005-0000-0000-00000A060000}"/>
    <cellStyle name="=C:\WINNT\SYSTEM32\COMMAND.COM 65" xfId="1489" xr:uid="{00000000-0005-0000-0000-00000B060000}"/>
    <cellStyle name="=C:\WINNT\SYSTEM32\COMMAND.COM 66" xfId="1490" xr:uid="{00000000-0005-0000-0000-00000C060000}"/>
    <cellStyle name="=C:\WINNT\SYSTEM32\COMMAND.COM 7" xfId="1491" xr:uid="{00000000-0005-0000-0000-00000D060000}"/>
    <cellStyle name="=C:\WINNT\SYSTEM32\COMMAND.COM 7 2" xfId="1492" xr:uid="{00000000-0005-0000-0000-00000E060000}"/>
    <cellStyle name="=C:\WINNT\SYSTEM32\COMMAND.COM 7 2 2" xfId="1493" xr:uid="{00000000-0005-0000-0000-00000F060000}"/>
    <cellStyle name="=C:\WINNT\SYSTEM32\COMMAND.COM 7 2 2 2" xfId="1494" xr:uid="{00000000-0005-0000-0000-000010060000}"/>
    <cellStyle name="=C:\WINNT\SYSTEM32\COMMAND.COM 7 2 3" xfId="1495" xr:uid="{00000000-0005-0000-0000-000011060000}"/>
    <cellStyle name="=C:\WINNT\SYSTEM32\COMMAND.COM 7 3" xfId="1496" xr:uid="{00000000-0005-0000-0000-000012060000}"/>
    <cellStyle name="=C:\WINNT\SYSTEM32\COMMAND.COM 7 3 2" xfId="1497" xr:uid="{00000000-0005-0000-0000-000013060000}"/>
    <cellStyle name="=C:\WINNT\SYSTEM32\COMMAND.COM 7 4" xfId="1498" xr:uid="{00000000-0005-0000-0000-000014060000}"/>
    <cellStyle name="=C:\WINNT\SYSTEM32\COMMAND.COM 8" xfId="1499" xr:uid="{00000000-0005-0000-0000-000015060000}"/>
    <cellStyle name="=C:\WINNT\SYSTEM32\COMMAND.COM 8 2" xfId="1500" xr:uid="{00000000-0005-0000-0000-000016060000}"/>
    <cellStyle name="=C:\WINNT\SYSTEM32\COMMAND.COM 9" xfId="1501" xr:uid="{00000000-0005-0000-0000-000017060000}"/>
    <cellStyle name="=C:\WINNT\SYSTEM32\COMMAND.COM_1.5 Opex Reconciliation NG" xfId="1502" xr:uid="{00000000-0005-0000-0000-000018060000}"/>
    <cellStyle name="=C:\WINNT35\SYSTEM32\COMMAND.COM" xfId="1503" xr:uid="{00000000-0005-0000-0000-000019060000}"/>
    <cellStyle name="=C:\WINNT35\SYSTEM32\COMMAND.COM 10" xfId="1504" xr:uid="{00000000-0005-0000-0000-00001A060000}"/>
    <cellStyle name="=C:\WINNT35\SYSTEM32\COMMAND.COM 11" xfId="1505" xr:uid="{00000000-0005-0000-0000-00001B060000}"/>
    <cellStyle name="=C:\WINNT35\SYSTEM32\COMMAND.COM 12" xfId="1506" xr:uid="{00000000-0005-0000-0000-00001C060000}"/>
    <cellStyle name="=C:\WINNT35\SYSTEM32\COMMAND.COM 13" xfId="1507" xr:uid="{00000000-0005-0000-0000-00001D060000}"/>
    <cellStyle name="=C:\WINNT35\SYSTEM32\COMMAND.COM 14" xfId="1508" xr:uid="{00000000-0005-0000-0000-00001E060000}"/>
    <cellStyle name="=C:\WINNT35\SYSTEM32\COMMAND.COM 15" xfId="1509" xr:uid="{00000000-0005-0000-0000-00001F060000}"/>
    <cellStyle name="=C:\WINNT35\SYSTEM32\COMMAND.COM 16" xfId="1510" xr:uid="{00000000-0005-0000-0000-000020060000}"/>
    <cellStyle name="=C:\WINNT35\SYSTEM32\COMMAND.COM 17" xfId="1511" xr:uid="{00000000-0005-0000-0000-000021060000}"/>
    <cellStyle name="=C:\WINNT35\SYSTEM32\COMMAND.COM 18" xfId="1512" xr:uid="{00000000-0005-0000-0000-000022060000}"/>
    <cellStyle name="=C:\WINNT35\SYSTEM32\COMMAND.COM 19" xfId="1513" xr:uid="{00000000-0005-0000-0000-000023060000}"/>
    <cellStyle name="=C:\WINNT35\SYSTEM32\COMMAND.COM 2" xfId="1514" xr:uid="{00000000-0005-0000-0000-000024060000}"/>
    <cellStyle name="=C:\WINNT35\SYSTEM32\COMMAND.COM 20" xfId="1515" xr:uid="{00000000-0005-0000-0000-000025060000}"/>
    <cellStyle name="=C:\WINNT35\SYSTEM32\COMMAND.COM 21" xfId="1516" xr:uid="{00000000-0005-0000-0000-000026060000}"/>
    <cellStyle name="=C:\WINNT35\SYSTEM32\COMMAND.COM 22" xfId="1517" xr:uid="{00000000-0005-0000-0000-000027060000}"/>
    <cellStyle name="=C:\WINNT35\SYSTEM32\COMMAND.COM 23" xfId="1518" xr:uid="{00000000-0005-0000-0000-000028060000}"/>
    <cellStyle name="=C:\WINNT35\SYSTEM32\COMMAND.COM 24" xfId="1519" xr:uid="{00000000-0005-0000-0000-000029060000}"/>
    <cellStyle name="=C:\WINNT35\SYSTEM32\COMMAND.COM 25" xfId="1520" xr:uid="{00000000-0005-0000-0000-00002A060000}"/>
    <cellStyle name="=C:\WINNT35\SYSTEM32\COMMAND.COM 26" xfId="1521" xr:uid="{00000000-0005-0000-0000-00002B060000}"/>
    <cellStyle name="=C:\WINNT35\SYSTEM32\COMMAND.COM 27" xfId="1522" xr:uid="{00000000-0005-0000-0000-00002C060000}"/>
    <cellStyle name="=C:\WINNT35\SYSTEM32\COMMAND.COM 28" xfId="1523" xr:uid="{00000000-0005-0000-0000-00002D060000}"/>
    <cellStyle name="=C:\WINNT35\SYSTEM32\COMMAND.COM 29" xfId="1524" xr:uid="{00000000-0005-0000-0000-00002E060000}"/>
    <cellStyle name="=C:\WINNT35\SYSTEM32\COMMAND.COM 3" xfId="1525" xr:uid="{00000000-0005-0000-0000-00002F060000}"/>
    <cellStyle name="=C:\WINNT35\SYSTEM32\COMMAND.COM 30" xfId="1526" xr:uid="{00000000-0005-0000-0000-000030060000}"/>
    <cellStyle name="=C:\WINNT35\SYSTEM32\COMMAND.COM 31" xfId="1527" xr:uid="{00000000-0005-0000-0000-000031060000}"/>
    <cellStyle name="=C:\WINNT35\SYSTEM32\COMMAND.COM 32" xfId="1528" xr:uid="{00000000-0005-0000-0000-000032060000}"/>
    <cellStyle name="=C:\WINNT35\SYSTEM32\COMMAND.COM 33" xfId="1529" xr:uid="{00000000-0005-0000-0000-000033060000}"/>
    <cellStyle name="=C:\WINNT35\SYSTEM32\COMMAND.COM 34" xfId="1530" xr:uid="{00000000-0005-0000-0000-000034060000}"/>
    <cellStyle name="=C:\WINNT35\SYSTEM32\COMMAND.COM 35" xfId="1531" xr:uid="{00000000-0005-0000-0000-000035060000}"/>
    <cellStyle name="=C:\WINNT35\SYSTEM32\COMMAND.COM 36" xfId="1532" xr:uid="{00000000-0005-0000-0000-000036060000}"/>
    <cellStyle name="=C:\WINNT35\SYSTEM32\COMMAND.COM 37" xfId="1533" xr:uid="{00000000-0005-0000-0000-000037060000}"/>
    <cellStyle name="=C:\WINNT35\SYSTEM32\COMMAND.COM 38" xfId="1534" xr:uid="{00000000-0005-0000-0000-000038060000}"/>
    <cellStyle name="=C:\WINNT35\SYSTEM32\COMMAND.COM 39" xfId="1535" xr:uid="{00000000-0005-0000-0000-000039060000}"/>
    <cellStyle name="=C:\WINNT35\SYSTEM32\COMMAND.COM 4" xfId="1536" xr:uid="{00000000-0005-0000-0000-00003A060000}"/>
    <cellStyle name="=C:\WINNT35\SYSTEM32\COMMAND.COM 40" xfId="1537" xr:uid="{00000000-0005-0000-0000-00003B060000}"/>
    <cellStyle name="=C:\WINNT35\SYSTEM32\COMMAND.COM 41" xfId="1538" xr:uid="{00000000-0005-0000-0000-00003C060000}"/>
    <cellStyle name="=C:\WINNT35\SYSTEM32\COMMAND.COM 42" xfId="1539" xr:uid="{00000000-0005-0000-0000-00003D060000}"/>
    <cellStyle name="=C:\WINNT35\SYSTEM32\COMMAND.COM 43" xfId="1540" xr:uid="{00000000-0005-0000-0000-00003E060000}"/>
    <cellStyle name="=C:\WINNT35\SYSTEM32\COMMAND.COM 44" xfId="1541" xr:uid="{00000000-0005-0000-0000-00003F060000}"/>
    <cellStyle name="=C:\WINNT35\SYSTEM32\COMMAND.COM 45" xfId="1542" xr:uid="{00000000-0005-0000-0000-000040060000}"/>
    <cellStyle name="=C:\WINNT35\SYSTEM32\COMMAND.COM 46" xfId="1543" xr:uid="{00000000-0005-0000-0000-000041060000}"/>
    <cellStyle name="=C:\WINNT35\SYSTEM32\COMMAND.COM 47" xfId="1544" xr:uid="{00000000-0005-0000-0000-000042060000}"/>
    <cellStyle name="=C:\WINNT35\SYSTEM32\COMMAND.COM 5" xfId="1545" xr:uid="{00000000-0005-0000-0000-000043060000}"/>
    <cellStyle name="=C:\WINNT35\SYSTEM32\COMMAND.COM 6" xfId="1546" xr:uid="{00000000-0005-0000-0000-000044060000}"/>
    <cellStyle name="=C:\WINNT35\SYSTEM32\COMMAND.COM 7" xfId="1547" xr:uid="{00000000-0005-0000-0000-000045060000}"/>
    <cellStyle name="=C:\WINNT35\SYSTEM32\COMMAND.COM 8" xfId="1548" xr:uid="{00000000-0005-0000-0000-000046060000}"/>
    <cellStyle name="=C:\WINNT35\SYSTEM32\COMMAND.COM 9" xfId="1549" xr:uid="{00000000-0005-0000-0000-000047060000}"/>
    <cellStyle name="=C:\WINNT35\SYSTEM32\COMMAND.COM_1.3s Accounting C Costs Scots" xfId="1550" xr:uid="{00000000-0005-0000-0000-000048060000}"/>
    <cellStyle name="•W_Area" xfId="1551" xr:uid="{00000000-0005-0000-0000-000049060000}"/>
    <cellStyle name="0" xfId="1552" xr:uid="{00000000-0005-0000-0000-00004A060000}"/>
    <cellStyle name="0,0_x000a__x000a_NA_x000a__x000a_" xfId="1553" xr:uid="{00000000-0005-0000-0000-00004B060000}"/>
    <cellStyle name="0,0_x000a__x000a_NA_x000a__x000a_ 2" xfId="1554" xr:uid="{00000000-0005-0000-0000-00004C060000}"/>
    <cellStyle name="0_Credit Rating Ratios" xfId="1555" xr:uid="{00000000-0005-0000-0000-00004D060000}"/>
    <cellStyle name="0_Pension numbers in 09 Plan  Budget (3)" xfId="1556" xr:uid="{00000000-0005-0000-0000-00004E060000}"/>
    <cellStyle name="0_Vattenfall Euro CY" xfId="1557" xr:uid="{00000000-0005-0000-0000-00004F060000}"/>
    <cellStyle name="0DP" xfId="1558" xr:uid="{00000000-0005-0000-0000-000050060000}"/>
    <cellStyle name="0DP bold" xfId="1559" xr:uid="{00000000-0005-0000-0000-000051060000}"/>
    <cellStyle name="0DP_calcSens" xfId="1560" xr:uid="{00000000-0005-0000-0000-000052060000}"/>
    <cellStyle name="1000s (0)" xfId="1561" xr:uid="{00000000-0005-0000-0000-000053060000}"/>
    <cellStyle name="1DP" xfId="1562" xr:uid="{00000000-0005-0000-0000-000054060000}"/>
    <cellStyle name="1DP bold" xfId="1563" xr:uid="{00000000-0005-0000-0000-000055060000}"/>
    <cellStyle name="1DP_Draft RIIO plan presentation template - Customer Opsx Centre V7" xfId="1564" xr:uid="{00000000-0005-0000-0000-000056060000}"/>
    <cellStyle name="20% - Accent1 2" xfId="1565" xr:uid="{00000000-0005-0000-0000-000057060000}"/>
    <cellStyle name="20% - Accent1 2 2" xfId="1566" xr:uid="{00000000-0005-0000-0000-000058060000}"/>
    <cellStyle name="20% - Accent1 2 2 2" xfId="1567" xr:uid="{00000000-0005-0000-0000-000059060000}"/>
    <cellStyle name="20% - Accent1 2 2 2 2" xfId="1568" xr:uid="{00000000-0005-0000-0000-00005A060000}"/>
    <cellStyle name="20% - Accent1 2 2 2 2 2" xfId="1569" xr:uid="{00000000-0005-0000-0000-00005B060000}"/>
    <cellStyle name="20% - Accent1 2 2 2 3" xfId="1570" xr:uid="{00000000-0005-0000-0000-00005C060000}"/>
    <cellStyle name="20% - Accent1 2 2 2 4" xfId="1571" xr:uid="{00000000-0005-0000-0000-00005D060000}"/>
    <cellStyle name="20% - Accent1 2 2 3" xfId="1572" xr:uid="{00000000-0005-0000-0000-00005E060000}"/>
    <cellStyle name="20% - Accent1 2 2 3 2" xfId="1573" xr:uid="{00000000-0005-0000-0000-00005F060000}"/>
    <cellStyle name="20% - Accent1 2 2 3 2 2" xfId="1574" xr:uid="{00000000-0005-0000-0000-000060060000}"/>
    <cellStyle name="20% - Accent1 2 2 4" xfId="1575" xr:uid="{00000000-0005-0000-0000-000061060000}"/>
    <cellStyle name="20% - Accent1 2 2 5" xfId="1576" xr:uid="{00000000-0005-0000-0000-000062060000}"/>
    <cellStyle name="20% - Accent1 2 2 6" xfId="1577" xr:uid="{00000000-0005-0000-0000-000063060000}"/>
    <cellStyle name="20% - Accent1 2 2 6 2" xfId="1578" xr:uid="{00000000-0005-0000-0000-000064060000}"/>
    <cellStyle name="20% - Accent1 2 3" xfId="1579" xr:uid="{00000000-0005-0000-0000-000065060000}"/>
    <cellStyle name="20% - Accent1 2 4" xfId="1580" xr:uid="{00000000-0005-0000-0000-000066060000}"/>
    <cellStyle name="20% - Accent1 2 4 2" xfId="1581" xr:uid="{00000000-0005-0000-0000-000067060000}"/>
    <cellStyle name="20% - Accent1 2 4 2 2" xfId="1582" xr:uid="{00000000-0005-0000-0000-000068060000}"/>
    <cellStyle name="20% - Accent1 2 5" xfId="1583" xr:uid="{00000000-0005-0000-0000-000069060000}"/>
    <cellStyle name="20% - Accent1 2 5 2" xfId="1584" xr:uid="{00000000-0005-0000-0000-00006A060000}"/>
    <cellStyle name="20% - Accent1 2 5 2 2" xfId="1585" xr:uid="{00000000-0005-0000-0000-00006B060000}"/>
    <cellStyle name="20% - Accent1 2 6" xfId="1586" xr:uid="{00000000-0005-0000-0000-00006C060000}"/>
    <cellStyle name="20% - Accent1 2 7" xfId="1587" xr:uid="{00000000-0005-0000-0000-00006D060000}"/>
    <cellStyle name="20% - Accent1 3" xfId="1588" xr:uid="{00000000-0005-0000-0000-00006E060000}"/>
    <cellStyle name="20% - Accent1 3 2" xfId="1589" xr:uid="{00000000-0005-0000-0000-00006F060000}"/>
    <cellStyle name="20% - Accent1 3 3" xfId="1590" xr:uid="{00000000-0005-0000-0000-000070060000}"/>
    <cellStyle name="20% - Accent1 4" xfId="1591" xr:uid="{00000000-0005-0000-0000-000071060000}"/>
    <cellStyle name="20% - Accent1 5" xfId="1592" xr:uid="{00000000-0005-0000-0000-000072060000}"/>
    <cellStyle name="20% - Accent1 6" xfId="1593" xr:uid="{00000000-0005-0000-0000-000073060000}"/>
    <cellStyle name="20% - Accent1 7" xfId="1594" xr:uid="{00000000-0005-0000-0000-000074060000}"/>
    <cellStyle name="20% - Accent2 2" xfId="1595" xr:uid="{00000000-0005-0000-0000-000075060000}"/>
    <cellStyle name="20% - Accent2 2 2" xfId="1596" xr:uid="{00000000-0005-0000-0000-000076060000}"/>
    <cellStyle name="20% - Accent2 2 2 2" xfId="1597" xr:uid="{00000000-0005-0000-0000-000077060000}"/>
    <cellStyle name="20% - Accent2 2 2 2 2" xfId="1598" xr:uid="{00000000-0005-0000-0000-000078060000}"/>
    <cellStyle name="20% - Accent2 2 2 2 2 2" xfId="1599" xr:uid="{00000000-0005-0000-0000-000079060000}"/>
    <cellStyle name="20% - Accent2 2 2 2 3" xfId="1600" xr:uid="{00000000-0005-0000-0000-00007A060000}"/>
    <cellStyle name="20% - Accent2 2 2 2 4" xfId="1601" xr:uid="{00000000-0005-0000-0000-00007B060000}"/>
    <cellStyle name="20% - Accent2 2 2 3" xfId="1602" xr:uid="{00000000-0005-0000-0000-00007C060000}"/>
    <cellStyle name="20% - Accent2 2 2 3 2" xfId="1603" xr:uid="{00000000-0005-0000-0000-00007D060000}"/>
    <cellStyle name="20% - Accent2 2 2 3 2 2" xfId="1604" xr:uid="{00000000-0005-0000-0000-00007E060000}"/>
    <cellStyle name="20% - Accent2 2 2 4" xfId="1605" xr:uid="{00000000-0005-0000-0000-00007F060000}"/>
    <cellStyle name="20% - Accent2 2 2 5" xfId="1606" xr:uid="{00000000-0005-0000-0000-000080060000}"/>
    <cellStyle name="20% - Accent2 2 2 6" xfId="1607" xr:uid="{00000000-0005-0000-0000-000081060000}"/>
    <cellStyle name="20% - Accent2 2 2 6 2" xfId="1608" xr:uid="{00000000-0005-0000-0000-000082060000}"/>
    <cellStyle name="20% - Accent2 2 3" xfId="1609" xr:uid="{00000000-0005-0000-0000-000083060000}"/>
    <cellStyle name="20% - Accent2 2 4" xfId="1610" xr:uid="{00000000-0005-0000-0000-000084060000}"/>
    <cellStyle name="20% - Accent2 2 4 2" xfId="1611" xr:uid="{00000000-0005-0000-0000-000085060000}"/>
    <cellStyle name="20% - Accent2 2 4 2 2" xfId="1612" xr:uid="{00000000-0005-0000-0000-000086060000}"/>
    <cellStyle name="20% - Accent2 2 5" xfId="1613" xr:uid="{00000000-0005-0000-0000-000087060000}"/>
    <cellStyle name="20% - Accent2 2 5 2" xfId="1614" xr:uid="{00000000-0005-0000-0000-000088060000}"/>
    <cellStyle name="20% - Accent2 2 5 2 2" xfId="1615" xr:uid="{00000000-0005-0000-0000-000089060000}"/>
    <cellStyle name="20% - Accent2 2 6" xfId="1616" xr:uid="{00000000-0005-0000-0000-00008A060000}"/>
    <cellStyle name="20% - Accent2 2 7" xfId="1617" xr:uid="{00000000-0005-0000-0000-00008B060000}"/>
    <cellStyle name="20% - Accent2 3" xfId="1618" xr:uid="{00000000-0005-0000-0000-00008C060000}"/>
    <cellStyle name="20% - Accent2 3 2" xfId="1619" xr:uid="{00000000-0005-0000-0000-00008D060000}"/>
    <cellStyle name="20% - Accent2 3 3" xfId="1620" xr:uid="{00000000-0005-0000-0000-00008E060000}"/>
    <cellStyle name="20% - Accent2 4" xfId="1621" xr:uid="{00000000-0005-0000-0000-00008F060000}"/>
    <cellStyle name="20% - Accent2 5" xfId="1622" xr:uid="{00000000-0005-0000-0000-000090060000}"/>
    <cellStyle name="20% - Accent2 6" xfId="1623" xr:uid="{00000000-0005-0000-0000-000091060000}"/>
    <cellStyle name="20% - Accent2 7" xfId="1624" xr:uid="{00000000-0005-0000-0000-000092060000}"/>
    <cellStyle name="20% - Accent3 2" xfId="1625" xr:uid="{00000000-0005-0000-0000-000093060000}"/>
    <cellStyle name="20% - Accent3 2 2" xfId="1626" xr:uid="{00000000-0005-0000-0000-000094060000}"/>
    <cellStyle name="20% - Accent3 2 2 2" xfId="1627" xr:uid="{00000000-0005-0000-0000-000095060000}"/>
    <cellStyle name="20% - Accent3 2 2 2 2" xfId="1628" xr:uid="{00000000-0005-0000-0000-000096060000}"/>
    <cellStyle name="20% - Accent3 2 2 2 2 2" xfId="1629" xr:uid="{00000000-0005-0000-0000-000097060000}"/>
    <cellStyle name="20% - Accent3 2 2 2 3" xfId="1630" xr:uid="{00000000-0005-0000-0000-000098060000}"/>
    <cellStyle name="20% - Accent3 2 2 2 4" xfId="1631" xr:uid="{00000000-0005-0000-0000-000099060000}"/>
    <cellStyle name="20% - Accent3 2 2 3" xfId="1632" xr:uid="{00000000-0005-0000-0000-00009A060000}"/>
    <cellStyle name="20% - Accent3 2 2 3 2" xfId="1633" xr:uid="{00000000-0005-0000-0000-00009B060000}"/>
    <cellStyle name="20% - Accent3 2 2 3 2 2" xfId="1634" xr:uid="{00000000-0005-0000-0000-00009C060000}"/>
    <cellStyle name="20% - Accent3 2 2 4" xfId="1635" xr:uid="{00000000-0005-0000-0000-00009D060000}"/>
    <cellStyle name="20% - Accent3 2 2 5" xfId="1636" xr:uid="{00000000-0005-0000-0000-00009E060000}"/>
    <cellStyle name="20% - Accent3 2 2 6" xfId="1637" xr:uid="{00000000-0005-0000-0000-00009F060000}"/>
    <cellStyle name="20% - Accent3 2 2 6 2" xfId="1638" xr:uid="{00000000-0005-0000-0000-0000A0060000}"/>
    <cellStyle name="20% - Accent3 2 3" xfId="1639" xr:uid="{00000000-0005-0000-0000-0000A1060000}"/>
    <cellStyle name="20% - Accent3 2 4" xfId="1640" xr:uid="{00000000-0005-0000-0000-0000A2060000}"/>
    <cellStyle name="20% - Accent3 2 4 2" xfId="1641" xr:uid="{00000000-0005-0000-0000-0000A3060000}"/>
    <cellStyle name="20% - Accent3 2 4 2 2" xfId="1642" xr:uid="{00000000-0005-0000-0000-0000A4060000}"/>
    <cellStyle name="20% - Accent3 2 5" xfId="1643" xr:uid="{00000000-0005-0000-0000-0000A5060000}"/>
    <cellStyle name="20% - Accent3 2 5 2" xfId="1644" xr:uid="{00000000-0005-0000-0000-0000A6060000}"/>
    <cellStyle name="20% - Accent3 2 5 2 2" xfId="1645" xr:uid="{00000000-0005-0000-0000-0000A7060000}"/>
    <cellStyle name="20% - Accent3 2 6" xfId="1646" xr:uid="{00000000-0005-0000-0000-0000A8060000}"/>
    <cellStyle name="20% - Accent3 2 7" xfId="1647" xr:uid="{00000000-0005-0000-0000-0000A9060000}"/>
    <cellStyle name="20% - Accent3 3" xfId="1648" xr:uid="{00000000-0005-0000-0000-0000AA060000}"/>
    <cellStyle name="20% - Accent3 3 2" xfId="1649" xr:uid="{00000000-0005-0000-0000-0000AB060000}"/>
    <cellStyle name="20% - Accent3 3 3" xfId="1650" xr:uid="{00000000-0005-0000-0000-0000AC060000}"/>
    <cellStyle name="20% - Accent3 4" xfId="1651" xr:uid="{00000000-0005-0000-0000-0000AD060000}"/>
    <cellStyle name="20% - Accent3 5" xfId="1652" xr:uid="{00000000-0005-0000-0000-0000AE060000}"/>
    <cellStyle name="20% - Accent3 6" xfId="1653" xr:uid="{00000000-0005-0000-0000-0000AF060000}"/>
    <cellStyle name="20% - Accent3 7" xfId="1654" xr:uid="{00000000-0005-0000-0000-0000B0060000}"/>
    <cellStyle name="20% - Accent4 2" xfId="1655" xr:uid="{00000000-0005-0000-0000-0000B1060000}"/>
    <cellStyle name="20% - Accent4 2 2" xfId="1656" xr:uid="{00000000-0005-0000-0000-0000B2060000}"/>
    <cellStyle name="20% - Accent4 2 2 2" xfId="1657" xr:uid="{00000000-0005-0000-0000-0000B3060000}"/>
    <cellStyle name="20% - Accent4 2 2 2 2" xfId="1658" xr:uid="{00000000-0005-0000-0000-0000B4060000}"/>
    <cellStyle name="20% - Accent4 2 2 2 2 2" xfId="1659" xr:uid="{00000000-0005-0000-0000-0000B5060000}"/>
    <cellStyle name="20% - Accent4 2 2 2 3" xfId="1660" xr:uid="{00000000-0005-0000-0000-0000B6060000}"/>
    <cellStyle name="20% - Accent4 2 2 2 4" xfId="1661" xr:uid="{00000000-0005-0000-0000-0000B7060000}"/>
    <cellStyle name="20% - Accent4 2 2 3" xfId="1662" xr:uid="{00000000-0005-0000-0000-0000B8060000}"/>
    <cellStyle name="20% - Accent4 2 2 3 2" xfId="1663" xr:uid="{00000000-0005-0000-0000-0000B9060000}"/>
    <cellStyle name="20% - Accent4 2 2 3 2 2" xfId="1664" xr:uid="{00000000-0005-0000-0000-0000BA060000}"/>
    <cellStyle name="20% - Accent4 2 2 4" xfId="1665" xr:uid="{00000000-0005-0000-0000-0000BB060000}"/>
    <cellStyle name="20% - Accent4 2 2 5" xfId="1666" xr:uid="{00000000-0005-0000-0000-0000BC060000}"/>
    <cellStyle name="20% - Accent4 2 2 6" xfId="1667" xr:uid="{00000000-0005-0000-0000-0000BD060000}"/>
    <cellStyle name="20% - Accent4 2 2 6 2" xfId="1668" xr:uid="{00000000-0005-0000-0000-0000BE060000}"/>
    <cellStyle name="20% - Accent4 2 3" xfId="1669" xr:uid="{00000000-0005-0000-0000-0000BF060000}"/>
    <cellStyle name="20% - Accent4 2 4" xfId="1670" xr:uid="{00000000-0005-0000-0000-0000C0060000}"/>
    <cellStyle name="20% - Accent4 2 4 2" xfId="1671" xr:uid="{00000000-0005-0000-0000-0000C1060000}"/>
    <cellStyle name="20% - Accent4 2 4 2 2" xfId="1672" xr:uid="{00000000-0005-0000-0000-0000C2060000}"/>
    <cellStyle name="20% - Accent4 2 5" xfId="1673" xr:uid="{00000000-0005-0000-0000-0000C3060000}"/>
    <cellStyle name="20% - Accent4 2 5 2" xfId="1674" xr:uid="{00000000-0005-0000-0000-0000C4060000}"/>
    <cellStyle name="20% - Accent4 2 5 2 2" xfId="1675" xr:uid="{00000000-0005-0000-0000-0000C5060000}"/>
    <cellStyle name="20% - Accent4 2 6" xfId="1676" xr:uid="{00000000-0005-0000-0000-0000C6060000}"/>
    <cellStyle name="20% - Accent4 2 7" xfId="1677" xr:uid="{00000000-0005-0000-0000-0000C7060000}"/>
    <cellStyle name="20% - Accent4 3" xfId="1678" xr:uid="{00000000-0005-0000-0000-0000C8060000}"/>
    <cellStyle name="20% - Accent4 3 2" xfId="1679" xr:uid="{00000000-0005-0000-0000-0000C9060000}"/>
    <cellStyle name="20% - Accent4 3 3" xfId="1680" xr:uid="{00000000-0005-0000-0000-0000CA060000}"/>
    <cellStyle name="20% - Accent4 4" xfId="1681" xr:uid="{00000000-0005-0000-0000-0000CB060000}"/>
    <cellStyle name="20% - Accent4 5" xfId="1682" xr:uid="{00000000-0005-0000-0000-0000CC060000}"/>
    <cellStyle name="20% - Accent4 6" xfId="1683" xr:uid="{00000000-0005-0000-0000-0000CD060000}"/>
    <cellStyle name="20% - Accent4 7" xfId="1684" xr:uid="{00000000-0005-0000-0000-0000CE060000}"/>
    <cellStyle name="20% - Accent5 2" xfId="1685" xr:uid="{00000000-0005-0000-0000-0000CF060000}"/>
    <cellStyle name="20% - Accent5 2 2" xfId="1686" xr:uid="{00000000-0005-0000-0000-0000D0060000}"/>
    <cellStyle name="20% - Accent5 2 2 2" xfId="1687" xr:uid="{00000000-0005-0000-0000-0000D1060000}"/>
    <cellStyle name="20% - Accent5 2 2 2 2" xfId="1688" xr:uid="{00000000-0005-0000-0000-0000D2060000}"/>
    <cellStyle name="20% - Accent5 2 2 2 2 2" xfId="1689" xr:uid="{00000000-0005-0000-0000-0000D3060000}"/>
    <cellStyle name="20% - Accent5 2 2 2 3" xfId="1690" xr:uid="{00000000-0005-0000-0000-0000D4060000}"/>
    <cellStyle name="20% - Accent5 2 2 2 4" xfId="1691" xr:uid="{00000000-0005-0000-0000-0000D5060000}"/>
    <cellStyle name="20% - Accent5 2 2 3" xfId="1692" xr:uid="{00000000-0005-0000-0000-0000D6060000}"/>
    <cellStyle name="20% - Accent5 2 2 3 2" xfId="1693" xr:uid="{00000000-0005-0000-0000-0000D7060000}"/>
    <cellStyle name="20% - Accent5 2 2 3 2 2" xfId="1694" xr:uid="{00000000-0005-0000-0000-0000D8060000}"/>
    <cellStyle name="20% - Accent5 2 2 4" xfId="1695" xr:uid="{00000000-0005-0000-0000-0000D9060000}"/>
    <cellStyle name="20% - Accent5 2 2 5" xfId="1696" xr:uid="{00000000-0005-0000-0000-0000DA060000}"/>
    <cellStyle name="20% - Accent5 2 2 6" xfId="1697" xr:uid="{00000000-0005-0000-0000-0000DB060000}"/>
    <cellStyle name="20% - Accent5 2 2 6 2" xfId="1698" xr:uid="{00000000-0005-0000-0000-0000DC060000}"/>
    <cellStyle name="20% - Accent5 2 3" xfId="1699" xr:uid="{00000000-0005-0000-0000-0000DD060000}"/>
    <cellStyle name="20% - Accent5 2 4" xfId="1700" xr:uid="{00000000-0005-0000-0000-0000DE060000}"/>
    <cellStyle name="20% - Accent5 2 4 2" xfId="1701" xr:uid="{00000000-0005-0000-0000-0000DF060000}"/>
    <cellStyle name="20% - Accent5 2 4 2 2" xfId="1702" xr:uid="{00000000-0005-0000-0000-0000E0060000}"/>
    <cellStyle name="20% - Accent5 2 5" xfId="1703" xr:uid="{00000000-0005-0000-0000-0000E1060000}"/>
    <cellStyle name="20% - Accent5 2 5 2" xfId="1704" xr:uid="{00000000-0005-0000-0000-0000E2060000}"/>
    <cellStyle name="20% - Accent5 2 5 2 2" xfId="1705" xr:uid="{00000000-0005-0000-0000-0000E3060000}"/>
    <cellStyle name="20% - Accent5 2 6" xfId="1706" xr:uid="{00000000-0005-0000-0000-0000E4060000}"/>
    <cellStyle name="20% - Accent5 2 7" xfId="1707" xr:uid="{00000000-0005-0000-0000-0000E5060000}"/>
    <cellStyle name="20% - Accent5 3" xfId="1708" xr:uid="{00000000-0005-0000-0000-0000E6060000}"/>
    <cellStyle name="20% - Accent5 3 2" xfId="1709" xr:uid="{00000000-0005-0000-0000-0000E7060000}"/>
    <cellStyle name="20% - Accent5 3 3" xfId="1710" xr:uid="{00000000-0005-0000-0000-0000E8060000}"/>
    <cellStyle name="20% - Accent5 4" xfId="1711" xr:uid="{00000000-0005-0000-0000-0000E9060000}"/>
    <cellStyle name="20% - Accent5 5" xfId="1712" xr:uid="{00000000-0005-0000-0000-0000EA060000}"/>
    <cellStyle name="20% - Accent5 6" xfId="1713" xr:uid="{00000000-0005-0000-0000-0000EB060000}"/>
    <cellStyle name="20% - Accent5 7" xfId="1714" xr:uid="{00000000-0005-0000-0000-0000EC060000}"/>
    <cellStyle name="20% - Accent6 2" xfId="1715" xr:uid="{00000000-0005-0000-0000-0000ED060000}"/>
    <cellStyle name="20% - Accent6 2 2" xfId="1716" xr:uid="{00000000-0005-0000-0000-0000EE060000}"/>
    <cellStyle name="20% - Accent6 2 2 2" xfId="1717" xr:uid="{00000000-0005-0000-0000-0000EF060000}"/>
    <cellStyle name="20% - Accent6 2 2 2 2" xfId="1718" xr:uid="{00000000-0005-0000-0000-0000F0060000}"/>
    <cellStyle name="20% - Accent6 2 2 2 2 2" xfId="1719" xr:uid="{00000000-0005-0000-0000-0000F1060000}"/>
    <cellStyle name="20% - Accent6 2 2 2 3" xfId="1720" xr:uid="{00000000-0005-0000-0000-0000F2060000}"/>
    <cellStyle name="20% - Accent6 2 2 2 4" xfId="1721" xr:uid="{00000000-0005-0000-0000-0000F3060000}"/>
    <cellStyle name="20% - Accent6 2 2 3" xfId="1722" xr:uid="{00000000-0005-0000-0000-0000F4060000}"/>
    <cellStyle name="20% - Accent6 2 2 3 2" xfId="1723" xr:uid="{00000000-0005-0000-0000-0000F5060000}"/>
    <cellStyle name="20% - Accent6 2 2 3 2 2" xfId="1724" xr:uid="{00000000-0005-0000-0000-0000F6060000}"/>
    <cellStyle name="20% - Accent6 2 2 4" xfId="1725" xr:uid="{00000000-0005-0000-0000-0000F7060000}"/>
    <cellStyle name="20% - Accent6 2 2 5" xfId="1726" xr:uid="{00000000-0005-0000-0000-0000F8060000}"/>
    <cellStyle name="20% - Accent6 2 2 6" xfId="1727" xr:uid="{00000000-0005-0000-0000-0000F9060000}"/>
    <cellStyle name="20% - Accent6 2 2 6 2" xfId="1728" xr:uid="{00000000-0005-0000-0000-0000FA060000}"/>
    <cellStyle name="20% - Accent6 2 3" xfId="1729" xr:uid="{00000000-0005-0000-0000-0000FB060000}"/>
    <cellStyle name="20% - Accent6 2 4" xfId="1730" xr:uid="{00000000-0005-0000-0000-0000FC060000}"/>
    <cellStyle name="20% - Accent6 2 4 2" xfId="1731" xr:uid="{00000000-0005-0000-0000-0000FD060000}"/>
    <cellStyle name="20% - Accent6 2 4 2 2" xfId="1732" xr:uid="{00000000-0005-0000-0000-0000FE060000}"/>
    <cellStyle name="20% - Accent6 2 5" xfId="1733" xr:uid="{00000000-0005-0000-0000-0000FF060000}"/>
    <cellStyle name="20% - Accent6 2 5 2" xfId="1734" xr:uid="{00000000-0005-0000-0000-000000070000}"/>
    <cellStyle name="20% - Accent6 2 5 2 2" xfId="1735" xr:uid="{00000000-0005-0000-0000-000001070000}"/>
    <cellStyle name="20% - Accent6 2 6" xfId="1736" xr:uid="{00000000-0005-0000-0000-000002070000}"/>
    <cellStyle name="20% - Accent6 2 7" xfId="1737" xr:uid="{00000000-0005-0000-0000-000003070000}"/>
    <cellStyle name="20% - Accent6 3" xfId="1738" xr:uid="{00000000-0005-0000-0000-000004070000}"/>
    <cellStyle name="20% - Accent6 3 2" xfId="1739" xr:uid="{00000000-0005-0000-0000-000005070000}"/>
    <cellStyle name="20% - Accent6 3 3" xfId="1740" xr:uid="{00000000-0005-0000-0000-000006070000}"/>
    <cellStyle name="20% - Accent6 4" xfId="1741" xr:uid="{00000000-0005-0000-0000-000007070000}"/>
    <cellStyle name="20% - Accent6 5" xfId="1742" xr:uid="{00000000-0005-0000-0000-000008070000}"/>
    <cellStyle name="20% - Accent6 6" xfId="1743" xr:uid="{00000000-0005-0000-0000-000009070000}"/>
    <cellStyle name="20% - Accent6 7" xfId="1744" xr:uid="{00000000-0005-0000-0000-00000A070000}"/>
    <cellStyle name="2DP" xfId="1745" xr:uid="{00000000-0005-0000-0000-00000B070000}"/>
    <cellStyle name="2DP bold" xfId="1746" xr:uid="{00000000-0005-0000-0000-00000C070000}"/>
    <cellStyle name="2DP_Draft RIIO plan presentation template - Customer Opsx Centre V7" xfId="1747" xr:uid="{00000000-0005-0000-0000-00000D070000}"/>
    <cellStyle name="3 V1.00 CORE IMAGE (5200MM3.100 08/01/97)_x000d__x000a__x000d__x000a_[windows]_x000d__x000a_;spooler=yes_x000d__x000a_load=nw" xfId="1748" xr:uid="{00000000-0005-0000-0000-00000E070000}"/>
    <cellStyle name="3 V1.00 CORE IMAGE (5200MM3.100 08/01/97)_x000d__x000a__x000d__x000a_[windows]_x000d__x000a_;spooler=yes_x000d__x000a_load=nw 2" xfId="1749" xr:uid="{00000000-0005-0000-0000-00000F070000}"/>
    <cellStyle name="3DP" xfId="1750" xr:uid="{00000000-0005-0000-0000-000010070000}"/>
    <cellStyle name="40% - Accent1 2" xfId="1751" xr:uid="{00000000-0005-0000-0000-000011070000}"/>
    <cellStyle name="40% - Accent1 2 2" xfId="1752" xr:uid="{00000000-0005-0000-0000-000012070000}"/>
    <cellStyle name="40% - Accent1 2 2 2" xfId="1753" xr:uid="{00000000-0005-0000-0000-000013070000}"/>
    <cellStyle name="40% - Accent1 2 2 2 2" xfId="1754" xr:uid="{00000000-0005-0000-0000-000014070000}"/>
    <cellStyle name="40% - Accent1 2 2 2 2 2" xfId="1755" xr:uid="{00000000-0005-0000-0000-000015070000}"/>
    <cellStyle name="40% - Accent1 2 2 2 3" xfId="1756" xr:uid="{00000000-0005-0000-0000-000016070000}"/>
    <cellStyle name="40% - Accent1 2 2 2 4" xfId="1757" xr:uid="{00000000-0005-0000-0000-000017070000}"/>
    <cellStyle name="40% - Accent1 2 2 3" xfId="1758" xr:uid="{00000000-0005-0000-0000-000018070000}"/>
    <cellStyle name="40% - Accent1 2 2 3 2" xfId="1759" xr:uid="{00000000-0005-0000-0000-000019070000}"/>
    <cellStyle name="40% - Accent1 2 2 3 2 2" xfId="1760" xr:uid="{00000000-0005-0000-0000-00001A070000}"/>
    <cellStyle name="40% - Accent1 2 2 4" xfId="1761" xr:uid="{00000000-0005-0000-0000-00001B070000}"/>
    <cellStyle name="40% - Accent1 2 2 5" xfId="1762" xr:uid="{00000000-0005-0000-0000-00001C070000}"/>
    <cellStyle name="40% - Accent1 2 2 6" xfId="1763" xr:uid="{00000000-0005-0000-0000-00001D070000}"/>
    <cellStyle name="40% - Accent1 2 2 6 2" xfId="1764" xr:uid="{00000000-0005-0000-0000-00001E070000}"/>
    <cellStyle name="40% - Accent1 2 3" xfId="1765" xr:uid="{00000000-0005-0000-0000-00001F070000}"/>
    <cellStyle name="40% - Accent1 2 4" xfId="1766" xr:uid="{00000000-0005-0000-0000-000020070000}"/>
    <cellStyle name="40% - Accent1 2 4 2" xfId="1767" xr:uid="{00000000-0005-0000-0000-000021070000}"/>
    <cellStyle name="40% - Accent1 2 4 2 2" xfId="1768" xr:uid="{00000000-0005-0000-0000-000022070000}"/>
    <cellStyle name="40% - Accent1 2 5" xfId="1769" xr:uid="{00000000-0005-0000-0000-000023070000}"/>
    <cellStyle name="40% - Accent1 2 5 2" xfId="1770" xr:uid="{00000000-0005-0000-0000-000024070000}"/>
    <cellStyle name="40% - Accent1 2 5 2 2" xfId="1771" xr:uid="{00000000-0005-0000-0000-000025070000}"/>
    <cellStyle name="40% - Accent1 2 6" xfId="1772" xr:uid="{00000000-0005-0000-0000-000026070000}"/>
    <cellStyle name="40% - Accent1 2 7" xfId="1773" xr:uid="{00000000-0005-0000-0000-000027070000}"/>
    <cellStyle name="40% - Accent1 3" xfId="1774" xr:uid="{00000000-0005-0000-0000-000028070000}"/>
    <cellStyle name="40% - Accent1 3 2" xfId="1775" xr:uid="{00000000-0005-0000-0000-000029070000}"/>
    <cellStyle name="40% - Accent1 3 3" xfId="1776" xr:uid="{00000000-0005-0000-0000-00002A070000}"/>
    <cellStyle name="40% - Accent1 4" xfId="1777" xr:uid="{00000000-0005-0000-0000-00002B070000}"/>
    <cellStyle name="40% - Accent1 5" xfId="1778" xr:uid="{00000000-0005-0000-0000-00002C070000}"/>
    <cellStyle name="40% - Accent1 6" xfId="1779" xr:uid="{00000000-0005-0000-0000-00002D070000}"/>
    <cellStyle name="40% - Accent1 7" xfId="1780" xr:uid="{00000000-0005-0000-0000-00002E070000}"/>
    <cellStyle name="40% - Accent2 2" xfId="1781" xr:uid="{00000000-0005-0000-0000-00002F070000}"/>
    <cellStyle name="40% - Accent2 2 2" xfId="1782" xr:uid="{00000000-0005-0000-0000-000030070000}"/>
    <cellStyle name="40% - Accent2 2 2 2" xfId="1783" xr:uid="{00000000-0005-0000-0000-000031070000}"/>
    <cellStyle name="40% - Accent2 2 2 2 2" xfId="1784" xr:uid="{00000000-0005-0000-0000-000032070000}"/>
    <cellStyle name="40% - Accent2 2 2 2 2 2" xfId="1785" xr:uid="{00000000-0005-0000-0000-000033070000}"/>
    <cellStyle name="40% - Accent2 2 2 2 3" xfId="1786" xr:uid="{00000000-0005-0000-0000-000034070000}"/>
    <cellStyle name="40% - Accent2 2 2 2 4" xfId="1787" xr:uid="{00000000-0005-0000-0000-000035070000}"/>
    <cellStyle name="40% - Accent2 2 2 3" xfId="1788" xr:uid="{00000000-0005-0000-0000-000036070000}"/>
    <cellStyle name="40% - Accent2 2 2 3 2" xfId="1789" xr:uid="{00000000-0005-0000-0000-000037070000}"/>
    <cellStyle name="40% - Accent2 2 2 3 2 2" xfId="1790" xr:uid="{00000000-0005-0000-0000-000038070000}"/>
    <cellStyle name="40% - Accent2 2 2 4" xfId="1791" xr:uid="{00000000-0005-0000-0000-000039070000}"/>
    <cellStyle name="40% - Accent2 2 2 5" xfId="1792" xr:uid="{00000000-0005-0000-0000-00003A070000}"/>
    <cellStyle name="40% - Accent2 2 2 6" xfId="1793" xr:uid="{00000000-0005-0000-0000-00003B070000}"/>
    <cellStyle name="40% - Accent2 2 2 6 2" xfId="1794" xr:uid="{00000000-0005-0000-0000-00003C070000}"/>
    <cellStyle name="40% - Accent2 2 3" xfId="1795" xr:uid="{00000000-0005-0000-0000-00003D070000}"/>
    <cellStyle name="40% - Accent2 2 4" xfId="1796" xr:uid="{00000000-0005-0000-0000-00003E070000}"/>
    <cellStyle name="40% - Accent2 2 4 2" xfId="1797" xr:uid="{00000000-0005-0000-0000-00003F070000}"/>
    <cellStyle name="40% - Accent2 2 4 2 2" xfId="1798" xr:uid="{00000000-0005-0000-0000-000040070000}"/>
    <cellStyle name="40% - Accent2 2 5" xfId="1799" xr:uid="{00000000-0005-0000-0000-000041070000}"/>
    <cellStyle name="40% - Accent2 2 5 2" xfId="1800" xr:uid="{00000000-0005-0000-0000-000042070000}"/>
    <cellStyle name="40% - Accent2 2 5 2 2" xfId="1801" xr:uid="{00000000-0005-0000-0000-000043070000}"/>
    <cellStyle name="40% - Accent2 2 6" xfId="1802" xr:uid="{00000000-0005-0000-0000-000044070000}"/>
    <cellStyle name="40% - Accent2 2 7" xfId="1803" xr:uid="{00000000-0005-0000-0000-000045070000}"/>
    <cellStyle name="40% - Accent2 3" xfId="1804" xr:uid="{00000000-0005-0000-0000-000046070000}"/>
    <cellStyle name="40% - Accent2 3 2" xfId="1805" xr:uid="{00000000-0005-0000-0000-000047070000}"/>
    <cellStyle name="40% - Accent2 3 3" xfId="1806" xr:uid="{00000000-0005-0000-0000-000048070000}"/>
    <cellStyle name="40% - Accent2 4" xfId="1807" xr:uid="{00000000-0005-0000-0000-000049070000}"/>
    <cellStyle name="40% - Accent2 5" xfId="1808" xr:uid="{00000000-0005-0000-0000-00004A070000}"/>
    <cellStyle name="40% - Accent2 6" xfId="1809" xr:uid="{00000000-0005-0000-0000-00004B070000}"/>
    <cellStyle name="40% - Accent2 7" xfId="1810" xr:uid="{00000000-0005-0000-0000-00004C070000}"/>
    <cellStyle name="40% - Accent3 2" xfId="1811" xr:uid="{00000000-0005-0000-0000-00004D070000}"/>
    <cellStyle name="40% - Accent3 2 2" xfId="1812" xr:uid="{00000000-0005-0000-0000-00004E070000}"/>
    <cellStyle name="40% - Accent3 2 2 2" xfId="1813" xr:uid="{00000000-0005-0000-0000-00004F070000}"/>
    <cellStyle name="40% - Accent3 2 2 2 2" xfId="1814" xr:uid="{00000000-0005-0000-0000-000050070000}"/>
    <cellStyle name="40% - Accent3 2 2 2 2 2" xfId="1815" xr:uid="{00000000-0005-0000-0000-000051070000}"/>
    <cellStyle name="40% - Accent3 2 2 2 3" xfId="1816" xr:uid="{00000000-0005-0000-0000-000052070000}"/>
    <cellStyle name="40% - Accent3 2 2 2 4" xfId="1817" xr:uid="{00000000-0005-0000-0000-000053070000}"/>
    <cellStyle name="40% - Accent3 2 2 3" xfId="1818" xr:uid="{00000000-0005-0000-0000-000054070000}"/>
    <cellStyle name="40% - Accent3 2 2 3 2" xfId="1819" xr:uid="{00000000-0005-0000-0000-000055070000}"/>
    <cellStyle name="40% - Accent3 2 2 3 2 2" xfId="1820" xr:uid="{00000000-0005-0000-0000-000056070000}"/>
    <cellStyle name="40% - Accent3 2 2 4" xfId="1821" xr:uid="{00000000-0005-0000-0000-000057070000}"/>
    <cellStyle name="40% - Accent3 2 2 5" xfId="1822" xr:uid="{00000000-0005-0000-0000-000058070000}"/>
    <cellStyle name="40% - Accent3 2 2 6" xfId="1823" xr:uid="{00000000-0005-0000-0000-000059070000}"/>
    <cellStyle name="40% - Accent3 2 2 6 2" xfId="1824" xr:uid="{00000000-0005-0000-0000-00005A070000}"/>
    <cellStyle name="40% - Accent3 2 3" xfId="1825" xr:uid="{00000000-0005-0000-0000-00005B070000}"/>
    <cellStyle name="40% - Accent3 2 4" xfId="1826" xr:uid="{00000000-0005-0000-0000-00005C070000}"/>
    <cellStyle name="40% - Accent3 2 4 2" xfId="1827" xr:uid="{00000000-0005-0000-0000-00005D070000}"/>
    <cellStyle name="40% - Accent3 2 4 2 2" xfId="1828" xr:uid="{00000000-0005-0000-0000-00005E070000}"/>
    <cellStyle name="40% - Accent3 2 5" xfId="1829" xr:uid="{00000000-0005-0000-0000-00005F070000}"/>
    <cellStyle name="40% - Accent3 2 5 2" xfId="1830" xr:uid="{00000000-0005-0000-0000-000060070000}"/>
    <cellStyle name="40% - Accent3 2 5 2 2" xfId="1831" xr:uid="{00000000-0005-0000-0000-000061070000}"/>
    <cellStyle name="40% - Accent3 2 6" xfId="1832" xr:uid="{00000000-0005-0000-0000-000062070000}"/>
    <cellStyle name="40% - Accent3 2 7" xfId="1833" xr:uid="{00000000-0005-0000-0000-000063070000}"/>
    <cellStyle name="40% - Accent3 3" xfId="1834" xr:uid="{00000000-0005-0000-0000-000064070000}"/>
    <cellStyle name="40% - Accent3 3 2" xfId="1835" xr:uid="{00000000-0005-0000-0000-000065070000}"/>
    <cellStyle name="40% - Accent3 3 3" xfId="1836" xr:uid="{00000000-0005-0000-0000-000066070000}"/>
    <cellStyle name="40% - Accent3 4" xfId="1837" xr:uid="{00000000-0005-0000-0000-000067070000}"/>
    <cellStyle name="40% - Accent3 5" xfId="1838" xr:uid="{00000000-0005-0000-0000-000068070000}"/>
    <cellStyle name="40% - Accent3 6" xfId="1839" xr:uid="{00000000-0005-0000-0000-000069070000}"/>
    <cellStyle name="40% - Accent3 7" xfId="1840" xr:uid="{00000000-0005-0000-0000-00006A070000}"/>
    <cellStyle name="40% - Accent4 2" xfId="1841" xr:uid="{00000000-0005-0000-0000-00006B070000}"/>
    <cellStyle name="40% - Accent4 2 2" xfId="1842" xr:uid="{00000000-0005-0000-0000-00006C070000}"/>
    <cellStyle name="40% - Accent4 2 2 2" xfId="1843" xr:uid="{00000000-0005-0000-0000-00006D070000}"/>
    <cellStyle name="40% - Accent4 2 2 2 2" xfId="1844" xr:uid="{00000000-0005-0000-0000-00006E070000}"/>
    <cellStyle name="40% - Accent4 2 2 2 2 2" xfId="1845" xr:uid="{00000000-0005-0000-0000-00006F070000}"/>
    <cellStyle name="40% - Accent4 2 2 2 3" xfId="1846" xr:uid="{00000000-0005-0000-0000-000070070000}"/>
    <cellStyle name="40% - Accent4 2 2 2 4" xfId="1847" xr:uid="{00000000-0005-0000-0000-000071070000}"/>
    <cellStyle name="40% - Accent4 2 2 3" xfId="1848" xr:uid="{00000000-0005-0000-0000-000072070000}"/>
    <cellStyle name="40% - Accent4 2 2 3 2" xfId="1849" xr:uid="{00000000-0005-0000-0000-000073070000}"/>
    <cellStyle name="40% - Accent4 2 2 3 2 2" xfId="1850" xr:uid="{00000000-0005-0000-0000-000074070000}"/>
    <cellStyle name="40% - Accent4 2 2 4" xfId="1851" xr:uid="{00000000-0005-0000-0000-000075070000}"/>
    <cellStyle name="40% - Accent4 2 2 5" xfId="1852" xr:uid="{00000000-0005-0000-0000-000076070000}"/>
    <cellStyle name="40% - Accent4 2 2 6" xfId="1853" xr:uid="{00000000-0005-0000-0000-000077070000}"/>
    <cellStyle name="40% - Accent4 2 2 6 2" xfId="1854" xr:uid="{00000000-0005-0000-0000-000078070000}"/>
    <cellStyle name="40% - Accent4 2 3" xfId="1855" xr:uid="{00000000-0005-0000-0000-000079070000}"/>
    <cellStyle name="40% - Accent4 2 4" xfId="1856" xr:uid="{00000000-0005-0000-0000-00007A070000}"/>
    <cellStyle name="40% - Accent4 2 4 2" xfId="1857" xr:uid="{00000000-0005-0000-0000-00007B070000}"/>
    <cellStyle name="40% - Accent4 2 4 2 2" xfId="1858" xr:uid="{00000000-0005-0000-0000-00007C070000}"/>
    <cellStyle name="40% - Accent4 2 5" xfId="1859" xr:uid="{00000000-0005-0000-0000-00007D070000}"/>
    <cellStyle name="40% - Accent4 2 5 2" xfId="1860" xr:uid="{00000000-0005-0000-0000-00007E070000}"/>
    <cellStyle name="40% - Accent4 2 5 2 2" xfId="1861" xr:uid="{00000000-0005-0000-0000-00007F070000}"/>
    <cellStyle name="40% - Accent4 2 6" xfId="1862" xr:uid="{00000000-0005-0000-0000-000080070000}"/>
    <cellStyle name="40% - Accent4 2 7" xfId="1863" xr:uid="{00000000-0005-0000-0000-000081070000}"/>
    <cellStyle name="40% - Accent4 3" xfId="1864" xr:uid="{00000000-0005-0000-0000-000082070000}"/>
    <cellStyle name="40% - Accent4 3 2" xfId="1865" xr:uid="{00000000-0005-0000-0000-000083070000}"/>
    <cellStyle name="40% - Accent4 3 3" xfId="1866" xr:uid="{00000000-0005-0000-0000-000084070000}"/>
    <cellStyle name="40% - Accent4 4" xfId="1867" xr:uid="{00000000-0005-0000-0000-000085070000}"/>
    <cellStyle name="40% - Accent4 5" xfId="1868" xr:uid="{00000000-0005-0000-0000-000086070000}"/>
    <cellStyle name="40% - Accent4 6" xfId="1869" xr:uid="{00000000-0005-0000-0000-000087070000}"/>
    <cellStyle name="40% - Accent4 7" xfId="1870" xr:uid="{00000000-0005-0000-0000-000088070000}"/>
    <cellStyle name="40% - Accent5 2" xfId="1871" xr:uid="{00000000-0005-0000-0000-000089070000}"/>
    <cellStyle name="40% - Accent5 2 2" xfId="1872" xr:uid="{00000000-0005-0000-0000-00008A070000}"/>
    <cellStyle name="40% - Accent5 2 2 2" xfId="1873" xr:uid="{00000000-0005-0000-0000-00008B070000}"/>
    <cellStyle name="40% - Accent5 2 2 2 2" xfId="1874" xr:uid="{00000000-0005-0000-0000-00008C070000}"/>
    <cellStyle name="40% - Accent5 2 2 2 2 2" xfId="1875" xr:uid="{00000000-0005-0000-0000-00008D070000}"/>
    <cellStyle name="40% - Accent5 2 2 2 3" xfId="1876" xr:uid="{00000000-0005-0000-0000-00008E070000}"/>
    <cellStyle name="40% - Accent5 2 2 2 4" xfId="1877" xr:uid="{00000000-0005-0000-0000-00008F070000}"/>
    <cellStyle name="40% - Accent5 2 2 3" xfId="1878" xr:uid="{00000000-0005-0000-0000-000090070000}"/>
    <cellStyle name="40% - Accent5 2 2 3 2" xfId="1879" xr:uid="{00000000-0005-0000-0000-000091070000}"/>
    <cellStyle name="40% - Accent5 2 2 3 2 2" xfId="1880" xr:uid="{00000000-0005-0000-0000-000092070000}"/>
    <cellStyle name="40% - Accent5 2 2 4" xfId="1881" xr:uid="{00000000-0005-0000-0000-000093070000}"/>
    <cellStyle name="40% - Accent5 2 2 5" xfId="1882" xr:uid="{00000000-0005-0000-0000-000094070000}"/>
    <cellStyle name="40% - Accent5 2 2 6" xfId="1883" xr:uid="{00000000-0005-0000-0000-000095070000}"/>
    <cellStyle name="40% - Accent5 2 2 6 2" xfId="1884" xr:uid="{00000000-0005-0000-0000-000096070000}"/>
    <cellStyle name="40% - Accent5 2 3" xfId="1885" xr:uid="{00000000-0005-0000-0000-000097070000}"/>
    <cellStyle name="40% - Accent5 2 4" xfId="1886" xr:uid="{00000000-0005-0000-0000-000098070000}"/>
    <cellStyle name="40% - Accent5 2 4 2" xfId="1887" xr:uid="{00000000-0005-0000-0000-000099070000}"/>
    <cellStyle name="40% - Accent5 2 4 2 2" xfId="1888" xr:uid="{00000000-0005-0000-0000-00009A070000}"/>
    <cellStyle name="40% - Accent5 2 5" xfId="1889" xr:uid="{00000000-0005-0000-0000-00009B070000}"/>
    <cellStyle name="40% - Accent5 2 5 2" xfId="1890" xr:uid="{00000000-0005-0000-0000-00009C070000}"/>
    <cellStyle name="40% - Accent5 2 5 2 2" xfId="1891" xr:uid="{00000000-0005-0000-0000-00009D070000}"/>
    <cellStyle name="40% - Accent5 2 6" xfId="1892" xr:uid="{00000000-0005-0000-0000-00009E070000}"/>
    <cellStyle name="40% - Accent5 2 7" xfId="1893" xr:uid="{00000000-0005-0000-0000-00009F070000}"/>
    <cellStyle name="40% - Accent5 3" xfId="1894" xr:uid="{00000000-0005-0000-0000-0000A0070000}"/>
    <cellStyle name="40% - Accent5 3 2" xfId="1895" xr:uid="{00000000-0005-0000-0000-0000A1070000}"/>
    <cellStyle name="40% - Accent5 3 3" xfId="1896" xr:uid="{00000000-0005-0000-0000-0000A2070000}"/>
    <cellStyle name="40% - Accent5 4" xfId="1897" xr:uid="{00000000-0005-0000-0000-0000A3070000}"/>
    <cellStyle name="40% - Accent5 5" xfId="1898" xr:uid="{00000000-0005-0000-0000-0000A4070000}"/>
    <cellStyle name="40% - Accent5 6" xfId="1899" xr:uid="{00000000-0005-0000-0000-0000A5070000}"/>
    <cellStyle name="40% - Accent5 7" xfId="1900" xr:uid="{00000000-0005-0000-0000-0000A6070000}"/>
    <cellStyle name="40% - Accent6 2" xfId="1901" xr:uid="{00000000-0005-0000-0000-0000A7070000}"/>
    <cellStyle name="40% - Accent6 2 2" xfId="1902" xr:uid="{00000000-0005-0000-0000-0000A8070000}"/>
    <cellStyle name="40% - Accent6 2 2 2" xfId="1903" xr:uid="{00000000-0005-0000-0000-0000A9070000}"/>
    <cellStyle name="40% - Accent6 2 2 2 2" xfId="1904" xr:uid="{00000000-0005-0000-0000-0000AA070000}"/>
    <cellStyle name="40% - Accent6 2 2 2 2 2" xfId="1905" xr:uid="{00000000-0005-0000-0000-0000AB070000}"/>
    <cellStyle name="40% - Accent6 2 2 2 3" xfId="1906" xr:uid="{00000000-0005-0000-0000-0000AC070000}"/>
    <cellStyle name="40% - Accent6 2 2 2 4" xfId="1907" xr:uid="{00000000-0005-0000-0000-0000AD070000}"/>
    <cellStyle name="40% - Accent6 2 2 3" xfId="1908" xr:uid="{00000000-0005-0000-0000-0000AE070000}"/>
    <cellStyle name="40% - Accent6 2 2 3 2" xfId="1909" xr:uid="{00000000-0005-0000-0000-0000AF070000}"/>
    <cellStyle name="40% - Accent6 2 2 3 2 2" xfId="1910" xr:uid="{00000000-0005-0000-0000-0000B0070000}"/>
    <cellStyle name="40% - Accent6 2 2 4" xfId="1911" xr:uid="{00000000-0005-0000-0000-0000B1070000}"/>
    <cellStyle name="40% - Accent6 2 2 5" xfId="1912" xr:uid="{00000000-0005-0000-0000-0000B2070000}"/>
    <cellStyle name="40% - Accent6 2 2 6" xfId="1913" xr:uid="{00000000-0005-0000-0000-0000B3070000}"/>
    <cellStyle name="40% - Accent6 2 2 6 2" xfId="1914" xr:uid="{00000000-0005-0000-0000-0000B4070000}"/>
    <cellStyle name="40% - Accent6 2 3" xfId="1915" xr:uid="{00000000-0005-0000-0000-0000B5070000}"/>
    <cellStyle name="40% - Accent6 2 4" xfId="1916" xr:uid="{00000000-0005-0000-0000-0000B6070000}"/>
    <cellStyle name="40% - Accent6 2 4 2" xfId="1917" xr:uid="{00000000-0005-0000-0000-0000B7070000}"/>
    <cellStyle name="40% - Accent6 2 4 2 2" xfId="1918" xr:uid="{00000000-0005-0000-0000-0000B8070000}"/>
    <cellStyle name="40% - Accent6 2 5" xfId="1919" xr:uid="{00000000-0005-0000-0000-0000B9070000}"/>
    <cellStyle name="40% - Accent6 2 5 2" xfId="1920" xr:uid="{00000000-0005-0000-0000-0000BA070000}"/>
    <cellStyle name="40% - Accent6 2 5 2 2" xfId="1921" xr:uid="{00000000-0005-0000-0000-0000BB070000}"/>
    <cellStyle name="40% - Accent6 2 6" xfId="1922" xr:uid="{00000000-0005-0000-0000-0000BC070000}"/>
    <cellStyle name="40% - Accent6 2 7" xfId="1923" xr:uid="{00000000-0005-0000-0000-0000BD070000}"/>
    <cellStyle name="40% - Accent6 3" xfId="1924" xr:uid="{00000000-0005-0000-0000-0000BE070000}"/>
    <cellStyle name="40% - Accent6 3 2" xfId="1925" xr:uid="{00000000-0005-0000-0000-0000BF070000}"/>
    <cellStyle name="40% - Accent6 3 3" xfId="1926" xr:uid="{00000000-0005-0000-0000-0000C0070000}"/>
    <cellStyle name="40% - Accent6 4" xfId="1927" xr:uid="{00000000-0005-0000-0000-0000C1070000}"/>
    <cellStyle name="40% - Accent6 5" xfId="1928" xr:uid="{00000000-0005-0000-0000-0000C2070000}"/>
    <cellStyle name="40% - Accent6 6" xfId="1929" xr:uid="{00000000-0005-0000-0000-0000C3070000}"/>
    <cellStyle name="40% - Accent6 7" xfId="1930" xr:uid="{00000000-0005-0000-0000-0000C4070000}"/>
    <cellStyle name="60% - Accent1 2" xfId="1931" xr:uid="{00000000-0005-0000-0000-0000C5070000}"/>
    <cellStyle name="60% - Accent1 2 2" xfId="1932" xr:uid="{00000000-0005-0000-0000-0000C6070000}"/>
    <cellStyle name="60% - Accent1 2 2 2" xfId="1933" xr:uid="{00000000-0005-0000-0000-0000C7070000}"/>
    <cellStyle name="60% - Accent1 2 2 2 2" xfId="1934" xr:uid="{00000000-0005-0000-0000-0000C8070000}"/>
    <cellStyle name="60% - Accent1 2 2 2 2 2" xfId="1935" xr:uid="{00000000-0005-0000-0000-0000C9070000}"/>
    <cellStyle name="60% - Accent1 2 2 2 3" xfId="1936" xr:uid="{00000000-0005-0000-0000-0000CA070000}"/>
    <cellStyle name="60% - Accent1 2 2 2 4" xfId="1937" xr:uid="{00000000-0005-0000-0000-0000CB070000}"/>
    <cellStyle name="60% - Accent1 2 2 3" xfId="1938" xr:uid="{00000000-0005-0000-0000-0000CC070000}"/>
    <cellStyle name="60% - Accent1 2 2 3 2" xfId="1939" xr:uid="{00000000-0005-0000-0000-0000CD070000}"/>
    <cellStyle name="60% - Accent1 2 2 3 2 2" xfId="1940" xr:uid="{00000000-0005-0000-0000-0000CE070000}"/>
    <cellStyle name="60% - Accent1 2 2 4" xfId="1941" xr:uid="{00000000-0005-0000-0000-0000CF070000}"/>
    <cellStyle name="60% - Accent1 2 2 5" xfId="1942" xr:uid="{00000000-0005-0000-0000-0000D0070000}"/>
    <cellStyle name="60% - Accent1 2 2 6" xfId="1943" xr:uid="{00000000-0005-0000-0000-0000D1070000}"/>
    <cellStyle name="60% - Accent1 2 2 6 2" xfId="1944" xr:uid="{00000000-0005-0000-0000-0000D2070000}"/>
    <cellStyle name="60% - Accent1 2 3" xfId="1945" xr:uid="{00000000-0005-0000-0000-0000D3070000}"/>
    <cellStyle name="60% - Accent1 2 4" xfId="1946" xr:uid="{00000000-0005-0000-0000-0000D4070000}"/>
    <cellStyle name="60% - Accent1 2 4 2" xfId="1947" xr:uid="{00000000-0005-0000-0000-0000D5070000}"/>
    <cellStyle name="60% - Accent1 2 4 2 2" xfId="1948" xr:uid="{00000000-0005-0000-0000-0000D6070000}"/>
    <cellStyle name="60% - Accent1 2 5" xfId="1949" xr:uid="{00000000-0005-0000-0000-0000D7070000}"/>
    <cellStyle name="60% - Accent1 2 5 2" xfId="1950" xr:uid="{00000000-0005-0000-0000-0000D8070000}"/>
    <cellStyle name="60% - Accent1 2 5 2 2" xfId="1951" xr:uid="{00000000-0005-0000-0000-0000D9070000}"/>
    <cellStyle name="60% - Accent1 2 6" xfId="1952" xr:uid="{00000000-0005-0000-0000-0000DA070000}"/>
    <cellStyle name="60% - Accent1 2 7" xfId="1953" xr:uid="{00000000-0005-0000-0000-0000DB070000}"/>
    <cellStyle name="60% - Accent1 3" xfId="1954" xr:uid="{00000000-0005-0000-0000-0000DC070000}"/>
    <cellStyle name="60% - Accent1 3 2" xfId="1955" xr:uid="{00000000-0005-0000-0000-0000DD070000}"/>
    <cellStyle name="60% - Accent1 3 3" xfId="1956" xr:uid="{00000000-0005-0000-0000-0000DE070000}"/>
    <cellStyle name="60% - Accent1 4" xfId="1957" xr:uid="{00000000-0005-0000-0000-0000DF070000}"/>
    <cellStyle name="60% - Accent1 5" xfId="1958" xr:uid="{00000000-0005-0000-0000-0000E0070000}"/>
    <cellStyle name="60% - Accent1 6" xfId="1959" xr:uid="{00000000-0005-0000-0000-0000E1070000}"/>
    <cellStyle name="60% - Accent1 7" xfId="1960" xr:uid="{00000000-0005-0000-0000-0000E2070000}"/>
    <cellStyle name="60% - Accent2 2" xfId="1961" xr:uid="{00000000-0005-0000-0000-0000E3070000}"/>
    <cellStyle name="60% - Accent2 2 2" xfId="1962" xr:uid="{00000000-0005-0000-0000-0000E4070000}"/>
    <cellStyle name="60% - Accent2 2 2 2" xfId="1963" xr:uid="{00000000-0005-0000-0000-0000E5070000}"/>
    <cellStyle name="60% - Accent2 2 2 2 2" xfId="1964" xr:uid="{00000000-0005-0000-0000-0000E6070000}"/>
    <cellStyle name="60% - Accent2 2 2 2 2 2" xfId="1965" xr:uid="{00000000-0005-0000-0000-0000E7070000}"/>
    <cellStyle name="60% - Accent2 2 2 2 3" xfId="1966" xr:uid="{00000000-0005-0000-0000-0000E8070000}"/>
    <cellStyle name="60% - Accent2 2 2 2 4" xfId="1967" xr:uid="{00000000-0005-0000-0000-0000E9070000}"/>
    <cellStyle name="60% - Accent2 2 2 3" xfId="1968" xr:uid="{00000000-0005-0000-0000-0000EA070000}"/>
    <cellStyle name="60% - Accent2 2 2 3 2" xfId="1969" xr:uid="{00000000-0005-0000-0000-0000EB070000}"/>
    <cellStyle name="60% - Accent2 2 2 3 2 2" xfId="1970" xr:uid="{00000000-0005-0000-0000-0000EC070000}"/>
    <cellStyle name="60% - Accent2 2 2 4" xfId="1971" xr:uid="{00000000-0005-0000-0000-0000ED070000}"/>
    <cellStyle name="60% - Accent2 2 2 5" xfId="1972" xr:uid="{00000000-0005-0000-0000-0000EE070000}"/>
    <cellStyle name="60% - Accent2 2 2 6" xfId="1973" xr:uid="{00000000-0005-0000-0000-0000EF070000}"/>
    <cellStyle name="60% - Accent2 2 2 6 2" xfId="1974" xr:uid="{00000000-0005-0000-0000-0000F0070000}"/>
    <cellStyle name="60% - Accent2 2 3" xfId="1975" xr:uid="{00000000-0005-0000-0000-0000F1070000}"/>
    <cellStyle name="60% - Accent2 2 4" xfId="1976" xr:uid="{00000000-0005-0000-0000-0000F2070000}"/>
    <cellStyle name="60% - Accent2 2 4 2" xfId="1977" xr:uid="{00000000-0005-0000-0000-0000F3070000}"/>
    <cellStyle name="60% - Accent2 2 4 2 2" xfId="1978" xr:uid="{00000000-0005-0000-0000-0000F4070000}"/>
    <cellStyle name="60% - Accent2 2 5" xfId="1979" xr:uid="{00000000-0005-0000-0000-0000F5070000}"/>
    <cellStyle name="60% - Accent2 2 5 2" xfId="1980" xr:uid="{00000000-0005-0000-0000-0000F6070000}"/>
    <cellStyle name="60% - Accent2 2 5 2 2" xfId="1981" xr:uid="{00000000-0005-0000-0000-0000F7070000}"/>
    <cellStyle name="60% - Accent2 2 6" xfId="1982" xr:uid="{00000000-0005-0000-0000-0000F8070000}"/>
    <cellStyle name="60% - Accent2 2 7" xfId="1983" xr:uid="{00000000-0005-0000-0000-0000F9070000}"/>
    <cellStyle name="60% - Accent2 3" xfId="1984" xr:uid="{00000000-0005-0000-0000-0000FA070000}"/>
    <cellStyle name="60% - Accent2 3 2" xfId="1985" xr:uid="{00000000-0005-0000-0000-0000FB070000}"/>
    <cellStyle name="60% - Accent2 3 3" xfId="1986" xr:uid="{00000000-0005-0000-0000-0000FC070000}"/>
    <cellStyle name="60% - Accent2 4" xfId="1987" xr:uid="{00000000-0005-0000-0000-0000FD070000}"/>
    <cellStyle name="60% - Accent2 5" xfId="1988" xr:uid="{00000000-0005-0000-0000-0000FE070000}"/>
    <cellStyle name="60% - Accent2 6" xfId="1989" xr:uid="{00000000-0005-0000-0000-0000FF070000}"/>
    <cellStyle name="60% - Accent2 7" xfId="1990" xr:uid="{00000000-0005-0000-0000-000000080000}"/>
    <cellStyle name="60% - Accent3 2" xfId="1991" xr:uid="{00000000-0005-0000-0000-000001080000}"/>
    <cellStyle name="60% - Accent3 2 2" xfId="1992" xr:uid="{00000000-0005-0000-0000-000002080000}"/>
    <cellStyle name="60% - Accent3 2 2 2" xfId="1993" xr:uid="{00000000-0005-0000-0000-000003080000}"/>
    <cellStyle name="60% - Accent3 2 2 2 2" xfId="1994" xr:uid="{00000000-0005-0000-0000-000004080000}"/>
    <cellStyle name="60% - Accent3 2 2 2 2 2" xfId="1995" xr:uid="{00000000-0005-0000-0000-000005080000}"/>
    <cellStyle name="60% - Accent3 2 2 2 3" xfId="1996" xr:uid="{00000000-0005-0000-0000-000006080000}"/>
    <cellStyle name="60% - Accent3 2 2 2 4" xfId="1997" xr:uid="{00000000-0005-0000-0000-000007080000}"/>
    <cellStyle name="60% - Accent3 2 2 3" xfId="1998" xr:uid="{00000000-0005-0000-0000-000008080000}"/>
    <cellStyle name="60% - Accent3 2 2 3 2" xfId="1999" xr:uid="{00000000-0005-0000-0000-000009080000}"/>
    <cellStyle name="60% - Accent3 2 2 3 2 2" xfId="2000" xr:uid="{00000000-0005-0000-0000-00000A080000}"/>
    <cellStyle name="60% - Accent3 2 2 4" xfId="2001" xr:uid="{00000000-0005-0000-0000-00000B080000}"/>
    <cellStyle name="60% - Accent3 2 2 5" xfId="2002" xr:uid="{00000000-0005-0000-0000-00000C080000}"/>
    <cellStyle name="60% - Accent3 2 2 6" xfId="2003" xr:uid="{00000000-0005-0000-0000-00000D080000}"/>
    <cellStyle name="60% - Accent3 2 2 6 2" xfId="2004" xr:uid="{00000000-0005-0000-0000-00000E080000}"/>
    <cellStyle name="60% - Accent3 2 3" xfId="2005" xr:uid="{00000000-0005-0000-0000-00000F080000}"/>
    <cellStyle name="60% - Accent3 2 4" xfId="2006" xr:uid="{00000000-0005-0000-0000-000010080000}"/>
    <cellStyle name="60% - Accent3 2 4 2" xfId="2007" xr:uid="{00000000-0005-0000-0000-000011080000}"/>
    <cellStyle name="60% - Accent3 2 4 2 2" xfId="2008" xr:uid="{00000000-0005-0000-0000-000012080000}"/>
    <cellStyle name="60% - Accent3 2 5" xfId="2009" xr:uid="{00000000-0005-0000-0000-000013080000}"/>
    <cellStyle name="60% - Accent3 2 5 2" xfId="2010" xr:uid="{00000000-0005-0000-0000-000014080000}"/>
    <cellStyle name="60% - Accent3 2 5 2 2" xfId="2011" xr:uid="{00000000-0005-0000-0000-000015080000}"/>
    <cellStyle name="60% - Accent3 2 6" xfId="2012" xr:uid="{00000000-0005-0000-0000-000016080000}"/>
    <cellStyle name="60% - Accent3 2 7" xfId="2013" xr:uid="{00000000-0005-0000-0000-000017080000}"/>
    <cellStyle name="60% - Accent3 3" xfId="2014" xr:uid="{00000000-0005-0000-0000-000018080000}"/>
    <cellStyle name="60% - Accent3 3 2" xfId="2015" xr:uid="{00000000-0005-0000-0000-000019080000}"/>
    <cellStyle name="60% - Accent3 3 3" xfId="2016" xr:uid="{00000000-0005-0000-0000-00001A080000}"/>
    <cellStyle name="60% - Accent3 4" xfId="2017" xr:uid="{00000000-0005-0000-0000-00001B080000}"/>
    <cellStyle name="60% - Accent3 5" xfId="2018" xr:uid="{00000000-0005-0000-0000-00001C080000}"/>
    <cellStyle name="60% - Accent3 6" xfId="2019" xr:uid="{00000000-0005-0000-0000-00001D080000}"/>
    <cellStyle name="60% - Accent3 7" xfId="2020" xr:uid="{00000000-0005-0000-0000-00001E080000}"/>
    <cellStyle name="60% - Accent4 2" xfId="2021" xr:uid="{00000000-0005-0000-0000-00001F080000}"/>
    <cellStyle name="60% - Accent4 2 2" xfId="2022" xr:uid="{00000000-0005-0000-0000-000020080000}"/>
    <cellStyle name="60% - Accent4 2 2 2" xfId="2023" xr:uid="{00000000-0005-0000-0000-000021080000}"/>
    <cellStyle name="60% - Accent4 2 2 2 2" xfId="2024" xr:uid="{00000000-0005-0000-0000-000022080000}"/>
    <cellStyle name="60% - Accent4 2 2 2 2 2" xfId="2025" xr:uid="{00000000-0005-0000-0000-000023080000}"/>
    <cellStyle name="60% - Accent4 2 2 2 3" xfId="2026" xr:uid="{00000000-0005-0000-0000-000024080000}"/>
    <cellStyle name="60% - Accent4 2 2 2 4" xfId="2027" xr:uid="{00000000-0005-0000-0000-000025080000}"/>
    <cellStyle name="60% - Accent4 2 2 3" xfId="2028" xr:uid="{00000000-0005-0000-0000-000026080000}"/>
    <cellStyle name="60% - Accent4 2 2 3 2" xfId="2029" xr:uid="{00000000-0005-0000-0000-000027080000}"/>
    <cellStyle name="60% - Accent4 2 2 3 2 2" xfId="2030" xr:uid="{00000000-0005-0000-0000-000028080000}"/>
    <cellStyle name="60% - Accent4 2 2 4" xfId="2031" xr:uid="{00000000-0005-0000-0000-000029080000}"/>
    <cellStyle name="60% - Accent4 2 2 5" xfId="2032" xr:uid="{00000000-0005-0000-0000-00002A080000}"/>
    <cellStyle name="60% - Accent4 2 2 6" xfId="2033" xr:uid="{00000000-0005-0000-0000-00002B080000}"/>
    <cellStyle name="60% - Accent4 2 2 6 2" xfId="2034" xr:uid="{00000000-0005-0000-0000-00002C080000}"/>
    <cellStyle name="60% - Accent4 2 3" xfId="2035" xr:uid="{00000000-0005-0000-0000-00002D080000}"/>
    <cellStyle name="60% - Accent4 2 4" xfId="2036" xr:uid="{00000000-0005-0000-0000-00002E080000}"/>
    <cellStyle name="60% - Accent4 2 4 2" xfId="2037" xr:uid="{00000000-0005-0000-0000-00002F080000}"/>
    <cellStyle name="60% - Accent4 2 4 2 2" xfId="2038" xr:uid="{00000000-0005-0000-0000-000030080000}"/>
    <cellStyle name="60% - Accent4 2 5" xfId="2039" xr:uid="{00000000-0005-0000-0000-000031080000}"/>
    <cellStyle name="60% - Accent4 2 5 2" xfId="2040" xr:uid="{00000000-0005-0000-0000-000032080000}"/>
    <cellStyle name="60% - Accent4 2 5 2 2" xfId="2041" xr:uid="{00000000-0005-0000-0000-000033080000}"/>
    <cellStyle name="60% - Accent4 2 6" xfId="2042" xr:uid="{00000000-0005-0000-0000-000034080000}"/>
    <cellStyle name="60% - Accent4 2 7" xfId="2043" xr:uid="{00000000-0005-0000-0000-000035080000}"/>
    <cellStyle name="60% - Accent4 3" xfId="2044" xr:uid="{00000000-0005-0000-0000-000036080000}"/>
    <cellStyle name="60% - Accent4 3 2" xfId="2045" xr:uid="{00000000-0005-0000-0000-000037080000}"/>
    <cellStyle name="60% - Accent4 3 3" xfId="2046" xr:uid="{00000000-0005-0000-0000-000038080000}"/>
    <cellStyle name="60% - Accent4 4" xfId="2047" xr:uid="{00000000-0005-0000-0000-000039080000}"/>
    <cellStyle name="60% - Accent4 5" xfId="2048" xr:uid="{00000000-0005-0000-0000-00003A080000}"/>
    <cellStyle name="60% - Accent4 6" xfId="2049" xr:uid="{00000000-0005-0000-0000-00003B080000}"/>
    <cellStyle name="60% - Accent4 7" xfId="2050" xr:uid="{00000000-0005-0000-0000-00003C080000}"/>
    <cellStyle name="60% - Accent5 2" xfId="2051" xr:uid="{00000000-0005-0000-0000-00003D080000}"/>
    <cellStyle name="60% - Accent5 2 2" xfId="2052" xr:uid="{00000000-0005-0000-0000-00003E080000}"/>
    <cellStyle name="60% - Accent5 2 2 2" xfId="2053" xr:uid="{00000000-0005-0000-0000-00003F080000}"/>
    <cellStyle name="60% - Accent5 2 2 2 2" xfId="2054" xr:uid="{00000000-0005-0000-0000-000040080000}"/>
    <cellStyle name="60% - Accent5 2 2 2 2 2" xfId="2055" xr:uid="{00000000-0005-0000-0000-000041080000}"/>
    <cellStyle name="60% - Accent5 2 2 2 3" xfId="2056" xr:uid="{00000000-0005-0000-0000-000042080000}"/>
    <cellStyle name="60% - Accent5 2 2 2 4" xfId="2057" xr:uid="{00000000-0005-0000-0000-000043080000}"/>
    <cellStyle name="60% - Accent5 2 2 3" xfId="2058" xr:uid="{00000000-0005-0000-0000-000044080000}"/>
    <cellStyle name="60% - Accent5 2 2 3 2" xfId="2059" xr:uid="{00000000-0005-0000-0000-000045080000}"/>
    <cellStyle name="60% - Accent5 2 2 3 2 2" xfId="2060" xr:uid="{00000000-0005-0000-0000-000046080000}"/>
    <cellStyle name="60% - Accent5 2 2 4" xfId="2061" xr:uid="{00000000-0005-0000-0000-000047080000}"/>
    <cellStyle name="60% - Accent5 2 2 5" xfId="2062" xr:uid="{00000000-0005-0000-0000-000048080000}"/>
    <cellStyle name="60% - Accent5 2 2 6" xfId="2063" xr:uid="{00000000-0005-0000-0000-000049080000}"/>
    <cellStyle name="60% - Accent5 2 2 6 2" xfId="2064" xr:uid="{00000000-0005-0000-0000-00004A080000}"/>
    <cellStyle name="60% - Accent5 2 3" xfId="2065" xr:uid="{00000000-0005-0000-0000-00004B080000}"/>
    <cellStyle name="60% - Accent5 2 4" xfId="2066" xr:uid="{00000000-0005-0000-0000-00004C080000}"/>
    <cellStyle name="60% - Accent5 2 4 2" xfId="2067" xr:uid="{00000000-0005-0000-0000-00004D080000}"/>
    <cellStyle name="60% - Accent5 2 4 2 2" xfId="2068" xr:uid="{00000000-0005-0000-0000-00004E080000}"/>
    <cellStyle name="60% - Accent5 2 5" xfId="2069" xr:uid="{00000000-0005-0000-0000-00004F080000}"/>
    <cellStyle name="60% - Accent5 2 5 2" xfId="2070" xr:uid="{00000000-0005-0000-0000-000050080000}"/>
    <cellStyle name="60% - Accent5 2 5 2 2" xfId="2071" xr:uid="{00000000-0005-0000-0000-000051080000}"/>
    <cellStyle name="60% - Accent5 2 6" xfId="2072" xr:uid="{00000000-0005-0000-0000-000052080000}"/>
    <cellStyle name="60% - Accent5 2 7" xfId="2073" xr:uid="{00000000-0005-0000-0000-000053080000}"/>
    <cellStyle name="60% - Accent5 3" xfId="2074" xr:uid="{00000000-0005-0000-0000-000054080000}"/>
    <cellStyle name="60% - Accent5 3 2" xfId="2075" xr:uid="{00000000-0005-0000-0000-000055080000}"/>
    <cellStyle name="60% - Accent5 3 3" xfId="2076" xr:uid="{00000000-0005-0000-0000-000056080000}"/>
    <cellStyle name="60% - Accent5 4" xfId="2077" xr:uid="{00000000-0005-0000-0000-000057080000}"/>
    <cellStyle name="60% - Accent5 5" xfId="2078" xr:uid="{00000000-0005-0000-0000-000058080000}"/>
    <cellStyle name="60% - Accent5 6" xfId="2079" xr:uid="{00000000-0005-0000-0000-000059080000}"/>
    <cellStyle name="60% - Accent5 7" xfId="2080" xr:uid="{00000000-0005-0000-0000-00005A080000}"/>
    <cellStyle name="60% - Accent6 2" xfId="2081" xr:uid="{00000000-0005-0000-0000-00005B080000}"/>
    <cellStyle name="60% - Accent6 2 2" xfId="2082" xr:uid="{00000000-0005-0000-0000-00005C080000}"/>
    <cellStyle name="60% - Accent6 2 2 2" xfId="2083" xr:uid="{00000000-0005-0000-0000-00005D080000}"/>
    <cellStyle name="60% - Accent6 2 2 2 2" xfId="2084" xr:uid="{00000000-0005-0000-0000-00005E080000}"/>
    <cellStyle name="60% - Accent6 2 2 2 2 2" xfId="2085" xr:uid="{00000000-0005-0000-0000-00005F080000}"/>
    <cellStyle name="60% - Accent6 2 2 2 3" xfId="2086" xr:uid="{00000000-0005-0000-0000-000060080000}"/>
    <cellStyle name="60% - Accent6 2 2 2 4" xfId="2087" xr:uid="{00000000-0005-0000-0000-000061080000}"/>
    <cellStyle name="60% - Accent6 2 2 3" xfId="2088" xr:uid="{00000000-0005-0000-0000-000062080000}"/>
    <cellStyle name="60% - Accent6 2 2 3 2" xfId="2089" xr:uid="{00000000-0005-0000-0000-000063080000}"/>
    <cellStyle name="60% - Accent6 2 2 3 2 2" xfId="2090" xr:uid="{00000000-0005-0000-0000-000064080000}"/>
    <cellStyle name="60% - Accent6 2 2 4" xfId="2091" xr:uid="{00000000-0005-0000-0000-000065080000}"/>
    <cellStyle name="60% - Accent6 2 2 5" xfId="2092" xr:uid="{00000000-0005-0000-0000-000066080000}"/>
    <cellStyle name="60% - Accent6 2 2 6" xfId="2093" xr:uid="{00000000-0005-0000-0000-000067080000}"/>
    <cellStyle name="60% - Accent6 2 2 6 2" xfId="2094" xr:uid="{00000000-0005-0000-0000-000068080000}"/>
    <cellStyle name="60% - Accent6 2 3" xfId="2095" xr:uid="{00000000-0005-0000-0000-000069080000}"/>
    <cellStyle name="60% - Accent6 2 4" xfId="2096" xr:uid="{00000000-0005-0000-0000-00006A080000}"/>
    <cellStyle name="60% - Accent6 2 4 2" xfId="2097" xr:uid="{00000000-0005-0000-0000-00006B080000}"/>
    <cellStyle name="60% - Accent6 2 4 2 2" xfId="2098" xr:uid="{00000000-0005-0000-0000-00006C080000}"/>
    <cellStyle name="60% - Accent6 2 5" xfId="2099" xr:uid="{00000000-0005-0000-0000-00006D080000}"/>
    <cellStyle name="60% - Accent6 2 5 2" xfId="2100" xr:uid="{00000000-0005-0000-0000-00006E080000}"/>
    <cellStyle name="60% - Accent6 2 5 2 2" xfId="2101" xr:uid="{00000000-0005-0000-0000-00006F080000}"/>
    <cellStyle name="60% - Accent6 2 6" xfId="2102" xr:uid="{00000000-0005-0000-0000-000070080000}"/>
    <cellStyle name="60% - Accent6 2 7" xfId="2103" xr:uid="{00000000-0005-0000-0000-000071080000}"/>
    <cellStyle name="60% - Accent6 3" xfId="2104" xr:uid="{00000000-0005-0000-0000-000072080000}"/>
    <cellStyle name="60% - Accent6 3 2" xfId="2105" xr:uid="{00000000-0005-0000-0000-000073080000}"/>
    <cellStyle name="60% - Accent6 3 3" xfId="2106" xr:uid="{00000000-0005-0000-0000-000074080000}"/>
    <cellStyle name="60% - Accent6 4" xfId="2107" xr:uid="{00000000-0005-0000-0000-000075080000}"/>
    <cellStyle name="60% - Accent6 5" xfId="2108" xr:uid="{00000000-0005-0000-0000-000076080000}"/>
    <cellStyle name="60% - Accent6 6" xfId="2109" xr:uid="{00000000-0005-0000-0000-000077080000}"/>
    <cellStyle name="60% - Accent6 7" xfId="2110" xr:uid="{00000000-0005-0000-0000-000078080000}"/>
    <cellStyle name="aaa" xfId="2111" xr:uid="{00000000-0005-0000-0000-000079080000}"/>
    <cellStyle name="Accent1 - 20%" xfId="2112" xr:uid="{00000000-0005-0000-0000-00007A080000}"/>
    <cellStyle name="Accent1 - 20% 2" xfId="2113" xr:uid="{00000000-0005-0000-0000-00007B080000}"/>
    <cellStyle name="Accent1 - 40%" xfId="2114" xr:uid="{00000000-0005-0000-0000-00007C080000}"/>
    <cellStyle name="Accent1 - 40% 2" xfId="2115" xr:uid="{00000000-0005-0000-0000-00007D080000}"/>
    <cellStyle name="Accent1 - 60%" xfId="2116" xr:uid="{00000000-0005-0000-0000-00007E080000}"/>
    <cellStyle name="Accent1 2" xfId="2117" xr:uid="{00000000-0005-0000-0000-00007F080000}"/>
    <cellStyle name="Accent1 2 2" xfId="2118" xr:uid="{00000000-0005-0000-0000-000080080000}"/>
    <cellStyle name="Accent1 2 2 2" xfId="2119" xr:uid="{00000000-0005-0000-0000-000081080000}"/>
    <cellStyle name="Accent1 2 2 2 2" xfId="2120" xr:uid="{00000000-0005-0000-0000-000082080000}"/>
    <cellStyle name="Accent1 2 2 2 2 2" xfId="2121" xr:uid="{00000000-0005-0000-0000-000083080000}"/>
    <cellStyle name="Accent1 2 2 2 3" xfId="2122" xr:uid="{00000000-0005-0000-0000-000084080000}"/>
    <cellStyle name="Accent1 2 2 2 4" xfId="2123" xr:uid="{00000000-0005-0000-0000-000085080000}"/>
    <cellStyle name="Accent1 2 2 3" xfId="2124" xr:uid="{00000000-0005-0000-0000-000086080000}"/>
    <cellStyle name="Accent1 2 2 3 2" xfId="2125" xr:uid="{00000000-0005-0000-0000-000087080000}"/>
    <cellStyle name="Accent1 2 2 3 2 2" xfId="2126" xr:uid="{00000000-0005-0000-0000-000088080000}"/>
    <cellStyle name="Accent1 2 2 4" xfId="2127" xr:uid="{00000000-0005-0000-0000-000089080000}"/>
    <cellStyle name="Accent1 2 2 5" xfId="2128" xr:uid="{00000000-0005-0000-0000-00008A080000}"/>
    <cellStyle name="Accent1 2 2 6" xfId="2129" xr:uid="{00000000-0005-0000-0000-00008B080000}"/>
    <cellStyle name="Accent1 2 2 6 2" xfId="2130" xr:uid="{00000000-0005-0000-0000-00008C080000}"/>
    <cellStyle name="Accent1 2 3" xfId="2131" xr:uid="{00000000-0005-0000-0000-00008D080000}"/>
    <cellStyle name="Accent1 2 4" xfId="2132" xr:uid="{00000000-0005-0000-0000-00008E080000}"/>
    <cellStyle name="Accent1 2 4 2" xfId="2133" xr:uid="{00000000-0005-0000-0000-00008F080000}"/>
    <cellStyle name="Accent1 2 4 2 2" xfId="2134" xr:uid="{00000000-0005-0000-0000-000090080000}"/>
    <cellStyle name="Accent1 2 5" xfId="2135" xr:uid="{00000000-0005-0000-0000-000091080000}"/>
    <cellStyle name="Accent1 2 5 2" xfId="2136" xr:uid="{00000000-0005-0000-0000-000092080000}"/>
    <cellStyle name="Accent1 2 5 2 2" xfId="2137" xr:uid="{00000000-0005-0000-0000-000093080000}"/>
    <cellStyle name="Accent1 2 6" xfId="2138" xr:uid="{00000000-0005-0000-0000-000094080000}"/>
    <cellStyle name="Accent1 2 7" xfId="2139" xr:uid="{00000000-0005-0000-0000-000095080000}"/>
    <cellStyle name="Accent1 3" xfId="2140" xr:uid="{00000000-0005-0000-0000-000096080000}"/>
    <cellStyle name="Accent1 3 2" xfId="2141" xr:uid="{00000000-0005-0000-0000-000097080000}"/>
    <cellStyle name="Accent1 3 3" xfId="2142" xr:uid="{00000000-0005-0000-0000-000098080000}"/>
    <cellStyle name="Accent1 4" xfId="2143" xr:uid="{00000000-0005-0000-0000-000099080000}"/>
    <cellStyle name="Accent1 5" xfId="2144" xr:uid="{00000000-0005-0000-0000-00009A080000}"/>
    <cellStyle name="Accent1 6" xfId="2145" xr:uid="{00000000-0005-0000-0000-00009B080000}"/>
    <cellStyle name="Accent1 7" xfId="2146" xr:uid="{00000000-0005-0000-0000-00009C080000}"/>
    <cellStyle name="Accent2 - 20%" xfId="2147" xr:uid="{00000000-0005-0000-0000-00009D080000}"/>
    <cellStyle name="Accent2 - 20% 2" xfId="2148" xr:uid="{00000000-0005-0000-0000-00009E080000}"/>
    <cellStyle name="Accent2 - 40%" xfId="2149" xr:uid="{00000000-0005-0000-0000-00009F080000}"/>
    <cellStyle name="Accent2 - 40% 2" xfId="2150" xr:uid="{00000000-0005-0000-0000-0000A0080000}"/>
    <cellStyle name="Accent2 - 60%" xfId="2151" xr:uid="{00000000-0005-0000-0000-0000A1080000}"/>
    <cellStyle name="Accent2 2" xfId="2152" xr:uid="{00000000-0005-0000-0000-0000A2080000}"/>
    <cellStyle name="Accent2 2 2" xfId="2153" xr:uid="{00000000-0005-0000-0000-0000A3080000}"/>
    <cellStyle name="Accent2 2 2 2" xfId="2154" xr:uid="{00000000-0005-0000-0000-0000A4080000}"/>
    <cellStyle name="Accent2 2 2 2 2" xfId="2155" xr:uid="{00000000-0005-0000-0000-0000A5080000}"/>
    <cellStyle name="Accent2 2 2 2 2 2" xfId="2156" xr:uid="{00000000-0005-0000-0000-0000A6080000}"/>
    <cellStyle name="Accent2 2 2 2 3" xfId="2157" xr:uid="{00000000-0005-0000-0000-0000A7080000}"/>
    <cellStyle name="Accent2 2 2 2 4" xfId="2158" xr:uid="{00000000-0005-0000-0000-0000A8080000}"/>
    <cellStyle name="Accent2 2 2 3" xfId="2159" xr:uid="{00000000-0005-0000-0000-0000A9080000}"/>
    <cellStyle name="Accent2 2 2 3 2" xfId="2160" xr:uid="{00000000-0005-0000-0000-0000AA080000}"/>
    <cellStyle name="Accent2 2 2 3 2 2" xfId="2161" xr:uid="{00000000-0005-0000-0000-0000AB080000}"/>
    <cellStyle name="Accent2 2 2 4" xfId="2162" xr:uid="{00000000-0005-0000-0000-0000AC080000}"/>
    <cellStyle name="Accent2 2 2 5" xfId="2163" xr:uid="{00000000-0005-0000-0000-0000AD080000}"/>
    <cellStyle name="Accent2 2 2 6" xfId="2164" xr:uid="{00000000-0005-0000-0000-0000AE080000}"/>
    <cellStyle name="Accent2 2 2 6 2" xfId="2165" xr:uid="{00000000-0005-0000-0000-0000AF080000}"/>
    <cellStyle name="Accent2 2 3" xfId="2166" xr:uid="{00000000-0005-0000-0000-0000B0080000}"/>
    <cellStyle name="Accent2 2 4" xfId="2167" xr:uid="{00000000-0005-0000-0000-0000B1080000}"/>
    <cellStyle name="Accent2 2 4 2" xfId="2168" xr:uid="{00000000-0005-0000-0000-0000B2080000}"/>
    <cellStyle name="Accent2 2 4 2 2" xfId="2169" xr:uid="{00000000-0005-0000-0000-0000B3080000}"/>
    <cellStyle name="Accent2 2 5" xfId="2170" xr:uid="{00000000-0005-0000-0000-0000B4080000}"/>
    <cellStyle name="Accent2 2 5 2" xfId="2171" xr:uid="{00000000-0005-0000-0000-0000B5080000}"/>
    <cellStyle name="Accent2 2 5 2 2" xfId="2172" xr:uid="{00000000-0005-0000-0000-0000B6080000}"/>
    <cellStyle name="Accent2 2 6" xfId="2173" xr:uid="{00000000-0005-0000-0000-0000B7080000}"/>
    <cellStyle name="Accent2 2 7" xfId="2174" xr:uid="{00000000-0005-0000-0000-0000B8080000}"/>
    <cellStyle name="Accent2 3" xfId="2175" xr:uid="{00000000-0005-0000-0000-0000B9080000}"/>
    <cellStyle name="Accent2 3 2" xfId="2176" xr:uid="{00000000-0005-0000-0000-0000BA080000}"/>
    <cellStyle name="Accent2 3 3" xfId="2177" xr:uid="{00000000-0005-0000-0000-0000BB080000}"/>
    <cellStyle name="Accent2 4" xfId="2178" xr:uid="{00000000-0005-0000-0000-0000BC080000}"/>
    <cellStyle name="Accent2 5" xfId="2179" xr:uid="{00000000-0005-0000-0000-0000BD080000}"/>
    <cellStyle name="Accent2 6" xfId="2180" xr:uid="{00000000-0005-0000-0000-0000BE080000}"/>
    <cellStyle name="Accent2 7" xfId="2181" xr:uid="{00000000-0005-0000-0000-0000BF080000}"/>
    <cellStyle name="Accent3 - 20%" xfId="2182" xr:uid="{00000000-0005-0000-0000-0000C0080000}"/>
    <cellStyle name="Accent3 - 20% 2" xfId="2183" xr:uid="{00000000-0005-0000-0000-0000C1080000}"/>
    <cellStyle name="Accent3 - 40%" xfId="2184" xr:uid="{00000000-0005-0000-0000-0000C2080000}"/>
    <cellStyle name="Accent3 - 40% 2" xfId="2185" xr:uid="{00000000-0005-0000-0000-0000C3080000}"/>
    <cellStyle name="Accent3 - 60%" xfId="2186" xr:uid="{00000000-0005-0000-0000-0000C4080000}"/>
    <cellStyle name="Accent3 2" xfId="2187" xr:uid="{00000000-0005-0000-0000-0000C5080000}"/>
    <cellStyle name="Accent3 2 2" xfId="2188" xr:uid="{00000000-0005-0000-0000-0000C6080000}"/>
    <cellStyle name="Accent3 2 2 2" xfId="2189" xr:uid="{00000000-0005-0000-0000-0000C7080000}"/>
    <cellStyle name="Accent3 2 2 2 2" xfId="2190" xr:uid="{00000000-0005-0000-0000-0000C8080000}"/>
    <cellStyle name="Accent3 2 2 2 2 2" xfId="2191" xr:uid="{00000000-0005-0000-0000-0000C9080000}"/>
    <cellStyle name="Accent3 2 2 2 3" xfId="2192" xr:uid="{00000000-0005-0000-0000-0000CA080000}"/>
    <cellStyle name="Accent3 2 2 2 4" xfId="2193" xr:uid="{00000000-0005-0000-0000-0000CB080000}"/>
    <cellStyle name="Accent3 2 2 3" xfId="2194" xr:uid="{00000000-0005-0000-0000-0000CC080000}"/>
    <cellStyle name="Accent3 2 2 3 2" xfId="2195" xr:uid="{00000000-0005-0000-0000-0000CD080000}"/>
    <cellStyle name="Accent3 2 2 3 2 2" xfId="2196" xr:uid="{00000000-0005-0000-0000-0000CE080000}"/>
    <cellStyle name="Accent3 2 2 4" xfId="2197" xr:uid="{00000000-0005-0000-0000-0000CF080000}"/>
    <cellStyle name="Accent3 2 2 5" xfId="2198" xr:uid="{00000000-0005-0000-0000-0000D0080000}"/>
    <cellStyle name="Accent3 2 2 6" xfId="2199" xr:uid="{00000000-0005-0000-0000-0000D1080000}"/>
    <cellStyle name="Accent3 2 2 6 2" xfId="2200" xr:uid="{00000000-0005-0000-0000-0000D2080000}"/>
    <cellStyle name="Accent3 2 3" xfId="2201" xr:uid="{00000000-0005-0000-0000-0000D3080000}"/>
    <cellStyle name="Accent3 2 4" xfId="2202" xr:uid="{00000000-0005-0000-0000-0000D4080000}"/>
    <cellStyle name="Accent3 2 4 2" xfId="2203" xr:uid="{00000000-0005-0000-0000-0000D5080000}"/>
    <cellStyle name="Accent3 2 4 2 2" xfId="2204" xr:uid="{00000000-0005-0000-0000-0000D6080000}"/>
    <cellStyle name="Accent3 2 5" xfId="2205" xr:uid="{00000000-0005-0000-0000-0000D7080000}"/>
    <cellStyle name="Accent3 2 5 2" xfId="2206" xr:uid="{00000000-0005-0000-0000-0000D8080000}"/>
    <cellStyle name="Accent3 2 5 2 2" xfId="2207" xr:uid="{00000000-0005-0000-0000-0000D9080000}"/>
    <cellStyle name="Accent3 2 6" xfId="2208" xr:uid="{00000000-0005-0000-0000-0000DA080000}"/>
    <cellStyle name="Accent3 2 7" xfId="2209" xr:uid="{00000000-0005-0000-0000-0000DB080000}"/>
    <cellStyle name="Accent3 3" xfId="2210" xr:uid="{00000000-0005-0000-0000-0000DC080000}"/>
    <cellStyle name="Accent3 3 2" xfId="2211" xr:uid="{00000000-0005-0000-0000-0000DD080000}"/>
    <cellStyle name="Accent3 3 3" xfId="2212" xr:uid="{00000000-0005-0000-0000-0000DE080000}"/>
    <cellStyle name="Accent3 4" xfId="2213" xr:uid="{00000000-0005-0000-0000-0000DF080000}"/>
    <cellStyle name="Accent3 5" xfId="2214" xr:uid="{00000000-0005-0000-0000-0000E0080000}"/>
    <cellStyle name="Accent3 6" xfId="2215" xr:uid="{00000000-0005-0000-0000-0000E1080000}"/>
    <cellStyle name="Accent3 7" xfId="2216" xr:uid="{00000000-0005-0000-0000-0000E2080000}"/>
    <cellStyle name="Accent4 - 20%" xfId="2217" xr:uid="{00000000-0005-0000-0000-0000E3080000}"/>
    <cellStyle name="Accent4 - 20% 2" xfId="2218" xr:uid="{00000000-0005-0000-0000-0000E4080000}"/>
    <cellStyle name="Accent4 - 40%" xfId="2219" xr:uid="{00000000-0005-0000-0000-0000E5080000}"/>
    <cellStyle name="Accent4 - 40% 2" xfId="2220" xr:uid="{00000000-0005-0000-0000-0000E6080000}"/>
    <cellStyle name="Accent4 - 60%" xfId="2221" xr:uid="{00000000-0005-0000-0000-0000E7080000}"/>
    <cellStyle name="Accent4 2" xfId="2222" xr:uid="{00000000-0005-0000-0000-0000E8080000}"/>
    <cellStyle name="Accent4 2 2" xfId="2223" xr:uid="{00000000-0005-0000-0000-0000E9080000}"/>
    <cellStyle name="Accent4 2 2 2" xfId="2224" xr:uid="{00000000-0005-0000-0000-0000EA080000}"/>
    <cellStyle name="Accent4 2 2 2 2" xfId="2225" xr:uid="{00000000-0005-0000-0000-0000EB080000}"/>
    <cellStyle name="Accent4 2 2 2 2 2" xfId="2226" xr:uid="{00000000-0005-0000-0000-0000EC080000}"/>
    <cellStyle name="Accent4 2 2 2 3" xfId="2227" xr:uid="{00000000-0005-0000-0000-0000ED080000}"/>
    <cellStyle name="Accent4 2 2 2 4" xfId="2228" xr:uid="{00000000-0005-0000-0000-0000EE080000}"/>
    <cellStyle name="Accent4 2 2 3" xfId="2229" xr:uid="{00000000-0005-0000-0000-0000EF080000}"/>
    <cellStyle name="Accent4 2 2 3 2" xfId="2230" xr:uid="{00000000-0005-0000-0000-0000F0080000}"/>
    <cellStyle name="Accent4 2 2 3 2 2" xfId="2231" xr:uid="{00000000-0005-0000-0000-0000F1080000}"/>
    <cellStyle name="Accent4 2 2 4" xfId="2232" xr:uid="{00000000-0005-0000-0000-0000F2080000}"/>
    <cellStyle name="Accent4 2 2 5" xfId="2233" xr:uid="{00000000-0005-0000-0000-0000F3080000}"/>
    <cellStyle name="Accent4 2 2 6" xfId="2234" xr:uid="{00000000-0005-0000-0000-0000F4080000}"/>
    <cellStyle name="Accent4 2 2 6 2" xfId="2235" xr:uid="{00000000-0005-0000-0000-0000F5080000}"/>
    <cellStyle name="Accent4 2 3" xfId="2236" xr:uid="{00000000-0005-0000-0000-0000F6080000}"/>
    <cellStyle name="Accent4 2 4" xfId="2237" xr:uid="{00000000-0005-0000-0000-0000F7080000}"/>
    <cellStyle name="Accent4 2 4 2" xfId="2238" xr:uid="{00000000-0005-0000-0000-0000F8080000}"/>
    <cellStyle name="Accent4 2 4 2 2" xfId="2239" xr:uid="{00000000-0005-0000-0000-0000F9080000}"/>
    <cellStyle name="Accent4 2 5" xfId="2240" xr:uid="{00000000-0005-0000-0000-0000FA080000}"/>
    <cellStyle name="Accent4 2 5 2" xfId="2241" xr:uid="{00000000-0005-0000-0000-0000FB080000}"/>
    <cellStyle name="Accent4 2 5 2 2" xfId="2242" xr:uid="{00000000-0005-0000-0000-0000FC080000}"/>
    <cellStyle name="Accent4 2 6" xfId="2243" xr:uid="{00000000-0005-0000-0000-0000FD080000}"/>
    <cellStyle name="Accent4 2 7" xfId="2244" xr:uid="{00000000-0005-0000-0000-0000FE080000}"/>
    <cellStyle name="Accent4 3" xfId="2245" xr:uid="{00000000-0005-0000-0000-0000FF080000}"/>
    <cellStyle name="Accent4 3 2" xfId="2246" xr:uid="{00000000-0005-0000-0000-000000090000}"/>
    <cellStyle name="Accent4 3 3" xfId="2247" xr:uid="{00000000-0005-0000-0000-000001090000}"/>
    <cellStyle name="Accent4 4" xfId="2248" xr:uid="{00000000-0005-0000-0000-000002090000}"/>
    <cellStyle name="Accent4 5" xfId="2249" xr:uid="{00000000-0005-0000-0000-000003090000}"/>
    <cellStyle name="Accent4 6" xfId="2250" xr:uid="{00000000-0005-0000-0000-000004090000}"/>
    <cellStyle name="Accent4 7" xfId="2251" xr:uid="{00000000-0005-0000-0000-000005090000}"/>
    <cellStyle name="Accent5 - 20%" xfId="2252" xr:uid="{00000000-0005-0000-0000-000006090000}"/>
    <cellStyle name="Accent5 - 20% 2" xfId="2253" xr:uid="{00000000-0005-0000-0000-000007090000}"/>
    <cellStyle name="Accent5 - 40%" xfId="2254" xr:uid="{00000000-0005-0000-0000-000008090000}"/>
    <cellStyle name="Accent5 - 40% 2" xfId="2255" xr:uid="{00000000-0005-0000-0000-000009090000}"/>
    <cellStyle name="Accent5 - 60%" xfId="2256" xr:uid="{00000000-0005-0000-0000-00000A090000}"/>
    <cellStyle name="Accent5 2" xfId="2257" xr:uid="{00000000-0005-0000-0000-00000B090000}"/>
    <cellStyle name="Accent5 2 2" xfId="2258" xr:uid="{00000000-0005-0000-0000-00000C090000}"/>
    <cellStyle name="Accent5 2 2 2" xfId="2259" xr:uid="{00000000-0005-0000-0000-00000D090000}"/>
    <cellStyle name="Accent5 2 2 2 2" xfId="2260" xr:uid="{00000000-0005-0000-0000-00000E090000}"/>
    <cellStyle name="Accent5 2 2 2 2 2" xfId="2261" xr:uid="{00000000-0005-0000-0000-00000F090000}"/>
    <cellStyle name="Accent5 2 2 2 3" xfId="2262" xr:uid="{00000000-0005-0000-0000-000010090000}"/>
    <cellStyle name="Accent5 2 2 2 4" xfId="2263" xr:uid="{00000000-0005-0000-0000-000011090000}"/>
    <cellStyle name="Accent5 2 2 3" xfId="2264" xr:uid="{00000000-0005-0000-0000-000012090000}"/>
    <cellStyle name="Accent5 2 2 3 2" xfId="2265" xr:uid="{00000000-0005-0000-0000-000013090000}"/>
    <cellStyle name="Accent5 2 2 3 2 2" xfId="2266" xr:uid="{00000000-0005-0000-0000-000014090000}"/>
    <cellStyle name="Accent5 2 2 4" xfId="2267" xr:uid="{00000000-0005-0000-0000-000015090000}"/>
    <cellStyle name="Accent5 2 2 5" xfId="2268" xr:uid="{00000000-0005-0000-0000-000016090000}"/>
    <cellStyle name="Accent5 2 2 6" xfId="2269" xr:uid="{00000000-0005-0000-0000-000017090000}"/>
    <cellStyle name="Accent5 2 2 6 2" xfId="2270" xr:uid="{00000000-0005-0000-0000-000018090000}"/>
    <cellStyle name="Accent5 2 3" xfId="2271" xr:uid="{00000000-0005-0000-0000-000019090000}"/>
    <cellStyle name="Accent5 2 4" xfId="2272" xr:uid="{00000000-0005-0000-0000-00001A090000}"/>
    <cellStyle name="Accent5 2 4 2" xfId="2273" xr:uid="{00000000-0005-0000-0000-00001B090000}"/>
    <cellStyle name="Accent5 2 4 2 2" xfId="2274" xr:uid="{00000000-0005-0000-0000-00001C090000}"/>
    <cellStyle name="Accent5 2 5" xfId="2275" xr:uid="{00000000-0005-0000-0000-00001D090000}"/>
    <cellStyle name="Accent5 2 5 2" xfId="2276" xr:uid="{00000000-0005-0000-0000-00001E090000}"/>
    <cellStyle name="Accent5 2 5 2 2" xfId="2277" xr:uid="{00000000-0005-0000-0000-00001F090000}"/>
    <cellStyle name="Accent5 2 6" xfId="2278" xr:uid="{00000000-0005-0000-0000-000020090000}"/>
    <cellStyle name="Accent5 2 7" xfId="2279" xr:uid="{00000000-0005-0000-0000-000021090000}"/>
    <cellStyle name="Accent5 3" xfId="2280" xr:uid="{00000000-0005-0000-0000-000022090000}"/>
    <cellStyle name="Accent5 3 2" xfId="2281" xr:uid="{00000000-0005-0000-0000-000023090000}"/>
    <cellStyle name="Accent5 3 3" xfId="2282" xr:uid="{00000000-0005-0000-0000-000024090000}"/>
    <cellStyle name="Accent5 4" xfId="2283" xr:uid="{00000000-0005-0000-0000-000025090000}"/>
    <cellStyle name="Accent5 5" xfId="2284" xr:uid="{00000000-0005-0000-0000-000026090000}"/>
    <cellStyle name="Accent5 6" xfId="2285" xr:uid="{00000000-0005-0000-0000-000027090000}"/>
    <cellStyle name="Accent5 7" xfId="2286" xr:uid="{00000000-0005-0000-0000-000028090000}"/>
    <cellStyle name="Accent6 - 20%" xfId="2287" xr:uid="{00000000-0005-0000-0000-000029090000}"/>
    <cellStyle name="Accent6 - 20% 2" xfId="2288" xr:uid="{00000000-0005-0000-0000-00002A090000}"/>
    <cellStyle name="Accent6 - 40%" xfId="2289" xr:uid="{00000000-0005-0000-0000-00002B090000}"/>
    <cellStyle name="Accent6 - 40% 2" xfId="2290" xr:uid="{00000000-0005-0000-0000-00002C090000}"/>
    <cellStyle name="Accent6 - 60%" xfId="2291" xr:uid="{00000000-0005-0000-0000-00002D090000}"/>
    <cellStyle name="Accent6 2" xfId="2292" xr:uid="{00000000-0005-0000-0000-00002E090000}"/>
    <cellStyle name="Accent6 2 2" xfId="2293" xr:uid="{00000000-0005-0000-0000-00002F090000}"/>
    <cellStyle name="Accent6 2 2 2" xfId="2294" xr:uid="{00000000-0005-0000-0000-000030090000}"/>
    <cellStyle name="Accent6 2 2 2 2" xfId="2295" xr:uid="{00000000-0005-0000-0000-000031090000}"/>
    <cellStyle name="Accent6 2 2 2 2 2" xfId="2296" xr:uid="{00000000-0005-0000-0000-000032090000}"/>
    <cellStyle name="Accent6 2 2 2 3" xfId="2297" xr:uid="{00000000-0005-0000-0000-000033090000}"/>
    <cellStyle name="Accent6 2 2 2 4" xfId="2298" xr:uid="{00000000-0005-0000-0000-000034090000}"/>
    <cellStyle name="Accent6 2 2 3" xfId="2299" xr:uid="{00000000-0005-0000-0000-000035090000}"/>
    <cellStyle name="Accent6 2 2 3 2" xfId="2300" xr:uid="{00000000-0005-0000-0000-000036090000}"/>
    <cellStyle name="Accent6 2 2 3 2 2" xfId="2301" xr:uid="{00000000-0005-0000-0000-000037090000}"/>
    <cellStyle name="Accent6 2 2 4" xfId="2302" xr:uid="{00000000-0005-0000-0000-000038090000}"/>
    <cellStyle name="Accent6 2 2 5" xfId="2303" xr:uid="{00000000-0005-0000-0000-000039090000}"/>
    <cellStyle name="Accent6 2 2 6" xfId="2304" xr:uid="{00000000-0005-0000-0000-00003A090000}"/>
    <cellStyle name="Accent6 2 2 6 2" xfId="2305" xr:uid="{00000000-0005-0000-0000-00003B090000}"/>
    <cellStyle name="Accent6 2 3" xfId="2306" xr:uid="{00000000-0005-0000-0000-00003C090000}"/>
    <cellStyle name="Accent6 2 4" xfId="2307" xr:uid="{00000000-0005-0000-0000-00003D090000}"/>
    <cellStyle name="Accent6 2 4 2" xfId="2308" xr:uid="{00000000-0005-0000-0000-00003E090000}"/>
    <cellStyle name="Accent6 2 4 2 2" xfId="2309" xr:uid="{00000000-0005-0000-0000-00003F090000}"/>
    <cellStyle name="Accent6 2 5" xfId="2310" xr:uid="{00000000-0005-0000-0000-000040090000}"/>
    <cellStyle name="Accent6 2 5 2" xfId="2311" xr:uid="{00000000-0005-0000-0000-000041090000}"/>
    <cellStyle name="Accent6 2 5 2 2" xfId="2312" xr:uid="{00000000-0005-0000-0000-000042090000}"/>
    <cellStyle name="Accent6 2 6" xfId="2313" xr:uid="{00000000-0005-0000-0000-000043090000}"/>
    <cellStyle name="Accent6 2 7" xfId="2314" xr:uid="{00000000-0005-0000-0000-000044090000}"/>
    <cellStyle name="Accent6 3" xfId="2315" xr:uid="{00000000-0005-0000-0000-000045090000}"/>
    <cellStyle name="Accent6 3 2" xfId="2316" xr:uid="{00000000-0005-0000-0000-000046090000}"/>
    <cellStyle name="Accent6 3 3" xfId="2317" xr:uid="{00000000-0005-0000-0000-000047090000}"/>
    <cellStyle name="Accent6 4" xfId="2318" xr:uid="{00000000-0005-0000-0000-000048090000}"/>
    <cellStyle name="Accent6 5" xfId="2319" xr:uid="{00000000-0005-0000-0000-000049090000}"/>
    <cellStyle name="Accent6 6" xfId="2320" xr:uid="{00000000-0005-0000-0000-00004A090000}"/>
    <cellStyle name="Accent6 7" xfId="2321" xr:uid="{00000000-0005-0000-0000-00004B090000}"/>
    <cellStyle name="Acrual" xfId="2322" xr:uid="{00000000-0005-0000-0000-00004C090000}"/>
    <cellStyle name="Actual" xfId="2323" xr:uid="{00000000-0005-0000-0000-00004D090000}"/>
    <cellStyle name="Actual Date" xfId="2324" xr:uid="{00000000-0005-0000-0000-00004E090000}"/>
    <cellStyle name="ÅëÈ­ [0]_±âÅ¸" xfId="2325" xr:uid="{00000000-0005-0000-0000-00004F090000}"/>
    <cellStyle name="ÅëÈ­_±âÅ¸" xfId="2326" xr:uid="{00000000-0005-0000-0000-000050090000}"/>
    <cellStyle name="Allign center" xfId="2327" xr:uid="{00000000-0005-0000-0000-000051090000}"/>
    <cellStyle name="alternate" xfId="2328" xr:uid="{00000000-0005-0000-0000-000052090000}"/>
    <cellStyle name="Ancillary" xfId="2329" xr:uid="{00000000-0005-0000-0000-000053090000}"/>
    <cellStyle name="ÄÞ¸¶ [0]_±âÅ¸" xfId="2330" xr:uid="{00000000-0005-0000-0000-000054090000}"/>
    <cellStyle name="ÄÞ¸¶_±âÅ¸" xfId="2331" xr:uid="{00000000-0005-0000-0000-000055090000}"/>
    <cellStyle name="Bad 2" xfId="2332" xr:uid="{00000000-0005-0000-0000-000056090000}"/>
    <cellStyle name="Bad 2 10" xfId="2333" xr:uid="{00000000-0005-0000-0000-000057090000}"/>
    <cellStyle name="Bad 2 11" xfId="2334" xr:uid="{00000000-0005-0000-0000-000058090000}"/>
    <cellStyle name="Bad 2 12" xfId="2335" xr:uid="{00000000-0005-0000-0000-000059090000}"/>
    <cellStyle name="Bad 2 13" xfId="2336" xr:uid="{00000000-0005-0000-0000-00005A090000}"/>
    <cellStyle name="Bad 2 14" xfId="2337" xr:uid="{00000000-0005-0000-0000-00005B090000}"/>
    <cellStyle name="Bad 2 15" xfId="2338" xr:uid="{00000000-0005-0000-0000-00005C090000}"/>
    <cellStyle name="Bad 2 16" xfId="2339" xr:uid="{00000000-0005-0000-0000-00005D090000}"/>
    <cellStyle name="Bad 2 17" xfId="2340" xr:uid="{00000000-0005-0000-0000-00005E090000}"/>
    <cellStyle name="Bad 2 18" xfId="2341" xr:uid="{00000000-0005-0000-0000-00005F090000}"/>
    <cellStyle name="Bad 2 19" xfId="2342" xr:uid="{00000000-0005-0000-0000-000060090000}"/>
    <cellStyle name="Bad 2 2" xfId="2343" xr:uid="{00000000-0005-0000-0000-000061090000}"/>
    <cellStyle name="Bad 2 2 2" xfId="2344" xr:uid="{00000000-0005-0000-0000-000062090000}"/>
    <cellStyle name="Bad 2 2 2 2" xfId="2345" xr:uid="{00000000-0005-0000-0000-000063090000}"/>
    <cellStyle name="Bad 2 2 2 2 2" xfId="2346" xr:uid="{00000000-0005-0000-0000-000064090000}"/>
    <cellStyle name="Bad 2 2 2 3" xfId="2347" xr:uid="{00000000-0005-0000-0000-000065090000}"/>
    <cellStyle name="Bad 2 2 2 4" xfId="2348" xr:uid="{00000000-0005-0000-0000-000066090000}"/>
    <cellStyle name="Bad 2 2 3" xfId="2349" xr:uid="{00000000-0005-0000-0000-000067090000}"/>
    <cellStyle name="Bad 2 2 3 2" xfId="2350" xr:uid="{00000000-0005-0000-0000-000068090000}"/>
    <cellStyle name="Bad 2 2 3 2 2" xfId="2351" xr:uid="{00000000-0005-0000-0000-000069090000}"/>
    <cellStyle name="Bad 2 2 4" xfId="2352" xr:uid="{00000000-0005-0000-0000-00006A090000}"/>
    <cellStyle name="Bad 2 2 5" xfId="2353" xr:uid="{00000000-0005-0000-0000-00006B090000}"/>
    <cellStyle name="Bad 2 2 6" xfId="2354" xr:uid="{00000000-0005-0000-0000-00006C090000}"/>
    <cellStyle name="Bad 2 2 6 2" xfId="2355" xr:uid="{00000000-0005-0000-0000-00006D090000}"/>
    <cellStyle name="Bad 2 20" xfId="2356" xr:uid="{00000000-0005-0000-0000-00006E090000}"/>
    <cellStyle name="Bad 2 21" xfId="2357" xr:uid="{00000000-0005-0000-0000-00006F090000}"/>
    <cellStyle name="Bad 2 22" xfId="2358" xr:uid="{00000000-0005-0000-0000-000070090000}"/>
    <cellStyle name="Bad 2 23" xfId="2359" xr:uid="{00000000-0005-0000-0000-000071090000}"/>
    <cellStyle name="Bad 2 24" xfId="2360" xr:uid="{00000000-0005-0000-0000-000072090000}"/>
    <cellStyle name="Bad 2 25" xfId="2361" xr:uid="{00000000-0005-0000-0000-000073090000}"/>
    <cellStyle name="Bad 2 26" xfId="2362" xr:uid="{00000000-0005-0000-0000-000074090000}"/>
    <cellStyle name="Bad 2 27" xfId="2363" xr:uid="{00000000-0005-0000-0000-000075090000}"/>
    <cellStyle name="Bad 2 28" xfId="2364" xr:uid="{00000000-0005-0000-0000-000076090000}"/>
    <cellStyle name="Bad 2 29" xfId="2365" xr:uid="{00000000-0005-0000-0000-000077090000}"/>
    <cellStyle name="Bad 2 3" xfId="2366" xr:uid="{00000000-0005-0000-0000-000078090000}"/>
    <cellStyle name="Bad 2 30" xfId="2367" xr:uid="{00000000-0005-0000-0000-000079090000}"/>
    <cellStyle name="Bad 2 31" xfId="2368" xr:uid="{00000000-0005-0000-0000-00007A090000}"/>
    <cellStyle name="Bad 2 32" xfId="2369" xr:uid="{00000000-0005-0000-0000-00007B090000}"/>
    <cellStyle name="Bad 2 33" xfId="2370" xr:uid="{00000000-0005-0000-0000-00007C090000}"/>
    <cellStyle name="Bad 2 34" xfId="2371" xr:uid="{00000000-0005-0000-0000-00007D090000}"/>
    <cellStyle name="Bad 2 35" xfId="2372" xr:uid="{00000000-0005-0000-0000-00007E090000}"/>
    <cellStyle name="Bad 2 36" xfId="2373" xr:uid="{00000000-0005-0000-0000-00007F090000}"/>
    <cellStyle name="Bad 2 37" xfId="2374" xr:uid="{00000000-0005-0000-0000-000080090000}"/>
    <cellStyle name="Bad 2 38" xfId="2375" xr:uid="{00000000-0005-0000-0000-000081090000}"/>
    <cellStyle name="Bad 2 39" xfId="2376" xr:uid="{00000000-0005-0000-0000-000082090000}"/>
    <cellStyle name="Bad 2 4" xfId="2377" xr:uid="{00000000-0005-0000-0000-000083090000}"/>
    <cellStyle name="Bad 2 4 2" xfId="2378" xr:uid="{00000000-0005-0000-0000-000084090000}"/>
    <cellStyle name="Bad 2 4 2 2" xfId="2379" xr:uid="{00000000-0005-0000-0000-000085090000}"/>
    <cellStyle name="Bad 2 40" xfId="2380" xr:uid="{00000000-0005-0000-0000-000086090000}"/>
    <cellStyle name="Bad 2 41" xfId="2381" xr:uid="{00000000-0005-0000-0000-000087090000}"/>
    <cellStyle name="Bad 2 42" xfId="2382" xr:uid="{00000000-0005-0000-0000-000088090000}"/>
    <cellStyle name="Bad 2 43" xfId="2383" xr:uid="{00000000-0005-0000-0000-000089090000}"/>
    <cellStyle name="Bad 2 44" xfId="2384" xr:uid="{00000000-0005-0000-0000-00008A090000}"/>
    <cellStyle name="Bad 2 45" xfId="2385" xr:uid="{00000000-0005-0000-0000-00008B090000}"/>
    <cellStyle name="Bad 2 46" xfId="2386" xr:uid="{00000000-0005-0000-0000-00008C090000}"/>
    <cellStyle name="Bad 2 47" xfId="2387" xr:uid="{00000000-0005-0000-0000-00008D090000}"/>
    <cellStyle name="Bad 2 48" xfId="2388" xr:uid="{00000000-0005-0000-0000-00008E090000}"/>
    <cellStyle name="Bad 2 49" xfId="2389" xr:uid="{00000000-0005-0000-0000-00008F090000}"/>
    <cellStyle name="Bad 2 5" xfId="2390" xr:uid="{00000000-0005-0000-0000-000090090000}"/>
    <cellStyle name="Bad 2 5 2" xfId="2391" xr:uid="{00000000-0005-0000-0000-000091090000}"/>
    <cellStyle name="Bad 2 5 2 2" xfId="2392" xr:uid="{00000000-0005-0000-0000-000092090000}"/>
    <cellStyle name="Bad 2 50" xfId="2393" xr:uid="{00000000-0005-0000-0000-000093090000}"/>
    <cellStyle name="Bad 2 51" xfId="2394" xr:uid="{00000000-0005-0000-0000-000094090000}"/>
    <cellStyle name="Bad 2 52" xfId="2395" xr:uid="{00000000-0005-0000-0000-000095090000}"/>
    <cellStyle name="Bad 2 53" xfId="2396" xr:uid="{00000000-0005-0000-0000-000096090000}"/>
    <cellStyle name="Bad 2 54" xfId="2397" xr:uid="{00000000-0005-0000-0000-000097090000}"/>
    <cellStyle name="Bad 2 55" xfId="2398" xr:uid="{00000000-0005-0000-0000-000098090000}"/>
    <cellStyle name="Bad 2 56" xfId="2399" xr:uid="{00000000-0005-0000-0000-000099090000}"/>
    <cellStyle name="Bad 2 57" xfId="2400" xr:uid="{00000000-0005-0000-0000-00009A090000}"/>
    <cellStyle name="Bad 2 58" xfId="2401" xr:uid="{00000000-0005-0000-0000-00009B090000}"/>
    <cellStyle name="Bad 2 59" xfId="2402" xr:uid="{00000000-0005-0000-0000-00009C090000}"/>
    <cellStyle name="Bad 2 6" xfId="2403" xr:uid="{00000000-0005-0000-0000-00009D090000}"/>
    <cellStyle name="Bad 2 60" xfId="2404" xr:uid="{00000000-0005-0000-0000-00009E090000}"/>
    <cellStyle name="Bad 2 61" xfId="2405" xr:uid="{00000000-0005-0000-0000-00009F090000}"/>
    <cellStyle name="Bad 2 62" xfId="2406" xr:uid="{00000000-0005-0000-0000-0000A0090000}"/>
    <cellStyle name="Bad 2 63" xfId="2407" xr:uid="{00000000-0005-0000-0000-0000A1090000}"/>
    <cellStyle name="Bad 2 7" xfId="2408" xr:uid="{00000000-0005-0000-0000-0000A2090000}"/>
    <cellStyle name="Bad 2 8" xfId="2409" xr:uid="{00000000-0005-0000-0000-0000A3090000}"/>
    <cellStyle name="Bad 2 9" xfId="2410" xr:uid="{00000000-0005-0000-0000-0000A4090000}"/>
    <cellStyle name="Bad 3" xfId="2411" xr:uid="{00000000-0005-0000-0000-0000A5090000}"/>
    <cellStyle name="Bad 3 10" xfId="2412" xr:uid="{00000000-0005-0000-0000-0000A6090000}"/>
    <cellStyle name="Bad 3 11" xfId="2413" xr:uid="{00000000-0005-0000-0000-0000A7090000}"/>
    <cellStyle name="Bad 3 12" xfId="2414" xr:uid="{00000000-0005-0000-0000-0000A8090000}"/>
    <cellStyle name="Bad 3 13" xfId="2415" xr:uid="{00000000-0005-0000-0000-0000A9090000}"/>
    <cellStyle name="Bad 3 14" xfId="2416" xr:uid="{00000000-0005-0000-0000-0000AA090000}"/>
    <cellStyle name="Bad 3 2" xfId="2417" xr:uid="{00000000-0005-0000-0000-0000AB090000}"/>
    <cellStyle name="Bad 3 3" xfId="2418" xr:uid="{00000000-0005-0000-0000-0000AC090000}"/>
    <cellStyle name="Bad 3 4" xfId="2419" xr:uid="{00000000-0005-0000-0000-0000AD090000}"/>
    <cellStyle name="Bad 3 5" xfId="2420" xr:uid="{00000000-0005-0000-0000-0000AE090000}"/>
    <cellStyle name="Bad 3 6" xfId="2421" xr:uid="{00000000-0005-0000-0000-0000AF090000}"/>
    <cellStyle name="Bad 3 7" xfId="2422" xr:uid="{00000000-0005-0000-0000-0000B0090000}"/>
    <cellStyle name="Bad 3 8" xfId="2423" xr:uid="{00000000-0005-0000-0000-0000B1090000}"/>
    <cellStyle name="Bad 3 9" xfId="2424" xr:uid="{00000000-0005-0000-0000-0000B2090000}"/>
    <cellStyle name="Bad 4" xfId="2425" xr:uid="{00000000-0005-0000-0000-0000B3090000}"/>
    <cellStyle name="Bad 4 2" xfId="2426" xr:uid="{00000000-0005-0000-0000-0000B4090000}"/>
    <cellStyle name="Bad 4 3" xfId="2427" xr:uid="{00000000-0005-0000-0000-0000B5090000}"/>
    <cellStyle name="Bad 5" xfId="2428" xr:uid="{00000000-0005-0000-0000-0000B6090000}"/>
    <cellStyle name="Bad 6" xfId="2429" xr:uid="{00000000-0005-0000-0000-0000B7090000}"/>
    <cellStyle name="Bad 7" xfId="2430" xr:uid="{00000000-0005-0000-0000-0000B8090000}"/>
    <cellStyle name="Bad 8" xfId="2431" xr:uid="{00000000-0005-0000-0000-0000B9090000}"/>
    <cellStyle name="Band 1" xfId="2432" xr:uid="{00000000-0005-0000-0000-0000BA090000}"/>
    <cellStyle name="Band 2" xfId="2433" xr:uid="{00000000-0005-0000-0000-0000BB090000}"/>
    <cellStyle name="billion" xfId="2434" xr:uid="{00000000-0005-0000-0000-0000BC090000}"/>
    <cellStyle name="blank" xfId="2435" xr:uid="{00000000-0005-0000-0000-0000BD090000}"/>
    <cellStyle name="blue axis cells" xfId="2436" xr:uid="{00000000-0005-0000-0000-0000BE090000}"/>
    <cellStyle name="Blue Percent" xfId="2437" xr:uid="{00000000-0005-0000-0000-0000BF090000}"/>
    <cellStyle name="blue text cells" xfId="2438" xr:uid="{00000000-0005-0000-0000-0000C0090000}"/>
    <cellStyle name="BMHeading" xfId="2439" xr:uid="{00000000-0005-0000-0000-0000C1090000}"/>
    <cellStyle name="BMPercent" xfId="2440" xr:uid="{00000000-0005-0000-0000-0000C2090000}"/>
    <cellStyle name="Body" xfId="2441" xr:uid="{00000000-0005-0000-0000-0000C3090000}"/>
    <cellStyle name="Bold/Border" xfId="2442" xr:uid="{00000000-0005-0000-0000-0000C4090000}"/>
    <cellStyle name="BooleanYorN" xfId="2443" xr:uid="{00000000-0005-0000-0000-0000C5090000}"/>
    <cellStyle name="bp--" xfId="2444" xr:uid="{00000000-0005-0000-0000-0000C6090000}"/>
    <cellStyle name="Brand Default" xfId="2445" xr:uid="{00000000-0005-0000-0000-0000C7090000}"/>
    <cellStyle name="Brand Source" xfId="2446" xr:uid="{00000000-0005-0000-0000-0000C8090000}"/>
    <cellStyle name="Brand Subtitle with Underline" xfId="2447" xr:uid="{00000000-0005-0000-0000-0000C9090000}"/>
    <cellStyle name="Brand Title" xfId="2448" xr:uid="{00000000-0005-0000-0000-0000CA090000}"/>
    <cellStyle name="Bullet" xfId="2449" xr:uid="{00000000-0005-0000-0000-0000CB090000}"/>
    <cellStyle name="c" xfId="2450" xr:uid="{00000000-0005-0000-0000-0000CC090000}"/>
    <cellStyle name="c_Bal Sheets" xfId="2451" xr:uid="{00000000-0005-0000-0000-0000CD090000}"/>
    <cellStyle name="c_Credit (2)" xfId="2452" xr:uid="{00000000-0005-0000-0000-0000CE090000}"/>
    <cellStyle name="c_Earnings" xfId="2453" xr:uid="{00000000-0005-0000-0000-0000CF090000}"/>
    <cellStyle name="c_Earnings (2)" xfId="2454" xr:uid="{00000000-0005-0000-0000-0000D0090000}"/>
    <cellStyle name="c_finsumm" xfId="2455" xr:uid="{00000000-0005-0000-0000-0000D1090000}"/>
    <cellStyle name="c_GoroWipTax-to2050_fromCo_Oct21_99" xfId="2456" xr:uid="{00000000-0005-0000-0000-0000D2090000}"/>
    <cellStyle name="c_HardInc " xfId="2457" xr:uid="{00000000-0005-0000-0000-0000D3090000}"/>
    <cellStyle name="c_Hist Inputs (2)" xfId="2458" xr:uid="{00000000-0005-0000-0000-0000D4090000}"/>
    <cellStyle name="c_IEL_finsumm" xfId="2459" xr:uid="{00000000-0005-0000-0000-0000D5090000}"/>
    <cellStyle name="c_IEL_finsumm1" xfId="2460" xr:uid="{00000000-0005-0000-0000-0000D6090000}"/>
    <cellStyle name="c_LBO Summary" xfId="2461" xr:uid="{00000000-0005-0000-0000-0000D7090000}"/>
    <cellStyle name="c_Schedules" xfId="2462" xr:uid="{00000000-0005-0000-0000-0000D8090000}"/>
    <cellStyle name="c_Trans Assump (2)" xfId="2463" xr:uid="{00000000-0005-0000-0000-0000D9090000}"/>
    <cellStyle name="c_Unit Price Sen. (2)" xfId="2464" xr:uid="{00000000-0005-0000-0000-0000DA090000}"/>
    <cellStyle name="Ç¥ÁØ_¿ù°£¿ä¾àº¸°í" xfId="2465" xr:uid="{00000000-0005-0000-0000-0000DB090000}"/>
    <cellStyle name="CALC Amount" xfId="2466" xr:uid="{00000000-0005-0000-0000-0000DC090000}"/>
    <cellStyle name="CALC Amount [1]" xfId="2467" xr:uid="{00000000-0005-0000-0000-0000DD090000}"/>
    <cellStyle name="Calc Currency (0)" xfId="2468" xr:uid="{00000000-0005-0000-0000-0000DE090000}"/>
    <cellStyle name="CalcInput" xfId="2469" xr:uid="{00000000-0005-0000-0000-0000DF090000}"/>
    <cellStyle name="Calcs" xfId="2470" xr:uid="{00000000-0005-0000-0000-0000E0090000}"/>
    <cellStyle name="Calculation 2" xfId="2471" xr:uid="{00000000-0005-0000-0000-0000E1090000}"/>
    <cellStyle name="Calculation 2 10" xfId="2472" xr:uid="{00000000-0005-0000-0000-0000E2090000}"/>
    <cellStyle name="Calculation 2 11" xfId="2473" xr:uid="{00000000-0005-0000-0000-0000E3090000}"/>
    <cellStyle name="Calculation 2 12" xfId="2474" xr:uid="{00000000-0005-0000-0000-0000E4090000}"/>
    <cellStyle name="Calculation 2 13" xfId="2475" xr:uid="{00000000-0005-0000-0000-0000E5090000}"/>
    <cellStyle name="Calculation 2 14" xfId="2476" xr:uid="{00000000-0005-0000-0000-0000E6090000}"/>
    <cellStyle name="Calculation 2 15" xfId="2477" xr:uid="{00000000-0005-0000-0000-0000E7090000}"/>
    <cellStyle name="Calculation 2 16" xfId="2478" xr:uid="{00000000-0005-0000-0000-0000E8090000}"/>
    <cellStyle name="Calculation 2 17" xfId="2479" xr:uid="{00000000-0005-0000-0000-0000E9090000}"/>
    <cellStyle name="Calculation 2 18" xfId="2480" xr:uid="{00000000-0005-0000-0000-0000EA090000}"/>
    <cellStyle name="Calculation 2 19" xfId="2481" xr:uid="{00000000-0005-0000-0000-0000EB090000}"/>
    <cellStyle name="Calculation 2 2" xfId="2482" xr:uid="{00000000-0005-0000-0000-0000EC090000}"/>
    <cellStyle name="Calculation 2 2 10" xfId="2483" xr:uid="{00000000-0005-0000-0000-0000ED090000}"/>
    <cellStyle name="Calculation 2 2 11" xfId="2484" xr:uid="{00000000-0005-0000-0000-0000EE090000}"/>
    <cellStyle name="Calculation 2 2 12" xfId="2485" xr:uid="{00000000-0005-0000-0000-0000EF090000}"/>
    <cellStyle name="Calculation 2 2 13" xfId="2486" xr:uid="{00000000-0005-0000-0000-0000F0090000}"/>
    <cellStyle name="Calculation 2 2 14" xfId="2487" xr:uid="{00000000-0005-0000-0000-0000F1090000}"/>
    <cellStyle name="Calculation 2 2 15" xfId="2488" xr:uid="{00000000-0005-0000-0000-0000F2090000}"/>
    <cellStyle name="Calculation 2 2 16" xfId="2489" xr:uid="{00000000-0005-0000-0000-0000F3090000}"/>
    <cellStyle name="Calculation 2 2 17" xfId="2490" xr:uid="{00000000-0005-0000-0000-0000F4090000}"/>
    <cellStyle name="Calculation 2 2 18" xfId="2491" xr:uid="{00000000-0005-0000-0000-0000F5090000}"/>
    <cellStyle name="Calculation 2 2 19" xfId="2492" xr:uid="{00000000-0005-0000-0000-0000F6090000}"/>
    <cellStyle name="Calculation 2 2 2" xfId="2493" xr:uid="{00000000-0005-0000-0000-0000F7090000}"/>
    <cellStyle name="Calculation 2 2 20" xfId="2494" xr:uid="{00000000-0005-0000-0000-0000F8090000}"/>
    <cellStyle name="Calculation 2 2 21" xfId="2495" xr:uid="{00000000-0005-0000-0000-0000F9090000}"/>
    <cellStyle name="Calculation 2 2 22" xfId="2496" xr:uid="{00000000-0005-0000-0000-0000FA090000}"/>
    <cellStyle name="Calculation 2 2 23" xfId="2497" xr:uid="{00000000-0005-0000-0000-0000FB090000}"/>
    <cellStyle name="Calculation 2 2 24" xfId="2498" xr:uid="{00000000-0005-0000-0000-0000FC090000}"/>
    <cellStyle name="Calculation 2 2 25" xfId="2499" xr:uid="{00000000-0005-0000-0000-0000FD090000}"/>
    <cellStyle name="Calculation 2 2 26" xfId="2500" xr:uid="{00000000-0005-0000-0000-0000FE090000}"/>
    <cellStyle name="Calculation 2 2 27" xfId="2501" xr:uid="{00000000-0005-0000-0000-0000FF090000}"/>
    <cellStyle name="Calculation 2 2 28" xfId="2502" xr:uid="{00000000-0005-0000-0000-0000000A0000}"/>
    <cellStyle name="Calculation 2 2 29" xfId="2503" xr:uid="{00000000-0005-0000-0000-0000010A0000}"/>
    <cellStyle name="Calculation 2 2 3" xfId="2504" xr:uid="{00000000-0005-0000-0000-0000020A0000}"/>
    <cellStyle name="Calculation 2 2 30" xfId="2505" xr:uid="{00000000-0005-0000-0000-0000030A0000}"/>
    <cellStyle name="Calculation 2 2 31" xfId="2506" xr:uid="{00000000-0005-0000-0000-0000040A0000}"/>
    <cellStyle name="Calculation 2 2 32" xfId="2507" xr:uid="{00000000-0005-0000-0000-0000050A0000}"/>
    <cellStyle name="Calculation 2 2 4" xfId="2508" xr:uid="{00000000-0005-0000-0000-0000060A0000}"/>
    <cellStyle name="Calculation 2 2 5" xfId="2509" xr:uid="{00000000-0005-0000-0000-0000070A0000}"/>
    <cellStyle name="Calculation 2 2 6" xfId="2510" xr:uid="{00000000-0005-0000-0000-0000080A0000}"/>
    <cellStyle name="Calculation 2 2 7" xfId="2511" xr:uid="{00000000-0005-0000-0000-0000090A0000}"/>
    <cellStyle name="Calculation 2 2 8" xfId="2512" xr:uid="{00000000-0005-0000-0000-00000A0A0000}"/>
    <cellStyle name="Calculation 2 2 9" xfId="2513" xr:uid="{00000000-0005-0000-0000-00000B0A0000}"/>
    <cellStyle name="Calculation 2 20" xfId="2514" xr:uid="{00000000-0005-0000-0000-00000C0A0000}"/>
    <cellStyle name="Calculation 2 21" xfId="2515" xr:uid="{00000000-0005-0000-0000-00000D0A0000}"/>
    <cellStyle name="Calculation 2 22" xfId="2516" xr:uid="{00000000-0005-0000-0000-00000E0A0000}"/>
    <cellStyle name="Calculation 2 23" xfId="2517" xr:uid="{00000000-0005-0000-0000-00000F0A0000}"/>
    <cellStyle name="Calculation 2 24" xfId="2518" xr:uid="{00000000-0005-0000-0000-0000100A0000}"/>
    <cellStyle name="Calculation 2 25" xfId="2519" xr:uid="{00000000-0005-0000-0000-0000110A0000}"/>
    <cellStyle name="Calculation 2 26" xfId="2520" xr:uid="{00000000-0005-0000-0000-0000120A0000}"/>
    <cellStyle name="Calculation 2 27" xfId="2521" xr:uid="{00000000-0005-0000-0000-0000130A0000}"/>
    <cellStyle name="Calculation 2 28" xfId="2522" xr:uid="{00000000-0005-0000-0000-0000140A0000}"/>
    <cellStyle name="Calculation 2 29" xfId="2523" xr:uid="{00000000-0005-0000-0000-0000150A0000}"/>
    <cellStyle name="Calculation 2 3" xfId="2524" xr:uid="{00000000-0005-0000-0000-0000160A0000}"/>
    <cellStyle name="Calculation 2 3 10" xfId="2525" xr:uid="{00000000-0005-0000-0000-0000170A0000}"/>
    <cellStyle name="Calculation 2 3 11" xfId="2526" xr:uid="{00000000-0005-0000-0000-0000180A0000}"/>
    <cellStyle name="Calculation 2 3 12" xfId="2527" xr:uid="{00000000-0005-0000-0000-0000190A0000}"/>
    <cellStyle name="Calculation 2 3 13" xfId="2528" xr:uid="{00000000-0005-0000-0000-00001A0A0000}"/>
    <cellStyle name="Calculation 2 3 14" xfId="2529" xr:uid="{00000000-0005-0000-0000-00001B0A0000}"/>
    <cellStyle name="Calculation 2 3 15" xfId="2530" xr:uid="{00000000-0005-0000-0000-00001C0A0000}"/>
    <cellStyle name="Calculation 2 3 16" xfId="2531" xr:uid="{00000000-0005-0000-0000-00001D0A0000}"/>
    <cellStyle name="Calculation 2 3 17" xfId="2532" xr:uid="{00000000-0005-0000-0000-00001E0A0000}"/>
    <cellStyle name="Calculation 2 3 18" xfId="2533" xr:uid="{00000000-0005-0000-0000-00001F0A0000}"/>
    <cellStyle name="Calculation 2 3 19" xfId="2534" xr:uid="{00000000-0005-0000-0000-0000200A0000}"/>
    <cellStyle name="Calculation 2 3 2" xfId="2535" xr:uid="{00000000-0005-0000-0000-0000210A0000}"/>
    <cellStyle name="Calculation 2 3 20" xfId="2536" xr:uid="{00000000-0005-0000-0000-0000220A0000}"/>
    <cellStyle name="Calculation 2 3 21" xfId="2537" xr:uid="{00000000-0005-0000-0000-0000230A0000}"/>
    <cellStyle name="Calculation 2 3 22" xfId="2538" xr:uid="{00000000-0005-0000-0000-0000240A0000}"/>
    <cellStyle name="Calculation 2 3 23" xfId="2539" xr:uid="{00000000-0005-0000-0000-0000250A0000}"/>
    <cellStyle name="Calculation 2 3 24" xfId="2540" xr:uid="{00000000-0005-0000-0000-0000260A0000}"/>
    <cellStyle name="Calculation 2 3 25" xfId="2541" xr:uid="{00000000-0005-0000-0000-0000270A0000}"/>
    <cellStyle name="Calculation 2 3 26" xfId="2542" xr:uid="{00000000-0005-0000-0000-0000280A0000}"/>
    <cellStyle name="Calculation 2 3 27" xfId="2543" xr:uid="{00000000-0005-0000-0000-0000290A0000}"/>
    <cellStyle name="Calculation 2 3 28" xfId="2544" xr:uid="{00000000-0005-0000-0000-00002A0A0000}"/>
    <cellStyle name="Calculation 2 3 29" xfId="2545" xr:uid="{00000000-0005-0000-0000-00002B0A0000}"/>
    <cellStyle name="Calculation 2 3 3" xfId="2546" xr:uid="{00000000-0005-0000-0000-00002C0A0000}"/>
    <cellStyle name="Calculation 2 3 30" xfId="2547" xr:uid="{00000000-0005-0000-0000-00002D0A0000}"/>
    <cellStyle name="Calculation 2 3 31" xfId="2548" xr:uid="{00000000-0005-0000-0000-00002E0A0000}"/>
    <cellStyle name="Calculation 2 3 32" xfId="2549" xr:uid="{00000000-0005-0000-0000-00002F0A0000}"/>
    <cellStyle name="Calculation 2 3 4" xfId="2550" xr:uid="{00000000-0005-0000-0000-0000300A0000}"/>
    <cellStyle name="Calculation 2 3 5" xfId="2551" xr:uid="{00000000-0005-0000-0000-0000310A0000}"/>
    <cellStyle name="Calculation 2 3 6" xfId="2552" xr:uid="{00000000-0005-0000-0000-0000320A0000}"/>
    <cellStyle name="Calculation 2 3 7" xfId="2553" xr:uid="{00000000-0005-0000-0000-0000330A0000}"/>
    <cellStyle name="Calculation 2 3 8" xfId="2554" xr:uid="{00000000-0005-0000-0000-0000340A0000}"/>
    <cellStyle name="Calculation 2 3 9" xfId="2555" xr:uid="{00000000-0005-0000-0000-0000350A0000}"/>
    <cellStyle name="Calculation 2 30" xfId="2556" xr:uid="{00000000-0005-0000-0000-0000360A0000}"/>
    <cellStyle name="Calculation 2 31" xfId="2557" xr:uid="{00000000-0005-0000-0000-0000370A0000}"/>
    <cellStyle name="Calculation 2 32" xfId="2558" xr:uid="{00000000-0005-0000-0000-0000380A0000}"/>
    <cellStyle name="Calculation 2 33" xfId="2559" xr:uid="{00000000-0005-0000-0000-0000390A0000}"/>
    <cellStyle name="Calculation 2 34" xfId="2560" xr:uid="{00000000-0005-0000-0000-00003A0A0000}"/>
    <cellStyle name="Calculation 2 35" xfId="2561" xr:uid="{00000000-0005-0000-0000-00003B0A0000}"/>
    <cellStyle name="Calculation 2 36" xfId="2562" xr:uid="{00000000-0005-0000-0000-00003C0A0000}"/>
    <cellStyle name="Calculation 2 4" xfId="2563" xr:uid="{00000000-0005-0000-0000-00003D0A0000}"/>
    <cellStyle name="Calculation 2 4 10" xfId="2564" xr:uid="{00000000-0005-0000-0000-00003E0A0000}"/>
    <cellStyle name="Calculation 2 4 11" xfId="2565" xr:uid="{00000000-0005-0000-0000-00003F0A0000}"/>
    <cellStyle name="Calculation 2 4 12" xfId="2566" xr:uid="{00000000-0005-0000-0000-0000400A0000}"/>
    <cellStyle name="Calculation 2 4 13" xfId="2567" xr:uid="{00000000-0005-0000-0000-0000410A0000}"/>
    <cellStyle name="Calculation 2 4 14" xfId="2568" xr:uid="{00000000-0005-0000-0000-0000420A0000}"/>
    <cellStyle name="Calculation 2 4 15" xfId="2569" xr:uid="{00000000-0005-0000-0000-0000430A0000}"/>
    <cellStyle name="Calculation 2 4 16" xfId="2570" xr:uid="{00000000-0005-0000-0000-0000440A0000}"/>
    <cellStyle name="Calculation 2 4 17" xfId="2571" xr:uid="{00000000-0005-0000-0000-0000450A0000}"/>
    <cellStyle name="Calculation 2 4 18" xfId="2572" xr:uid="{00000000-0005-0000-0000-0000460A0000}"/>
    <cellStyle name="Calculation 2 4 19" xfId="2573" xr:uid="{00000000-0005-0000-0000-0000470A0000}"/>
    <cellStyle name="Calculation 2 4 2" xfId="2574" xr:uid="{00000000-0005-0000-0000-0000480A0000}"/>
    <cellStyle name="Calculation 2 4 20" xfId="2575" xr:uid="{00000000-0005-0000-0000-0000490A0000}"/>
    <cellStyle name="Calculation 2 4 21" xfId="2576" xr:uid="{00000000-0005-0000-0000-00004A0A0000}"/>
    <cellStyle name="Calculation 2 4 22" xfId="2577" xr:uid="{00000000-0005-0000-0000-00004B0A0000}"/>
    <cellStyle name="Calculation 2 4 23" xfId="2578" xr:uid="{00000000-0005-0000-0000-00004C0A0000}"/>
    <cellStyle name="Calculation 2 4 24" xfId="2579" xr:uid="{00000000-0005-0000-0000-00004D0A0000}"/>
    <cellStyle name="Calculation 2 4 25" xfId="2580" xr:uid="{00000000-0005-0000-0000-00004E0A0000}"/>
    <cellStyle name="Calculation 2 4 26" xfId="2581" xr:uid="{00000000-0005-0000-0000-00004F0A0000}"/>
    <cellStyle name="Calculation 2 4 27" xfId="2582" xr:uid="{00000000-0005-0000-0000-0000500A0000}"/>
    <cellStyle name="Calculation 2 4 28" xfId="2583" xr:uid="{00000000-0005-0000-0000-0000510A0000}"/>
    <cellStyle name="Calculation 2 4 29" xfId="2584" xr:uid="{00000000-0005-0000-0000-0000520A0000}"/>
    <cellStyle name="Calculation 2 4 3" xfId="2585" xr:uid="{00000000-0005-0000-0000-0000530A0000}"/>
    <cellStyle name="Calculation 2 4 30" xfId="2586" xr:uid="{00000000-0005-0000-0000-0000540A0000}"/>
    <cellStyle name="Calculation 2 4 31" xfId="2587" xr:uid="{00000000-0005-0000-0000-0000550A0000}"/>
    <cellStyle name="Calculation 2 4 32" xfId="2588" xr:uid="{00000000-0005-0000-0000-0000560A0000}"/>
    <cellStyle name="Calculation 2 4 4" xfId="2589" xr:uid="{00000000-0005-0000-0000-0000570A0000}"/>
    <cellStyle name="Calculation 2 4 5" xfId="2590" xr:uid="{00000000-0005-0000-0000-0000580A0000}"/>
    <cellStyle name="Calculation 2 4 6" xfId="2591" xr:uid="{00000000-0005-0000-0000-0000590A0000}"/>
    <cellStyle name="Calculation 2 4 7" xfId="2592" xr:uid="{00000000-0005-0000-0000-00005A0A0000}"/>
    <cellStyle name="Calculation 2 4 8" xfId="2593" xr:uid="{00000000-0005-0000-0000-00005B0A0000}"/>
    <cellStyle name="Calculation 2 4 9" xfId="2594" xr:uid="{00000000-0005-0000-0000-00005C0A0000}"/>
    <cellStyle name="Calculation 2 5" xfId="2595" xr:uid="{00000000-0005-0000-0000-00005D0A0000}"/>
    <cellStyle name="Calculation 2 5 10" xfId="2596" xr:uid="{00000000-0005-0000-0000-00005E0A0000}"/>
    <cellStyle name="Calculation 2 5 11" xfId="2597" xr:uid="{00000000-0005-0000-0000-00005F0A0000}"/>
    <cellStyle name="Calculation 2 5 12" xfId="2598" xr:uid="{00000000-0005-0000-0000-0000600A0000}"/>
    <cellStyle name="Calculation 2 5 13" xfId="2599" xr:uid="{00000000-0005-0000-0000-0000610A0000}"/>
    <cellStyle name="Calculation 2 5 14" xfId="2600" xr:uid="{00000000-0005-0000-0000-0000620A0000}"/>
    <cellStyle name="Calculation 2 5 15" xfId="2601" xr:uid="{00000000-0005-0000-0000-0000630A0000}"/>
    <cellStyle name="Calculation 2 5 16" xfId="2602" xr:uid="{00000000-0005-0000-0000-0000640A0000}"/>
    <cellStyle name="Calculation 2 5 17" xfId="2603" xr:uid="{00000000-0005-0000-0000-0000650A0000}"/>
    <cellStyle name="Calculation 2 5 18" xfId="2604" xr:uid="{00000000-0005-0000-0000-0000660A0000}"/>
    <cellStyle name="Calculation 2 5 19" xfId="2605" xr:uid="{00000000-0005-0000-0000-0000670A0000}"/>
    <cellStyle name="Calculation 2 5 2" xfId="2606" xr:uid="{00000000-0005-0000-0000-0000680A0000}"/>
    <cellStyle name="Calculation 2 5 20" xfId="2607" xr:uid="{00000000-0005-0000-0000-0000690A0000}"/>
    <cellStyle name="Calculation 2 5 21" xfId="2608" xr:uid="{00000000-0005-0000-0000-00006A0A0000}"/>
    <cellStyle name="Calculation 2 5 22" xfId="2609" xr:uid="{00000000-0005-0000-0000-00006B0A0000}"/>
    <cellStyle name="Calculation 2 5 23" xfId="2610" xr:uid="{00000000-0005-0000-0000-00006C0A0000}"/>
    <cellStyle name="Calculation 2 5 24" xfId="2611" xr:uid="{00000000-0005-0000-0000-00006D0A0000}"/>
    <cellStyle name="Calculation 2 5 25" xfId="2612" xr:uid="{00000000-0005-0000-0000-00006E0A0000}"/>
    <cellStyle name="Calculation 2 5 26" xfId="2613" xr:uid="{00000000-0005-0000-0000-00006F0A0000}"/>
    <cellStyle name="Calculation 2 5 27" xfId="2614" xr:uid="{00000000-0005-0000-0000-0000700A0000}"/>
    <cellStyle name="Calculation 2 5 28" xfId="2615" xr:uid="{00000000-0005-0000-0000-0000710A0000}"/>
    <cellStyle name="Calculation 2 5 29" xfId="2616" xr:uid="{00000000-0005-0000-0000-0000720A0000}"/>
    <cellStyle name="Calculation 2 5 3" xfId="2617" xr:uid="{00000000-0005-0000-0000-0000730A0000}"/>
    <cellStyle name="Calculation 2 5 30" xfId="2618" xr:uid="{00000000-0005-0000-0000-0000740A0000}"/>
    <cellStyle name="Calculation 2 5 31" xfId="2619" xr:uid="{00000000-0005-0000-0000-0000750A0000}"/>
    <cellStyle name="Calculation 2 5 32" xfId="2620" xr:uid="{00000000-0005-0000-0000-0000760A0000}"/>
    <cellStyle name="Calculation 2 5 4" xfId="2621" xr:uid="{00000000-0005-0000-0000-0000770A0000}"/>
    <cellStyle name="Calculation 2 5 5" xfId="2622" xr:uid="{00000000-0005-0000-0000-0000780A0000}"/>
    <cellStyle name="Calculation 2 5 6" xfId="2623" xr:uid="{00000000-0005-0000-0000-0000790A0000}"/>
    <cellStyle name="Calculation 2 5 7" xfId="2624" xr:uid="{00000000-0005-0000-0000-00007A0A0000}"/>
    <cellStyle name="Calculation 2 5 8" xfId="2625" xr:uid="{00000000-0005-0000-0000-00007B0A0000}"/>
    <cellStyle name="Calculation 2 5 9" xfId="2626" xr:uid="{00000000-0005-0000-0000-00007C0A0000}"/>
    <cellStyle name="Calculation 2 6" xfId="2627" xr:uid="{00000000-0005-0000-0000-00007D0A0000}"/>
    <cellStyle name="Calculation 2 7" xfId="2628" xr:uid="{00000000-0005-0000-0000-00007E0A0000}"/>
    <cellStyle name="Calculation 2 8" xfId="2629" xr:uid="{00000000-0005-0000-0000-00007F0A0000}"/>
    <cellStyle name="Calculation 2 9" xfId="2630" xr:uid="{00000000-0005-0000-0000-0000800A0000}"/>
    <cellStyle name="Calculation 3" xfId="2631" xr:uid="{00000000-0005-0000-0000-0000810A0000}"/>
    <cellStyle name="Calculation 3 2" xfId="42457" xr:uid="{00000000-0005-0000-0000-0000820A0000}"/>
    <cellStyle name="Check" xfId="2632" xr:uid="{00000000-0005-0000-0000-0000830A0000}"/>
    <cellStyle name="Check Cell 2" xfId="2633" xr:uid="{00000000-0005-0000-0000-0000840A0000}"/>
    <cellStyle name="Check Cell 3" xfId="2634" xr:uid="{00000000-0005-0000-0000-0000850A0000}"/>
    <cellStyle name="ColBlue" xfId="2635" xr:uid="{00000000-0005-0000-0000-0000860A0000}"/>
    <cellStyle name="ColGreen" xfId="2636" xr:uid="{00000000-0005-0000-0000-0000870A0000}"/>
    <cellStyle name="ColRed" xfId="2637" xr:uid="{00000000-0005-0000-0000-0000880A0000}"/>
    <cellStyle name="column Head Underlined" xfId="2638" xr:uid="{00000000-0005-0000-0000-0000890A0000}"/>
    <cellStyle name="Column Heading" xfId="2639" xr:uid="{00000000-0005-0000-0000-00008A0A0000}"/>
    <cellStyle name="ColumnHeading" xfId="2640" xr:uid="{00000000-0005-0000-0000-00008B0A0000}"/>
    <cellStyle name="ColumnHeadings" xfId="2641" xr:uid="{00000000-0005-0000-0000-00008C0A0000}"/>
    <cellStyle name="ColumnHeadings2" xfId="2642" xr:uid="{00000000-0005-0000-0000-00008D0A0000}"/>
    <cellStyle name="Comma" xfId="42049" builtinId="3"/>
    <cellStyle name="Comma  - Style1" xfId="2643" xr:uid="{00000000-0005-0000-0000-00008F0A0000}"/>
    <cellStyle name="Comma  - Style2" xfId="2644" xr:uid="{00000000-0005-0000-0000-0000900A0000}"/>
    <cellStyle name="Comma  - Style3" xfId="2645" xr:uid="{00000000-0005-0000-0000-0000910A0000}"/>
    <cellStyle name="Comma  - Style4" xfId="2646" xr:uid="{00000000-0005-0000-0000-0000920A0000}"/>
    <cellStyle name="Comma  - Style5" xfId="2647" xr:uid="{00000000-0005-0000-0000-0000930A0000}"/>
    <cellStyle name="Comma  - Style6" xfId="2648" xr:uid="{00000000-0005-0000-0000-0000940A0000}"/>
    <cellStyle name="Comma  - Style7" xfId="2649" xr:uid="{00000000-0005-0000-0000-0000950A0000}"/>
    <cellStyle name="Comma  - Style8" xfId="2650" xr:uid="{00000000-0005-0000-0000-0000960A0000}"/>
    <cellStyle name="Comma (0)" xfId="2651" xr:uid="{00000000-0005-0000-0000-0000970A0000}"/>
    <cellStyle name="Comma (1)" xfId="2652" xr:uid="{00000000-0005-0000-0000-0000980A0000}"/>
    <cellStyle name="Comma (2)" xfId="2653" xr:uid="{00000000-0005-0000-0000-0000990A0000}"/>
    <cellStyle name="Comma [1]" xfId="2654" xr:uid="{00000000-0005-0000-0000-00009A0A0000}"/>
    <cellStyle name="Comma [1] 2" xfId="42112" xr:uid="{00000000-0005-0000-0000-00009B0A0000}"/>
    <cellStyle name="Comma [1] 2 2" xfId="42113" xr:uid="{00000000-0005-0000-0000-00009C0A0000}"/>
    <cellStyle name="Comma [1] 2 3" xfId="42114" xr:uid="{00000000-0005-0000-0000-00009D0A0000}"/>
    <cellStyle name="Comma [1] 2 4" xfId="42115" xr:uid="{00000000-0005-0000-0000-00009E0A0000}"/>
    <cellStyle name="Comma [1] 2 5" xfId="42116" xr:uid="{00000000-0005-0000-0000-00009F0A0000}"/>
    <cellStyle name="Comma [1] 2 6" xfId="42117" xr:uid="{00000000-0005-0000-0000-0000A00A0000}"/>
    <cellStyle name="Comma [1] 2 7" xfId="42118" xr:uid="{00000000-0005-0000-0000-0000A10A0000}"/>
    <cellStyle name="Comma [1] 2 8" xfId="42119" xr:uid="{00000000-0005-0000-0000-0000A20A0000}"/>
    <cellStyle name="Comma [2]" xfId="2655" xr:uid="{00000000-0005-0000-0000-0000A30A0000}"/>
    <cellStyle name="Comma [3]" xfId="2656" xr:uid="{00000000-0005-0000-0000-0000A40A0000}"/>
    <cellStyle name="Comma 0" xfId="2657" xr:uid="{00000000-0005-0000-0000-0000A50A0000}"/>
    <cellStyle name="Comma 0*" xfId="2658" xr:uid="{00000000-0005-0000-0000-0000A60A0000}"/>
    <cellStyle name="Comma 0_Model_Sep_2_02" xfId="2659" xr:uid="{00000000-0005-0000-0000-0000A70A0000}"/>
    <cellStyle name="Comma 10" xfId="2660" xr:uid="{00000000-0005-0000-0000-0000A80A0000}"/>
    <cellStyle name="Comma 11" xfId="2661" xr:uid="{00000000-0005-0000-0000-0000A90A0000}"/>
    <cellStyle name="Comma 12" xfId="2662" xr:uid="{00000000-0005-0000-0000-0000AA0A0000}"/>
    <cellStyle name="Comma 13" xfId="2663" xr:uid="{00000000-0005-0000-0000-0000AB0A0000}"/>
    <cellStyle name="Comma 14" xfId="2664" xr:uid="{00000000-0005-0000-0000-0000AC0A0000}"/>
    <cellStyle name="Comma 15" xfId="2665" xr:uid="{00000000-0005-0000-0000-0000AD0A0000}"/>
    <cellStyle name="Comma 16" xfId="2666" xr:uid="{00000000-0005-0000-0000-0000AE0A0000}"/>
    <cellStyle name="Comma 17" xfId="2667" xr:uid="{00000000-0005-0000-0000-0000AF0A0000}"/>
    <cellStyle name="Comma 18" xfId="2668" xr:uid="{00000000-0005-0000-0000-0000B00A0000}"/>
    <cellStyle name="Comma 19" xfId="2669" xr:uid="{00000000-0005-0000-0000-0000B10A0000}"/>
    <cellStyle name="Comma 19 2" xfId="2670" xr:uid="{00000000-0005-0000-0000-0000B20A0000}"/>
    <cellStyle name="Comma 2" xfId="2671" xr:uid="{00000000-0005-0000-0000-0000B30A0000}"/>
    <cellStyle name="Comma 2 10" xfId="2672" xr:uid="{00000000-0005-0000-0000-0000B40A0000}"/>
    <cellStyle name="Comma 2 10 10" xfId="2673" xr:uid="{00000000-0005-0000-0000-0000B50A0000}"/>
    <cellStyle name="Comma 2 10 11" xfId="2674" xr:uid="{00000000-0005-0000-0000-0000B60A0000}"/>
    <cellStyle name="Comma 2 10 12" xfId="2675" xr:uid="{00000000-0005-0000-0000-0000B70A0000}"/>
    <cellStyle name="Comma 2 10 2" xfId="2676" xr:uid="{00000000-0005-0000-0000-0000B80A0000}"/>
    <cellStyle name="Comma 2 10 2 2" xfId="2677" xr:uid="{00000000-0005-0000-0000-0000B90A0000}"/>
    <cellStyle name="Comma 2 10 2 3" xfId="2678" xr:uid="{00000000-0005-0000-0000-0000BA0A0000}"/>
    <cellStyle name="Comma 2 10 3" xfId="2679" xr:uid="{00000000-0005-0000-0000-0000BB0A0000}"/>
    <cellStyle name="Comma 2 10 4" xfId="2680" xr:uid="{00000000-0005-0000-0000-0000BC0A0000}"/>
    <cellStyle name="Comma 2 10 5" xfId="2681" xr:uid="{00000000-0005-0000-0000-0000BD0A0000}"/>
    <cellStyle name="Comma 2 10 6" xfId="2682" xr:uid="{00000000-0005-0000-0000-0000BE0A0000}"/>
    <cellStyle name="Comma 2 10 6 2" xfId="2683" xr:uid="{00000000-0005-0000-0000-0000BF0A0000}"/>
    <cellStyle name="Comma 2 10 7" xfId="2684" xr:uid="{00000000-0005-0000-0000-0000C00A0000}"/>
    <cellStyle name="Comma 2 10 7 2" xfId="2685" xr:uid="{00000000-0005-0000-0000-0000C10A0000}"/>
    <cellStyle name="Comma 2 10 7 3" xfId="2686" xr:uid="{00000000-0005-0000-0000-0000C20A0000}"/>
    <cellStyle name="Comma 2 10 8" xfId="2687" xr:uid="{00000000-0005-0000-0000-0000C30A0000}"/>
    <cellStyle name="Comma 2 10 9" xfId="2688" xr:uid="{00000000-0005-0000-0000-0000C40A0000}"/>
    <cellStyle name="Comma 2 100" xfId="2689" xr:uid="{00000000-0005-0000-0000-0000C50A0000}"/>
    <cellStyle name="Comma 2 101" xfId="2690" xr:uid="{00000000-0005-0000-0000-0000C60A0000}"/>
    <cellStyle name="Comma 2 102" xfId="2691" xr:uid="{00000000-0005-0000-0000-0000C70A0000}"/>
    <cellStyle name="Comma 2 103" xfId="2692" xr:uid="{00000000-0005-0000-0000-0000C80A0000}"/>
    <cellStyle name="Comma 2 104" xfId="2693" xr:uid="{00000000-0005-0000-0000-0000C90A0000}"/>
    <cellStyle name="Comma 2 105" xfId="2694" xr:uid="{00000000-0005-0000-0000-0000CA0A0000}"/>
    <cellStyle name="Comma 2 106" xfId="2695" xr:uid="{00000000-0005-0000-0000-0000CB0A0000}"/>
    <cellStyle name="Comma 2 107" xfId="2696" xr:uid="{00000000-0005-0000-0000-0000CC0A0000}"/>
    <cellStyle name="Comma 2 108" xfId="2697" xr:uid="{00000000-0005-0000-0000-0000CD0A0000}"/>
    <cellStyle name="Comma 2 109" xfId="2698" xr:uid="{00000000-0005-0000-0000-0000CE0A0000}"/>
    <cellStyle name="Comma 2 11" xfId="2699" xr:uid="{00000000-0005-0000-0000-0000CF0A0000}"/>
    <cellStyle name="Comma 2 110" xfId="2700" xr:uid="{00000000-0005-0000-0000-0000D00A0000}"/>
    <cellStyle name="Comma 2 111" xfId="2701" xr:uid="{00000000-0005-0000-0000-0000D10A0000}"/>
    <cellStyle name="Comma 2 112" xfId="2702" xr:uid="{00000000-0005-0000-0000-0000D20A0000}"/>
    <cellStyle name="Comma 2 113" xfId="2703" xr:uid="{00000000-0005-0000-0000-0000D30A0000}"/>
    <cellStyle name="Comma 2 114" xfId="2704" xr:uid="{00000000-0005-0000-0000-0000D40A0000}"/>
    <cellStyle name="Comma 2 115" xfId="2705" xr:uid="{00000000-0005-0000-0000-0000D50A0000}"/>
    <cellStyle name="Comma 2 116" xfId="2706" xr:uid="{00000000-0005-0000-0000-0000D60A0000}"/>
    <cellStyle name="Comma 2 117" xfId="2707" xr:uid="{00000000-0005-0000-0000-0000D70A0000}"/>
    <cellStyle name="Comma 2 118" xfId="2708" xr:uid="{00000000-0005-0000-0000-0000D80A0000}"/>
    <cellStyle name="Comma 2 119" xfId="2709" xr:uid="{00000000-0005-0000-0000-0000D90A0000}"/>
    <cellStyle name="Comma 2 12" xfId="2710" xr:uid="{00000000-0005-0000-0000-0000DA0A0000}"/>
    <cellStyle name="Comma 2 120" xfId="2711" xr:uid="{00000000-0005-0000-0000-0000DB0A0000}"/>
    <cellStyle name="Comma 2 121" xfId="2712" xr:uid="{00000000-0005-0000-0000-0000DC0A0000}"/>
    <cellStyle name="Comma 2 122" xfId="2713" xr:uid="{00000000-0005-0000-0000-0000DD0A0000}"/>
    <cellStyle name="Comma 2 123" xfId="2714" xr:uid="{00000000-0005-0000-0000-0000DE0A0000}"/>
    <cellStyle name="Comma 2 124" xfId="2715" xr:uid="{00000000-0005-0000-0000-0000DF0A0000}"/>
    <cellStyle name="Comma 2 125" xfId="2716" xr:uid="{00000000-0005-0000-0000-0000E00A0000}"/>
    <cellStyle name="Comma 2 126" xfId="2717" xr:uid="{00000000-0005-0000-0000-0000E10A0000}"/>
    <cellStyle name="Comma 2 127" xfId="2718" xr:uid="{00000000-0005-0000-0000-0000E20A0000}"/>
    <cellStyle name="Comma 2 128" xfId="42544" xr:uid="{31F7CCF9-619C-466F-8AA6-B38BE364B08C}"/>
    <cellStyle name="Comma 2 13" xfId="2719" xr:uid="{00000000-0005-0000-0000-0000E30A0000}"/>
    <cellStyle name="Comma 2 14" xfId="2720" xr:uid="{00000000-0005-0000-0000-0000E40A0000}"/>
    <cellStyle name="Comma 2 15" xfId="2721" xr:uid="{00000000-0005-0000-0000-0000E50A0000}"/>
    <cellStyle name="Comma 2 16" xfId="2722" xr:uid="{00000000-0005-0000-0000-0000E60A0000}"/>
    <cellStyle name="Comma 2 17" xfId="2723" xr:uid="{00000000-0005-0000-0000-0000E70A0000}"/>
    <cellStyle name="Comma 2 18" xfId="2724" xr:uid="{00000000-0005-0000-0000-0000E80A0000}"/>
    <cellStyle name="Comma 2 19" xfId="2725" xr:uid="{00000000-0005-0000-0000-0000E90A0000}"/>
    <cellStyle name="Comma 2 2" xfId="2726" xr:uid="{00000000-0005-0000-0000-0000EA0A0000}"/>
    <cellStyle name="Comma 2 2 10" xfId="2727" xr:uid="{00000000-0005-0000-0000-0000EB0A0000}"/>
    <cellStyle name="Comma 2 2 11" xfId="2728" xr:uid="{00000000-0005-0000-0000-0000EC0A0000}"/>
    <cellStyle name="Comma 2 2 12" xfId="2729" xr:uid="{00000000-0005-0000-0000-0000ED0A0000}"/>
    <cellStyle name="Comma 2 2 13" xfId="2730" xr:uid="{00000000-0005-0000-0000-0000EE0A0000}"/>
    <cellStyle name="Comma 2 2 14" xfId="2731" xr:uid="{00000000-0005-0000-0000-0000EF0A0000}"/>
    <cellStyle name="Comma 2 2 15" xfId="2732" xr:uid="{00000000-0005-0000-0000-0000F00A0000}"/>
    <cellStyle name="Comma 2 2 16" xfId="2733" xr:uid="{00000000-0005-0000-0000-0000F10A0000}"/>
    <cellStyle name="Comma 2 2 17" xfId="2734" xr:uid="{00000000-0005-0000-0000-0000F20A0000}"/>
    <cellStyle name="Comma 2 2 18" xfId="2735" xr:uid="{00000000-0005-0000-0000-0000F30A0000}"/>
    <cellStyle name="Comma 2 2 19" xfId="2736" xr:uid="{00000000-0005-0000-0000-0000F40A0000}"/>
    <cellStyle name="Comma 2 2 2" xfId="2737" xr:uid="{00000000-0005-0000-0000-0000F50A0000}"/>
    <cellStyle name="Comma 2 2 2 10" xfId="2738" xr:uid="{00000000-0005-0000-0000-0000F60A0000}"/>
    <cellStyle name="Comma 2 2 2 11" xfId="2739" xr:uid="{00000000-0005-0000-0000-0000F70A0000}"/>
    <cellStyle name="Comma 2 2 2 12" xfId="2740" xr:uid="{00000000-0005-0000-0000-0000F80A0000}"/>
    <cellStyle name="Comma 2 2 2 13" xfId="2741" xr:uid="{00000000-0005-0000-0000-0000F90A0000}"/>
    <cellStyle name="Comma 2 2 2 14" xfId="2742" xr:uid="{00000000-0005-0000-0000-0000FA0A0000}"/>
    <cellStyle name="Comma 2 2 2 15" xfId="2743" xr:uid="{00000000-0005-0000-0000-0000FB0A0000}"/>
    <cellStyle name="Comma 2 2 2 16" xfId="2744" xr:uid="{00000000-0005-0000-0000-0000FC0A0000}"/>
    <cellStyle name="Comma 2 2 2 17" xfId="42120" xr:uid="{00000000-0005-0000-0000-0000FD0A0000}"/>
    <cellStyle name="Comma 2 2 2 18" xfId="42121" xr:uid="{00000000-0005-0000-0000-0000FE0A0000}"/>
    <cellStyle name="Comma 2 2 2 2" xfId="2745" xr:uid="{00000000-0005-0000-0000-0000FF0A0000}"/>
    <cellStyle name="Comma 2 2 2 2 2" xfId="2746" xr:uid="{00000000-0005-0000-0000-0000000B0000}"/>
    <cellStyle name="Comma 2 2 2 2 2 10" xfId="2747" xr:uid="{00000000-0005-0000-0000-0000010B0000}"/>
    <cellStyle name="Comma 2 2 2 2 2 11" xfId="2748" xr:uid="{00000000-0005-0000-0000-0000020B0000}"/>
    <cellStyle name="Comma 2 2 2 2 2 12" xfId="2749" xr:uid="{00000000-0005-0000-0000-0000030B0000}"/>
    <cellStyle name="Comma 2 2 2 2 2 13" xfId="2750" xr:uid="{00000000-0005-0000-0000-0000040B0000}"/>
    <cellStyle name="Comma 2 2 2 2 2 14" xfId="2751" xr:uid="{00000000-0005-0000-0000-0000050B0000}"/>
    <cellStyle name="Comma 2 2 2 2 2 2" xfId="2752" xr:uid="{00000000-0005-0000-0000-0000060B0000}"/>
    <cellStyle name="Comma 2 2 2 2 2 3" xfId="2753" xr:uid="{00000000-0005-0000-0000-0000070B0000}"/>
    <cellStyle name="Comma 2 2 2 2 2 4" xfId="2754" xr:uid="{00000000-0005-0000-0000-0000080B0000}"/>
    <cellStyle name="Comma 2 2 2 2 2 5" xfId="2755" xr:uid="{00000000-0005-0000-0000-0000090B0000}"/>
    <cellStyle name="Comma 2 2 2 2 2 6" xfId="2756" xr:uid="{00000000-0005-0000-0000-00000A0B0000}"/>
    <cellStyle name="Comma 2 2 2 2 2 7" xfId="2757" xr:uid="{00000000-0005-0000-0000-00000B0B0000}"/>
    <cellStyle name="Comma 2 2 2 2 2 8" xfId="2758" xr:uid="{00000000-0005-0000-0000-00000C0B0000}"/>
    <cellStyle name="Comma 2 2 2 2 2 9" xfId="2759" xr:uid="{00000000-0005-0000-0000-00000D0B0000}"/>
    <cellStyle name="Comma 2 2 2 2 3" xfId="42122" xr:uid="{00000000-0005-0000-0000-00000E0B0000}"/>
    <cellStyle name="Comma 2 2 2 2 4" xfId="42123" xr:uid="{00000000-0005-0000-0000-00000F0B0000}"/>
    <cellStyle name="Comma 2 2 2 2 5" xfId="42124" xr:uid="{00000000-0005-0000-0000-0000100B0000}"/>
    <cellStyle name="Comma 2 2 2 2 6" xfId="42125" xr:uid="{00000000-0005-0000-0000-0000110B0000}"/>
    <cellStyle name="Comma 2 2 2 2 7" xfId="42126" xr:uid="{00000000-0005-0000-0000-0000120B0000}"/>
    <cellStyle name="Comma 2 2 2 2 8" xfId="42127" xr:uid="{00000000-0005-0000-0000-0000130B0000}"/>
    <cellStyle name="Comma 2 2 2 3" xfId="2760" xr:uid="{00000000-0005-0000-0000-0000140B0000}"/>
    <cellStyle name="Comma 2 2 2 4" xfId="2761" xr:uid="{00000000-0005-0000-0000-0000150B0000}"/>
    <cellStyle name="Comma 2 2 2 5" xfId="2762" xr:uid="{00000000-0005-0000-0000-0000160B0000}"/>
    <cellStyle name="Comma 2 2 2 5 2" xfId="42128" xr:uid="{00000000-0005-0000-0000-0000170B0000}"/>
    <cellStyle name="Comma 2 2 2 5 3" xfId="42129" xr:uid="{00000000-0005-0000-0000-0000180B0000}"/>
    <cellStyle name="Comma 2 2 2 5 4" xfId="42130" xr:uid="{00000000-0005-0000-0000-0000190B0000}"/>
    <cellStyle name="Comma 2 2 2 5 5" xfId="42131" xr:uid="{00000000-0005-0000-0000-00001A0B0000}"/>
    <cellStyle name="Comma 2 2 2 5 6" xfId="42132" xr:uid="{00000000-0005-0000-0000-00001B0B0000}"/>
    <cellStyle name="Comma 2 2 2 5 7" xfId="42133" xr:uid="{00000000-0005-0000-0000-00001C0B0000}"/>
    <cellStyle name="Comma 2 2 2 6" xfId="2763" xr:uid="{00000000-0005-0000-0000-00001D0B0000}"/>
    <cellStyle name="Comma 2 2 2 7" xfId="2764" xr:uid="{00000000-0005-0000-0000-00001E0B0000}"/>
    <cellStyle name="Comma 2 2 2 8" xfId="2765" xr:uid="{00000000-0005-0000-0000-00001F0B0000}"/>
    <cellStyle name="Comma 2 2 2 9" xfId="2766" xr:uid="{00000000-0005-0000-0000-0000200B0000}"/>
    <cellStyle name="Comma 2 2 20" xfId="2767" xr:uid="{00000000-0005-0000-0000-0000210B0000}"/>
    <cellStyle name="Comma 2 2 21" xfId="2768" xr:uid="{00000000-0005-0000-0000-0000220B0000}"/>
    <cellStyle name="Comma 2 2 22" xfId="2769" xr:uid="{00000000-0005-0000-0000-0000230B0000}"/>
    <cellStyle name="Comma 2 2 23" xfId="2770" xr:uid="{00000000-0005-0000-0000-0000240B0000}"/>
    <cellStyle name="Comma 2 2 24" xfId="2771" xr:uid="{00000000-0005-0000-0000-0000250B0000}"/>
    <cellStyle name="Comma 2 2 25" xfId="2772" xr:uid="{00000000-0005-0000-0000-0000260B0000}"/>
    <cellStyle name="Comma 2 2 26" xfId="2773" xr:uid="{00000000-0005-0000-0000-0000270B0000}"/>
    <cellStyle name="Comma 2 2 27" xfId="2774" xr:uid="{00000000-0005-0000-0000-0000280B0000}"/>
    <cellStyle name="Comma 2 2 28" xfId="2775" xr:uid="{00000000-0005-0000-0000-0000290B0000}"/>
    <cellStyle name="Comma 2 2 29" xfId="2776" xr:uid="{00000000-0005-0000-0000-00002A0B0000}"/>
    <cellStyle name="Comma 2 2 3" xfId="2777" xr:uid="{00000000-0005-0000-0000-00002B0B0000}"/>
    <cellStyle name="Comma 2 2 3 10" xfId="2778" xr:uid="{00000000-0005-0000-0000-00002C0B0000}"/>
    <cellStyle name="Comma 2 2 3 11" xfId="2779" xr:uid="{00000000-0005-0000-0000-00002D0B0000}"/>
    <cellStyle name="Comma 2 2 3 12" xfId="2780" xr:uid="{00000000-0005-0000-0000-00002E0B0000}"/>
    <cellStyle name="Comma 2 2 3 13" xfId="2781" xr:uid="{00000000-0005-0000-0000-00002F0B0000}"/>
    <cellStyle name="Comma 2 2 3 2" xfId="2782" xr:uid="{00000000-0005-0000-0000-0000300B0000}"/>
    <cellStyle name="Comma 2 2 3 3" xfId="2783" xr:uid="{00000000-0005-0000-0000-0000310B0000}"/>
    <cellStyle name="Comma 2 2 3 4" xfId="2784" xr:uid="{00000000-0005-0000-0000-0000320B0000}"/>
    <cellStyle name="Comma 2 2 3 5" xfId="2785" xr:uid="{00000000-0005-0000-0000-0000330B0000}"/>
    <cellStyle name="Comma 2 2 3 6" xfId="2786" xr:uid="{00000000-0005-0000-0000-0000340B0000}"/>
    <cellStyle name="Comma 2 2 3 7" xfId="2787" xr:uid="{00000000-0005-0000-0000-0000350B0000}"/>
    <cellStyle name="Comma 2 2 3 8" xfId="2788" xr:uid="{00000000-0005-0000-0000-0000360B0000}"/>
    <cellStyle name="Comma 2 2 3 9" xfId="2789" xr:uid="{00000000-0005-0000-0000-0000370B0000}"/>
    <cellStyle name="Comma 2 2 30" xfId="2790" xr:uid="{00000000-0005-0000-0000-0000380B0000}"/>
    <cellStyle name="Comma 2 2 31" xfId="2791" xr:uid="{00000000-0005-0000-0000-0000390B0000}"/>
    <cellStyle name="Comma 2 2 32" xfId="2792" xr:uid="{00000000-0005-0000-0000-00003A0B0000}"/>
    <cellStyle name="Comma 2 2 33" xfId="2793" xr:uid="{00000000-0005-0000-0000-00003B0B0000}"/>
    <cellStyle name="Comma 2 2 34" xfId="2794" xr:uid="{00000000-0005-0000-0000-00003C0B0000}"/>
    <cellStyle name="Comma 2 2 35" xfId="2795" xr:uid="{00000000-0005-0000-0000-00003D0B0000}"/>
    <cellStyle name="Comma 2 2 36" xfId="2796" xr:uid="{00000000-0005-0000-0000-00003E0B0000}"/>
    <cellStyle name="Comma 2 2 37" xfId="2797" xr:uid="{00000000-0005-0000-0000-00003F0B0000}"/>
    <cellStyle name="Comma 2 2 38" xfId="2798" xr:uid="{00000000-0005-0000-0000-0000400B0000}"/>
    <cellStyle name="Comma 2 2 39" xfId="2799" xr:uid="{00000000-0005-0000-0000-0000410B0000}"/>
    <cellStyle name="Comma 2 2 4" xfId="2800" xr:uid="{00000000-0005-0000-0000-0000420B0000}"/>
    <cellStyle name="Comma 2 2 4 2" xfId="42134" xr:uid="{00000000-0005-0000-0000-0000430B0000}"/>
    <cellStyle name="Comma 2 2 4 2 2" xfId="42135" xr:uid="{00000000-0005-0000-0000-0000440B0000}"/>
    <cellStyle name="Comma 2 2 4 2 3" xfId="42136" xr:uid="{00000000-0005-0000-0000-0000450B0000}"/>
    <cellStyle name="Comma 2 2 4 2 4" xfId="42137" xr:uid="{00000000-0005-0000-0000-0000460B0000}"/>
    <cellStyle name="Comma 2 2 4 2 5" xfId="42138" xr:uid="{00000000-0005-0000-0000-0000470B0000}"/>
    <cellStyle name="Comma 2 2 4 2 6" xfId="42139" xr:uid="{00000000-0005-0000-0000-0000480B0000}"/>
    <cellStyle name="Comma 2 2 4 2 7" xfId="42140" xr:uid="{00000000-0005-0000-0000-0000490B0000}"/>
    <cellStyle name="Comma 2 2 4 3" xfId="42141" xr:uid="{00000000-0005-0000-0000-00004A0B0000}"/>
    <cellStyle name="Comma 2 2 4 4" xfId="42142" xr:uid="{00000000-0005-0000-0000-00004B0B0000}"/>
    <cellStyle name="Comma 2 2 4 5" xfId="42143" xr:uid="{00000000-0005-0000-0000-00004C0B0000}"/>
    <cellStyle name="Comma 2 2 4 6" xfId="42144" xr:uid="{00000000-0005-0000-0000-00004D0B0000}"/>
    <cellStyle name="Comma 2 2 4 7" xfId="42145" xr:uid="{00000000-0005-0000-0000-00004E0B0000}"/>
    <cellStyle name="Comma 2 2 4 8" xfId="42146" xr:uid="{00000000-0005-0000-0000-00004F0B0000}"/>
    <cellStyle name="Comma 2 2 40" xfId="2801" xr:uid="{00000000-0005-0000-0000-0000500B0000}"/>
    <cellStyle name="Comma 2 2 41" xfId="2802" xr:uid="{00000000-0005-0000-0000-0000510B0000}"/>
    <cellStyle name="Comma 2 2 42" xfId="2803" xr:uid="{00000000-0005-0000-0000-0000520B0000}"/>
    <cellStyle name="Comma 2 2 43" xfId="2804" xr:uid="{00000000-0005-0000-0000-0000530B0000}"/>
    <cellStyle name="Comma 2 2 44" xfId="2805" xr:uid="{00000000-0005-0000-0000-0000540B0000}"/>
    <cellStyle name="Comma 2 2 45" xfId="2806" xr:uid="{00000000-0005-0000-0000-0000550B0000}"/>
    <cellStyle name="Comma 2 2 46" xfId="2807" xr:uid="{00000000-0005-0000-0000-0000560B0000}"/>
    <cellStyle name="Comma 2 2 47" xfId="2808" xr:uid="{00000000-0005-0000-0000-0000570B0000}"/>
    <cellStyle name="Comma 2 2 5" xfId="2809" xr:uid="{00000000-0005-0000-0000-0000580B0000}"/>
    <cellStyle name="Comma 2 2 6" xfId="2810" xr:uid="{00000000-0005-0000-0000-0000590B0000}"/>
    <cellStyle name="Comma 2 2 6 2" xfId="42147" xr:uid="{00000000-0005-0000-0000-00005A0B0000}"/>
    <cellStyle name="Comma 2 2 6 3" xfId="42148" xr:uid="{00000000-0005-0000-0000-00005B0B0000}"/>
    <cellStyle name="Comma 2 2 6 4" xfId="42149" xr:uid="{00000000-0005-0000-0000-00005C0B0000}"/>
    <cellStyle name="Comma 2 2 6 5" xfId="42150" xr:uid="{00000000-0005-0000-0000-00005D0B0000}"/>
    <cellStyle name="Comma 2 2 6 6" xfId="42151" xr:uid="{00000000-0005-0000-0000-00005E0B0000}"/>
    <cellStyle name="Comma 2 2 6 7" xfId="42152" xr:uid="{00000000-0005-0000-0000-00005F0B0000}"/>
    <cellStyle name="Comma 2 2 7" xfId="2811" xr:uid="{00000000-0005-0000-0000-0000600B0000}"/>
    <cellStyle name="Comma 2 2 8" xfId="2812" xr:uid="{00000000-0005-0000-0000-0000610B0000}"/>
    <cellStyle name="Comma 2 2 9" xfId="2813" xr:uid="{00000000-0005-0000-0000-0000620B0000}"/>
    <cellStyle name="Comma 2 2_3.1.2 DB Pension Detail" xfId="2814" xr:uid="{00000000-0005-0000-0000-0000630B0000}"/>
    <cellStyle name="Comma 2 20" xfId="2815" xr:uid="{00000000-0005-0000-0000-0000640B0000}"/>
    <cellStyle name="Comma 2 21" xfId="2816" xr:uid="{00000000-0005-0000-0000-0000650B0000}"/>
    <cellStyle name="Comma 2 22" xfId="2817" xr:uid="{00000000-0005-0000-0000-0000660B0000}"/>
    <cellStyle name="Comma 2 23" xfId="2818" xr:uid="{00000000-0005-0000-0000-0000670B0000}"/>
    <cellStyle name="Comma 2 24" xfId="2819" xr:uid="{00000000-0005-0000-0000-0000680B0000}"/>
    <cellStyle name="Comma 2 25" xfId="2820" xr:uid="{00000000-0005-0000-0000-0000690B0000}"/>
    <cellStyle name="Comma 2 26" xfId="2821" xr:uid="{00000000-0005-0000-0000-00006A0B0000}"/>
    <cellStyle name="Comma 2 27" xfId="2822" xr:uid="{00000000-0005-0000-0000-00006B0B0000}"/>
    <cellStyle name="Comma 2 28" xfId="2823" xr:uid="{00000000-0005-0000-0000-00006C0B0000}"/>
    <cellStyle name="Comma 2 29" xfId="2824" xr:uid="{00000000-0005-0000-0000-00006D0B0000}"/>
    <cellStyle name="Comma 2 3" xfId="2825" xr:uid="{00000000-0005-0000-0000-00006E0B0000}"/>
    <cellStyle name="Comma 2 3 10" xfId="2826" xr:uid="{00000000-0005-0000-0000-00006F0B0000}"/>
    <cellStyle name="Comma 2 3 11" xfId="2827" xr:uid="{00000000-0005-0000-0000-0000700B0000}"/>
    <cellStyle name="Comma 2 3 12" xfId="2828" xr:uid="{00000000-0005-0000-0000-0000710B0000}"/>
    <cellStyle name="Comma 2 3 13" xfId="2829" xr:uid="{00000000-0005-0000-0000-0000720B0000}"/>
    <cellStyle name="Comma 2 3 14" xfId="2830" xr:uid="{00000000-0005-0000-0000-0000730B0000}"/>
    <cellStyle name="Comma 2 3 15" xfId="2831" xr:uid="{00000000-0005-0000-0000-0000740B0000}"/>
    <cellStyle name="Comma 2 3 16" xfId="2832" xr:uid="{00000000-0005-0000-0000-0000750B0000}"/>
    <cellStyle name="Comma 2 3 17" xfId="2833" xr:uid="{00000000-0005-0000-0000-0000760B0000}"/>
    <cellStyle name="Comma 2 3 18" xfId="2834" xr:uid="{00000000-0005-0000-0000-0000770B0000}"/>
    <cellStyle name="Comma 2 3 19" xfId="2835" xr:uid="{00000000-0005-0000-0000-0000780B0000}"/>
    <cellStyle name="Comma 2 3 2" xfId="2836" xr:uid="{00000000-0005-0000-0000-0000790B0000}"/>
    <cellStyle name="Comma 2 3 2 2" xfId="2837" xr:uid="{00000000-0005-0000-0000-00007A0B0000}"/>
    <cellStyle name="Comma 2 3 2 2 10" xfId="2838" xr:uid="{00000000-0005-0000-0000-00007B0B0000}"/>
    <cellStyle name="Comma 2 3 2 2 11" xfId="2839" xr:uid="{00000000-0005-0000-0000-00007C0B0000}"/>
    <cellStyle name="Comma 2 3 2 2 12" xfId="2840" xr:uid="{00000000-0005-0000-0000-00007D0B0000}"/>
    <cellStyle name="Comma 2 3 2 2 13" xfId="2841" xr:uid="{00000000-0005-0000-0000-00007E0B0000}"/>
    <cellStyle name="Comma 2 3 2 2 14" xfId="2842" xr:uid="{00000000-0005-0000-0000-00007F0B0000}"/>
    <cellStyle name="Comma 2 3 2 2 15" xfId="2843" xr:uid="{00000000-0005-0000-0000-0000800B0000}"/>
    <cellStyle name="Comma 2 3 2 2 2" xfId="2844" xr:uid="{00000000-0005-0000-0000-0000810B0000}"/>
    <cellStyle name="Comma 2 3 2 2 3" xfId="2845" xr:uid="{00000000-0005-0000-0000-0000820B0000}"/>
    <cellStyle name="Comma 2 3 2 2 4" xfId="2846" xr:uid="{00000000-0005-0000-0000-0000830B0000}"/>
    <cellStyle name="Comma 2 3 2 2 5" xfId="2847" xr:uid="{00000000-0005-0000-0000-0000840B0000}"/>
    <cellStyle name="Comma 2 3 2 2 6" xfId="2848" xr:uid="{00000000-0005-0000-0000-0000850B0000}"/>
    <cellStyle name="Comma 2 3 2 2 7" xfId="2849" xr:uid="{00000000-0005-0000-0000-0000860B0000}"/>
    <cellStyle name="Comma 2 3 2 2 8" xfId="2850" xr:uid="{00000000-0005-0000-0000-0000870B0000}"/>
    <cellStyle name="Comma 2 3 2 2 9" xfId="2851" xr:uid="{00000000-0005-0000-0000-0000880B0000}"/>
    <cellStyle name="Comma 2 3 2_3.1.2 DB Pension Detail" xfId="2852" xr:uid="{00000000-0005-0000-0000-0000890B0000}"/>
    <cellStyle name="Comma 2 3 20" xfId="2853" xr:uid="{00000000-0005-0000-0000-00008A0B0000}"/>
    <cellStyle name="Comma 2 3 21" xfId="2854" xr:uid="{00000000-0005-0000-0000-00008B0B0000}"/>
    <cellStyle name="Comma 2 3 22" xfId="2855" xr:uid="{00000000-0005-0000-0000-00008C0B0000}"/>
    <cellStyle name="Comma 2 3 23" xfId="2856" xr:uid="{00000000-0005-0000-0000-00008D0B0000}"/>
    <cellStyle name="Comma 2 3 24" xfId="2857" xr:uid="{00000000-0005-0000-0000-00008E0B0000}"/>
    <cellStyle name="Comma 2 3 25" xfId="2858" xr:uid="{00000000-0005-0000-0000-00008F0B0000}"/>
    <cellStyle name="Comma 2 3 26" xfId="2859" xr:uid="{00000000-0005-0000-0000-0000900B0000}"/>
    <cellStyle name="Comma 2 3 27" xfId="2860" xr:uid="{00000000-0005-0000-0000-0000910B0000}"/>
    <cellStyle name="Comma 2 3 28" xfId="2861" xr:uid="{00000000-0005-0000-0000-0000920B0000}"/>
    <cellStyle name="Comma 2 3 29" xfId="2862" xr:uid="{00000000-0005-0000-0000-0000930B0000}"/>
    <cellStyle name="Comma 2 3 3" xfId="2863" xr:uid="{00000000-0005-0000-0000-0000940B0000}"/>
    <cellStyle name="Comma 2 3 3 10" xfId="2864" xr:uid="{00000000-0005-0000-0000-0000950B0000}"/>
    <cellStyle name="Comma 2 3 3 11" xfId="2865" xr:uid="{00000000-0005-0000-0000-0000960B0000}"/>
    <cellStyle name="Comma 2 3 3 12" xfId="2866" xr:uid="{00000000-0005-0000-0000-0000970B0000}"/>
    <cellStyle name="Comma 2 3 3 13" xfId="2867" xr:uid="{00000000-0005-0000-0000-0000980B0000}"/>
    <cellStyle name="Comma 2 3 3 2" xfId="2868" xr:uid="{00000000-0005-0000-0000-0000990B0000}"/>
    <cellStyle name="Comma 2 3 3 3" xfId="2869" xr:uid="{00000000-0005-0000-0000-00009A0B0000}"/>
    <cellStyle name="Comma 2 3 3 4" xfId="2870" xr:uid="{00000000-0005-0000-0000-00009B0B0000}"/>
    <cellStyle name="Comma 2 3 3 5" xfId="2871" xr:uid="{00000000-0005-0000-0000-00009C0B0000}"/>
    <cellStyle name="Comma 2 3 3 6" xfId="2872" xr:uid="{00000000-0005-0000-0000-00009D0B0000}"/>
    <cellStyle name="Comma 2 3 3 7" xfId="2873" xr:uid="{00000000-0005-0000-0000-00009E0B0000}"/>
    <cellStyle name="Comma 2 3 3 8" xfId="2874" xr:uid="{00000000-0005-0000-0000-00009F0B0000}"/>
    <cellStyle name="Comma 2 3 3 9" xfId="2875" xr:uid="{00000000-0005-0000-0000-0000A00B0000}"/>
    <cellStyle name="Comma 2 3 30" xfId="2876" xr:uid="{00000000-0005-0000-0000-0000A10B0000}"/>
    <cellStyle name="Comma 2 3 31" xfId="2877" xr:uid="{00000000-0005-0000-0000-0000A20B0000}"/>
    <cellStyle name="Comma 2 3 32" xfId="2878" xr:uid="{00000000-0005-0000-0000-0000A30B0000}"/>
    <cellStyle name="Comma 2 3 33" xfId="2879" xr:uid="{00000000-0005-0000-0000-0000A40B0000}"/>
    <cellStyle name="Comma 2 3 34" xfId="2880" xr:uid="{00000000-0005-0000-0000-0000A50B0000}"/>
    <cellStyle name="Comma 2 3 35" xfId="2881" xr:uid="{00000000-0005-0000-0000-0000A60B0000}"/>
    <cellStyle name="Comma 2 3 36" xfId="2882" xr:uid="{00000000-0005-0000-0000-0000A70B0000}"/>
    <cellStyle name="Comma 2 3 37" xfId="2883" xr:uid="{00000000-0005-0000-0000-0000A80B0000}"/>
    <cellStyle name="Comma 2 3 38" xfId="2884" xr:uid="{00000000-0005-0000-0000-0000A90B0000}"/>
    <cellStyle name="Comma 2 3 39" xfId="2885" xr:uid="{00000000-0005-0000-0000-0000AA0B0000}"/>
    <cellStyle name="Comma 2 3 4" xfId="2886" xr:uid="{00000000-0005-0000-0000-0000AB0B0000}"/>
    <cellStyle name="Comma 2 3 40" xfId="2887" xr:uid="{00000000-0005-0000-0000-0000AC0B0000}"/>
    <cellStyle name="Comma 2 3 41" xfId="2888" xr:uid="{00000000-0005-0000-0000-0000AD0B0000}"/>
    <cellStyle name="Comma 2 3 42" xfId="2889" xr:uid="{00000000-0005-0000-0000-0000AE0B0000}"/>
    <cellStyle name="Comma 2 3 43" xfId="2890" xr:uid="{00000000-0005-0000-0000-0000AF0B0000}"/>
    <cellStyle name="Comma 2 3 44" xfId="2891" xr:uid="{00000000-0005-0000-0000-0000B00B0000}"/>
    <cellStyle name="Comma 2 3 45" xfId="2892" xr:uid="{00000000-0005-0000-0000-0000B10B0000}"/>
    <cellStyle name="Comma 2 3 46" xfId="2893" xr:uid="{00000000-0005-0000-0000-0000B20B0000}"/>
    <cellStyle name="Comma 2 3 47" xfId="2894" xr:uid="{00000000-0005-0000-0000-0000B30B0000}"/>
    <cellStyle name="Comma 2 3 48" xfId="2895" xr:uid="{00000000-0005-0000-0000-0000B40B0000}"/>
    <cellStyle name="Comma 2 3 5" xfId="2896" xr:uid="{00000000-0005-0000-0000-0000B50B0000}"/>
    <cellStyle name="Comma 2 3 6" xfId="2897" xr:uid="{00000000-0005-0000-0000-0000B60B0000}"/>
    <cellStyle name="Comma 2 3 7" xfId="2898" xr:uid="{00000000-0005-0000-0000-0000B70B0000}"/>
    <cellStyle name="Comma 2 3 8" xfId="2899" xr:uid="{00000000-0005-0000-0000-0000B80B0000}"/>
    <cellStyle name="Comma 2 3 9" xfId="2900" xr:uid="{00000000-0005-0000-0000-0000B90B0000}"/>
    <cellStyle name="Comma 2 3_3.1.2 DB Pension Detail" xfId="2901" xr:uid="{00000000-0005-0000-0000-0000BA0B0000}"/>
    <cellStyle name="Comma 2 30" xfId="2902" xr:uid="{00000000-0005-0000-0000-0000BB0B0000}"/>
    <cellStyle name="Comma 2 31" xfId="2903" xr:uid="{00000000-0005-0000-0000-0000BC0B0000}"/>
    <cellStyle name="Comma 2 32" xfId="2904" xr:uid="{00000000-0005-0000-0000-0000BD0B0000}"/>
    <cellStyle name="Comma 2 33" xfId="2905" xr:uid="{00000000-0005-0000-0000-0000BE0B0000}"/>
    <cellStyle name="Comma 2 34" xfId="2906" xr:uid="{00000000-0005-0000-0000-0000BF0B0000}"/>
    <cellStyle name="Comma 2 35" xfId="2907" xr:uid="{00000000-0005-0000-0000-0000C00B0000}"/>
    <cellStyle name="Comma 2 36" xfId="2908" xr:uid="{00000000-0005-0000-0000-0000C10B0000}"/>
    <cellStyle name="Comma 2 37" xfId="2909" xr:uid="{00000000-0005-0000-0000-0000C20B0000}"/>
    <cellStyle name="Comma 2 38" xfId="2910" xr:uid="{00000000-0005-0000-0000-0000C30B0000}"/>
    <cellStyle name="Comma 2 39" xfId="2911" xr:uid="{00000000-0005-0000-0000-0000C40B0000}"/>
    <cellStyle name="Comma 2 4" xfId="2912" xr:uid="{00000000-0005-0000-0000-0000C50B0000}"/>
    <cellStyle name="Comma 2 4 10" xfId="2913" xr:uid="{00000000-0005-0000-0000-0000C60B0000}"/>
    <cellStyle name="Comma 2 4 11" xfId="2914" xr:uid="{00000000-0005-0000-0000-0000C70B0000}"/>
    <cellStyle name="Comma 2 4 12" xfId="2915" xr:uid="{00000000-0005-0000-0000-0000C80B0000}"/>
    <cellStyle name="Comma 2 4 13" xfId="2916" xr:uid="{00000000-0005-0000-0000-0000C90B0000}"/>
    <cellStyle name="Comma 2 4 14" xfId="2917" xr:uid="{00000000-0005-0000-0000-0000CA0B0000}"/>
    <cellStyle name="Comma 2 4 15" xfId="2918" xr:uid="{00000000-0005-0000-0000-0000CB0B0000}"/>
    <cellStyle name="Comma 2 4 16" xfId="2919" xr:uid="{00000000-0005-0000-0000-0000CC0B0000}"/>
    <cellStyle name="Comma 2 4 17" xfId="2920" xr:uid="{00000000-0005-0000-0000-0000CD0B0000}"/>
    <cellStyle name="Comma 2 4 18" xfId="2921" xr:uid="{00000000-0005-0000-0000-0000CE0B0000}"/>
    <cellStyle name="Comma 2 4 19" xfId="2922" xr:uid="{00000000-0005-0000-0000-0000CF0B0000}"/>
    <cellStyle name="Comma 2 4 2" xfId="2923" xr:uid="{00000000-0005-0000-0000-0000D00B0000}"/>
    <cellStyle name="Comma 2 4 2 10" xfId="2924" xr:uid="{00000000-0005-0000-0000-0000D10B0000}"/>
    <cellStyle name="Comma 2 4 2 11" xfId="2925" xr:uid="{00000000-0005-0000-0000-0000D20B0000}"/>
    <cellStyle name="Comma 2 4 2 12" xfId="2926" xr:uid="{00000000-0005-0000-0000-0000D30B0000}"/>
    <cellStyle name="Comma 2 4 2 13" xfId="2927" xr:uid="{00000000-0005-0000-0000-0000D40B0000}"/>
    <cellStyle name="Comma 2 4 2 14" xfId="2928" xr:uid="{00000000-0005-0000-0000-0000D50B0000}"/>
    <cellStyle name="Comma 2 4 2 15" xfId="2929" xr:uid="{00000000-0005-0000-0000-0000D60B0000}"/>
    <cellStyle name="Comma 2 4 2 16" xfId="2930" xr:uid="{00000000-0005-0000-0000-0000D70B0000}"/>
    <cellStyle name="Comma 2 4 2 17" xfId="2931" xr:uid="{00000000-0005-0000-0000-0000D80B0000}"/>
    <cellStyle name="Comma 2 4 2 2" xfId="2932" xr:uid="{00000000-0005-0000-0000-0000D90B0000}"/>
    <cellStyle name="Comma 2 4 2 3" xfId="2933" xr:uid="{00000000-0005-0000-0000-0000DA0B0000}"/>
    <cellStyle name="Comma 2 4 2 4" xfId="2934" xr:uid="{00000000-0005-0000-0000-0000DB0B0000}"/>
    <cellStyle name="Comma 2 4 2 5" xfId="2935" xr:uid="{00000000-0005-0000-0000-0000DC0B0000}"/>
    <cellStyle name="Comma 2 4 2 6" xfId="2936" xr:uid="{00000000-0005-0000-0000-0000DD0B0000}"/>
    <cellStyle name="Comma 2 4 2 7" xfId="2937" xr:uid="{00000000-0005-0000-0000-0000DE0B0000}"/>
    <cellStyle name="Comma 2 4 2 8" xfId="2938" xr:uid="{00000000-0005-0000-0000-0000DF0B0000}"/>
    <cellStyle name="Comma 2 4 2 9" xfId="2939" xr:uid="{00000000-0005-0000-0000-0000E00B0000}"/>
    <cellStyle name="Comma 2 4 20" xfId="2940" xr:uid="{00000000-0005-0000-0000-0000E10B0000}"/>
    <cellStyle name="Comma 2 4 21" xfId="2941" xr:uid="{00000000-0005-0000-0000-0000E20B0000}"/>
    <cellStyle name="Comma 2 4 22" xfId="2942" xr:uid="{00000000-0005-0000-0000-0000E30B0000}"/>
    <cellStyle name="Comma 2 4 23" xfId="2943" xr:uid="{00000000-0005-0000-0000-0000E40B0000}"/>
    <cellStyle name="Comma 2 4 24" xfId="2944" xr:uid="{00000000-0005-0000-0000-0000E50B0000}"/>
    <cellStyle name="Comma 2 4 25" xfId="2945" xr:uid="{00000000-0005-0000-0000-0000E60B0000}"/>
    <cellStyle name="Comma 2 4 26" xfId="2946" xr:uid="{00000000-0005-0000-0000-0000E70B0000}"/>
    <cellStyle name="Comma 2 4 27" xfId="2947" xr:uid="{00000000-0005-0000-0000-0000E80B0000}"/>
    <cellStyle name="Comma 2 4 28" xfId="2948" xr:uid="{00000000-0005-0000-0000-0000E90B0000}"/>
    <cellStyle name="Comma 2 4 29" xfId="2949" xr:uid="{00000000-0005-0000-0000-0000EA0B0000}"/>
    <cellStyle name="Comma 2 4 3" xfId="2950" xr:uid="{00000000-0005-0000-0000-0000EB0B0000}"/>
    <cellStyle name="Comma 2 4 30" xfId="2951" xr:uid="{00000000-0005-0000-0000-0000EC0B0000}"/>
    <cellStyle name="Comma 2 4 31" xfId="2952" xr:uid="{00000000-0005-0000-0000-0000ED0B0000}"/>
    <cellStyle name="Comma 2 4 32" xfId="2953" xr:uid="{00000000-0005-0000-0000-0000EE0B0000}"/>
    <cellStyle name="Comma 2 4 33" xfId="2954" xr:uid="{00000000-0005-0000-0000-0000EF0B0000}"/>
    <cellStyle name="Comma 2 4 34" xfId="2955" xr:uid="{00000000-0005-0000-0000-0000F00B0000}"/>
    <cellStyle name="Comma 2 4 35" xfId="2956" xr:uid="{00000000-0005-0000-0000-0000F10B0000}"/>
    <cellStyle name="Comma 2 4 36" xfId="2957" xr:uid="{00000000-0005-0000-0000-0000F20B0000}"/>
    <cellStyle name="Comma 2 4 37" xfId="2958" xr:uid="{00000000-0005-0000-0000-0000F30B0000}"/>
    <cellStyle name="Comma 2 4 38" xfId="2959" xr:uid="{00000000-0005-0000-0000-0000F40B0000}"/>
    <cellStyle name="Comma 2 4 39" xfId="2960" xr:uid="{00000000-0005-0000-0000-0000F50B0000}"/>
    <cellStyle name="Comma 2 4 4" xfId="2961" xr:uid="{00000000-0005-0000-0000-0000F60B0000}"/>
    <cellStyle name="Comma 2 4 40" xfId="2962" xr:uid="{00000000-0005-0000-0000-0000F70B0000}"/>
    <cellStyle name="Comma 2 4 41" xfId="2963" xr:uid="{00000000-0005-0000-0000-0000F80B0000}"/>
    <cellStyle name="Comma 2 4 42" xfId="2964" xr:uid="{00000000-0005-0000-0000-0000F90B0000}"/>
    <cellStyle name="Comma 2 4 43" xfId="2965" xr:uid="{00000000-0005-0000-0000-0000FA0B0000}"/>
    <cellStyle name="Comma 2 4 44" xfId="2966" xr:uid="{00000000-0005-0000-0000-0000FB0B0000}"/>
    <cellStyle name="Comma 2 4 45" xfId="2967" xr:uid="{00000000-0005-0000-0000-0000FC0B0000}"/>
    <cellStyle name="Comma 2 4 46" xfId="2968" xr:uid="{00000000-0005-0000-0000-0000FD0B0000}"/>
    <cellStyle name="Comma 2 4 47" xfId="2969" xr:uid="{00000000-0005-0000-0000-0000FE0B0000}"/>
    <cellStyle name="Comma 2 4 48" xfId="2970" xr:uid="{00000000-0005-0000-0000-0000FF0B0000}"/>
    <cellStyle name="Comma 2 4 49" xfId="2971" xr:uid="{00000000-0005-0000-0000-0000000C0000}"/>
    <cellStyle name="Comma 2 4 5" xfId="2972" xr:uid="{00000000-0005-0000-0000-0000010C0000}"/>
    <cellStyle name="Comma 2 4 50" xfId="2973" xr:uid="{00000000-0005-0000-0000-0000020C0000}"/>
    <cellStyle name="Comma 2 4 51" xfId="2974" xr:uid="{00000000-0005-0000-0000-0000030C0000}"/>
    <cellStyle name="Comma 2 4 52" xfId="2975" xr:uid="{00000000-0005-0000-0000-0000040C0000}"/>
    <cellStyle name="Comma 2 4 53" xfId="2976" xr:uid="{00000000-0005-0000-0000-0000050C0000}"/>
    <cellStyle name="Comma 2 4 54" xfId="2977" xr:uid="{00000000-0005-0000-0000-0000060C0000}"/>
    <cellStyle name="Comma 2 4 55" xfId="2978" xr:uid="{00000000-0005-0000-0000-0000070C0000}"/>
    <cellStyle name="Comma 2 4 56" xfId="2979" xr:uid="{00000000-0005-0000-0000-0000080C0000}"/>
    <cellStyle name="Comma 2 4 57" xfId="2980" xr:uid="{00000000-0005-0000-0000-0000090C0000}"/>
    <cellStyle name="Comma 2 4 58" xfId="2981" xr:uid="{00000000-0005-0000-0000-00000A0C0000}"/>
    <cellStyle name="Comma 2 4 59" xfId="2982" xr:uid="{00000000-0005-0000-0000-00000B0C0000}"/>
    <cellStyle name="Comma 2 4 6" xfId="2983" xr:uid="{00000000-0005-0000-0000-00000C0C0000}"/>
    <cellStyle name="Comma 2 4 60" xfId="2984" xr:uid="{00000000-0005-0000-0000-00000D0C0000}"/>
    <cellStyle name="Comma 2 4 61" xfId="2985" xr:uid="{00000000-0005-0000-0000-00000E0C0000}"/>
    <cellStyle name="Comma 2 4 62" xfId="2986" xr:uid="{00000000-0005-0000-0000-00000F0C0000}"/>
    <cellStyle name="Comma 2 4 63" xfId="2987" xr:uid="{00000000-0005-0000-0000-0000100C0000}"/>
    <cellStyle name="Comma 2 4 64" xfId="2988" xr:uid="{00000000-0005-0000-0000-0000110C0000}"/>
    <cellStyle name="Comma 2 4 65" xfId="2989" xr:uid="{00000000-0005-0000-0000-0000120C0000}"/>
    <cellStyle name="Comma 2 4 66" xfId="2990" xr:uid="{00000000-0005-0000-0000-0000130C0000}"/>
    <cellStyle name="Comma 2 4 67" xfId="2991" xr:uid="{00000000-0005-0000-0000-0000140C0000}"/>
    <cellStyle name="Comma 2 4 68" xfId="2992" xr:uid="{00000000-0005-0000-0000-0000150C0000}"/>
    <cellStyle name="Comma 2 4 69" xfId="2993" xr:uid="{00000000-0005-0000-0000-0000160C0000}"/>
    <cellStyle name="Comma 2 4 7" xfId="2994" xr:uid="{00000000-0005-0000-0000-0000170C0000}"/>
    <cellStyle name="Comma 2 4 70" xfId="2995" xr:uid="{00000000-0005-0000-0000-0000180C0000}"/>
    <cellStyle name="Comma 2 4 71" xfId="2996" xr:uid="{00000000-0005-0000-0000-0000190C0000}"/>
    <cellStyle name="Comma 2 4 72" xfId="2997" xr:uid="{00000000-0005-0000-0000-00001A0C0000}"/>
    <cellStyle name="Comma 2 4 73" xfId="2998" xr:uid="{00000000-0005-0000-0000-00001B0C0000}"/>
    <cellStyle name="Comma 2 4 74" xfId="2999" xr:uid="{00000000-0005-0000-0000-00001C0C0000}"/>
    <cellStyle name="Comma 2 4 75" xfId="3000" xr:uid="{00000000-0005-0000-0000-00001D0C0000}"/>
    <cellStyle name="Comma 2 4 76" xfId="3001" xr:uid="{00000000-0005-0000-0000-00001E0C0000}"/>
    <cellStyle name="Comma 2 4 77" xfId="3002" xr:uid="{00000000-0005-0000-0000-00001F0C0000}"/>
    <cellStyle name="Comma 2 4 78" xfId="3003" xr:uid="{00000000-0005-0000-0000-0000200C0000}"/>
    <cellStyle name="Comma 2 4 8" xfId="3004" xr:uid="{00000000-0005-0000-0000-0000210C0000}"/>
    <cellStyle name="Comma 2 4 9" xfId="3005" xr:uid="{00000000-0005-0000-0000-0000220C0000}"/>
    <cellStyle name="Comma 2 40" xfId="3006" xr:uid="{00000000-0005-0000-0000-0000230C0000}"/>
    <cellStyle name="Comma 2 41" xfId="3007" xr:uid="{00000000-0005-0000-0000-0000240C0000}"/>
    <cellStyle name="Comma 2 42" xfId="3008" xr:uid="{00000000-0005-0000-0000-0000250C0000}"/>
    <cellStyle name="Comma 2 43" xfId="3009" xr:uid="{00000000-0005-0000-0000-0000260C0000}"/>
    <cellStyle name="Comma 2 44" xfId="3010" xr:uid="{00000000-0005-0000-0000-0000270C0000}"/>
    <cellStyle name="Comma 2 45" xfId="3011" xr:uid="{00000000-0005-0000-0000-0000280C0000}"/>
    <cellStyle name="Comma 2 46" xfId="3012" xr:uid="{00000000-0005-0000-0000-0000290C0000}"/>
    <cellStyle name="Comma 2 47" xfId="3013" xr:uid="{00000000-0005-0000-0000-00002A0C0000}"/>
    <cellStyle name="Comma 2 48" xfId="3014" xr:uid="{00000000-0005-0000-0000-00002B0C0000}"/>
    <cellStyle name="Comma 2 49" xfId="3015" xr:uid="{00000000-0005-0000-0000-00002C0C0000}"/>
    <cellStyle name="Comma 2 5" xfId="3016" xr:uid="{00000000-0005-0000-0000-00002D0C0000}"/>
    <cellStyle name="Comma 2 50" xfId="3017" xr:uid="{00000000-0005-0000-0000-00002E0C0000}"/>
    <cellStyle name="Comma 2 51" xfId="3018" xr:uid="{00000000-0005-0000-0000-00002F0C0000}"/>
    <cellStyle name="Comma 2 51 10" xfId="3019" xr:uid="{00000000-0005-0000-0000-0000300C0000}"/>
    <cellStyle name="Comma 2 51 11" xfId="3020" xr:uid="{00000000-0005-0000-0000-0000310C0000}"/>
    <cellStyle name="Comma 2 51 12" xfId="3021" xr:uid="{00000000-0005-0000-0000-0000320C0000}"/>
    <cellStyle name="Comma 2 51 13" xfId="3022" xr:uid="{00000000-0005-0000-0000-0000330C0000}"/>
    <cellStyle name="Comma 2 51 14" xfId="3023" xr:uid="{00000000-0005-0000-0000-0000340C0000}"/>
    <cellStyle name="Comma 2 51 15" xfId="3024" xr:uid="{00000000-0005-0000-0000-0000350C0000}"/>
    <cellStyle name="Comma 2 51 16" xfId="3025" xr:uid="{00000000-0005-0000-0000-0000360C0000}"/>
    <cellStyle name="Comma 2 51 17" xfId="3026" xr:uid="{00000000-0005-0000-0000-0000370C0000}"/>
    <cellStyle name="Comma 2 51 2" xfId="3027" xr:uid="{00000000-0005-0000-0000-0000380C0000}"/>
    <cellStyle name="Comma 2 51 3" xfId="3028" xr:uid="{00000000-0005-0000-0000-0000390C0000}"/>
    <cellStyle name="Comma 2 51 4" xfId="3029" xr:uid="{00000000-0005-0000-0000-00003A0C0000}"/>
    <cellStyle name="Comma 2 51 5" xfId="3030" xr:uid="{00000000-0005-0000-0000-00003B0C0000}"/>
    <cellStyle name="Comma 2 51 6" xfId="3031" xr:uid="{00000000-0005-0000-0000-00003C0C0000}"/>
    <cellStyle name="Comma 2 51 7" xfId="3032" xr:uid="{00000000-0005-0000-0000-00003D0C0000}"/>
    <cellStyle name="Comma 2 51 8" xfId="3033" xr:uid="{00000000-0005-0000-0000-00003E0C0000}"/>
    <cellStyle name="Comma 2 51 9" xfId="3034" xr:uid="{00000000-0005-0000-0000-00003F0C0000}"/>
    <cellStyle name="Comma 2 52" xfId="3035" xr:uid="{00000000-0005-0000-0000-0000400C0000}"/>
    <cellStyle name="Comma 2 52 10" xfId="3036" xr:uid="{00000000-0005-0000-0000-0000410C0000}"/>
    <cellStyle name="Comma 2 52 11" xfId="3037" xr:uid="{00000000-0005-0000-0000-0000420C0000}"/>
    <cellStyle name="Comma 2 52 12" xfId="3038" xr:uid="{00000000-0005-0000-0000-0000430C0000}"/>
    <cellStyle name="Comma 2 52 13" xfId="3039" xr:uid="{00000000-0005-0000-0000-0000440C0000}"/>
    <cellStyle name="Comma 2 52 14" xfId="3040" xr:uid="{00000000-0005-0000-0000-0000450C0000}"/>
    <cellStyle name="Comma 2 52 15" xfId="3041" xr:uid="{00000000-0005-0000-0000-0000460C0000}"/>
    <cellStyle name="Comma 2 52 16" xfId="3042" xr:uid="{00000000-0005-0000-0000-0000470C0000}"/>
    <cellStyle name="Comma 2 52 17" xfId="3043" xr:uid="{00000000-0005-0000-0000-0000480C0000}"/>
    <cellStyle name="Comma 2 52 2" xfId="3044" xr:uid="{00000000-0005-0000-0000-0000490C0000}"/>
    <cellStyle name="Comma 2 52 3" xfId="3045" xr:uid="{00000000-0005-0000-0000-00004A0C0000}"/>
    <cellStyle name="Comma 2 52 4" xfId="3046" xr:uid="{00000000-0005-0000-0000-00004B0C0000}"/>
    <cellStyle name="Comma 2 52 5" xfId="3047" xr:uid="{00000000-0005-0000-0000-00004C0C0000}"/>
    <cellStyle name="Comma 2 52 6" xfId="3048" xr:uid="{00000000-0005-0000-0000-00004D0C0000}"/>
    <cellStyle name="Comma 2 52 7" xfId="3049" xr:uid="{00000000-0005-0000-0000-00004E0C0000}"/>
    <cellStyle name="Comma 2 52 8" xfId="3050" xr:uid="{00000000-0005-0000-0000-00004F0C0000}"/>
    <cellStyle name="Comma 2 52 9" xfId="3051" xr:uid="{00000000-0005-0000-0000-0000500C0000}"/>
    <cellStyle name="Comma 2 53" xfId="3052" xr:uid="{00000000-0005-0000-0000-0000510C0000}"/>
    <cellStyle name="Comma 2 54" xfId="3053" xr:uid="{00000000-0005-0000-0000-0000520C0000}"/>
    <cellStyle name="Comma 2 55" xfId="3054" xr:uid="{00000000-0005-0000-0000-0000530C0000}"/>
    <cellStyle name="Comma 2 56" xfId="3055" xr:uid="{00000000-0005-0000-0000-0000540C0000}"/>
    <cellStyle name="Comma 2 57" xfId="3056" xr:uid="{00000000-0005-0000-0000-0000550C0000}"/>
    <cellStyle name="Comma 2 58" xfId="3057" xr:uid="{00000000-0005-0000-0000-0000560C0000}"/>
    <cellStyle name="Comma 2 59" xfId="3058" xr:uid="{00000000-0005-0000-0000-0000570C0000}"/>
    <cellStyle name="Comma 2 6" xfId="3059" xr:uid="{00000000-0005-0000-0000-0000580C0000}"/>
    <cellStyle name="Comma 2 60" xfId="3060" xr:uid="{00000000-0005-0000-0000-0000590C0000}"/>
    <cellStyle name="Comma 2 61" xfId="3061" xr:uid="{00000000-0005-0000-0000-00005A0C0000}"/>
    <cellStyle name="Comma 2 62" xfId="3062" xr:uid="{00000000-0005-0000-0000-00005B0C0000}"/>
    <cellStyle name="Comma 2 63" xfId="3063" xr:uid="{00000000-0005-0000-0000-00005C0C0000}"/>
    <cellStyle name="Comma 2 64" xfId="3064" xr:uid="{00000000-0005-0000-0000-00005D0C0000}"/>
    <cellStyle name="Comma 2 65" xfId="3065" xr:uid="{00000000-0005-0000-0000-00005E0C0000}"/>
    <cellStyle name="Comma 2 66" xfId="3066" xr:uid="{00000000-0005-0000-0000-00005F0C0000}"/>
    <cellStyle name="Comma 2 67" xfId="3067" xr:uid="{00000000-0005-0000-0000-0000600C0000}"/>
    <cellStyle name="Comma 2 68" xfId="3068" xr:uid="{00000000-0005-0000-0000-0000610C0000}"/>
    <cellStyle name="Comma 2 69" xfId="3069" xr:uid="{00000000-0005-0000-0000-0000620C0000}"/>
    <cellStyle name="Comma 2 7" xfId="3070" xr:uid="{00000000-0005-0000-0000-0000630C0000}"/>
    <cellStyle name="Comma 2 70" xfId="3071" xr:uid="{00000000-0005-0000-0000-0000640C0000}"/>
    <cellStyle name="Comma 2 71" xfId="3072" xr:uid="{00000000-0005-0000-0000-0000650C0000}"/>
    <cellStyle name="Comma 2 72" xfId="3073" xr:uid="{00000000-0005-0000-0000-0000660C0000}"/>
    <cellStyle name="Comma 2 73" xfId="3074" xr:uid="{00000000-0005-0000-0000-0000670C0000}"/>
    <cellStyle name="Comma 2 74" xfId="3075" xr:uid="{00000000-0005-0000-0000-0000680C0000}"/>
    <cellStyle name="Comma 2 75" xfId="3076" xr:uid="{00000000-0005-0000-0000-0000690C0000}"/>
    <cellStyle name="Comma 2 76" xfId="3077" xr:uid="{00000000-0005-0000-0000-00006A0C0000}"/>
    <cellStyle name="Comma 2 77" xfId="3078" xr:uid="{00000000-0005-0000-0000-00006B0C0000}"/>
    <cellStyle name="Comma 2 78" xfId="3079" xr:uid="{00000000-0005-0000-0000-00006C0C0000}"/>
    <cellStyle name="Comma 2 79" xfId="3080" xr:uid="{00000000-0005-0000-0000-00006D0C0000}"/>
    <cellStyle name="Comma 2 8" xfId="3081" xr:uid="{00000000-0005-0000-0000-00006E0C0000}"/>
    <cellStyle name="Comma 2 80" xfId="3082" xr:uid="{00000000-0005-0000-0000-00006F0C0000}"/>
    <cellStyle name="Comma 2 81" xfId="3083" xr:uid="{00000000-0005-0000-0000-0000700C0000}"/>
    <cellStyle name="Comma 2 82" xfId="3084" xr:uid="{00000000-0005-0000-0000-0000710C0000}"/>
    <cellStyle name="Comma 2 83" xfId="3085" xr:uid="{00000000-0005-0000-0000-0000720C0000}"/>
    <cellStyle name="Comma 2 84" xfId="3086" xr:uid="{00000000-0005-0000-0000-0000730C0000}"/>
    <cellStyle name="Comma 2 85" xfId="3087" xr:uid="{00000000-0005-0000-0000-0000740C0000}"/>
    <cellStyle name="Comma 2 86" xfId="3088" xr:uid="{00000000-0005-0000-0000-0000750C0000}"/>
    <cellStyle name="Comma 2 87" xfId="3089" xr:uid="{00000000-0005-0000-0000-0000760C0000}"/>
    <cellStyle name="Comma 2 88" xfId="3090" xr:uid="{00000000-0005-0000-0000-0000770C0000}"/>
    <cellStyle name="Comma 2 89" xfId="3091" xr:uid="{00000000-0005-0000-0000-0000780C0000}"/>
    <cellStyle name="Comma 2 9" xfId="3092" xr:uid="{00000000-0005-0000-0000-0000790C0000}"/>
    <cellStyle name="Comma 2 90" xfId="3093" xr:uid="{00000000-0005-0000-0000-00007A0C0000}"/>
    <cellStyle name="Comma 2 91" xfId="3094" xr:uid="{00000000-0005-0000-0000-00007B0C0000}"/>
    <cellStyle name="Comma 2 92" xfId="3095" xr:uid="{00000000-0005-0000-0000-00007C0C0000}"/>
    <cellStyle name="Comma 2 93" xfId="3096" xr:uid="{00000000-0005-0000-0000-00007D0C0000}"/>
    <cellStyle name="Comma 2 94" xfId="3097" xr:uid="{00000000-0005-0000-0000-00007E0C0000}"/>
    <cellStyle name="Comma 2 95" xfId="3098" xr:uid="{00000000-0005-0000-0000-00007F0C0000}"/>
    <cellStyle name="Comma 2 96" xfId="3099" xr:uid="{00000000-0005-0000-0000-0000800C0000}"/>
    <cellStyle name="Comma 2 97" xfId="3100" xr:uid="{00000000-0005-0000-0000-0000810C0000}"/>
    <cellStyle name="Comma 2 98" xfId="3101" xr:uid="{00000000-0005-0000-0000-0000820C0000}"/>
    <cellStyle name="Comma 2 99" xfId="3102" xr:uid="{00000000-0005-0000-0000-0000830C0000}"/>
    <cellStyle name="Comma 2*" xfId="3103" xr:uid="{00000000-0005-0000-0000-0000840C0000}"/>
    <cellStyle name="Comma 2_2.11 Staff NG BS" xfId="3104" xr:uid="{00000000-0005-0000-0000-0000850C0000}"/>
    <cellStyle name="Comma 20" xfId="3105" xr:uid="{00000000-0005-0000-0000-0000860C0000}"/>
    <cellStyle name="Comma 20 2" xfId="3106" xr:uid="{00000000-0005-0000-0000-0000870C0000}"/>
    <cellStyle name="Comma 20 3" xfId="3107" xr:uid="{00000000-0005-0000-0000-0000880C0000}"/>
    <cellStyle name="Comma 21" xfId="3108" xr:uid="{00000000-0005-0000-0000-0000890C0000}"/>
    <cellStyle name="Comma 21 2" xfId="3109" xr:uid="{00000000-0005-0000-0000-00008A0C0000}"/>
    <cellStyle name="Comma 21 3" xfId="3110" xr:uid="{00000000-0005-0000-0000-00008B0C0000}"/>
    <cellStyle name="Comma 21 4" xfId="3111" xr:uid="{00000000-0005-0000-0000-00008C0C0000}"/>
    <cellStyle name="Comma 22" xfId="3112" xr:uid="{00000000-0005-0000-0000-00008D0C0000}"/>
    <cellStyle name="Comma 23" xfId="42039" xr:uid="{00000000-0005-0000-0000-00008E0C0000}"/>
    <cellStyle name="Comma 24" xfId="42542" xr:uid="{C579A59E-44E0-48FC-937C-50E3357AC7E9}"/>
    <cellStyle name="Comma 25" xfId="42153" xr:uid="{00000000-0005-0000-0000-00008F0C0000}"/>
    <cellStyle name="Comma 26" xfId="42154" xr:uid="{00000000-0005-0000-0000-0000900C0000}"/>
    <cellStyle name="Comma 3" xfId="3113" xr:uid="{00000000-0005-0000-0000-0000910C0000}"/>
    <cellStyle name="Comma 3 10" xfId="3114" xr:uid="{00000000-0005-0000-0000-0000920C0000}"/>
    <cellStyle name="Comma 3 100" xfId="3115" xr:uid="{00000000-0005-0000-0000-0000930C0000}"/>
    <cellStyle name="Comma 3 101" xfId="3116" xr:uid="{00000000-0005-0000-0000-0000940C0000}"/>
    <cellStyle name="Comma 3 102" xfId="3117" xr:uid="{00000000-0005-0000-0000-0000950C0000}"/>
    <cellStyle name="Comma 3 103" xfId="3118" xr:uid="{00000000-0005-0000-0000-0000960C0000}"/>
    <cellStyle name="Comma 3 104" xfId="3119" xr:uid="{00000000-0005-0000-0000-0000970C0000}"/>
    <cellStyle name="Comma 3 105" xfId="3120" xr:uid="{00000000-0005-0000-0000-0000980C0000}"/>
    <cellStyle name="Comma 3 106" xfId="3121" xr:uid="{00000000-0005-0000-0000-0000990C0000}"/>
    <cellStyle name="Comma 3 107" xfId="3122" xr:uid="{00000000-0005-0000-0000-00009A0C0000}"/>
    <cellStyle name="Comma 3 108" xfId="3123" xr:uid="{00000000-0005-0000-0000-00009B0C0000}"/>
    <cellStyle name="Comma 3 109" xfId="3124" xr:uid="{00000000-0005-0000-0000-00009C0C0000}"/>
    <cellStyle name="Comma 3 11" xfId="3125" xr:uid="{00000000-0005-0000-0000-00009D0C0000}"/>
    <cellStyle name="Comma 3 110" xfId="3126" xr:uid="{00000000-0005-0000-0000-00009E0C0000}"/>
    <cellStyle name="Comma 3 111" xfId="3127" xr:uid="{00000000-0005-0000-0000-00009F0C0000}"/>
    <cellStyle name="Comma 3 112" xfId="3128" xr:uid="{00000000-0005-0000-0000-0000A00C0000}"/>
    <cellStyle name="Comma 3 113" xfId="3129" xr:uid="{00000000-0005-0000-0000-0000A10C0000}"/>
    <cellStyle name="Comma 3 114" xfId="3130" xr:uid="{00000000-0005-0000-0000-0000A20C0000}"/>
    <cellStyle name="Comma 3 115" xfId="3131" xr:uid="{00000000-0005-0000-0000-0000A30C0000}"/>
    <cellStyle name="Comma 3 116" xfId="3132" xr:uid="{00000000-0005-0000-0000-0000A40C0000}"/>
    <cellStyle name="Comma 3 117" xfId="3133" xr:uid="{00000000-0005-0000-0000-0000A50C0000}"/>
    <cellStyle name="Comma 3 118" xfId="3134" xr:uid="{00000000-0005-0000-0000-0000A60C0000}"/>
    <cellStyle name="Comma 3 119" xfId="3135" xr:uid="{00000000-0005-0000-0000-0000A70C0000}"/>
    <cellStyle name="Comma 3 12" xfId="3136" xr:uid="{00000000-0005-0000-0000-0000A80C0000}"/>
    <cellStyle name="Comma 3 120" xfId="3137" xr:uid="{00000000-0005-0000-0000-0000A90C0000}"/>
    <cellStyle name="Comma 3 121" xfId="3138" xr:uid="{00000000-0005-0000-0000-0000AA0C0000}"/>
    <cellStyle name="Comma 3 122" xfId="3139" xr:uid="{00000000-0005-0000-0000-0000AB0C0000}"/>
    <cellStyle name="Comma 3 123" xfId="3140" xr:uid="{00000000-0005-0000-0000-0000AC0C0000}"/>
    <cellStyle name="Comma 3 124" xfId="3141" xr:uid="{00000000-0005-0000-0000-0000AD0C0000}"/>
    <cellStyle name="Comma 3 125" xfId="3142" xr:uid="{00000000-0005-0000-0000-0000AE0C0000}"/>
    <cellStyle name="Comma 3 126" xfId="3143" xr:uid="{00000000-0005-0000-0000-0000AF0C0000}"/>
    <cellStyle name="Comma 3 13" xfId="3144" xr:uid="{00000000-0005-0000-0000-0000B00C0000}"/>
    <cellStyle name="Comma 3 14" xfId="3145" xr:uid="{00000000-0005-0000-0000-0000B10C0000}"/>
    <cellStyle name="Comma 3 15" xfId="3146" xr:uid="{00000000-0005-0000-0000-0000B20C0000}"/>
    <cellStyle name="Comma 3 16" xfId="3147" xr:uid="{00000000-0005-0000-0000-0000B30C0000}"/>
    <cellStyle name="Comma 3 17" xfId="3148" xr:uid="{00000000-0005-0000-0000-0000B40C0000}"/>
    <cellStyle name="Comma 3 18" xfId="3149" xr:uid="{00000000-0005-0000-0000-0000B50C0000}"/>
    <cellStyle name="Comma 3 19" xfId="3150" xr:uid="{00000000-0005-0000-0000-0000B60C0000}"/>
    <cellStyle name="Comma 3 2" xfId="3151" xr:uid="{00000000-0005-0000-0000-0000B70C0000}"/>
    <cellStyle name="Comma 3 2 2" xfId="3152" xr:uid="{00000000-0005-0000-0000-0000B80C0000}"/>
    <cellStyle name="Comma 3 2 2 10" xfId="3153" xr:uid="{00000000-0005-0000-0000-0000B90C0000}"/>
    <cellStyle name="Comma 3 2 2 11" xfId="3154" xr:uid="{00000000-0005-0000-0000-0000BA0C0000}"/>
    <cellStyle name="Comma 3 2 2 12" xfId="3155" xr:uid="{00000000-0005-0000-0000-0000BB0C0000}"/>
    <cellStyle name="Comma 3 2 2 13" xfId="3156" xr:uid="{00000000-0005-0000-0000-0000BC0C0000}"/>
    <cellStyle name="Comma 3 2 2 14" xfId="3157" xr:uid="{00000000-0005-0000-0000-0000BD0C0000}"/>
    <cellStyle name="Comma 3 2 2 2" xfId="3158" xr:uid="{00000000-0005-0000-0000-0000BE0C0000}"/>
    <cellStyle name="Comma 3 2 2 3" xfId="3159" xr:uid="{00000000-0005-0000-0000-0000BF0C0000}"/>
    <cellStyle name="Comma 3 2 2 4" xfId="3160" xr:uid="{00000000-0005-0000-0000-0000C00C0000}"/>
    <cellStyle name="Comma 3 2 2 5" xfId="3161" xr:uid="{00000000-0005-0000-0000-0000C10C0000}"/>
    <cellStyle name="Comma 3 2 2 6" xfId="3162" xr:uid="{00000000-0005-0000-0000-0000C20C0000}"/>
    <cellStyle name="Comma 3 2 2 7" xfId="3163" xr:uid="{00000000-0005-0000-0000-0000C30C0000}"/>
    <cellStyle name="Comma 3 2 2 8" xfId="3164" xr:uid="{00000000-0005-0000-0000-0000C40C0000}"/>
    <cellStyle name="Comma 3 2 2 9" xfId="3165" xr:uid="{00000000-0005-0000-0000-0000C50C0000}"/>
    <cellStyle name="Comma 3 2 3" xfId="3166" xr:uid="{00000000-0005-0000-0000-0000C60C0000}"/>
    <cellStyle name="Comma 3 2 3 2" xfId="3167" xr:uid="{00000000-0005-0000-0000-0000C70C0000}"/>
    <cellStyle name="Comma 3 2 4" xfId="3168" xr:uid="{00000000-0005-0000-0000-0000C80C0000}"/>
    <cellStyle name="Comma 3 2 5" xfId="3169" xr:uid="{00000000-0005-0000-0000-0000C90C0000}"/>
    <cellStyle name="Comma 3 2_3.1.2 DB Pension Detail" xfId="3170" xr:uid="{00000000-0005-0000-0000-0000CA0C0000}"/>
    <cellStyle name="Comma 3 20" xfId="3171" xr:uid="{00000000-0005-0000-0000-0000CB0C0000}"/>
    <cellStyle name="Comma 3 21" xfId="3172" xr:uid="{00000000-0005-0000-0000-0000CC0C0000}"/>
    <cellStyle name="Comma 3 22" xfId="3173" xr:uid="{00000000-0005-0000-0000-0000CD0C0000}"/>
    <cellStyle name="Comma 3 23" xfId="3174" xr:uid="{00000000-0005-0000-0000-0000CE0C0000}"/>
    <cellStyle name="Comma 3 24" xfId="3175" xr:uid="{00000000-0005-0000-0000-0000CF0C0000}"/>
    <cellStyle name="Comma 3 25" xfId="3176" xr:uid="{00000000-0005-0000-0000-0000D00C0000}"/>
    <cellStyle name="Comma 3 26" xfId="3177" xr:uid="{00000000-0005-0000-0000-0000D10C0000}"/>
    <cellStyle name="Comma 3 27" xfId="3178" xr:uid="{00000000-0005-0000-0000-0000D20C0000}"/>
    <cellStyle name="Comma 3 28" xfId="3179" xr:uid="{00000000-0005-0000-0000-0000D30C0000}"/>
    <cellStyle name="Comma 3 29" xfId="3180" xr:uid="{00000000-0005-0000-0000-0000D40C0000}"/>
    <cellStyle name="Comma 3 3" xfId="3181" xr:uid="{00000000-0005-0000-0000-0000D50C0000}"/>
    <cellStyle name="Comma 3 3 2" xfId="3182" xr:uid="{00000000-0005-0000-0000-0000D60C0000}"/>
    <cellStyle name="Comma 3 3 2 2" xfId="3183" xr:uid="{00000000-0005-0000-0000-0000D70C0000}"/>
    <cellStyle name="Comma 3 3 3" xfId="3184" xr:uid="{00000000-0005-0000-0000-0000D80C0000}"/>
    <cellStyle name="Comma 3 3 4" xfId="3185" xr:uid="{00000000-0005-0000-0000-0000D90C0000}"/>
    <cellStyle name="Comma 3 30" xfId="3186" xr:uid="{00000000-0005-0000-0000-0000DA0C0000}"/>
    <cellStyle name="Comma 3 31" xfId="3187" xr:uid="{00000000-0005-0000-0000-0000DB0C0000}"/>
    <cellStyle name="Comma 3 32" xfId="3188" xr:uid="{00000000-0005-0000-0000-0000DC0C0000}"/>
    <cellStyle name="Comma 3 33" xfId="3189" xr:uid="{00000000-0005-0000-0000-0000DD0C0000}"/>
    <cellStyle name="Comma 3 34" xfId="3190" xr:uid="{00000000-0005-0000-0000-0000DE0C0000}"/>
    <cellStyle name="Comma 3 35" xfId="3191" xr:uid="{00000000-0005-0000-0000-0000DF0C0000}"/>
    <cellStyle name="Comma 3 36" xfId="3192" xr:uid="{00000000-0005-0000-0000-0000E00C0000}"/>
    <cellStyle name="Comma 3 37" xfId="3193" xr:uid="{00000000-0005-0000-0000-0000E10C0000}"/>
    <cellStyle name="Comma 3 38" xfId="3194" xr:uid="{00000000-0005-0000-0000-0000E20C0000}"/>
    <cellStyle name="Comma 3 39" xfId="3195" xr:uid="{00000000-0005-0000-0000-0000E30C0000}"/>
    <cellStyle name="Comma 3 4" xfId="3196" xr:uid="{00000000-0005-0000-0000-0000E40C0000}"/>
    <cellStyle name="Comma 3 40" xfId="3197" xr:uid="{00000000-0005-0000-0000-0000E50C0000}"/>
    <cellStyle name="Comma 3 41" xfId="3198" xr:uid="{00000000-0005-0000-0000-0000E60C0000}"/>
    <cellStyle name="Comma 3 42" xfId="3199" xr:uid="{00000000-0005-0000-0000-0000E70C0000}"/>
    <cellStyle name="Comma 3 43" xfId="3200" xr:uid="{00000000-0005-0000-0000-0000E80C0000}"/>
    <cellStyle name="Comma 3 44" xfId="3201" xr:uid="{00000000-0005-0000-0000-0000E90C0000}"/>
    <cellStyle name="Comma 3 45" xfId="3202" xr:uid="{00000000-0005-0000-0000-0000EA0C0000}"/>
    <cellStyle name="Comma 3 46" xfId="3203" xr:uid="{00000000-0005-0000-0000-0000EB0C0000}"/>
    <cellStyle name="Comma 3 47" xfId="3204" xr:uid="{00000000-0005-0000-0000-0000EC0C0000}"/>
    <cellStyle name="Comma 3 48" xfId="3205" xr:uid="{00000000-0005-0000-0000-0000ED0C0000}"/>
    <cellStyle name="Comma 3 49" xfId="3206" xr:uid="{00000000-0005-0000-0000-0000EE0C0000}"/>
    <cellStyle name="Comma 3 5" xfId="3207" xr:uid="{00000000-0005-0000-0000-0000EF0C0000}"/>
    <cellStyle name="Comma 3 50" xfId="3208" xr:uid="{00000000-0005-0000-0000-0000F00C0000}"/>
    <cellStyle name="Comma 3 51" xfId="3209" xr:uid="{00000000-0005-0000-0000-0000F10C0000}"/>
    <cellStyle name="Comma 3 51 10" xfId="3210" xr:uid="{00000000-0005-0000-0000-0000F20C0000}"/>
    <cellStyle name="Comma 3 51 11" xfId="3211" xr:uid="{00000000-0005-0000-0000-0000F30C0000}"/>
    <cellStyle name="Comma 3 51 12" xfId="3212" xr:uid="{00000000-0005-0000-0000-0000F40C0000}"/>
    <cellStyle name="Comma 3 51 13" xfId="3213" xr:uid="{00000000-0005-0000-0000-0000F50C0000}"/>
    <cellStyle name="Comma 3 51 14" xfId="3214" xr:uid="{00000000-0005-0000-0000-0000F60C0000}"/>
    <cellStyle name="Comma 3 51 15" xfId="3215" xr:uid="{00000000-0005-0000-0000-0000F70C0000}"/>
    <cellStyle name="Comma 3 51 16" xfId="3216" xr:uid="{00000000-0005-0000-0000-0000F80C0000}"/>
    <cellStyle name="Comma 3 51 17" xfId="3217" xr:uid="{00000000-0005-0000-0000-0000F90C0000}"/>
    <cellStyle name="Comma 3 51 2" xfId="3218" xr:uid="{00000000-0005-0000-0000-0000FA0C0000}"/>
    <cellStyle name="Comma 3 51 3" xfId="3219" xr:uid="{00000000-0005-0000-0000-0000FB0C0000}"/>
    <cellStyle name="Comma 3 51 4" xfId="3220" xr:uid="{00000000-0005-0000-0000-0000FC0C0000}"/>
    <cellStyle name="Comma 3 51 5" xfId="3221" xr:uid="{00000000-0005-0000-0000-0000FD0C0000}"/>
    <cellStyle name="Comma 3 51 6" xfId="3222" xr:uid="{00000000-0005-0000-0000-0000FE0C0000}"/>
    <cellStyle name="Comma 3 51 7" xfId="3223" xr:uid="{00000000-0005-0000-0000-0000FF0C0000}"/>
    <cellStyle name="Comma 3 51 8" xfId="3224" xr:uid="{00000000-0005-0000-0000-0000000D0000}"/>
    <cellStyle name="Comma 3 51 9" xfId="3225" xr:uid="{00000000-0005-0000-0000-0000010D0000}"/>
    <cellStyle name="Comma 3 52" xfId="3226" xr:uid="{00000000-0005-0000-0000-0000020D0000}"/>
    <cellStyle name="Comma 3 52 10" xfId="3227" xr:uid="{00000000-0005-0000-0000-0000030D0000}"/>
    <cellStyle name="Comma 3 52 11" xfId="3228" xr:uid="{00000000-0005-0000-0000-0000040D0000}"/>
    <cellStyle name="Comma 3 52 12" xfId="3229" xr:uid="{00000000-0005-0000-0000-0000050D0000}"/>
    <cellStyle name="Comma 3 52 13" xfId="3230" xr:uid="{00000000-0005-0000-0000-0000060D0000}"/>
    <cellStyle name="Comma 3 52 14" xfId="3231" xr:uid="{00000000-0005-0000-0000-0000070D0000}"/>
    <cellStyle name="Comma 3 52 15" xfId="3232" xr:uid="{00000000-0005-0000-0000-0000080D0000}"/>
    <cellStyle name="Comma 3 52 16" xfId="3233" xr:uid="{00000000-0005-0000-0000-0000090D0000}"/>
    <cellStyle name="Comma 3 52 17" xfId="3234" xr:uid="{00000000-0005-0000-0000-00000A0D0000}"/>
    <cellStyle name="Comma 3 52 2" xfId="3235" xr:uid="{00000000-0005-0000-0000-00000B0D0000}"/>
    <cellStyle name="Comma 3 52 3" xfId="3236" xr:uid="{00000000-0005-0000-0000-00000C0D0000}"/>
    <cellStyle name="Comma 3 52 4" xfId="3237" xr:uid="{00000000-0005-0000-0000-00000D0D0000}"/>
    <cellStyle name="Comma 3 52 5" xfId="3238" xr:uid="{00000000-0005-0000-0000-00000E0D0000}"/>
    <cellStyle name="Comma 3 52 6" xfId="3239" xr:uid="{00000000-0005-0000-0000-00000F0D0000}"/>
    <cellStyle name="Comma 3 52 7" xfId="3240" xr:uid="{00000000-0005-0000-0000-0000100D0000}"/>
    <cellStyle name="Comma 3 52 8" xfId="3241" xr:uid="{00000000-0005-0000-0000-0000110D0000}"/>
    <cellStyle name="Comma 3 52 9" xfId="3242" xr:uid="{00000000-0005-0000-0000-0000120D0000}"/>
    <cellStyle name="Comma 3 53" xfId="3243" xr:uid="{00000000-0005-0000-0000-0000130D0000}"/>
    <cellStyle name="Comma 3 54" xfId="3244" xr:uid="{00000000-0005-0000-0000-0000140D0000}"/>
    <cellStyle name="Comma 3 55" xfId="3245" xr:uid="{00000000-0005-0000-0000-0000150D0000}"/>
    <cellStyle name="Comma 3 56" xfId="3246" xr:uid="{00000000-0005-0000-0000-0000160D0000}"/>
    <cellStyle name="Comma 3 57" xfId="3247" xr:uid="{00000000-0005-0000-0000-0000170D0000}"/>
    <cellStyle name="Comma 3 58" xfId="3248" xr:uid="{00000000-0005-0000-0000-0000180D0000}"/>
    <cellStyle name="Comma 3 59" xfId="3249" xr:uid="{00000000-0005-0000-0000-0000190D0000}"/>
    <cellStyle name="Comma 3 6" xfId="3250" xr:uid="{00000000-0005-0000-0000-00001A0D0000}"/>
    <cellStyle name="Comma 3 60" xfId="3251" xr:uid="{00000000-0005-0000-0000-00001B0D0000}"/>
    <cellStyle name="Comma 3 61" xfId="3252" xr:uid="{00000000-0005-0000-0000-00001C0D0000}"/>
    <cellStyle name="Comma 3 62" xfId="3253" xr:uid="{00000000-0005-0000-0000-00001D0D0000}"/>
    <cellStyle name="Comma 3 63" xfId="3254" xr:uid="{00000000-0005-0000-0000-00001E0D0000}"/>
    <cellStyle name="Comma 3 64" xfId="3255" xr:uid="{00000000-0005-0000-0000-00001F0D0000}"/>
    <cellStyle name="Comma 3 65" xfId="3256" xr:uid="{00000000-0005-0000-0000-0000200D0000}"/>
    <cellStyle name="Comma 3 66" xfId="3257" xr:uid="{00000000-0005-0000-0000-0000210D0000}"/>
    <cellStyle name="Comma 3 67" xfId="3258" xr:uid="{00000000-0005-0000-0000-0000220D0000}"/>
    <cellStyle name="Comma 3 68" xfId="3259" xr:uid="{00000000-0005-0000-0000-0000230D0000}"/>
    <cellStyle name="Comma 3 69" xfId="3260" xr:uid="{00000000-0005-0000-0000-0000240D0000}"/>
    <cellStyle name="Comma 3 7" xfId="3261" xr:uid="{00000000-0005-0000-0000-0000250D0000}"/>
    <cellStyle name="Comma 3 70" xfId="3262" xr:uid="{00000000-0005-0000-0000-0000260D0000}"/>
    <cellStyle name="Comma 3 71" xfId="3263" xr:uid="{00000000-0005-0000-0000-0000270D0000}"/>
    <cellStyle name="Comma 3 72" xfId="3264" xr:uid="{00000000-0005-0000-0000-0000280D0000}"/>
    <cellStyle name="Comma 3 73" xfId="3265" xr:uid="{00000000-0005-0000-0000-0000290D0000}"/>
    <cellStyle name="Comma 3 74" xfId="3266" xr:uid="{00000000-0005-0000-0000-00002A0D0000}"/>
    <cellStyle name="Comma 3 75" xfId="3267" xr:uid="{00000000-0005-0000-0000-00002B0D0000}"/>
    <cellStyle name="Comma 3 76" xfId="3268" xr:uid="{00000000-0005-0000-0000-00002C0D0000}"/>
    <cellStyle name="Comma 3 77" xfId="3269" xr:uid="{00000000-0005-0000-0000-00002D0D0000}"/>
    <cellStyle name="Comma 3 78" xfId="3270" xr:uid="{00000000-0005-0000-0000-00002E0D0000}"/>
    <cellStyle name="Comma 3 79" xfId="3271" xr:uid="{00000000-0005-0000-0000-00002F0D0000}"/>
    <cellStyle name="Comma 3 8" xfId="3272" xr:uid="{00000000-0005-0000-0000-0000300D0000}"/>
    <cellStyle name="Comma 3 80" xfId="3273" xr:uid="{00000000-0005-0000-0000-0000310D0000}"/>
    <cellStyle name="Comma 3 81" xfId="3274" xr:uid="{00000000-0005-0000-0000-0000320D0000}"/>
    <cellStyle name="Comma 3 82" xfId="3275" xr:uid="{00000000-0005-0000-0000-0000330D0000}"/>
    <cellStyle name="Comma 3 83" xfId="3276" xr:uid="{00000000-0005-0000-0000-0000340D0000}"/>
    <cellStyle name="Comma 3 84" xfId="3277" xr:uid="{00000000-0005-0000-0000-0000350D0000}"/>
    <cellStyle name="Comma 3 85" xfId="3278" xr:uid="{00000000-0005-0000-0000-0000360D0000}"/>
    <cellStyle name="Comma 3 86" xfId="3279" xr:uid="{00000000-0005-0000-0000-0000370D0000}"/>
    <cellStyle name="Comma 3 87" xfId="3280" xr:uid="{00000000-0005-0000-0000-0000380D0000}"/>
    <cellStyle name="Comma 3 88" xfId="3281" xr:uid="{00000000-0005-0000-0000-0000390D0000}"/>
    <cellStyle name="Comma 3 89" xfId="3282" xr:uid="{00000000-0005-0000-0000-00003A0D0000}"/>
    <cellStyle name="Comma 3 9" xfId="3283" xr:uid="{00000000-0005-0000-0000-00003B0D0000}"/>
    <cellStyle name="Comma 3 90" xfId="3284" xr:uid="{00000000-0005-0000-0000-00003C0D0000}"/>
    <cellStyle name="Comma 3 91" xfId="3285" xr:uid="{00000000-0005-0000-0000-00003D0D0000}"/>
    <cellStyle name="Comma 3 92" xfId="3286" xr:uid="{00000000-0005-0000-0000-00003E0D0000}"/>
    <cellStyle name="Comma 3 93" xfId="3287" xr:uid="{00000000-0005-0000-0000-00003F0D0000}"/>
    <cellStyle name="Comma 3 94" xfId="3288" xr:uid="{00000000-0005-0000-0000-0000400D0000}"/>
    <cellStyle name="Comma 3 95" xfId="3289" xr:uid="{00000000-0005-0000-0000-0000410D0000}"/>
    <cellStyle name="Comma 3 96" xfId="3290" xr:uid="{00000000-0005-0000-0000-0000420D0000}"/>
    <cellStyle name="Comma 3 97" xfId="3291" xr:uid="{00000000-0005-0000-0000-0000430D0000}"/>
    <cellStyle name="Comma 3 98" xfId="3292" xr:uid="{00000000-0005-0000-0000-0000440D0000}"/>
    <cellStyle name="Comma 3 99" xfId="3293" xr:uid="{00000000-0005-0000-0000-0000450D0000}"/>
    <cellStyle name="Comma 3*" xfId="3294" xr:uid="{00000000-0005-0000-0000-0000460D0000}"/>
    <cellStyle name="Comma 3_3.1.2 DB Pension Detail" xfId="3295" xr:uid="{00000000-0005-0000-0000-0000470D0000}"/>
    <cellStyle name="Comma 4" xfId="3296" xr:uid="{00000000-0005-0000-0000-0000480D0000}"/>
    <cellStyle name="Comma 4 10" xfId="3297" xr:uid="{00000000-0005-0000-0000-0000490D0000}"/>
    <cellStyle name="Comma 4 11" xfId="3298" xr:uid="{00000000-0005-0000-0000-00004A0D0000}"/>
    <cellStyle name="Comma 4 12" xfId="3299" xr:uid="{00000000-0005-0000-0000-00004B0D0000}"/>
    <cellStyle name="Comma 4 13" xfId="3300" xr:uid="{00000000-0005-0000-0000-00004C0D0000}"/>
    <cellStyle name="Comma 4 14" xfId="3301" xr:uid="{00000000-0005-0000-0000-00004D0D0000}"/>
    <cellStyle name="Comma 4 15" xfId="3302" xr:uid="{00000000-0005-0000-0000-00004E0D0000}"/>
    <cellStyle name="Comma 4 16" xfId="3303" xr:uid="{00000000-0005-0000-0000-00004F0D0000}"/>
    <cellStyle name="Comma 4 17" xfId="3304" xr:uid="{00000000-0005-0000-0000-0000500D0000}"/>
    <cellStyle name="Comma 4 18" xfId="3305" xr:uid="{00000000-0005-0000-0000-0000510D0000}"/>
    <cellStyle name="Comma 4 19" xfId="3306" xr:uid="{00000000-0005-0000-0000-0000520D0000}"/>
    <cellStyle name="Comma 4 2" xfId="3307" xr:uid="{00000000-0005-0000-0000-0000530D0000}"/>
    <cellStyle name="Comma 4 2 10" xfId="3308" xr:uid="{00000000-0005-0000-0000-0000540D0000}"/>
    <cellStyle name="Comma 4 2 100" xfId="3309" xr:uid="{00000000-0005-0000-0000-0000550D0000}"/>
    <cellStyle name="Comma 4 2 101" xfId="3310" xr:uid="{00000000-0005-0000-0000-0000560D0000}"/>
    <cellStyle name="Comma 4 2 102" xfId="3311" xr:uid="{00000000-0005-0000-0000-0000570D0000}"/>
    <cellStyle name="Comma 4 2 103" xfId="3312" xr:uid="{00000000-0005-0000-0000-0000580D0000}"/>
    <cellStyle name="Comma 4 2 104" xfId="3313" xr:uid="{00000000-0005-0000-0000-0000590D0000}"/>
    <cellStyle name="Comma 4 2 105" xfId="3314" xr:uid="{00000000-0005-0000-0000-00005A0D0000}"/>
    <cellStyle name="Comma 4 2 106" xfId="3315" xr:uid="{00000000-0005-0000-0000-00005B0D0000}"/>
    <cellStyle name="Comma 4 2 107" xfId="3316" xr:uid="{00000000-0005-0000-0000-00005C0D0000}"/>
    <cellStyle name="Comma 4 2 108" xfId="3317" xr:uid="{00000000-0005-0000-0000-00005D0D0000}"/>
    <cellStyle name="Comma 4 2 109" xfId="3318" xr:uid="{00000000-0005-0000-0000-00005E0D0000}"/>
    <cellStyle name="Comma 4 2 11" xfId="3319" xr:uid="{00000000-0005-0000-0000-00005F0D0000}"/>
    <cellStyle name="Comma 4 2 12" xfId="3320" xr:uid="{00000000-0005-0000-0000-0000600D0000}"/>
    <cellStyle name="Comma 4 2 13" xfId="3321" xr:uid="{00000000-0005-0000-0000-0000610D0000}"/>
    <cellStyle name="Comma 4 2 14" xfId="3322" xr:uid="{00000000-0005-0000-0000-0000620D0000}"/>
    <cellStyle name="Comma 4 2 15" xfId="3323" xr:uid="{00000000-0005-0000-0000-0000630D0000}"/>
    <cellStyle name="Comma 4 2 16" xfId="3324" xr:uid="{00000000-0005-0000-0000-0000640D0000}"/>
    <cellStyle name="Comma 4 2 17" xfId="3325" xr:uid="{00000000-0005-0000-0000-0000650D0000}"/>
    <cellStyle name="Comma 4 2 18" xfId="3326" xr:uid="{00000000-0005-0000-0000-0000660D0000}"/>
    <cellStyle name="Comma 4 2 19" xfId="3327" xr:uid="{00000000-0005-0000-0000-0000670D0000}"/>
    <cellStyle name="Comma 4 2 2" xfId="3328" xr:uid="{00000000-0005-0000-0000-0000680D0000}"/>
    <cellStyle name="Comma 4 2 2 10" xfId="3329" xr:uid="{00000000-0005-0000-0000-0000690D0000}"/>
    <cellStyle name="Comma 4 2 2 11" xfId="3330" xr:uid="{00000000-0005-0000-0000-00006A0D0000}"/>
    <cellStyle name="Comma 4 2 2 12" xfId="3331" xr:uid="{00000000-0005-0000-0000-00006B0D0000}"/>
    <cellStyle name="Comma 4 2 2 13" xfId="3332" xr:uid="{00000000-0005-0000-0000-00006C0D0000}"/>
    <cellStyle name="Comma 4 2 2 2" xfId="3333" xr:uid="{00000000-0005-0000-0000-00006D0D0000}"/>
    <cellStyle name="Comma 4 2 2 3" xfId="3334" xr:uid="{00000000-0005-0000-0000-00006E0D0000}"/>
    <cellStyle name="Comma 4 2 2 4" xfId="3335" xr:uid="{00000000-0005-0000-0000-00006F0D0000}"/>
    <cellStyle name="Comma 4 2 2 5" xfId="3336" xr:uid="{00000000-0005-0000-0000-0000700D0000}"/>
    <cellStyle name="Comma 4 2 2 6" xfId="3337" xr:uid="{00000000-0005-0000-0000-0000710D0000}"/>
    <cellStyle name="Comma 4 2 2 7" xfId="3338" xr:uid="{00000000-0005-0000-0000-0000720D0000}"/>
    <cellStyle name="Comma 4 2 2 8" xfId="3339" xr:uid="{00000000-0005-0000-0000-0000730D0000}"/>
    <cellStyle name="Comma 4 2 2 9" xfId="3340" xr:uid="{00000000-0005-0000-0000-0000740D0000}"/>
    <cellStyle name="Comma 4 2 20" xfId="3341" xr:uid="{00000000-0005-0000-0000-0000750D0000}"/>
    <cellStyle name="Comma 4 2 21" xfId="3342" xr:uid="{00000000-0005-0000-0000-0000760D0000}"/>
    <cellStyle name="Comma 4 2 22" xfId="3343" xr:uid="{00000000-0005-0000-0000-0000770D0000}"/>
    <cellStyle name="Comma 4 2 23" xfId="3344" xr:uid="{00000000-0005-0000-0000-0000780D0000}"/>
    <cellStyle name="Comma 4 2 23 10" xfId="3345" xr:uid="{00000000-0005-0000-0000-0000790D0000}"/>
    <cellStyle name="Comma 4 2 23 11" xfId="3346" xr:uid="{00000000-0005-0000-0000-00007A0D0000}"/>
    <cellStyle name="Comma 4 2 23 12" xfId="3347" xr:uid="{00000000-0005-0000-0000-00007B0D0000}"/>
    <cellStyle name="Comma 4 2 23 13" xfId="3348" xr:uid="{00000000-0005-0000-0000-00007C0D0000}"/>
    <cellStyle name="Comma 4 2 23 14" xfId="3349" xr:uid="{00000000-0005-0000-0000-00007D0D0000}"/>
    <cellStyle name="Comma 4 2 23 15" xfId="3350" xr:uid="{00000000-0005-0000-0000-00007E0D0000}"/>
    <cellStyle name="Comma 4 2 23 16" xfId="3351" xr:uid="{00000000-0005-0000-0000-00007F0D0000}"/>
    <cellStyle name="Comma 4 2 23 17" xfId="3352" xr:uid="{00000000-0005-0000-0000-0000800D0000}"/>
    <cellStyle name="Comma 4 2 23 2" xfId="3353" xr:uid="{00000000-0005-0000-0000-0000810D0000}"/>
    <cellStyle name="Comma 4 2 23 3" xfId="3354" xr:uid="{00000000-0005-0000-0000-0000820D0000}"/>
    <cellStyle name="Comma 4 2 23 4" xfId="3355" xr:uid="{00000000-0005-0000-0000-0000830D0000}"/>
    <cellStyle name="Comma 4 2 23 5" xfId="3356" xr:uid="{00000000-0005-0000-0000-0000840D0000}"/>
    <cellStyle name="Comma 4 2 23 6" xfId="3357" xr:uid="{00000000-0005-0000-0000-0000850D0000}"/>
    <cellStyle name="Comma 4 2 23 7" xfId="3358" xr:uid="{00000000-0005-0000-0000-0000860D0000}"/>
    <cellStyle name="Comma 4 2 23 8" xfId="3359" xr:uid="{00000000-0005-0000-0000-0000870D0000}"/>
    <cellStyle name="Comma 4 2 23 9" xfId="3360" xr:uid="{00000000-0005-0000-0000-0000880D0000}"/>
    <cellStyle name="Comma 4 2 24" xfId="3361" xr:uid="{00000000-0005-0000-0000-0000890D0000}"/>
    <cellStyle name="Comma 4 2 25" xfId="3362" xr:uid="{00000000-0005-0000-0000-00008A0D0000}"/>
    <cellStyle name="Comma 4 2 26" xfId="3363" xr:uid="{00000000-0005-0000-0000-00008B0D0000}"/>
    <cellStyle name="Comma 4 2 27" xfId="3364" xr:uid="{00000000-0005-0000-0000-00008C0D0000}"/>
    <cellStyle name="Comma 4 2 28" xfId="3365" xr:uid="{00000000-0005-0000-0000-00008D0D0000}"/>
    <cellStyle name="Comma 4 2 29" xfId="3366" xr:uid="{00000000-0005-0000-0000-00008E0D0000}"/>
    <cellStyle name="Comma 4 2 3" xfId="3367" xr:uid="{00000000-0005-0000-0000-00008F0D0000}"/>
    <cellStyle name="Comma 4 2 30" xfId="3368" xr:uid="{00000000-0005-0000-0000-0000900D0000}"/>
    <cellStyle name="Comma 4 2 31" xfId="3369" xr:uid="{00000000-0005-0000-0000-0000910D0000}"/>
    <cellStyle name="Comma 4 2 32" xfId="3370" xr:uid="{00000000-0005-0000-0000-0000920D0000}"/>
    <cellStyle name="Comma 4 2 33" xfId="3371" xr:uid="{00000000-0005-0000-0000-0000930D0000}"/>
    <cellStyle name="Comma 4 2 34" xfId="3372" xr:uid="{00000000-0005-0000-0000-0000940D0000}"/>
    <cellStyle name="Comma 4 2 35" xfId="3373" xr:uid="{00000000-0005-0000-0000-0000950D0000}"/>
    <cellStyle name="Comma 4 2 36" xfId="3374" xr:uid="{00000000-0005-0000-0000-0000960D0000}"/>
    <cellStyle name="Comma 4 2 37" xfId="3375" xr:uid="{00000000-0005-0000-0000-0000970D0000}"/>
    <cellStyle name="Comma 4 2 38" xfId="3376" xr:uid="{00000000-0005-0000-0000-0000980D0000}"/>
    <cellStyle name="Comma 4 2 39" xfId="3377" xr:uid="{00000000-0005-0000-0000-0000990D0000}"/>
    <cellStyle name="Comma 4 2 4" xfId="3378" xr:uid="{00000000-0005-0000-0000-00009A0D0000}"/>
    <cellStyle name="Comma 4 2 40" xfId="3379" xr:uid="{00000000-0005-0000-0000-00009B0D0000}"/>
    <cellStyle name="Comma 4 2 41" xfId="3380" xr:uid="{00000000-0005-0000-0000-00009C0D0000}"/>
    <cellStyle name="Comma 4 2 42" xfId="3381" xr:uid="{00000000-0005-0000-0000-00009D0D0000}"/>
    <cellStyle name="Comma 4 2 43" xfId="3382" xr:uid="{00000000-0005-0000-0000-00009E0D0000}"/>
    <cellStyle name="Comma 4 2 44" xfId="3383" xr:uid="{00000000-0005-0000-0000-00009F0D0000}"/>
    <cellStyle name="Comma 4 2 45" xfId="3384" xr:uid="{00000000-0005-0000-0000-0000A00D0000}"/>
    <cellStyle name="Comma 4 2 46" xfId="3385" xr:uid="{00000000-0005-0000-0000-0000A10D0000}"/>
    <cellStyle name="Comma 4 2 47" xfId="3386" xr:uid="{00000000-0005-0000-0000-0000A20D0000}"/>
    <cellStyle name="Comma 4 2 48" xfId="3387" xr:uid="{00000000-0005-0000-0000-0000A30D0000}"/>
    <cellStyle name="Comma 4 2 49" xfId="3388" xr:uid="{00000000-0005-0000-0000-0000A40D0000}"/>
    <cellStyle name="Comma 4 2 5" xfId="3389" xr:uid="{00000000-0005-0000-0000-0000A50D0000}"/>
    <cellStyle name="Comma 4 2 50" xfId="3390" xr:uid="{00000000-0005-0000-0000-0000A60D0000}"/>
    <cellStyle name="Comma 4 2 51" xfId="3391" xr:uid="{00000000-0005-0000-0000-0000A70D0000}"/>
    <cellStyle name="Comma 4 2 52" xfId="3392" xr:uid="{00000000-0005-0000-0000-0000A80D0000}"/>
    <cellStyle name="Comma 4 2 53" xfId="3393" xr:uid="{00000000-0005-0000-0000-0000A90D0000}"/>
    <cellStyle name="Comma 4 2 54" xfId="3394" xr:uid="{00000000-0005-0000-0000-0000AA0D0000}"/>
    <cellStyle name="Comma 4 2 55" xfId="3395" xr:uid="{00000000-0005-0000-0000-0000AB0D0000}"/>
    <cellStyle name="Comma 4 2 56" xfId="3396" xr:uid="{00000000-0005-0000-0000-0000AC0D0000}"/>
    <cellStyle name="Comma 4 2 57" xfId="3397" xr:uid="{00000000-0005-0000-0000-0000AD0D0000}"/>
    <cellStyle name="Comma 4 2 58" xfId="3398" xr:uid="{00000000-0005-0000-0000-0000AE0D0000}"/>
    <cellStyle name="Comma 4 2 59" xfId="3399" xr:uid="{00000000-0005-0000-0000-0000AF0D0000}"/>
    <cellStyle name="Comma 4 2 6" xfId="3400" xr:uid="{00000000-0005-0000-0000-0000B00D0000}"/>
    <cellStyle name="Comma 4 2 60" xfId="3401" xr:uid="{00000000-0005-0000-0000-0000B10D0000}"/>
    <cellStyle name="Comma 4 2 61" xfId="3402" xr:uid="{00000000-0005-0000-0000-0000B20D0000}"/>
    <cellStyle name="Comma 4 2 62" xfId="3403" xr:uid="{00000000-0005-0000-0000-0000B30D0000}"/>
    <cellStyle name="Comma 4 2 63" xfId="3404" xr:uid="{00000000-0005-0000-0000-0000B40D0000}"/>
    <cellStyle name="Comma 4 2 64" xfId="3405" xr:uid="{00000000-0005-0000-0000-0000B50D0000}"/>
    <cellStyle name="Comma 4 2 65" xfId="3406" xr:uid="{00000000-0005-0000-0000-0000B60D0000}"/>
    <cellStyle name="Comma 4 2 66" xfId="3407" xr:uid="{00000000-0005-0000-0000-0000B70D0000}"/>
    <cellStyle name="Comma 4 2 67" xfId="3408" xr:uid="{00000000-0005-0000-0000-0000B80D0000}"/>
    <cellStyle name="Comma 4 2 68" xfId="3409" xr:uid="{00000000-0005-0000-0000-0000B90D0000}"/>
    <cellStyle name="Comma 4 2 69" xfId="3410" xr:uid="{00000000-0005-0000-0000-0000BA0D0000}"/>
    <cellStyle name="Comma 4 2 7" xfId="3411" xr:uid="{00000000-0005-0000-0000-0000BB0D0000}"/>
    <cellStyle name="Comma 4 2 70" xfId="3412" xr:uid="{00000000-0005-0000-0000-0000BC0D0000}"/>
    <cellStyle name="Comma 4 2 71" xfId="3413" xr:uid="{00000000-0005-0000-0000-0000BD0D0000}"/>
    <cellStyle name="Comma 4 2 72" xfId="3414" xr:uid="{00000000-0005-0000-0000-0000BE0D0000}"/>
    <cellStyle name="Comma 4 2 73" xfId="3415" xr:uid="{00000000-0005-0000-0000-0000BF0D0000}"/>
    <cellStyle name="Comma 4 2 74" xfId="3416" xr:uid="{00000000-0005-0000-0000-0000C00D0000}"/>
    <cellStyle name="Comma 4 2 75" xfId="3417" xr:uid="{00000000-0005-0000-0000-0000C10D0000}"/>
    <cellStyle name="Comma 4 2 76" xfId="3418" xr:uid="{00000000-0005-0000-0000-0000C20D0000}"/>
    <cellStyle name="Comma 4 2 77" xfId="3419" xr:uid="{00000000-0005-0000-0000-0000C30D0000}"/>
    <cellStyle name="Comma 4 2 78" xfId="3420" xr:uid="{00000000-0005-0000-0000-0000C40D0000}"/>
    <cellStyle name="Comma 4 2 79" xfId="3421" xr:uid="{00000000-0005-0000-0000-0000C50D0000}"/>
    <cellStyle name="Comma 4 2 8" xfId="3422" xr:uid="{00000000-0005-0000-0000-0000C60D0000}"/>
    <cellStyle name="Comma 4 2 80" xfId="3423" xr:uid="{00000000-0005-0000-0000-0000C70D0000}"/>
    <cellStyle name="Comma 4 2 81" xfId="3424" xr:uid="{00000000-0005-0000-0000-0000C80D0000}"/>
    <cellStyle name="Comma 4 2 82" xfId="3425" xr:uid="{00000000-0005-0000-0000-0000C90D0000}"/>
    <cellStyle name="Comma 4 2 83" xfId="3426" xr:uid="{00000000-0005-0000-0000-0000CA0D0000}"/>
    <cellStyle name="Comma 4 2 84" xfId="3427" xr:uid="{00000000-0005-0000-0000-0000CB0D0000}"/>
    <cellStyle name="Comma 4 2 85" xfId="3428" xr:uid="{00000000-0005-0000-0000-0000CC0D0000}"/>
    <cellStyle name="Comma 4 2 86" xfId="3429" xr:uid="{00000000-0005-0000-0000-0000CD0D0000}"/>
    <cellStyle name="Comma 4 2 87" xfId="3430" xr:uid="{00000000-0005-0000-0000-0000CE0D0000}"/>
    <cellStyle name="Comma 4 2 88" xfId="3431" xr:uid="{00000000-0005-0000-0000-0000CF0D0000}"/>
    <cellStyle name="Comma 4 2 89" xfId="3432" xr:uid="{00000000-0005-0000-0000-0000D00D0000}"/>
    <cellStyle name="Comma 4 2 9" xfId="3433" xr:uid="{00000000-0005-0000-0000-0000D10D0000}"/>
    <cellStyle name="Comma 4 2 90" xfId="3434" xr:uid="{00000000-0005-0000-0000-0000D20D0000}"/>
    <cellStyle name="Comma 4 2 91" xfId="3435" xr:uid="{00000000-0005-0000-0000-0000D30D0000}"/>
    <cellStyle name="Comma 4 2 92" xfId="3436" xr:uid="{00000000-0005-0000-0000-0000D40D0000}"/>
    <cellStyle name="Comma 4 2 93" xfId="3437" xr:uid="{00000000-0005-0000-0000-0000D50D0000}"/>
    <cellStyle name="Comma 4 2 94" xfId="3438" xr:uid="{00000000-0005-0000-0000-0000D60D0000}"/>
    <cellStyle name="Comma 4 2 95" xfId="3439" xr:uid="{00000000-0005-0000-0000-0000D70D0000}"/>
    <cellStyle name="Comma 4 2 96" xfId="3440" xr:uid="{00000000-0005-0000-0000-0000D80D0000}"/>
    <cellStyle name="Comma 4 2 97" xfId="3441" xr:uid="{00000000-0005-0000-0000-0000D90D0000}"/>
    <cellStyle name="Comma 4 2 98" xfId="3442" xr:uid="{00000000-0005-0000-0000-0000DA0D0000}"/>
    <cellStyle name="Comma 4 2 99" xfId="3443" xr:uid="{00000000-0005-0000-0000-0000DB0D0000}"/>
    <cellStyle name="Comma 4 20" xfId="3444" xr:uid="{00000000-0005-0000-0000-0000DC0D0000}"/>
    <cellStyle name="Comma 4 21" xfId="3445" xr:uid="{00000000-0005-0000-0000-0000DD0D0000}"/>
    <cellStyle name="Comma 4 22" xfId="3446" xr:uid="{00000000-0005-0000-0000-0000DE0D0000}"/>
    <cellStyle name="Comma 4 23" xfId="3447" xr:uid="{00000000-0005-0000-0000-0000DF0D0000}"/>
    <cellStyle name="Comma 4 24" xfId="3448" xr:uid="{00000000-0005-0000-0000-0000E00D0000}"/>
    <cellStyle name="Comma 4 25" xfId="3449" xr:uid="{00000000-0005-0000-0000-0000E10D0000}"/>
    <cellStyle name="Comma 4 26" xfId="3450" xr:uid="{00000000-0005-0000-0000-0000E20D0000}"/>
    <cellStyle name="Comma 4 27" xfId="3451" xr:uid="{00000000-0005-0000-0000-0000E30D0000}"/>
    <cellStyle name="Comma 4 28" xfId="3452" xr:uid="{00000000-0005-0000-0000-0000E40D0000}"/>
    <cellStyle name="Comma 4 29" xfId="3453" xr:uid="{00000000-0005-0000-0000-0000E50D0000}"/>
    <cellStyle name="Comma 4 3" xfId="3454" xr:uid="{00000000-0005-0000-0000-0000E60D0000}"/>
    <cellStyle name="Comma 4 3 10" xfId="3455" xr:uid="{00000000-0005-0000-0000-0000E70D0000}"/>
    <cellStyle name="Comma 4 3 11" xfId="3456" xr:uid="{00000000-0005-0000-0000-0000E80D0000}"/>
    <cellStyle name="Comma 4 3 12" xfId="3457" xr:uid="{00000000-0005-0000-0000-0000E90D0000}"/>
    <cellStyle name="Comma 4 3 13" xfId="3458" xr:uid="{00000000-0005-0000-0000-0000EA0D0000}"/>
    <cellStyle name="Comma 4 3 14" xfId="3459" xr:uid="{00000000-0005-0000-0000-0000EB0D0000}"/>
    <cellStyle name="Comma 4 3 15" xfId="3460" xr:uid="{00000000-0005-0000-0000-0000EC0D0000}"/>
    <cellStyle name="Comma 4 3 16" xfId="3461" xr:uid="{00000000-0005-0000-0000-0000ED0D0000}"/>
    <cellStyle name="Comma 4 3 17" xfId="3462" xr:uid="{00000000-0005-0000-0000-0000EE0D0000}"/>
    <cellStyle name="Comma 4 3 2" xfId="3463" xr:uid="{00000000-0005-0000-0000-0000EF0D0000}"/>
    <cellStyle name="Comma 4 3 3" xfId="3464" xr:uid="{00000000-0005-0000-0000-0000F00D0000}"/>
    <cellStyle name="Comma 4 3 4" xfId="3465" xr:uid="{00000000-0005-0000-0000-0000F10D0000}"/>
    <cellStyle name="Comma 4 3 5" xfId="3466" xr:uid="{00000000-0005-0000-0000-0000F20D0000}"/>
    <cellStyle name="Comma 4 3 6" xfId="3467" xr:uid="{00000000-0005-0000-0000-0000F30D0000}"/>
    <cellStyle name="Comma 4 3 7" xfId="3468" xr:uid="{00000000-0005-0000-0000-0000F40D0000}"/>
    <cellStyle name="Comma 4 3 8" xfId="3469" xr:uid="{00000000-0005-0000-0000-0000F50D0000}"/>
    <cellStyle name="Comma 4 3 9" xfId="3470" xr:uid="{00000000-0005-0000-0000-0000F60D0000}"/>
    <cellStyle name="Comma 4 30" xfId="3471" xr:uid="{00000000-0005-0000-0000-0000F70D0000}"/>
    <cellStyle name="Comma 4 31" xfId="3472" xr:uid="{00000000-0005-0000-0000-0000F80D0000}"/>
    <cellStyle name="Comma 4 32" xfId="3473" xr:uid="{00000000-0005-0000-0000-0000F90D0000}"/>
    <cellStyle name="Comma 4 33" xfId="3474" xr:uid="{00000000-0005-0000-0000-0000FA0D0000}"/>
    <cellStyle name="Comma 4 34" xfId="3475" xr:uid="{00000000-0005-0000-0000-0000FB0D0000}"/>
    <cellStyle name="Comma 4 35" xfId="3476" xr:uid="{00000000-0005-0000-0000-0000FC0D0000}"/>
    <cellStyle name="Comma 4 36" xfId="3477" xr:uid="{00000000-0005-0000-0000-0000FD0D0000}"/>
    <cellStyle name="Comma 4 37" xfId="3478" xr:uid="{00000000-0005-0000-0000-0000FE0D0000}"/>
    <cellStyle name="Comma 4 38" xfId="3479" xr:uid="{00000000-0005-0000-0000-0000FF0D0000}"/>
    <cellStyle name="Comma 4 39" xfId="3480" xr:uid="{00000000-0005-0000-0000-0000000E0000}"/>
    <cellStyle name="Comma 4 4" xfId="3481" xr:uid="{00000000-0005-0000-0000-0000010E0000}"/>
    <cellStyle name="Comma 4 4 10" xfId="3482" xr:uid="{00000000-0005-0000-0000-0000020E0000}"/>
    <cellStyle name="Comma 4 4 11" xfId="3483" xr:uid="{00000000-0005-0000-0000-0000030E0000}"/>
    <cellStyle name="Comma 4 4 12" xfId="3484" xr:uid="{00000000-0005-0000-0000-0000040E0000}"/>
    <cellStyle name="Comma 4 4 13" xfId="3485" xr:uid="{00000000-0005-0000-0000-0000050E0000}"/>
    <cellStyle name="Comma 4 4 14" xfId="3486" xr:uid="{00000000-0005-0000-0000-0000060E0000}"/>
    <cellStyle name="Comma 4 4 15" xfId="3487" xr:uid="{00000000-0005-0000-0000-0000070E0000}"/>
    <cellStyle name="Comma 4 4 16" xfId="3488" xr:uid="{00000000-0005-0000-0000-0000080E0000}"/>
    <cellStyle name="Comma 4 4 17" xfId="3489" xr:uid="{00000000-0005-0000-0000-0000090E0000}"/>
    <cellStyle name="Comma 4 4 2" xfId="3490" xr:uid="{00000000-0005-0000-0000-00000A0E0000}"/>
    <cellStyle name="Comma 4 4 3" xfId="3491" xr:uid="{00000000-0005-0000-0000-00000B0E0000}"/>
    <cellStyle name="Comma 4 4 4" xfId="3492" xr:uid="{00000000-0005-0000-0000-00000C0E0000}"/>
    <cellStyle name="Comma 4 4 5" xfId="3493" xr:uid="{00000000-0005-0000-0000-00000D0E0000}"/>
    <cellStyle name="Comma 4 4 6" xfId="3494" xr:uid="{00000000-0005-0000-0000-00000E0E0000}"/>
    <cellStyle name="Comma 4 4 7" xfId="3495" xr:uid="{00000000-0005-0000-0000-00000F0E0000}"/>
    <cellStyle name="Comma 4 4 8" xfId="3496" xr:uid="{00000000-0005-0000-0000-0000100E0000}"/>
    <cellStyle name="Comma 4 4 9" xfId="3497" xr:uid="{00000000-0005-0000-0000-0000110E0000}"/>
    <cellStyle name="Comma 4 40" xfId="3498" xr:uid="{00000000-0005-0000-0000-0000120E0000}"/>
    <cellStyle name="Comma 4 41" xfId="3499" xr:uid="{00000000-0005-0000-0000-0000130E0000}"/>
    <cellStyle name="Comma 4 42" xfId="3500" xr:uid="{00000000-0005-0000-0000-0000140E0000}"/>
    <cellStyle name="Comma 4 43" xfId="3501" xr:uid="{00000000-0005-0000-0000-0000150E0000}"/>
    <cellStyle name="Comma 4 44" xfId="3502" xr:uid="{00000000-0005-0000-0000-0000160E0000}"/>
    <cellStyle name="Comma 4 45" xfId="3503" xr:uid="{00000000-0005-0000-0000-0000170E0000}"/>
    <cellStyle name="Comma 4 46" xfId="3504" xr:uid="{00000000-0005-0000-0000-0000180E0000}"/>
    <cellStyle name="Comma 4 47" xfId="3505" xr:uid="{00000000-0005-0000-0000-0000190E0000}"/>
    <cellStyle name="Comma 4 48" xfId="3506" xr:uid="{00000000-0005-0000-0000-00001A0E0000}"/>
    <cellStyle name="Comma 4 49" xfId="3507" xr:uid="{00000000-0005-0000-0000-00001B0E0000}"/>
    <cellStyle name="Comma 4 5" xfId="3508" xr:uid="{00000000-0005-0000-0000-00001C0E0000}"/>
    <cellStyle name="Comma 4 50" xfId="3509" xr:uid="{00000000-0005-0000-0000-00001D0E0000}"/>
    <cellStyle name="Comma 4 51" xfId="3510" xr:uid="{00000000-0005-0000-0000-00001E0E0000}"/>
    <cellStyle name="Comma 4 52" xfId="3511" xr:uid="{00000000-0005-0000-0000-00001F0E0000}"/>
    <cellStyle name="Comma 4 53" xfId="3512" xr:uid="{00000000-0005-0000-0000-0000200E0000}"/>
    <cellStyle name="Comma 4 54" xfId="3513" xr:uid="{00000000-0005-0000-0000-0000210E0000}"/>
    <cellStyle name="Comma 4 55" xfId="3514" xr:uid="{00000000-0005-0000-0000-0000220E0000}"/>
    <cellStyle name="Comma 4 56" xfId="3515" xr:uid="{00000000-0005-0000-0000-0000230E0000}"/>
    <cellStyle name="Comma 4 57" xfId="3516" xr:uid="{00000000-0005-0000-0000-0000240E0000}"/>
    <cellStyle name="Comma 4 58" xfId="3517" xr:uid="{00000000-0005-0000-0000-0000250E0000}"/>
    <cellStyle name="Comma 4 59" xfId="3518" xr:uid="{00000000-0005-0000-0000-0000260E0000}"/>
    <cellStyle name="Comma 4 6" xfId="3519" xr:uid="{00000000-0005-0000-0000-0000270E0000}"/>
    <cellStyle name="Comma 4 60" xfId="3520" xr:uid="{00000000-0005-0000-0000-0000280E0000}"/>
    <cellStyle name="Comma 4 61" xfId="3521" xr:uid="{00000000-0005-0000-0000-0000290E0000}"/>
    <cellStyle name="Comma 4 62" xfId="3522" xr:uid="{00000000-0005-0000-0000-00002A0E0000}"/>
    <cellStyle name="Comma 4 63" xfId="3523" xr:uid="{00000000-0005-0000-0000-00002B0E0000}"/>
    <cellStyle name="Comma 4 64" xfId="3524" xr:uid="{00000000-0005-0000-0000-00002C0E0000}"/>
    <cellStyle name="Comma 4 65" xfId="3525" xr:uid="{00000000-0005-0000-0000-00002D0E0000}"/>
    <cellStyle name="Comma 4 66" xfId="3526" xr:uid="{00000000-0005-0000-0000-00002E0E0000}"/>
    <cellStyle name="Comma 4 67" xfId="3527" xr:uid="{00000000-0005-0000-0000-00002F0E0000}"/>
    <cellStyle name="Comma 4 68" xfId="3528" xr:uid="{00000000-0005-0000-0000-0000300E0000}"/>
    <cellStyle name="Comma 4 69" xfId="3529" xr:uid="{00000000-0005-0000-0000-0000310E0000}"/>
    <cellStyle name="Comma 4 7" xfId="3530" xr:uid="{00000000-0005-0000-0000-0000320E0000}"/>
    <cellStyle name="Comma 4 70" xfId="3531" xr:uid="{00000000-0005-0000-0000-0000330E0000}"/>
    <cellStyle name="Comma 4 71" xfId="3532" xr:uid="{00000000-0005-0000-0000-0000340E0000}"/>
    <cellStyle name="Comma 4 72" xfId="3533" xr:uid="{00000000-0005-0000-0000-0000350E0000}"/>
    <cellStyle name="Comma 4 73" xfId="3534" xr:uid="{00000000-0005-0000-0000-0000360E0000}"/>
    <cellStyle name="Comma 4 74" xfId="3535" xr:uid="{00000000-0005-0000-0000-0000370E0000}"/>
    <cellStyle name="Comma 4 75" xfId="3536" xr:uid="{00000000-0005-0000-0000-0000380E0000}"/>
    <cellStyle name="Comma 4 76" xfId="3537" xr:uid="{00000000-0005-0000-0000-0000390E0000}"/>
    <cellStyle name="Comma 4 77" xfId="3538" xr:uid="{00000000-0005-0000-0000-00003A0E0000}"/>
    <cellStyle name="Comma 4 78" xfId="3539" xr:uid="{00000000-0005-0000-0000-00003B0E0000}"/>
    <cellStyle name="Comma 4 79" xfId="42052" xr:uid="{00000000-0005-0000-0000-00003C0E0000}"/>
    <cellStyle name="Comma 4 8" xfId="3540" xr:uid="{00000000-0005-0000-0000-00003D0E0000}"/>
    <cellStyle name="Comma 4 9" xfId="3541" xr:uid="{00000000-0005-0000-0000-00003E0E0000}"/>
    <cellStyle name="Comma 5" xfId="3542" xr:uid="{00000000-0005-0000-0000-00003F0E0000}"/>
    <cellStyle name="Comma 5 10" xfId="3543" xr:uid="{00000000-0005-0000-0000-0000400E0000}"/>
    <cellStyle name="Comma 5 11" xfId="3544" xr:uid="{00000000-0005-0000-0000-0000410E0000}"/>
    <cellStyle name="Comma 5 12" xfId="3545" xr:uid="{00000000-0005-0000-0000-0000420E0000}"/>
    <cellStyle name="Comma 5 13" xfId="3546" xr:uid="{00000000-0005-0000-0000-0000430E0000}"/>
    <cellStyle name="Comma 5 14" xfId="3547" xr:uid="{00000000-0005-0000-0000-0000440E0000}"/>
    <cellStyle name="Comma 5 15" xfId="3548" xr:uid="{00000000-0005-0000-0000-0000450E0000}"/>
    <cellStyle name="Comma 5 16" xfId="3549" xr:uid="{00000000-0005-0000-0000-0000460E0000}"/>
    <cellStyle name="Comma 5 17" xfId="3550" xr:uid="{00000000-0005-0000-0000-0000470E0000}"/>
    <cellStyle name="Comma 5 18" xfId="3551" xr:uid="{00000000-0005-0000-0000-0000480E0000}"/>
    <cellStyle name="Comma 5 19" xfId="3552" xr:uid="{00000000-0005-0000-0000-0000490E0000}"/>
    <cellStyle name="Comma 5 2" xfId="3553" xr:uid="{00000000-0005-0000-0000-00004A0E0000}"/>
    <cellStyle name="Comma 5 2 10" xfId="3554" xr:uid="{00000000-0005-0000-0000-00004B0E0000}"/>
    <cellStyle name="Comma 5 2 11" xfId="3555" xr:uid="{00000000-0005-0000-0000-00004C0E0000}"/>
    <cellStyle name="Comma 5 2 12" xfId="3556" xr:uid="{00000000-0005-0000-0000-00004D0E0000}"/>
    <cellStyle name="Comma 5 2 13" xfId="3557" xr:uid="{00000000-0005-0000-0000-00004E0E0000}"/>
    <cellStyle name="Comma 5 2 14" xfId="3558" xr:uid="{00000000-0005-0000-0000-00004F0E0000}"/>
    <cellStyle name="Comma 5 2 15" xfId="3559" xr:uid="{00000000-0005-0000-0000-0000500E0000}"/>
    <cellStyle name="Comma 5 2 16" xfId="3560" xr:uid="{00000000-0005-0000-0000-0000510E0000}"/>
    <cellStyle name="Comma 5 2 17" xfId="3561" xr:uid="{00000000-0005-0000-0000-0000520E0000}"/>
    <cellStyle name="Comma 5 2 2" xfId="3562" xr:uid="{00000000-0005-0000-0000-0000530E0000}"/>
    <cellStyle name="Comma 5 2 2 10" xfId="3563" xr:uid="{00000000-0005-0000-0000-0000540E0000}"/>
    <cellStyle name="Comma 5 2 2 11" xfId="3564" xr:uid="{00000000-0005-0000-0000-0000550E0000}"/>
    <cellStyle name="Comma 5 2 2 12" xfId="3565" xr:uid="{00000000-0005-0000-0000-0000560E0000}"/>
    <cellStyle name="Comma 5 2 2 13" xfId="3566" xr:uid="{00000000-0005-0000-0000-0000570E0000}"/>
    <cellStyle name="Comma 5 2 2 14" xfId="3567" xr:uid="{00000000-0005-0000-0000-0000580E0000}"/>
    <cellStyle name="Comma 5 2 2 15" xfId="3568" xr:uid="{00000000-0005-0000-0000-0000590E0000}"/>
    <cellStyle name="Comma 5 2 2 16" xfId="3569" xr:uid="{00000000-0005-0000-0000-00005A0E0000}"/>
    <cellStyle name="Comma 5 2 2 2" xfId="3570" xr:uid="{00000000-0005-0000-0000-00005B0E0000}"/>
    <cellStyle name="Comma 5 2 2 2 10" xfId="3571" xr:uid="{00000000-0005-0000-0000-00005C0E0000}"/>
    <cellStyle name="Comma 5 2 2 2 11" xfId="3572" xr:uid="{00000000-0005-0000-0000-00005D0E0000}"/>
    <cellStyle name="Comma 5 2 2 2 12" xfId="3573" xr:uid="{00000000-0005-0000-0000-00005E0E0000}"/>
    <cellStyle name="Comma 5 2 2 2 13" xfId="3574" xr:uid="{00000000-0005-0000-0000-00005F0E0000}"/>
    <cellStyle name="Comma 5 2 2 2 2" xfId="3575" xr:uid="{00000000-0005-0000-0000-0000600E0000}"/>
    <cellStyle name="Comma 5 2 2 2 3" xfId="3576" xr:uid="{00000000-0005-0000-0000-0000610E0000}"/>
    <cellStyle name="Comma 5 2 2 2 4" xfId="3577" xr:uid="{00000000-0005-0000-0000-0000620E0000}"/>
    <cellStyle name="Comma 5 2 2 2 5" xfId="3578" xr:uid="{00000000-0005-0000-0000-0000630E0000}"/>
    <cellStyle name="Comma 5 2 2 2 6" xfId="3579" xr:uid="{00000000-0005-0000-0000-0000640E0000}"/>
    <cellStyle name="Comma 5 2 2 2 7" xfId="3580" xr:uid="{00000000-0005-0000-0000-0000650E0000}"/>
    <cellStyle name="Comma 5 2 2 2 8" xfId="3581" xr:uid="{00000000-0005-0000-0000-0000660E0000}"/>
    <cellStyle name="Comma 5 2 2 2 9" xfId="3582" xr:uid="{00000000-0005-0000-0000-0000670E0000}"/>
    <cellStyle name="Comma 5 2 2 3" xfId="3583" xr:uid="{00000000-0005-0000-0000-0000680E0000}"/>
    <cellStyle name="Comma 5 2 2 3 10" xfId="3584" xr:uid="{00000000-0005-0000-0000-0000690E0000}"/>
    <cellStyle name="Comma 5 2 2 3 11" xfId="3585" xr:uid="{00000000-0005-0000-0000-00006A0E0000}"/>
    <cellStyle name="Comma 5 2 2 3 12" xfId="3586" xr:uid="{00000000-0005-0000-0000-00006B0E0000}"/>
    <cellStyle name="Comma 5 2 2 3 13" xfId="3587" xr:uid="{00000000-0005-0000-0000-00006C0E0000}"/>
    <cellStyle name="Comma 5 2 2 3 2" xfId="3588" xr:uid="{00000000-0005-0000-0000-00006D0E0000}"/>
    <cellStyle name="Comma 5 2 2 3 3" xfId="3589" xr:uid="{00000000-0005-0000-0000-00006E0E0000}"/>
    <cellStyle name="Comma 5 2 2 3 4" xfId="3590" xr:uid="{00000000-0005-0000-0000-00006F0E0000}"/>
    <cellStyle name="Comma 5 2 2 3 5" xfId="3591" xr:uid="{00000000-0005-0000-0000-0000700E0000}"/>
    <cellStyle name="Comma 5 2 2 3 6" xfId="3592" xr:uid="{00000000-0005-0000-0000-0000710E0000}"/>
    <cellStyle name="Comma 5 2 2 3 7" xfId="3593" xr:uid="{00000000-0005-0000-0000-0000720E0000}"/>
    <cellStyle name="Comma 5 2 2 3 8" xfId="3594" xr:uid="{00000000-0005-0000-0000-0000730E0000}"/>
    <cellStyle name="Comma 5 2 2 3 9" xfId="3595" xr:uid="{00000000-0005-0000-0000-0000740E0000}"/>
    <cellStyle name="Comma 5 2 2 4" xfId="3596" xr:uid="{00000000-0005-0000-0000-0000750E0000}"/>
    <cellStyle name="Comma 5 2 2 4 10" xfId="3597" xr:uid="{00000000-0005-0000-0000-0000760E0000}"/>
    <cellStyle name="Comma 5 2 2 4 11" xfId="3598" xr:uid="{00000000-0005-0000-0000-0000770E0000}"/>
    <cellStyle name="Comma 5 2 2 4 12" xfId="3599" xr:uid="{00000000-0005-0000-0000-0000780E0000}"/>
    <cellStyle name="Comma 5 2 2 4 13" xfId="3600" xr:uid="{00000000-0005-0000-0000-0000790E0000}"/>
    <cellStyle name="Comma 5 2 2 4 14" xfId="3601" xr:uid="{00000000-0005-0000-0000-00007A0E0000}"/>
    <cellStyle name="Comma 5 2 2 4 14 2" xfId="3602" xr:uid="{00000000-0005-0000-0000-00007B0E0000}"/>
    <cellStyle name="Comma 5 2 2 4 14 3" xfId="3603" xr:uid="{00000000-0005-0000-0000-00007C0E0000}"/>
    <cellStyle name="Comma 5 2 2 4 14 3 2" xfId="3604" xr:uid="{00000000-0005-0000-0000-00007D0E0000}"/>
    <cellStyle name="Comma 5 2 2 4 2" xfId="3605" xr:uid="{00000000-0005-0000-0000-00007E0E0000}"/>
    <cellStyle name="Comma 5 2 2 4 3" xfId="3606" xr:uid="{00000000-0005-0000-0000-00007F0E0000}"/>
    <cellStyle name="Comma 5 2 2 4 4" xfId="3607" xr:uid="{00000000-0005-0000-0000-0000800E0000}"/>
    <cellStyle name="Comma 5 2 2 4 5" xfId="3608" xr:uid="{00000000-0005-0000-0000-0000810E0000}"/>
    <cellStyle name="Comma 5 2 2 4 6" xfId="3609" xr:uid="{00000000-0005-0000-0000-0000820E0000}"/>
    <cellStyle name="Comma 5 2 2 4 7" xfId="3610" xr:uid="{00000000-0005-0000-0000-0000830E0000}"/>
    <cellStyle name="Comma 5 2 2 4 8" xfId="3611" xr:uid="{00000000-0005-0000-0000-0000840E0000}"/>
    <cellStyle name="Comma 5 2 2 4 9" xfId="3612" xr:uid="{00000000-0005-0000-0000-0000850E0000}"/>
    <cellStyle name="Comma 5 2 2 5" xfId="3613" xr:uid="{00000000-0005-0000-0000-0000860E0000}"/>
    <cellStyle name="Comma 5 2 2 6" xfId="3614" xr:uid="{00000000-0005-0000-0000-0000870E0000}"/>
    <cellStyle name="Comma 5 2 2 7" xfId="3615" xr:uid="{00000000-0005-0000-0000-0000880E0000}"/>
    <cellStyle name="Comma 5 2 2 8" xfId="3616" xr:uid="{00000000-0005-0000-0000-0000890E0000}"/>
    <cellStyle name="Comma 5 2 2 9" xfId="3617" xr:uid="{00000000-0005-0000-0000-00008A0E0000}"/>
    <cellStyle name="Comma 5 2 3" xfId="3618" xr:uid="{00000000-0005-0000-0000-00008B0E0000}"/>
    <cellStyle name="Comma 5 2 3 10" xfId="3619" xr:uid="{00000000-0005-0000-0000-00008C0E0000}"/>
    <cellStyle name="Comma 5 2 3 11" xfId="3620" xr:uid="{00000000-0005-0000-0000-00008D0E0000}"/>
    <cellStyle name="Comma 5 2 3 12" xfId="3621" xr:uid="{00000000-0005-0000-0000-00008E0E0000}"/>
    <cellStyle name="Comma 5 2 3 13" xfId="3622" xr:uid="{00000000-0005-0000-0000-00008F0E0000}"/>
    <cellStyle name="Comma 5 2 3 2" xfId="3623" xr:uid="{00000000-0005-0000-0000-0000900E0000}"/>
    <cellStyle name="Comma 5 2 3 3" xfId="3624" xr:uid="{00000000-0005-0000-0000-0000910E0000}"/>
    <cellStyle name="Comma 5 2 3 4" xfId="3625" xr:uid="{00000000-0005-0000-0000-0000920E0000}"/>
    <cellStyle name="Comma 5 2 3 5" xfId="3626" xr:uid="{00000000-0005-0000-0000-0000930E0000}"/>
    <cellStyle name="Comma 5 2 3 6" xfId="3627" xr:uid="{00000000-0005-0000-0000-0000940E0000}"/>
    <cellStyle name="Comma 5 2 3 7" xfId="3628" xr:uid="{00000000-0005-0000-0000-0000950E0000}"/>
    <cellStyle name="Comma 5 2 3 8" xfId="3629" xr:uid="{00000000-0005-0000-0000-0000960E0000}"/>
    <cellStyle name="Comma 5 2 3 9" xfId="3630" xr:uid="{00000000-0005-0000-0000-0000970E0000}"/>
    <cellStyle name="Comma 5 2 4" xfId="3631" xr:uid="{00000000-0005-0000-0000-0000980E0000}"/>
    <cellStyle name="Comma 5 2 5" xfId="3632" xr:uid="{00000000-0005-0000-0000-0000990E0000}"/>
    <cellStyle name="Comma 5 2 6" xfId="3633" xr:uid="{00000000-0005-0000-0000-00009A0E0000}"/>
    <cellStyle name="Comma 5 2 7" xfId="3634" xr:uid="{00000000-0005-0000-0000-00009B0E0000}"/>
    <cellStyle name="Comma 5 2 8" xfId="3635" xr:uid="{00000000-0005-0000-0000-00009C0E0000}"/>
    <cellStyle name="Comma 5 2 9" xfId="3636" xr:uid="{00000000-0005-0000-0000-00009D0E0000}"/>
    <cellStyle name="Comma 5 20" xfId="3637" xr:uid="{00000000-0005-0000-0000-00009E0E0000}"/>
    <cellStyle name="Comma 5 21" xfId="3638" xr:uid="{00000000-0005-0000-0000-00009F0E0000}"/>
    <cellStyle name="Comma 5 22" xfId="3639" xr:uid="{00000000-0005-0000-0000-0000A00E0000}"/>
    <cellStyle name="Comma 5 23" xfId="3640" xr:uid="{00000000-0005-0000-0000-0000A10E0000}"/>
    <cellStyle name="Comma 5 24" xfId="3641" xr:uid="{00000000-0005-0000-0000-0000A20E0000}"/>
    <cellStyle name="Comma 5 25" xfId="3642" xr:uid="{00000000-0005-0000-0000-0000A30E0000}"/>
    <cellStyle name="Comma 5 26" xfId="3643" xr:uid="{00000000-0005-0000-0000-0000A40E0000}"/>
    <cellStyle name="Comma 5 27" xfId="3644" xr:uid="{00000000-0005-0000-0000-0000A50E0000}"/>
    <cellStyle name="Comma 5 28" xfId="3645" xr:uid="{00000000-0005-0000-0000-0000A60E0000}"/>
    <cellStyle name="Comma 5 29" xfId="3646" xr:uid="{00000000-0005-0000-0000-0000A70E0000}"/>
    <cellStyle name="Comma 5 3" xfId="3647" xr:uid="{00000000-0005-0000-0000-0000A80E0000}"/>
    <cellStyle name="Comma 5 3 10" xfId="3648" xr:uid="{00000000-0005-0000-0000-0000A90E0000}"/>
    <cellStyle name="Comma 5 3 11" xfId="3649" xr:uid="{00000000-0005-0000-0000-0000AA0E0000}"/>
    <cellStyle name="Comma 5 3 12" xfId="3650" xr:uid="{00000000-0005-0000-0000-0000AB0E0000}"/>
    <cellStyle name="Comma 5 3 13" xfId="3651" xr:uid="{00000000-0005-0000-0000-0000AC0E0000}"/>
    <cellStyle name="Comma 5 3 14" xfId="3652" xr:uid="{00000000-0005-0000-0000-0000AD0E0000}"/>
    <cellStyle name="Comma 5 3 15" xfId="3653" xr:uid="{00000000-0005-0000-0000-0000AE0E0000}"/>
    <cellStyle name="Comma 5 3 16" xfId="3654" xr:uid="{00000000-0005-0000-0000-0000AF0E0000}"/>
    <cellStyle name="Comma 5 3 17" xfId="3655" xr:uid="{00000000-0005-0000-0000-0000B00E0000}"/>
    <cellStyle name="Comma 5 3 2" xfId="3656" xr:uid="{00000000-0005-0000-0000-0000B10E0000}"/>
    <cellStyle name="Comma 5 3 3" xfId="3657" xr:uid="{00000000-0005-0000-0000-0000B20E0000}"/>
    <cellStyle name="Comma 5 3 4" xfId="3658" xr:uid="{00000000-0005-0000-0000-0000B30E0000}"/>
    <cellStyle name="Comma 5 3 5" xfId="3659" xr:uid="{00000000-0005-0000-0000-0000B40E0000}"/>
    <cellStyle name="Comma 5 3 6" xfId="3660" xr:uid="{00000000-0005-0000-0000-0000B50E0000}"/>
    <cellStyle name="Comma 5 3 7" xfId="3661" xr:uid="{00000000-0005-0000-0000-0000B60E0000}"/>
    <cellStyle name="Comma 5 3 8" xfId="3662" xr:uid="{00000000-0005-0000-0000-0000B70E0000}"/>
    <cellStyle name="Comma 5 3 9" xfId="3663" xr:uid="{00000000-0005-0000-0000-0000B80E0000}"/>
    <cellStyle name="Comma 5 30" xfId="3664" xr:uid="{00000000-0005-0000-0000-0000B90E0000}"/>
    <cellStyle name="Comma 5 31" xfId="3665" xr:uid="{00000000-0005-0000-0000-0000BA0E0000}"/>
    <cellStyle name="Comma 5 32" xfId="3666" xr:uid="{00000000-0005-0000-0000-0000BB0E0000}"/>
    <cellStyle name="Comma 5 33" xfId="3667" xr:uid="{00000000-0005-0000-0000-0000BC0E0000}"/>
    <cellStyle name="Comma 5 34" xfId="3668" xr:uid="{00000000-0005-0000-0000-0000BD0E0000}"/>
    <cellStyle name="Comma 5 35" xfId="3669" xr:uid="{00000000-0005-0000-0000-0000BE0E0000}"/>
    <cellStyle name="Comma 5 36" xfId="3670" xr:uid="{00000000-0005-0000-0000-0000BF0E0000}"/>
    <cellStyle name="Comma 5 37" xfId="3671" xr:uid="{00000000-0005-0000-0000-0000C00E0000}"/>
    <cellStyle name="Comma 5 38" xfId="3672" xr:uid="{00000000-0005-0000-0000-0000C10E0000}"/>
    <cellStyle name="Comma 5 39" xfId="3673" xr:uid="{00000000-0005-0000-0000-0000C20E0000}"/>
    <cellStyle name="Comma 5 4" xfId="3674" xr:uid="{00000000-0005-0000-0000-0000C30E0000}"/>
    <cellStyle name="Comma 5 40" xfId="3675" xr:uid="{00000000-0005-0000-0000-0000C40E0000}"/>
    <cellStyle name="Comma 5 41" xfId="3676" xr:uid="{00000000-0005-0000-0000-0000C50E0000}"/>
    <cellStyle name="Comma 5 42" xfId="3677" xr:uid="{00000000-0005-0000-0000-0000C60E0000}"/>
    <cellStyle name="Comma 5 43" xfId="3678" xr:uid="{00000000-0005-0000-0000-0000C70E0000}"/>
    <cellStyle name="Comma 5 44" xfId="3679" xr:uid="{00000000-0005-0000-0000-0000C80E0000}"/>
    <cellStyle name="Comma 5 45" xfId="3680" xr:uid="{00000000-0005-0000-0000-0000C90E0000}"/>
    <cellStyle name="Comma 5 46" xfId="3681" xr:uid="{00000000-0005-0000-0000-0000CA0E0000}"/>
    <cellStyle name="Comma 5 47" xfId="3682" xr:uid="{00000000-0005-0000-0000-0000CB0E0000}"/>
    <cellStyle name="Comma 5 48" xfId="3683" xr:uid="{00000000-0005-0000-0000-0000CC0E0000}"/>
    <cellStyle name="Comma 5 49" xfId="3684" xr:uid="{00000000-0005-0000-0000-0000CD0E0000}"/>
    <cellStyle name="Comma 5 5" xfId="3685" xr:uid="{00000000-0005-0000-0000-0000CE0E0000}"/>
    <cellStyle name="Comma 5 50" xfId="3686" xr:uid="{00000000-0005-0000-0000-0000CF0E0000}"/>
    <cellStyle name="Comma 5 51" xfId="3687" xr:uid="{00000000-0005-0000-0000-0000D00E0000}"/>
    <cellStyle name="Comma 5 52" xfId="3688" xr:uid="{00000000-0005-0000-0000-0000D10E0000}"/>
    <cellStyle name="Comma 5 53" xfId="3689" xr:uid="{00000000-0005-0000-0000-0000D20E0000}"/>
    <cellStyle name="Comma 5 54" xfId="3690" xr:uid="{00000000-0005-0000-0000-0000D30E0000}"/>
    <cellStyle name="Comma 5 55" xfId="3691" xr:uid="{00000000-0005-0000-0000-0000D40E0000}"/>
    <cellStyle name="Comma 5 56" xfId="3692" xr:uid="{00000000-0005-0000-0000-0000D50E0000}"/>
    <cellStyle name="Comma 5 57" xfId="3693" xr:uid="{00000000-0005-0000-0000-0000D60E0000}"/>
    <cellStyle name="Comma 5 58" xfId="3694" xr:uid="{00000000-0005-0000-0000-0000D70E0000}"/>
    <cellStyle name="Comma 5 59" xfId="3695" xr:uid="{00000000-0005-0000-0000-0000D80E0000}"/>
    <cellStyle name="Comma 5 6" xfId="3696" xr:uid="{00000000-0005-0000-0000-0000D90E0000}"/>
    <cellStyle name="Comma 5 60" xfId="3697" xr:uid="{00000000-0005-0000-0000-0000DA0E0000}"/>
    <cellStyle name="Comma 5 61" xfId="3698" xr:uid="{00000000-0005-0000-0000-0000DB0E0000}"/>
    <cellStyle name="Comma 5 62" xfId="3699" xr:uid="{00000000-0005-0000-0000-0000DC0E0000}"/>
    <cellStyle name="Comma 5 63" xfId="3700" xr:uid="{00000000-0005-0000-0000-0000DD0E0000}"/>
    <cellStyle name="Comma 5 64" xfId="3701" xr:uid="{00000000-0005-0000-0000-0000DE0E0000}"/>
    <cellStyle name="Comma 5 65" xfId="3702" xr:uid="{00000000-0005-0000-0000-0000DF0E0000}"/>
    <cellStyle name="Comma 5 66" xfId="3703" xr:uid="{00000000-0005-0000-0000-0000E00E0000}"/>
    <cellStyle name="Comma 5 67" xfId="3704" xr:uid="{00000000-0005-0000-0000-0000E10E0000}"/>
    <cellStyle name="Comma 5 68" xfId="3705" xr:uid="{00000000-0005-0000-0000-0000E20E0000}"/>
    <cellStyle name="Comma 5 69" xfId="3706" xr:uid="{00000000-0005-0000-0000-0000E30E0000}"/>
    <cellStyle name="Comma 5 7" xfId="3707" xr:uid="{00000000-0005-0000-0000-0000E40E0000}"/>
    <cellStyle name="Comma 5 70" xfId="3708" xr:uid="{00000000-0005-0000-0000-0000E50E0000}"/>
    <cellStyle name="Comma 5 71" xfId="3709" xr:uid="{00000000-0005-0000-0000-0000E60E0000}"/>
    <cellStyle name="Comma 5 72" xfId="3710" xr:uid="{00000000-0005-0000-0000-0000E70E0000}"/>
    <cellStyle name="Comma 5 73" xfId="3711" xr:uid="{00000000-0005-0000-0000-0000E80E0000}"/>
    <cellStyle name="Comma 5 74" xfId="3712" xr:uid="{00000000-0005-0000-0000-0000E90E0000}"/>
    <cellStyle name="Comma 5 75" xfId="3713" xr:uid="{00000000-0005-0000-0000-0000EA0E0000}"/>
    <cellStyle name="Comma 5 76" xfId="3714" xr:uid="{00000000-0005-0000-0000-0000EB0E0000}"/>
    <cellStyle name="Comma 5 77" xfId="3715" xr:uid="{00000000-0005-0000-0000-0000EC0E0000}"/>
    <cellStyle name="Comma 5 78" xfId="3716" xr:uid="{00000000-0005-0000-0000-0000ED0E0000}"/>
    <cellStyle name="Comma 5 8" xfId="3717" xr:uid="{00000000-0005-0000-0000-0000EE0E0000}"/>
    <cellStyle name="Comma 5 9" xfId="3718" xr:uid="{00000000-0005-0000-0000-0000EF0E0000}"/>
    <cellStyle name="Comma 6" xfId="3719" xr:uid="{00000000-0005-0000-0000-0000F00E0000}"/>
    <cellStyle name="Comma 6 10" xfId="3720" xr:uid="{00000000-0005-0000-0000-0000F10E0000}"/>
    <cellStyle name="Comma 6 11" xfId="3721" xr:uid="{00000000-0005-0000-0000-0000F20E0000}"/>
    <cellStyle name="Comma 6 12" xfId="3722" xr:uid="{00000000-0005-0000-0000-0000F30E0000}"/>
    <cellStyle name="Comma 6 13" xfId="3723" xr:uid="{00000000-0005-0000-0000-0000F40E0000}"/>
    <cellStyle name="Comma 6 14" xfId="3724" xr:uid="{00000000-0005-0000-0000-0000F50E0000}"/>
    <cellStyle name="Comma 6 15" xfId="3725" xr:uid="{00000000-0005-0000-0000-0000F60E0000}"/>
    <cellStyle name="Comma 6 16" xfId="3726" xr:uid="{00000000-0005-0000-0000-0000F70E0000}"/>
    <cellStyle name="Comma 6 17" xfId="3727" xr:uid="{00000000-0005-0000-0000-0000F80E0000}"/>
    <cellStyle name="Comma 6 18" xfId="3728" xr:uid="{00000000-0005-0000-0000-0000F90E0000}"/>
    <cellStyle name="Comma 6 2" xfId="3729" xr:uid="{00000000-0005-0000-0000-0000FA0E0000}"/>
    <cellStyle name="Comma 6 2 10" xfId="3730" xr:uid="{00000000-0005-0000-0000-0000FB0E0000}"/>
    <cellStyle name="Comma 6 2 11" xfId="3731" xr:uid="{00000000-0005-0000-0000-0000FC0E0000}"/>
    <cellStyle name="Comma 6 2 12" xfId="3732" xr:uid="{00000000-0005-0000-0000-0000FD0E0000}"/>
    <cellStyle name="Comma 6 2 13" xfId="3733" xr:uid="{00000000-0005-0000-0000-0000FE0E0000}"/>
    <cellStyle name="Comma 6 2 2" xfId="3734" xr:uid="{00000000-0005-0000-0000-0000FF0E0000}"/>
    <cellStyle name="Comma 6 2 3" xfId="3735" xr:uid="{00000000-0005-0000-0000-0000000F0000}"/>
    <cellStyle name="Comma 6 2 4" xfId="3736" xr:uid="{00000000-0005-0000-0000-0000010F0000}"/>
    <cellStyle name="Comma 6 2 5" xfId="3737" xr:uid="{00000000-0005-0000-0000-0000020F0000}"/>
    <cellStyle name="Comma 6 2 6" xfId="3738" xr:uid="{00000000-0005-0000-0000-0000030F0000}"/>
    <cellStyle name="Comma 6 2 7" xfId="3739" xr:uid="{00000000-0005-0000-0000-0000040F0000}"/>
    <cellStyle name="Comma 6 2 8" xfId="3740" xr:uid="{00000000-0005-0000-0000-0000050F0000}"/>
    <cellStyle name="Comma 6 2 9" xfId="3741" xr:uid="{00000000-0005-0000-0000-0000060F0000}"/>
    <cellStyle name="Comma 6 3" xfId="3742" xr:uid="{00000000-0005-0000-0000-0000070F0000}"/>
    <cellStyle name="Comma 6 4" xfId="3743" xr:uid="{00000000-0005-0000-0000-0000080F0000}"/>
    <cellStyle name="Comma 6 5" xfId="3744" xr:uid="{00000000-0005-0000-0000-0000090F0000}"/>
    <cellStyle name="Comma 6 6" xfId="3745" xr:uid="{00000000-0005-0000-0000-00000A0F0000}"/>
    <cellStyle name="Comma 6 7" xfId="3746" xr:uid="{00000000-0005-0000-0000-00000B0F0000}"/>
    <cellStyle name="Comma 6 8" xfId="3747" xr:uid="{00000000-0005-0000-0000-00000C0F0000}"/>
    <cellStyle name="Comma 6 9" xfId="3748" xr:uid="{00000000-0005-0000-0000-00000D0F0000}"/>
    <cellStyle name="Comma 7" xfId="3749" xr:uid="{00000000-0005-0000-0000-00000E0F0000}"/>
    <cellStyle name="Comma 7 10" xfId="3750" xr:uid="{00000000-0005-0000-0000-00000F0F0000}"/>
    <cellStyle name="Comma 7 11" xfId="3751" xr:uid="{00000000-0005-0000-0000-0000100F0000}"/>
    <cellStyle name="Comma 7 12" xfId="3752" xr:uid="{00000000-0005-0000-0000-0000110F0000}"/>
    <cellStyle name="Comma 7 13" xfId="3753" xr:uid="{00000000-0005-0000-0000-0000120F0000}"/>
    <cellStyle name="Comma 7 2" xfId="3754" xr:uid="{00000000-0005-0000-0000-0000130F0000}"/>
    <cellStyle name="Comma 7 3" xfId="3755" xr:uid="{00000000-0005-0000-0000-0000140F0000}"/>
    <cellStyle name="Comma 7 4" xfId="3756" xr:uid="{00000000-0005-0000-0000-0000150F0000}"/>
    <cellStyle name="Comma 7 5" xfId="3757" xr:uid="{00000000-0005-0000-0000-0000160F0000}"/>
    <cellStyle name="Comma 7 6" xfId="3758" xr:uid="{00000000-0005-0000-0000-0000170F0000}"/>
    <cellStyle name="Comma 7 7" xfId="3759" xr:uid="{00000000-0005-0000-0000-0000180F0000}"/>
    <cellStyle name="Comma 7 8" xfId="3760" xr:uid="{00000000-0005-0000-0000-0000190F0000}"/>
    <cellStyle name="Comma 7 9" xfId="3761" xr:uid="{00000000-0005-0000-0000-00001A0F0000}"/>
    <cellStyle name="Comma 8" xfId="3762" xr:uid="{00000000-0005-0000-0000-00001B0F0000}"/>
    <cellStyle name="Comma 8 2" xfId="42155" xr:uid="{00000000-0005-0000-0000-00001C0F0000}"/>
    <cellStyle name="Comma 8 3" xfId="42156" xr:uid="{00000000-0005-0000-0000-00001D0F0000}"/>
    <cellStyle name="Comma 9" xfId="3763" xr:uid="{00000000-0005-0000-0000-00001E0F0000}"/>
    <cellStyle name="Comma*" xfId="3764" xr:uid="{00000000-0005-0000-0000-00001F0F0000}"/>
    <cellStyle name="comma[0]" xfId="3765" xr:uid="{00000000-0005-0000-0000-0000200F0000}"/>
    <cellStyle name="Comma0" xfId="3766" xr:uid="{00000000-0005-0000-0000-0000210F0000}"/>
    <cellStyle name="Comma1" xfId="3767" xr:uid="{00000000-0005-0000-0000-0000220F0000}"/>
    <cellStyle name="Comma2" xfId="3768" xr:uid="{00000000-0005-0000-0000-0000230F0000}"/>
    <cellStyle name="Comment" xfId="3769" xr:uid="{00000000-0005-0000-0000-0000240F0000}"/>
    <cellStyle name="CompanyName" xfId="3770" xr:uid="{00000000-0005-0000-0000-0000250F0000}"/>
    <cellStyle name="Copied" xfId="3771" xr:uid="{00000000-0005-0000-0000-0000260F0000}"/>
    <cellStyle name="Copy0_" xfId="3772" xr:uid="{00000000-0005-0000-0000-0000270F0000}"/>
    <cellStyle name="Copy1_" xfId="3773" xr:uid="{00000000-0005-0000-0000-0000280F0000}"/>
    <cellStyle name="Copy2_" xfId="3774" xr:uid="{00000000-0005-0000-0000-0000290F0000}"/>
    <cellStyle name="CountryTitle" xfId="3775" xr:uid="{00000000-0005-0000-0000-00002A0F0000}"/>
    <cellStyle name="Currency" xfId="42050" builtinId="4"/>
    <cellStyle name="Currency - two places" xfId="3776" xr:uid="{00000000-0005-0000-0000-00002C0F0000}"/>
    <cellStyle name="Currency (0)" xfId="3777" xr:uid="{00000000-0005-0000-0000-00002D0F0000}"/>
    <cellStyle name="Currency (2)" xfId="3778" xr:uid="{00000000-0005-0000-0000-00002E0F0000}"/>
    <cellStyle name="Currency [0.00]" xfId="3779" xr:uid="{00000000-0005-0000-0000-00002F0F0000}"/>
    <cellStyle name="Currency 0" xfId="3780" xr:uid="{00000000-0005-0000-0000-0000300F0000}"/>
    <cellStyle name="Currency 2" xfId="3781" xr:uid="{00000000-0005-0000-0000-0000310F0000}"/>
    <cellStyle name="Currency 2 2" xfId="3782" xr:uid="{00000000-0005-0000-0000-0000320F0000}"/>
    <cellStyle name="Currency 2 2 2" xfId="42157" xr:uid="{00000000-0005-0000-0000-0000330F0000}"/>
    <cellStyle name="Currency 2 2 3" xfId="42158" xr:uid="{00000000-0005-0000-0000-0000340F0000}"/>
    <cellStyle name="Currency 2 3" xfId="42159" xr:uid="{00000000-0005-0000-0000-0000350F0000}"/>
    <cellStyle name="Currency 2 4" xfId="42160" xr:uid="{00000000-0005-0000-0000-0000360F0000}"/>
    <cellStyle name="Currency 2 5" xfId="42161" xr:uid="{00000000-0005-0000-0000-0000370F0000}"/>
    <cellStyle name="Currency 2 6" xfId="42162" xr:uid="{00000000-0005-0000-0000-0000380F0000}"/>
    <cellStyle name="Currency 2 7" xfId="42163" xr:uid="{00000000-0005-0000-0000-0000390F0000}"/>
    <cellStyle name="Currency 2 8" xfId="42164" xr:uid="{00000000-0005-0000-0000-00003A0F0000}"/>
    <cellStyle name="Currency 2*" xfId="3783" xr:uid="{00000000-0005-0000-0000-00003B0F0000}"/>
    <cellStyle name="Currency 2_Model_Sep_2_02" xfId="3784" xr:uid="{00000000-0005-0000-0000-00003C0F0000}"/>
    <cellStyle name="Currency 3" xfId="3785" xr:uid="{00000000-0005-0000-0000-00003D0F0000}"/>
    <cellStyle name="Currency 3 10" xfId="42165" xr:uid="{00000000-0005-0000-0000-00003E0F0000}"/>
    <cellStyle name="Currency 3 11" xfId="42166" xr:uid="{00000000-0005-0000-0000-00003F0F0000}"/>
    <cellStyle name="Currency 3 12" xfId="42167" xr:uid="{00000000-0005-0000-0000-0000400F0000}"/>
    <cellStyle name="Currency 3 13" xfId="42168" xr:uid="{00000000-0005-0000-0000-0000410F0000}"/>
    <cellStyle name="Currency 3 14" xfId="42169" xr:uid="{00000000-0005-0000-0000-0000420F0000}"/>
    <cellStyle name="Currency 3 15" xfId="42170" xr:uid="{00000000-0005-0000-0000-0000430F0000}"/>
    <cellStyle name="Currency 3 16" xfId="42171" xr:uid="{00000000-0005-0000-0000-0000440F0000}"/>
    <cellStyle name="Currency 3 2" xfId="42172" xr:uid="{00000000-0005-0000-0000-0000450F0000}"/>
    <cellStyle name="Currency 3 3" xfId="42173" xr:uid="{00000000-0005-0000-0000-0000460F0000}"/>
    <cellStyle name="Currency 3 4" xfId="42174" xr:uid="{00000000-0005-0000-0000-0000470F0000}"/>
    <cellStyle name="Currency 3 5" xfId="42175" xr:uid="{00000000-0005-0000-0000-0000480F0000}"/>
    <cellStyle name="Currency 3 6" xfId="42176" xr:uid="{00000000-0005-0000-0000-0000490F0000}"/>
    <cellStyle name="Currency 3 7" xfId="42177" xr:uid="{00000000-0005-0000-0000-00004A0F0000}"/>
    <cellStyle name="Currency 3 8" xfId="42178" xr:uid="{00000000-0005-0000-0000-00004B0F0000}"/>
    <cellStyle name="Currency 3 9" xfId="42179" xr:uid="{00000000-0005-0000-0000-00004C0F0000}"/>
    <cellStyle name="Currency 3*" xfId="3786" xr:uid="{00000000-0005-0000-0000-00004D0F0000}"/>
    <cellStyle name="Currency 4" xfId="3787" xr:uid="{00000000-0005-0000-0000-00004E0F0000}"/>
    <cellStyle name="Currency 5" xfId="3788" xr:uid="{00000000-0005-0000-0000-00004F0F0000}"/>
    <cellStyle name="Currency*" xfId="3789" xr:uid="{00000000-0005-0000-0000-0000500F0000}"/>
    <cellStyle name="Currency0" xfId="3790" xr:uid="{00000000-0005-0000-0000-0000510F0000}"/>
    <cellStyle name="d_yield" xfId="3791" xr:uid="{00000000-0005-0000-0000-0000520F0000}"/>
    <cellStyle name="Dash" xfId="3792" xr:uid="{00000000-0005-0000-0000-0000530F0000}"/>
    <cellStyle name="Date" xfId="3793" xr:uid="{00000000-0005-0000-0000-0000540F0000}"/>
    <cellStyle name="Date 2" xfId="3794" xr:uid="{00000000-0005-0000-0000-0000550F0000}"/>
    <cellStyle name="Date Aligned" xfId="3795" xr:uid="{00000000-0005-0000-0000-0000560F0000}"/>
    <cellStyle name="Date Aligned*" xfId="3796" xr:uid="{00000000-0005-0000-0000-0000570F0000}"/>
    <cellStyle name="Date Aligned_Model_Sep_2_02" xfId="3797" xr:uid="{00000000-0005-0000-0000-0000580F0000}"/>
    <cellStyle name="date title" xfId="3798" xr:uid="{00000000-0005-0000-0000-0000590F0000}"/>
    <cellStyle name="Date_0910 GSO Capex RRP - Final (Detail) v2 220710" xfId="3799" xr:uid="{00000000-0005-0000-0000-00005A0F0000}"/>
    <cellStyle name="DateFormat" xfId="3800" xr:uid="{00000000-0005-0000-0000-00005B0F0000}"/>
    <cellStyle name="DateLong" xfId="42180" xr:uid="{00000000-0005-0000-0000-00005C0F0000}"/>
    <cellStyle name="DateShort" xfId="42181" xr:uid="{00000000-0005-0000-0000-00005D0F0000}"/>
    <cellStyle name="Dec places 0" xfId="3801" xr:uid="{00000000-0005-0000-0000-00005E0F0000}"/>
    <cellStyle name="Dec places 1, millions" xfId="3802" xr:uid="{00000000-0005-0000-0000-00005F0F0000}"/>
    <cellStyle name="Dec places 2" xfId="3803" xr:uid="{00000000-0005-0000-0000-0000600F0000}"/>
    <cellStyle name="Dec places 2, millions" xfId="3804" xr:uid="{00000000-0005-0000-0000-0000610F0000}"/>
    <cellStyle name="Dec places 2_Draft RIIO plan presentation template - Customer Opsx Centre V7" xfId="3805" xr:uid="{00000000-0005-0000-0000-0000620F0000}"/>
    <cellStyle name="Dezimal [0]_Anschreiben" xfId="3806" xr:uid="{00000000-0005-0000-0000-0000630F0000}"/>
    <cellStyle name="Dezimal_Anschreiben" xfId="3807" xr:uid="{00000000-0005-0000-0000-0000640F0000}"/>
    <cellStyle name="Directors" xfId="3808" xr:uid="{00000000-0005-0000-0000-0000650F0000}"/>
    <cellStyle name="dollar" xfId="3809" xr:uid="{00000000-0005-0000-0000-0000660F0000}"/>
    <cellStyle name="dollar[0]" xfId="3810" xr:uid="{00000000-0005-0000-0000-0000670F0000}"/>
    <cellStyle name="dollar_Draft RIIO plan presentation template - Customer Opsx Centre V7" xfId="3811" xr:uid="{00000000-0005-0000-0000-0000680F0000}"/>
    <cellStyle name="done" xfId="3812" xr:uid="{00000000-0005-0000-0000-0000690F0000}"/>
    <cellStyle name="Dotted Line" xfId="3813" xr:uid="{00000000-0005-0000-0000-00006A0F0000}"/>
    <cellStyle name="DOWNFOOT" xfId="3814" xr:uid="{00000000-0005-0000-0000-00006B0F0000}"/>
    <cellStyle name="DP 0, no commas" xfId="3815" xr:uid="{00000000-0005-0000-0000-00006C0F0000}"/>
    <cellStyle name="Dziesiêtny [0]_1" xfId="3816" xr:uid="{00000000-0005-0000-0000-00006D0F0000}"/>
    <cellStyle name="Dziesiêtny_1" xfId="3817" xr:uid="{00000000-0005-0000-0000-00006E0F0000}"/>
    <cellStyle name="Emphasis 1" xfId="3818" xr:uid="{00000000-0005-0000-0000-00006F0F0000}"/>
    <cellStyle name="Emphasis 2" xfId="3819" xr:uid="{00000000-0005-0000-0000-0000700F0000}"/>
    <cellStyle name="Emphasis 3" xfId="3820" xr:uid="{00000000-0005-0000-0000-0000710F0000}"/>
    <cellStyle name="Entered" xfId="3821" xr:uid="{00000000-0005-0000-0000-0000720F0000}"/>
    <cellStyle name="eps" xfId="3822" xr:uid="{00000000-0005-0000-0000-0000730F0000}"/>
    <cellStyle name="eps$" xfId="3823" xr:uid="{00000000-0005-0000-0000-0000740F0000}"/>
    <cellStyle name="eps$A" xfId="3824" xr:uid="{00000000-0005-0000-0000-0000750F0000}"/>
    <cellStyle name="eps$E" xfId="3825" xr:uid="{00000000-0005-0000-0000-0000760F0000}"/>
    <cellStyle name="epsA" xfId="3826" xr:uid="{00000000-0005-0000-0000-0000770F0000}"/>
    <cellStyle name="epsE" xfId="3827" xr:uid="{00000000-0005-0000-0000-0000780F0000}"/>
    <cellStyle name="Euro" xfId="3828" xr:uid="{00000000-0005-0000-0000-0000790F0000}"/>
    <cellStyle name="Euro billion" xfId="3829" xr:uid="{00000000-0005-0000-0000-00007A0F0000}"/>
    <cellStyle name="Euro million" xfId="3830" xr:uid="{00000000-0005-0000-0000-00007B0F0000}"/>
    <cellStyle name="Euro thousand" xfId="3831" xr:uid="{00000000-0005-0000-0000-00007C0F0000}"/>
    <cellStyle name="Euro_Allocated Opex " xfId="3832" xr:uid="{00000000-0005-0000-0000-00007D0F0000}"/>
    <cellStyle name="Explanatory Text 2" xfId="3833" xr:uid="{00000000-0005-0000-0000-00007E0F0000}"/>
    <cellStyle name="Explanatory Text 3" xfId="3834" xr:uid="{00000000-0005-0000-0000-00007F0F0000}"/>
    <cellStyle name="EYBlocked" xfId="3835" xr:uid="{00000000-0005-0000-0000-0000800F0000}"/>
    <cellStyle name="EYCallUp" xfId="3836" xr:uid="{00000000-0005-0000-0000-0000810F0000}"/>
    <cellStyle name="EYCheck" xfId="3837" xr:uid="{00000000-0005-0000-0000-0000820F0000}"/>
    <cellStyle name="EYDate" xfId="3838" xr:uid="{00000000-0005-0000-0000-0000830F0000}"/>
    <cellStyle name="EYDeviant" xfId="3839" xr:uid="{00000000-0005-0000-0000-0000840F0000}"/>
    <cellStyle name="EYHeader1" xfId="3840" xr:uid="{00000000-0005-0000-0000-0000850F0000}"/>
    <cellStyle name="EYHeader2" xfId="3841" xr:uid="{00000000-0005-0000-0000-0000860F0000}"/>
    <cellStyle name="EYHeader3" xfId="3842" xr:uid="{00000000-0005-0000-0000-0000870F0000}"/>
    <cellStyle name="EYInputDate" xfId="3843" xr:uid="{00000000-0005-0000-0000-0000880F0000}"/>
    <cellStyle name="EYInputPercent" xfId="3844" xr:uid="{00000000-0005-0000-0000-0000890F0000}"/>
    <cellStyle name="EYInputValue" xfId="3845" xr:uid="{00000000-0005-0000-0000-00008A0F0000}"/>
    <cellStyle name="EYNormal" xfId="3846" xr:uid="{00000000-0005-0000-0000-00008B0F0000}"/>
    <cellStyle name="EYPercent" xfId="3847" xr:uid="{00000000-0005-0000-0000-00008C0F0000}"/>
    <cellStyle name="EYPercentCapped" xfId="3848" xr:uid="{00000000-0005-0000-0000-00008D0F0000}"/>
    <cellStyle name="EYSubTotal" xfId="3849" xr:uid="{00000000-0005-0000-0000-00008E0F0000}"/>
    <cellStyle name="EYTotal" xfId="3850" xr:uid="{00000000-0005-0000-0000-00008F0F0000}"/>
    <cellStyle name="EYWIP" xfId="3851" xr:uid="{00000000-0005-0000-0000-0000900F0000}"/>
    <cellStyle name="Ezres [0]_Munka1" xfId="3852" xr:uid="{00000000-0005-0000-0000-0000910F0000}"/>
    <cellStyle name="Ezres_Munka1" xfId="3853" xr:uid="{00000000-0005-0000-0000-0000920F0000}"/>
    <cellStyle name="F2" xfId="3854" xr:uid="{00000000-0005-0000-0000-0000930F0000}"/>
    <cellStyle name="F3" xfId="3855" xr:uid="{00000000-0005-0000-0000-0000940F0000}"/>
    <cellStyle name="F4" xfId="3856" xr:uid="{00000000-0005-0000-0000-0000950F0000}"/>
    <cellStyle name="F5" xfId="3857" xr:uid="{00000000-0005-0000-0000-0000960F0000}"/>
    <cellStyle name="F6" xfId="3858" xr:uid="{00000000-0005-0000-0000-0000970F0000}"/>
    <cellStyle name="F7" xfId="3859" xr:uid="{00000000-0005-0000-0000-0000980F0000}"/>
    <cellStyle name="F8" xfId="3860" xr:uid="{00000000-0005-0000-0000-0000990F0000}"/>
    <cellStyle name="Factor" xfId="42182" xr:uid="{00000000-0005-0000-0000-00009A0F0000}"/>
    <cellStyle name="FieldName" xfId="3861" xr:uid="{00000000-0005-0000-0000-00009B0F0000}"/>
    <cellStyle name="Fixed" xfId="3862" xr:uid="{00000000-0005-0000-0000-00009C0F0000}"/>
    <cellStyle name="Font size 12 (bold)" xfId="3863" xr:uid="{00000000-0005-0000-0000-00009D0F0000}"/>
    <cellStyle name="font size 8 (bold)" xfId="3864" xr:uid="{00000000-0005-0000-0000-00009E0F0000}"/>
    <cellStyle name="FOOTER - Style1" xfId="3865" xr:uid="{00000000-0005-0000-0000-00009F0F0000}"/>
    <cellStyle name="Footnote" xfId="3866" xr:uid="{00000000-0005-0000-0000-0000A00F0000}"/>
    <cellStyle name="FORECAST" xfId="3867" xr:uid="{00000000-0005-0000-0000-0000A10F0000}"/>
    <cellStyle name="Frm" xfId="3868" xr:uid="{00000000-0005-0000-0000-0000A20F0000}"/>
    <cellStyle name="Frontier" xfId="3869" xr:uid="{00000000-0005-0000-0000-0000A30F0000}"/>
    <cellStyle name="fy_eps$" xfId="3870" xr:uid="{00000000-0005-0000-0000-0000A40F0000}"/>
    <cellStyle name="g_rate" xfId="3871" xr:uid="{00000000-0005-0000-0000-0000A50F0000}"/>
    <cellStyle name="GBP" xfId="3872" xr:uid="{00000000-0005-0000-0000-0000A60F0000}"/>
    <cellStyle name="GBP billion" xfId="3873" xr:uid="{00000000-0005-0000-0000-0000A70F0000}"/>
    <cellStyle name="GBP million" xfId="3874" xr:uid="{00000000-0005-0000-0000-0000A80F0000}"/>
    <cellStyle name="GBP thousand" xfId="3875" xr:uid="{00000000-0005-0000-0000-0000A90F0000}"/>
    <cellStyle name="General" xfId="3876" xr:uid="{00000000-0005-0000-0000-0000AA0F0000}"/>
    <cellStyle name="Good 2" xfId="3877" xr:uid="{00000000-0005-0000-0000-0000AB0F0000}"/>
    <cellStyle name="Good 3" xfId="3878" xr:uid="{00000000-0005-0000-0000-0000AC0F0000}"/>
    <cellStyle name="gray text cells" xfId="3879" xr:uid="{00000000-0005-0000-0000-0000AD0F0000}"/>
    <cellStyle name="Grey" xfId="3880" xr:uid="{00000000-0005-0000-0000-0000AE0F0000}"/>
    <cellStyle name="GreyOrWhite" xfId="3881" xr:uid="{00000000-0005-0000-0000-0000AF0F0000}"/>
    <cellStyle name="GreyOrWhite 2" xfId="42183" xr:uid="{00000000-0005-0000-0000-0000B00F0000}"/>
    <cellStyle name="GreyOrWhite 2 2" xfId="42184" xr:uid="{00000000-0005-0000-0000-0000B10F0000}"/>
    <cellStyle name="GreyOrWhite 2 3" xfId="42185" xr:uid="{00000000-0005-0000-0000-0000B20F0000}"/>
    <cellStyle name="GreyOrWhite 2 4" xfId="42186" xr:uid="{00000000-0005-0000-0000-0000B30F0000}"/>
    <cellStyle name="GreyOrWhite 2 5" xfId="42187" xr:uid="{00000000-0005-0000-0000-0000B40F0000}"/>
    <cellStyle name="GreyOrWhite 2 6" xfId="42188" xr:uid="{00000000-0005-0000-0000-0000B50F0000}"/>
    <cellStyle name="GreyOrWhite 2 7" xfId="42189" xr:uid="{00000000-0005-0000-0000-0000B60F0000}"/>
    <cellStyle name="GreyOrWhite 2 8" xfId="42190" xr:uid="{00000000-0005-0000-0000-0000B70F0000}"/>
    <cellStyle name="hard no." xfId="3882" xr:uid="{00000000-0005-0000-0000-0000B80F0000}"/>
    <cellStyle name="Hard Percent" xfId="3883" xr:uid="{00000000-0005-0000-0000-0000B90F0000}"/>
    <cellStyle name="Header" xfId="3884" xr:uid="{00000000-0005-0000-0000-0000BA0F0000}"/>
    <cellStyle name="Header1" xfId="3885" xr:uid="{00000000-0005-0000-0000-0000BB0F0000}"/>
    <cellStyle name="Header2" xfId="3886" xr:uid="{00000000-0005-0000-0000-0000BC0F0000}"/>
    <cellStyle name="Heading" xfId="3887" xr:uid="{00000000-0005-0000-0000-0000BD0F0000}"/>
    <cellStyle name="Heading 1 2" xfId="3888" xr:uid="{00000000-0005-0000-0000-0000BE0F0000}"/>
    <cellStyle name="Heading 1 3" xfId="3889" xr:uid="{00000000-0005-0000-0000-0000BF0F0000}"/>
    <cellStyle name="Heading 2 2" xfId="3890" xr:uid="{00000000-0005-0000-0000-0000C00F0000}"/>
    <cellStyle name="Heading 2 3" xfId="3891" xr:uid="{00000000-0005-0000-0000-0000C10F0000}"/>
    <cellStyle name="Heading 3 2" xfId="3892" xr:uid="{00000000-0005-0000-0000-0000C20F0000}"/>
    <cellStyle name="Heading 3 3" xfId="3893" xr:uid="{00000000-0005-0000-0000-0000C30F0000}"/>
    <cellStyle name="Heading 4 2" xfId="3894" xr:uid="{00000000-0005-0000-0000-0000C40F0000}"/>
    <cellStyle name="Heading 4 3" xfId="3895" xr:uid="{00000000-0005-0000-0000-0000C50F0000}"/>
    <cellStyle name="Heading1" xfId="3896" xr:uid="{00000000-0005-0000-0000-0000C60F0000}"/>
    <cellStyle name="Heading2" xfId="3897" xr:uid="{00000000-0005-0000-0000-0000C70F0000}"/>
    <cellStyle name="HEADINGS" xfId="3898" xr:uid="{00000000-0005-0000-0000-0000C80F0000}"/>
    <cellStyle name="HIGHLIGHT" xfId="3899" xr:uid="{00000000-0005-0000-0000-0000C90F0000}"/>
    <cellStyle name="Historical" xfId="3900" xr:uid="{00000000-0005-0000-0000-0000CA0F0000}"/>
    <cellStyle name="Hyperlink" xfId="42512" builtinId="8"/>
    <cellStyle name="Hyperlink 10" xfId="42529" xr:uid="{5CCA6D6D-DBE4-4DB6-8DD9-1293EA7D63A1}"/>
    <cellStyle name="Hyperlink 2" xfId="3901" xr:uid="{00000000-0005-0000-0000-0000CC0F0000}"/>
    <cellStyle name="Hyperlink 2 10" xfId="3902" xr:uid="{00000000-0005-0000-0000-0000CD0F0000}"/>
    <cellStyle name="Hyperlink 2 11" xfId="3903" xr:uid="{00000000-0005-0000-0000-0000CE0F0000}"/>
    <cellStyle name="Hyperlink 2 12" xfId="3904" xr:uid="{00000000-0005-0000-0000-0000CF0F0000}"/>
    <cellStyle name="Hyperlink 2 13" xfId="3905" xr:uid="{00000000-0005-0000-0000-0000D00F0000}"/>
    <cellStyle name="Hyperlink 2 14" xfId="3906" xr:uid="{00000000-0005-0000-0000-0000D10F0000}"/>
    <cellStyle name="Hyperlink 2 15" xfId="3907" xr:uid="{00000000-0005-0000-0000-0000D20F0000}"/>
    <cellStyle name="Hyperlink 2 16" xfId="3908" xr:uid="{00000000-0005-0000-0000-0000D30F0000}"/>
    <cellStyle name="Hyperlink 2 17" xfId="3909" xr:uid="{00000000-0005-0000-0000-0000D40F0000}"/>
    <cellStyle name="Hyperlink 2 18" xfId="3910" xr:uid="{00000000-0005-0000-0000-0000D50F0000}"/>
    <cellStyle name="Hyperlink 2 19" xfId="3911" xr:uid="{00000000-0005-0000-0000-0000D60F0000}"/>
    <cellStyle name="Hyperlink 2 2" xfId="3912" xr:uid="{00000000-0005-0000-0000-0000D70F0000}"/>
    <cellStyle name="Hyperlink 2 2 2" xfId="3913" xr:uid="{00000000-0005-0000-0000-0000D80F0000}"/>
    <cellStyle name="Hyperlink 2 2 2 2" xfId="3914" xr:uid="{00000000-0005-0000-0000-0000D90F0000}"/>
    <cellStyle name="Hyperlink 2 20" xfId="3915" xr:uid="{00000000-0005-0000-0000-0000DA0F0000}"/>
    <cellStyle name="Hyperlink 2 3" xfId="3916" xr:uid="{00000000-0005-0000-0000-0000DB0F0000}"/>
    <cellStyle name="Hyperlink 2 3 10" xfId="3917" xr:uid="{00000000-0005-0000-0000-0000DC0F0000}"/>
    <cellStyle name="Hyperlink 2 3 11" xfId="3918" xr:uid="{00000000-0005-0000-0000-0000DD0F0000}"/>
    <cellStyle name="Hyperlink 2 3 12" xfId="3919" xr:uid="{00000000-0005-0000-0000-0000DE0F0000}"/>
    <cellStyle name="Hyperlink 2 3 13" xfId="3920" xr:uid="{00000000-0005-0000-0000-0000DF0F0000}"/>
    <cellStyle name="Hyperlink 2 3 2" xfId="3921" xr:uid="{00000000-0005-0000-0000-0000E00F0000}"/>
    <cellStyle name="Hyperlink 2 3 3" xfId="3922" xr:uid="{00000000-0005-0000-0000-0000E10F0000}"/>
    <cellStyle name="Hyperlink 2 3 4" xfId="3923" xr:uid="{00000000-0005-0000-0000-0000E20F0000}"/>
    <cellStyle name="Hyperlink 2 3 5" xfId="3924" xr:uid="{00000000-0005-0000-0000-0000E30F0000}"/>
    <cellStyle name="Hyperlink 2 3 6" xfId="3925" xr:uid="{00000000-0005-0000-0000-0000E40F0000}"/>
    <cellStyle name="Hyperlink 2 3 7" xfId="3926" xr:uid="{00000000-0005-0000-0000-0000E50F0000}"/>
    <cellStyle name="Hyperlink 2 3 8" xfId="3927" xr:uid="{00000000-0005-0000-0000-0000E60F0000}"/>
    <cellStyle name="Hyperlink 2 3 9" xfId="3928" xr:uid="{00000000-0005-0000-0000-0000E70F0000}"/>
    <cellStyle name="Hyperlink 2 4" xfId="3929" xr:uid="{00000000-0005-0000-0000-0000E80F0000}"/>
    <cellStyle name="Hyperlink 2 5" xfId="3930" xr:uid="{00000000-0005-0000-0000-0000E90F0000}"/>
    <cellStyle name="Hyperlink 2 6" xfId="3931" xr:uid="{00000000-0005-0000-0000-0000EA0F0000}"/>
    <cellStyle name="Hyperlink 2 7" xfId="3932" xr:uid="{00000000-0005-0000-0000-0000EB0F0000}"/>
    <cellStyle name="Hyperlink 2 8" xfId="3933" xr:uid="{00000000-0005-0000-0000-0000EC0F0000}"/>
    <cellStyle name="Hyperlink 2 9" xfId="3934" xr:uid="{00000000-0005-0000-0000-0000ED0F0000}"/>
    <cellStyle name="Hyperlink 2_Book1" xfId="3935" xr:uid="{00000000-0005-0000-0000-0000EE0F0000}"/>
    <cellStyle name="Hyperlink 3" xfId="3936" xr:uid="{00000000-0005-0000-0000-0000EF0F0000}"/>
    <cellStyle name="Hyperlink 3 10" xfId="3937" xr:uid="{00000000-0005-0000-0000-0000F00F0000}"/>
    <cellStyle name="Hyperlink 3 11" xfId="3938" xr:uid="{00000000-0005-0000-0000-0000F10F0000}"/>
    <cellStyle name="Hyperlink 3 12" xfId="3939" xr:uid="{00000000-0005-0000-0000-0000F20F0000}"/>
    <cellStyle name="Hyperlink 3 13" xfId="3940" xr:uid="{00000000-0005-0000-0000-0000F30F0000}"/>
    <cellStyle name="Hyperlink 3 2" xfId="3941" xr:uid="{00000000-0005-0000-0000-0000F40F0000}"/>
    <cellStyle name="Hyperlink 3 3" xfId="3942" xr:uid="{00000000-0005-0000-0000-0000F50F0000}"/>
    <cellStyle name="Hyperlink 3 4" xfId="3943" xr:uid="{00000000-0005-0000-0000-0000F60F0000}"/>
    <cellStyle name="Hyperlink 3 5" xfId="3944" xr:uid="{00000000-0005-0000-0000-0000F70F0000}"/>
    <cellStyle name="Hyperlink 3 6" xfId="3945" xr:uid="{00000000-0005-0000-0000-0000F80F0000}"/>
    <cellStyle name="Hyperlink 3 7" xfId="3946" xr:uid="{00000000-0005-0000-0000-0000F90F0000}"/>
    <cellStyle name="Hyperlink 3 8" xfId="3947" xr:uid="{00000000-0005-0000-0000-0000FA0F0000}"/>
    <cellStyle name="Hyperlink 3 9" xfId="3948" xr:uid="{00000000-0005-0000-0000-0000FB0F0000}"/>
    <cellStyle name="Hyperlink 4" xfId="3949" xr:uid="{00000000-0005-0000-0000-0000FC0F0000}"/>
    <cellStyle name="Hyperlink 4 10" xfId="3950" xr:uid="{00000000-0005-0000-0000-0000FD0F0000}"/>
    <cellStyle name="Hyperlink 4 11" xfId="3951" xr:uid="{00000000-0005-0000-0000-0000FE0F0000}"/>
    <cellStyle name="Hyperlink 4 12" xfId="3952" xr:uid="{00000000-0005-0000-0000-0000FF0F0000}"/>
    <cellStyle name="Hyperlink 4 13" xfId="3953" xr:uid="{00000000-0005-0000-0000-000000100000}"/>
    <cellStyle name="Hyperlink 4 2" xfId="3954" xr:uid="{00000000-0005-0000-0000-000001100000}"/>
    <cellStyle name="Hyperlink 4 3" xfId="3955" xr:uid="{00000000-0005-0000-0000-000002100000}"/>
    <cellStyle name="Hyperlink 4 4" xfId="3956" xr:uid="{00000000-0005-0000-0000-000003100000}"/>
    <cellStyle name="Hyperlink 4 5" xfId="3957" xr:uid="{00000000-0005-0000-0000-000004100000}"/>
    <cellStyle name="Hyperlink 4 6" xfId="3958" xr:uid="{00000000-0005-0000-0000-000005100000}"/>
    <cellStyle name="Hyperlink 4 7" xfId="3959" xr:uid="{00000000-0005-0000-0000-000006100000}"/>
    <cellStyle name="Hyperlink 4 8" xfId="3960" xr:uid="{00000000-0005-0000-0000-000007100000}"/>
    <cellStyle name="Hyperlink 4 9" xfId="3961" xr:uid="{00000000-0005-0000-0000-000008100000}"/>
    <cellStyle name="Hyperlink 5" xfId="3962" xr:uid="{00000000-0005-0000-0000-000009100000}"/>
    <cellStyle name="Hyperlink 6" xfId="3963" xr:uid="{00000000-0005-0000-0000-00000A100000}"/>
    <cellStyle name="Hyperlink 6 3" xfId="42047" xr:uid="{00000000-0005-0000-0000-00000B100000}"/>
    <cellStyle name="Hyperlink 7" xfId="42036" xr:uid="{00000000-0005-0000-0000-00000C100000}"/>
    <cellStyle name="Hyperlink 8" xfId="42515" xr:uid="{C35B764E-F9FB-41FF-81F0-B1B41CC451E2}"/>
    <cellStyle name="Hyperlink 9" xfId="42521" xr:uid="{0E106A2C-9BBD-404C-89E1-A3086CB57C45}"/>
    <cellStyle name="Incomplete" xfId="3964" xr:uid="{00000000-0005-0000-0000-00000D100000}"/>
    <cellStyle name="Input [yellow]" xfId="3965" xr:uid="{00000000-0005-0000-0000-00000E100000}"/>
    <cellStyle name="Input 2" xfId="3966" xr:uid="{00000000-0005-0000-0000-00000F100000}"/>
    <cellStyle name="Input 2 10" xfId="3967" xr:uid="{00000000-0005-0000-0000-000010100000}"/>
    <cellStyle name="Input 2 11" xfId="3968" xr:uid="{00000000-0005-0000-0000-000011100000}"/>
    <cellStyle name="Input 2 12" xfId="3969" xr:uid="{00000000-0005-0000-0000-000012100000}"/>
    <cellStyle name="Input 2 13" xfId="3970" xr:uid="{00000000-0005-0000-0000-000013100000}"/>
    <cellStyle name="Input 2 14" xfId="3971" xr:uid="{00000000-0005-0000-0000-000014100000}"/>
    <cellStyle name="Input 2 15" xfId="3972" xr:uid="{00000000-0005-0000-0000-000015100000}"/>
    <cellStyle name="Input 2 16" xfId="3973" xr:uid="{00000000-0005-0000-0000-000016100000}"/>
    <cellStyle name="Input 2 17" xfId="3974" xr:uid="{00000000-0005-0000-0000-000017100000}"/>
    <cellStyle name="Input 2 18" xfId="3975" xr:uid="{00000000-0005-0000-0000-000018100000}"/>
    <cellStyle name="Input 2 19" xfId="3976" xr:uid="{00000000-0005-0000-0000-000019100000}"/>
    <cellStyle name="Input 2 2" xfId="3977" xr:uid="{00000000-0005-0000-0000-00001A100000}"/>
    <cellStyle name="Input 2 2 10" xfId="3978" xr:uid="{00000000-0005-0000-0000-00001B100000}"/>
    <cellStyle name="Input 2 2 11" xfId="3979" xr:uid="{00000000-0005-0000-0000-00001C100000}"/>
    <cellStyle name="Input 2 2 12" xfId="3980" xr:uid="{00000000-0005-0000-0000-00001D100000}"/>
    <cellStyle name="Input 2 2 13" xfId="3981" xr:uid="{00000000-0005-0000-0000-00001E100000}"/>
    <cellStyle name="Input 2 2 14" xfId="3982" xr:uid="{00000000-0005-0000-0000-00001F100000}"/>
    <cellStyle name="Input 2 2 15" xfId="3983" xr:uid="{00000000-0005-0000-0000-000020100000}"/>
    <cellStyle name="Input 2 2 16" xfId="3984" xr:uid="{00000000-0005-0000-0000-000021100000}"/>
    <cellStyle name="Input 2 2 17" xfId="3985" xr:uid="{00000000-0005-0000-0000-000022100000}"/>
    <cellStyle name="Input 2 2 18" xfId="3986" xr:uid="{00000000-0005-0000-0000-000023100000}"/>
    <cellStyle name="Input 2 2 19" xfId="3987" xr:uid="{00000000-0005-0000-0000-000024100000}"/>
    <cellStyle name="Input 2 2 2" xfId="3988" xr:uid="{00000000-0005-0000-0000-000025100000}"/>
    <cellStyle name="Input 2 2 20" xfId="3989" xr:uid="{00000000-0005-0000-0000-000026100000}"/>
    <cellStyle name="Input 2 2 21" xfId="3990" xr:uid="{00000000-0005-0000-0000-000027100000}"/>
    <cellStyle name="Input 2 2 22" xfId="3991" xr:uid="{00000000-0005-0000-0000-000028100000}"/>
    <cellStyle name="Input 2 2 23" xfId="3992" xr:uid="{00000000-0005-0000-0000-000029100000}"/>
    <cellStyle name="Input 2 2 24" xfId="3993" xr:uid="{00000000-0005-0000-0000-00002A100000}"/>
    <cellStyle name="Input 2 2 25" xfId="3994" xr:uid="{00000000-0005-0000-0000-00002B100000}"/>
    <cellStyle name="Input 2 2 26" xfId="3995" xr:uid="{00000000-0005-0000-0000-00002C100000}"/>
    <cellStyle name="Input 2 2 27" xfId="3996" xr:uid="{00000000-0005-0000-0000-00002D100000}"/>
    <cellStyle name="Input 2 2 28" xfId="3997" xr:uid="{00000000-0005-0000-0000-00002E100000}"/>
    <cellStyle name="Input 2 2 29" xfId="3998" xr:uid="{00000000-0005-0000-0000-00002F100000}"/>
    <cellStyle name="Input 2 2 3" xfId="3999" xr:uid="{00000000-0005-0000-0000-000030100000}"/>
    <cellStyle name="Input 2 2 30" xfId="4000" xr:uid="{00000000-0005-0000-0000-000031100000}"/>
    <cellStyle name="Input 2 2 31" xfId="4001" xr:uid="{00000000-0005-0000-0000-000032100000}"/>
    <cellStyle name="Input 2 2 32" xfId="4002" xr:uid="{00000000-0005-0000-0000-000033100000}"/>
    <cellStyle name="Input 2 2 4" xfId="4003" xr:uid="{00000000-0005-0000-0000-000034100000}"/>
    <cellStyle name="Input 2 2 5" xfId="4004" xr:uid="{00000000-0005-0000-0000-000035100000}"/>
    <cellStyle name="Input 2 2 6" xfId="4005" xr:uid="{00000000-0005-0000-0000-000036100000}"/>
    <cellStyle name="Input 2 2 7" xfId="4006" xr:uid="{00000000-0005-0000-0000-000037100000}"/>
    <cellStyle name="Input 2 2 8" xfId="4007" xr:uid="{00000000-0005-0000-0000-000038100000}"/>
    <cellStyle name="Input 2 2 9" xfId="4008" xr:uid="{00000000-0005-0000-0000-000039100000}"/>
    <cellStyle name="Input 2 20" xfId="4009" xr:uid="{00000000-0005-0000-0000-00003A100000}"/>
    <cellStyle name="Input 2 21" xfId="4010" xr:uid="{00000000-0005-0000-0000-00003B100000}"/>
    <cellStyle name="Input 2 22" xfId="4011" xr:uid="{00000000-0005-0000-0000-00003C100000}"/>
    <cellStyle name="Input 2 23" xfId="4012" xr:uid="{00000000-0005-0000-0000-00003D100000}"/>
    <cellStyle name="Input 2 24" xfId="4013" xr:uid="{00000000-0005-0000-0000-00003E100000}"/>
    <cellStyle name="Input 2 25" xfId="4014" xr:uid="{00000000-0005-0000-0000-00003F100000}"/>
    <cellStyle name="Input 2 26" xfId="4015" xr:uid="{00000000-0005-0000-0000-000040100000}"/>
    <cellStyle name="Input 2 27" xfId="4016" xr:uid="{00000000-0005-0000-0000-000041100000}"/>
    <cellStyle name="Input 2 28" xfId="4017" xr:uid="{00000000-0005-0000-0000-000042100000}"/>
    <cellStyle name="Input 2 29" xfId="4018" xr:uid="{00000000-0005-0000-0000-000043100000}"/>
    <cellStyle name="Input 2 3" xfId="4019" xr:uid="{00000000-0005-0000-0000-000044100000}"/>
    <cellStyle name="Input 2 3 10" xfId="4020" xr:uid="{00000000-0005-0000-0000-000045100000}"/>
    <cellStyle name="Input 2 3 11" xfId="4021" xr:uid="{00000000-0005-0000-0000-000046100000}"/>
    <cellStyle name="Input 2 3 12" xfId="4022" xr:uid="{00000000-0005-0000-0000-000047100000}"/>
    <cellStyle name="Input 2 3 13" xfId="4023" xr:uid="{00000000-0005-0000-0000-000048100000}"/>
    <cellStyle name="Input 2 3 14" xfId="4024" xr:uid="{00000000-0005-0000-0000-000049100000}"/>
    <cellStyle name="Input 2 3 15" xfId="4025" xr:uid="{00000000-0005-0000-0000-00004A100000}"/>
    <cellStyle name="Input 2 3 16" xfId="4026" xr:uid="{00000000-0005-0000-0000-00004B100000}"/>
    <cellStyle name="Input 2 3 17" xfId="4027" xr:uid="{00000000-0005-0000-0000-00004C100000}"/>
    <cellStyle name="Input 2 3 18" xfId="4028" xr:uid="{00000000-0005-0000-0000-00004D100000}"/>
    <cellStyle name="Input 2 3 19" xfId="4029" xr:uid="{00000000-0005-0000-0000-00004E100000}"/>
    <cellStyle name="Input 2 3 2" xfId="4030" xr:uid="{00000000-0005-0000-0000-00004F100000}"/>
    <cellStyle name="Input 2 3 20" xfId="4031" xr:uid="{00000000-0005-0000-0000-000050100000}"/>
    <cellStyle name="Input 2 3 21" xfId="4032" xr:uid="{00000000-0005-0000-0000-000051100000}"/>
    <cellStyle name="Input 2 3 22" xfId="4033" xr:uid="{00000000-0005-0000-0000-000052100000}"/>
    <cellStyle name="Input 2 3 23" xfId="4034" xr:uid="{00000000-0005-0000-0000-000053100000}"/>
    <cellStyle name="Input 2 3 24" xfId="4035" xr:uid="{00000000-0005-0000-0000-000054100000}"/>
    <cellStyle name="Input 2 3 25" xfId="4036" xr:uid="{00000000-0005-0000-0000-000055100000}"/>
    <cellStyle name="Input 2 3 26" xfId="4037" xr:uid="{00000000-0005-0000-0000-000056100000}"/>
    <cellStyle name="Input 2 3 27" xfId="4038" xr:uid="{00000000-0005-0000-0000-000057100000}"/>
    <cellStyle name="Input 2 3 28" xfId="4039" xr:uid="{00000000-0005-0000-0000-000058100000}"/>
    <cellStyle name="Input 2 3 29" xfId="4040" xr:uid="{00000000-0005-0000-0000-000059100000}"/>
    <cellStyle name="Input 2 3 3" xfId="4041" xr:uid="{00000000-0005-0000-0000-00005A100000}"/>
    <cellStyle name="Input 2 3 30" xfId="4042" xr:uid="{00000000-0005-0000-0000-00005B100000}"/>
    <cellStyle name="Input 2 3 31" xfId="4043" xr:uid="{00000000-0005-0000-0000-00005C100000}"/>
    <cellStyle name="Input 2 3 32" xfId="4044" xr:uid="{00000000-0005-0000-0000-00005D100000}"/>
    <cellStyle name="Input 2 3 4" xfId="4045" xr:uid="{00000000-0005-0000-0000-00005E100000}"/>
    <cellStyle name="Input 2 3 5" xfId="4046" xr:uid="{00000000-0005-0000-0000-00005F100000}"/>
    <cellStyle name="Input 2 3 6" xfId="4047" xr:uid="{00000000-0005-0000-0000-000060100000}"/>
    <cellStyle name="Input 2 3 7" xfId="4048" xr:uid="{00000000-0005-0000-0000-000061100000}"/>
    <cellStyle name="Input 2 3 8" xfId="4049" xr:uid="{00000000-0005-0000-0000-000062100000}"/>
    <cellStyle name="Input 2 3 9" xfId="4050" xr:uid="{00000000-0005-0000-0000-000063100000}"/>
    <cellStyle name="Input 2 30" xfId="4051" xr:uid="{00000000-0005-0000-0000-000064100000}"/>
    <cellStyle name="Input 2 31" xfId="4052" xr:uid="{00000000-0005-0000-0000-000065100000}"/>
    <cellStyle name="Input 2 32" xfId="4053" xr:uid="{00000000-0005-0000-0000-000066100000}"/>
    <cellStyle name="Input 2 33" xfId="4054" xr:uid="{00000000-0005-0000-0000-000067100000}"/>
    <cellStyle name="Input 2 34" xfId="4055" xr:uid="{00000000-0005-0000-0000-000068100000}"/>
    <cellStyle name="Input 2 35" xfId="4056" xr:uid="{00000000-0005-0000-0000-000069100000}"/>
    <cellStyle name="Input 2 36" xfId="4057" xr:uid="{00000000-0005-0000-0000-00006A100000}"/>
    <cellStyle name="Input 2 4" xfId="4058" xr:uid="{00000000-0005-0000-0000-00006B100000}"/>
    <cellStyle name="Input 2 4 10" xfId="4059" xr:uid="{00000000-0005-0000-0000-00006C100000}"/>
    <cellStyle name="Input 2 4 11" xfId="4060" xr:uid="{00000000-0005-0000-0000-00006D100000}"/>
    <cellStyle name="Input 2 4 12" xfId="4061" xr:uid="{00000000-0005-0000-0000-00006E100000}"/>
    <cellStyle name="Input 2 4 13" xfId="4062" xr:uid="{00000000-0005-0000-0000-00006F100000}"/>
    <cellStyle name="Input 2 4 14" xfId="4063" xr:uid="{00000000-0005-0000-0000-000070100000}"/>
    <cellStyle name="Input 2 4 15" xfId="4064" xr:uid="{00000000-0005-0000-0000-000071100000}"/>
    <cellStyle name="Input 2 4 16" xfId="4065" xr:uid="{00000000-0005-0000-0000-000072100000}"/>
    <cellStyle name="Input 2 4 17" xfId="4066" xr:uid="{00000000-0005-0000-0000-000073100000}"/>
    <cellStyle name="Input 2 4 18" xfId="4067" xr:uid="{00000000-0005-0000-0000-000074100000}"/>
    <cellStyle name="Input 2 4 19" xfId="4068" xr:uid="{00000000-0005-0000-0000-000075100000}"/>
    <cellStyle name="Input 2 4 2" xfId="4069" xr:uid="{00000000-0005-0000-0000-000076100000}"/>
    <cellStyle name="Input 2 4 20" xfId="4070" xr:uid="{00000000-0005-0000-0000-000077100000}"/>
    <cellStyle name="Input 2 4 21" xfId="4071" xr:uid="{00000000-0005-0000-0000-000078100000}"/>
    <cellStyle name="Input 2 4 22" xfId="4072" xr:uid="{00000000-0005-0000-0000-000079100000}"/>
    <cellStyle name="Input 2 4 23" xfId="4073" xr:uid="{00000000-0005-0000-0000-00007A100000}"/>
    <cellStyle name="Input 2 4 24" xfId="4074" xr:uid="{00000000-0005-0000-0000-00007B100000}"/>
    <cellStyle name="Input 2 4 25" xfId="4075" xr:uid="{00000000-0005-0000-0000-00007C100000}"/>
    <cellStyle name="Input 2 4 26" xfId="4076" xr:uid="{00000000-0005-0000-0000-00007D100000}"/>
    <cellStyle name="Input 2 4 27" xfId="4077" xr:uid="{00000000-0005-0000-0000-00007E100000}"/>
    <cellStyle name="Input 2 4 28" xfId="4078" xr:uid="{00000000-0005-0000-0000-00007F100000}"/>
    <cellStyle name="Input 2 4 29" xfId="4079" xr:uid="{00000000-0005-0000-0000-000080100000}"/>
    <cellStyle name="Input 2 4 3" xfId="4080" xr:uid="{00000000-0005-0000-0000-000081100000}"/>
    <cellStyle name="Input 2 4 30" xfId="4081" xr:uid="{00000000-0005-0000-0000-000082100000}"/>
    <cellStyle name="Input 2 4 31" xfId="4082" xr:uid="{00000000-0005-0000-0000-000083100000}"/>
    <cellStyle name="Input 2 4 32" xfId="4083" xr:uid="{00000000-0005-0000-0000-000084100000}"/>
    <cellStyle name="Input 2 4 4" xfId="4084" xr:uid="{00000000-0005-0000-0000-000085100000}"/>
    <cellStyle name="Input 2 4 5" xfId="4085" xr:uid="{00000000-0005-0000-0000-000086100000}"/>
    <cellStyle name="Input 2 4 6" xfId="4086" xr:uid="{00000000-0005-0000-0000-000087100000}"/>
    <cellStyle name="Input 2 4 7" xfId="4087" xr:uid="{00000000-0005-0000-0000-000088100000}"/>
    <cellStyle name="Input 2 4 8" xfId="4088" xr:uid="{00000000-0005-0000-0000-000089100000}"/>
    <cellStyle name="Input 2 4 9" xfId="4089" xr:uid="{00000000-0005-0000-0000-00008A100000}"/>
    <cellStyle name="Input 2 5" xfId="4090" xr:uid="{00000000-0005-0000-0000-00008B100000}"/>
    <cellStyle name="Input 2 5 10" xfId="4091" xr:uid="{00000000-0005-0000-0000-00008C100000}"/>
    <cellStyle name="Input 2 5 11" xfId="4092" xr:uid="{00000000-0005-0000-0000-00008D100000}"/>
    <cellStyle name="Input 2 5 12" xfId="4093" xr:uid="{00000000-0005-0000-0000-00008E100000}"/>
    <cellStyle name="Input 2 5 13" xfId="4094" xr:uid="{00000000-0005-0000-0000-00008F100000}"/>
    <cellStyle name="Input 2 5 14" xfId="4095" xr:uid="{00000000-0005-0000-0000-000090100000}"/>
    <cellStyle name="Input 2 5 15" xfId="4096" xr:uid="{00000000-0005-0000-0000-000091100000}"/>
    <cellStyle name="Input 2 5 16" xfId="4097" xr:uid="{00000000-0005-0000-0000-000092100000}"/>
    <cellStyle name="Input 2 5 17" xfId="4098" xr:uid="{00000000-0005-0000-0000-000093100000}"/>
    <cellStyle name="Input 2 5 18" xfId="4099" xr:uid="{00000000-0005-0000-0000-000094100000}"/>
    <cellStyle name="Input 2 5 19" xfId="4100" xr:uid="{00000000-0005-0000-0000-000095100000}"/>
    <cellStyle name="Input 2 5 2" xfId="4101" xr:uid="{00000000-0005-0000-0000-000096100000}"/>
    <cellStyle name="Input 2 5 20" xfId="4102" xr:uid="{00000000-0005-0000-0000-000097100000}"/>
    <cellStyle name="Input 2 5 21" xfId="4103" xr:uid="{00000000-0005-0000-0000-000098100000}"/>
    <cellStyle name="Input 2 5 22" xfId="4104" xr:uid="{00000000-0005-0000-0000-000099100000}"/>
    <cellStyle name="Input 2 5 23" xfId="4105" xr:uid="{00000000-0005-0000-0000-00009A100000}"/>
    <cellStyle name="Input 2 5 24" xfId="4106" xr:uid="{00000000-0005-0000-0000-00009B100000}"/>
    <cellStyle name="Input 2 5 25" xfId="4107" xr:uid="{00000000-0005-0000-0000-00009C100000}"/>
    <cellStyle name="Input 2 5 26" xfId="4108" xr:uid="{00000000-0005-0000-0000-00009D100000}"/>
    <cellStyle name="Input 2 5 27" xfId="4109" xr:uid="{00000000-0005-0000-0000-00009E100000}"/>
    <cellStyle name="Input 2 5 28" xfId="4110" xr:uid="{00000000-0005-0000-0000-00009F100000}"/>
    <cellStyle name="Input 2 5 29" xfId="4111" xr:uid="{00000000-0005-0000-0000-0000A0100000}"/>
    <cellStyle name="Input 2 5 3" xfId="4112" xr:uid="{00000000-0005-0000-0000-0000A1100000}"/>
    <cellStyle name="Input 2 5 30" xfId="4113" xr:uid="{00000000-0005-0000-0000-0000A2100000}"/>
    <cellStyle name="Input 2 5 31" xfId="4114" xr:uid="{00000000-0005-0000-0000-0000A3100000}"/>
    <cellStyle name="Input 2 5 32" xfId="4115" xr:uid="{00000000-0005-0000-0000-0000A4100000}"/>
    <cellStyle name="Input 2 5 4" xfId="4116" xr:uid="{00000000-0005-0000-0000-0000A5100000}"/>
    <cellStyle name="Input 2 5 5" xfId="4117" xr:uid="{00000000-0005-0000-0000-0000A6100000}"/>
    <cellStyle name="Input 2 5 6" xfId="4118" xr:uid="{00000000-0005-0000-0000-0000A7100000}"/>
    <cellStyle name="Input 2 5 7" xfId="4119" xr:uid="{00000000-0005-0000-0000-0000A8100000}"/>
    <cellStyle name="Input 2 5 8" xfId="4120" xr:uid="{00000000-0005-0000-0000-0000A9100000}"/>
    <cellStyle name="Input 2 5 9" xfId="4121" xr:uid="{00000000-0005-0000-0000-0000AA100000}"/>
    <cellStyle name="Input 2 6" xfId="4122" xr:uid="{00000000-0005-0000-0000-0000AB100000}"/>
    <cellStyle name="Input 2 7" xfId="4123" xr:uid="{00000000-0005-0000-0000-0000AC100000}"/>
    <cellStyle name="Input 2 8" xfId="4124" xr:uid="{00000000-0005-0000-0000-0000AD100000}"/>
    <cellStyle name="Input 2 9" xfId="4125" xr:uid="{00000000-0005-0000-0000-0000AE100000}"/>
    <cellStyle name="Input 3" xfId="4126" xr:uid="{00000000-0005-0000-0000-0000AF100000}"/>
    <cellStyle name="Input 3 2" xfId="42458" xr:uid="{00000000-0005-0000-0000-0000B0100000}"/>
    <cellStyle name="InputBlueFont" xfId="4127" xr:uid="{00000000-0005-0000-0000-0000B1100000}"/>
    <cellStyle name="InputData" xfId="4128" xr:uid="{00000000-0005-0000-0000-0000B2100000}"/>
    <cellStyle name="InputNegative" xfId="4129" xr:uid="{00000000-0005-0000-0000-0000B3100000}"/>
    <cellStyle name="Integer" xfId="4130" xr:uid="{00000000-0005-0000-0000-0000B4100000}"/>
    <cellStyle name="Integer Pecenct" xfId="4131" xr:uid="{00000000-0005-0000-0000-0000B5100000}"/>
    <cellStyle name="left" xfId="4132" xr:uid="{00000000-0005-0000-0000-0000B6100000}"/>
    <cellStyle name="Level 1" xfId="4133" xr:uid="{00000000-0005-0000-0000-0000B7100000}"/>
    <cellStyle name="Level 2" xfId="42191" xr:uid="{00000000-0005-0000-0000-0000B8100000}"/>
    <cellStyle name="Level 3" xfId="42192" xr:uid="{00000000-0005-0000-0000-0000B9100000}"/>
    <cellStyle name="Level 4" xfId="42193" xr:uid="{00000000-0005-0000-0000-0000BA100000}"/>
    <cellStyle name="Lines" xfId="4134" xr:uid="{00000000-0005-0000-0000-0000BB100000}"/>
    <cellStyle name="Link" xfId="4135" xr:uid="{00000000-0005-0000-0000-0000BC100000}"/>
    <cellStyle name="Linked Cell 2" xfId="4136" xr:uid="{00000000-0005-0000-0000-0000BD100000}"/>
    <cellStyle name="Linked Cell 3" xfId="4137" xr:uid="{00000000-0005-0000-0000-0000BE100000}"/>
    <cellStyle name="m" xfId="4138" xr:uid="{00000000-0005-0000-0000-0000BF100000}"/>
    <cellStyle name="m$" xfId="4139" xr:uid="{00000000-0005-0000-0000-0000C0100000}"/>
    <cellStyle name="m_BRR" xfId="4140" xr:uid="{00000000-0005-0000-0000-0000C1100000}"/>
    <cellStyle name="m_Bsnx.xls Chart 1" xfId="4141" xr:uid="{00000000-0005-0000-0000-0000C2100000}"/>
    <cellStyle name="m_Bsnx.xls Chart 2" xfId="4142" xr:uid="{00000000-0005-0000-0000-0000C3100000}"/>
    <cellStyle name="m_Bsnx.xls Chart 3" xfId="4143" xr:uid="{00000000-0005-0000-0000-0000C4100000}"/>
    <cellStyle name="m_COG.XLS Chart 1" xfId="4144" xr:uid="{00000000-0005-0000-0000-0000C5100000}"/>
    <cellStyle name="m_COG.XLS Chart 2" xfId="4145" xr:uid="{00000000-0005-0000-0000-0000C6100000}"/>
    <cellStyle name="m_COG.XLS Chart 3" xfId="4146" xr:uid="{00000000-0005-0000-0000-0000C7100000}"/>
    <cellStyle name="m_LD.xls Chart 1" xfId="4147" xr:uid="{00000000-0005-0000-0000-0000C8100000}"/>
    <cellStyle name="m_LD.xls Chart 2" xfId="4148" xr:uid="{00000000-0005-0000-0000-0000C9100000}"/>
    <cellStyle name="m_LD.xls Chart 3" xfId="4149" xr:uid="{00000000-0005-0000-0000-0000CA100000}"/>
    <cellStyle name="m_Marathon SOP Backup_v10" xfId="4150" xr:uid="{00000000-0005-0000-0000-0000CB100000}"/>
    <cellStyle name="m_MARY.xls Chart 1" xfId="4151" xr:uid="{00000000-0005-0000-0000-0000CC100000}"/>
    <cellStyle name="m_MARY.xls Chart 2" xfId="4152" xr:uid="{00000000-0005-0000-0000-0000CD100000}"/>
    <cellStyle name="m_MARY.xls Chart 3" xfId="4153" xr:uid="{00000000-0005-0000-0000-0000CE100000}"/>
    <cellStyle name="m_nev.xls Chart 1" xfId="4154" xr:uid="{00000000-0005-0000-0000-0000CF100000}"/>
    <cellStyle name="m_nev.xls Chart 2" xfId="4155" xr:uid="{00000000-0005-0000-0000-0000D0100000}"/>
    <cellStyle name="m_nev.xls Chart 3" xfId="4156" xr:uid="{00000000-0005-0000-0000-0000D1100000}"/>
    <cellStyle name="m_OEI.xls Chart 1" xfId="4157" xr:uid="{00000000-0005-0000-0000-0000D2100000}"/>
    <cellStyle name="m_OEI.xls Chart 2" xfId="4158" xr:uid="{00000000-0005-0000-0000-0000D3100000}"/>
    <cellStyle name="m_OEI.xls Chart 3" xfId="4159" xr:uid="{00000000-0005-0000-0000-0000D4100000}"/>
    <cellStyle name="m_SPNX.xls Chart 1" xfId="4160" xr:uid="{00000000-0005-0000-0000-0000D5100000}"/>
    <cellStyle name="m_SPNX.xls Chart 2" xfId="4161" xr:uid="{00000000-0005-0000-0000-0000D6100000}"/>
    <cellStyle name="m_SPNX.xls Chart 3" xfId="4162" xr:uid="{00000000-0005-0000-0000-0000D7100000}"/>
    <cellStyle name="MACRO" xfId="4163" xr:uid="{00000000-0005-0000-0000-0000D8100000}"/>
    <cellStyle name="Main Heading" xfId="4164" xr:uid="{00000000-0005-0000-0000-0000D9100000}"/>
    <cellStyle name="Main Title" xfId="4165" xr:uid="{00000000-0005-0000-0000-0000DA100000}"/>
    <cellStyle name="MAND_x000a_CHECK.COMMAND_x000e_RENAME.COMMAND_x0008_SHOW.BAR_x000b_DELETE.MENU_x000e_DELETE.COMMAND_x000e_GET.CHA" xfId="4166" xr:uid="{00000000-0005-0000-0000-0000DB100000}"/>
    <cellStyle name="Milliers [0]_Basis" xfId="4167" xr:uid="{00000000-0005-0000-0000-0000DC100000}"/>
    <cellStyle name="Milliers_Basis" xfId="4168" xr:uid="{00000000-0005-0000-0000-0000DD100000}"/>
    <cellStyle name="million" xfId="4169" xr:uid="{00000000-0005-0000-0000-0000DE100000}"/>
    <cellStyle name="Millions" xfId="4170" xr:uid="{00000000-0005-0000-0000-0000DF100000}"/>
    <cellStyle name="mm" xfId="4171" xr:uid="{00000000-0005-0000-0000-0000E0100000}"/>
    <cellStyle name="Model" xfId="4172" xr:uid="{00000000-0005-0000-0000-0000E1100000}"/>
    <cellStyle name="Moeda [0]_K16010001" xfId="4173" xr:uid="{00000000-0005-0000-0000-0000E2100000}"/>
    <cellStyle name="Moeda_K16010001" xfId="4174" xr:uid="{00000000-0005-0000-0000-0000E3100000}"/>
    <cellStyle name="Monétaire [0]_Basis" xfId="4175" xr:uid="{00000000-0005-0000-0000-0000E4100000}"/>
    <cellStyle name="Monétaire_Basis" xfId="4176" xr:uid="{00000000-0005-0000-0000-0000E5100000}"/>
    <cellStyle name="MonthYears" xfId="4177" xr:uid="{00000000-0005-0000-0000-0000E6100000}"/>
    <cellStyle name="mult" xfId="4178" xr:uid="{00000000-0005-0000-0000-0000E7100000}"/>
    <cellStyle name="Multiple" xfId="4179" xr:uid="{00000000-0005-0000-0000-0000E8100000}"/>
    <cellStyle name="MultipleBelow" xfId="4180" xr:uid="{00000000-0005-0000-0000-0000E9100000}"/>
    <cellStyle name="Neutral 2" xfId="4181" xr:uid="{00000000-0005-0000-0000-0000EA100000}"/>
    <cellStyle name="Neutral 3" xfId="4182" xr:uid="{00000000-0005-0000-0000-0000EB100000}"/>
    <cellStyle name="no dec" xfId="4183" xr:uid="{00000000-0005-0000-0000-0000EC100000}"/>
    <cellStyle name="Normal" xfId="0" builtinId="0"/>
    <cellStyle name="Normal - Style1" xfId="4184" xr:uid="{00000000-0005-0000-0000-0000EE100000}"/>
    <cellStyle name="Normal - Style1 2" xfId="4185" xr:uid="{00000000-0005-0000-0000-0000EF100000}"/>
    <cellStyle name="Normal - Style2" xfId="4186" xr:uid="{00000000-0005-0000-0000-0000F0100000}"/>
    <cellStyle name="Normal - Style3" xfId="4187" xr:uid="{00000000-0005-0000-0000-0000F1100000}"/>
    <cellStyle name="Normal - Style4" xfId="4188" xr:uid="{00000000-0005-0000-0000-0000F2100000}"/>
    <cellStyle name="Normal - Style5" xfId="4189" xr:uid="{00000000-0005-0000-0000-0000F3100000}"/>
    <cellStyle name="Normal - Style6" xfId="4190" xr:uid="{00000000-0005-0000-0000-0000F4100000}"/>
    <cellStyle name="Normal - Style7" xfId="4191" xr:uid="{00000000-0005-0000-0000-0000F5100000}"/>
    <cellStyle name="Normal - Style8" xfId="4192" xr:uid="{00000000-0005-0000-0000-0000F6100000}"/>
    <cellStyle name="Normal (0)" xfId="4193" xr:uid="{00000000-0005-0000-0000-0000F7100000}"/>
    <cellStyle name="Normal (0) U" xfId="4194" xr:uid="{00000000-0005-0000-0000-0000F8100000}"/>
    <cellStyle name="Normal (0) UD" xfId="4195" xr:uid="{00000000-0005-0000-0000-0000F9100000}"/>
    <cellStyle name="Normal (0)_Draft RIIO plan presentation template - Customer Opsx Centre V7" xfId="4196" xr:uid="{00000000-0005-0000-0000-0000FA100000}"/>
    <cellStyle name="Normal (1)" xfId="4197" xr:uid="{00000000-0005-0000-0000-0000FB100000}"/>
    <cellStyle name="Normal (2)" xfId="4198" xr:uid="{00000000-0005-0000-0000-0000FC100000}"/>
    <cellStyle name="Normal (3)" xfId="4199" xr:uid="{00000000-0005-0000-0000-0000FD100000}"/>
    <cellStyle name="Normal [0]" xfId="4200" xr:uid="{00000000-0005-0000-0000-0000FE100000}"/>
    <cellStyle name="Normal [2]" xfId="4201" xr:uid="{00000000-0005-0000-0000-0000FF100000}"/>
    <cellStyle name="Normal 10" xfId="4202" xr:uid="{00000000-0005-0000-0000-000000110000}"/>
    <cellStyle name="Normal 10 2" xfId="4203" xr:uid="{00000000-0005-0000-0000-000001110000}"/>
    <cellStyle name="Normal 10 2 2" xfId="42520" xr:uid="{8653AB67-F6D0-4D6C-8555-4F277C7B7DDE}"/>
    <cellStyle name="Normal 10 3" xfId="42510" xr:uid="{00000000-0005-0000-0000-000002110000}"/>
    <cellStyle name="Normal 10 4" xfId="4204" xr:uid="{00000000-0005-0000-0000-000003110000}"/>
    <cellStyle name="Normal 10 4 2" xfId="4205" xr:uid="{00000000-0005-0000-0000-000004110000}"/>
    <cellStyle name="Normal 100" xfId="42526" xr:uid="{B7DE0379-DB72-4118-933D-56F93FEC6CE0}"/>
    <cellStyle name="Normal 101" xfId="42531" xr:uid="{3C7CC373-E5DF-4FA8-A40B-A604870C3F65}"/>
    <cellStyle name="Normal 102" xfId="42534" xr:uid="{DE413DF2-6BA1-4B99-A47C-23A6A4FCA823}"/>
    <cellStyle name="Normal 103" xfId="42538" xr:uid="{65397910-500B-4E9B-87F7-CF18C64921E2}"/>
    <cellStyle name="Normal 104" xfId="42540" xr:uid="{5C9ED1AC-8C1E-4188-A897-5F1D32A90F11}"/>
    <cellStyle name="Normal 105" xfId="42537" xr:uid="{9B2ECE95-0012-490C-A270-844FBE583937}"/>
    <cellStyle name="Normal 11" xfId="4206" xr:uid="{00000000-0005-0000-0000-000005110000}"/>
    <cellStyle name="Normal 11 10" xfId="4207" xr:uid="{00000000-0005-0000-0000-000006110000}"/>
    <cellStyle name="Normal 11 11" xfId="4208" xr:uid="{00000000-0005-0000-0000-000007110000}"/>
    <cellStyle name="Normal 11 12" xfId="4209" xr:uid="{00000000-0005-0000-0000-000008110000}"/>
    <cellStyle name="Normal 11 13" xfId="4210" xr:uid="{00000000-0005-0000-0000-000009110000}"/>
    <cellStyle name="Normal 11 14" xfId="4211" xr:uid="{00000000-0005-0000-0000-00000A110000}"/>
    <cellStyle name="Normal 11 15" xfId="4212" xr:uid="{00000000-0005-0000-0000-00000B110000}"/>
    <cellStyle name="Normal 11 16" xfId="4213" xr:uid="{00000000-0005-0000-0000-00000C110000}"/>
    <cellStyle name="Normal 11 17" xfId="4214" xr:uid="{00000000-0005-0000-0000-00000D110000}"/>
    <cellStyle name="Normal 11 18" xfId="4215" xr:uid="{00000000-0005-0000-0000-00000E110000}"/>
    <cellStyle name="Normal 11 19" xfId="4216" xr:uid="{00000000-0005-0000-0000-00000F110000}"/>
    <cellStyle name="Normal 11 2" xfId="4217" xr:uid="{00000000-0005-0000-0000-000010110000}"/>
    <cellStyle name="Normal 11 2 10" xfId="4218" xr:uid="{00000000-0005-0000-0000-000011110000}"/>
    <cellStyle name="Normal 11 2 11" xfId="4219" xr:uid="{00000000-0005-0000-0000-000012110000}"/>
    <cellStyle name="Normal 11 2 12" xfId="4220" xr:uid="{00000000-0005-0000-0000-000013110000}"/>
    <cellStyle name="Normal 11 2 13" xfId="4221" xr:uid="{00000000-0005-0000-0000-000014110000}"/>
    <cellStyle name="Normal 11 2 14" xfId="4222" xr:uid="{00000000-0005-0000-0000-000015110000}"/>
    <cellStyle name="Normal 11 2 15" xfId="4223" xr:uid="{00000000-0005-0000-0000-000016110000}"/>
    <cellStyle name="Normal 11 2 16" xfId="4224" xr:uid="{00000000-0005-0000-0000-000017110000}"/>
    <cellStyle name="Normal 11 2 17" xfId="4225" xr:uid="{00000000-0005-0000-0000-000018110000}"/>
    <cellStyle name="Normal 11 2 18" xfId="4226" xr:uid="{00000000-0005-0000-0000-000019110000}"/>
    <cellStyle name="Normal 11 2 19" xfId="4227" xr:uid="{00000000-0005-0000-0000-00001A110000}"/>
    <cellStyle name="Normal 11 2 2" xfId="4228" xr:uid="{00000000-0005-0000-0000-00001B110000}"/>
    <cellStyle name="Normal 11 2 2 10" xfId="4229" xr:uid="{00000000-0005-0000-0000-00001C110000}"/>
    <cellStyle name="Normal 11 2 2 11" xfId="4230" xr:uid="{00000000-0005-0000-0000-00001D110000}"/>
    <cellStyle name="Normal 11 2 2 12" xfId="4231" xr:uid="{00000000-0005-0000-0000-00001E110000}"/>
    <cellStyle name="Normal 11 2 2 13" xfId="4232" xr:uid="{00000000-0005-0000-0000-00001F110000}"/>
    <cellStyle name="Normal 11 2 2 14" xfId="4233" xr:uid="{00000000-0005-0000-0000-000020110000}"/>
    <cellStyle name="Normal 11 2 2 15" xfId="4234" xr:uid="{00000000-0005-0000-0000-000021110000}"/>
    <cellStyle name="Normal 11 2 2 16" xfId="4235" xr:uid="{00000000-0005-0000-0000-000022110000}"/>
    <cellStyle name="Normal 11 2 2 17" xfId="4236" xr:uid="{00000000-0005-0000-0000-000023110000}"/>
    <cellStyle name="Normal 11 2 2 18" xfId="4237" xr:uid="{00000000-0005-0000-0000-000024110000}"/>
    <cellStyle name="Normal 11 2 2 19" xfId="4238" xr:uid="{00000000-0005-0000-0000-000025110000}"/>
    <cellStyle name="Normal 11 2 2 2" xfId="4239" xr:uid="{00000000-0005-0000-0000-000026110000}"/>
    <cellStyle name="Normal 11 2 2 2 10" xfId="4240" xr:uid="{00000000-0005-0000-0000-000027110000}"/>
    <cellStyle name="Normal 11 2 2 2 11" xfId="4241" xr:uid="{00000000-0005-0000-0000-000028110000}"/>
    <cellStyle name="Normal 11 2 2 2 12" xfId="4242" xr:uid="{00000000-0005-0000-0000-000029110000}"/>
    <cellStyle name="Normal 11 2 2 2 13" xfId="4243" xr:uid="{00000000-0005-0000-0000-00002A110000}"/>
    <cellStyle name="Normal 11 2 2 2 14" xfId="4244" xr:uid="{00000000-0005-0000-0000-00002B110000}"/>
    <cellStyle name="Normal 11 2 2 2 15" xfId="4245" xr:uid="{00000000-0005-0000-0000-00002C110000}"/>
    <cellStyle name="Normal 11 2 2 2 16" xfId="4246" xr:uid="{00000000-0005-0000-0000-00002D110000}"/>
    <cellStyle name="Normal 11 2 2 2 17" xfId="4247" xr:uid="{00000000-0005-0000-0000-00002E110000}"/>
    <cellStyle name="Normal 11 2 2 2 18" xfId="4248" xr:uid="{00000000-0005-0000-0000-00002F110000}"/>
    <cellStyle name="Normal 11 2 2 2 19" xfId="4249" xr:uid="{00000000-0005-0000-0000-000030110000}"/>
    <cellStyle name="Normal 11 2 2 2 2" xfId="4250" xr:uid="{00000000-0005-0000-0000-000031110000}"/>
    <cellStyle name="Normal 11 2 2 2 2 10" xfId="4251" xr:uid="{00000000-0005-0000-0000-000032110000}"/>
    <cellStyle name="Normal 11 2 2 2 2 11" xfId="4252" xr:uid="{00000000-0005-0000-0000-000033110000}"/>
    <cellStyle name="Normal 11 2 2 2 2 12" xfId="4253" xr:uid="{00000000-0005-0000-0000-000034110000}"/>
    <cellStyle name="Normal 11 2 2 2 2 13" xfId="4254" xr:uid="{00000000-0005-0000-0000-000035110000}"/>
    <cellStyle name="Normal 11 2 2 2 2 2" xfId="4255" xr:uid="{00000000-0005-0000-0000-000036110000}"/>
    <cellStyle name="Normal 11 2 2 2 2 3" xfId="4256" xr:uid="{00000000-0005-0000-0000-000037110000}"/>
    <cellStyle name="Normal 11 2 2 2 2 4" xfId="4257" xr:uid="{00000000-0005-0000-0000-000038110000}"/>
    <cellStyle name="Normal 11 2 2 2 2 5" xfId="4258" xr:uid="{00000000-0005-0000-0000-000039110000}"/>
    <cellStyle name="Normal 11 2 2 2 2 6" xfId="4259" xr:uid="{00000000-0005-0000-0000-00003A110000}"/>
    <cellStyle name="Normal 11 2 2 2 2 7" xfId="4260" xr:uid="{00000000-0005-0000-0000-00003B110000}"/>
    <cellStyle name="Normal 11 2 2 2 2 8" xfId="4261" xr:uid="{00000000-0005-0000-0000-00003C110000}"/>
    <cellStyle name="Normal 11 2 2 2 2 9" xfId="4262" xr:uid="{00000000-0005-0000-0000-00003D110000}"/>
    <cellStyle name="Normal 11 2 2 2 20" xfId="4263" xr:uid="{00000000-0005-0000-0000-00003E110000}"/>
    <cellStyle name="Normal 11 2 2 2 21" xfId="4264" xr:uid="{00000000-0005-0000-0000-00003F110000}"/>
    <cellStyle name="Normal 11 2 2 2 3" xfId="4265" xr:uid="{00000000-0005-0000-0000-000040110000}"/>
    <cellStyle name="Normal 11 2 2 2 4" xfId="4266" xr:uid="{00000000-0005-0000-0000-000041110000}"/>
    <cellStyle name="Normal 11 2 2 2 5" xfId="4267" xr:uid="{00000000-0005-0000-0000-000042110000}"/>
    <cellStyle name="Normal 11 2 2 2 6" xfId="4268" xr:uid="{00000000-0005-0000-0000-000043110000}"/>
    <cellStyle name="Normal 11 2 2 2 7" xfId="4269" xr:uid="{00000000-0005-0000-0000-000044110000}"/>
    <cellStyle name="Normal 11 2 2 2 8" xfId="4270" xr:uid="{00000000-0005-0000-0000-000045110000}"/>
    <cellStyle name="Normal 11 2 2 2 9" xfId="4271" xr:uid="{00000000-0005-0000-0000-000046110000}"/>
    <cellStyle name="Normal 11 2 2 20" xfId="4272" xr:uid="{00000000-0005-0000-0000-000047110000}"/>
    <cellStyle name="Normal 11 2 2 21" xfId="4273" xr:uid="{00000000-0005-0000-0000-000048110000}"/>
    <cellStyle name="Normal 11 2 2 22" xfId="4274" xr:uid="{00000000-0005-0000-0000-000049110000}"/>
    <cellStyle name="Normal 11 2 2 3" xfId="4275" xr:uid="{00000000-0005-0000-0000-00004A110000}"/>
    <cellStyle name="Normal 11 2 2 3 10" xfId="4276" xr:uid="{00000000-0005-0000-0000-00004B110000}"/>
    <cellStyle name="Normal 11 2 2 3 11" xfId="4277" xr:uid="{00000000-0005-0000-0000-00004C110000}"/>
    <cellStyle name="Normal 11 2 2 3 12" xfId="4278" xr:uid="{00000000-0005-0000-0000-00004D110000}"/>
    <cellStyle name="Normal 11 2 2 3 13" xfId="4279" xr:uid="{00000000-0005-0000-0000-00004E110000}"/>
    <cellStyle name="Normal 11 2 2 3 2" xfId="4280" xr:uid="{00000000-0005-0000-0000-00004F110000}"/>
    <cellStyle name="Normal 11 2 2 3 3" xfId="4281" xr:uid="{00000000-0005-0000-0000-000050110000}"/>
    <cellStyle name="Normal 11 2 2 3 4" xfId="4282" xr:uid="{00000000-0005-0000-0000-000051110000}"/>
    <cellStyle name="Normal 11 2 2 3 5" xfId="4283" xr:uid="{00000000-0005-0000-0000-000052110000}"/>
    <cellStyle name="Normal 11 2 2 3 6" xfId="4284" xr:uid="{00000000-0005-0000-0000-000053110000}"/>
    <cellStyle name="Normal 11 2 2 3 7" xfId="4285" xr:uid="{00000000-0005-0000-0000-000054110000}"/>
    <cellStyle name="Normal 11 2 2 3 8" xfId="4286" xr:uid="{00000000-0005-0000-0000-000055110000}"/>
    <cellStyle name="Normal 11 2 2 3 9" xfId="4287" xr:uid="{00000000-0005-0000-0000-000056110000}"/>
    <cellStyle name="Normal 11 2 2 4" xfId="4288" xr:uid="{00000000-0005-0000-0000-000057110000}"/>
    <cellStyle name="Normal 11 2 2 5" xfId="4289" xr:uid="{00000000-0005-0000-0000-000058110000}"/>
    <cellStyle name="Normal 11 2 2 6" xfId="4290" xr:uid="{00000000-0005-0000-0000-000059110000}"/>
    <cellStyle name="Normal 11 2 2 7" xfId="4291" xr:uid="{00000000-0005-0000-0000-00005A110000}"/>
    <cellStyle name="Normal 11 2 2 8" xfId="4292" xr:uid="{00000000-0005-0000-0000-00005B110000}"/>
    <cellStyle name="Normal 11 2 2 9" xfId="4293" xr:uid="{00000000-0005-0000-0000-00005C110000}"/>
    <cellStyle name="Normal 11 2 2_4 28 1_Asst_Health_Crit_AllTO_RIIO_20110714pm" xfId="4294" xr:uid="{00000000-0005-0000-0000-00005D110000}"/>
    <cellStyle name="Normal 11 2 20" xfId="4295" xr:uid="{00000000-0005-0000-0000-00005E110000}"/>
    <cellStyle name="Normal 11 2 21" xfId="4296" xr:uid="{00000000-0005-0000-0000-00005F110000}"/>
    <cellStyle name="Normal 11 2 22" xfId="4297" xr:uid="{00000000-0005-0000-0000-000060110000}"/>
    <cellStyle name="Normal 11 2 23" xfId="4298" xr:uid="{00000000-0005-0000-0000-000061110000}"/>
    <cellStyle name="Normal 11 2 24" xfId="4299" xr:uid="{00000000-0005-0000-0000-000062110000}"/>
    <cellStyle name="Normal 11 2 25" xfId="4300" xr:uid="{00000000-0005-0000-0000-000063110000}"/>
    <cellStyle name="Normal 11 2 25 2" xfId="42045" xr:uid="{00000000-0005-0000-0000-000064110000}"/>
    <cellStyle name="Normal 11 2 26" xfId="4301" xr:uid="{00000000-0005-0000-0000-000065110000}"/>
    <cellStyle name="Normal 11 2 26 2" xfId="4302" xr:uid="{00000000-0005-0000-0000-000066110000}"/>
    <cellStyle name="Normal 11 2 3" xfId="4303" xr:uid="{00000000-0005-0000-0000-000067110000}"/>
    <cellStyle name="Normal 11 2 3 10" xfId="4304" xr:uid="{00000000-0005-0000-0000-000068110000}"/>
    <cellStyle name="Normal 11 2 3 11" xfId="4305" xr:uid="{00000000-0005-0000-0000-000069110000}"/>
    <cellStyle name="Normal 11 2 3 12" xfId="4306" xr:uid="{00000000-0005-0000-0000-00006A110000}"/>
    <cellStyle name="Normal 11 2 3 13" xfId="4307" xr:uid="{00000000-0005-0000-0000-00006B110000}"/>
    <cellStyle name="Normal 11 2 3 14" xfId="4308" xr:uid="{00000000-0005-0000-0000-00006C110000}"/>
    <cellStyle name="Normal 11 2 3 15" xfId="4309" xr:uid="{00000000-0005-0000-0000-00006D110000}"/>
    <cellStyle name="Normal 11 2 3 16" xfId="4310" xr:uid="{00000000-0005-0000-0000-00006E110000}"/>
    <cellStyle name="Normal 11 2 3 17" xfId="4311" xr:uid="{00000000-0005-0000-0000-00006F110000}"/>
    <cellStyle name="Normal 11 2 3 18" xfId="4312" xr:uid="{00000000-0005-0000-0000-000070110000}"/>
    <cellStyle name="Normal 11 2 3 19" xfId="4313" xr:uid="{00000000-0005-0000-0000-000071110000}"/>
    <cellStyle name="Normal 11 2 3 2" xfId="4314" xr:uid="{00000000-0005-0000-0000-000072110000}"/>
    <cellStyle name="Normal 11 2 3 2 10" xfId="4315" xr:uid="{00000000-0005-0000-0000-000073110000}"/>
    <cellStyle name="Normal 11 2 3 2 11" xfId="4316" xr:uid="{00000000-0005-0000-0000-000074110000}"/>
    <cellStyle name="Normal 11 2 3 2 12" xfId="4317" xr:uid="{00000000-0005-0000-0000-000075110000}"/>
    <cellStyle name="Normal 11 2 3 2 13" xfId="4318" xr:uid="{00000000-0005-0000-0000-000076110000}"/>
    <cellStyle name="Normal 11 2 3 2 2" xfId="4319" xr:uid="{00000000-0005-0000-0000-000077110000}"/>
    <cellStyle name="Normal 11 2 3 2 3" xfId="4320" xr:uid="{00000000-0005-0000-0000-000078110000}"/>
    <cellStyle name="Normal 11 2 3 2 4" xfId="4321" xr:uid="{00000000-0005-0000-0000-000079110000}"/>
    <cellStyle name="Normal 11 2 3 2 5" xfId="4322" xr:uid="{00000000-0005-0000-0000-00007A110000}"/>
    <cellStyle name="Normal 11 2 3 2 6" xfId="4323" xr:uid="{00000000-0005-0000-0000-00007B110000}"/>
    <cellStyle name="Normal 11 2 3 2 7" xfId="4324" xr:uid="{00000000-0005-0000-0000-00007C110000}"/>
    <cellStyle name="Normal 11 2 3 2 8" xfId="4325" xr:uid="{00000000-0005-0000-0000-00007D110000}"/>
    <cellStyle name="Normal 11 2 3 2 9" xfId="4326" xr:uid="{00000000-0005-0000-0000-00007E110000}"/>
    <cellStyle name="Normal 11 2 3 20" xfId="4327" xr:uid="{00000000-0005-0000-0000-00007F110000}"/>
    <cellStyle name="Normal 11 2 3 21" xfId="4328" xr:uid="{00000000-0005-0000-0000-000080110000}"/>
    <cellStyle name="Normal 11 2 3 3" xfId="4329" xr:uid="{00000000-0005-0000-0000-000081110000}"/>
    <cellStyle name="Normal 11 2 3 4" xfId="4330" xr:uid="{00000000-0005-0000-0000-000082110000}"/>
    <cellStyle name="Normal 11 2 3 5" xfId="4331" xr:uid="{00000000-0005-0000-0000-000083110000}"/>
    <cellStyle name="Normal 11 2 3 6" xfId="4332" xr:uid="{00000000-0005-0000-0000-000084110000}"/>
    <cellStyle name="Normal 11 2 3 7" xfId="4333" xr:uid="{00000000-0005-0000-0000-000085110000}"/>
    <cellStyle name="Normal 11 2 3 8" xfId="4334" xr:uid="{00000000-0005-0000-0000-000086110000}"/>
    <cellStyle name="Normal 11 2 3 9" xfId="4335" xr:uid="{00000000-0005-0000-0000-000087110000}"/>
    <cellStyle name="Normal 11 2 4" xfId="4336" xr:uid="{00000000-0005-0000-0000-000088110000}"/>
    <cellStyle name="Normal 11 2 4 10" xfId="4337" xr:uid="{00000000-0005-0000-0000-000089110000}"/>
    <cellStyle name="Normal 11 2 4 11" xfId="4338" xr:uid="{00000000-0005-0000-0000-00008A110000}"/>
    <cellStyle name="Normal 11 2 4 12" xfId="4339" xr:uid="{00000000-0005-0000-0000-00008B110000}"/>
    <cellStyle name="Normal 11 2 4 13" xfId="4340" xr:uid="{00000000-0005-0000-0000-00008C110000}"/>
    <cellStyle name="Normal 11 2 4 2" xfId="4341" xr:uid="{00000000-0005-0000-0000-00008D110000}"/>
    <cellStyle name="Normal 11 2 4 3" xfId="4342" xr:uid="{00000000-0005-0000-0000-00008E110000}"/>
    <cellStyle name="Normal 11 2 4 4" xfId="4343" xr:uid="{00000000-0005-0000-0000-00008F110000}"/>
    <cellStyle name="Normal 11 2 4 5" xfId="4344" xr:uid="{00000000-0005-0000-0000-000090110000}"/>
    <cellStyle name="Normal 11 2 4 6" xfId="4345" xr:uid="{00000000-0005-0000-0000-000091110000}"/>
    <cellStyle name="Normal 11 2 4 7" xfId="4346" xr:uid="{00000000-0005-0000-0000-000092110000}"/>
    <cellStyle name="Normal 11 2 4 8" xfId="4347" xr:uid="{00000000-0005-0000-0000-000093110000}"/>
    <cellStyle name="Normal 11 2 4 9" xfId="4348" xr:uid="{00000000-0005-0000-0000-000094110000}"/>
    <cellStyle name="Normal 11 2 5" xfId="4349" xr:uid="{00000000-0005-0000-0000-000095110000}"/>
    <cellStyle name="Normal 11 2 6" xfId="4350" xr:uid="{00000000-0005-0000-0000-000096110000}"/>
    <cellStyle name="Normal 11 2 7" xfId="4351" xr:uid="{00000000-0005-0000-0000-000097110000}"/>
    <cellStyle name="Normal 11 2 8" xfId="4352" xr:uid="{00000000-0005-0000-0000-000098110000}"/>
    <cellStyle name="Normal 11 2 9" xfId="4353" xr:uid="{00000000-0005-0000-0000-000099110000}"/>
    <cellStyle name="Normal 11 2_4 28 1_Asst_Health_Crit_AllTO_RIIO_20110714pm" xfId="4354" xr:uid="{00000000-0005-0000-0000-00009A110000}"/>
    <cellStyle name="Normal 11 20" xfId="4355" xr:uid="{00000000-0005-0000-0000-00009B110000}"/>
    <cellStyle name="Normal 11 21" xfId="4356" xr:uid="{00000000-0005-0000-0000-00009C110000}"/>
    <cellStyle name="Normal 11 22" xfId="4357" xr:uid="{00000000-0005-0000-0000-00009D110000}"/>
    <cellStyle name="Normal 11 23" xfId="4358" xr:uid="{00000000-0005-0000-0000-00009E110000}"/>
    <cellStyle name="Normal 11 24" xfId="4359" xr:uid="{00000000-0005-0000-0000-00009F110000}"/>
    <cellStyle name="Normal 11 25" xfId="4360" xr:uid="{00000000-0005-0000-0000-0000A0110000}"/>
    <cellStyle name="Normal 11 26" xfId="42194" xr:uid="{00000000-0005-0000-0000-0000A1110000}"/>
    <cellStyle name="Normal 11 26 2" xfId="42525" xr:uid="{32AF62FC-A10E-4932-A845-7D714A1ED12A}"/>
    <cellStyle name="Normal 11 26 2 2" xfId="42530" xr:uid="{EEFA053D-DD53-410D-A3E7-9B93B4B5F0A1}"/>
    <cellStyle name="Normal 11 3" xfId="4361" xr:uid="{00000000-0005-0000-0000-0000A2110000}"/>
    <cellStyle name="Normal 11 3 10" xfId="4362" xr:uid="{00000000-0005-0000-0000-0000A3110000}"/>
    <cellStyle name="Normal 11 3 11" xfId="4363" xr:uid="{00000000-0005-0000-0000-0000A4110000}"/>
    <cellStyle name="Normal 11 3 12" xfId="4364" xr:uid="{00000000-0005-0000-0000-0000A5110000}"/>
    <cellStyle name="Normal 11 3 13" xfId="4365" xr:uid="{00000000-0005-0000-0000-0000A6110000}"/>
    <cellStyle name="Normal 11 3 14" xfId="4366" xr:uid="{00000000-0005-0000-0000-0000A7110000}"/>
    <cellStyle name="Normal 11 3 15" xfId="4367" xr:uid="{00000000-0005-0000-0000-0000A8110000}"/>
    <cellStyle name="Normal 11 3 16" xfId="4368" xr:uid="{00000000-0005-0000-0000-0000A9110000}"/>
    <cellStyle name="Normal 11 3 17" xfId="4369" xr:uid="{00000000-0005-0000-0000-0000AA110000}"/>
    <cellStyle name="Normal 11 3 18" xfId="4370" xr:uid="{00000000-0005-0000-0000-0000AB110000}"/>
    <cellStyle name="Normal 11 3 19" xfId="4371" xr:uid="{00000000-0005-0000-0000-0000AC110000}"/>
    <cellStyle name="Normal 11 3 2" xfId="4372" xr:uid="{00000000-0005-0000-0000-0000AD110000}"/>
    <cellStyle name="Normal 11 3 2 10" xfId="4373" xr:uid="{00000000-0005-0000-0000-0000AE110000}"/>
    <cellStyle name="Normal 11 3 2 11" xfId="4374" xr:uid="{00000000-0005-0000-0000-0000AF110000}"/>
    <cellStyle name="Normal 11 3 2 12" xfId="4375" xr:uid="{00000000-0005-0000-0000-0000B0110000}"/>
    <cellStyle name="Normal 11 3 2 13" xfId="4376" xr:uid="{00000000-0005-0000-0000-0000B1110000}"/>
    <cellStyle name="Normal 11 3 2 14" xfId="4377" xr:uid="{00000000-0005-0000-0000-0000B2110000}"/>
    <cellStyle name="Normal 11 3 2 15" xfId="4378" xr:uid="{00000000-0005-0000-0000-0000B3110000}"/>
    <cellStyle name="Normal 11 3 2 16" xfId="4379" xr:uid="{00000000-0005-0000-0000-0000B4110000}"/>
    <cellStyle name="Normal 11 3 2 17" xfId="4380" xr:uid="{00000000-0005-0000-0000-0000B5110000}"/>
    <cellStyle name="Normal 11 3 2 18" xfId="4381" xr:uid="{00000000-0005-0000-0000-0000B6110000}"/>
    <cellStyle name="Normal 11 3 2 19" xfId="4382" xr:uid="{00000000-0005-0000-0000-0000B7110000}"/>
    <cellStyle name="Normal 11 3 2 2" xfId="4383" xr:uid="{00000000-0005-0000-0000-0000B8110000}"/>
    <cellStyle name="Normal 11 3 2 2 10" xfId="4384" xr:uid="{00000000-0005-0000-0000-0000B9110000}"/>
    <cellStyle name="Normal 11 3 2 2 11" xfId="4385" xr:uid="{00000000-0005-0000-0000-0000BA110000}"/>
    <cellStyle name="Normal 11 3 2 2 12" xfId="4386" xr:uid="{00000000-0005-0000-0000-0000BB110000}"/>
    <cellStyle name="Normal 11 3 2 2 13" xfId="4387" xr:uid="{00000000-0005-0000-0000-0000BC110000}"/>
    <cellStyle name="Normal 11 3 2 2 2" xfId="4388" xr:uid="{00000000-0005-0000-0000-0000BD110000}"/>
    <cellStyle name="Normal 11 3 2 2 3" xfId="4389" xr:uid="{00000000-0005-0000-0000-0000BE110000}"/>
    <cellStyle name="Normal 11 3 2 2 4" xfId="4390" xr:uid="{00000000-0005-0000-0000-0000BF110000}"/>
    <cellStyle name="Normal 11 3 2 2 5" xfId="4391" xr:uid="{00000000-0005-0000-0000-0000C0110000}"/>
    <cellStyle name="Normal 11 3 2 2 6" xfId="4392" xr:uid="{00000000-0005-0000-0000-0000C1110000}"/>
    <cellStyle name="Normal 11 3 2 2 7" xfId="4393" xr:uid="{00000000-0005-0000-0000-0000C2110000}"/>
    <cellStyle name="Normal 11 3 2 2 8" xfId="4394" xr:uid="{00000000-0005-0000-0000-0000C3110000}"/>
    <cellStyle name="Normal 11 3 2 2 9" xfId="4395" xr:uid="{00000000-0005-0000-0000-0000C4110000}"/>
    <cellStyle name="Normal 11 3 2 20" xfId="4396" xr:uid="{00000000-0005-0000-0000-0000C5110000}"/>
    <cellStyle name="Normal 11 3 2 21" xfId="4397" xr:uid="{00000000-0005-0000-0000-0000C6110000}"/>
    <cellStyle name="Normal 11 3 2 3" xfId="4398" xr:uid="{00000000-0005-0000-0000-0000C7110000}"/>
    <cellStyle name="Normal 11 3 2 4" xfId="4399" xr:uid="{00000000-0005-0000-0000-0000C8110000}"/>
    <cellStyle name="Normal 11 3 2 5" xfId="4400" xr:uid="{00000000-0005-0000-0000-0000C9110000}"/>
    <cellStyle name="Normal 11 3 2 6" xfId="4401" xr:uid="{00000000-0005-0000-0000-0000CA110000}"/>
    <cellStyle name="Normal 11 3 2 7" xfId="4402" xr:uid="{00000000-0005-0000-0000-0000CB110000}"/>
    <cellStyle name="Normal 11 3 2 8" xfId="4403" xr:uid="{00000000-0005-0000-0000-0000CC110000}"/>
    <cellStyle name="Normal 11 3 2 9" xfId="4404" xr:uid="{00000000-0005-0000-0000-0000CD110000}"/>
    <cellStyle name="Normal 11 3 20" xfId="4405" xr:uid="{00000000-0005-0000-0000-0000CE110000}"/>
    <cellStyle name="Normal 11 3 21" xfId="4406" xr:uid="{00000000-0005-0000-0000-0000CF110000}"/>
    <cellStyle name="Normal 11 3 22" xfId="4407" xr:uid="{00000000-0005-0000-0000-0000D0110000}"/>
    <cellStyle name="Normal 11 3 3" xfId="4408" xr:uid="{00000000-0005-0000-0000-0000D1110000}"/>
    <cellStyle name="Normal 11 3 3 10" xfId="4409" xr:uid="{00000000-0005-0000-0000-0000D2110000}"/>
    <cellStyle name="Normal 11 3 3 11" xfId="4410" xr:uid="{00000000-0005-0000-0000-0000D3110000}"/>
    <cellStyle name="Normal 11 3 3 12" xfId="4411" xr:uid="{00000000-0005-0000-0000-0000D4110000}"/>
    <cellStyle name="Normal 11 3 3 13" xfId="4412" xr:uid="{00000000-0005-0000-0000-0000D5110000}"/>
    <cellStyle name="Normal 11 3 3 2" xfId="4413" xr:uid="{00000000-0005-0000-0000-0000D6110000}"/>
    <cellStyle name="Normal 11 3 3 3" xfId="4414" xr:uid="{00000000-0005-0000-0000-0000D7110000}"/>
    <cellStyle name="Normal 11 3 3 4" xfId="4415" xr:uid="{00000000-0005-0000-0000-0000D8110000}"/>
    <cellStyle name="Normal 11 3 3 5" xfId="4416" xr:uid="{00000000-0005-0000-0000-0000D9110000}"/>
    <cellStyle name="Normal 11 3 3 6" xfId="4417" xr:uid="{00000000-0005-0000-0000-0000DA110000}"/>
    <cellStyle name="Normal 11 3 3 7" xfId="4418" xr:uid="{00000000-0005-0000-0000-0000DB110000}"/>
    <cellStyle name="Normal 11 3 3 8" xfId="4419" xr:uid="{00000000-0005-0000-0000-0000DC110000}"/>
    <cellStyle name="Normal 11 3 3 9" xfId="4420" xr:uid="{00000000-0005-0000-0000-0000DD110000}"/>
    <cellStyle name="Normal 11 3 4" xfId="4421" xr:uid="{00000000-0005-0000-0000-0000DE110000}"/>
    <cellStyle name="Normal 11 3 5" xfId="4422" xr:uid="{00000000-0005-0000-0000-0000DF110000}"/>
    <cellStyle name="Normal 11 3 6" xfId="4423" xr:uid="{00000000-0005-0000-0000-0000E0110000}"/>
    <cellStyle name="Normal 11 3 7" xfId="4424" xr:uid="{00000000-0005-0000-0000-0000E1110000}"/>
    <cellStyle name="Normal 11 3 8" xfId="4425" xr:uid="{00000000-0005-0000-0000-0000E2110000}"/>
    <cellStyle name="Normal 11 3 9" xfId="4426" xr:uid="{00000000-0005-0000-0000-0000E3110000}"/>
    <cellStyle name="Normal 11 3_4 28 1_Asst_Health_Crit_AllTO_RIIO_20110714pm" xfId="4427" xr:uid="{00000000-0005-0000-0000-0000E4110000}"/>
    <cellStyle name="Normal 11 4" xfId="4428" xr:uid="{00000000-0005-0000-0000-0000E5110000}"/>
    <cellStyle name="Normal 11 4 10" xfId="4429" xr:uid="{00000000-0005-0000-0000-0000E6110000}"/>
    <cellStyle name="Normal 11 4 11" xfId="4430" xr:uid="{00000000-0005-0000-0000-0000E7110000}"/>
    <cellStyle name="Normal 11 4 12" xfId="4431" xr:uid="{00000000-0005-0000-0000-0000E8110000}"/>
    <cellStyle name="Normal 11 4 13" xfId="4432" xr:uid="{00000000-0005-0000-0000-0000E9110000}"/>
    <cellStyle name="Normal 11 4 14" xfId="4433" xr:uid="{00000000-0005-0000-0000-0000EA110000}"/>
    <cellStyle name="Normal 11 4 15" xfId="4434" xr:uid="{00000000-0005-0000-0000-0000EB110000}"/>
    <cellStyle name="Normal 11 4 16" xfId="4435" xr:uid="{00000000-0005-0000-0000-0000EC110000}"/>
    <cellStyle name="Normal 11 4 17" xfId="4436" xr:uid="{00000000-0005-0000-0000-0000ED110000}"/>
    <cellStyle name="Normal 11 4 18" xfId="4437" xr:uid="{00000000-0005-0000-0000-0000EE110000}"/>
    <cellStyle name="Normal 11 4 19" xfId="4438" xr:uid="{00000000-0005-0000-0000-0000EF110000}"/>
    <cellStyle name="Normal 11 4 2" xfId="4439" xr:uid="{00000000-0005-0000-0000-0000F0110000}"/>
    <cellStyle name="Normal 11 4 2 10" xfId="4440" xr:uid="{00000000-0005-0000-0000-0000F1110000}"/>
    <cellStyle name="Normal 11 4 2 11" xfId="4441" xr:uid="{00000000-0005-0000-0000-0000F2110000}"/>
    <cellStyle name="Normal 11 4 2 12" xfId="4442" xr:uid="{00000000-0005-0000-0000-0000F3110000}"/>
    <cellStyle name="Normal 11 4 2 13" xfId="4443" xr:uid="{00000000-0005-0000-0000-0000F4110000}"/>
    <cellStyle name="Normal 11 4 2 2" xfId="4444" xr:uid="{00000000-0005-0000-0000-0000F5110000}"/>
    <cellStyle name="Normal 11 4 2 3" xfId="4445" xr:uid="{00000000-0005-0000-0000-0000F6110000}"/>
    <cellStyle name="Normal 11 4 2 4" xfId="4446" xr:uid="{00000000-0005-0000-0000-0000F7110000}"/>
    <cellStyle name="Normal 11 4 2 5" xfId="4447" xr:uid="{00000000-0005-0000-0000-0000F8110000}"/>
    <cellStyle name="Normal 11 4 2 6" xfId="4448" xr:uid="{00000000-0005-0000-0000-0000F9110000}"/>
    <cellStyle name="Normal 11 4 2 7" xfId="4449" xr:uid="{00000000-0005-0000-0000-0000FA110000}"/>
    <cellStyle name="Normal 11 4 2 8" xfId="4450" xr:uid="{00000000-0005-0000-0000-0000FB110000}"/>
    <cellStyle name="Normal 11 4 2 9" xfId="4451" xr:uid="{00000000-0005-0000-0000-0000FC110000}"/>
    <cellStyle name="Normal 11 4 20" xfId="4452" xr:uid="{00000000-0005-0000-0000-0000FD110000}"/>
    <cellStyle name="Normal 11 4 21" xfId="4453" xr:uid="{00000000-0005-0000-0000-0000FE110000}"/>
    <cellStyle name="Normal 11 4 3" xfId="4454" xr:uid="{00000000-0005-0000-0000-0000FF110000}"/>
    <cellStyle name="Normal 11 4 4" xfId="4455" xr:uid="{00000000-0005-0000-0000-000000120000}"/>
    <cellStyle name="Normal 11 4 5" xfId="4456" xr:uid="{00000000-0005-0000-0000-000001120000}"/>
    <cellStyle name="Normal 11 4 6" xfId="4457" xr:uid="{00000000-0005-0000-0000-000002120000}"/>
    <cellStyle name="Normal 11 4 7" xfId="4458" xr:uid="{00000000-0005-0000-0000-000003120000}"/>
    <cellStyle name="Normal 11 4 8" xfId="4459" xr:uid="{00000000-0005-0000-0000-000004120000}"/>
    <cellStyle name="Normal 11 4 9" xfId="4460" xr:uid="{00000000-0005-0000-0000-000005120000}"/>
    <cellStyle name="Normal 11 5" xfId="4461" xr:uid="{00000000-0005-0000-0000-000006120000}"/>
    <cellStyle name="Normal 11 5 10" xfId="4462" xr:uid="{00000000-0005-0000-0000-000007120000}"/>
    <cellStyle name="Normal 11 5 11" xfId="4463" xr:uid="{00000000-0005-0000-0000-000008120000}"/>
    <cellStyle name="Normal 11 5 12" xfId="4464" xr:uid="{00000000-0005-0000-0000-000009120000}"/>
    <cellStyle name="Normal 11 5 13" xfId="4465" xr:uid="{00000000-0005-0000-0000-00000A120000}"/>
    <cellStyle name="Normal 11 5 14" xfId="4466" xr:uid="{00000000-0005-0000-0000-00000B120000}"/>
    <cellStyle name="Normal 11 5 2" xfId="4467" xr:uid="{00000000-0005-0000-0000-00000C120000}"/>
    <cellStyle name="Normal 11 5 2 10" xfId="4468" xr:uid="{00000000-0005-0000-0000-00000D120000}"/>
    <cellStyle name="Normal 11 5 2 11" xfId="4469" xr:uid="{00000000-0005-0000-0000-00000E120000}"/>
    <cellStyle name="Normal 11 5 2 12" xfId="4470" xr:uid="{00000000-0005-0000-0000-00000F120000}"/>
    <cellStyle name="Normal 11 5 2 13" xfId="4471" xr:uid="{00000000-0005-0000-0000-000010120000}"/>
    <cellStyle name="Normal 11 5 2 2" xfId="4472" xr:uid="{00000000-0005-0000-0000-000011120000}"/>
    <cellStyle name="Normal 11 5 2 3" xfId="4473" xr:uid="{00000000-0005-0000-0000-000012120000}"/>
    <cellStyle name="Normal 11 5 2 4" xfId="4474" xr:uid="{00000000-0005-0000-0000-000013120000}"/>
    <cellStyle name="Normal 11 5 2 5" xfId="4475" xr:uid="{00000000-0005-0000-0000-000014120000}"/>
    <cellStyle name="Normal 11 5 2 6" xfId="4476" xr:uid="{00000000-0005-0000-0000-000015120000}"/>
    <cellStyle name="Normal 11 5 2 7" xfId="4477" xr:uid="{00000000-0005-0000-0000-000016120000}"/>
    <cellStyle name="Normal 11 5 2 8" xfId="4478" xr:uid="{00000000-0005-0000-0000-000017120000}"/>
    <cellStyle name="Normal 11 5 2 9" xfId="4479" xr:uid="{00000000-0005-0000-0000-000018120000}"/>
    <cellStyle name="Normal 11 5 3" xfId="4480" xr:uid="{00000000-0005-0000-0000-000019120000}"/>
    <cellStyle name="Normal 11 5 4" xfId="4481" xr:uid="{00000000-0005-0000-0000-00001A120000}"/>
    <cellStyle name="Normal 11 5 5" xfId="4482" xr:uid="{00000000-0005-0000-0000-00001B120000}"/>
    <cellStyle name="Normal 11 5 6" xfId="4483" xr:uid="{00000000-0005-0000-0000-00001C120000}"/>
    <cellStyle name="Normal 11 5 7" xfId="4484" xr:uid="{00000000-0005-0000-0000-00001D120000}"/>
    <cellStyle name="Normal 11 5 8" xfId="4485" xr:uid="{00000000-0005-0000-0000-00001E120000}"/>
    <cellStyle name="Normal 11 5 9" xfId="4486" xr:uid="{00000000-0005-0000-0000-00001F120000}"/>
    <cellStyle name="Normal 11 6" xfId="4487" xr:uid="{00000000-0005-0000-0000-000020120000}"/>
    <cellStyle name="Normal 11 6 10" xfId="4488" xr:uid="{00000000-0005-0000-0000-000021120000}"/>
    <cellStyle name="Normal 11 6 11" xfId="4489" xr:uid="{00000000-0005-0000-0000-000022120000}"/>
    <cellStyle name="Normal 11 6 12" xfId="4490" xr:uid="{00000000-0005-0000-0000-000023120000}"/>
    <cellStyle name="Normal 11 6 13" xfId="4491" xr:uid="{00000000-0005-0000-0000-000024120000}"/>
    <cellStyle name="Normal 11 6 2" xfId="4492" xr:uid="{00000000-0005-0000-0000-000025120000}"/>
    <cellStyle name="Normal 11 6 3" xfId="4493" xr:uid="{00000000-0005-0000-0000-000026120000}"/>
    <cellStyle name="Normal 11 6 4" xfId="4494" xr:uid="{00000000-0005-0000-0000-000027120000}"/>
    <cellStyle name="Normal 11 6 5" xfId="4495" xr:uid="{00000000-0005-0000-0000-000028120000}"/>
    <cellStyle name="Normal 11 6 6" xfId="4496" xr:uid="{00000000-0005-0000-0000-000029120000}"/>
    <cellStyle name="Normal 11 6 7" xfId="4497" xr:uid="{00000000-0005-0000-0000-00002A120000}"/>
    <cellStyle name="Normal 11 6 8" xfId="4498" xr:uid="{00000000-0005-0000-0000-00002B120000}"/>
    <cellStyle name="Normal 11 6 9" xfId="4499" xr:uid="{00000000-0005-0000-0000-00002C120000}"/>
    <cellStyle name="Normal 11 7" xfId="4500" xr:uid="{00000000-0005-0000-0000-00002D120000}"/>
    <cellStyle name="Normal 11 7 2" xfId="4501" xr:uid="{00000000-0005-0000-0000-00002E120000}"/>
    <cellStyle name="Normal 11 7 2 2" xfId="4502" xr:uid="{00000000-0005-0000-0000-00002F120000}"/>
    <cellStyle name="Normal 11 8" xfId="4503" xr:uid="{00000000-0005-0000-0000-000030120000}"/>
    <cellStyle name="Normal 11 9" xfId="4504" xr:uid="{00000000-0005-0000-0000-000031120000}"/>
    <cellStyle name="Normal 11_1.3s Accounting C Costs Scots" xfId="4505" xr:uid="{00000000-0005-0000-0000-000032120000}"/>
    <cellStyle name="Normal 12" xfId="4506" xr:uid="{00000000-0005-0000-0000-000033120000}"/>
    <cellStyle name="Normal 12 10" xfId="4507" xr:uid="{00000000-0005-0000-0000-000034120000}"/>
    <cellStyle name="Normal 12 11" xfId="4508" xr:uid="{00000000-0005-0000-0000-000035120000}"/>
    <cellStyle name="Normal 12 12" xfId="4509" xr:uid="{00000000-0005-0000-0000-000036120000}"/>
    <cellStyle name="Normal 12 13" xfId="4510" xr:uid="{00000000-0005-0000-0000-000037120000}"/>
    <cellStyle name="Normal 12 14" xfId="4511" xr:uid="{00000000-0005-0000-0000-000038120000}"/>
    <cellStyle name="Normal 12 15" xfId="4512" xr:uid="{00000000-0005-0000-0000-000039120000}"/>
    <cellStyle name="Normal 12 16" xfId="4513" xr:uid="{00000000-0005-0000-0000-00003A120000}"/>
    <cellStyle name="Normal 12 17" xfId="4514" xr:uid="{00000000-0005-0000-0000-00003B120000}"/>
    <cellStyle name="Normal 12 18" xfId="4515" xr:uid="{00000000-0005-0000-0000-00003C120000}"/>
    <cellStyle name="Normal 12 19" xfId="4516" xr:uid="{00000000-0005-0000-0000-00003D120000}"/>
    <cellStyle name="Normal 12 2" xfId="4517" xr:uid="{00000000-0005-0000-0000-00003E120000}"/>
    <cellStyle name="Normal 12 2 10" xfId="4518" xr:uid="{00000000-0005-0000-0000-00003F120000}"/>
    <cellStyle name="Normal 12 2 11" xfId="4519" xr:uid="{00000000-0005-0000-0000-000040120000}"/>
    <cellStyle name="Normal 12 2 12" xfId="4520" xr:uid="{00000000-0005-0000-0000-000041120000}"/>
    <cellStyle name="Normal 12 2 13" xfId="4521" xr:uid="{00000000-0005-0000-0000-000042120000}"/>
    <cellStyle name="Normal 12 2 14" xfId="4522" xr:uid="{00000000-0005-0000-0000-000043120000}"/>
    <cellStyle name="Normal 12 2 15" xfId="4523" xr:uid="{00000000-0005-0000-0000-000044120000}"/>
    <cellStyle name="Normal 12 2 16" xfId="4524" xr:uid="{00000000-0005-0000-0000-000045120000}"/>
    <cellStyle name="Normal 12 2 17" xfId="4525" xr:uid="{00000000-0005-0000-0000-000046120000}"/>
    <cellStyle name="Normal 12 2 18" xfId="4526" xr:uid="{00000000-0005-0000-0000-000047120000}"/>
    <cellStyle name="Normal 12 2 19" xfId="4527" xr:uid="{00000000-0005-0000-0000-000048120000}"/>
    <cellStyle name="Normal 12 2 2" xfId="4528" xr:uid="{00000000-0005-0000-0000-000049120000}"/>
    <cellStyle name="Normal 12 2 2 10" xfId="4529" xr:uid="{00000000-0005-0000-0000-00004A120000}"/>
    <cellStyle name="Normal 12 2 2 11" xfId="4530" xr:uid="{00000000-0005-0000-0000-00004B120000}"/>
    <cellStyle name="Normal 12 2 2 12" xfId="4531" xr:uid="{00000000-0005-0000-0000-00004C120000}"/>
    <cellStyle name="Normal 12 2 2 13" xfId="4532" xr:uid="{00000000-0005-0000-0000-00004D120000}"/>
    <cellStyle name="Normal 12 2 2 14" xfId="4533" xr:uid="{00000000-0005-0000-0000-00004E120000}"/>
    <cellStyle name="Normal 12 2 2 15" xfId="4534" xr:uid="{00000000-0005-0000-0000-00004F120000}"/>
    <cellStyle name="Normal 12 2 2 2" xfId="4535" xr:uid="{00000000-0005-0000-0000-000050120000}"/>
    <cellStyle name="Normal 12 2 2 2 10" xfId="4536" xr:uid="{00000000-0005-0000-0000-000051120000}"/>
    <cellStyle name="Normal 12 2 2 2 11" xfId="4537" xr:uid="{00000000-0005-0000-0000-000052120000}"/>
    <cellStyle name="Normal 12 2 2 2 12" xfId="4538" xr:uid="{00000000-0005-0000-0000-000053120000}"/>
    <cellStyle name="Normal 12 2 2 2 13" xfId="4539" xr:uid="{00000000-0005-0000-0000-000054120000}"/>
    <cellStyle name="Normal 12 2 2 2 14" xfId="4540" xr:uid="{00000000-0005-0000-0000-000055120000}"/>
    <cellStyle name="Normal 12 2 2 2 15" xfId="4541" xr:uid="{00000000-0005-0000-0000-000056120000}"/>
    <cellStyle name="Normal 12 2 2 2 16" xfId="4542" xr:uid="{00000000-0005-0000-0000-000057120000}"/>
    <cellStyle name="Normal 12 2 2 2 17" xfId="4543" xr:uid="{00000000-0005-0000-0000-000058120000}"/>
    <cellStyle name="Normal 12 2 2 2 18" xfId="4544" xr:uid="{00000000-0005-0000-0000-000059120000}"/>
    <cellStyle name="Normal 12 2 2 2 19" xfId="4545" xr:uid="{00000000-0005-0000-0000-00005A120000}"/>
    <cellStyle name="Normal 12 2 2 2 2" xfId="4546" xr:uid="{00000000-0005-0000-0000-00005B120000}"/>
    <cellStyle name="Normal 12 2 2 2 2 10" xfId="4547" xr:uid="{00000000-0005-0000-0000-00005C120000}"/>
    <cellStyle name="Normal 12 2 2 2 2 11" xfId="4548" xr:uid="{00000000-0005-0000-0000-00005D120000}"/>
    <cellStyle name="Normal 12 2 2 2 2 12" xfId="4549" xr:uid="{00000000-0005-0000-0000-00005E120000}"/>
    <cellStyle name="Normal 12 2 2 2 2 13" xfId="4550" xr:uid="{00000000-0005-0000-0000-00005F120000}"/>
    <cellStyle name="Normal 12 2 2 2 2 2" xfId="4551" xr:uid="{00000000-0005-0000-0000-000060120000}"/>
    <cellStyle name="Normal 12 2 2 2 2 3" xfId="4552" xr:uid="{00000000-0005-0000-0000-000061120000}"/>
    <cellStyle name="Normal 12 2 2 2 2 4" xfId="4553" xr:uid="{00000000-0005-0000-0000-000062120000}"/>
    <cellStyle name="Normal 12 2 2 2 2 5" xfId="4554" xr:uid="{00000000-0005-0000-0000-000063120000}"/>
    <cellStyle name="Normal 12 2 2 2 2 6" xfId="4555" xr:uid="{00000000-0005-0000-0000-000064120000}"/>
    <cellStyle name="Normal 12 2 2 2 2 7" xfId="4556" xr:uid="{00000000-0005-0000-0000-000065120000}"/>
    <cellStyle name="Normal 12 2 2 2 2 8" xfId="4557" xr:uid="{00000000-0005-0000-0000-000066120000}"/>
    <cellStyle name="Normal 12 2 2 2 2 9" xfId="4558" xr:uid="{00000000-0005-0000-0000-000067120000}"/>
    <cellStyle name="Normal 12 2 2 2 20" xfId="4559" xr:uid="{00000000-0005-0000-0000-000068120000}"/>
    <cellStyle name="Normal 12 2 2 2 21" xfId="4560" xr:uid="{00000000-0005-0000-0000-000069120000}"/>
    <cellStyle name="Normal 12 2 2 2 3" xfId="4561" xr:uid="{00000000-0005-0000-0000-00006A120000}"/>
    <cellStyle name="Normal 12 2 2 2 4" xfId="4562" xr:uid="{00000000-0005-0000-0000-00006B120000}"/>
    <cellStyle name="Normal 12 2 2 2 5" xfId="4563" xr:uid="{00000000-0005-0000-0000-00006C120000}"/>
    <cellStyle name="Normal 12 2 2 2 6" xfId="4564" xr:uid="{00000000-0005-0000-0000-00006D120000}"/>
    <cellStyle name="Normal 12 2 2 2 7" xfId="4565" xr:uid="{00000000-0005-0000-0000-00006E120000}"/>
    <cellStyle name="Normal 12 2 2 2 8" xfId="4566" xr:uid="{00000000-0005-0000-0000-00006F120000}"/>
    <cellStyle name="Normal 12 2 2 2 9" xfId="4567" xr:uid="{00000000-0005-0000-0000-000070120000}"/>
    <cellStyle name="Normal 12 2 2 3" xfId="4568" xr:uid="{00000000-0005-0000-0000-000071120000}"/>
    <cellStyle name="Normal 12 2 2 3 10" xfId="4569" xr:uid="{00000000-0005-0000-0000-000072120000}"/>
    <cellStyle name="Normal 12 2 2 3 11" xfId="4570" xr:uid="{00000000-0005-0000-0000-000073120000}"/>
    <cellStyle name="Normal 12 2 2 3 12" xfId="4571" xr:uid="{00000000-0005-0000-0000-000074120000}"/>
    <cellStyle name="Normal 12 2 2 3 13" xfId="4572" xr:uid="{00000000-0005-0000-0000-000075120000}"/>
    <cellStyle name="Normal 12 2 2 3 2" xfId="4573" xr:uid="{00000000-0005-0000-0000-000076120000}"/>
    <cellStyle name="Normal 12 2 2 3 3" xfId="4574" xr:uid="{00000000-0005-0000-0000-000077120000}"/>
    <cellStyle name="Normal 12 2 2 3 4" xfId="4575" xr:uid="{00000000-0005-0000-0000-000078120000}"/>
    <cellStyle name="Normal 12 2 2 3 5" xfId="4576" xr:uid="{00000000-0005-0000-0000-000079120000}"/>
    <cellStyle name="Normal 12 2 2 3 6" xfId="4577" xr:uid="{00000000-0005-0000-0000-00007A120000}"/>
    <cellStyle name="Normal 12 2 2 3 7" xfId="4578" xr:uid="{00000000-0005-0000-0000-00007B120000}"/>
    <cellStyle name="Normal 12 2 2 3 8" xfId="4579" xr:uid="{00000000-0005-0000-0000-00007C120000}"/>
    <cellStyle name="Normal 12 2 2 3 9" xfId="4580" xr:uid="{00000000-0005-0000-0000-00007D120000}"/>
    <cellStyle name="Normal 12 2 2 4" xfId="4581" xr:uid="{00000000-0005-0000-0000-00007E120000}"/>
    <cellStyle name="Normal 12 2 2 5" xfId="4582" xr:uid="{00000000-0005-0000-0000-00007F120000}"/>
    <cellStyle name="Normal 12 2 2 6" xfId="4583" xr:uid="{00000000-0005-0000-0000-000080120000}"/>
    <cellStyle name="Normal 12 2 2 7" xfId="4584" xr:uid="{00000000-0005-0000-0000-000081120000}"/>
    <cellStyle name="Normal 12 2 2 8" xfId="4585" xr:uid="{00000000-0005-0000-0000-000082120000}"/>
    <cellStyle name="Normal 12 2 2 9" xfId="4586" xr:uid="{00000000-0005-0000-0000-000083120000}"/>
    <cellStyle name="Normal 12 2 2_4 28 1_Asst_Health_Crit_AllTO_RIIO_20110714pm" xfId="4587" xr:uid="{00000000-0005-0000-0000-000084120000}"/>
    <cellStyle name="Normal 12 2 20" xfId="4588" xr:uid="{00000000-0005-0000-0000-000085120000}"/>
    <cellStyle name="Normal 12 2 21" xfId="4589" xr:uid="{00000000-0005-0000-0000-000086120000}"/>
    <cellStyle name="Normal 12 2 22" xfId="4590" xr:uid="{00000000-0005-0000-0000-000087120000}"/>
    <cellStyle name="Normal 12 2 23" xfId="4591" xr:uid="{00000000-0005-0000-0000-000088120000}"/>
    <cellStyle name="Normal 12 2 24" xfId="4592" xr:uid="{00000000-0005-0000-0000-000089120000}"/>
    <cellStyle name="Normal 12 2 3" xfId="4593" xr:uid="{00000000-0005-0000-0000-00008A120000}"/>
    <cellStyle name="Normal 12 2 3 10" xfId="4594" xr:uid="{00000000-0005-0000-0000-00008B120000}"/>
    <cellStyle name="Normal 12 2 3 11" xfId="4595" xr:uid="{00000000-0005-0000-0000-00008C120000}"/>
    <cellStyle name="Normal 12 2 3 12" xfId="4596" xr:uid="{00000000-0005-0000-0000-00008D120000}"/>
    <cellStyle name="Normal 12 2 3 13" xfId="4597" xr:uid="{00000000-0005-0000-0000-00008E120000}"/>
    <cellStyle name="Normal 12 2 3 14" xfId="4598" xr:uid="{00000000-0005-0000-0000-00008F120000}"/>
    <cellStyle name="Normal 12 2 3 15" xfId="4599" xr:uid="{00000000-0005-0000-0000-000090120000}"/>
    <cellStyle name="Normal 12 2 3 16" xfId="4600" xr:uid="{00000000-0005-0000-0000-000091120000}"/>
    <cellStyle name="Normal 12 2 3 17" xfId="4601" xr:uid="{00000000-0005-0000-0000-000092120000}"/>
    <cellStyle name="Normal 12 2 3 18" xfId="4602" xr:uid="{00000000-0005-0000-0000-000093120000}"/>
    <cellStyle name="Normal 12 2 3 19" xfId="4603" xr:uid="{00000000-0005-0000-0000-000094120000}"/>
    <cellStyle name="Normal 12 2 3 2" xfId="4604" xr:uid="{00000000-0005-0000-0000-000095120000}"/>
    <cellStyle name="Normal 12 2 3 2 10" xfId="4605" xr:uid="{00000000-0005-0000-0000-000096120000}"/>
    <cellStyle name="Normal 12 2 3 2 11" xfId="4606" xr:uid="{00000000-0005-0000-0000-000097120000}"/>
    <cellStyle name="Normal 12 2 3 2 12" xfId="4607" xr:uid="{00000000-0005-0000-0000-000098120000}"/>
    <cellStyle name="Normal 12 2 3 2 13" xfId="4608" xr:uid="{00000000-0005-0000-0000-000099120000}"/>
    <cellStyle name="Normal 12 2 3 2 2" xfId="4609" xr:uid="{00000000-0005-0000-0000-00009A120000}"/>
    <cellStyle name="Normal 12 2 3 2 3" xfId="4610" xr:uid="{00000000-0005-0000-0000-00009B120000}"/>
    <cellStyle name="Normal 12 2 3 2 4" xfId="4611" xr:uid="{00000000-0005-0000-0000-00009C120000}"/>
    <cellStyle name="Normal 12 2 3 2 5" xfId="4612" xr:uid="{00000000-0005-0000-0000-00009D120000}"/>
    <cellStyle name="Normal 12 2 3 2 6" xfId="4613" xr:uid="{00000000-0005-0000-0000-00009E120000}"/>
    <cellStyle name="Normal 12 2 3 2 7" xfId="4614" xr:uid="{00000000-0005-0000-0000-00009F120000}"/>
    <cellStyle name="Normal 12 2 3 2 8" xfId="4615" xr:uid="{00000000-0005-0000-0000-0000A0120000}"/>
    <cellStyle name="Normal 12 2 3 2 9" xfId="4616" xr:uid="{00000000-0005-0000-0000-0000A1120000}"/>
    <cellStyle name="Normal 12 2 3 20" xfId="4617" xr:uid="{00000000-0005-0000-0000-0000A2120000}"/>
    <cellStyle name="Normal 12 2 3 21" xfId="4618" xr:uid="{00000000-0005-0000-0000-0000A3120000}"/>
    <cellStyle name="Normal 12 2 3 3" xfId="4619" xr:uid="{00000000-0005-0000-0000-0000A4120000}"/>
    <cellStyle name="Normal 12 2 3 4" xfId="4620" xr:uid="{00000000-0005-0000-0000-0000A5120000}"/>
    <cellStyle name="Normal 12 2 3 5" xfId="4621" xr:uid="{00000000-0005-0000-0000-0000A6120000}"/>
    <cellStyle name="Normal 12 2 3 6" xfId="4622" xr:uid="{00000000-0005-0000-0000-0000A7120000}"/>
    <cellStyle name="Normal 12 2 3 7" xfId="4623" xr:uid="{00000000-0005-0000-0000-0000A8120000}"/>
    <cellStyle name="Normal 12 2 3 8" xfId="4624" xr:uid="{00000000-0005-0000-0000-0000A9120000}"/>
    <cellStyle name="Normal 12 2 3 9" xfId="4625" xr:uid="{00000000-0005-0000-0000-0000AA120000}"/>
    <cellStyle name="Normal 12 2 4" xfId="4626" xr:uid="{00000000-0005-0000-0000-0000AB120000}"/>
    <cellStyle name="Normal 12 2 4 10" xfId="4627" xr:uid="{00000000-0005-0000-0000-0000AC120000}"/>
    <cellStyle name="Normal 12 2 4 11" xfId="4628" xr:uid="{00000000-0005-0000-0000-0000AD120000}"/>
    <cellStyle name="Normal 12 2 4 12" xfId="4629" xr:uid="{00000000-0005-0000-0000-0000AE120000}"/>
    <cellStyle name="Normal 12 2 4 13" xfId="4630" xr:uid="{00000000-0005-0000-0000-0000AF120000}"/>
    <cellStyle name="Normal 12 2 4 14" xfId="4631" xr:uid="{00000000-0005-0000-0000-0000B0120000}"/>
    <cellStyle name="Normal 12 2 4 2" xfId="4632" xr:uid="{00000000-0005-0000-0000-0000B1120000}"/>
    <cellStyle name="Normal 12 2 4 2 10" xfId="4633" xr:uid="{00000000-0005-0000-0000-0000B2120000}"/>
    <cellStyle name="Normal 12 2 4 2 11" xfId="4634" xr:uid="{00000000-0005-0000-0000-0000B3120000}"/>
    <cellStyle name="Normal 12 2 4 2 12" xfId="4635" xr:uid="{00000000-0005-0000-0000-0000B4120000}"/>
    <cellStyle name="Normal 12 2 4 2 13" xfId="4636" xr:uid="{00000000-0005-0000-0000-0000B5120000}"/>
    <cellStyle name="Normal 12 2 4 2 2" xfId="4637" xr:uid="{00000000-0005-0000-0000-0000B6120000}"/>
    <cellStyle name="Normal 12 2 4 2 3" xfId="4638" xr:uid="{00000000-0005-0000-0000-0000B7120000}"/>
    <cellStyle name="Normal 12 2 4 2 4" xfId="4639" xr:uid="{00000000-0005-0000-0000-0000B8120000}"/>
    <cellStyle name="Normal 12 2 4 2 5" xfId="4640" xr:uid="{00000000-0005-0000-0000-0000B9120000}"/>
    <cellStyle name="Normal 12 2 4 2 6" xfId="4641" xr:uid="{00000000-0005-0000-0000-0000BA120000}"/>
    <cellStyle name="Normal 12 2 4 2 7" xfId="4642" xr:uid="{00000000-0005-0000-0000-0000BB120000}"/>
    <cellStyle name="Normal 12 2 4 2 8" xfId="4643" xr:uid="{00000000-0005-0000-0000-0000BC120000}"/>
    <cellStyle name="Normal 12 2 4 2 9" xfId="4644" xr:uid="{00000000-0005-0000-0000-0000BD120000}"/>
    <cellStyle name="Normal 12 2 4 3" xfId="4645" xr:uid="{00000000-0005-0000-0000-0000BE120000}"/>
    <cellStyle name="Normal 12 2 4 4" xfId="4646" xr:uid="{00000000-0005-0000-0000-0000BF120000}"/>
    <cellStyle name="Normal 12 2 4 5" xfId="4647" xr:uid="{00000000-0005-0000-0000-0000C0120000}"/>
    <cellStyle name="Normal 12 2 4 6" xfId="4648" xr:uid="{00000000-0005-0000-0000-0000C1120000}"/>
    <cellStyle name="Normal 12 2 4 7" xfId="4649" xr:uid="{00000000-0005-0000-0000-0000C2120000}"/>
    <cellStyle name="Normal 12 2 4 8" xfId="4650" xr:uid="{00000000-0005-0000-0000-0000C3120000}"/>
    <cellStyle name="Normal 12 2 4 9" xfId="4651" xr:uid="{00000000-0005-0000-0000-0000C4120000}"/>
    <cellStyle name="Normal 12 2 5" xfId="4652" xr:uid="{00000000-0005-0000-0000-0000C5120000}"/>
    <cellStyle name="Normal 12 2 5 10" xfId="4653" xr:uid="{00000000-0005-0000-0000-0000C6120000}"/>
    <cellStyle name="Normal 12 2 5 11" xfId="4654" xr:uid="{00000000-0005-0000-0000-0000C7120000}"/>
    <cellStyle name="Normal 12 2 5 12" xfId="4655" xr:uid="{00000000-0005-0000-0000-0000C8120000}"/>
    <cellStyle name="Normal 12 2 5 13" xfId="4656" xr:uid="{00000000-0005-0000-0000-0000C9120000}"/>
    <cellStyle name="Normal 12 2 5 2" xfId="4657" xr:uid="{00000000-0005-0000-0000-0000CA120000}"/>
    <cellStyle name="Normal 12 2 5 3" xfId="4658" xr:uid="{00000000-0005-0000-0000-0000CB120000}"/>
    <cellStyle name="Normal 12 2 5 4" xfId="4659" xr:uid="{00000000-0005-0000-0000-0000CC120000}"/>
    <cellStyle name="Normal 12 2 5 5" xfId="4660" xr:uid="{00000000-0005-0000-0000-0000CD120000}"/>
    <cellStyle name="Normal 12 2 5 6" xfId="4661" xr:uid="{00000000-0005-0000-0000-0000CE120000}"/>
    <cellStyle name="Normal 12 2 5 7" xfId="4662" xr:uid="{00000000-0005-0000-0000-0000CF120000}"/>
    <cellStyle name="Normal 12 2 5 8" xfId="4663" xr:uid="{00000000-0005-0000-0000-0000D0120000}"/>
    <cellStyle name="Normal 12 2 5 9" xfId="4664" xr:uid="{00000000-0005-0000-0000-0000D1120000}"/>
    <cellStyle name="Normal 12 2 6" xfId="4665" xr:uid="{00000000-0005-0000-0000-0000D2120000}"/>
    <cellStyle name="Normal 12 2 7" xfId="4666" xr:uid="{00000000-0005-0000-0000-0000D3120000}"/>
    <cellStyle name="Normal 12 2 8" xfId="4667" xr:uid="{00000000-0005-0000-0000-0000D4120000}"/>
    <cellStyle name="Normal 12 2 9" xfId="4668" xr:uid="{00000000-0005-0000-0000-0000D5120000}"/>
    <cellStyle name="Normal 12 2_4 28 1_Asst_Health_Crit_AllTO_RIIO_20110714pm" xfId="4669" xr:uid="{00000000-0005-0000-0000-0000D6120000}"/>
    <cellStyle name="Normal 12 20" xfId="4670" xr:uid="{00000000-0005-0000-0000-0000D7120000}"/>
    <cellStyle name="Normal 12 21" xfId="4671" xr:uid="{00000000-0005-0000-0000-0000D8120000}"/>
    <cellStyle name="Normal 12 22" xfId="4672" xr:uid="{00000000-0005-0000-0000-0000D9120000}"/>
    <cellStyle name="Normal 12 23" xfId="4673" xr:uid="{00000000-0005-0000-0000-0000DA120000}"/>
    <cellStyle name="Normal 12 24" xfId="4674" xr:uid="{00000000-0005-0000-0000-0000DB120000}"/>
    <cellStyle name="Normal 12 25" xfId="4675" xr:uid="{00000000-0005-0000-0000-0000DC120000}"/>
    <cellStyle name="Normal 12 3" xfId="4676" xr:uid="{00000000-0005-0000-0000-0000DD120000}"/>
    <cellStyle name="Normal 12 3 10" xfId="4677" xr:uid="{00000000-0005-0000-0000-0000DE120000}"/>
    <cellStyle name="Normal 12 3 11" xfId="4678" xr:uid="{00000000-0005-0000-0000-0000DF120000}"/>
    <cellStyle name="Normal 12 3 12" xfId="4679" xr:uid="{00000000-0005-0000-0000-0000E0120000}"/>
    <cellStyle name="Normal 12 3 13" xfId="4680" xr:uid="{00000000-0005-0000-0000-0000E1120000}"/>
    <cellStyle name="Normal 12 3 14" xfId="4681" xr:uid="{00000000-0005-0000-0000-0000E2120000}"/>
    <cellStyle name="Normal 12 3 15" xfId="4682" xr:uid="{00000000-0005-0000-0000-0000E3120000}"/>
    <cellStyle name="Normal 12 3 16" xfId="4683" xr:uid="{00000000-0005-0000-0000-0000E4120000}"/>
    <cellStyle name="Normal 12 3 17" xfId="4684" xr:uid="{00000000-0005-0000-0000-0000E5120000}"/>
    <cellStyle name="Normal 12 3 18" xfId="4685" xr:uid="{00000000-0005-0000-0000-0000E6120000}"/>
    <cellStyle name="Normal 12 3 19" xfId="4686" xr:uid="{00000000-0005-0000-0000-0000E7120000}"/>
    <cellStyle name="Normal 12 3 2" xfId="4687" xr:uid="{00000000-0005-0000-0000-0000E8120000}"/>
    <cellStyle name="Normal 12 3 2 10" xfId="4688" xr:uid="{00000000-0005-0000-0000-0000E9120000}"/>
    <cellStyle name="Normal 12 3 2 11" xfId="4689" xr:uid="{00000000-0005-0000-0000-0000EA120000}"/>
    <cellStyle name="Normal 12 3 2 12" xfId="4690" xr:uid="{00000000-0005-0000-0000-0000EB120000}"/>
    <cellStyle name="Normal 12 3 2 13" xfId="4691" xr:uid="{00000000-0005-0000-0000-0000EC120000}"/>
    <cellStyle name="Normal 12 3 2 14" xfId="4692" xr:uid="{00000000-0005-0000-0000-0000ED120000}"/>
    <cellStyle name="Normal 12 3 2 15" xfId="4693" xr:uid="{00000000-0005-0000-0000-0000EE120000}"/>
    <cellStyle name="Normal 12 3 2 16" xfId="4694" xr:uid="{00000000-0005-0000-0000-0000EF120000}"/>
    <cellStyle name="Normal 12 3 2 17" xfId="4695" xr:uid="{00000000-0005-0000-0000-0000F0120000}"/>
    <cellStyle name="Normal 12 3 2 18" xfId="4696" xr:uid="{00000000-0005-0000-0000-0000F1120000}"/>
    <cellStyle name="Normal 12 3 2 19" xfId="4697" xr:uid="{00000000-0005-0000-0000-0000F2120000}"/>
    <cellStyle name="Normal 12 3 2 2" xfId="4698" xr:uid="{00000000-0005-0000-0000-0000F3120000}"/>
    <cellStyle name="Normal 12 3 2 2 10" xfId="4699" xr:uid="{00000000-0005-0000-0000-0000F4120000}"/>
    <cellStyle name="Normal 12 3 2 2 11" xfId="4700" xr:uid="{00000000-0005-0000-0000-0000F5120000}"/>
    <cellStyle name="Normal 12 3 2 2 12" xfId="4701" xr:uid="{00000000-0005-0000-0000-0000F6120000}"/>
    <cellStyle name="Normal 12 3 2 2 13" xfId="4702" xr:uid="{00000000-0005-0000-0000-0000F7120000}"/>
    <cellStyle name="Normal 12 3 2 2 2" xfId="4703" xr:uid="{00000000-0005-0000-0000-0000F8120000}"/>
    <cellStyle name="Normal 12 3 2 2 3" xfId="4704" xr:uid="{00000000-0005-0000-0000-0000F9120000}"/>
    <cellStyle name="Normal 12 3 2 2 4" xfId="4705" xr:uid="{00000000-0005-0000-0000-0000FA120000}"/>
    <cellStyle name="Normal 12 3 2 2 5" xfId="4706" xr:uid="{00000000-0005-0000-0000-0000FB120000}"/>
    <cellStyle name="Normal 12 3 2 2 6" xfId="4707" xr:uid="{00000000-0005-0000-0000-0000FC120000}"/>
    <cellStyle name="Normal 12 3 2 2 7" xfId="4708" xr:uid="{00000000-0005-0000-0000-0000FD120000}"/>
    <cellStyle name="Normal 12 3 2 2 8" xfId="4709" xr:uid="{00000000-0005-0000-0000-0000FE120000}"/>
    <cellStyle name="Normal 12 3 2 2 9" xfId="4710" xr:uid="{00000000-0005-0000-0000-0000FF120000}"/>
    <cellStyle name="Normal 12 3 2 20" xfId="4711" xr:uid="{00000000-0005-0000-0000-000000130000}"/>
    <cellStyle name="Normal 12 3 2 21" xfId="4712" xr:uid="{00000000-0005-0000-0000-000001130000}"/>
    <cellStyle name="Normal 12 3 2 3" xfId="4713" xr:uid="{00000000-0005-0000-0000-000002130000}"/>
    <cellStyle name="Normal 12 3 2 4" xfId="4714" xr:uid="{00000000-0005-0000-0000-000003130000}"/>
    <cellStyle name="Normal 12 3 2 5" xfId="4715" xr:uid="{00000000-0005-0000-0000-000004130000}"/>
    <cellStyle name="Normal 12 3 2 6" xfId="4716" xr:uid="{00000000-0005-0000-0000-000005130000}"/>
    <cellStyle name="Normal 12 3 2 7" xfId="4717" xr:uid="{00000000-0005-0000-0000-000006130000}"/>
    <cellStyle name="Normal 12 3 2 8" xfId="4718" xr:uid="{00000000-0005-0000-0000-000007130000}"/>
    <cellStyle name="Normal 12 3 2 9" xfId="4719" xr:uid="{00000000-0005-0000-0000-000008130000}"/>
    <cellStyle name="Normal 12 3 20" xfId="4720" xr:uid="{00000000-0005-0000-0000-000009130000}"/>
    <cellStyle name="Normal 12 3 21" xfId="4721" xr:uid="{00000000-0005-0000-0000-00000A130000}"/>
    <cellStyle name="Normal 12 3 22" xfId="4722" xr:uid="{00000000-0005-0000-0000-00000B130000}"/>
    <cellStyle name="Normal 12 3 3" xfId="4723" xr:uid="{00000000-0005-0000-0000-00000C130000}"/>
    <cellStyle name="Normal 12 3 3 10" xfId="4724" xr:uid="{00000000-0005-0000-0000-00000D130000}"/>
    <cellStyle name="Normal 12 3 3 11" xfId="4725" xr:uid="{00000000-0005-0000-0000-00000E130000}"/>
    <cellStyle name="Normal 12 3 3 12" xfId="4726" xr:uid="{00000000-0005-0000-0000-00000F130000}"/>
    <cellStyle name="Normal 12 3 3 13" xfId="4727" xr:uid="{00000000-0005-0000-0000-000010130000}"/>
    <cellStyle name="Normal 12 3 3 2" xfId="4728" xr:uid="{00000000-0005-0000-0000-000011130000}"/>
    <cellStyle name="Normal 12 3 3 3" xfId="4729" xr:uid="{00000000-0005-0000-0000-000012130000}"/>
    <cellStyle name="Normal 12 3 3 4" xfId="4730" xr:uid="{00000000-0005-0000-0000-000013130000}"/>
    <cellStyle name="Normal 12 3 3 5" xfId="4731" xr:uid="{00000000-0005-0000-0000-000014130000}"/>
    <cellStyle name="Normal 12 3 3 6" xfId="4732" xr:uid="{00000000-0005-0000-0000-000015130000}"/>
    <cellStyle name="Normal 12 3 3 7" xfId="4733" xr:uid="{00000000-0005-0000-0000-000016130000}"/>
    <cellStyle name="Normal 12 3 3 8" xfId="4734" xr:uid="{00000000-0005-0000-0000-000017130000}"/>
    <cellStyle name="Normal 12 3 3 9" xfId="4735" xr:uid="{00000000-0005-0000-0000-000018130000}"/>
    <cellStyle name="Normal 12 3 4" xfId="4736" xr:uid="{00000000-0005-0000-0000-000019130000}"/>
    <cellStyle name="Normal 12 3 5" xfId="4737" xr:uid="{00000000-0005-0000-0000-00001A130000}"/>
    <cellStyle name="Normal 12 3 6" xfId="4738" xr:uid="{00000000-0005-0000-0000-00001B130000}"/>
    <cellStyle name="Normal 12 3 7" xfId="4739" xr:uid="{00000000-0005-0000-0000-00001C130000}"/>
    <cellStyle name="Normal 12 3 8" xfId="4740" xr:uid="{00000000-0005-0000-0000-00001D130000}"/>
    <cellStyle name="Normal 12 3 9" xfId="4741" xr:uid="{00000000-0005-0000-0000-00001E130000}"/>
    <cellStyle name="Normal 12 3_4 28 1_Asst_Health_Crit_AllTO_RIIO_20110714pm" xfId="4742" xr:uid="{00000000-0005-0000-0000-00001F130000}"/>
    <cellStyle name="Normal 12 4" xfId="4743" xr:uid="{00000000-0005-0000-0000-000020130000}"/>
    <cellStyle name="Normal 12 4 10" xfId="4744" xr:uid="{00000000-0005-0000-0000-000021130000}"/>
    <cellStyle name="Normal 12 4 11" xfId="4745" xr:uid="{00000000-0005-0000-0000-000022130000}"/>
    <cellStyle name="Normal 12 4 12" xfId="4746" xr:uid="{00000000-0005-0000-0000-000023130000}"/>
    <cellStyle name="Normal 12 4 13" xfId="4747" xr:uid="{00000000-0005-0000-0000-000024130000}"/>
    <cellStyle name="Normal 12 4 14" xfId="4748" xr:uid="{00000000-0005-0000-0000-000025130000}"/>
    <cellStyle name="Normal 12 4 15" xfId="4749" xr:uid="{00000000-0005-0000-0000-000026130000}"/>
    <cellStyle name="Normal 12 4 16" xfId="4750" xr:uid="{00000000-0005-0000-0000-000027130000}"/>
    <cellStyle name="Normal 12 4 17" xfId="4751" xr:uid="{00000000-0005-0000-0000-000028130000}"/>
    <cellStyle name="Normal 12 4 18" xfId="4752" xr:uid="{00000000-0005-0000-0000-000029130000}"/>
    <cellStyle name="Normal 12 4 19" xfId="4753" xr:uid="{00000000-0005-0000-0000-00002A130000}"/>
    <cellStyle name="Normal 12 4 2" xfId="4754" xr:uid="{00000000-0005-0000-0000-00002B130000}"/>
    <cellStyle name="Normal 12 4 2 10" xfId="4755" xr:uid="{00000000-0005-0000-0000-00002C130000}"/>
    <cellStyle name="Normal 12 4 2 11" xfId="4756" xr:uid="{00000000-0005-0000-0000-00002D130000}"/>
    <cellStyle name="Normal 12 4 2 12" xfId="4757" xr:uid="{00000000-0005-0000-0000-00002E130000}"/>
    <cellStyle name="Normal 12 4 2 13" xfId="4758" xr:uid="{00000000-0005-0000-0000-00002F130000}"/>
    <cellStyle name="Normal 12 4 2 2" xfId="4759" xr:uid="{00000000-0005-0000-0000-000030130000}"/>
    <cellStyle name="Normal 12 4 2 3" xfId="4760" xr:uid="{00000000-0005-0000-0000-000031130000}"/>
    <cellStyle name="Normal 12 4 2 4" xfId="4761" xr:uid="{00000000-0005-0000-0000-000032130000}"/>
    <cellStyle name="Normal 12 4 2 5" xfId="4762" xr:uid="{00000000-0005-0000-0000-000033130000}"/>
    <cellStyle name="Normal 12 4 2 6" xfId="4763" xr:uid="{00000000-0005-0000-0000-000034130000}"/>
    <cellStyle name="Normal 12 4 2 7" xfId="4764" xr:uid="{00000000-0005-0000-0000-000035130000}"/>
    <cellStyle name="Normal 12 4 2 8" xfId="4765" xr:uid="{00000000-0005-0000-0000-000036130000}"/>
    <cellStyle name="Normal 12 4 2 9" xfId="4766" xr:uid="{00000000-0005-0000-0000-000037130000}"/>
    <cellStyle name="Normal 12 4 20" xfId="4767" xr:uid="{00000000-0005-0000-0000-000038130000}"/>
    <cellStyle name="Normal 12 4 21" xfId="4768" xr:uid="{00000000-0005-0000-0000-000039130000}"/>
    <cellStyle name="Normal 12 4 3" xfId="4769" xr:uid="{00000000-0005-0000-0000-00003A130000}"/>
    <cellStyle name="Normal 12 4 4" xfId="4770" xr:uid="{00000000-0005-0000-0000-00003B130000}"/>
    <cellStyle name="Normal 12 4 5" xfId="4771" xr:uid="{00000000-0005-0000-0000-00003C130000}"/>
    <cellStyle name="Normal 12 4 6" xfId="4772" xr:uid="{00000000-0005-0000-0000-00003D130000}"/>
    <cellStyle name="Normal 12 4 7" xfId="4773" xr:uid="{00000000-0005-0000-0000-00003E130000}"/>
    <cellStyle name="Normal 12 4 8" xfId="4774" xr:uid="{00000000-0005-0000-0000-00003F130000}"/>
    <cellStyle name="Normal 12 4 9" xfId="4775" xr:uid="{00000000-0005-0000-0000-000040130000}"/>
    <cellStyle name="Normal 12 5" xfId="4776" xr:uid="{00000000-0005-0000-0000-000041130000}"/>
    <cellStyle name="Normal 12 5 10" xfId="4777" xr:uid="{00000000-0005-0000-0000-000042130000}"/>
    <cellStyle name="Normal 12 5 11" xfId="4778" xr:uid="{00000000-0005-0000-0000-000043130000}"/>
    <cellStyle name="Normal 12 5 12" xfId="4779" xr:uid="{00000000-0005-0000-0000-000044130000}"/>
    <cellStyle name="Normal 12 5 13" xfId="4780" xr:uid="{00000000-0005-0000-0000-000045130000}"/>
    <cellStyle name="Normal 12 5 2" xfId="4781" xr:uid="{00000000-0005-0000-0000-000046130000}"/>
    <cellStyle name="Normal 12 5 3" xfId="4782" xr:uid="{00000000-0005-0000-0000-000047130000}"/>
    <cellStyle name="Normal 12 5 4" xfId="4783" xr:uid="{00000000-0005-0000-0000-000048130000}"/>
    <cellStyle name="Normal 12 5 5" xfId="4784" xr:uid="{00000000-0005-0000-0000-000049130000}"/>
    <cellStyle name="Normal 12 5 6" xfId="4785" xr:uid="{00000000-0005-0000-0000-00004A130000}"/>
    <cellStyle name="Normal 12 5 7" xfId="4786" xr:uid="{00000000-0005-0000-0000-00004B130000}"/>
    <cellStyle name="Normal 12 5 8" xfId="4787" xr:uid="{00000000-0005-0000-0000-00004C130000}"/>
    <cellStyle name="Normal 12 5 9" xfId="4788" xr:uid="{00000000-0005-0000-0000-00004D130000}"/>
    <cellStyle name="Normal 12 6" xfId="4789" xr:uid="{00000000-0005-0000-0000-00004E130000}"/>
    <cellStyle name="Normal 12 7" xfId="4790" xr:uid="{00000000-0005-0000-0000-00004F130000}"/>
    <cellStyle name="Normal 12 8" xfId="4791" xr:uid="{00000000-0005-0000-0000-000050130000}"/>
    <cellStyle name="Normal 12 9" xfId="4792" xr:uid="{00000000-0005-0000-0000-000051130000}"/>
    <cellStyle name="Normal 12_1.3s Accounting C Costs Scots" xfId="4793" xr:uid="{00000000-0005-0000-0000-000052130000}"/>
    <cellStyle name="Normal 13" xfId="4794" xr:uid="{00000000-0005-0000-0000-000053130000}"/>
    <cellStyle name="Normal 13 10" xfId="4795" xr:uid="{00000000-0005-0000-0000-000054130000}"/>
    <cellStyle name="Normal 13 11" xfId="4796" xr:uid="{00000000-0005-0000-0000-000055130000}"/>
    <cellStyle name="Normal 13 12" xfId="4797" xr:uid="{00000000-0005-0000-0000-000056130000}"/>
    <cellStyle name="Normal 13 13" xfId="4798" xr:uid="{00000000-0005-0000-0000-000057130000}"/>
    <cellStyle name="Normal 13 14" xfId="4799" xr:uid="{00000000-0005-0000-0000-000058130000}"/>
    <cellStyle name="Normal 13 15" xfId="4800" xr:uid="{00000000-0005-0000-0000-000059130000}"/>
    <cellStyle name="Normal 13 16" xfId="4801" xr:uid="{00000000-0005-0000-0000-00005A130000}"/>
    <cellStyle name="Normal 13 17" xfId="4802" xr:uid="{00000000-0005-0000-0000-00005B130000}"/>
    <cellStyle name="Normal 13 18" xfId="4803" xr:uid="{00000000-0005-0000-0000-00005C130000}"/>
    <cellStyle name="Normal 13 19" xfId="4804" xr:uid="{00000000-0005-0000-0000-00005D130000}"/>
    <cellStyle name="Normal 13 2" xfId="4805" xr:uid="{00000000-0005-0000-0000-00005E130000}"/>
    <cellStyle name="Normal 13 2 10" xfId="4806" xr:uid="{00000000-0005-0000-0000-00005F130000}"/>
    <cellStyle name="Normal 13 2 11" xfId="4807" xr:uid="{00000000-0005-0000-0000-000060130000}"/>
    <cellStyle name="Normal 13 2 12" xfId="4808" xr:uid="{00000000-0005-0000-0000-000061130000}"/>
    <cellStyle name="Normal 13 2 13" xfId="4809" xr:uid="{00000000-0005-0000-0000-000062130000}"/>
    <cellStyle name="Normal 13 2 14" xfId="4810" xr:uid="{00000000-0005-0000-0000-000063130000}"/>
    <cellStyle name="Normal 13 2 15" xfId="4811" xr:uid="{00000000-0005-0000-0000-000064130000}"/>
    <cellStyle name="Normal 13 2 16" xfId="4812" xr:uid="{00000000-0005-0000-0000-000065130000}"/>
    <cellStyle name="Normal 13 2 17" xfId="4813" xr:uid="{00000000-0005-0000-0000-000066130000}"/>
    <cellStyle name="Normal 13 2 18" xfId="4814" xr:uid="{00000000-0005-0000-0000-000067130000}"/>
    <cellStyle name="Normal 13 2 19" xfId="4815" xr:uid="{00000000-0005-0000-0000-000068130000}"/>
    <cellStyle name="Normal 13 2 2" xfId="4816" xr:uid="{00000000-0005-0000-0000-000069130000}"/>
    <cellStyle name="Normal 13 2 2 10" xfId="4817" xr:uid="{00000000-0005-0000-0000-00006A130000}"/>
    <cellStyle name="Normal 13 2 2 11" xfId="4818" xr:uid="{00000000-0005-0000-0000-00006B130000}"/>
    <cellStyle name="Normal 13 2 2 12" xfId="4819" xr:uid="{00000000-0005-0000-0000-00006C130000}"/>
    <cellStyle name="Normal 13 2 2 13" xfId="4820" xr:uid="{00000000-0005-0000-0000-00006D130000}"/>
    <cellStyle name="Normal 13 2 2 14" xfId="4821" xr:uid="{00000000-0005-0000-0000-00006E130000}"/>
    <cellStyle name="Normal 13 2 2 15" xfId="4822" xr:uid="{00000000-0005-0000-0000-00006F130000}"/>
    <cellStyle name="Normal 13 2 2 2" xfId="4823" xr:uid="{00000000-0005-0000-0000-000070130000}"/>
    <cellStyle name="Normal 13 2 2 2 10" xfId="4824" xr:uid="{00000000-0005-0000-0000-000071130000}"/>
    <cellStyle name="Normal 13 2 2 2 11" xfId="4825" xr:uid="{00000000-0005-0000-0000-000072130000}"/>
    <cellStyle name="Normal 13 2 2 2 12" xfId="4826" xr:uid="{00000000-0005-0000-0000-000073130000}"/>
    <cellStyle name="Normal 13 2 2 2 13" xfId="4827" xr:uid="{00000000-0005-0000-0000-000074130000}"/>
    <cellStyle name="Normal 13 2 2 2 14" xfId="4828" xr:uid="{00000000-0005-0000-0000-000075130000}"/>
    <cellStyle name="Normal 13 2 2 2 15" xfId="4829" xr:uid="{00000000-0005-0000-0000-000076130000}"/>
    <cellStyle name="Normal 13 2 2 2 16" xfId="4830" xr:uid="{00000000-0005-0000-0000-000077130000}"/>
    <cellStyle name="Normal 13 2 2 2 17" xfId="4831" xr:uid="{00000000-0005-0000-0000-000078130000}"/>
    <cellStyle name="Normal 13 2 2 2 2" xfId="4832" xr:uid="{00000000-0005-0000-0000-000079130000}"/>
    <cellStyle name="Normal 13 2 2 2 2 10" xfId="4833" xr:uid="{00000000-0005-0000-0000-00007A130000}"/>
    <cellStyle name="Normal 13 2 2 2 2 11" xfId="4834" xr:uid="{00000000-0005-0000-0000-00007B130000}"/>
    <cellStyle name="Normal 13 2 2 2 2 12" xfId="4835" xr:uid="{00000000-0005-0000-0000-00007C130000}"/>
    <cellStyle name="Normal 13 2 2 2 2 13" xfId="4836" xr:uid="{00000000-0005-0000-0000-00007D130000}"/>
    <cellStyle name="Normal 13 2 2 2 2 2" xfId="4837" xr:uid="{00000000-0005-0000-0000-00007E130000}"/>
    <cellStyle name="Normal 13 2 2 2 2 3" xfId="4838" xr:uid="{00000000-0005-0000-0000-00007F130000}"/>
    <cellStyle name="Normal 13 2 2 2 2 4" xfId="4839" xr:uid="{00000000-0005-0000-0000-000080130000}"/>
    <cellStyle name="Normal 13 2 2 2 2 5" xfId="4840" xr:uid="{00000000-0005-0000-0000-000081130000}"/>
    <cellStyle name="Normal 13 2 2 2 2 6" xfId="4841" xr:uid="{00000000-0005-0000-0000-000082130000}"/>
    <cellStyle name="Normal 13 2 2 2 2 7" xfId="4842" xr:uid="{00000000-0005-0000-0000-000083130000}"/>
    <cellStyle name="Normal 13 2 2 2 2 8" xfId="4843" xr:uid="{00000000-0005-0000-0000-000084130000}"/>
    <cellStyle name="Normal 13 2 2 2 2 9" xfId="4844" xr:uid="{00000000-0005-0000-0000-000085130000}"/>
    <cellStyle name="Normal 13 2 2 2 3" xfId="4845" xr:uid="{00000000-0005-0000-0000-000086130000}"/>
    <cellStyle name="Normal 13 2 2 2 4" xfId="4846" xr:uid="{00000000-0005-0000-0000-000087130000}"/>
    <cellStyle name="Normal 13 2 2 2 5" xfId="4847" xr:uid="{00000000-0005-0000-0000-000088130000}"/>
    <cellStyle name="Normal 13 2 2 2 6" xfId="4848" xr:uid="{00000000-0005-0000-0000-000089130000}"/>
    <cellStyle name="Normal 13 2 2 2 7" xfId="4849" xr:uid="{00000000-0005-0000-0000-00008A130000}"/>
    <cellStyle name="Normal 13 2 2 2 8" xfId="4850" xr:uid="{00000000-0005-0000-0000-00008B130000}"/>
    <cellStyle name="Normal 13 2 2 2 9" xfId="4851" xr:uid="{00000000-0005-0000-0000-00008C130000}"/>
    <cellStyle name="Normal 13 2 2 3" xfId="4852" xr:uid="{00000000-0005-0000-0000-00008D130000}"/>
    <cellStyle name="Normal 13 2 2 3 10" xfId="4853" xr:uid="{00000000-0005-0000-0000-00008E130000}"/>
    <cellStyle name="Normal 13 2 2 3 11" xfId="4854" xr:uid="{00000000-0005-0000-0000-00008F130000}"/>
    <cellStyle name="Normal 13 2 2 3 12" xfId="4855" xr:uid="{00000000-0005-0000-0000-000090130000}"/>
    <cellStyle name="Normal 13 2 2 3 13" xfId="4856" xr:uid="{00000000-0005-0000-0000-000091130000}"/>
    <cellStyle name="Normal 13 2 2 3 2" xfId="4857" xr:uid="{00000000-0005-0000-0000-000092130000}"/>
    <cellStyle name="Normal 13 2 2 3 3" xfId="4858" xr:uid="{00000000-0005-0000-0000-000093130000}"/>
    <cellStyle name="Normal 13 2 2 3 4" xfId="4859" xr:uid="{00000000-0005-0000-0000-000094130000}"/>
    <cellStyle name="Normal 13 2 2 3 5" xfId="4860" xr:uid="{00000000-0005-0000-0000-000095130000}"/>
    <cellStyle name="Normal 13 2 2 3 6" xfId="4861" xr:uid="{00000000-0005-0000-0000-000096130000}"/>
    <cellStyle name="Normal 13 2 2 3 7" xfId="4862" xr:uid="{00000000-0005-0000-0000-000097130000}"/>
    <cellStyle name="Normal 13 2 2 3 8" xfId="4863" xr:uid="{00000000-0005-0000-0000-000098130000}"/>
    <cellStyle name="Normal 13 2 2 3 9" xfId="4864" xr:uid="{00000000-0005-0000-0000-000099130000}"/>
    <cellStyle name="Normal 13 2 2 4" xfId="4865" xr:uid="{00000000-0005-0000-0000-00009A130000}"/>
    <cellStyle name="Normal 13 2 2 5" xfId="4866" xr:uid="{00000000-0005-0000-0000-00009B130000}"/>
    <cellStyle name="Normal 13 2 2 6" xfId="4867" xr:uid="{00000000-0005-0000-0000-00009C130000}"/>
    <cellStyle name="Normal 13 2 2 7" xfId="4868" xr:uid="{00000000-0005-0000-0000-00009D130000}"/>
    <cellStyle name="Normal 13 2 2 8" xfId="4869" xr:uid="{00000000-0005-0000-0000-00009E130000}"/>
    <cellStyle name="Normal 13 2 2 9" xfId="4870" xr:uid="{00000000-0005-0000-0000-00009F130000}"/>
    <cellStyle name="Normal 13 2 20" xfId="4871" xr:uid="{00000000-0005-0000-0000-0000A0130000}"/>
    <cellStyle name="Normal 13 2 21" xfId="4872" xr:uid="{00000000-0005-0000-0000-0000A1130000}"/>
    <cellStyle name="Normal 13 2 22" xfId="4873" xr:uid="{00000000-0005-0000-0000-0000A2130000}"/>
    <cellStyle name="Normal 13 2 3" xfId="4874" xr:uid="{00000000-0005-0000-0000-0000A3130000}"/>
    <cellStyle name="Normal 13 2 3 10" xfId="4875" xr:uid="{00000000-0005-0000-0000-0000A4130000}"/>
    <cellStyle name="Normal 13 2 3 11" xfId="4876" xr:uid="{00000000-0005-0000-0000-0000A5130000}"/>
    <cellStyle name="Normal 13 2 3 12" xfId="4877" xr:uid="{00000000-0005-0000-0000-0000A6130000}"/>
    <cellStyle name="Normal 13 2 3 13" xfId="4878" xr:uid="{00000000-0005-0000-0000-0000A7130000}"/>
    <cellStyle name="Normal 13 2 3 14" xfId="4879" xr:uid="{00000000-0005-0000-0000-0000A8130000}"/>
    <cellStyle name="Normal 13 2 3 15" xfId="4880" xr:uid="{00000000-0005-0000-0000-0000A9130000}"/>
    <cellStyle name="Normal 13 2 3 16" xfId="42516" xr:uid="{62A10A8B-F1BA-4562-8228-54F6B5511573}"/>
    <cellStyle name="Normal 13 2 3 2" xfId="4881" xr:uid="{00000000-0005-0000-0000-0000AA130000}"/>
    <cellStyle name="Normal 13 2 3 2 10" xfId="4882" xr:uid="{00000000-0005-0000-0000-0000AB130000}"/>
    <cellStyle name="Normal 13 2 3 2 11" xfId="4883" xr:uid="{00000000-0005-0000-0000-0000AC130000}"/>
    <cellStyle name="Normal 13 2 3 2 12" xfId="4884" xr:uid="{00000000-0005-0000-0000-0000AD130000}"/>
    <cellStyle name="Normal 13 2 3 2 13" xfId="4885" xr:uid="{00000000-0005-0000-0000-0000AE130000}"/>
    <cellStyle name="Normal 13 2 3 2 2" xfId="4886" xr:uid="{00000000-0005-0000-0000-0000AF130000}"/>
    <cellStyle name="Normal 13 2 3 2 3" xfId="4887" xr:uid="{00000000-0005-0000-0000-0000B0130000}"/>
    <cellStyle name="Normal 13 2 3 2 4" xfId="4888" xr:uid="{00000000-0005-0000-0000-0000B1130000}"/>
    <cellStyle name="Normal 13 2 3 2 5" xfId="4889" xr:uid="{00000000-0005-0000-0000-0000B2130000}"/>
    <cellStyle name="Normal 13 2 3 2 6" xfId="4890" xr:uid="{00000000-0005-0000-0000-0000B3130000}"/>
    <cellStyle name="Normal 13 2 3 2 7" xfId="4891" xr:uid="{00000000-0005-0000-0000-0000B4130000}"/>
    <cellStyle name="Normal 13 2 3 2 8" xfId="4892" xr:uid="{00000000-0005-0000-0000-0000B5130000}"/>
    <cellStyle name="Normal 13 2 3 2 9" xfId="4893" xr:uid="{00000000-0005-0000-0000-0000B6130000}"/>
    <cellStyle name="Normal 13 2 3 3" xfId="4894" xr:uid="{00000000-0005-0000-0000-0000B7130000}"/>
    <cellStyle name="Normal 13 2 3 4" xfId="4895" xr:uid="{00000000-0005-0000-0000-0000B8130000}"/>
    <cellStyle name="Normal 13 2 3 5" xfId="4896" xr:uid="{00000000-0005-0000-0000-0000B9130000}"/>
    <cellStyle name="Normal 13 2 3 6" xfId="4897" xr:uid="{00000000-0005-0000-0000-0000BA130000}"/>
    <cellStyle name="Normal 13 2 3 7" xfId="4898" xr:uid="{00000000-0005-0000-0000-0000BB130000}"/>
    <cellStyle name="Normal 13 2 3 8" xfId="4899" xr:uid="{00000000-0005-0000-0000-0000BC130000}"/>
    <cellStyle name="Normal 13 2 3 9" xfId="4900" xr:uid="{00000000-0005-0000-0000-0000BD130000}"/>
    <cellStyle name="Normal 13 2 4" xfId="4901" xr:uid="{00000000-0005-0000-0000-0000BE130000}"/>
    <cellStyle name="Normal 13 2 4 10" xfId="4902" xr:uid="{00000000-0005-0000-0000-0000BF130000}"/>
    <cellStyle name="Normal 13 2 4 11" xfId="4903" xr:uid="{00000000-0005-0000-0000-0000C0130000}"/>
    <cellStyle name="Normal 13 2 4 12" xfId="4904" xr:uid="{00000000-0005-0000-0000-0000C1130000}"/>
    <cellStyle name="Normal 13 2 4 13" xfId="4905" xr:uid="{00000000-0005-0000-0000-0000C2130000}"/>
    <cellStyle name="Normal 13 2 4 2" xfId="4906" xr:uid="{00000000-0005-0000-0000-0000C3130000}"/>
    <cellStyle name="Normal 13 2 4 3" xfId="4907" xr:uid="{00000000-0005-0000-0000-0000C4130000}"/>
    <cellStyle name="Normal 13 2 4 4" xfId="4908" xr:uid="{00000000-0005-0000-0000-0000C5130000}"/>
    <cellStyle name="Normal 13 2 4 5" xfId="4909" xr:uid="{00000000-0005-0000-0000-0000C6130000}"/>
    <cellStyle name="Normal 13 2 4 6" xfId="4910" xr:uid="{00000000-0005-0000-0000-0000C7130000}"/>
    <cellStyle name="Normal 13 2 4 7" xfId="4911" xr:uid="{00000000-0005-0000-0000-0000C8130000}"/>
    <cellStyle name="Normal 13 2 4 8" xfId="4912" xr:uid="{00000000-0005-0000-0000-0000C9130000}"/>
    <cellStyle name="Normal 13 2 4 9" xfId="4913" xr:uid="{00000000-0005-0000-0000-0000CA130000}"/>
    <cellStyle name="Normal 13 2 5" xfId="4914" xr:uid="{00000000-0005-0000-0000-0000CB130000}"/>
    <cellStyle name="Normal 13 2 6" xfId="4915" xr:uid="{00000000-0005-0000-0000-0000CC130000}"/>
    <cellStyle name="Normal 13 2 7" xfId="4916" xr:uid="{00000000-0005-0000-0000-0000CD130000}"/>
    <cellStyle name="Normal 13 2 8" xfId="4917" xr:uid="{00000000-0005-0000-0000-0000CE130000}"/>
    <cellStyle name="Normal 13 2 9" xfId="4918" xr:uid="{00000000-0005-0000-0000-0000CF130000}"/>
    <cellStyle name="Normal 13 20" xfId="4919" xr:uid="{00000000-0005-0000-0000-0000D0130000}"/>
    <cellStyle name="Normal 13 21" xfId="4920" xr:uid="{00000000-0005-0000-0000-0000D1130000}"/>
    <cellStyle name="Normal 13 22" xfId="4921" xr:uid="{00000000-0005-0000-0000-0000D2130000}"/>
    <cellStyle name="Normal 13 23" xfId="4922" xr:uid="{00000000-0005-0000-0000-0000D3130000}"/>
    <cellStyle name="Normal 13 3" xfId="4923" xr:uid="{00000000-0005-0000-0000-0000D4130000}"/>
    <cellStyle name="Normal 13 3 10" xfId="4924" xr:uid="{00000000-0005-0000-0000-0000D5130000}"/>
    <cellStyle name="Normal 13 3 11" xfId="4925" xr:uid="{00000000-0005-0000-0000-0000D6130000}"/>
    <cellStyle name="Normal 13 3 12" xfId="4926" xr:uid="{00000000-0005-0000-0000-0000D7130000}"/>
    <cellStyle name="Normal 13 3 13" xfId="4927" xr:uid="{00000000-0005-0000-0000-0000D8130000}"/>
    <cellStyle name="Normal 13 3 14" xfId="4928" xr:uid="{00000000-0005-0000-0000-0000D9130000}"/>
    <cellStyle name="Normal 13 3 15" xfId="4929" xr:uid="{00000000-0005-0000-0000-0000DA130000}"/>
    <cellStyle name="Normal 13 3 16" xfId="4930" xr:uid="{00000000-0005-0000-0000-0000DB130000}"/>
    <cellStyle name="Normal 13 3 16 2" xfId="4931" xr:uid="{00000000-0005-0000-0000-0000DC130000}"/>
    <cellStyle name="Normal 13 3 16 3" xfId="4932" xr:uid="{00000000-0005-0000-0000-0000DD130000}"/>
    <cellStyle name="Normal 13 3 16 4" xfId="4933" xr:uid="{00000000-0005-0000-0000-0000DE130000}"/>
    <cellStyle name="Normal 13 3 2" xfId="4934" xr:uid="{00000000-0005-0000-0000-0000DF130000}"/>
    <cellStyle name="Normal 13 3 2 10" xfId="4935" xr:uid="{00000000-0005-0000-0000-0000E0130000}"/>
    <cellStyle name="Normal 13 3 2 11" xfId="4936" xr:uid="{00000000-0005-0000-0000-0000E1130000}"/>
    <cellStyle name="Normal 13 3 2 12" xfId="4937" xr:uid="{00000000-0005-0000-0000-0000E2130000}"/>
    <cellStyle name="Normal 13 3 2 13" xfId="4938" xr:uid="{00000000-0005-0000-0000-0000E3130000}"/>
    <cellStyle name="Normal 13 3 2 2" xfId="4939" xr:uid="{00000000-0005-0000-0000-0000E4130000}"/>
    <cellStyle name="Normal 13 3 2 3" xfId="4940" xr:uid="{00000000-0005-0000-0000-0000E5130000}"/>
    <cellStyle name="Normal 13 3 2 4" xfId="4941" xr:uid="{00000000-0005-0000-0000-0000E6130000}"/>
    <cellStyle name="Normal 13 3 2 5" xfId="4942" xr:uid="{00000000-0005-0000-0000-0000E7130000}"/>
    <cellStyle name="Normal 13 3 2 6" xfId="4943" xr:uid="{00000000-0005-0000-0000-0000E8130000}"/>
    <cellStyle name="Normal 13 3 2 7" xfId="4944" xr:uid="{00000000-0005-0000-0000-0000E9130000}"/>
    <cellStyle name="Normal 13 3 2 8" xfId="4945" xr:uid="{00000000-0005-0000-0000-0000EA130000}"/>
    <cellStyle name="Normal 13 3 2 9" xfId="4946" xr:uid="{00000000-0005-0000-0000-0000EB130000}"/>
    <cellStyle name="Normal 13 3 3" xfId="4947" xr:uid="{00000000-0005-0000-0000-0000EC130000}"/>
    <cellStyle name="Normal 13 3 4" xfId="4948" xr:uid="{00000000-0005-0000-0000-0000ED130000}"/>
    <cellStyle name="Normal 13 3 5" xfId="4949" xr:uid="{00000000-0005-0000-0000-0000EE130000}"/>
    <cellStyle name="Normal 13 3 6" xfId="4950" xr:uid="{00000000-0005-0000-0000-0000EF130000}"/>
    <cellStyle name="Normal 13 3 7" xfId="4951" xr:uid="{00000000-0005-0000-0000-0000F0130000}"/>
    <cellStyle name="Normal 13 3 8" xfId="4952" xr:uid="{00000000-0005-0000-0000-0000F1130000}"/>
    <cellStyle name="Normal 13 3 9" xfId="4953" xr:uid="{00000000-0005-0000-0000-0000F2130000}"/>
    <cellStyle name="Normal 13 4" xfId="4954" xr:uid="{00000000-0005-0000-0000-0000F3130000}"/>
    <cellStyle name="Normal 13 4 10" xfId="4955" xr:uid="{00000000-0005-0000-0000-0000F4130000}"/>
    <cellStyle name="Normal 13 4 11" xfId="4956" xr:uid="{00000000-0005-0000-0000-0000F5130000}"/>
    <cellStyle name="Normal 13 4 12" xfId="4957" xr:uid="{00000000-0005-0000-0000-0000F6130000}"/>
    <cellStyle name="Normal 13 4 13" xfId="4958" xr:uid="{00000000-0005-0000-0000-0000F7130000}"/>
    <cellStyle name="Normal 13 4 2" xfId="4959" xr:uid="{00000000-0005-0000-0000-0000F8130000}"/>
    <cellStyle name="Normal 13 4 3" xfId="4960" xr:uid="{00000000-0005-0000-0000-0000F9130000}"/>
    <cellStyle name="Normal 13 4 4" xfId="4961" xr:uid="{00000000-0005-0000-0000-0000FA130000}"/>
    <cellStyle name="Normal 13 4 5" xfId="4962" xr:uid="{00000000-0005-0000-0000-0000FB130000}"/>
    <cellStyle name="Normal 13 4 6" xfId="4963" xr:uid="{00000000-0005-0000-0000-0000FC130000}"/>
    <cellStyle name="Normal 13 4 7" xfId="4964" xr:uid="{00000000-0005-0000-0000-0000FD130000}"/>
    <cellStyle name="Normal 13 4 8" xfId="4965" xr:uid="{00000000-0005-0000-0000-0000FE130000}"/>
    <cellStyle name="Normal 13 4 9" xfId="4966" xr:uid="{00000000-0005-0000-0000-0000FF130000}"/>
    <cellStyle name="Normal 13 5" xfId="4967" xr:uid="{00000000-0005-0000-0000-000000140000}"/>
    <cellStyle name="Normal 13 6" xfId="4968" xr:uid="{00000000-0005-0000-0000-000001140000}"/>
    <cellStyle name="Normal 13 7" xfId="4969" xr:uid="{00000000-0005-0000-0000-000002140000}"/>
    <cellStyle name="Normal 13 8" xfId="4970" xr:uid="{00000000-0005-0000-0000-000003140000}"/>
    <cellStyle name="Normal 13 9" xfId="4971" xr:uid="{00000000-0005-0000-0000-000004140000}"/>
    <cellStyle name="Normal 13_2010_NGET_TPCR4_RO_FBPQ(Opex) trace only FINAL(DPP)" xfId="4972" xr:uid="{00000000-0005-0000-0000-000005140000}"/>
    <cellStyle name="Normal 14" xfId="4973" xr:uid="{00000000-0005-0000-0000-000006140000}"/>
    <cellStyle name="Normal 14 10" xfId="4974" xr:uid="{00000000-0005-0000-0000-000007140000}"/>
    <cellStyle name="Normal 14 10 10" xfId="4975" xr:uid="{00000000-0005-0000-0000-000008140000}"/>
    <cellStyle name="Normal 14 10 11" xfId="4976" xr:uid="{00000000-0005-0000-0000-000009140000}"/>
    <cellStyle name="Normal 14 10 12" xfId="4977" xr:uid="{00000000-0005-0000-0000-00000A140000}"/>
    <cellStyle name="Normal 14 10 13" xfId="4978" xr:uid="{00000000-0005-0000-0000-00000B140000}"/>
    <cellStyle name="Normal 14 10 14" xfId="4979" xr:uid="{00000000-0005-0000-0000-00000C140000}"/>
    <cellStyle name="Normal 14 10 15" xfId="4980" xr:uid="{00000000-0005-0000-0000-00000D140000}"/>
    <cellStyle name="Normal 14 10 16" xfId="4981" xr:uid="{00000000-0005-0000-0000-00000E140000}"/>
    <cellStyle name="Normal 14 10 17" xfId="4982" xr:uid="{00000000-0005-0000-0000-00000F140000}"/>
    <cellStyle name="Normal 14 10 18" xfId="4983" xr:uid="{00000000-0005-0000-0000-000010140000}"/>
    <cellStyle name="Normal 14 10 18 2" xfId="4984" xr:uid="{00000000-0005-0000-0000-000011140000}"/>
    <cellStyle name="Normal 14 10 18 3" xfId="4985" xr:uid="{00000000-0005-0000-0000-000012140000}"/>
    <cellStyle name="Normal 14 10 2" xfId="4986" xr:uid="{00000000-0005-0000-0000-000013140000}"/>
    <cellStyle name="Normal 14 10 3" xfId="4987" xr:uid="{00000000-0005-0000-0000-000014140000}"/>
    <cellStyle name="Normal 14 10 4" xfId="4988" xr:uid="{00000000-0005-0000-0000-000015140000}"/>
    <cellStyle name="Normal 14 10 5" xfId="4989" xr:uid="{00000000-0005-0000-0000-000016140000}"/>
    <cellStyle name="Normal 14 10 6" xfId="4990" xr:uid="{00000000-0005-0000-0000-000017140000}"/>
    <cellStyle name="Normal 14 10 7" xfId="4991" xr:uid="{00000000-0005-0000-0000-000018140000}"/>
    <cellStyle name="Normal 14 10 8" xfId="4992" xr:uid="{00000000-0005-0000-0000-000019140000}"/>
    <cellStyle name="Normal 14 10 9" xfId="4993" xr:uid="{00000000-0005-0000-0000-00001A140000}"/>
    <cellStyle name="Normal 14 11" xfId="4994" xr:uid="{00000000-0005-0000-0000-00001B140000}"/>
    <cellStyle name="Normal 14 11 10" xfId="4995" xr:uid="{00000000-0005-0000-0000-00001C140000}"/>
    <cellStyle name="Normal 14 11 11" xfId="4996" xr:uid="{00000000-0005-0000-0000-00001D140000}"/>
    <cellStyle name="Normal 14 11 12" xfId="4997" xr:uid="{00000000-0005-0000-0000-00001E140000}"/>
    <cellStyle name="Normal 14 11 13" xfId="4998" xr:uid="{00000000-0005-0000-0000-00001F140000}"/>
    <cellStyle name="Normal 14 11 14" xfId="4999" xr:uid="{00000000-0005-0000-0000-000020140000}"/>
    <cellStyle name="Normal 14 11 15" xfId="5000" xr:uid="{00000000-0005-0000-0000-000021140000}"/>
    <cellStyle name="Normal 14 11 16" xfId="5001" xr:uid="{00000000-0005-0000-0000-000022140000}"/>
    <cellStyle name="Normal 14 11 17" xfId="5002" xr:uid="{00000000-0005-0000-0000-000023140000}"/>
    <cellStyle name="Normal 14 11 18" xfId="5003" xr:uid="{00000000-0005-0000-0000-000024140000}"/>
    <cellStyle name="Normal 14 11 2" xfId="5004" xr:uid="{00000000-0005-0000-0000-000025140000}"/>
    <cellStyle name="Normal 14 11 3" xfId="5005" xr:uid="{00000000-0005-0000-0000-000026140000}"/>
    <cellStyle name="Normal 14 11 4" xfId="5006" xr:uid="{00000000-0005-0000-0000-000027140000}"/>
    <cellStyle name="Normal 14 11 5" xfId="5007" xr:uid="{00000000-0005-0000-0000-000028140000}"/>
    <cellStyle name="Normal 14 11 6" xfId="5008" xr:uid="{00000000-0005-0000-0000-000029140000}"/>
    <cellStyle name="Normal 14 11 7" xfId="5009" xr:uid="{00000000-0005-0000-0000-00002A140000}"/>
    <cellStyle name="Normal 14 11 8" xfId="5010" xr:uid="{00000000-0005-0000-0000-00002B140000}"/>
    <cellStyle name="Normal 14 11 9" xfId="5011" xr:uid="{00000000-0005-0000-0000-00002C140000}"/>
    <cellStyle name="Normal 14 12" xfId="5012" xr:uid="{00000000-0005-0000-0000-00002D140000}"/>
    <cellStyle name="Normal 14 12 10" xfId="5013" xr:uid="{00000000-0005-0000-0000-00002E140000}"/>
    <cellStyle name="Normal 14 12 11" xfId="5014" xr:uid="{00000000-0005-0000-0000-00002F140000}"/>
    <cellStyle name="Normal 14 12 12" xfId="5015" xr:uid="{00000000-0005-0000-0000-000030140000}"/>
    <cellStyle name="Normal 14 12 13" xfId="5016" xr:uid="{00000000-0005-0000-0000-000031140000}"/>
    <cellStyle name="Normal 14 12 14" xfId="5017" xr:uid="{00000000-0005-0000-0000-000032140000}"/>
    <cellStyle name="Normal 14 12 15" xfId="5018" xr:uid="{00000000-0005-0000-0000-000033140000}"/>
    <cellStyle name="Normal 14 12 16" xfId="5019" xr:uid="{00000000-0005-0000-0000-000034140000}"/>
    <cellStyle name="Normal 14 12 17" xfId="5020" xr:uid="{00000000-0005-0000-0000-000035140000}"/>
    <cellStyle name="Normal 14 12 18" xfId="5021" xr:uid="{00000000-0005-0000-0000-000036140000}"/>
    <cellStyle name="Normal 14 12 2" xfId="5022" xr:uid="{00000000-0005-0000-0000-000037140000}"/>
    <cellStyle name="Normal 14 12 3" xfId="5023" xr:uid="{00000000-0005-0000-0000-000038140000}"/>
    <cellStyle name="Normal 14 12 4" xfId="5024" xr:uid="{00000000-0005-0000-0000-000039140000}"/>
    <cellStyle name="Normal 14 12 5" xfId="5025" xr:uid="{00000000-0005-0000-0000-00003A140000}"/>
    <cellStyle name="Normal 14 12 6" xfId="5026" xr:uid="{00000000-0005-0000-0000-00003B140000}"/>
    <cellStyle name="Normal 14 12 7" xfId="5027" xr:uid="{00000000-0005-0000-0000-00003C140000}"/>
    <cellStyle name="Normal 14 12 8" xfId="5028" xr:uid="{00000000-0005-0000-0000-00003D140000}"/>
    <cellStyle name="Normal 14 12 9" xfId="5029" xr:uid="{00000000-0005-0000-0000-00003E140000}"/>
    <cellStyle name="Normal 14 13" xfId="5030" xr:uid="{00000000-0005-0000-0000-00003F140000}"/>
    <cellStyle name="Normal 14 13 10" xfId="5031" xr:uid="{00000000-0005-0000-0000-000040140000}"/>
    <cellStyle name="Normal 14 13 11" xfId="5032" xr:uid="{00000000-0005-0000-0000-000041140000}"/>
    <cellStyle name="Normal 14 13 12" xfId="5033" xr:uid="{00000000-0005-0000-0000-000042140000}"/>
    <cellStyle name="Normal 14 13 13" xfId="5034" xr:uid="{00000000-0005-0000-0000-000043140000}"/>
    <cellStyle name="Normal 14 13 14" xfId="5035" xr:uid="{00000000-0005-0000-0000-000044140000}"/>
    <cellStyle name="Normal 14 13 15" xfId="5036" xr:uid="{00000000-0005-0000-0000-000045140000}"/>
    <cellStyle name="Normal 14 13 16" xfId="5037" xr:uid="{00000000-0005-0000-0000-000046140000}"/>
    <cellStyle name="Normal 14 13 17" xfId="5038" xr:uid="{00000000-0005-0000-0000-000047140000}"/>
    <cellStyle name="Normal 14 13 18" xfId="5039" xr:uid="{00000000-0005-0000-0000-000048140000}"/>
    <cellStyle name="Normal 14 13 2" xfId="5040" xr:uid="{00000000-0005-0000-0000-000049140000}"/>
    <cellStyle name="Normal 14 13 3" xfId="5041" xr:uid="{00000000-0005-0000-0000-00004A140000}"/>
    <cellStyle name="Normal 14 13 4" xfId="5042" xr:uid="{00000000-0005-0000-0000-00004B140000}"/>
    <cellStyle name="Normal 14 13 5" xfId="5043" xr:uid="{00000000-0005-0000-0000-00004C140000}"/>
    <cellStyle name="Normal 14 13 6" xfId="5044" xr:uid="{00000000-0005-0000-0000-00004D140000}"/>
    <cellStyle name="Normal 14 13 7" xfId="5045" xr:uid="{00000000-0005-0000-0000-00004E140000}"/>
    <cellStyle name="Normal 14 13 8" xfId="5046" xr:uid="{00000000-0005-0000-0000-00004F140000}"/>
    <cellStyle name="Normal 14 13 9" xfId="5047" xr:uid="{00000000-0005-0000-0000-000050140000}"/>
    <cellStyle name="Normal 14 14" xfId="5048" xr:uid="{00000000-0005-0000-0000-000051140000}"/>
    <cellStyle name="Normal 14 14 10" xfId="5049" xr:uid="{00000000-0005-0000-0000-000052140000}"/>
    <cellStyle name="Normal 14 14 11" xfId="5050" xr:uid="{00000000-0005-0000-0000-000053140000}"/>
    <cellStyle name="Normal 14 14 12" xfId="5051" xr:uid="{00000000-0005-0000-0000-000054140000}"/>
    <cellStyle name="Normal 14 14 13" xfId="5052" xr:uid="{00000000-0005-0000-0000-000055140000}"/>
    <cellStyle name="Normal 14 14 14" xfId="5053" xr:uid="{00000000-0005-0000-0000-000056140000}"/>
    <cellStyle name="Normal 14 14 15" xfId="5054" xr:uid="{00000000-0005-0000-0000-000057140000}"/>
    <cellStyle name="Normal 14 14 16" xfId="5055" xr:uid="{00000000-0005-0000-0000-000058140000}"/>
    <cellStyle name="Normal 14 14 17" xfId="5056" xr:uid="{00000000-0005-0000-0000-000059140000}"/>
    <cellStyle name="Normal 14 14 18" xfId="5057" xr:uid="{00000000-0005-0000-0000-00005A140000}"/>
    <cellStyle name="Normal 14 14 2" xfId="5058" xr:uid="{00000000-0005-0000-0000-00005B140000}"/>
    <cellStyle name="Normal 14 14 3" xfId="5059" xr:uid="{00000000-0005-0000-0000-00005C140000}"/>
    <cellStyle name="Normal 14 14 4" xfId="5060" xr:uid="{00000000-0005-0000-0000-00005D140000}"/>
    <cellStyle name="Normal 14 14 5" xfId="5061" xr:uid="{00000000-0005-0000-0000-00005E140000}"/>
    <cellStyle name="Normal 14 14 6" xfId="5062" xr:uid="{00000000-0005-0000-0000-00005F140000}"/>
    <cellStyle name="Normal 14 14 7" xfId="5063" xr:uid="{00000000-0005-0000-0000-000060140000}"/>
    <cellStyle name="Normal 14 14 8" xfId="5064" xr:uid="{00000000-0005-0000-0000-000061140000}"/>
    <cellStyle name="Normal 14 14 9" xfId="5065" xr:uid="{00000000-0005-0000-0000-000062140000}"/>
    <cellStyle name="Normal 14 15" xfId="5066" xr:uid="{00000000-0005-0000-0000-000063140000}"/>
    <cellStyle name="Normal 14 15 10" xfId="5067" xr:uid="{00000000-0005-0000-0000-000064140000}"/>
    <cellStyle name="Normal 14 15 11" xfId="5068" xr:uid="{00000000-0005-0000-0000-000065140000}"/>
    <cellStyle name="Normal 14 15 12" xfId="5069" xr:uid="{00000000-0005-0000-0000-000066140000}"/>
    <cellStyle name="Normal 14 15 13" xfId="5070" xr:uid="{00000000-0005-0000-0000-000067140000}"/>
    <cellStyle name="Normal 14 15 14" xfId="5071" xr:uid="{00000000-0005-0000-0000-000068140000}"/>
    <cellStyle name="Normal 14 15 15" xfId="5072" xr:uid="{00000000-0005-0000-0000-000069140000}"/>
    <cellStyle name="Normal 14 15 16" xfId="5073" xr:uid="{00000000-0005-0000-0000-00006A140000}"/>
    <cellStyle name="Normal 14 15 17" xfId="5074" xr:uid="{00000000-0005-0000-0000-00006B140000}"/>
    <cellStyle name="Normal 14 15 18" xfId="5075" xr:uid="{00000000-0005-0000-0000-00006C140000}"/>
    <cellStyle name="Normal 14 15 2" xfId="5076" xr:uid="{00000000-0005-0000-0000-00006D140000}"/>
    <cellStyle name="Normal 14 15 3" xfId="5077" xr:uid="{00000000-0005-0000-0000-00006E140000}"/>
    <cellStyle name="Normal 14 15 4" xfId="5078" xr:uid="{00000000-0005-0000-0000-00006F140000}"/>
    <cellStyle name="Normal 14 15 5" xfId="5079" xr:uid="{00000000-0005-0000-0000-000070140000}"/>
    <cellStyle name="Normal 14 15 6" xfId="5080" xr:uid="{00000000-0005-0000-0000-000071140000}"/>
    <cellStyle name="Normal 14 15 7" xfId="5081" xr:uid="{00000000-0005-0000-0000-000072140000}"/>
    <cellStyle name="Normal 14 15 8" xfId="5082" xr:uid="{00000000-0005-0000-0000-000073140000}"/>
    <cellStyle name="Normal 14 15 9" xfId="5083" xr:uid="{00000000-0005-0000-0000-000074140000}"/>
    <cellStyle name="Normal 14 16" xfId="5084" xr:uid="{00000000-0005-0000-0000-000075140000}"/>
    <cellStyle name="Normal 14 16 10" xfId="5085" xr:uid="{00000000-0005-0000-0000-000076140000}"/>
    <cellStyle name="Normal 14 16 11" xfId="5086" xr:uid="{00000000-0005-0000-0000-000077140000}"/>
    <cellStyle name="Normal 14 16 12" xfId="5087" xr:uid="{00000000-0005-0000-0000-000078140000}"/>
    <cellStyle name="Normal 14 16 13" xfId="5088" xr:uid="{00000000-0005-0000-0000-000079140000}"/>
    <cellStyle name="Normal 14 16 14" xfId="5089" xr:uid="{00000000-0005-0000-0000-00007A140000}"/>
    <cellStyle name="Normal 14 16 15" xfId="5090" xr:uid="{00000000-0005-0000-0000-00007B140000}"/>
    <cellStyle name="Normal 14 16 16" xfId="5091" xr:uid="{00000000-0005-0000-0000-00007C140000}"/>
    <cellStyle name="Normal 14 16 17" xfId="5092" xr:uid="{00000000-0005-0000-0000-00007D140000}"/>
    <cellStyle name="Normal 14 16 18" xfId="5093" xr:uid="{00000000-0005-0000-0000-00007E140000}"/>
    <cellStyle name="Normal 14 16 2" xfId="5094" xr:uid="{00000000-0005-0000-0000-00007F140000}"/>
    <cellStyle name="Normal 14 16 3" xfId="5095" xr:uid="{00000000-0005-0000-0000-000080140000}"/>
    <cellStyle name="Normal 14 16 4" xfId="5096" xr:uid="{00000000-0005-0000-0000-000081140000}"/>
    <cellStyle name="Normal 14 16 5" xfId="5097" xr:uid="{00000000-0005-0000-0000-000082140000}"/>
    <cellStyle name="Normal 14 16 6" xfId="5098" xr:uid="{00000000-0005-0000-0000-000083140000}"/>
    <cellStyle name="Normal 14 16 7" xfId="5099" xr:uid="{00000000-0005-0000-0000-000084140000}"/>
    <cellStyle name="Normal 14 16 8" xfId="5100" xr:uid="{00000000-0005-0000-0000-000085140000}"/>
    <cellStyle name="Normal 14 16 9" xfId="5101" xr:uid="{00000000-0005-0000-0000-000086140000}"/>
    <cellStyle name="Normal 14 17" xfId="5102" xr:uid="{00000000-0005-0000-0000-000087140000}"/>
    <cellStyle name="Normal 14 17 10" xfId="5103" xr:uid="{00000000-0005-0000-0000-000088140000}"/>
    <cellStyle name="Normal 14 17 11" xfId="5104" xr:uid="{00000000-0005-0000-0000-000089140000}"/>
    <cellStyle name="Normal 14 17 12" xfId="5105" xr:uid="{00000000-0005-0000-0000-00008A140000}"/>
    <cellStyle name="Normal 14 17 13" xfId="5106" xr:uid="{00000000-0005-0000-0000-00008B140000}"/>
    <cellStyle name="Normal 14 17 14" xfId="5107" xr:uid="{00000000-0005-0000-0000-00008C140000}"/>
    <cellStyle name="Normal 14 17 15" xfId="5108" xr:uid="{00000000-0005-0000-0000-00008D140000}"/>
    <cellStyle name="Normal 14 17 16" xfId="5109" xr:uid="{00000000-0005-0000-0000-00008E140000}"/>
    <cellStyle name="Normal 14 17 17" xfId="5110" xr:uid="{00000000-0005-0000-0000-00008F140000}"/>
    <cellStyle name="Normal 14 17 18" xfId="5111" xr:uid="{00000000-0005-0000-0000-000090140000}"/>
    <cellStyle name="Normal 14 17 2" xfId="5112" xr:uid="{00000000-0005-0000-0000-000091140000}"/>
    <cellStyle name="Normal 14 17 3" xfId="5113" xr:uid="{00000000-0005-0000-0000-000092140000}"/>
    <cellStyle name="Normal 14 17 4" xfId="5114" xr:uid="{00000000-0005-0000-0000-000093140000}"/>
    <cellStyle name="Normal 14 17 5" xfId="5115" xr:uid="{00000000-0005-0000-0000-000094140000}"/>
    <cellStyle name="Normal 14 17 6" xfId="5116" xr:uid="{00000000-0005-0000-0000-000095140000}"/>
    <cellStyle name="Normal 14 17 7" xfId="5117" xr:uid="{00000000-0005-0000-0000-000096140000}"/>
    <cellStyle name="Normal 14 17 8" xfId="5118" xr:uid="{00000000-0005-0000-0000-000097140000}"/>
    <cellStyle name="Normal 14 17 9" xfId="5119" xr:uid="{00000000-0005-0000-0000-000098140000}"/>
    <cellStyle name="Normal 14 18" xfId="5120" xr:uid="{00000000-0005-0000-0000-000099140000}"/>
    <cellStyle name="Normal 14 18 10" xfId="5121" xr:uid="{00000000-0005-0000-0000-00009A140000}"/>
    <cellStyle name="Normal 14 18 11" xfId="5122" xr:uid="{00000000-0005-0000-0000-00009B140000}"/>
    <cellStyle name="Normal 14 18 12" xfId="5123" xr:uid="{00000000-0005-0000-0000-00009C140000}"/>
    <cellStyle name="Normal 14 18 13" xfId="5124" xr:uid="{00000000-0005-0000-0000-00009D140000}"/>
    <cellStyle name="Normal 14 18 14" xfId="5125" xr:uid="{00000000-0005-0000-0000-00009E140000}"/>
    <cellStyle name="Normal 14 18 15" xfId="5126" xr:uid="{00000000-0005-0000-0000-00009F140000}"/>
    <cellStyle name="Normal 14 18 16" xfId="5127" xr:uid="{00000000-0005-0000-0000-0000A0140000}"/>
    <cellStyle name="Normal 14 18 17" xfId="5128" xr:uid="{00000000-0005-0000-0000-0000A1140000}"/>
    <cellStyle name="Normal 14 18 18" xfId="5129" xr:uid="{00000000-0005-0000-0000-0000A2140000}"/>
    <cellStyle name="Normal 14 18 2" xfId="5130" xr:uid="{00000000-0005-0000-0000-0000A3140000}"/>
    <cellStyle name="Normal 14 18 3" xfId="5131" xr:uid="{00000000-0005-0000-0000-0000A4140000}"/>
    <cellStyle name="Normal 14 18 4" xfId="5132" xr:uid="{00000000-0005-0000-0000-0000A5140000}"/>
    <cellStyle name="Normal 14 18 5" xfId="5133" xr:uid="{00000000-0005-0000-0000-0000A6140000}"/>
    <cellStyle name="Normal 14 18 6" xfId="5134" xr:uid="{00000000-0005-0000-0000-0000A7140000}"/>
    <cellStyle name="Normal 14 18 7" xfId="5135" xr:uid="{00000000-0005-0000-0000-0000A8140000}"/>
    <cellStyle name="Normal 14 18 8" xfId="5136" xr:uid="{00000000-0005-0000-0000-0000A9140000}"/>
    <cellStyle name="Normal 14 18 9" xfId="5137" xr:uid="{00000000-0005-0000-0000-0000AA140000}"/>
    <cellStyle name="Normal 14 19" xfId="5138" xr:uid="{00000000-0005-0000-0000-0000AB140000}"/>
    <cellStyle name="Normal 14 19 10" xfId="5139" xr:uid="{00000000-0005-0000-0000-0000AC140000}"/>
    <cellStyle name="Normal 14 19 11" xfId="5140" xr:uid="{00000000-0005-0000-0000-0000AD140000}"/>
    <cellStyle name="Normal 14 19 12" xfId="5141" xr:uid="{00000000-0005-0000-0000-0000AE140000}"/>
    <cellStyle name="Normal 14 19 13" xfId="5142" xr:uid="{00000000-0005-0000-0000-0000AF140000}"/>
    <cellStyle name="Normal 14 19 14" xfId="5143" xr:uid="{00000000-0005-0000-0000-0000B0140000}"/>
    <cellStyle name="Normal 14 19 15" xfId="5144" xr:uid="{00000000-0005-0000-0000-0000B1140000}"/>
    <cellStyle name="Normal 14 19 16" xfId="5145" xr:uid="{00000000-0005-0000-0000-0000B2140000}"/>
    <cellStyle name="Normal 14 19 17" xfId="5146" xr:uid="{00000000-0005-0000-0000-0000B3140000}"/>
    <cellStyle name="Normal 14 19 18" xfId="5147" xr:uid="{00000000-0005-0000-0000-0000B4140000}"/>
    <cellStyle name="Normal 14 19 2" xfId="5148" xr:uid="{00000000-0005-0000-0000-0000B5140000}"/>
    <cellStyle name="Normal 14 19 3" xfId="5149" xr:uid="{00000000-0005-0000-0000-0000B6140000}"/>
    <cellStyle name="Normal 14 19 4" xfId="5150" xr:uid="{00000000-0005-0000-0000-0000B7140000}"/>
    <cellStyle name="Normal 14 19 5" xfId="5151" xr:uid="{00000000-0005-0000-0000-0000B8140000}"/>
    <cellStyle name="Normal 14 19 6" xfId="5152" xr:uid="{00000000-0005-0000-0000-0000B9140000}"/>
    <cellStyle name="Normal 14 19 7" xfId="5153" xr:uid="{00000000-0005-0000-0000-0000BA140000}"/>
    <cellStyle name="Normal 14 19 8" xfId="5154" xr:uid="{00000000-0005-0000-0000-0000BB140000}"/>
    <cellStyle name="Normal 14 19 9" xfId="5155" xr:uid="{00000000-0005-0000-0000-0000BC140000}"/>
    <cellStyle name="Normal 14 2" xfId="5156" xr:uid="{00000000-0005-0000-0000-0000BD140000}"/>
    <cellStyle name="Normal 14 2 10" xfId="5157" xr:uid="{00000000-0005-0000-0000-0000BE140000}"/>
    <cellStyle name="Normal 14 2 11" xfId="5158" xr:uid="{00000000-0005-0000-0000-0000BF140000}"/>
    <cellStyle name="Normal 14 2 12" xfId="5159" xr:uid="{00000000-0005-0000-0000-0000C0140000}"/>
    <cellStyle name="Normal 14 2 13" xfId="5160" xr:uid="{00000000-0005-0000-0000-0000C1140000}"/>
    <cellStyle name="Normal 14 2 14" xfId="5161" xr:uid="{00000000-0005-0000-0000-0000C2140000}"/>
    <cellStyle name="Normal 14 2 15" xfId="5162" xr:uid="{00000000-0005-0000-0000-0000C3140000}"/>
    <cellStyle name="Normal 14 2 16" xfId="5163" xr:uid="{00000000-0005-0000-0000-0000C4140000}"/>
    <cellStyle name="Normal 14 2 17" xfId="5164" xr:uid="{00000000-0005-0000-0000-0000C5140000}"/>
    <cellStyle name="Normal 14 2 18" xfId="5165" xr:uid="{00000000-0005-0000-0000-0000C6140000}"/>
    <cellStyle name="Normal 14 2 19" xfId="5166" xr:uid="{00000000-0005-0000-0000-0000C7140000}"/>
    <cellStyle name="Normal 14 2 2" xfId="5167" xr:uid="{00000000-0005-0000-0000-0000C8140000}"/>
    <cellStyle name="Normal 14 2 2 10" xfId="5168" xr:uid="{00000000-0005-0000-0000-0000C9140000}"/>
    <cellStyle name="Normal 14 2 2 11" xfId="5169" xr:uid="{00000000-0005-0000-0000-0000CA140000}"/>
    <cellStyle name="Normal 14 2 2 12" xfId="5170" xr:uid="{00000000-0005-0000-0000-0000CB140000}"/>
    <cellStyle name="Normal 14 2 2 13" xfId="5171" xr:uid="{00000000-0005-0000-0000-0000CC140000}"/>
    <cellStyle name="Normal 14 2 2 14" xfId="5172" xr:uid="{00000000-0005-0000-0000-0000CD140000}"/>
    <cellStyle name="Normal 14 2 2 15" xfId="5173" xr:uid="{00000000-0005-0000-0000-0000CE140000}"/>
    <cellStyle name="Normal 14 2 2 16" xfId="5174" xr:uid="{00000000-0005-0000-0000-0000CF140000}"/>
    <cellStyle name="Normal 14 2 2 17" xfId="5175" xr:uid="{00000000-0005-0000-0000-0000D0140000}"/>
    <cellStyle name="Normal 14 2 2 2" xfId="5176" xr:uid="{00000000-0005-0000-0000-0000D1140000}"/>
    <cellStyle name="Normal 14 2 2 3" xfId="5177" xr:uid="{00000000-0005-0000-0000-0000D2140000}"/>
    <cellStyle name="Normal 14 2 2 4" xfId="5178" xr:uid="{00000000-0005-0000-0000-0000D3140000}"/>
    <cellStyle name="Normal 14 2 2 5" xfId="5179" xr:uid="{00000000-0005-0000-0000-0000D4140000}"/>
    <cellStyle name="Normal 14 2 2 6" xfId="5180" xr:uid="{00000000-0005-0000-0000-0000D5140000}"/>
    <cellStyle name="Normal 14 2 2 7" xfId="5181" xr:uid="{00000000-0005-0000-0000-0000D6140000}"/>
    <cellStyle name="Normal 14 2 2 8" xfId="5182" xr:uid="{00000000-0005-0000-0000-0000D7140000}"/>
    <cellStyle name="Normal 14 2 2 9" xfId="5183" xr:uid="{00000000-0005-0000-0000-0000D8140000}"/>
    <cellStyle name="Normal 14 2 20" xfId="5184" xr:uid="{00000000-0005-0000-0000-0000D9140000}"/>
    <cellStyle name="Normal 14 2 21" xfId="5185" xr:uid="{00000000-0005-0000-0000-0000DA140000}"/>
    <cellStyle name="Normal 14 2 22" xfId="5186" xr:uid="{00000000-0005-0000-0000-0000DB140000}"/>
    <cellStyle name="Normal 14 2 23" xfId="5187" xr:uid="{00000000-0005-0000-0000-0000DC140000}"/>
    <cellStyle name="Normal 14 2 24" xfId="5188" xr:uid="{00000000-0005-0000-0000-0000DD140000}"/>
    <cellStyle name="Normal 14 2 25" xfId="5189" xr:uid="{00000000-0005-0000-0000-0000DE140000}"/>
    <cellStyle name="Normal 14 2 26" xfId="5190" xr:uid="{00000000-0005-0000-0000-0000DF140000}"/>
    <cellStyle name="Normal 14 2 27" xfId="5191" xr:uid="{00000000-0005-0000-0000-0000E0140000}"/>
    <cellStyle name="Normal 14 2 28" xfId="5192" xr:uid="{00000000-0005-0000-0000-0000E1140000}"/>
    <cellStyle name="Normal 14 2 29" xfId="5193" xr:uid="{00000000-0005-0000-0000-0000E2140000}"/>
    <cellStyle name="Normal 14 2 3" xfId="5194" xr:uid="{00000000-0005-0000-0000-0000E3140000}"/>
    <cellStyle name="Normal 14 2 30" xfId="5195" xr:uid="{00000000-0005-0000-0000-0000E4140000}"/>
    <cellStyle name="Normal 14 2 31" xfId="5196" xr:uid="{00000000-0005-0000-0000-0000E5140000}"/>
    <cellStyle name="Normal 14 2 32" xfId="5197" xr:uid="{00000000-0005-0000-0000-0000E6140000}"/>
    <cellStyle name="Normal 14 2 33" xfId="5198" xr:uid="{00000000-0005-0000-0000-0000E7140000}"/>
    <cellStyle name="Normal 14 2 34" xfId="5199" xr:uid="{00000000-0005-0000-0000-0000E8140000}"/>
    <cellStyle name="Normal 14 2 35" xfId="5200" xr:uid="{00000000-0005-0000-0000-0000E9140000}"/>
    <cellStyle name="Normal 14 2 36" xfId="5201" xr:uid="{00000000-0005-0000-0000-0000EA140000}"/>
    <cellStyle name="Normal 14 2 37" xfId="5202" xr:uid="{00000000-0005-0000-0000-0000EB140000}"/>
    <cellStyle name="Normal 14 2 38" xfId="5203" xr:uid="{00000000-0005-0000-0000-0000EC140000}"/>
    <cellStyle name="Normal 14 2 39" xfId="5204" xr:uid="{00000000-0005-0000-0000-0000ED140000}"/>
    <cellStyle name="Normal 14 2 4" xfId="5205" xr:uid="{00000000-0005-0000-0000-0000EE140000}"/>
    <cellStyle name="Normal 14 2 40" xfId="5206" xr:uid="{00000000-0005-0000-0000-0000EF140000}"/>
    <cellStyle name="Normal 14 2 41" xfId="5207" xr:uid="{00000000-0005-0000-0000-0000F0140000}"/>
    <cellStyle name="Normal 14 2 42" xfId="5208" xr:uid="{00000000-0005-0000-0000-0000F1140000}"/>
    <cellStyle name="Normal 14 2 43" xfId="5209" xr:uid="{00000000-0005-0000-0000-0000F2140000}"/>
    <cellStyle name="Normal 14 2 44" xfId="5210" xr:uid="{00000000-0005-0000-0000-0000F3140000}"/>
    <cellStyle name="Normal 14 2 45" xfId="5211" xr:uid="{00000000-0005-0000-0000-0000F4140000}"/>
    <cellStyle name="Normal 14 2 46" xfId="5212" xr:uid="{00000000-0005-0000-0000-0000F5140000}"/>
    <cellStyle name="Normal 14 2 47" xfId="5213" xr:uid="{00000000-0005-0000-0000-0000F6140000}"/>
    <cellStyle name="Normal 14 2 48" xfId="5214" xr:uid="{00000000-0005-0000-0000-0000F7140000}"/>
    <cellStyle name="Normal 14 2 49" xfId="5215" xr:uid="{00000000-0005-0000-0000-0000F8140000}"/>
    <cellStyle name="Normal 14 2 5" xfId="5216" xr:uid="{00000000-0005-0000-0000-0000F9140000}"/>
    <cellStyle name="Normal 14 2 50" xfId="5217" xr:uid="{00000000-0005-0000-0000-0000FA140000}"/>
    <cellStyle name="Normal 14 2 51" xfId="5218" xr:uid="{00000000-0005-0000-0000-0000FB140000}"/>
    <cellStyle name="Normal 14 2 52" xfId="5219" xr:uid="{00000000-0005-0000-0000-0000FC140000}"/>
    <cellStyle name="Normal 14 2 53" xfId="5220" xr:uid="{00000000-0005-0000-0000-0000FD140000}"/>
    <cellStyle name="Normal 14 2 54" xfId="5221" xr:uid="{00000000-0005-0000-0000-0000FE140000}"/>
    <cellStyle name="Normal 14 2 55" xfId="5222" xr:uid="{00000000-0005-0000-0000-0000FF140000}"/>
    <cellStyle name="Normal 14 2 56" xfId="5223" xr:uid="{00000000-0005-0000-0000-000000150000}"/>
    <cellStyle name="Normal 14 2 57" xfId="5224" xr:uid="{00000000-0005-0000-0000-000001150000}"/>
    <cellStyle name="Normal 14 2 58" xfId="5225" xr:uid="{00000000-0005-0000-0000-000002150000}"/>
    <cellStyle name="Normal 14 2 59" xfId="5226" xr:uid="{00000000-0005-0000-0000-000003150000}"/>
    <cellStyle name="Normal 14 2 6" xfId="5227" xr:uid="{00000000-0005-0000-0000-000004150000}"/>
    <cellStyle name="Normal 14 2 60" xfId="5228" xr:uid="{00000000-0005-0000-0000-000005150000}"/>
    <cellStyle name="Normal 14 2 61" xfId="5229" xr:uid="{00000000-0005-0000-0000-000006150000}"/>
    <cellStyle name="Normal 14 2 62" xfId="5230" xr:uid="{00000000-0005-0000-0000-000007150000}"/>
    <cellStyle name="Normal 14 2 63" xfId="5231" xr:uid="{00000000-0005-0000-0000-000008150000}"/>
    <cellStyle name="Normal 14 2 64" xfId="5232" xr:uid="{00000000-0005-0000-0000-000009150000}"/>
    <cellStyle name="Normal 14 2 65" xfId="5233" xr:uid="{00000000-0005-0000-0000-00000A150000}"/>
    <cellStyle name="Normal 14 2 66" xfId="5234" xr:uid="{00000000-0005-0000-0000-00000B150000}"/>
    <cellStyle name="Normal 14 2 67" xfId="5235" xr:uid="{00000000-0005-0000-0000-00000C150000}"/>
    <cellStyle name="Normal 14 2 68" xfId="5236" xr:uid="{00000000-0005-0000-0000-00000D150000}"/>
    <cellStyle name="Normal 14 2 69" xfId="5237" xr:uid="{00000000-0005-0000-0000-00000E150000}"/>
    <cellStyle name="Normal 14 2 7" xfId="5238" xr:uid="{00000000-0005-0000-0000-00000F150000}"/>
    <cellStyle name="Normal 14 2 70" xfId="5239" xr:uid="{00000000-0005-0000-0000-000010150000}"/>
    <cellStyle name="Normal 14 2 71" xfId="5240" xr:uid="{00000000-0005-0000-0000-000011150000}"/>
    <cellStyle name="Normal 14 2 72" xfId="5241" xr:uid="{00000000-0005-0000-0000-000012150000}"/>
    <cellStyle name="Normal 14 2 73" xfId="5242" xr:uid="{00000000-0005-0000-0000-000013150000}"/>
    <cellStyle name="Normal 14 2 74" xfId="5243" xr:uid="{00000000-0005-0000-0000-000014150000}"/>
    <cellStyle name="Normal 14 2 75" xfId="5244" xr:uid="{00000000-0005-0000-0000-000015150000}"/>
    <cellStyle name="Normal 14 2 76" xfId="5245" xr:uid="{00000000-0005-0000-0000-000016150000}"/>
    <cellStyle name="Normal 14 2 77" xfId="5246" xr:uid="{00000000-0005-0000-0000-000017150000}"/>
    <cellStyle name="Normal 14 2 78" xfId="5247" xr:uid="{00000000-0005-0000-0000-000018150000}"/>
    <cellStyle name="Normal 14 2 8" xfId="5248" xr:uid="{00000000-0005-0000-0000-000019150000}"/>
    <cellStyle name="Normal 14 2 9" xfId="5249" xr:uid="{00000000-0005-0000-0000-00001A150000}"/>
    <cellStyle name="Normal 14 2_List of table gaps" xfId="5250" xr:uid="{00000000-0005-0000-0000-00001B150000}"/>
    <cellStyle name="Normal 14 20" xfId="5251" xr:uid="{00000000-0005-0000-0000-00001C150000}"/>
    <cellStyle name="Normal 14 20 10" xfId="5252" xr:uid="{00000000-0005-0000-0000-00001D150000}"/>
    <cellStyle name="Normal 14 20 11" xfId="5253" xr:uid="{00000000-0005-0000-0000-00001E150000}"/>
    <cellStyle name="Normal 14 20 12" xfId="5254" xr:uid="{00000000-0005-0000-0000-00001F150000}"/>
    <cellStyle name="Normal 14 20 13" xfId="5255" xr:uid="{00000000-0005-0000-0000-000020150000}"/>
    <cellStyle name="Normal 14 20 14" xfId="5256" xr:uid="{00000000-0005-0000-0000-000021150000}"/>
    <cellStyle name="Normal 14 20 15" xfId="5257" xr:uid="{00000000-0005-0000-0000-000022150000}"/>
    <cellStyle name="Normal 14 20 16" xfId="5258" xr:uid="{00000000-0005-0000-0000-000023150000}"/>
    <cellStyle name="Normal 14 20 17" xfId="5259" xr:uid="{00000000-0005-0000-0000-000024150000}"/>
    <cellStyle name="Normal 14 20 18" xfId="5260" xr:uid="{00000000-0005-0000-0000-000025150000}"/>
    <cellStyle name="Normal 14 20 2" xfId="5261" xr:uid="{00000000-0005-0000-0000-000026150000}"/>
    <cellStyle name="Normal 14 20 3" xfId="5262" xr:uid="{00000000-0005-0000-0000-000027150000}"/>
    <cellStyle name="Normal 14 20 4" xfId="5263" xr:uid="{00000000-0005-0000-0000-000028150000}"/>
    <cellStyle name="Normal 14 20 5" xfId="5264" xr:uid="{00000000-0005-0000-0000-000029150000}"/>
    <cellStyle name="Normal 14 20 6" xfId="5265" xr:uid="{00000000-0005-0000-0000-00002A150000}"/>
    <cellStyle name="Normal 14 20 7" xfId="5266" xr:uid="{00000000-0005-0000-0000-00002B150000}"/>
    <cellStyle name="Normal 14 20 8" xfId="5267" xr:uid="{00000000-0005-0000-0000-00002C150000}"/>
    <cellStyle name="Normal 14 20 9" xfId="5268" xr:uid="{00000000-0005-0000-0000-00002D150000}"/>
    <cellStyle name="Normal 14 21" xfId="5269" xr:uid="{00000000-0005-0000-0000-00002E150000}"/>
    <cellStyle name="Normal 14 21 10" xfId="5270" xr:uid="{00000000-0005-0000-0000-00002F150000}"/>
    <cellStyle name="Normal 14 21 11" xfId="5271" xr:uid="{00000000-0005-0000-0000-000030150000}"/>
    <cellStyle name="Normal 14 21 12" xfId="5272" xr:uid="{00000000-0005-0000-0000-000031150000}"/>
    <cellStyle name="Normal 14 21 13" xfId="5273" xr:uid="{00000000-0005-0000-0000-000032150000}"/>
    <cellStyle name="Normal 14 21 14" xfId="5274" xr:uid="{00000000-0005-0000-0000-000033150000}"/>
    <cellStyle name="Normal 14 21 15" xfId="5275" xr:uid="{00000000-0005-0000-0000-000034150000}"/>
    <cellStyle name="Normal 14 21 16" xfId="5276" xr:uid="{00000000-0005-0000-0000-000035150000}"/>
    <cellStyle name="Normal 14 21 17" xfId="5277" xr:uid="{00000000-0005-0000-0000-000036150000}"/>
    <cellStyle name="Normal 14 21 18" xfId="5278" xr:uid="{00000000-0005-0000-0000-000037150000}"/>
    <cellStyle name="Normal 14 21 2" xfId="5279" xr:uid="{00000000-0005-0000-0000-000038150000}"/>
    <cellStyle name="Normal 14 21 3" xfId="5280" xr:uid="{00000000-0005-0000-0000-000039150000}"/>
    <cellStyle name="Normal 14 21 4" xfId="5281" xr:uid="{00000000-0005-0000-0000-00003A150000}"/>
    <cellStyle name="Normal 14 21 5" xfId="5282" xr:uid="{00000000-0005-0000-0000-00003B150000}"/>
    <cellStyle name="Normal 14 21 6" xfId="5283" xr:uid="{00000000-0005-0000-0000-00003C150000}"/>
    <cellStyle name="Normal 14 21 7" xfId="5284" xr:uid="{00000000-0005-0000-0000-00003D150000}"/>
    <cellStyle name="Normal 14 21 8" xfId="5285" xr:uid="{00000000-0005-0000-0000-00003E150000}"/>
    <cellStyle name="Normal 14 21 9" xfId="5286" xr:uid="{00000000-0005-0000-0000-00003F150000}"/>
    <cellStyle name="Normal 14 22" xfId="5287" xr:uid="{00000000-0005-0000-0000-000040150000}"/>
    <cellStyle name="Normal 14 22 10" xfId="5288" xr:uid="{00000000-0005-0000-0000-000041150000}"/>
    <cellStyle name="Normal 14 22 11" xfId="5289" xr:uid="{00000000-0005-0000-0000-000042150000}"/>
    <cellStyle name="Normal 14 22 12" xfId="5290" xr:uid="{00000000-0005-0000-0000-000043150000}"/>
    <cellStyle name="Normal 14 22 13" xfId="5291" xr:uid="{00000000-0005-0000-0000-000044150000}"/>
    <cellStyle name="Normal 14 22 14" xfId="5292" xr:uid="{00000000-0005-0000-0000-000045150000}"/>
    <cellStyle name="Normal 14 22 15" xfId="5293" xr:uid="{00000000-0005-0000-0000-000046150000}"/>
    <cellStyle name="Normal 14 22 16" xfId="5294" xr:uid="{00000000-0005-0000-0000-000047150000}"/>
    <cellStyle name="Normal 14 22 17" xfId="5295" xr:uid="{00000000-0005-0000-0000-000048150000}"/>
    <cellStyle name="Normal 14 22 18" xfId="5296" xr:uid="{00000000-0005-0000-0000-000049150000}"/>
    <cellStyle name="Normal 14 22 2" xfId="5297" xr:uid="{00000000-0005-0000-0000-00004A150000}"/>
    <cellStyle name="Normal 14 22 3" xfId="5298" xr:uid="{00000000-0005-0000-0000-00004B150000}"/>
    <cellStyle name="Normal 14 22 4" xfId="5299" xr:uid="{00000000-0005-0000-0000-00004C150000}"/>
    <cellStyle name="Normal 14 22 5" xfId="5300" xr:uid="{00000000-0005-0000-0000-00004D150000}"/>
    <cellStyle name="Normal 14 22 6" xfId="5301" xr:uid="{00000000-0005-0000-0000-00004E150000}"/>
    <cellStyle name="Normal 14 22 7" xfId="5302" xr:uid="{00000000-0005-0000-0000-00004F150000}"/>
    <cellStyle name="Normal 14 22 8" xfId="5303" xr:uid="{00000000-0005-0000-0000-000050150000}"/>
    <cellStyle name="Normal 14 22 9" xfId="5304" xr:uid="{00000000-0005-0000-0000-000051150000}"/>
    <cellStyle name="Normal 14 23" xfId="5305" xr:uid="{00000000-0005-0000-0000-000052150000}"/>
    <cellStyle name="Normal 14 23 10" xfId="5306" xr:uid="{00000000-0005-0000-0000-000053150000}"/>
    <cellStyle name="Normal 14 23 11" xfId="5307" xr:uid="{00000000-0005-0000-0000-000054150000}"/>
    <cellStyle name="Normal 14 23 12" xfId="5308" xr:uid="{00000000-0005-0000-0000-000055150000}"/>
    <cellStyle name="Normal 14 23 13" xfId="5309" xr:uid="{00000000-0005-0000-0000-000056150000}"/>
    <cellStyle name="Normal 14 23 14" xfId="5310" xr:uid="{00000000-0005-0000-0000-000057150000}"/>
    <cellStyle name="Normal 14 23 15" xfId="5311" xr:uid="{00000000-0005-0000-0000-000058150000}"/>
    <cellStyle name="Normal 14 23 16" xfId="5312" xr:uid="{00000000-0005-0000-0000-000059150000}"/>
    <cellStyle name="Normal 14 23 17" xfId="5313" xr:uid="{00000000-0005-0000-0000-00005A150000}"/>
    <cellStyle name="Normal 14 23 18" xfId="5314" xr:uid="{00000000-0005-0000-0000-00005B150000}"/>
    <cellStyle name="Normal 14 23 2" xfId="5315" xr:uid="{00000000-0005-0000-0000-00005C150000}"/>
    <cellStyle name="Normal 14 23 3" xfId="5316" xr:uid="{00000000-0005-0000-0000-00005D150000}"/>
    <cellStyle name="Normal 14 23 4" xfId="5317" xr:uid="{00000000-0005-0000-0000-00005E150000}"/>
    <cellStyle name="Normal 14 23 5" xfId="5318" xr:uid="{00000000-0005-0000-0000-00005F150000}"/>
    <cellStyle name="Normal 14 23 6" xfId="5319" xr:uid="{00000000-0005-0000-0000-000060150000}"/>
    <cellStyle name="Normal 14 23 7" xfId="5320" xr:uid="{00000000-0005-0000-0000-000061150000}"/>
    <cellStyle name="Normal 14 23 8" xfId="5321" xr:uid="{00000000-0005-0000-0000-000062150000}"/>
    <cellStyle name="Normal 14 23 9" xfId="5322" xr:uid="{00000000-0005-0000-0000-000063150000}"/>
    <cellStyle name="Normal 14 24" xfId="5323" xr:uid="{00000000-0005-0000-0000-000064150000}"/>
    <cellStyle name="Normal 14 24 10" xfId="5324" xr:uid="{00000000-0005-0000-0000-000065150000}"/>
    <cellStyle name="Normal 14 24 11" xfId="5325" xr:uid="{00000000-0005-0000-0000-000066150000}"/>
    <cellStyle name="Normal 14 24 12" xfId="5326" xr:uid="{00000000-0005-0000-0000-000067150000}"/>
    <cellStyle name="Normal 14 24 13" xfId="5327" xr:uid="{00000000-0005-0000-0000-000068150000}"/>
    <cellStyle name="Normal 14 24 14" xfId="5328" xr:uid="{00000000-0005-0000-0000-000069150000}"/>
    <cellStyle name="Normal 14 24 15" xfId="5329" xr:uid="{00000000-0005-0000-0000-00006A150000}"/>
    <cellStyle name="Normal 14 24 16" xfId="5330" xr:uid="{00000000-0005-0000-0000-00006B150000}"/>
    <cellStyle name="Normal 14 24 17" xfId="5331" xr:uid="{00000000-0005-0000-0000-00006C150000}"/>
    <cellStyle name="Normal 14 24 18" xfId="5332" xr:uid="{00000000-0005-0000-0000-00006D150000}"/>
    <cellStyle name="Normal 14 24 2" xfId="5333" xr:uid="{00000000-0005-0000-0000-00006E150000}"/>
    <cellStyle name="Normal 14 24 3" xfId="5334" xr:uid="{00000000-0005-0000-0000-00006F150000}"/>
    <cellStyle name="Normal 14 24 4" xfId="5335" xr:uid="{00000000-0005-0000-0000-000070150000}"/>
    <cellStyle name="Normal 14 24 5" xfId="5336" xr:uid="{00000000-0005-0000-0000-000071150000}"/>
    <cellStyle name="Normal 14 24 6" xfId="5337" xr:uid="{00000000-0005-0000-0000-000072150000}"/>
    <cellStyle name="Normal 14 24 7" xfId="5338" xr:uid="{00000000-0005-0000-0000-000073150000}"/>
    <cellStyle name="Normal 14 24 8" xfId="5339" xr:uid="{00000000-0005-0000-0000-000074150000}"/>
    <cellStyle name="Normal 14 24 9" xfId="5340" xr:uid="{00000000-0005-0000-0000-000075150000}"/>
    <cellStyle name="Normal 14 25" xfId="5341" xr:uid="{00000000-0005-0000-0000-000076150000}"/>
    <cellStyle name="Normal 14 26" xfId="5342" xr:uid="{00000000-0005-0000-0000-000077150000}"/>
    <cellStyle name="Normal 14 27" xfId="5343" xr:uid="{00000000-0005-0000-0000-000078150000}"/>
    <cellStyle name="Normal 14 28" xfId="5344" xr:uid="{00000000-0005-0000-0000-000079150000}"/>
    <cellStyle name="Normal 14 29" xfId="5345" xr:uid="{00000000-0005-0000-0000-00007A150000}"/>
    <cellStyle name="Normal 14 3" xfId="5346" xr:uid="{00000000-0005-0000-0000-00007B150000}"/>
    <cellStyle name="Normal 14 3 2" xfId="5347" xr:uid="{00000000-0005-0000-0000-00007C150000}"/>
    <cellStyle name="Normal 14 3 3" xfId="5348" xr:uid="{00000000-0005-0000-0000-00007D150000}"/>
    <cellStyle name="Normal 14 30" xfId="5349" xr:uid="{00000000-0005-0000-0000-00007E150000}"/>
    <cellStyle name="Normal 14 31" xfId="5350" xr:uid="{00000000-0005-0000-0000-00007F150000}"/>
    <cellStyle name="Normal 14 32" xfId="5351" xr:uid="{00000000-0005-0000-0000-000080150000}"/>
    <cellStyle name="Normal 14 33" xfId="5352" xr:uid="{00000000-0005-0000-0000-000081150000}"/>
    <cellStyle name="Normal 14 34" xfId="5353" xr:uid="{00000000-0005-0000-0000-000082150000}"/>
    <cellStyle name="Normal 14 35" xfId="5354" xr:uid="{00000000-0005-0000-0000-000083150000}"/>
    <cellStyle name="Normal 14 36" xfId="5355" xr:uid="{00000000-0005-0000-0000-000084150000}"/>
    <cellStyle name="Normal 14 37" xfId="5356" xr:uid="{00000000-0005-0000-0000-000085150000}"/>
    <cellStyle name="Normal 14 38" xfId="5357" xr:uid="{00000000-0005-0000-0000-000086150000}"/>
    <cellStyle name="Normal 14 39" xfId="5358" xr:uid="{00000000-0005-0000-0000-000087150000}"/>
    <cellStyle name="Normal 14 4" xfId="5359" xr:uid="{00000000-0005-0000-0000-000088150000}"/>
    <cellStyle name="Normal 14 4 10" xfId="5360" xr:uid="{00000000-0005-0000-0000-000089150000}"/>
    <cellStyle name="Normal 14 4 11" xfId="5361" xr:uid="{00000000-0005-0000-0000-00008A150000}"/>
    <cellStyle name="Normal 14 4 12" xfId="5362" xr:uid="{00000000-0005-0000-0000-00008B150000}"/>
    <cellStyle name="Normal 14 4 13" xfId="5363" xr:uid="{00000000-0005-0000-0000-00008C150000}"/>
    <cellStyle name="Normal 14 4 14" xfId="5364" xr:uid="{00000000-0005-0000-0000-00008D150000}"/>
    <cellStyle name="Normal 14 4 15" xfId="5365" xr:uid="{00000000-0005-0000-0000-00008E150000}"/>
    <cellStyle name="Normal 14 4 16" xfId="5366" xr:uid="{00000000-0005-0000-0000-00008F150000}"/>
    <cellStyle name="Normal 14 4 17" xfId="5367" xr:uid="{00000000-0005-0000-0000-000090150000}"/>
    <cellStyle name="Normal 14 4 18" xfId="5368" xr:uid="{00000000-0005-0000-0000-000091150000}"/>
    <cellStyle name="Normal 14 4 2" xfId="5369" xr:uid="{00000000-0005-0000-0000-000092150000}"/>
    <cellStyle name="Normal 14 4 3" xfId="5370" xr:uid="{00000000-0005-0000-0000-000093150000}"/>
    <cellStyle name="Normal 14 4 4" xfId="5371" xr:uid="{00000000-0005-0000-0000-000094150000}"/>
    <cellStyle name="Normal 14 4 5" xfId="5372" xr:uid="{00000000-0005-0000-0000-000095150000}"/>
    <cellStyle name="Normal 14 4 6" xfId="5373" xr:uid="{00000000-0005-0000-0000-000096150000}"/>
    <cellStyle name="Normal 14 4 7" xfId="5374" xr:uid="{00000000-0005-0000-0000-000097150000}"/>
    <cellStyle name="Normal 14 4 8" xfId="5375" xr:uid="{00000000-0005-0000-0000-000098150000}"/>
    <cellStyle name="Normal 14 4 9" xfId="5376" xr:uid="{00000000-0005-0000-0000-000099150000}"/>
    <cellStyle name="Normal 14 40" xfId="5377" xr:uid="{00000000-0005-0000-0000-00009A150000}"/>
    <cellStyle name="Normal 14 41" xfId="5378" xr:uid="{00000000-0005-0000-0000-00009B150000}"/>
    <cellStyle name="Normal 14 42" xfId="5379" xr:uid="{00000000-0005-0000-0000-00009C150000}"/>
    <cellStyle name="Normal 14 43" xfId="5380" xr:uid="{00000000-0005-0000-0000-00009D150000}"/>
    <cellStyle name="Normal 14 44" xfId="5381" xr:uid="{00000000-0005-0000-0000-00009E150000}"/>
    <cellStyle name="Normal 14 45" xfId="5382" xr:uid="{00000000-0005-0000-0000-00009F150000}"/>
    <cellStyle name="Normal 14 46" xfId="5383" xr:uid="{00000000-0005-0000-0000-0000A0150000}"/>
    <cellStyle name="Normal 14 47" xfId="5384" xr:uid="{00000000-0005-0000-0000-0000A1150000}"/>
    <cellStyle name="Normal 14 48" xfId="5385" xr:uid="{00000000-0005-0000-0000-0000A2150000}"/>
    <cellStyle name="Normal 14 49" xfId="5386" xr:uid="{00000000-0005-0000-0000-0000A3150000}"/>
    <cellStyle name="Normal 14 5" xfId="5387" xr:uid="{00000000-0005-0000-0000-0000A4150000}"/>
    <cellStyle name="Normal 14 5 10" xfId="5388" xr:uid="{00000000-0005-0000-0000-0000A5150000}"/>
    <cellStyle name="Normal 14 5 11" xfId="5389" xr:uid="{00000000-0005-0000-0000-0000A6150000}"/>
    <cellStyle name="Normal 14 5 12" xfId="5390" xr:uid="{00000000-0005-0000-0000-0000A7150000}"/>
    <cellStyle name="Normal 14 5 13" xfId="5391" xr:uid="{00000000-0005-0000-0000-0000A8150000}"/>
    <cellStyle name="Normal 14 5 14" xfId="5392" xr:uid="{00000000-0005-0000-0000-0000A9150000}"/>
    <cellStyle name="Normal 14 5 15" xfId="5393" xr:uid="{00000000-0005-0000-0000-0000AA150000}"/>
    <cellStyle name="Normal 14 5 16" xfId="5394" xr:uid="{00000000-0005-0000-0000-0000AB150000}"/>
    <cellStyle name="Normal 14 5 17" xfId="5395" xr:uid="{00000000-0005-0000-0000-0000AC150000}"/>
    <cellStyle name="Normal 14 5 18" xfId="5396" xr:uid="{00000000-0005-0000-0000-0000AD150000}"/>
    <cellStyle name="Normal 14 5 2" xfId="5397" xr:uid="{00000000-0005-0000-0000-0000AE150000}"/>
    <cellStyle name="Normal 14 5 3" xfId="5398" xr:uid="{00000000-0005-0000-0000-0000AF150000}"/>
    <cellStyle name="Normal 14 5 4" xfId="5399" xr:uid="{00000000-0005-0000-0000-0000B0150000}"/>
    <cellStyle name="Normal 14 5 5" xfId="5400" xr:uid="{00000000-0005-0000-0000-0000B1150000}"/>
    <cellStyle name="Normal 14 5 6" xfId="5401" xr:uid="{00000000-0005-0000-0000-0000B2150000}"/>
    <cellStyle name="Normal 14 5 7" xfId="5402" xr:uid="{00000000-0005-0000-0000-0000B3150000}"/>
    <cellStyle name="Normal 14 5 8" xfId="5403" xr:uid="{00000000-0005-0000-0000-0000B4150000}"/>
    <cellStyle name="Normal 14 5 9" xfId="5404" xr:uid="{00000000-0005-0000-0000-0000B5150000}"/>
    <cellStyle name="Normal 14 50" xfId="5405" xr:uid="{00000000-0005-0000-0000-0000B6150000}"/>
    <cellStyle name="Normal 14 51" xfId="5406" xr:uid="{00000000-0005-0000-0000-0000B7150000}"/>
    <cellStyle name="Normal 14 52" xfId="5407" xr:uid="{00000000-0005-0000-0000-0000B8150000}"/>
    <cellStyle name="Normal 14 53" xfId="5408" xr:uid="{00000000-0005-0000-0000-0000B9150000}"/>
    <cellStyle name="Normal 14 54" xfId="5409" xr:uid="{00000000-0005-0000-0000-0000BA150000}"/>
    <cellStyle name="Normal 14 55" xfId="5410" xr:uid="{00000000-0005-0000-0000-0000BB150000}"/>
    <cellStyle name="Normal 14 56" xfId="5411" xr:uid="{00000000-0005-0000-0000-0000BC150000}"/>
    <cellStyle name="Normal 14 57" xfId="5412" xr:uid="{00000000-0005-0000-0000-0000BD150000}"/>
    <cellStyle name="Normal 14 58" xfId="5413" xr:uid="{00000000-0005-0000-0000-0000BE150000}"/>
    <cellStyle name="Normal 14 59" xfId="5414" xr:uid="{00000000-0005-0000-0000-0000BF150000}"/>
    <cellStyle name="Normal 14 6" xfId="5415" xr:uid="{00000000-0005-0000-0000-0000C0150000}"/>
    <cellStyle name="Normal 14 6 10" xfId="5416" xr:uid="{00000000-0005-0000-0000-0000C1150000}"/>
    <cellStyle name="Normal 14 6 11" xfId="5417" xr:uid="{00000000-0005-0000-0000-0000C2150000}"/>
    <cellStyle name="Normal 14 6 12" xfId="5418" xr:uid="{00000000-0005-0000-0000-0000C3150000}"/>
    <cellStyle name="Normal 14 6 13" xfId="5419" xr:uid="{00000000-0005-0000-0000-0000C4150000}"/>
    <cellStyle name="Normal 14 6 14" xfId="5420" xr:uid="{00000000-0005-0000-0000-0000C5150000}"/>
    <cellStyle name="Normal 14 6 15" xfId="5421" xr:uid="{00000000-0005-0000-0000-0000C6150000}"/>
    <cellStyle name="Normal 14 6 16" xfId="5422" xr:uid="{00000000-0005-0000-0000-0000C7150000}"/>
    <cellStyle name="Normal 14 6 17" xfId="5423" xr:uid="{00000000-0005-0000-0000-0000C8150000}"/>
    <cellStyle name="Normal 14 6 18" xfId="5424" xr:uid="{00000000-0005-0000-0000-0000C9150000}"/>
    <cellStyle name="Normal 14 6 2" xfId="5425" xr:uid="{00000000-0005-0000-0000-0000CA150000}"/>
    <cellStyle name="Normal 14 6 3" xfId="5426" xr:uid="{00000000-0005-0000-0000-0000CB150000}"/>
    <cellStyle name="Normal 14 6 4" xfId="5427" xr:uid="{00000000-0005-0000-0000-0000CC150000}"/>
    <cellStyle name="Normal 14 6 5" xfId="5428" xr:uid="{00000000-0005-0000-0000-0000CD150000}"/>
    <cellStyle name="Normal 14 6 6" xfId="5429" xr:uid="{00000000-0005-0000-0000-0000CE150000}"/>
    <cellStyle name="Normal 14 6 7" xfId="5430" xr:uid="{00000000-0005-0000-0000-0000CF150000}"/>
    <cellStyle name="Normal 14 6 8" xfId="5431" xr:uid="{00000000-0005-0000-0000-0000D0150000}"/>
    <cellStyle name="Normal 14 6 9" xfId="5432" xr:uid="{00000000-0005-0000-0000-0000D1150000}"/>
    <cellStyle name="Normal 14 60" xfId="5433" xr:uid="{00000000-0005-0000-0000-0000D2150000}"/>
    <cellStyle name="Normal 14 61" xfId="5434" xr:uid="{00000000-0005-0000-0000-0000D3150000}"/>
    <cellStyle name="Normal 14 62" xfId="5435" xr:uid="{00000000-0005-0000-0000-0000D4150000}"/>
    <cellStyle name="Normal 14 63" xfId="5436" xr:uid="{00000000-0005-0000-0000-0000D5150000}"/>
    <cellStyle name="Normal 14 64" xfId="5437" xr:uid="{00000000-0005-0000-0000-0000D6150000}"/>
    <cellStyle name="Normal 14 65" xfId="5438" xr:uid="{00000000-0005-0000-0000-0000D7150000}"/>
    <cellStyle name="Normal 14 66" xfId="5439" xr:uid="{00000000-0005-0000-0000-0000D8150000}"/>
    <cellStyle name="Normal 14 67" xfId="5440" xr:uid="{00000000-0005-0000-0000-0000D9150000}"/>
    <cellStyle name="Normal 14 68" xfId="5441" xr:uid="{00000000-0005-0000-0000-0000DA150000}"/>
    <cellStyle name="Normal 14 69" xfId="5442" xr:uid="{00000000-0005-0000-0000-0000DB150000}"/>
    <cellStyle name="Normal 14 7" xfId="5443" xr:uid="{00000000-0005-0000-0000-0000DC150000}"/>
    <cellStyle name="Normal 14 7 10" xfId="5444" xr:uid="{00000000-0005-0000-0000-0000DD150000}"/>
    <cellStyle name="Normal 14 7 11" xfId="5445" xr:uid="{00000000-0005-0000-0000-0000DE150000}"/>
    <cellStyle name="Normal 14 7 12" xfId="5446" xr:uid="{00000000-0005-0000-0000-0000DF150000}"/>
    <cellStyle name="Normal 14 7 13" xfId="5447" xr:uid="{00000000-0005-0000-0000-0000E0150000}"/>
    <cellStyle name="Normal 14 7 14" xfId="5448" xr:uid="{00000000-0005-0000-0000-0000E1150000}"/>
    <cellStyle name="Normal 14 7 15" xfId="5449" xr:uid="{00000000-0005-0000-0000-0000E2150000}"/>
    <cellStyle name="Normal 14 7 16" xfId="5450" xr:uid="{00000000-0005-0000-0000-0000E3150000}"/>
    <cellStyle name="Normal 14 7 17" xfId="5451" xr:uid="{00000000-0005-0000-0000-0000E4150000}"/>
    <cellStyle name="Normal 14 7 18" xfId="5452" xr:uid="{00000000-0005-0000-0000-0000E5150000}"/>
    <cellStyle name="Normal 14 7 2" xfId="5453" xr:uid="{00000000-0005-0000-0000-0000E6150000}"/>
    <cellStyle name="Normal 14 7 3" xfId="5454" xr:uid="{00000000-0005-0000-0000-0000E7150000}"/>
    <cellStyle name="Normal 14 7 4" xfId="5455" xr:uid="{00000000-0005-0000-0000-0000E8150000}"/>
    <cellStyle name="Normal 14 7 5" xfId="5456" xr:uid="{00000000-0005-0000-0000-0000E9150000}"/>
    <cellStyle name="Normal 14 7 6" xfId="5457" xr:uid="{00000000-0005-0000-0000-0000EA150000}"/>
    <cellStyle name="Normal 14 7 7" xfId="5458" xr:uid="{00000000-0005-0000-0000-0000EB150000}"/>
    <cellStyle name="Normal 14 7 8" xfId="5459" xr:uid="{00000000-0005-0000-0000-0000EC150000}"/>
    <cellStyle name="Normal 14 7 9" xfId="5460" xr:uid="{00000000-0005-0000-0000-0000ED150000}"/>
    <cellStyle name="Normal 14 70" xfId="5461" xr:uid="{00000000-0005-0000-0000-0000EE150000}"/>
    <cellStyle name="Normal 14 71" xfId="5462" xr:uid="{00000000-0005-0000-0000-0000EF150000}"/>
    <cellStyle name="Normal 14 72" xfId="5463" xr:uid="{00000000-0005-0000-0000-0000F0150000}"/>
    <cellStyle name="Normal 14 73" xfId="5464" xr:uid="{00000000-0005-0000-0000-0000F1150000}"/>
    <cellStyle name="Normal 14 74" xfId="5465" xr:uid="{00000000-0005-0000-0000-0000F2150000}"/>
    <cellStyle name="Normal 14 75" xfId="5466" xr:uid="{00000000-0005-0000-0000-0000F3150000}"/>
    <cellStyle name="Normal 14 76" xfId="5467" xr:uid="{00000000-0005-0000-0000-0000F4150000}"/>
    <cellStyle name="Normal 14 77" xfId="5468" xr:uid="{00000000-0005-0000-0000-0000F5150000}"/>
    <cellStyle name="Normal 14 78" xfId="5469" xr:uid="{00000000-0005-0000-0000-0000F6150000}"/>
    <cellStyle name="Normal 14 79" xfId="5470" xr:uid="{00000000-0005-0000-0000-0000F7150000}"/>
    <cellStyle name="Normal 14 8" xfId="5471" xr:uid="{00000000-0005-0000-0000-0000F8150000}"/>
    <cellStyle name="Normal 14 8 10" xfId="5472" xr:uid="{00000000-0005-0000-0000-0000F9150000}"/>
    <cellStyle name="Normal 14 8 11" xfId="5473" xr:uid="{00000000-0005-0000-0000-0000FA150000}"/>
    <cellStyle name="Normal 14 8 12" xfId="5474" xr:uid="{00000000-0005-0000-0000-0000FB150000}"/>
    <cellStyle name="Normal 14 8 13" xfId="5475" xr:uid="{00000000-0005-0000-0000-0000FC150000}"/>
    <cellStyle name="Normal 14 8 14" xfId="5476" xr:uid="{00000000-0005-0000-0000-0000FD150000}"/>
    <cellStyle name="Normal 14 8 15" xfId="5477" xr:uid="{00000000-0005-0000-0000-0000FE150000}"/>
    <cellStyle name="Normal 14 8 16" xfId="5478" xr:uid="{00000000-0005-0000-0000-0000FF150000}"/>
    <cellStyle name="Normal 14 8 17" xfId="5479" xr:uid="{00000000-0005-0000-0000-000000160000}"/>
    <cellStyle name="Normal 14 8 18" xfId="5480" xr:uid="{00000000-0005-0000-0000-000001160000}"/>
    <cellStyle name="Normal 14 8 2" xfId="5481" xr:uid="{00000000-0005-0000-0000-000002160000}"/>
    <cellStyle name="Normal 14 8 3" xfId="5482" xr:uid="{00000000-0005-0000-0000-000003160000}"/>
    <cellStyle name="Normal 14 8 4" xfId="5483" xr:uid="{00000000-0005-0000-0000-000004160000}"/>
    <cellStyle name="Normal 14 8 5" xfId="5484" xr:uid="{00000000-0005-0000-0000-000005160000}"/>
    <cellStyle name="Normal 14 8 6" xfId="5485" xr:uid="{00000000-0005-0000-0000-000006160000}"/>
    <cellStyle name="Normal 14 8 7" xfId="5486" xr:uid="{00000000-0005-0000-0000-000007160000}"/>
    <cellStyle name="Normal 14 8 8" xfId="5487" xr:uid="{00000000-0005-0000-0000-000008160000}"/>
    <cellStyle name="Normal 14 8 9" xfId="5488" xr:uid="{00000000-0005-0000-0000-000009160000}"/>
    <cellStyle name="Normal 14 80" xfId="5489" xr:uid="{00000000-0005-0000-0000-00000A160000}"/>
    <cellStyle name="Normal 14 81" xfId="5490" xr:uid="{00000000-0005-0000-0000-00000B160000}"/>
    <cellStyle name="Normal 14 82" xfId="5491" xr:uid="{00000000-0005-0000-0000-00000C160000}"/>
    <cellStyle name="Normal 14 83" xfId="5492" xr:uid="{00000000-0005-0000-0000-00000D160000}"/>
    <cellStyle name="Normal 14 84" xfId="5493" xr:uid="{00000000-0005-0000-0000-00000E160000}"/>
    <cellStyle name="Normal 14 85" xfId="5494" xr:uid="{00000000-0005-0000-0000-00000F160000}"/>
    <cellStyle name="Normal 14 86" xfId="5495" xr:uid="{00000000-0005-0000-0000-000010160000}"/>
    <cellStyle name="Normal 14 87" xfId="5496" xr:uid="{00000000-0005-0000-0000-000011160000}"/>
    <cellStyle name="Normal 14 88" xfId="5497" xr:uid="{00000000-0005-0000-0000-000012160000}"/>
    <cellStyle name="Normal 14 89" xfId="5498" xr:uid="{00000000-0005-0000-0000-000013160000}"/>
    <cellStyle name="Normal 14 9" xfId="5499" xr:uid="{00000000-0005-0000-0000-000014160000}"/>
    <cellStyle name="Normal 14 9 10" xfId="5500" xr:uid="{00000000-0005-0000-0000-000015160000}"/>
    <cellStyle name="Normal 14 9 11" xfId="5501" xr:uid="{00000000-0005-0000-0000-000016160000}"/>
    <cellStyle name="Normal 14 9 12" xfId="5502" xr:uid="{00000000-0005-0000-0000-000017160000}"/>
    <cellStyle name="Normal 14 9 13" xfId="5503" xr:uid="{00000000-0005-0000-0000-000018160000}"/>
    <cellStyle name="Normal 14 9 14" xfId="5504" xr:uid="{00000000-0005-0000-0000-000019160000}"/>
    <cellStyle name="Normal 14 9 15" xfId="5505" xr:uid="{00000000-0005-0000-0000-00001A160000}"/>
    <cellStyle name="Normal 14 9 16" xfId="5506" xr:uid="{00000000-0005-0000-0000-00001B160000}"/>
    <cellStyle name="Normal 14 9 17" xfId="5507" xr:uid="{00000000-0005-0000-0000-00001C160000}"/>
    <cellStyle name="Normal 14 9 18" xfId="5508" xr:uid="{00000000-0005-0000-0000-00001D160000}"/>
    <cellStyle name="Normal 14 9 2" xfId="5509" xr:uid="{00000000-0005-0000-0000-00001E160000}"/>
    <cellStyle name="Normal 14 9 3" xfId="5510" xr:uid="{00000000-0005-0000-0000-00001F160000}"/>
    <cellStyle name="Normal 14 9 4" xfId="5511" xr:uid="{00000000-0005-0000-0000-000020160000}"/>
    <cellStyle name="Normal 14 9 5" xfId="5512" xr:uid="{00000000-0005-0000-0000-000021160000}"/>
    <cellStyle name="Normal 14 9 6" xfId="5513" xr:uid="{00000000-0005-0000-0000-000022160000}"/>
    <cellStyle name="Normal 14 9 7" xfId="5514" xr:uid="{00000000-0005-0000-0000-000023160000}"/>
    <cellStyle name="Normal 14 9 8" xfId="5515" xr:uid="{00000000-0005-0000-0000-000024160000}"/>
    <cellStyle name="Normal 14 9 9" xfId="5516" xr:uid="{00000000-0005-0000-0000-000025160000}"/>
    <cellStyle name="Normal 14 90" xfId="5517" xr:uid="{00000000-0005-0000-0000-000026160000}"/>
    <cellStyle name="Normal 14 91" xfId="5518" xr:uid="{00000000-0005-0000-0000-000027160000}"/>
    <cellStyle name="Normal 14 92" xfId="5519" xr:uid="{00000000-0005-0000-0000-000028160000}"/>
    <cellStyle name="Normal 14 93" xfId="5520" xr:uid="{00000000-0005-0000-0000-000029160000}"/>
    <cellStyle name="Normal 14 94" xfId="5521" xr:uid="{00000000-0005-0000-0000-00002A160000}"/>
    <cellStyle name="Normal 14 95" xfId="5522" xr:uid="{00000000-0005-0000-0000-00002B160000}"/>
    <cellStyle name="Normal 14 96" xfId="5523" xr:uid="{00000000-0005-0000-0000-00002C160000}"/>
    <cellStyle name="Normal 14_4 28 1_Asst_Health_Crit_AllTO_RIIO_20110714pm" xfId="5524" xr:uid="{00000000-0005-0000-0000-00002D160000}"/>
    <cellStyle name="Normal 15" xfId="5525" xr:uid="{00000000-0005-0000-0000-00002E160000}"/>
    <cellStyle name="Normal 15 10" xfId="5526" xr:uid="{00000000-0005-0000-0000-00002F160000}"/>
    <cellStyle name="Normal 15 10 2" xfId="5527" xr:uid="{00000000-0005-0000-0000-000030160000}"/>
    <cellStyle name="Normal 15 11" xfId="5528" xr:uid="{00000000-0005-0000-0000-000031160000}"/>
    <cellStyle name="Normal 15 11 2" xfId="5529" xr:uid="{00000000-0005-0000-0000-000032160000}"/>
    <cellStyle name="Normal 15 12" xfId="5530" xr:uid="{00000000-0005-0000-0000-000033160000}"/>
    <cellStyle name="Normal 15 12 2" xfId="5531" xr:uid="{00000000-0005-0000-0000-000034160000}"/>
    <cellStyle name="Normal 15 13" xfId="5532" xr:uid="{00000000-0005-0000-0000-000035160000}"/>
    <cellStyle name="Normal 15 13 2" xfId="5533" xr:uid="{00000000-0005-0000-0000-000036160000}"/>
    <cellStyle name="Normal 15 14" xfId="5534" xr:uid="{00000000-0005-0000-0000-000037160000}"/>
    <cellStyle name="Normal 15 14 2" xfId="5535" xr:uid="{00000000-0005-0000-0000-000038160000}"/>
    <cellStyle name="Normal 15 15" xfId="5536" xr:uid="{00000000-0005-0000-0000-000039160000}"/>
    <cellStyle name="Normal 15 15 2" xfId="5537" xr:uid="{00000000-0005-0000-0000-00003A160000}"/>
    <cellStyle name="Normal 15 16" xfId="5538" xr:uid="{00000000-0005-0000-0000-00003B160000}"/>
    <cellStyle name="Normal 15 16 2" xfId="5539" xr:uid="{00000000-0005-0000-0000-00003C160000}"/>
    <cellStyle name="Normal 15 17" xfId="5540" xr:uid="{00000000-0005-0000-0000-00003D160000}"/>
    <cellStyle name="Normal 15 17 2" xfId="5541" xr:uid="{00000000-0005-0000-0000-00003E160000}"/>
    <cellStyle name="Normal 15 18" xfId="5542" xr:uid="{00000000-0005-0000-0000-00003F160000}"/>
    <cellStyle name="Normal 15 18 2" xfId="5543" xr:uid="{00000000-0005-0000-0000-000040160000}"/>
    <cellStyle name="Normal 15 19" xfId="5544" xr:uid="{00000000-0005-0000-0000-000041160000}"/>
    <cellStyle name="Normal 15 19 2" xfId="5545" xr:uid="{00000000-0005-0000-0000-000042160000}"/>
    <cellStyle name="Normal 15 2" xfId="5546" xr:uid="{00000000-0005-0000-0000-000043160000}"/>
    <cellStyle name="Normal 15 2 2" xfId="5547" xr:uid="{00000000-0005-0000-0000-000044160000}"/>
    <cellStyle name="Normal 15 20" xfId="5548" xr:uid="{00000000-0005-0000-0000-000045160000}"/>
    <cellStyle name="Normal 15 20 2" xfId="5549" xr:uid="{00000000-0005-0000-0000-000046160000}"/>
    <cellStyle name="Normal 15 21" xfId="5550" xr:uid="{00000000-0005-0000-0000-000047160000}"/>
    <cellStyle name="Normal 15 21 2" xfId="5551" xr:uid="{00000000-0005-0000-0000-000048160000}"/>
    <cellStyle name="Normal 15 22" xfId="5552" xr:uid="{00000000-0005-0000-0000-000049160000}"/>
    <cellStyle name="Normal 15 22 2" xfId="5553" xr:uid="{00000000-0005-0000-0000-00004A160000}"/>
    <cellStyle name="Normal 15 23" xfId="5554" xr:uid="{00000000-0005-0000-0000-00004B160000}"/>
    <cellStyle name="Normal 15 23 2" xfId="5555" xr:uid="{00000000-0005-0000-0000-00004C160000}"/>
    <cellStyle name="Normal 15 24" xfId="5556" xr:uid="{00000000-0005-0000-0000-00004D160000}"/>
    <cellStyle name="Normal 15 25" xfId="5557" xr:uid="{00000000-0005-0000-0000-00004E160000}"/>
    <cellStyle name="Normal 15 26" xfId="5558" xr:uid="{00000000-0005-0000-0000-00004F160000}"/>
    <cellStyle name="Normal 15 27" xfId="5559" xr:uid="{00000000-0005-0000-0000-000050160000}"/>
    <cellStyle name="Normal 15 28" xfId="5560" xr:uid="{00000000-0005-0000-0000-000051160000}"/>
    <cellStyle name="Normal 15 29" xfId="5561" xr:uid="{00000000-0005-0000-0000-000052160000}"/>
    <cellStyle name="Normal 15 3" xfId="5562" xr:uid="{00000000-0005-0000-0000-000053160000}"/>
    <cellStyle name="Normal 15 3 10" xfId="5563" xr:uid="{00000000-0005-0000-0000-000054160000}"/>
    <cellStyle name="Normal 15 3 11" xfId="5564" xr:uid="{00000000-0005-0000-0000-000055160000}"/>
    <cellStyle name="Normal 15 3 12" xfId="5565" xr:uid="{00000000-0005-0000-0000-000056160000}"/>
    <cellStyle name="Normal 15 3 13" xfId="5566" xr:uid="{00000000-0005-0000-0000-000057160000}"/>
    <cellStyle name="Normal 15 3 2" xfId="5567" xr:uid="{00000000-0005-0000-0000-000058160000}"/>
    <cellStyle name="Normal 15 3 3" xfId="5568" xr:uid="{00000000-0005-0000-0000-000059160000}"/>
    <cellStyle name="Normal 15 3 4" xfId="5569" xr:uid="{00000000-0005-0000-0000-00005A160000}"/>
    <cellStyle name="Normal 15 3 5" xfId="5570" xr:uid="{00000000-0005-0000-0000-00005B160000}"/>
    <cellStyle name="Normal 15 3 6" xfId="5571" xr:uid="{00000000-0005-0000-0000-00005C160000}"/>
    <cellStyle name="Normal 15 3 7" xfId="5572" xr:uid="{00000000-0005-0000-0000-00005D160000}"/>
    <cellStyle name="Normal 15 3 8" xfId="5573" xr:uid="{00000000-0005-0000-0000-00005E160000}"/>
    <cellStyle name="Normal 15 3 9" xfId="5574" xr:uid="{00000000-0005-0000-0000-00005F160000}"/>
    <cellStyle name="Normal 15 30" xfId="5575" xr:uid="{00000000-0005-0000-0000-000060160000}"/>
    <cellStyle name="Normal 15 31" xfId="5576" xr:uid="{00000000-0005-0000-0000-000061160000}"/>
    <cellStyle name="Normal 15 32" xfId="5577" xr:uid="{00000000-0005-0000-0000-000062160000}"/>
    <cellStyle name="Normal 15 33" xfId="5578" xr:uid="{00000000-0005-0000-0000-000063160000}"/>
    <cellStyle name="Normal 15 34" xfId="5579" xr:uid="{00000000-0005-0000-0000-000064160000}"/>
    <cellStyle name="Normal 15 35" xfId="5580" xr:uid="{00000000-0005-0000-0000-000065160000}"/>
    <cellStyle name="Normal 15 36" xfId="5581" xr:uid="{00000000-0005-0000-0000-000066160000}"/>
    <cellStyle name="Normal 15 37" xfId="5582" xr:uid="{00000000-0005-0000-0000-000067160000}"/>
    <cellStyle name="Normal 15 38" xfId="5583" xr:uid="{00000000-0005-0000-0000-000068160000}"/>
    <cellStyle name="Normal 15 39" xfId="5584" xr:uid="{00000000-0005-0000-0000-000069160000}"/>
    <cellStyle name="Normal 15 4" xfId="5585" xr:uid="{00000000-0005-0000-0000-00006A160000}"/>
    <cellStyle name="Normal 15 4 2" xfId="5586" xr:uid="{00000000-0005-0000-0000-00006B160000}"/>
    <cellStyle name="Normal 15 40" xfId="5587" xr:uid="{00000000-0005-0000-0000-00006C160000}"/>
    <cellStyle name="Normal 15 41" xfId="5588" xr:uid="{00000000-0005-0000-0000-00006D160000}"/>
    <cellStyle name="Normal 15 42" xfId="5589" xr:uid="{00000000-0005-0000-0000-00006E160000}"/>
    <cellStyle name="Normal 15 43" xfId="5590" xr:uid="{00000000-0005-0000-0000-00006F160000}"/>
    <cellStyle name="Normal 15 44" xfId="5591" xr:uid="{00000000-0005-0000-0000-000070160000}"/>
    <cellStyle name="Normal 15 45" xfId="5592" xr:uid="{00000000-0005-0000-0000-000071160000}"/>
    <cellStyle name="Normal 15 46" xfId="5593" xr:uid="{00000000-0005-0000-0000-000072160000}"/>
    <cellStyle name="Normal 15 47" xfId="5594" xr:uid="{00000000-0005-0000-0000-000073160000}"/>
    <cellStyle name="Normal 15 48" xfId="5595" xr:uid="{00000000-0005-0000-0000-000074160000}"/>
    <cellStyle name="Normal 15 49" xfId="5596" xr:uid="{00000000-0005-0000-0000-000075160000}"/>
    <cellStyle name="Normal 15 5" xfId="5597" xr:uid="{00000000-0005-0000-0000-000076160000}"/>
    <cellStyle name="Normal 15 5 2" xfId="5598" xr:uid="{00000000-0005-0000-0000-000077160000}"/>
    <cellStyle name="Normal 15 50" xfId="5599" xr:uid="{00000000-0005-0000-0000-000078160000}"/>
    <cellStyle name="Normal 15 51" xfId="5600" xr:uid="{00000000-0005-0000-0000-000079160000}"/>
    <cellStyle name="Normal 15 52" xfId="5601" xr:uid="{00000000-0005-0000-0000-00007A160000}"/>
    <cellStyle name="Normal 15 53" xfId="5602" xr:uid="{00000000-0005-0000-0000-00007B160000}"/>
    <cellStyle name="Normal 15 54" xfId="5603" xr:uid="{00000000-0005-0000-0000-00007C160000}"/>
    <cellStyle name="Normal 15 55" xfId="5604" xr:uid="{00000000-0005-0000-0000-00007D160000}"/>
    <cellStyle name="Normal 15 56" xfId="5605" xr:uid="{00000000-0005-0000-0000-00007E160000}"/>
    <cellStyle name="Normal 15 57" xfId="5606" xr:uid="{00000000-0005-0000-0000-00007F160000}"/>
    <cellStyle name="Normal 15 58" xfId="5607" xr:uid="{00000000-0005-0000-0000-000080160000}"/>
    <cellStyle name="Normal 15 59" xfId="5608" xr:uid="{00000000-0005-0000-0000-000081160000}"/>
    <cellStyle name="Normal 15 6" xfId="5609" xr:uid="{00000000-0005-0000-0000-000082160000}"/>
    <cellStyle name="Normal 15 6 2" xfId="5610" xr:uid="{00000000-0005-0000-0000-000083160000}"/>
    <cellStyle name="Normal 15 60" xfId="5611" xr:uid="{00000000-0005-0000-0000-000084160000}"/>
    <cellStyle name="Normal 15 61" xfId="5612" xr:uid="{00000000-0005-0000-0000-000085160000}"/>
    <cellStyle name="Normal 15 62" xfId="5613" xr:uid="{00000000-0005-0000-0000-000086160000}"/>
    <cellStyle name="Normal 15 63" xfId="5614" xr:uid="{00000000-0005-0000-0000-000087160000}"/>
    <cellStyle name="Normal 15 64" xfId="5615" xr:uid="{00000000-0005-0000-0000-000088160000}"/>
    <cellStyle name="Normal 15 65" xfId="5616" xr:uid="{00000000-0005-0000-0000-000089160000}"/>
    <cellStyle name="Normal 15 66" xfId="5617" xr:uid="{00000000-0005-0000-0000-00008A160000}"/>
    <cellStyle name="Normal 15 67" xfId="5618" xr:uid="{00000000-0005-0000-0000-00008B160000}"/>
    <cellStyle name="Normal 15 68" xfId="5619" xr:uid="{00000000-0005-0000-0000-00008C160000}"/>
    <cellStyle name="Normal 15 69" xfId="5620" xr:uid="{00000000-0005-0000-0000-00008D160000}"/>
    <cellStyle name="Normal 15 7" xfId="5621" xr:uid="{00000000-0005-0000-0000-00008E160000}"/>
    <cellStyle name="Normal 15 7 2" xfId="5622" xr:uid="{00000000-0005-0000-0000-00008F160000}"/>
    <cellStyle name="Normal 15 70" xfId="5623" xr:uid="{00000000-0005-0000-0000-000090160000}"/>
    <cellStyle name="Normal 15 71" xfId="5624" xr:uid="{00000000-0005-0000-0000-000091160000}"/>
    <cellStyle name="Normal 15 8" xfId="5625" xr:uid="{00000000-0005-0000-0000-000092160000}"/>
    <cellStyle name="Normal 15 8 2" xfId="5626" xr:uid="{00000000-0005-0000-0000-000093160000}"/>
    <cellStyle name="Normal 15 9" xfId="5627" xr:uid="{00000000-0005-0000-0000-000094160000}"/>
    <cellStyle name="Normal 15 9 2" xfId="5628" xr:uid="{00000000-0005-0000-0000-000095160000}"/>
    <cellStyle name="Normal 15_4 28 1_Asst_Health_Crit_AllTO_RIIO_20110714pm" xfId="5629" xr:uid="{00000000-0005-0000-0000-000096160000}"/>
    <cellStyle name="Normal 16" xfId="5630" xr:uid="{00000000-0005-0000-0000-000097160000}"/>
    <cellStyle name="Normal 16 10" xfId="5631" xr:uid="{00000000-0005-0000-0000-000098160000}"/>
    <cellStyle name="Normal 16 10 2" xfId="5632" xr:uid="{00000000-0005-0000-0000-000099160000}"/>
    <cellStyle name="Normal 16 11" xfId="5633" xr:uid="{00000000-0005-0000-0000-00009A160000}"/>
    <cellStyle name="Normal 16 11 2" xfId="5634" xr:uid="{00000000-0005-0000-0000-00009B160000}"/>
    <cellStyle name="Normal 16 12" xfId="5635" xr:uid="{00000000-0005-0000-0000-00009C160000}"/>
    <cellStyle name="Normal 16 12 2" xfId="5636" xr:uid="{00000000-0005-0000-0000-00009D160000}"/>
    <cellStyle name="Normal 16 13" xfId="5637" xr:uid="{00000000-0005-0000-0000-00009E160000}"/>
    <cellStyle name="Normal 16 13 2" xfId="5638" xr:uid="{00000000-0005-0000-0000-00009F160000}"/>
    <cellStyle name="Normal 16 14" xfId="5639" xr:uid="{00000000-0005-0000-0000-0000A0160000}"/>
    <cellStyle name="Normal 16 14 2" xfId="5640" xr:uid="{00000000-0005-0000-0000-0000A1160000}"/>
    <cellStyle name="Normal 16 15" xfId="5641" xr:uid="{00000000-0005-0000-0000-0000A2160000}"/>
    <cellStyle name="Normal 16 15 2" xfId="5642" xr:uid="{00000000-0005-0000-0000-0000A3160000}"/>
    <cellStyle name="Normal 16 16" xfId="5643" xr:uid="{00000000-0005-0000-0000-0000A4160000}"/>
    <cellStyle name="Normal 16 16 2" xfId="5644" xr:uid="{00000000-0005-0000-0000-0000A5160000}"/>
    <cellStyle name="Normal 16 17" xfId="5645" xr:uid="{00000000-0005-0000-0000-0000A6160000}"/>
    <cellStyle name="Normal 16 17 2" xfId="5646" xr:uid="{00000000-0005-0000-0000-0000A7160000}"/>
    <cellStyle name="Normal 16 18" xfId="5647" xr:uid="{00000000-0005-0000-0000-0000A8160000}"/>
    <cellStyle name="Normal 16 18 2" xfId="5648" xr:uid="{00000000-0005-0000-0000-0000A9160000}"/>
    <cellStyle name="Normal 16 19" xfId="5649" xr:uid="{00000000-0005-0000-0000-0000AA160000}"/>
    <cellStyle name="Normal 16 19 2" xfId="5650" xr:uid="{00000000-0005-0000-0000-0000AB160000}"/>
    <cellStyle name="Normal 16 2" xfId="5651" xr:uid="{00000000-0005-0000-0000-0000AC160000}"/>
    <cellStyle name="Normal 16 2 10" xfId="5652" xr:uid="{00000000-0005-0000-0000-0000AD160000}"/>
    <cellStyle name="Normal 16 2 11" xfId="5653" xr:uid="{00000000-0005-0000-0000-0000AE160000}"/>
    <cellStyle name="Normal 16 2 12" xfId="5654" xr:uid="{00000000-0005-0000-0000-0000AF160000}"/>
    <cellStyle name="Normal 16 2 13" xfId="5655" xr:uid="{00000000-0005-0000-0000-0000B0160000}"/>
    <cellStyle name="Normal 16 2 14" xfId="5656" xr:uid="{00000000-0005-0000-0000-0000B1160000}"/>
    <cellStyle name="Normal 16 2 14 2" xfId="5657" xr:uid="{00000000-0005-0000-0000-0000B2160000}"/>
    <cellStyle name="Normal 16 2 14 3" xfId="5658" xr:uid="{00000000-0005-0000-0000-0000B3160000}"/>
    <cellStyle name="Normal 16 2 14 4" xfId="5659" xr:uid="{00000000-0005-0000-0000-0000B4160000}"/>
    <cellStyle name="Normal 16 2 15" xfId="5660" xr:uid="{00000000-0005-0000-0000-0000B5160000}"/>
    <cellStyle name="Normal 16 2 2" xfId="5661" xr:uid="{00000000-0005-0000-0000-0000B6160000}"/>
    <cellStyle name="Normal 16 2 3" xfId="5662" xr:uid="{00000000-0005-0000-0000-0000B7160000}"/>
    <cellStyle name="Normal 16 2 4" xfId="5663" xr:uid="{00000000-0005-0000-0000-0000B8160000}"/>
    <cellStyle name="Normal 16 2 5" xfId="5664" xr:uid="{00000000-0005-0000-0000-0000B9160000}"/>
    <cellStyle name="Normal 16 2 6" xfId="5665" xr:uid="{00000000-0005-0000-0000-0000BA160000}"/>
    <cellStyle name="Normal 16 2 7" xfId="5666" xr:uid="{00000000-0005-0000-0000-0000BB160000}"/>
    <cellStyle name="Normal 16 2 8" xfId="5667" xr:uid="{00000000-0005-0000-0000-0000BC160000}"/>
    <cellStyle name="Normal 16 2 9" xfId="5668" xr:uid="{00000000-0005-0000-0000-0000BD160000}"/>
    <cellStyle name="Normal 16 2_4.6 Connections " xfId="5669" xr:uid="{00000000-0005-0000-0000-0000BE160000}"/>
    <cellStyle name="Normal 16 20" xfId="5670" xr:uid="{00000000-0005-0000-0000-0000BF160000}"/>
    <cellStyle name="Normal 16 20 2" xfId="5671" xr:uid="{00000000-0005-0000-0000-0000C0160000}"/>
    <cellStyle name="Normal 16 21" xfId="5672" xr:uid="{00000000-0005-0000-0000-0000C1160000}"/>
    <cellStyle name="Normal 16 21 2" xfId="5673" xr:uid="{00000000-0005-0000-0000-0000C2160000}"/>
    <cellStyle name="Normal 16 22" xfId="5674" xr:uid="{00000000-0005-0000-0000-0000C3160000}"/>
    <cellStyle name="Normal 16 22 2" xfId="5675" xr:uid="{00000000-0005-0000-0000-0000C4160000}"/>
    <cellStyle name="Normal 16 23" xfId="5676" xr:uid="{00000000-0005-0000-0000-0000C5160000}"/>
    <cellStyle name="Normal 16 23 2" xfId="5677" xr:uid="{00000000-0005-0000-0000-0000C6160000}"/>
    <cellStyle name="Normal 16 24" xfId="5678" xr:uid="{00000000-0005-0000-0000-0000C7160000}"/>
    <cellStyle name="Normal 16 25" xfId="5679" xr:uid="{00000000-0005-0000-0000-0000C8160000}"/>
    <cellStyle name="Normal 16 26" xfId="5680" xr:uid="{00000000-0005-0000-0000-0000C9160000}"/>
    <cellStyle name="Normal 16 27" xfId="5681" xr:uid="{00000000-0005-0000-0000-0000CA160000}"/>
    <cellStyle name="Normal 16 28" xfId="5682" xr:uid="{00000000-0005-0000-0000-0000CB160000}"/>
    <cellStyle name="Normal 16 29" xfId="5683" xr:uid="{00000000-0005-0000-0000-0000CC160000}"/>
    <cellStyle name="Normal 16 3" xfId="5684" xr:uid="{00000000-0005-0000-0000-0000CD160000}"/>
    <cellStyle name="Normal 16 3 10" xfId="5685" xr:uid="{00000000-0005-0000-0000-0000CE160000}"/>
    <cellStyle name="Normal 16 3 11" xfId="5686" xr:uid="{00000000-0005-0000-0000-0000CF160000}"/>
    <cellStyle name="Normal 16 3 12" xfId="5687" xr:uid="{00000000-0005-0000-0000-0000D0160000}"/>
    <cellStyle name="Normal 16 3 13" xfId="5688" xr:uid="{00000000-0005-0000-0000-0000D1160000}"/>
    <cellStyle name="Normal 16 3 14" xfId="5689" xr:uid="{00000000-0005-0000-0000-0000D2160000}"/>
    <cellStyle name="Normal 16 3 15" xfId="5690" xr:uid="{00000000-0005-0000-0000-0000D3160000}"/>
    <cellStyle name="Normal 16 3 2" xfId="5691" xr:uid="{00000000-0005-0000-0000-0000D4160000}"/>
    <cellStyle name="Normal 16 3 2 10" xfId="5692" xr:uid="{00000000-0005-0000-0000-0000D5160000}"/>
    <cellStyle name="Normal 16 3 2 11" xfId="5693" xr:uid="{00000000-0005-0000-0000-0000D6160000}"/>
    <cellStyle name="Normal 16 3 2 12" xfId="5694" xr:uid="{00000000-0005-0000-0000-0000D7160000}"/>
    <cellStyle name="Normal 16 3 2 13" xfId="5695" xr:uid="{00000000-0005-0000-0000-0000D8160000}"/>
    <cellStyle name="Normal 16 3 2 14" xfId="5696" xr:uid="{00000000-0005-0000-0000-0000D9160000}"/>
    <cellStyle name="Normal 16 3 2 15" xfId="5697" xr:uid="{00000000-0005-0000-0000-0000DA160000}"/>
    <cellStyle name="Normal 16 3 2 16" xfId="5698" xr:uid="{00000000-0005-0000-0000-0000DB160000}"/>
    <cellStyle name="Normal 16 3 2 2" xfId="5699" xr:uid="{00000000-0005-0000-0000-0000DC160000}"/>
    <cellStyle name="Normal 16 3 2 2 10" xfId="5700" xr:uid="{00000000-0005-0000-0000-0000DD160000}"/>
    <cellStyle name="Normal 16 3 2 2 11" xfId="5701" xr:uid="{00000000-0005-0000-0000-0000DE160000}"/>
    <cellStyle name="Normal 16 3 2 2 12" xfId="5702" xr:uid="{00000000-0005-0000-0000-0000DF160000}"/>
    <cellStyle name="Normal 16 3 2 2 13" xfId="5703" xr:uid="{00000000-0005-0000-0000-0000E0160000}"/>
    <cellStyle name="Normal 16 3 2 2 14" xfId="5704" xr:uid="{00000000-0005-0000-0000-0000E1160000}"/>
    <cellStyle name="Normal 16 3 2 2 15" xfId="5705" xr:uid="{00000000-0005-0000-0000-0000E2160000}"/>
    <cellStyle name="Normal 16 3 2 2 2" xfId="5706" xr:uid="{00000000-0005-0000-0000-0000E3160000}"/>
    <cellStyle name="Normal 16 3 2 2 2 10" xfId="5707" xr:uid="{00000000-0005-0000-0000-0000E4160000}"/>
    <cellStyle name="Normal 16 3 2 2 2 11" xfId="5708" xr:uid="{00000000-0005-0000-0000-0000E5160000}"/>
    <cellStyle name="Normal 16 3 2 2 2 12" xfId="5709" xr:uid="{00000000-0005-0000-0000-0000E6160000}"/>
    <cellStyle name="Normal 16 3 2 2 2 13" xfId="5710" xr:uid="{00000000-0005-0000-0000-0000E7160000}"/>
    <cellStyle name="Normal 16 3 2 2 2 2" xfId="5711" xr:uid="{00000000-0005-0000-0000-0000E8160000}"/>
    <cellStyle name="Normal 16 3 2 2 2 3" xfId="5712" xr:uid="{00000000-0005-0000-0000-0000E9160000}"/>
    <cellStyle name="Normal 16 3 2 2 2 4" xfId="5713" xr:uid="{00000000-0005-0000-0000-0000EA160000}"/>
    <cellStyle name="Normal 16 3 2 2 2 5" xfId="5714" xr:uid="{00000000-0005-0000-0000-0000EB160000}"/>
    <cellStyle name="Normal 16 3 2 2 2 6" xfId="5715" xr:uid="{00000000-0005-0000-0000-0000EC160000}"/>
    <cellStyle name="Normal 16 3 2 2 2 7" xfId="5716" xr:uid="{00000000-0005-0000-0000-0000ED160000}"/>
    <cellStyle name="Normal 16 3 2 2 2 8" xfId="5717" xr:uid="{00000000-0005-0000-0000-0000EE160000}"/>
    <cellStyle name="Normal 16 3 2 2 2 9" xfId="5718" xr:uid="{00000000-0005-0000-0000-0000EF160000}"/>
    <cellStyle name="Normal 16 3 2 2 3" xfId="5719" xr:uid="{00000000-0005-0000-0000-0000F0160000}"/>
    <cellStyle name="Normal 16 3 2 2 3 10" xfId="5720" xr:uid="{00000000-0005-0000-0000-0000F1160000}"/>
    <cellStyle name="Normal 16 3 2 2 3 11" xfId="5721" xr:uid="{00000000-0005-0000-0000-0000F2160000}"/>
    <cellStyle name="Normal 16 3 2 2 3 12" xfId="5722" xr:uid="{00000000-0005-0000-0000-0000F3160000}"/>
    <cellStyle name="Normal 16 3 2 2 3 13" xfId="5723" xr:uid="{00000000-0005-0000-0000-0000F4160000}"/>
    <cellStyle name="Normal 16 3 2 2 3 14" xfId="5724" xr:uid="{00000000-0005-0000-0000-0000F5160000}"/>
    <cellStyle name="Normal 16 3 2 2 3 14 2" xfId="5725" xr:uid="{00000000-0005-0000-0000-0000F6160000}"/>
    <cellStyle name="Normal 16 3 2 2 3 14 3" xfId="5726" xr:uid="{00000000-0005-0000-0000-0000F7160000}"/>
    <cellStyle name="Normal 16 3 2 2 3 14 3 2" xfId="5727" xr:uid="{00000000-0005-0000-0000-0000F8160000}"/>
    <cellStyle name="Normal 16 3 2 2 3 14 3 3" xfId="5728" xr:uid="{00000000-0005-0000-0000-0000F9160000}"/>
    <cellStyle name="Normal 16 3 2 2 3 2" xfId="5729" xr:uid="{00000000-0005-0000-0000-0000FA160000}"/>
    <cellStyle name="Normal 16 3 2 2 3 3" xfId="5730" xr:uid="{00000000-0005-0000-0000-0000FB160000}"/>
    <cellStyle name="Normal 16 3 2 2 3 4" xfId="5731" xr:uid="{00000000-0005-0000-0000-0000FC160000}"/>
    <cellStyle name="Normal 16 3 2 2 3 5" xfId="5732" xr:uid="{00000000-0005-0000-0000-0000FD160000}"/>
    <cellStyle name="Normal 16 3 2 2 3 6" xfId="5733" xr:uid="{00000000-0005-0000-0000-0000FE160000}"/>
    <cellStyle name="Normal 16 3 2 2 3 7" xfId="5734" xr:uid="{00000000-0005-0000-0000-0000FF160000}"/>
    <cellStyle name="Normal 16 3 2 2 3 8" xfId="5735" xr:uid="{00000000-0005-0000-0000-000000170000}"/>
    <cellStyle name="Normal 16 3 2 2 3 9" xfId="5736" xr:uid="{00000000-0005-0000-0000-000001170000}"/>
    <cellStyle name="Normal 16 3 2 2 4" xfId="5737" xr:uid="{00000000-0005-0000-0000-000002170000}"/>
    <cellStyle name="Normal 16 3 2 2 5" xfId="5738" xr:uid="{00000000-0005-0000-0000-000003170000}"/>
    <cellStyle name="Normal 16 3 2 2 6" xfId="5739" xr:uid="{00000000-0005-0000-0000-000004170000}"/>
    <cellStyle name="Normal 16 3 2 2 7" xfId="5740" xr:uid="{00000000-0005-0000-0000-000005170000}"/>
    <cellStyle name="Normal 16 3 2 2 8" xfId="5741" xr:uid="{00000000-0005-0000-0000-000006170000}"/>
    <cellStyle name="Normal 16 3 2 2 9" xfId="5742" xr:uid="{00000000-0005-0000-0000-000007170000}"/>
    <cellStyle name="Normal 16 3 2 3" xfId="5743" xr:uid="{00000000-0005-0000-0000-000008170000}"/>
    <cellStyle name="Normal 16 3 2 3 10" xfId="5744" xr:uid="{00000000-0005-0000-0000-000009170000}"/>
    <cellStyle name="Normal 16 3 2 3 11" xfId="5745" xr:uid="{00000000-0005-0000-0000-00000A170000}"/>
    <cellStyle name="Normal 16 3 2 3 12" xfId="5746" xr:uid="{00000000-0005-0000-0000-00000B170000}"/>
    <cellStyle name="Normal 16 3 2 3 13" xfId="5747" xr:uid="{00000000-0005-0000-0000-00000C170000}"/>
    <cellStyle name="Normal 16 3 2 3 2" xfId="5748" xr:uid="{00000000-0005-0000-0000-00000D170000}"/>
    <cellStyle name="Normal 16 3 2 3 3" xfId="5749" xr:uid="{00000000-0005-0000-0000-00000E170000}"/>
    <cellStyle name="Normal 16 3 2 3 4" xfId="5750" xr:uid="{00000000-0005-0000-0000-00000F170000}"/>
    <cellStyle name="Normal 16 3 2 3 5" xfId="5751" xr:uid="{00000000-0005-0000-0000-000010170000}"/>
    <cellStyle name="Normal 16 3 2 3 6" xfId="5752" xr:uid="{00000000-0005-0000-0000-000011170000}"/>
    <cellStyle name="Normal 16 3 2 3 7" xfId="5753" xr:uid="{00000000-0005-0000-0000-000012170000}"/>
    <cellStyle name="Normal 16 3 2 3 8" xfId="5754" xr:uid="{00000000-0005-0000-0000-000013170000}"/>
    <cellStyle name="Normal 16 3 2 3 9" xfId="5755" xr:uid="{00000000-0005-0000-0000-000014170000}"/>
    <cellStyle name="Normal 16 3 2 4" xfId="5756" xr:uid="{00000000-0005-0000-0000-000015170000}"/>
    <cellStyle name="Normal 16 3 2 4 10" xfId="5757" xr:uid="{00000000-0005-0000-0000-000016170000}"/>
    <cellStyle name="Normal 16 3 2 4 11" xfId="5758" xr:uid="{00000000-0005-0000-0000-000017170000}"/>
    <cellStyle name="Normal 16 3 2 4 12" xfId="5759" xr:uid="{00000000-0005-0000-0000-000018170000}"/>
    <cellStyle name="Normal 16 3 2 4 13" xfId="5760" xr:uid="{00000000-0005-0000-0000-000019170000}"/>
    <cellStyle name="Normal 16 3 2 4 14" xfId="5761" xr:uid="{00000000-0005-0000-0000-00001A170000}"/>
    <cellStyle name="Normal 16 3 2 4 14 2" xfId="5762" xr:uid="{00000000-0005-0000-0000-00001B170000}"/>
    <cellStyle name="Normal 16 3 2 4 14 3" xfId="5763" xr:uid="{00000000-0005-0000-0000-00001C170000}"/>
    <cellStyle name="Normal 16 3 2 4 14 3 2" xfId="5764" xr:uid="{00000000-0005-0000-0000-00001D170000}"/>
    <cellStyle name="Normal 16 3 2 4 2" xfId="5765" xr:uid="{00000000-0005-0000-0000-00001E170000}"/>
    <cellStyle name="Normal 16 3 2 4 3" xfId="5766" xr:uid="{00000000-0005-0000-0000-00001F170000}"/>
    <cellStyle name="Normal 16 3 2 4 4" xfId="5767" xr:uid="{00000000-0005-0000-0000-000020170000}"/>
    <cellStyle name="Normal 16 3 2 4 5" xfId="5768" xr:uid="{00000000-0005-0000-0000-000021170000}"/>
    <cellStyle name="Normal 16 3 2 4 6" xfId="5769" xr:uid="{00000000-0005-0000-0000-000022170000}"/>
    <cellStyle name="Normal 16 3 2 4 7" xfId="5770" xr:uid="{00000000-0005-0000-0000-000023170000}"/>
    <cellStyle name="Normal 16 3 2 4 8" xfId="5771" xr:uid="{00000000-0005-0000-0000-000024170000}"/>
    <cellStyle name="Normal 16 3 2 4 9" xfId="5772" xr:uid="{00000000-0005-0000-0000-000025170000}"/>
    <cellStyle name="Normal 16 3 2 5" xfId="5773" xr:uid="{00000000-0005-0000-0000-000026170000}"/>
    <cellStyle name="Normal 16 3 2 6" xfId="5774" xr:uid="{00000000-0005-0000-0000-000027170000}"/>
    <cellStyle name="Normal 16 3 2 7" xfId="5775" xr:uid="{00000000-0005-0000-0000-000028170000}"/>
    <cellStyle name="Normal 16 3 2 8" xfId="5776" xr:uid="{00000000-0005-0000-0000-000029170000}"/>
    <cellStyle name="Normal 16 3 2 9" xfId="5777" xr:uid="{00000000-0005-0000-0000-00002A170000}"/>
    <cellStyle name="Normal 16 3 3" xfId="5778" xr:uid="{00000000-0005-0000-0000-00002B170000}"/>
    <cellStyle name="Normal 16 3 3 10" xfId="5779" xr:uid="{00000000-0005-0000-0000-00002C170000}"/>
    <cellStyle name="Normal 16 3 3 11" xfId="5780" xr:uid="{00000000-0005-0000-0000-00002D170000}"/>
    <cellStyle name="Normal 16 3 3 12" xfId="5781" xr:uid="{00000000-0005-0000-0000-00002E170000}"/>
    <cellStyle name="Normal 16 3 3 13" xfId="5782" xr:uid="{00000000-0005-0000-0000-00002F170000}"/>
    <cellStyle name="Normal 16 3 3 2" xfId="5783" xr:uid="{00000000-0005-0000-0000-000030170000}"/>
    <cellStyle name="Normal 16 3 3 3" xfId="5784" xr:uid="{00000000-0005-0000-0000-000031170000}"/>
    <cellStyle name="Normal 16 3 3 4" xfId="5785" xr:uid="{00000000-0005-0000-0000-000032170000}"/>
    <cellStyle name="Normal 16 3 3 5" xfId="5786" xr:uid="{00000000-0005-0000-0000-000033170000}"/>
    <cellStyle name="Normal 16 3 3 6" xfId="5787" xr:uid="{00000000-0005-0000-0000-000034170000}"/>
    <cellStyle name="Normal 16 3 3 7" xfId="5788" xr:uid="{00000000-0005-0000-0000-000035170000}"/>
    <cellStyle name="Normal 16 3 3 8" xfId="5789" xr:uid="{00000000-0005-0000-0000-000036170000}"/>
    <cellStyle name="Normal 16 3 3 9" xfId="5790" xr:uid="{00000000-0005-0000-0000-000037170000}"/>
    <cellStyle name="Normal 16 3 4" xfId="5791" xr:uid="{00000000-0005-0000-0000-000038170000}"/>
    <cellStyle name="Normal 16 3 5" xfId="5792" xr:uid="{00000000-0005-0000-0000-000039170000}"/>
    <cellStyle name="Normal 16 3 6" xfId="5793" xr:uid="{00000000-0005-0000-0000-00003A170000}"/>
    <cellStyle name="Normal 16 3 7" xfId="5794" xr:uid="{00000000-0005-0000-0000-00003B170000}"/>
    <cellStyle name="Normal 16 3 8" xfId="5795" xr:uid="{00000000-0005-0000-0000-00003C170000}"/>
    <cellStyle name="Normal 16 3 9" xfId="5796" xr:uid="{00000000-0005-0000-0000-00003D170000}"/>
    <cellStyle name="Normal 16 30" xfId="5797" xr:uid="{00000000-0005-0000-0000-00003E170000}"/>
    <cellStyle name="Normal 16 31" xfId="5798" xr:uid="{00000000-0005-0000-0000-00003F170000}"/>
    <cellStyle name="Normal 16 32" xfId="5799" xr:uid="{00000000-0005-0000-0000-000040170000}"/>
    <cellStyle name="Normal 16 33" xfId="5800" xr:uid="{00000000-0005-0000-0000-000041170000}"/>
    <cellStyle name="Normal 16 34" xfId="5801" xr:uid="{00000000-0005-0000-0000-000042170000}"/>
    <cellStyle name="Normal 16 35" xfId="5802" xr:uid="{00000000-0005-0000-0000-000043170000}"/>
    <cellStyle name="Normal 16 36" xfId="5803" xr:uid="{00000000-0005-0000-0000-000044170000}"/>
    <cellStyle name="Normal 16 37" xfId="5804" xr:uid="{00000000-0005-0000-0000-000045170000}"/>
    <cellStyle name="Normal 16 38" xfId="5805" xr:uid="{00000000-0005-0000-0000-000046170000}"/>
    <cellStyle name="Normal 16 39" xfId="5806" xr:uid="{00000000-0005-0000-0000-000047170000}"/>
    <cellStyle name="Normal 16 4" xfId="5807" xr:uid="{00000000-0005-0000-0000-000048170000}"/>
    <cellStyle name="Normal 16 4 10" xfId="5808" xr:uid="{00000000-0005-0000-0000-000049170000}"/>
    <cellStyle name="Normal 16 4 11" xfId="5809" xr:uid="{00000000-0005-0000-0000-00004A170000}"/>
    <cellStyle name="Normal 16 4 12" xfId="5810" xr:uid="{00000000-0005-0000-0000-00004B170000}"/>
    <cellStyle name="Normal 16 4 13" xfId="5811" xr:uid="{00000000-0005-0000-0000-00004C170000}"/>
    <cellStyle name="Normal 16 4 2" xfId="5812" xr:uid="{00000000-0005-0000-0000-00004D170000}"/>
    <cellStyle name="Normal 16 4 3" xfId="5813" xr:uid="{00000000-0005-0000-0000-00004E170000}"/>
    <cellStyle name="Normal 16 4 4" xfId="5814" xr:uid="{00000000-0005-0000-0000-00004F170000}"/>
    <cellStyle name="Normal 16 4 5" xfId="5815" xr:uid="{00000000-0005-0000-0000-000050170000}"/>
    <cellStyle name="Normal 16 4 6" xfId="5816" xr:uid="{00000000-0005-0000-0000-000051170000}"/>
    <cellStyle name="Normal 16 4 7" xfId="5817" xr:uid="{00000000-0005-0000-0000-000052170000}"/>
    <cellStyle name="Normal 16 4 8" xfId="5818" xr:uid="{00000000-0005-0000-0000-000053170000}"/>
    <cellStyle name="Normal 16 4 9" xfId="5819" xr:uid="{00000000-0005-0000-0000-000054170000}"/>
    <cellStyle name="Normal 16 40" xfId="5820" xr:uid="{00000000-0005-0000-0000-000055170000}"/>
    <cellStyle name="Normal 16 41" xfId="5821" xr:uid="{00000000-0005-0000-0000-000056170000}"/>
    <cellStyle name="Normal 16 42" xfId="5822" xr:uid="{00000000-0005-0000-0000-000057170000}"/>
    <cellStyle name="Normal 16 43" xfId="5823" xr:uid="{00000000-0005-0000-0000-000058170000}"/>
    <cellStyle name="Normal 16 44" xfId="5824" xr:uid="{00000000-0005-0000-0000-000059170000}"/>
    <cellStyle name="Normal 16 45" xfId="5825" xr:uid="{00000000-0005-0000-0000-00005A170000}"/>
    <cellStyle name="Normal 16 46" xfId="5826" xr:uid="{00000000-0005-0000-0000-00005B170000}"/>
    <cellStyle name="Normal 16 47" xfId="5827" xr:uid="{00000000-0005-0000-0000-00005C170000}"/>
    <cellStyle name="Normal 16 48" xfId="5828" xr:uid="{00000000-0005-0000-0000-00005D170000}"/>
    <cellStyle name="Normal 16 49" xfId="5829" xr:uid="{00000000-0005-0000-0000-00005E170000}"/>
    <cellStyle name="Normal 16 5" xfId="5830" xr:uid="{00000000-0005-0000-0000-00005F170000}"/>
    <cellStyle name="Normal 16 5 2" xfId="5831" xr:uid="{00000000-0005-0000-0000-000060170000}"/>
    <cellStyle name="Normal 16 50" xfId="5832" xr:uid="{00000000-0005-0000-0000-000061170000}"/>
    <cellStyle name="Normal 16 51" xfId="5833" xr:uid="{00000000-0005-0000-0000-000062170000}"/>
    <cellStyle name="Normal 16 52" xfId="5834" xr:uid="{00000000-0005-0000-0000-000063170000}"/>
    <cellStyle name="Normal 16 53" xfId="5835" xr:uid="{00000000-0005-0000-0000-000064170000}"/>
    <cellStyle name="Normal 16 54" xfId="5836" xr:uid="{00000000-0005-0000-0000-000065170000}"/>
    <cellStyle name="Normal 16 55" xfId="5837" xr:uid="{00000000-0005-0000-0000-000066170000}"/>
    <cellStyle name="Normal 16 56" xfId="5838" xr:uid="{00000000-0005-0000-0000-000067170000}"/>
    <cellStyle name="Normal 16 57" xfId="5839" xr:uid="{00000000-0005-0000-0000-000068170000}"/>
    <cellStyle name="Normal 16 58" xfId="5840" xr:uid="{00000000-0005-0000-0000-000069170000}"/>
    <cellStyle name="Normal 16 59" xfId="5841" xr:uid="{00000000-0005-0000-0000-00006A170000}"/>
    <cellStyle name="Normal 16 6" xfId="5842" xr:uid="{00000000-0005-0000-0000-00006B170000}"/>
    <cellStyle name="Normal 16 6 2" xfId="5843" xr:uid="{00000000-0005-0000-0000-00006C170000}"/>
    <cellStyle name="Normal 16 60" xfId="5844" xr:uid="{00000000-0005-0000-0000-00006D170000}"/>
    <cellStyle name="Normal 16 61" xfId="5845" xr:uid="{00000000-0005-0000-0000-00006E170000}"/>
    <cellStyle name="Normal 16 62" xfId="5846" xr:uid="{00000000-0005-0000-0000-00006F170000}"/>
    <cellStyle name="Normal 16 63" xfId="5847" xr:uid="{00000000-0005-0000-0000-000070170000}"/>
    <cellStyle name="Normal 16 64" xfId="5848" xr:uid="{00000000-0005-0000-0000-000071170000}"/>
    <cellStyle name="Normal 16 65" xfId="5849" xr:uid="{00000000-0005-0000-0000-000072170000}"/>
    <cellStyle name="Normal 16 66" xfId="5850" xr:uid="{00000000-0005-0000-0000-000073170000}"/>
    <cellStyle name="Normal 16 67" xfId="5851" xr:uid="{00000000-0005-0000-0000-000074170000}"/>
    <cellStyle name="Normal 16 68" xfId="5852" xr:uid="{00000000-0005-0000-0000-000075170000}"/>
    <cellStyle name="Normal 16 69" xfId="5853" xr:uid="{00000000-0005-0000-0000-000076170000}"/>
    <cellStyle name="Normal 16 7" xfId="5854" xr:uid="{00000000-0005-0000-0000-000077170000}"/>
    <cellStyle name="Normal 16 7 2" xfId="5855" xr:uid="{00000000-0005-0000-0000-000078170000}"/>
    <cellStyle name="Normal 16 70" xfId="5856" xr:uid="{00000000-0005-0000-0000-000079170000}"/>
    <cellStyle name="Normal 16 71" xfId="5857" xr:uid="{00000000-0005-0000-0000-00007A170000}"/>
    <cellStyle name="Normal 16 8" xfId="5858" xr:uid="{00000000-0005-0000-0000-00007B170000}"/>
    <cellStyle name="Normal 16 8 2" xfId="5859" xr:uid="{00000000-0005-0000-0000-00007C170000}"/>
    <cellStyle name="Normal 16 9" xfId="5860" xr:uid="{00000000-0005-0000-0000-00007D170000}"/>
    <cellStyle name="Normal 16 9 2" xfId="5861" xr:uid="{00000000-0005-0000-0000-00007E170000}"/>
    <cellStyle name="Normal 16_4 28 1_Asst_Health_Crit_AllTO_RIIO_20110714pm" xfId="5862" xr:uid="{00000000-0005-0000-0000-00007F170000}"/>
    <cellStyle name="Normal 17" xfId="5863" xr:uid="{00000000-0005-0000-0000-000080170000}"/>
    <cellStyle name="Normal 17 10" xfId="5864" xr:uid="{00000000-0005-0000-0000-000081170000}"/>
    <cellStyle name="Normal 17 10 2" xfId="5865" xr:uid="{00000000-0005-0000-0000-000082170000}"/>
    <cellStyle name="Normal 17 11" xfId="5866" xr:uid="{00000000-0005-0000-0000-000083170000}"/>
    <cellStyle name="Normal 17 11 2" xfId="5867" xr:uid="{00000000-0005-0000-0000-000084170000}"/>
    <cellStyle name="Normal 17 12" xfId="5868" xr:uid="{00000000-0005-0000-0000-000085170000}"/>
    <cellStyle name="Normal 17 12 2" xfId="5869" xr:uid="{00000000-0005-0000-0000-000086170000}"/>
    <cellStyle name="Normal 17 13" xfId="5870" xr:uid="{00000000-0005-0000-0000-000087170000}"/>
    <cellStyle name="Normal 17 13 2" xfId="5871" xr:uid="{00000000-0005-0000-0000-000088170000}"/>
    <cellStyle name="Normal 17 14" xfId="5872" xr:uid="{00000000-0005-0000-0000-000089170000}"/>
    <cellStyle name="Normal 17 14 2" xfId="5873" xr:uid="{00000000-0005-0000-0000-00008A170000}"/>
    <cellStyle name="Normal 17 15" xfId="5874" xr:uid="{00000000-0005-0000-0000-00008B170000}"/>
    <cellStyle name="Normal 17 15 2" xfId="5875" xr:uid="{00000000-0005-0000-0000-00008C170000}"/>
    <cellStyle name="Normal 17 16" xfId="5876" xr:uid="{00000000-0005-0000-0000-00008D170000}"/>
    <cellStyle name="Normal 17 16 2" xfId="5877" xr:uid="{00000000-0005-0000-0000-00008E170000}"/>
    <cellStyle name="Normal 17 17" xfId="5878" xr:uid="{00000000-0005-0000-0000-00008F170000}"/>
    <cellStyle name="Normal 17 17 2" xfId="5879" xr:uid="{00000000-0005-0000-0000-000090170000}"/>
    <cellStyle name="Normal 17 18" xfId="5880" xr:uid="{00000000-0005-0000-0000-000091170000}"/>
    <cellStyle name="Normal 17 18 2" xfId="5881" xr:uid="{00000000-0005-0000-0000-000092170000}"/>
    <cellStyle name="Normal 17 19" xfId="5882" xr:uid="{00000000-0005-0000-0000-000093170000}"/>
    <cellStyle name="Normal 17 19 2" xfId="5883" xr:uid="{00000000-0005-0000-0000-000094170000}"/>
    <cellStyle name="Normal 17 2" xfId="5884" xr:uid="{00000000-0005-0000-0000-000095170000}"/>
    <cellStyle name="Normal 17 2 10" xfId="5885" xr:uid="{00000000-0005-0000-0000-000096170000}"/>
    <cellStyle name="Normal 17 2 11" xfId="5886" xr:uid="{00000000-0005-0000-0000-000097170000}"/>
    <cellStyle name="Normal 17 2 12" xfId="5887" xr:uid="{00000000-0005-0000-0000-000098170000}"/>
    <cellStyle name="Normal 17 2 13" xfId="5888" xr:uid="{00000000-0005-0000-0000-000099170000}"/>
    <cellStyle name="Normal 17 2 2" xfId="5889" xr:uid="{00000000-0005-0000-0000-00009A170000}"/>
    <cellStyle name="Normal 17 2 3" xfId="5890" xr:uid="{00000000-0005-0000-0000-00009B170000}"/>
    <cellStyle name="Normal 17 2 4" xfId="5891" xr:uid="{00000000-0005-0000-0000-00009C170000}"/>
    <cellStyle name="Normal 17 2 5" xfId="5892" xr:uid="{00000000-0005-0000-0000-00009D170000}"/>
    <cellStyle name="Normal 17 2 6" xfId="5893" xr:uid="{00000000-0005-0000-0000-00009E170000}"/>
    <cellStyle name="Normal 17 2 7" xfId="5894" xr:uid="{00000000-0005-0000-0000-00009F170000}"/>
    <cellStyle name="Normal 17 2 8" xfId="5895" xr:uid="{00000000-0005-0000-0000-0000A0170000}"/>
    <cellStyle name="Normal 17 2 9" xfId="5896" xr:uid="{00000000-0005-0000-0000-0000A1170000}"/>
    <cellStyle name="Normal 17 20" xfId="5897" xr:uid="{00000000-0005-0000-0000-0000A2170000}"/>
    <cellStyle name="Normal 17 20 2" xfId="5898" xr:uid="{00000000-0005-0000-0000-0000A3170000}"/>
    <cellStyle name="Normal 17 21" xfId="5899" xr:uid="{00000000-0005-0000-0000-0000A4170000}"/>
    <cellStyle name="Normal 17 21 2" xfId="5900" xr:uid="{00000000-0005-0000-0000-0000A5170000}"/>
    <cellStyle name="Normal 17 22" xfId="5901" xr:uid="{00000000-0005-0000-0000-0000A6170000}"/>
    <cellStyle name="Normal 17 22 2" xfId="5902" xr:uid="{00000000-0005-0000-0000-0000A7170000}"/>
    <cellStyle name="Normal 17 23" xfId="5903" xr:uid="{00000000-0005-0000-0000-0000A8170000}"/>
    <cellStyle name="Normal 17 24" xfId="5904" xr:uid="{00000000-0005-0000-0000-0000A9170000}"/>
    <cellStyle name="Normal 17 25" xfId="5905" xr:uid="{00000000-0005-0000-0000-0000AA170000}"/>
    <cellStyle name="Normal 17 26" xfId="5906" xr:uid="{00000000-0005-0000-0000-0000AB170000}"/>
    <cellStyle name="Normal 17 27" xfId="5907" xr:uid="{00000000-0005-0000-0000-0000AC170000}"/>
    <cellStyle name="Normal 17 28" xfId="5908" xr:uid="{00000000-0005-0000-0000-0000AD170000}"/>
    <cellStyle name="Normal 17 29" xfId="5909" xr:uid="{00000000-0005-0000-0000-0000AE170000}"/>
    <cellStyle name="Normal 17 3" xfId="5910" xr:uid="{00000000-0005-0000-0000-0000AF170000}"/>
    <cellStyle name="Normal 17 3 2" xfId="5911" xr:uid="{00000000-0005-0000-0000-0000B0170000}"/>
    <cellStyle name="Normal 17 30" xfId="5912" xr:uid="{00000000-0005-0000-0000-0000B1170000}"/>
    <cellStyle name="Normal 17 31" xfId="5913" xr:uid="{00000000-0005-0000-0000-0000B2170000}"/>
    <cellStyle name="Normal 17 32" xfId="5914" xr:uid="{00000000-0005-0000-0000-0000B3170000}"/>
    <cellStyle name="Normal 17 33" xfId="5915" xr:uid="{00000000-0005-0000-0000-0000B4170000}"/>
    <cellStyle name="Normal 17 34" xfId="5916" xr:uid="{00000000-0005-0000-0000-0000B5170000}"/>
    <cellStyle name="Normal 17 35" xfId="5917" xr:uid="{00000000-0005-0000-0000-0000B6170000}"/>
    <cellStyle name="Normal 17 36" xfId="5918" xr:uid="{00000000-0005-0000-0000-0000B7170000}"/>
    <cellStyle name="Normal 17 37" xfId="5919" xr:uid="{00000000-0005-0000-0000-0000B8170000}"/>
    <cellStyle name="Normal 17 38" xfId="5920" xr:uid="{00000000-0005-0000-0000-0000B9170000}"/>
    <cellStyle name="Normal 17 39" xfId="5921" xr:uid="{00000000-0005-0000-0000-0000BA170000}"/>
    <cellStyle name="Normal 17 4" xfId="5922" xr:uid="{00000000-0005-0000-0000-0000BB170000}"/>
    <cellStyle name="Normal 17 4 2" xfId="5923" xr:uid="{00000000-0005-0000-0000-0000BC170000}"/>
    <cellStyle name="Normal 17 40" xfId="5924" xr:uid="{00000000-0005-0000-0000-0000BD170000}"/>
    <cellStyle name="Normal 17 41" xfId="5925" xr:uid="{00000000-0005-0000-0000-0000BE170000}"/>
    <cellStyle name="Normal 17 42" xfId="5926" xr:uid="{00000000-0005-0000-0000-0000BF170000}"/>
    <cellStyle name="Normal 17 43" xfId="5927" xr:uid="{00000000-0005-0000-0000-0000C0170000}"/>
    <cellStyle name="Normal 17 44" xfId="5928" xr:uid="{00000000-0005-0000-0000-0000C1170000}"/>
    <cellStyle name="Normal 17 45" xfId="5929" xr:uid="{00000000-0005-0000-0000-0000C2170000}"/>
    <cellStyle name="Normal 17 46" xfId="5930" xr:uid="{00000000-0005-0000-0000-0000C3170000}"/>
    <cellStyle name="Normal 17 47" xfId="5931" xr:uid="{00000000-0005-0000-0000-0000C4170000}"/>
    <cellStyle name="Normal 17 48" xfId="5932" xr:uid="{00000000-0005-0000-0000-0000C5170000}"/>
    <cellStyle name="Normal 17 49" xfId="5933" xr:uid="{00000000-0005-0000-0000-0000C6170000}"/>
    <cellStyle name="Normal 17 5" xfId="5934" xr:uid="{00000000-0005-0000-0000-0000C7170000}"/>
    <cellStyle name="Normal 17 5 2" xfId="5935" xr:uid="{00000000-0005-0000-0000-0000C8170000}"/>
    <cellStyle name="Normal 17 50" xfId="5936" xr:uid="{00000000-0005-0000-0000-0000C9170000}"/>
    <cellStyle name="Normal 17 51" xfId="5937" xr:uid="{00000000-0005-0000-0000-0000CA170000}"/>
    <cellStyle name="Normal 17 52" xfId="5938" xr:uid="{00000000-0005-0000-0000-0000CB170000}"/>
    <cellStyle name="Normal 17 53" xfId="5939" xr:uid="{00000000-0005-0000-0000-0000CC170000}"/>
    <cellStyle name="Normal 17 54" xfId="5940" xr:uid="{00000000-0005-0000-0000-0000CD170000}"/>
    <cellStyle name="Normal 17 55" xfId="5941" xr:uid="{00000000-0005-0000-0000-0000CE170000}"/>
    <cellStyle name="Normal 17 56" xfId="5942" xr:uid="{00000000-0005-0000-0000-0000CF170000}"/>
    <cellStyle name="Normal 17 57" xfId="5943" xr:uid="{00000000-0005-0000-0000-0000D0170000}"/>
    <cellStyle name="Normal 17 58" xfId="5944" xr:uid="{00000000-0005-0000-0000-0000D1170000}"/>
    <cellStyle name="Normal 17 59" xfId="5945" xr:uid="{00000000-0005-0000-0000-0000D2170000}"/>
    <cellStyle name="Normal 17 6" xfId="5946" xr:uid="{00000000-0005-0000-0000-0000D3170000}"/>
    <cellStyle name="Normal 17 6 2" xfId="5947" xr:uid="{00000000-0005-0000-0000-0000D4170000}"/>
    <cellStyle name="Normal 17 60" xfId="5948" xr:uid="{00000000-0005-0000-0000-0000D5170000}"/>
    <cellStyle name="Normal 17 61" xfId="5949" xr:uid="{00000000-0005-0000-0000-0000D6170000}"/>
    <cellStyle name="Normal 17 62" xfId="5950" xr:uid="{00000000-0005-0000-0000-0000D7170000}"/>
    <cellStyle name="Normal 17 63" xfId="5951" xr:uid="{00000000-0005-0000-0000-0000D8170000}"/>
    <cellStyle name="Normal 17 64" xfId="5952" xr:uid="{00000000-0005-0000-0000-0000D9170000}"/>
    <cellStyle name="Normal 17 65" xfId="5953" xr:uid="{00000000-0005-0000-0000-0000DA170000}"/>
    <cellStyle name="Normal 17 66" xfId="5954" xr:uid="{00000000-0005-0000-0000-0000DB170000}"/>
    <cellStyle name="Normal 17 67" xfId="5955" xr:uid="{00000000-0005-0000-0000-0000DC170000}"/>
    <cellStyle name="Normal 17 68" xfId="5956" xr:uid="{00000000-0005-0000-0000-0000DD170000}"/>
    <cellStyle name="Normal 17 69" xfId="5957" xr:uid="{00000000-0005-0000-0000-0000DE170000}"/>
    <cellStyle name="Normal 17 7" xfId="5958" xr:uid="{00000000-0005-0000-0000-0000DF170000}"/>
    <cellStyle name="Normal 17 7 2" xfId="5959" xr:uid="{00000000-0005-0000-0000-0000E0170000}"/>
    <cellStyle name="Normal 17 70" xfId="5960" xr:uid="{00000000-0005-0000-0000-0000E1170000}"/>
    <cellStyle name="Normal 17 8" xfId="5961" xr:uid="{00000000-0005-0000-0000-0000E2170000}"/>
    <cellStyle name="Normal 17 8 2" xfId="5962" xr:uid="{00000000-0005-0000-0000-0000E3170000}"/>
    <cellStyle name="Normal 17 9" xfId="5963" xr:uid="{00000000-0005-0000-0000-0000E4170000}"/>
    <cellStyle name="Normal 17 9 2" xfId="5964" xr:uid="{00000000-0005-0000-0000-0000E5170000}"/>
    <cellStyle name="Normal 18" xfId="5965" xr:uid="{00000000-0005-0000-0000-0000E6170000}"/>
    <cellStyle name="Normal 18 10" xfId="5966" xr:uid="{00000000-0005-0000-0000-0000E7170000}"/>
    <cellStyle name="Normal 18 10 2" xfId="5967" xr:uid="{00000000-0005-0000-0000-0000E8170000}"/>
    <cellStyle name="Normal 18 11" xfId="5968" xr:uid="{00000000-0005-0000-0000-0000E9170000}"/>
    <cellStyle name="Normal 18 11 2" xfId="5969" xr:uid="{00000000-0005-0000-0000-0000EA170000}"/>
    <cellStyle name="Normal 18 12" xfId="5970" xr:uid="{00000000-0005-0000-0000-0000EB170000}"/>
    <cellStyle name="Normal 18 12 2" xfId="5971" xr:uid="{00000000-0005-0000-0000-0000EC170000}"/>
    <cellStyle name="Normal 18 13" xfId="5972" xr:uid="{00000000-0005-0000-0000-0000ED170000}"/>
    <cellStyle name="Normal 18 13 2" xfId="5973" xr:uid="{00000000-0005-0000-0000-0000EE170000}"/>
    <cellStyle name="Normal 18 14" xfId="5974" xr:uid="{00000000-0005-0000-0000-0000EF170000}"/>
    <cellStyle name="Normal 18 14 2" xfId="5975" xr:uid="{00000000-0005-0000-0000-0000F0170000}"/>
    <cellStyle name="Normal 18 15" xfId="5976" xr:uid="{00000000-0005-0000-0000-0000F1170000}"/>
    <cellStyle name="Normal 18 15 2" xfId="5977" xr:uid="{00000000-0005-0000-0000-0000F2170000}"/>
    <cellStyle name="Normal 18 16" xfId="5978" xr:uid="{00000000-0005-0000-0000-0000F3170000}"/>
    <cellStyle name="Normal 18 16 2" xfId="5979" xr:uid="{00000000-0005-0000-0000-0000F4170000}"/>
    <cellStyle name="Normal 18 17" xfId="5980" xr:uid="{00000000-0005-0000-0000-0000F5170000}"/>
    <cellStyle name="Normal 18 17 2" xfId="5981" xr:uid="{00000000-0005-0000-0000-0000F6170000}"/>
    <cellStyle name="Normal 18 18" xfId="5982" xr:uid="{00000000-0005-0000-0000-0000F7170000}"/>
    <cellStyle name="Normal 18 18 2" xfId="5983" xr:uid="{00000000-0005-0000-0000-0000F8170000}"/>
    <cellStyle name="Normal 18 19" xfId="5984" xr:uid="{00000000-0005-0000-0000-0000F9170000}"/>
    <cellStyle name="Normal 18 19 2" xfId="5985" xr:uid="{00000000-0005-0000-0000-0000FA170000}"/>
    <cellStyle name="Normal 18 2" xfId="5986" xr:uid="{00000000-0005-0000-0000-0000FB170000}"/>
    <cellStyle name="Normal 18 2 10" xfId="5987" xr:uid="{00000000-0005-0000-0000-0000FC170000}"/>
    <cellStyle name="Normal 18 2 11" xfId="5988" xr:uid="{00000000-0005-0000-0000-0000FD170000}"/>
    <cellStyle name="Normal 18 2 12" xfId="5989" xr:uid="{00000000-0005-0000-0000-0000FE170000}"/>
    <cellStyle name="Normal 18 2 13" xfId="5990" xr:uid="{00000000-0005-0000-0000-0000FF170000}"/>
    <cellStyle name="Normal 18 2 2" xfId="5991" xr:uid="{00000000-0005-0000-0000-000000180000}"/>
    <cellStyle name="Normal 18 2 3" xfId="5992" xr:uid="{00000000-0005-0000-0000-000001180000}"/>
    <cellStyle name="Normal 18 2 4" xfId="5993" xr:uid="{00000000-0005-0000-0000-000002180000}"/>
    <cellStyle name="Normal 18 2 5" xfId="5994" xr:uid="{00000000-0005-0000-0000-000003180000}"/>
    <cellStyle name="Normal 18 2 6" xfId="5995" xr:uid="{00000000-0005-0000-0000-000004180000}"/>
    <cellStyle name="Normal 18 2 7" xfId="5996" xr:uid="{00000000-0005-0000-0000-000005180000}"/>
    <cellStyle name="Normal 18 2 8" xfId="5997" xr:uid="{00000000-0005-0000-0000-000006180000}"/>
    <cellStyle name="Normal 18 2 9" xfId="5998" xr:uid="{00000000-0005-0000-0000-000007180000}"/>
    <cellStyle name="Normal 18 20" xfId="5999" xr:uid="{00000000-0005-0000-0000-000008180000}"/>
    <cellStyle name="Normal 18 20 2" xfId="6000" xr:uid="{00000000-0005-0000-0000-000009180000}"/>
    <cellStyle name="Normal 18 21" xfId="6001" xr:uid="{00000000-0005-0000-0000-00000A180000}"/>
    <cellStyle name="Normal 18 21 2" xfId="6002" xr:uid="{00000000-0005-0000-0000-00000B180000}"/>
    <cellStyle name="Normal 18 22" xfId="6003" xr:uid="{00000000-0005-0000-0000-00000C180000}"/>
    <cellStyle name="Normal 18 22 2" xfId="6004" xr:uid="{00000000-0005-0000-0000-00000D180000}"/>
    <cellStyle name="Normal 18 23" xfId="6005" xr:uid="{00000000-0005-0000-0000-00000E180000}"/>
    <cellStyle name="Normal 18 24" xfId="6006" xr:uid="{00000000-0005-0000-0000-00000F180000}"/>
    <cellStyle name="Normal 18 25" xfId="6007" xr:uid="{00000000-0005-0000-0000-000010180000}"/>
    <cellStyle name="Normal 18 26" xfId="6008" xr:uid="{00000000-0005-0000-0000-000011180000}"/>
    <cellStyle name="Normal 18 27" xfId="6009" xr:uid="{00000000-0005-0000-0000-000012180000}"/>
    <cellStyle name="Normal 18 28" xfId="6010" xr:uid="{00000000-0005-0000-0000-000013180000}"/>
    <cellStyle name="Normal 18 29" xfId="6011" xr:uid="{00000000-0005-0000-0000-000014180000}"/>
    <cellStyle name="Normal 18 3" xfId="6012" xr:uid="{00000000-0005-0000-0000-000015180000}"/>
    <cellStyle name="Normal 18 3 10" xfId="6013" xr:uid="{00000000-0005-0000-0000-000016180000}"/>
    <cellStyle name="Normal 18 3 11" xfId="6014" xr:uid="{00000000-0005-0000-0000-000017180000}"/>
    <cellStyle name="Normal 18 3 12" xfId="6015" xr:uid="{00000000-0005-0000-0000-000018180000}"/>
    <cellStyle name="Normal 18 3 13" xfId="6016" xr:uid="{00000000-0005-0000-0000-000019180000}"/>
    <cellStyle name="Normal 18 3 2" xfId="6017" xr:uid="{00000000-0005-0000-0000-00001A180000}"/>
    <cellStyle name="Normal 18 3 3" xfId="6018" xr:uid="{00000000-0005-0000-0000-00001B180000}"/>
    <cellStyle name="Normal 18 3 4" xfId="6019" xr:uid="{00000000-0005-0000-0000-00001C180000}"/>
    <cellStyle name="Normal 18 3 5" xfId="6020" xr:uid="{00000000-0005-0000-0000-00001D180000}"/>
    <cellStyle name="Normal 18 3 6" xfId="6021" xr:uid="{00000000-0005-0000-0000-00001E180000}"/>
    <cellStyle name="Normal 18 3 7" xfId="6022" xr:uid="{00000000-0005-0000-0000-00001F180000}"/>
    <cellStyle name="Normal 18 3 8" xfId="6023" xr:uid="{00000000-0005-0000-0000-000020180000}"/>
    <cellStyle name="Normal 18 3 9" xfId="6024" xr:uid="{00000000-0005-0000-0000-000021180000}"/>
    <cellStyle name="Normal 18 30" xfId="6025" xr:uid="{00000000-0005-0000-0000-000022180000}"/>
    <cellStyle name="Normal 18 31" xfId="6026" xr:uid="{00000000-0005-0000-0000-000023180000}"/>
    <cellStyle name="Normal 18 32" xfId="6027" xr:uid="{00000000-0005-0000-0000-000024180000}"/>
    <cellStyle name="Normal 18 33" xfId="6028" xr:uid="{00000000-0005-0000-0000-000025180000}"/>
    <cellStyle name="Normal 18 34" xfId="6029" xr:uid="{00000000-0005-0000-0000-000026180000}"/>
    <cellStyle name="Normal 18 35" xfId="6030" xr:uid="{00000000-0005-0000-0000-000027180000}"/>
    <cellStyle name="Normal 18 36" xfId="6031" xr:uid="{00000000-0005-0000-0000-000028180000}"/>
    <cellStyle name="Normal 18 37" xfId="6032" xr:uid="{00000000-0005-0000-0000-000029180000}"/>
    <cellStyle name="Normal 18 38" xfId="6033" xr:uid="{00000000-0005-0000-0000-00002A180000}"/>
    <cellStyle name="Normal 18 39" xfId="6034" xr:uid="{00000000-0005-0000-0000-00002B180000}"/>
    <cellStyle name="Normal 18 4" xfId="6035" xr:uid="{00000000-0005-0000-0000-00002C180000}"/>
    <cellStyle name="Normal 18 4 2" xfId="6036" xr:uid="{00000000-0005-0000-0000-00002D180000}"/>
    <cellStyle name="Normal 18 40" xfId="6037" xr:uid="{00000000-0005-0000-0000-00002E180000}"/>
    <cellStyle name="Normal 18 41" xfId="6038" xr:uid="{00000000-0005-0000-0000-00002F180000}"/>
    <cellStyle name="Normal 18 42" xfId="6039" xr:uid="{00000000-0005-0000-0000-000030180000}"/>
    <cellStyle name="Normal 18 43" xfId="6040" xr:uid="{00000000-0005-0000-0000-000031180000}"/>
    <cellStyle name="Normal 18 44" xfId="6041" xr:uid="{00000000-0005-0000-0000-000032180000}"/>
    <cellStyle name="Normal 18 45" xfId="6042" xr:uid="{00000000-0005-0000-0000-000033180000}"/>
    <cellStyle name="Normal 18 46" xfId="6043" xr:uid="{00000000-0005-0000-0000-000034180000}"/>
    <cellStyle name="Normal 18 47" xfId="6044" xr:uid="{00000000-0005-0000-0000-000035180000}"/>
    <cellStyle name="Normal 18 48" xfId="6045" xr:uid="{00000000-0005-0000-0000-000036180000}"/>
    <cellStyle name="Normal 18 49" xfId="6046" xr:uid="{00000000-0005-0000-0000-000037180000}"/>
    <cellStyle name="Normal 18 5" xfId="6047" xr:uid="{00000000-0005-0000-0000-000038180000}"/>
    <cellStyle name="Normal 18 5 2" xfId="6048" xr:uid="{00000000-0005-0000-0000-000039180000}"/>
    <cellStyle name="Normal 18 5 2 2" xfId="6049" xr:uid="{00000000-0005-0000-0000-00003A180000}"/>
    <cellStyle name="Normal 18 5 2 3" xfId="6050" xr:uid="{00000000-0005-0000-0000-00003B180000}"/>
    <cellStyle name="Normal 18 5 2 3 2" xfId="6051" xr:uid="{00000000-0005-0000-0000-00003C180000}"/>
    <cellStyle name="Normal 18 5 2 3 3" xfId="6052" xr:uid="{00000000-0005-0000-0000-00003D180000}"/>
    <cellStyle name="Normal 18 50" xfId="6053" xr:uid="{00000000-0005-0000-0000-00003E180000}"/>
    <cellStyle name="Normal 18 51" xfId="6054" xr:uid="{00000000-0005-0000-0000-00003F180000}"/>
    <cellStyle name="Normal 18 52" xfId="6055" xr:uid="{00000000-0005-0000-0000-000040180000}"/>
    <cellStyle name="Normal 18 53" xfId="6056" xr:uid="{00000000-0005-0000-0000-000041180000}"/>
    <cellStyle name="Normal 18 54" xfId="6057" xr:uid="{00000000-0005-0000-0000-000042180000}"/>
    <cellStyle name="Normal 18 55" xfId="6058" xr:uid="{00000000-0005-0000-0000-000043180000}"/>
    <cellStyle name="Normal 18 56" xfId="6059" xr:uid="{00000000-0005-0000-0000-000044180000}"/>
    <cellStyle name="Normal 18 57" xfId="6060" xr:uid="{00000000-0005-0000-0000-000045180000}"/>
    <cellStyle name="Normal 18 58" xfId="6061" xr:uid="{00000000-0005-0000-0000-000046180000}"/>
    <cellStyle name="Normal 18 59" xfId="6062" xr:uid="{00000000-0005-0000-0000-000047180000}"/>
    <cellStyle name="Normal 18 6" xfId="6063" xr:uid="{00000000-0005-0000-0000-000048180000}"/>
    <cellStyle name="Normal 18 6 2" xfId="6064" xr:uid="{00000000-0005-0000-0000-000049180000}"/>
    <cellStyle name="Normal 18 6 2 2" xfId="6065" xr:uid="{00000000-0005-0000-0000-00004A180000}"/>
    <cellStyle name="Normal 18 6 2 3" xfId="6066" xr:uid="{00000000-0005-0000-0000-00004B180000}"/>
    <cellStyle name="Normal 18 6 2 3 2" xfId="6067" xr:uid="{00000000-0005-0000-0000-00004C180000}"/>
    <cellStyle name="Normal 18 6 2 3 3" xfId="6068" xr:uid="{00000000-0005-0000-0000-00004D180000}"/>
    <cellStyle name="Normal 18 60" xfId="6069" xr:uid="{00000000-0005-0000-0000-00004E180000}"/>
    <cellStyle name="Normal 18 61" xfId="6070" xr:uid="{00000000-0005-0000-0000-00004F180000}"/>
    <cellStyle name="Normal 18 62" xfId="6071" xr:uid="{00000000-0005-0000-0000-000050180000}"/>
    <cellStyle name="Normal 18 63" xfId="6072" xr:uid="{00000000-0005-0000-0000-000051180000}"/>
    <cellStyle name="Normal 18 64" xfId="6073" xr:uid="{00000000-0005-0000-0000-000052180000}"/>
    <cellStyle name="Normal 18 65" xfId="6074" xr:uid="{00000000-0005-0000-0000-000053180000}"/>
    <cellStyle name="Normal 18 66" xfId="6075" xr:uid="{00000000-0005-0000-0000-000054180000}"/>
    <cellStyle name="Normal 18 67" xfId="6076" xr:uid="{00000000-0005-0000-0000-000055180000}"/>
    <cellStyle name="Normal 18 68" xfId="6077" xr:uid="{00000000-0005-0000-0000-000056180000}"/>
    <cellStyle name="Normal 18 69" xfId="6078" xr:uid="{00000000-0005-0000-0000-000057180000}"/>
    <cellStyle name="Normal 18 7" xfId="6079" xr:uid="{00000000-0005-0000-0000-000058180000}"/>
    <cellStyle name="Normal 18 7 2" xfId="6080" xr:uid="{00000000-0005-0000-0000-000059180000}"/>
    <cellStyle name="Normal 18 70" xfId="6081" xr:uid="{00000000-0005-0000-0000-00005A180000}"/>
    <cellStyle name="Normal 18 8" xfId="6082" xr:uid="{00000000-0005-0000-0000-00005B180000}"/>
    <cellStyle name="Normal 18 8 2" xfId="6083" xr:uid="{00000000-0005-0000-0000-00005C180000}"/>
    <cellStyle name="Normal 18 9" xfId="6084" xr:uid="{00000000-0005-0000-0000-00005D180000}"/>
    <cellStyle name="Normal 18 9 2" xfId="6085" xr:uid="{00000000-0005-0000-0000-00005E180000}"/>
    <cellStyle name="Normal 19" xfId="6086" xr:uid="{00000000-0005-0000-0000-00005F180000}"/>
    <cellStyle name="Normal 19 10" xfId="6087" xr:uid="{00000000-0005-0000-0000-000060180000}"/>
    <cellStyle name="Normal 19 10 2" xfId="6088" xr:uid="{00000000-0005-0000-0000-000061180000}"/>
    <cellStyle name="Normal 19 11" xfId="6089" xr:uid="{00000000-0005-0000-0000-000062180000}"/>
    <cellStyle name="Normal 19 11 2" xfId="6090" xr:uid="{00000000-0005-0000-0000-000063180000}"/>
    <cellStyle name="Normal 19 12" xfId="6091" xr:uid="{00000000-0005-0000-0000-000064180000}"/>
    <cellStyle name="Normal 19 12 2" xfId="6092" xr:uid="{00000000-0005-0000-0000-000065180000}"/>
    <cellStyle name="Normal 19 13" xfId="6093" xr:uid="{00000000-0005-0000-0000-000066180000}"/>
    <cellStyle name="Normal 19 13 2" xfId="6094" xr:uid="{00000000-0005-0000-0000-000067180000}"/>
    <cellStyle name="Normal 19 14" xfId="6095" xr:uid="{00000000-0005-0000-0000-000068180000}"/>
    <cellStyle name="Normal 19 14 2" xfId="6096" xr:uid="{00000000-0005-0000-0000-000069180000}"/>
    <cellStyle name="Normal 19 15" xfId="6097" xr:uid="{00000000-0005-0000-0000-00006A180000}"/>
    <cellStyle name="Normal 19 15 2" xfId="6098" xr:uid="{00000000-0005-0000-0000-00006B180000}"/>
    <cellStyle name="Normal 19 16" xfId="6099" xr:uid="{00000000-0005-0000-0000-00006C180000}"/>
    <cellStyle name="Normal 19 16 2" xfId="6100" xr:uid="{00000000-0005-0000-0000-00006D180000}"/>
    <cellStyle name="Normal 19 17" xfId="6101" xr:uid="{00000000-0005-0000-0000-00006E180000}"/>
    <cellStyle name="Normal 19 17 2" xfId="6102" xr:uid="{00000000-0005-0000-0000-00006F180000}"/>
    <cellStyle name="Normal 19 18" xfId="6103" xr:uid="{00000000-0005-0000-0000-000070180000}"/>
    <cellStyle name="Normal 19 18 2" xfId="6104" xr:uid="{00000000-0005-0000-0000-000071180000}"/>
    <cellStyle name="Normal 19 19" xfId="6105" xr:uid="{00000000-0005-0000-0000-000072180000}"/>
    <cellStyle name="Normal 19 19 2" xfId="6106" xr:uid="{00000000-0005-0000-0000-000073180000}"/>
    <cellStyle name="Normal 19 2" xfId="6107" xr:uid="{00000000-0005-0000-0000-000074180000}"/>
    <cellStyle name="Normal 19 2 2" xfId="6108" xr:uid="{00000000-0005-0000-0000-000075180000}"/>
    <cellStyle name="Normal 19 20" xfId="6109" xr:uid="{00000000-0005-0000-0000-000076180000}"/>
    <cellStyle name="Normal 19 20 2" xfId="6110" xr:uid="{00000000-0005-0000-0000-000077180000}"/>
    <cellStyle name="Normal 19 21" xfId="6111" xr:uid="{00000000-0005-0000-0000-000078180000}"/>
    <cellStyle name="Normal 19 21 2" xfId="6112" xr:uid="{00000000-0005-0000-0000-000079180000}"/>
    <cellStyle name="Normal 19 22" xfId="6113" xr:uid="{00000000-0005-0000-0000-00007A180000}"/>
    <cellStyle name="Normal 19 22 2" xfId="6114" xr:uid="{00000000-0005-0000-0000-00007B180000}"/>
    <cellStyle name="Normal 19 23" xfId="6115" xr:uid="{00000000-0005-0000-0000-00007C180000}"/>
    <cellStyle name="Normal 19 24" xfId="6116" xr:uid="{00000000-0005-0000-0000-00007D180000}"/>
    <cellStyle name="Normal 19 25" xfId="6117" xr:uid="{00000000-0005-0000-0000-00007E180000}"/>
    <cellStyle name="Normal 19 26" xfId="6118" xr:uid="{00000000-0005-0000-0000-00007F180000}"/>
    <cellStyle name="Normal 19 27" xfId="6119" xr:uid="{00000000-0005-0000-0000-000080180000}"/>
    <cellStyle name="Normal 19 28" xfId="6120" xr:uid="{00000000-0005-0000-0000-000081180000}"/>
    <cellStyle name="Normal 19 29" xfId="6121" xr:uid="{00000000-0005-0000-0000-000082180000}"/>
    <cellStyle name="Normal 19 3" xfId="6122" xr:uid="{00000000-0005-0000-0000-000083180000}"/>
    <cellStyle name="Normal 19 3 2" xfId="6123" xr:uid="{00000000-0005-0000-0000-000084180000}"/>
    <cellStyle name="Normal 19 30" xfId="6124" xr:uid="{00000000-0005-0000-0000-000085180000}"/>
    <cellStyle name="Normal 19 31" xfId="6125" xr:uid="{00000000-0005-0000-0000-000086180000}"/>
    <cellStyle name="Normal 19 32" xfId="6126" xr:uid="{00000000-0005-0000-0000-000087180000}"/>
    <cellStyle name="Normal 19 33" xfId="6127" xr:uid="{00000000-0005-0000-0000-000088180000}"/>
    <cellStyle name="Normal 19 34" xfId="6128" xr:uid="{00000000-0005-0000-0000-000089180000}"/>
    <cellStyle name="Normal 19 35" xfId="6129" xr:uid="{00000000-0005-0000-0000-00008A180000}"/>
    <cellStyle name="Normal 19 36" xfId="6130" xr:uid="{00000000-0005-0000-0000-00008B180000}"/>
    <cellStyle name="Normal 19 37" xfId="6131" xr:uid="{00000000-0005-0000-0000-00008C180000}"/>
    <cellStyle name="Normal 19 38" xfId="6132" xr:uid="{00000000-0005-0000-0000-00008D180000}"/>
    <cellStyle name="Normal 19 39" xfId="6133" xr:uid="{00000000-0005-0000-0000-00008E180000}"/>
    <cellStyle name="Normal 19 4" xfId="6134" xr:uid="{00000000-0005-0000-0000-00008F180000}"/>
    <cellStyle name="Normal 19 4 2" xfId="6135" xr:uid="{00000000-0005-0000-0000-000090180000}"/>
    <cellStyle name="Normal 19 40" xfId="6136" xr:uid="{00000000-0005-0000-0000-000091180000}"/>
    <cellStyle name="Normal 19 41" xfId="6137" xr:uid="{00000000-0005-0000-0000-000092180000}"/>
    <cellStyle name="Normal 19 42" xfId="6138" xr:uid="{00000000-0005-0000-0000-000093180000}"/>
    <cellStyle name="Normal 19 43" xfId="6139" xr:uid="{00000000-0005-0000-0000-000094180000}"/>
    <cellStyle name="Normal 19 44" xfId="6140" xr:uid="{00000000-0005-0000-0000-000095180000}"/>
    <cellStyle name="Normal 19 45" xfId="6141" xr:uid="{00000000-0005-0000-0000-000096180000}"/>
    <cellStyle name="Normal 19 46" xfId="6142" xr:uid="{00000000-0005-0000-0000-000097180000}"/>
    <cellStyle name="Normal 19 47" xfId="6143" xr:uid="{00000000-0005-0000-0000-000098180000}"/>
    <cellStyle name="Normal 19 48" xfId="6144" xr:uid="{00000000-0005-0000-0000-000099180000}"/>
    <cellStyle name="Normal 19 49" xfId="6145" xr:uid="{00000000-0005-0000-0000-00009A180000}"/>
    <cellStyle name="Normal 19 5" xfId="6146" xr:uid="{00000000-0005-0000-0000-00009B180000}"/>
    <cellStyle name="Normal 19 5 2" xfId="6147" xr:uid="{00000000-0005-0000-0000-00009C180000}"/>
    <cellStyle name="Normal 19 50" xfId="6148" xr:uid="{00000000-0005-0000-0000-00009D180000}"/>
    <cellStyle name="Normal 19 51" xfId="6149" xr:uid="{00000000-0005-0000-0000-00009E180000}"/>
    <cellStyle name="Normal 19 52" xfId="6150" xr:uid="{00000000-0005-0000-0000-00009F180000}"/>
    <cellStyle name="Normal 19 53" xfId="6151" xr:uid="{00000000-0005-0000-0000-0000A0180000}"/>
    <cellStyle name="Normal 19 54" xfId="6152" xr:uid="{00000000-0005-0000-0000-0000A1180000}"/>
    <cellStyle name="Normal 19 55" xfId="6153" xr:uid="{00000000-0005-0000-0000-0000A2180000}"/>
    <cellStyle name="Normal 19 56" xfId="6154" xr:uid="{00000000-0005-0000-0000-0000A3180000}"/>
    <cellStyle name="Normal 19 57" xfId="6155" xr:uid="{00000000-0005-0000-0000-0000A4180000}"/>
    <cellStyle name="Normal 19 58" xfId="6156" xr:uid="{00000000-0005-0000-0000-0000A5180000}"/>
    <cellStyle name="Normal 19 59" xfId="6157" xr:uid="{00000000-0005-0000-0000-0000A6180000}"/>
    <cellStyle name="Normal 19 6" xfId="6158" xr:uid="{00000000-0005-0000-0000-0000A7180000}"/>
    <cellStyle name="Normal 19 6 2" xfId="6159" xr:uid="{00000000-0005-0000-0000-0000A8180000}"/>
    <cellStyle name="Normal 19 60" xfId="6160" xr:uid="{00000000-0005-0000-0000-0000A9180000}"/>
    <cellStyle name="Normal 19 61" xfId="6161" xr:uid="{00000000-0005-0000-0000-0000AA180000}"/>
    <cellStyle name="Normal 19 62" xfId="6162" xr:uid="{00000000-0005-0000-0000-0000AB180000}"/>
    <cellStyle name="Normal 19 63" xfId="6163" xr:uid="{00000000-0005-0000-0000-0000AC180000}"/>
    <cellStyle name="Normal 19 64" xfId="6164" xr:uid="{00000000-0005-0000-0000-0000AD180000}"/>
    <cellStyle name="Normal 19 65" xfId="6165" xr:uid="{00000000-0005-0000-0000-0000AE180000}"/>
    <cellStyle name="Normal 19 66" xfId="6166" xr:uid="{00000000-0005-0000-0000-0000AF180000}"/>
    <cellStyle name="Normal 19 67" xfId="6167" xr:uid="{00000000-0005-0000-0000-0000B0180000}"/>
    <cellStyle name="Normal 19 68" xfId="6168" xr:uid="{00000000-0005-0000-0000-0000B1180000}"/>
    <cellStyle name="Normal 19 69" xfId="6169" xr:uid="{00000000-0005-0000-0000-0000B2180000}"/>
    <cellStyle name="Normal 19 7" xfId="6170" xr:uid="{00000000-0005-0000-0000-0000B3180000}"/>
    <cellStyle name="Normal 19 7 2" xfId="6171" xr:uid="{00000000-0005-0000-0000-0000B4180000}"/>
    <cellStyle name="Normal 19 70" xfId="6172" xr:uid="{00000000-0005-0000-0000-0000B5180000}"/>
    <cellStyle name="Normal 19 8" xfId="6173" xr:uid="{00000000-0005-0000-0000-0000B6180000}"/>
    <cellStyle name="Normal 19 8 2" xfId="6174" xr:uid="{00000000-0005-0000-0000-0000B7180000}"/>
    <cellStyle name="Normal 19 9" xfId="6175" xr:uid="{00000000-0005-0000-0000-0000B8180000}"/>
    <cellStyle name="Normal 19 9 2" xfId="6176" xr:uid="{00000000-0005-0000-0000-0000B9180000}"/>
    <cellStyle name="Normal 2" xfId="6177" xr:uid="{00000000-0005-0000-0000-0000BA180000}"/>
    <cellStyle name="Normal 2 10" xfId="6178" xr:uid="{00000000-0005-0000-0000-0000BB180000}"/>
    <cellStyle name="Normal 2 10 10" xfId="6179" xr:uid="{00000000-0005-0000-0000-0000BC180000}"/>
    <cellStyle name="Normal 2 10 11" xfId="6180" xr:uid="{00000000-0005-0000-0000-0000BD180000}"/>
    <cellStyle name="Normal 2 10 12" xfId="6181" xr:uid="{00000000-0005-0000-0000-0000BE180000}"/>
    <cellStyle name="Normal 2 10 13" xfId="6182" xr:uid="{00000000-0005-0000-0000-0000BF180000}"/>
    <cellStyle name="Normal 2 10 14" xfId="6183" xr:uid="{00000000-0005-0000-0000-0000C0180000}"/>
    <cellStyle name="Normal 2 10 15" xfId="6184" xr:uid="{00000000-0005-0000-0000-0000C1180000}"/>
    <cellStyle name="Normal 2 10 16" xfId="6185" xr:uid="{00000000-0005-0000-0000-0000C2180000}"/>
    <cellStyle name="Normal 2 10 17" xfId="6186" xr:uid="{00000000-0005-0000-0000-0000C3180000}"/>
    <cellStyle name="Normal 2 10 18" xfId="6187" xr:uid="{00000000-0005-0000-0000-0000C4180000}"/>
    <cellStyle name="Normal 2 10 19" xfId="6188" xr:uid="{00000000-0005-0000-0000-0000C5180000}"/>
    <cellStyle name="Normal 2 10 2" xfId="6189" xr:uid="{00000000-0005-0000-0000-0000C6180000}"/>
    <cellStyle name="Normal 2 10 2 10" xfId="6190" xr:uid="{00000000-0005-0000-0000-0000C7180000}"/>
    <cellStyle name="Normal 2 10 2 11" xfId="6191" xr:uid="{00000000-0005-0000-0000-0000C8180000}"/>
    <cellStyle name="Normal 2 10 2 12" xfId="6192" xr:uid="{00000000-0005-0000-0000-0000C9180000}"/>
    <cellStyle name="Normal 2 10 2 13" xfId="6193" xr:uid="{00000000-0005-0000-0000-0000CA180000}"/>
    <cellStyle name="Normal 2 10 2 14" xfId="6194" xr:uid="{00000000-0005-0000-0000-0000CB180000}"/>
    <cellStyle name="Normal 2 10 2 15" xfId="6195" xr:uid="{00000000-0005-0000-0000-0000CC180000}"/>
    <cellStyle name="Normal 2 10 2 16" xfId="6196" xr:uid="{00000000-0005-0000-0000-0000CD180000}"/>
    <cellStyle name="Normal 2 10 2 17" xfId="6197" xr:uid="{00000000-0005-0000-0000-0000CE180000}"/>
    <cellStyle name="Normal 2 10 2 2" xfId="6198" xr:uid="{00000000-0005-0000-0000-0000CF180000}"/>
    <cellStyle name="Normal 2 10 2 3" xfId="6199" xr:uid="{00000000-0005-0000-0000-0000D0180000}"/>
    <cellStyle name="Normal 2 10 2 4" xfId="6200" xr:uid="{00000000-0005-0000-0000-0000D1180000}"/>
    <cellStyle name="Normal 2 10 2 5" xfId="6201" xr:uid="{00000000-0005-0000-0000-0000D2180000}"/>
    <cellStyle name="Normal 2 10 2 6" xfId="6202" xr:uid="{00000000-0005-0000-0000-0000D3180000}"/>
    <cellStyle name="Normal 2 10 2 7" xfId="6203" xr:uid="{00000000-0005-0000-0000-0000D4180000}"/>
    <cellStyle name="Normal 2 10 2 8" xfId="6204" xr:uid="{00000000-0005-0000-0000-0000D5180000}"/>
    <cellStyle name="Normal 2 10 2 9" xfId="6205" xr:uid="{00000000-0005-0000-0000-0000D6180000}"/>
    <cellStyle name="Normal 2 10 20" xfId="6206" xr:uid="{00000000-0005-0000-0000-0000D7180000}"/>
    <cellStyle name="Normal 2 10 21" xfId="6207" xr:uid="{00000000-0005-0000-0000-0000D8180000}"/>
    <cellStyle name="Normal 2 10 22" xfId="6208" xr:uid="{00000000-0005-0000-0000-0000D9180000}"/>
    <cellStyle name="Normal 2 10 23" xfId="6209" xr:uid="{00000000-0005-0000-0000-0000DA180000}"/>
    <cellStyle name="Normal 2 10 24" xfId="6210" xr:uid="{00000000-0005-0000-0000-0000DB180000}"/>
    <cellStyle name="Normal 2 10 25" xfId="6211" xr:uid="{00000000-0005-0000-0000-0000DC180000}"/>
    <cellStyle name="Normal 2 10 26" xfId="6212" xr:uid="{00000000-0005-0000-0000-0000DD180000}"/>
    <cellStyle name="Normal 2 10 27" xfId="6213" xr:uid="{00000000-0005-0000-0000-0000DE180000}"/>
    <cellStyle name="Normal 2 10 28" xfId="6214" xr:uid="{00000000-0005-0000-0000-0000DF180000}"/>
    <cellStyle name="Normal 2 10 29" xfId="6215" xr:uid="{00000000-0005-0000-0000-0000E0180000}"/>
    <cellStyle name="Normal 2 10 3" xfId="6216" xr:uid="{00000000-0005-0000-0000-0000E1180000}"/>
    <cellStyle name="Normal 2 10 30" xfId="6217" xr:uid="{00000000-0005-0000-0000-0000E2180000}"/>
    <cellStyle name="Normal 2 10 31" xfId="6218" xr:uid="{00000000-0005-0000-0000-0000E3180000}"/>
    <cellStyle name="Normal 2 10 32" xfId="6219" xr:uid="{00000000-0005-0000-0000-0000E4180000}"/>
    <cellStyle name="Normal 2 10 33" xfId="6220" xr:uid="{00000000-0005-0000-0000-0000E5180000}"/>
    <cellStyle name="Normal 2 10 34" xfId="6221" xr:uid="{00000000-0005-0000-0000-0000E6180000}"/>
    <cellStyle name="Normal 2 10 35" xfId="6222" xr:uid="{00000000-0005-0000-0000-0000E7180000}"/>
    <cellStyle name="Normal 2 10 36" xfId="6223" xr:uid="{00000000-0005-0000-0000-0000E8180000}"/>
    <cellStyle name="Normal 2 10 37" xfId="6224" xr:uid="{00000000-0005-0000-0000-0000E9180000}"/>
    <cellStyle name="Normal 2 10 38" xfId="6225" xr:uid="{00000000-0005-0000-0000-0000EA180000}"/>
    <cellStyle name="Normal 2 10 39" xfId="6226" xr:uid="{00000000-0005-0000-0000-0000EB180000}"/>
    <cellStyle name="Normal 2 10 4" xfId="6227" xr:uid="{00000000-0005-0000-0000-0000EC180000}"/>
    <cellStyle name="Normal 2 10 40" xfId="6228" xr:uid="{00000000-0005-0000-0000-0000ED180000}"/>
    <cellStyle name="Normal 2 10 41" xfId="6229" xr:uid="{00000000-0005-0000-0000-0000EE180000}"/>
    <cellStyle name="Normal 2 10 42" xfId="6230" xr:uid="{00000000-0005-0000-0000-0000EF180000}"/>
    <cellStyle name="Normal 2 10 43" xfId="6231" xr:uid="{00000000-0005-0000-0000-0000F0180000}"/>
    <cellStyle name="Normal 2 10 44" xfId="6232" xr:uid="{00000000-0005-0000-0000-0000F1180000}"/>
    <cellStyle name="Normal 2 10 45" xfId="6233" xr:uid="{00000000-0005-0000-0000-0000F2180000}"/>
    <cellStyle name="Normal 2 10 46" xfId="6234" xr:uid="{00000000-0005-0000-0000-0000F3180000}"/>
    <cellStyle name="Normal 2 10 47" xfId="6235" xr:uid="{00000000-0005-0000-0000-0000F4180000}"/>
    <cellStyle name="Normal 2 10 48" xfId="6236" xr:uid="{00000000-0005-0000-0000-0000F5180000}"/>
    <cellStyle name="Normal 2 10 49" xfId="6237" xr:uid="{00000000-0005-0000-0000-0000F6180000}"/>
    <cellStyle name="Normal 2 10 5" xfId="6238" xr:uid="{00000000-0005-0000-0000-0000F7180000}"/>
    <cellStyle name="Normal 2 10 50" xfId="6239" xr:uid="{00000000-0005-0000-0000-0000F8180000}"/>
    <cellStyle name="Normal 2 10 51" xfId="6240" xr:uid="{00000000-0005-0000-0000-0000F9180000}"/>
    <cellStyle name="Normal 2 10 52" xfId="6241" xr:uid="{00000000-0005-0000-0000-0000FA180000}"/>
    <cellStyle name="Normal 2 10 53" xfId="6242" xr:uid="{00000000-0005-0000-0000-0000FB180000}"/>
    <cellStyle name="Normal 2 10 54" xfId="6243" xr:uid="{00000000-0005-0000-0000-0000FC180000}"/>
    <cellStyle name="Normal 2 10 55" xfId="6244" xr:uid="{00000000-0005-0000-0000-0000FD180000}"/>
    <cellStyle name="Normal 2 10 56" xfId="6245" xr:uid="{00000000-0005-0000-0000-0000FE180000}"/>
    <cellStyle name="Normal 2 10 57" xfId="6246" xr:uid="{00000000-0005-0000-0000-0000FF180000}"/>
    <cellStyle name="Normal 2 10 58" xfId="6247" xr:uid="{00000000-0005-0000-0000-000000190000}"/>
    <cellStyle name="Normal 2 10 59" xfId="6248" xr:uid="{00000000-0005-0000-0000-000001190000}"/>
    <cellStyle name="Normal 2 10 6" xfId="6249" xr:uid="{00000000-0005-0000-0000-000002190000}"/>
    <cellStyle name="Normal 2 10 60" xfId="6250" xr:uid="{00000000-0005-0000-0000-000003190000}"/>
    <cellStyle name="Normal 2 10 61" xfId="6251" xr:uid="{00000000-0005-0000-0000-000004190000}"/>
    <cellStyle name="Normal 2 10 62" xfId="6252" xr:uid="{00000000-0005-0000-0000-000005190000}"/>
    <cellStyle name="Normal 2 10 63" xfId="6253" xr:uid="{00000000-0005-0000-0000-000006190000}"/>
    <cellStyle name="Normal 2 10 64" xfId="6254" xr:uid="{00000000-0005-0000-0000-000007190000}"/>
    <cellStyle name="Normal 2 10 65" xfId="6255" xr:uid="{00000000-0005-0000-0000-000008190000}"/>
    <cellStyle name="Normal 2 10 66" xfId="6256" xr:uid="{00000000-0005-0000-0000-000009190000}"/>
    <cellStyle name="Normal 2 10 67" xfId="6257" xr:uid="{00000000-0005-0000-0000-00000A190000}"/>
    <cellStyle name="Normal 2 10 68" xfId="6258" xr:uid="{00000000-0005-0000-0000-00000B190000}"/>
    <cellStyle name="Normal 2 10 69" xfId="6259" xr:uid="{00000000-0005-0000-0000-00000C190000}"/>
    <cellStyle name="Normal 2 10 7" xfId="6260" xr:uid="{00000000-0005-0000-0000-00000D190000}"/>
    <cellStyle name="Normal 2 10 70" xfId="6261" xr:uid="{00000000-0005-0000-0000-00000E190000}"/>
    <cellStyle name="Normal 2 10 71" xfId="6262" xr:uid="{00000000-0005-0000-0000-00000F190000}"/>
    <cellStyle name="Normal 2 10 72" xfId="6263" xr:uid="{00000000-0005-0000-0000-000010190000}"/>
    <cellStyle name="Normal 2 10 73" xfId="6264" xr:uid="{00000000-0005-0000-0000-000011190000}"/>
    <cellStyle name="Normal 2 10 74" xfId="6265" xr:uid="{00000000-0005-0000-0000-000012190000}"/>
    <cellStyle name="Normal 2 10 75" xfId="6266" xr:uid="{00000000-0005-0000-0000-000013190000}"/>
    <cellStyle name="Normal 2 10 76" xfId="6267" xr:uid="{00000000-0005-0000-0000-000014190000}"/>
    <cellStyle name="Normal 2 10 77" xfId="6268" xr:uid="{00000000-0005-0000-0000-000015190000}"/>
    <cellStyle name="Normal 2 10 78" xfId="6269" xr:uid="{00000000-0005-0000-0000-000016190000}"/>
    <cellStyle name="Normal 2 10 8" xfId="6270" xr:uid="{00000000-0005-0000-0000-000017190000}"/>
    <cellStyle name="Normal 2 10 9" xfId="6271" xr:uid="{00000000-0005-0000-0000-000018190000}"/>
    <cellStyle name="Normal 2 100" xfId="6272" xr:uid="{00000000-0005-0000-0000-000019190000}"/>
    <cellStyle name="Normal 2 101" xfId="6273" xr:uid="{00000000-0005-0000-0000-00001A190000}"/>
    <cellStyle name="Normal 2 102" xfId="6274" xr:uid="{00000000-0005-0000-0000-00001B190000}"/>
    <cellStyle name="Normal 2 103" xfId="6275" xr:uid="{00000000-0005-0000-0000-00001C190000}"/>
    <cellStyle name="Normal 2 104" xfId="6276" xr:uid="{00000000-0005-0000-0000-00001D190000}"/>
    <cellStyle name="Normal 2 105" xfId="6277" xr:uid="{00000000-0005-0000-0000-00001E190000}"/>
    <cellStyle name="Normal 2 106" xfId="6278" xr:uid="{00000000-0005-0000-0000-00001F190000}"/>
    <cellStyle name="Normal 2 107" xfId="6279" xr:uid="{00000000-0005-0000-0000-000020190000}"/>
    <cellStyle name="Normal 2 108" xfId="6280" xr:uid="{00000000-0005-0000-0000-000021190000}"/>
    <cellStyle name="Normal 2 109" xfId="6281" xr:uid="{00000000-0005-0000-0000-000022190000}"/>
    <cellStyle name="Normal 2 11" xfId="6282" xr:uid="{00000000-0005-0000-0000-000023190000}"/>
    <cellStyle name="Normal 2 110" xfId="6283" xr:uid="{00000000-0005-0000-0000-000024190000}"/>
    <cellStyle name="Normal 2 111" xfId="6284" xr:uid="{00000000-0005-0000-0000-000025190000}"/>
    <cellStyle name="Normal 2 112" xfId="6285" xr:uid="{00000000-0005-0000-0000-000026190000}"/>
    <cellStyle name="Normal 2 113" xfId="6286" xr:uid="{00000000-0005-0000-0000-000027190000}"/>
    <cellStyle name="Normal 2 114" xfId="6287" xr:uid="{00000000-0005-0000-0000-000028190000}"/>
    <cellStyle name="Normal 2 115" xfId="6288" xr:uid="{00000000-0005-0000-0000-000029190000}"/>
    <cellStyle name="Normal 2 116" xfId="6289" xr:uid="{00000000-0005-0000-0000-00002A190000}"/>
    <cellStyle name="Normal 2 117" xfId="6290" xr:uid="{00000000-0005-0000-0000-00002B190000}"/>
    <cellStyle name="Normal 2 118" xfId="6291" xr:uid="{00000000-0005-0000-0000-00002C190000}"/>
    <cellStyle name="Normal 2 119" xfId="6292" xr:uid="{00000000-0005-0000-0000-00002D190000}"/>
    <cellStyle name="Normal 2 12" xfId="6293" xr:uid="{00000000-0005-0000-0000-00002E190000}"/>
    <cellStyle name="Normal 2 120" xfId="6294" xr:uid="{00000000-0005-0000-0000-00002F190000}"/>
    <cellStyle name="Normal 2 121" xfId="6295" xr:uid="{00000000-0005-0000-0000-000030190000}"/>
    <cellStyle name="Normal 2 122" xfId="6296" xr:uid="{00000000-0005-0000-0000-000031190000}"/>
    <cellStyle name="Normal 2 123" xfId="6297" xr:uid="{00000000-0005-0000-0000-000032190000}"/>
    <cellStyle name="Normal 2 124" xfId="6298" xr:uid="{00000000-0005-0000-0000-000033190000}"/>
    <cellStyle name="Normal 2 125" xfId="6299" xr:uid="{00000000-0005-0000-0000-000034190000}"/>
    <cellStyle name="Normal 2 126" xfId="6300" xr:uid="{00000000-0005-0000-0000-000035190000}"/>
    <cellStyle name="Normal 2 127" xfId="6301" xr:uid="{00000000-0005-0000-0000-000036190000}"/>
    <cellStyle name="Normal 2 128" xfId="6302" xr:uid="{00000000-0005-0000-0000-000037190000}"/>
    <cellStyle name="Normal 2 129" xfId="6303" xr:uid="{00000000-0005-0000-0000-000038190000}"/>
    <cellStyle name="Normal 2 13" xfId="6304" xr:uid="{00000000-0005-0000-0000-000039190000}"/>
    <cellStyle name="Normal 2 131" xfId="42042" xr:uid="{00000000-0005-0000-0000-00003A190000}"/>
    <cellStyle name="Normal 2 14" xfId="6305" xr:uid="{00000000-0005-0000-0000-00003B190000}"/>
    <cellStyle name="Normal 2 15" xfId="6306" xr:uid="{00000000-0005-0000-0000-00003C190000}"/>
    <cellStyle name="Normal 2 16" xfId="6307" xr:uid="{00000000-0005-0000-0000-00003D190000}"/>
    <cellStyle name="Normal 2 17" xfId="6308" xr:uid="{00000000-0005-0000-0000-00003E190000}"/>
    <cellStyle name="Normal 2 18" xfId="6309" xr:uid="{00000000-0005-0000-0000-00003F190000}"/>
    <cellStyle name="Normal 2 19" xfId="6310" xr:uid="{00000000-0005-0000-0000-000040190000}"/>
    <cellStyle name="Normal 2 2" xfId="6311" xr:uid="{00000000-0005-0000-0000-000041190000}"/>
    <cellStyle name="Normal 2 2 10" xfId="6312" xr:uid="{00000000-0005-0000-0000-000042190000}"/>
    <cellStyle name="Normal 2 2 100" xfId="6313" xr:uid="{00000000-0005-0000-0000-000043190000}"/>
    <cellStyle name="Normal 2 2 101" xfId="6314" xr:uid="{00000000-0005-0000-0000-000044190000}"/>
    <cellStyle name="Normal 2 2 102" xfId="6315" xr:uid="{00000000-0005-0000-0000-000045190000}"/>
    <cellStyle name="Normal 2 2 103" xfId="6316" xr:uid="{00000000-0005-0000-0000-000046190000}"/>
    <cellStyle name="Normal 2 2 104" xfId="6317" xr:uid="{00000000-0005-0000-0000-000047190000}"/>
    <cellStyle name="Normal 2 2 105" xfId="6318" xr:uid="{00000000-0005-0000-0000-000048190000}"/>
    <cellStyle name="Normal 2 2 106" xfId="6319" xr:uid="{00000000-0005-0000-0000-000049190000}"/>
    <cellStyle name="Normal 2 2 107" xfId="6320" xr:uid="{00000000-0005-0000-0000-00004A190000}"/>
    <cellStyle name="Normal 2 2 108" xfId="6321" xr:uid="{00000000-0005-0000-0000-00004B190000}"/>
    <cellStyle name="Normal 2 2 109" xfId="6322" xr:uid="{00000000-0005-0000-0000-00004C190000}"/>
    <cellStyle name="Normal 2 2 11" xfId="6323" xr:uid="{00000000-0005-0000-0000-00004D190000}"/>
    <cellStyle name="Normal 2 2 11 2" xfId="42195" xr:uid="{00000000-0005-0000-0000-00004E190000}"/>
    <cellStyle name="Normal 2 2 11 2 2" xfId="42196" xr:uid="{00000000-0005-0000-0000-00004F190000}"/>
    <cellStyle name="Normal 2 2 11 2 3" xfId="42197" xr:uid="{00000000-0005-0000-0000-000050190000}"/>
    <cellStyle name="Normal 2 2 11 2 4" xfId="42198" xr:uid="{00000000-0005-0000-0000-000051190000}"/>
    <cellStyle name="Normal 2 2 11 2 5" xfId="42199" xr:uid="{00000000-0005-0000-0000-000052190000}"/>
    <cellStyle name="Normal 2 2 11 2 6" xfId="42200" xr:uid="{00000000-0005-0000-0000-000053190000}"/>
    <cellStyle name="Normal 2 2 11 2 7" xfId="42201" xr:uid="{00000000-0005-0000-0000-000054190000}"/>
    <cellStyle name="Normal 2 2 11 3" xfId="42202" xr:uid="{00000000-0005-0000-0000-000055190000}"/>
    <cellStyle name="Normal 2 2 11 4" xfId="42203" xr:uid="{00000000-0005-0000-0000-000056190000}"/>
    <cellStyle name="Normal 2 2 11 5" xfId="42204" xr:uid="{00000000-0005-0000-0000-000057190000}"/>
    <cellStyle name="Normal 2 2 11 6" xfId="42205" xr:uid="{00000000-0005-0000-0000-000058190000}"/>
    <cellStyle name="Normal 2 2 11 7" xfId="42206" xr:uid="{00000000-0005-0000-0000-000059190000}"/>
    <cellStyle name="Normal 2 2 11 8" xfId="42207" xr:uid="{00000000-0005-0000-0000-00005A190000}"/>
    <cellStyle name="Normal 2 2 110" xfId="6324" xr:uid="{00000000-0005-0000-0000-00005B190000}"/>
    <cellStyle name="Normal 2 2 111" xfId="6325" xr:uid="{00000000-0005-0000-0000-00005C190000}"/>
    <cellStyle name="Normal 2 2 112" xfId="6326" xr:uid="{00000000-0005-0000-0000-00005D190000}"/>
    <cellStyle name="Normal 2 2 113" xfId="6327" xr:uid="{00000000-0005-0000-0000-00005E190000}"/>
    <cellStyle name="Normal 2 2 114" xfId="6328" xr:uid="{00000000-0005-0000-0000-00005F190000}"/>
    <cellStyle name="Normal 2 2 115" xfId="6329" xr:uid="{00000000-0005-0000-0000-000060190000}"/>
    <cellStyle name="Normal 2 2 116" xfId="6330" xr:uid="{00000000-0005-0000-0000-000061190000}"/>
    <cellStyle name="Normal 2 2 117" xfId="6331" xr:uid="{00000000-0005-0000-0000-000062190000}"/>
    <cellStyle name="Normal 2 2 118" xfId="6332" xr:uid="{00000000-0005-0000-0000-000063190000}"/>
    <cellStyle name="Normal 2 2 119" xfId="6333" xr:uid="{00000000-0005-0000-0000-000064190000}"/>
    <cellStyle name="Normal 2 2 12" xfId="6334" xr:uid="{00000000-0005-0000-0000-000065190000}"/>
    <cellStyle name="Normal 2 2 120" xfId="6335" xr:uid="{00000000-0005-0000-0000-000066190000}"/>
    <cellStyle name="Normal 2 2 121" xfId="6336" xr:uid="{00000000-0005-0000-0000-000067190000}"/>
    <cellStyle name="Normal 2 2 122" xfId="6337" xr:uid="{00000000-0005-0000-0000-000068190000}"/>
    <cellStyle name="Normal 2 2 123" xfId="6338" xr:uid="{00000000-0005-0000-0000-000069190000}"/>
    <cellStyle name="Normal 2 2 13" xfId="6339" xr:uid="{00000000-0005-0000-0000-00006A190000}"/>
    <cellStyle name="Normal 2 2 13 2" xfId="42208" xr:uid="{00000000-0005-0000-0000-00006B190000}"/>
    <cellStyle name="Normal 2 2 13 3" xfId="42209" xr:uid="{00000000-0005-0000-0000-00006C190000}"/>
    <cellStyle name="Normal 2 2 13 4" xfId="42210" xr:uid="{00000000-0005-0000-0000-00006D190000}"/>
    <cellStyle name="Normal 2 2 13 5" xfId="42211" xr:uid="{00000000-0005-0000-0000-00006E190000}"/>
    <cellStyle name="Normal 2 2 13 6" xfId="42212" xr:uid="{00000000-0005-0000-0000-00006F190000}"/>
    <cellStyle name="Normal 2 2 13 7" xfId="42213" xr:uid="{00000000-0005-0000-0000-000070190000}"/>
    <cellStyle name="Normal 2 2 14" xfId="6340" xr:uid="{00000000-0005-0000-0000-000071190000}"/>
    <cellStyle name="Normal 2 2 15" xfId="6341" xr:uid="{00000000-0005-0000-0000-000072190000}"/>
    <cellStyle name="Normal 2 2 16" xfId="6342" xr:uid="{00000000-0005-0000-0000-000073190000}"/>
    <cellStyle name="Normal 2 2 17" xfId="6343" xr:uid="{00000000-0005-0000-0000-000074190000}"/>
    <cellStyle name="Normal 2 2 18" xfId="6344" xr:uid="{00000000-0005-0000-0000-000075190000}"/>
    <cellStyle name="Normal 2 2 19" xfId="6345" xr:uid="{00000000-0005-0000-0000-000076190000}"/>
    <cellStyle name="Normal 2 2 2" xfId="6346" xr:uid="{00000000-0005-0000-0000-000077190000}"/>
    <cellStyle name="Normal 2 2 2 10" xfId="6347" xr:uid="{00000000-0005-0000-0000-000078190000}"/>
    <cellStyle name="Normal 2 2 2 10 10" xfId="6348" xr:uid="{00000000-0005-0000-0000-000079190000}"/>
    <cellStyle name="Normal 2 2 2 10 11" xfId="6349" xr:uid="{00000000-0005-0000-0000-00007A190000}"/>
    <cellStyle name="Normal 2 2 2 10 12" xfId="6350" xr:uid="{00000000-0005-0000-0000-00007B190000}"/>
    <cellStyle name="Normal 2 2 2 10 13" xfId="6351" xr:uid="{00000000-0005-0000-0000-00007C190000}"/>
    <cellStyle name="Normal 2 2 2 10 14" xfId="6352" xr:uid="{00000000-0005-0000-0000-00007D190000}"/>
    <cellStyle name="Normal 2 2 2 10 15" xfId="6353" xr:uid="{00000000-0005-0000-0000-00007E190000}"/>
    <cellStyle name="Normal 2 2 2 10 16" xfId="6354" xr:uid="{00000000-0005-0000-0000-00007F190000}"/>
    <cellStyle name="Normal 2 2 2 10 17" xfId="6355" xr:uid="{00000000-0005-0000-0000-000080190000}"/>
    <cellStyle name="Normal 2 2 2 10 2" xfId="6356" xr:uid="{00000000-0005-0000-0000-000081190000}"/>
    <cellStyle name="Normal 2 2 2 10 3" xfId="6357" xr:uid="{00000000-0005-0000-0000-000082190000}"/>
    <cellStyle name="Normal 2 2 2 10 4" xfId="6358" xr:uid="{00000000-0005-0000-0000-000083190000}"/>
    <cellStyle name="Normal 2 2 2 10 5" xfId="6359" xr:uid="{00000000-0005-0000-0000-000084190000}"/>
    <cellStyle name="Normal 2 2 2 10 6" xfId="6360" xr:uid="{00000000-0005-0000-0000-000085190000}"/>
    <cellStyle name="Normal 2 2 2 10 7" xfId="6361" xr:uid="{00000000-0005-0000-0000-000086190000}"/>
    <cellStyle name="Normal 2 2 2 10 8" xfId="6362" xr:uid="{00000000-0005-0000-0000-000087190000}"/>
    <cellStyle name="Normal 2 2 2 10 9" xfId="6363" xr:uid="{00000000-0005-0000-0000-000088190000}"/>
    <cellStyle name="Normal 2 2 2 11" xfId="6364" xr:uid="{00000000-0005-0000-0000-000089190000}"/>
    <cellStyle name="Normal 2 2 2 11 2" xfId="42214" xr:uid="{00000000-0005-0000-0000-00008A190000}"/>
    <cellStyle name="Normal 2 2 2 11 2 2" xfId="42215" xr:uid="{00000000-0005-0000-0000-00008B190000}"/>
    <cellStyle name="Normal 2 2 2 11 2 3" xfId="42216" xr:uid="{00000000-0005-0000-0000-00008C190000}"/>
    <cellStyle name="Normal 2 2 2 11 2 4" xfId="42217" xr:uid="{00000000-0005-0000-0000-00008D190000}"/>
    <cellStyle name="Normal 2 2 2 11 2 5" xfId="42218" xr:uid="{00000000-0005-0000-0000-00008E190000}"/>
    <cellStyle name="Normal 2 2 2 11 2 6" xfId="42219" xr:uid="{00000000-0005-0000-0000-00008F190000}"/>
    <cellStyle name="Normal 2 2 2 11 2 7" xfId="42220" xr:uid="{00000000-0005-0000-0000-000090190000}"/>
    <cellStyle name="Normal 2 2 2 11 3" xfId="42221" xr:uid="{00000000-0005-0000-0000-000091190000}"/>
    <cellStyle name="Normal 2 2 2 11 4" xfId="42222" xr:uid="{00000000-0005-0000-0000-000092190000}"/>
    <cellStyle name="Normal 2 2 2 11 5" xfId="42223" xr:uid="{00000000-0005-0000-0000-000093190000}"/>
    <cellStyle name="Normal 2 2 2 11 6" xfId="42224" xr:uid="{00000000-0005-0000-0000-000094190000}"/>
    <cellStyle name="Normal 2 2 2 11 7" xfId="42225" xr:uid="{00000000-0005-0000-0000-000095190000}"/>
    <cellStyle name="Normal 2 2 2 11 8" xfId="42226" xr:uid="{00000000-0005-0000-0000-000096190000}"/>
    <cellStyle name="Normal 2 2 2 12" xfId="6365" xr:uid="{00000000-0005-0000-0000-000097190000}"/>
    <cellStyle name="Normal 2 2 2 13" xfId="6366" xr:uid="{00000000-0005-0000-0000-000098190000}"/>
    <cellStyle name="Normal 2 2 2 13 2" xfId="42227" xr:uid="{00000000-0005-0000-0000-000099190000}"/>
    <cellStyle name="Normal 2 2 2 13 3" xfId="42228" xr:uid="{00000000-0005-0000-0000-00009A190000}"/>
    <cellStyle name="Normal 2 2 2 13 4" xfId="42229" xr:uid="{00000000-0005-0000-0000-00009B190000}"/>
    <cellStyle name="Normal 2 2 2 13 5" xfId="42230" xr:uid="{00000000-0005-0000-0000-00009C190000}"/>
    <cellStyle name="Normal 2 2 2 13 6" xfId="42231" xr:uid="{00000000-0005-0000-0000-00009D190000}"/>
    <cellStyle name="Normal 2 2 2 13 7" xfId="42232" xr:uid="{00000000-0005-0000-0000-00009E190000}"/>
    <cellStyle name="Normal 2 2 2 14" xfId="6367" xr:uid="{00000000-0005-0000-0000-00009F190000}"/>
    <cellStyle name="Normal 2 2 2 15" xfId="6368" xr:uid="{00000000-0005-0000-0000-0000A0190000}"/>
    <cellStyle name="Normal 2 2 2 16" xfId="6369" xr:uid="{00000000-0005-0000-0000-0000A1190000}"/>
    <cellStyle name="Normal 2 2 2 17" xfId="6370" xr:uid="{00000000-0005-0000-0000-0000A2190000}"/>
    <cellStyle name="Normal 2 2 2 18" xfId="6371" xr:uid="{00000000-0005-0000-0000-0000A3190000}"/>
    <cellStyle name="Normal 2 2 2 19" xfId="6372" xr:uid="{00000000-0005-0000-0000-0000A4190000}"/>
    <cellStyle name="Normal 2 2 2 2" xfId="6373" xr:uid="{00000000-0005-0000-0000-0000A5190000}"/>
    <cellStyle name="Normal 2 2 2 2 10" xfId="6374" xr:uid="{00000000-0005-0000-0000-0000A6190000}"/>
    <cellStyle name="Normal 2 2 2 2 11" xfId="6375" xr:uid="{00000000-0005-0000-0000-0000A7190000}"/>
    <cellStyle name="Normal 2 2 2 2 11 2" xfId="42233" xr:uid="{00000000-0005-0000-0000-0000A8190000}"/>
    <cellStyle name="Normal 2 2 2 2 11 3" xfId="42234" xr:uid="{00000000-0005-0000-0000-0000A9190000}"/>
    <cellStyle name="Normal 2 2 2 2 11 4" xfId="42235" xr:uid="{00000000-0005-0000-0000-0000AA190000}"/>
    <cellStyle name="Normal 2 2 2 2 11 5" xfId="42236" xr:uid="{00000000-0005-0000-0000-0000AB190000}"/>
    <cellStyle name="Normal 2 2 2 2 11 6" xfId="42237" xr:uid="{00000000-0005-0000-0000-0000AC190000}"/>
    <cellStyle name="Normal 2 2 2 2 11 7" xfId="42238" xr:uid="{00000000-0005-0000-0000-0000AD190000}"/>
    <cellStyle name="Normal 2 2 2 2 12" xfId="6376" xr:uid="{00000000-0005-0000-0000-0000AE190000}"/>
    <cellStyle name="Normal 2 2 2 2 13" xfId="6377" xr:uid="{00000000-0005-0000-0000-0000AF190000}"/>
    <cellStyle name="Normal 2 2 2 2 14" xfId="6378" xr:uid="{00000000-0005-0000-0000-0000B0190000}"/>
    <cellStyle name="Normal 2 2 2 2 15" xfId="6379" xr:uid="{00000000-0005-0000-0000-0000B1190000}"/>
    <cellStyle name="Normal 2 2 2 2 16" xfId="6380" xr:uid="{00000000-0005-0000-0000-0000B2190000}"/>
    <cellStyle name="Normal 2 2 2 2 17" xfId="6381" xr:uid="{00000000-0005-0000-0000-0000B3190000}"/>
    <cellStyle name="Normal 2 2 2 2 18" xfId="6382" xr:uid="{00000000-0005-0000-0000-0000B4190000}"/>
    <cellStyle name="Normal 2 2 2 2 19" xfId="6383" xr:uid="{00000000-0005-0000-0000-0000B5190000}"/>
    <cellStyle name="Normal 2 2 2 2 2" xfId="6384" xr:uid="{00000000-0005-0000-0000-0000B6190000}"/>
    <cellStyle name="Normal 2 2 2 2 2 10" xfId="6385" xr:uid="{00000000-0005-0000-0000-0000B7190000}"/>
    <cellStyle name="Normal 2 2 2 2 2 11" xfId="6386" xr:uid="{00000000-0005-0000-0000-0000B8190000}"/>
    <cellStyle name="Normal 2 2 2 2 2 11 2" xfId="42239" xr:uid="{00000000-0005-0000-0000-0000B9190000}"/>
    <cellStyle name="Normal 2 2 2 2 2 11 3" xfId="42240" xr:uid="{00000000-0005-0000-0000-0000BA190000}"/>
    <cellStyle name="Normal 2 2 2 2 2 11 4" xfId="42241" xr:uid="{00000000-0005-0000-0000-0000BB190000}"/>
    <cellStyle name="Normal 2 2 2 2 2 11 5" xfId="42242" xr:uid="{00000000-0005-0000-0000-0000BC190000}"/>
    <cellStyle name="Normal 2 2 2 2 2 11 6" xfId="42243" xr:uid="{00000000-0005-0000-0000-0000BD190000}"/>
    <cellStyle name="Normal 2 2 2 2 2 11 7" xfId="42244" xr:uid="{00000000-0005-0000-0000-0000BE190000}"/>
    <cellStyle name="Normal 2 2 2 2 2 12" xfId="6387" xr:uid="{00000000-0005-0000-0000-0000BF190000}"/>
    <cellStyle name="Normal 2 2 2 2 2 13" xfId="6388" xr:uid="{00000000-0005-0000-0000-0000C0190000}"/>
    <cellStyle name="Normal 2 2 2 2 2 14" xfId="6389" xr:uid="{00000000-0005-0000-0000-0000C1190000}"/>
    <cellStyle name="Normal 2 2 2 2 2 15" xfId="6390" xr:uid="{00000000-0005-0000-0000-0000C2190000}"/>
    <cellStyle name="Normal 2 2 2 2 2 16" xfId="6391" xr:uid="{00000000-0005-0000-0000-0000C3190000}"/>
    <cellStyle name="Normal 2 2 2 2 2 17" xfId="6392" xr:uid="{00000000-0005-0000-0000-0000C4190000}"/>
    <cellStyle name="Normal 2 2 2 2 2 18" xfId="6393" xr:uid="{00000000-0005-0000-0000-0000C5190000}"/>
    <cellStyle name="Normal 2 2 2 2 2 19" xfId="6394" xr:uid="{00000000-0005-0000-0000-0000C6190000}"/>
    <cellStyle name="Normal 2 2 2 2 2 2" xfId="6395" xr:uid="{00000000-0005-0000-0000-0000C7190000}"/>
    <cellStyle name="Normal 2 2 2 2 2 2 10" xfId="6396" xr:uid="{00000000-0005-0000-0000-0000C8190000}"/>
    <cellStyle name="Normal 2 2 2 2 2 2 10 2" xfId="42245" xr:uid="{00000000-0005-0000-0000-0000C9190000}"/>
    <cellStyle name="Normal 2 2 2 2 2 2 10 3" xfId="42246" xr:uid="{00000000-0005-0000-0000-0000CA190000}"/>
    <cellStyle name="Normal 2 2 2 2 2 2 10 4" xfId="42247" xr:uid="{00000000-0005-0000-0000-0000CB190000}"/>
    <cellStyle name="Normal 2 2 2 2 2 2 10 5" xfId="42248" xr:uid="{00000000-0005-0000-0000-0000CC190000}"/>
    <cellStyle name="Normal 2 2 2 2 2 2 10 6" xfId="42249" xr:uid="{00000000-0005-0000-0000-0000CD190000}"/>
    <cellStyle name="Normal 2 2 2 2 2 2 10 7" xfId="42250" xr:uid="{00000000-0005-0000-0000-0000CE190000}"/>
    <cellStyle name="Normal 2 2 2 2 2 2 11" xfId="6397" xr:uid="{00000000-0005-0000-0000-0000CF190000}"/>
    <cellStyle name="Normal 2 2 2 2 2 2 12" xfId="6398" xr:uid="{00000000-0005-0000-0000-0000D0190000}"/>
    <cellStyle name="Normal 2 2 2 2 2 2 13" xfId="6399" xr:uid="{00000000-0005-0000-0000-0000D1190000}"/>
    <cellStyle name="Normal 2 2 2 2 2 2 14" xfId="6400" xr:uid="{00000000-0005-0000-0000-0000D2190000}"/>
    <cellStyle name="Normal 2 2 2 2 2 2 15" xfId="6401" xr:uid="{00000000-0005-0000-0000-0000D3190000}"/>
    <cellStyle name="Normal 2 2 2 2 2 2 16" xfId="6402" xr:uid="{00000000-0005-0000-0000-0000D4190000}"/>
    <cellStyle name="Normal 2 2 2 2 2 2 17" xfId="6403" xr:uid="{00000000-0005-0000-0000-0000D5190000}"/>
    <cellStyle name="Normal 2 2 2 2 2 2 18" xfId="6404" xr:uid="{00000000-0005-0000-0000-0000D6190000}"/>
    <cellStyle name="Normal 2 2 2 2 2 2 19" xfId="6405" xr:uid="{00000000-0005-0000-0000-0000D7190000}"/>
    <cellStyle name="Normal 2 2 2 2 2 2 2" xfId="6406" xr:uid="{00000000-0005-0000-0000-0000D8190000}"/>
    <cellStyle name="Normal 2 2 2 2 2 2 2 10" xfId="6407" xr:uid="{00000000-0005-0000-0000-0000D9190000}"/>
    <cellStyle name="Normal 2 2 2 2 2 2 2 10 2" xfId="42251" xr:uid="{00000000-0005-0000-0000-0000DA190000}"/>
    <cellStyle name="Normal 2 2 2 2 2 2 2 10 3" xfId="42252" xr:uid="{00000000-0005-0000-0000-0000DB190000}"/>
    <cellStyle name="Normal 2 2 2 2 2 2 2 10 4" xfId="42253" xr:uid="{00000000-0005-0000-0000-0000DC190000}"/>
    <cellStyle name="Normal 2 2 2 2 2 2 2 10 5" xfId="42254" xr:uid="{00000000-0005-0000-0000-0000DD190000}"/>
    <cellStyle name="Normal 2 2 2 2 2 2 2 10 6" xfId="42255" xr:uid="{00000000-0005-0000-0000-0000DE190000}"/>
    <cellStyle name="Normal 2 2 2 2 2 2 2 10 7" xfId="42256" xr:uid="{00000000-0005-0000-0000-0000DF190000}"/>
    <cellStyle name="Normal 2 2 2 2 2 2 2 11" xfId="6408" xr:uid="{00000000-0005-0000-0000-0000E0190000}"/>
    <cellStyle name="Normal 2 2 2 2 2 2 2 12" xfId="6409" xr:uid="{00000000-0005-0000-0000-0000E1190000}"/>
    <cellStyle name="Normal 2 2 2 2 2 2 2 13" xfId="6410" xr:uid="{00000000-0005-0000-0000-0000E2190000}"/>
    <cellStyle name="Normal 2 2 2 2 2 2 2 14" xfId="6411" xr:uid="{00000000-0005-0000-0000-0000E3190000}"/>
    <cellStyle name="Normal 2 2 2 2 2 2 2 15" xfId="6412" xr:uid="{00000000-0005-0000-0000-0000E4190000}"/>
    <cellStyle name="Normal 2 2 2 2 2 2 2 16" xfId="6413" xr:uid="{00000000-0005-0000-0000-0000E5190000}"/>
    <cellStyle name="Normal 2 2 2 2 2 2 2 17" xfId="6414" xr:uid="{00000000-0005-0000-0000-0000E6190000}"/>
    <cellStyle name="Normal 2 2 2 2 2 2 2 18" xfId="6415" xr:uid="{00000000-0005-0000-0000-0000E7190000}"/>
    <cellStyle name="Normal 2 2 2 2 2 2 2 19" xfId="6416" xr:uid="{00000000-0005-0000-0000-0000E8190000}"/>
    <cellStyle name="Normal 2 2 2 2 2 2 2 2" xfId="6417" xr:uid="{00000000-0005-0000-0000-0000E9190000}"/>
    <cellStyle name="Normal 2 2 2 2 2 2 2 2 10" xfId="6418" xr:uid="{00000000-0005-0000-0000-0000EA190000}"/>
    <cellStyle name="Normal 2 2 2 2 2 2 2 2 11" xfId="6419" xr:uid="{00000000-0005-0000-0000-0000EB190000}"/>
    <cellStyle name="Normal 2 2 2 2 2 2 2 2 12" xfId="6420" xr:uid="{00000000-0005-0000-0000-0000EC190000}"/>
    <cellStyle name="Normal 2 2 2 2 2 2 2 2 13" xfId="6421" xr:uid="{00000000-0005-0000-0000-0000ED190000}"/>
    <cellStyle name="Normal 2 2 2 2 2 2 2 2 14" xfId="6422" xr:uid="{00000000-0005-0000-0000-0000EE190000}"/>
    <cellStyle name="Normal 2 2 2 2 2 2 2 2 15" xfId="6423" xr:uid="{00000000-0005-0000-0000-0000EF190000}"/>
    <cellStyle name="Normal 2 2 2 2 2 2 2 2 16" xfId="6424" xr:uid="{00000000-0005-0000-0000-0000F0190000}"/>
    <cellStyle name="Normal 2 2 2 2 2 2 2 2 17" xfId="6425" xr:uid="{00000000-0005-0000-0000-0000F1190000}"/>
    <cellStyle name="Normal 2 2 2 2 2 2 2 2 18" xfId="6426" xr:uid="{00000000-0005-0000-0000-0000F2190000}"/>
    <cellStyle name="Normal 2 2 2 2 2 2 2 2 19" xfId="6427" xr:uid="{00000000-0005-0000-0000-0000F3190000}"/>
    <cellStyle name="Normal 2 2 2 2 2 2 2 2 2" xfId="6428" xr:uid="{00000000-0005-0000-0000-0000F4190000}"/>
    <cellStyle name="Normal 2 2 2 2 2 2 2 2 2 10" xfId="6429" xr:uid="{00000000-0005-0000-0000-0000F5190000}"/>
    <cellStyle name="Normal 2 2 2 2 2 2 2 2 2 11" xfId="6430" xr:uid="{00000000-0005-0000-0000-0000F6190000}"/>
    <cellStyle name="Normal 2 2 2 2 2 2 2 2 2 12" xfId="6431" xr:uid="{00000000-0005-0000-0000-0000F7190000}"/>
    <cellStyle name="Normal 2 2 2 2 2 2 2 2 2 13" xfId="6432" xr:uid="{00000000-0005-0000-0000-0000F8190000}"/>
    <cellStyle name="Normal 2 2 2 2 2 2 2 2 2 14" xfId="6433" xr:uid="{00000000-0005-0000-0000-0000F9190000}"/>
    <cellStyle name="Normal 2 2 2 2 2 2 2 2 2 15" xfId="6434" xr:uid="{00000000-0005-0000-0000-0000FA190000}"/>
    <cellStyle name="Normal 2 2 2 2 2 2 2 2 2 16" xfId="6435" xr:uid="{00000000-0005-0000-0000-0000FB190000}"/>
    <cellStyle name="Normal 2 2 2 2 2 2 2 2 2 17" xfId="6436" xr:uid="{00000000-0005-0000-0000-0000FC190000}"/>
    <cellStyle name="Normal 2 2 2 2 2 2 2 2 2 18" xfId="6437" xr:uid="{00000000-0005-0000-0000-0000FD190000}"/>
    <cellStyle name="Normal 2 2 2 2 2 2 2 2 2 19" xfId="42257" xr:uid="{00000000-0005-0000-0000-0000FE190000}"/>
    <cellStyle name="Normal 2 2 2 2 2 2 2 2 2 2" xfId="6438" xr:uid="{00000000-0005-0000-0000-0000FF190000}"/>
    <cellStyle name="Normal 2 2 2 2 2 2 2 2 2 2 10" xfId="42258" xr:uid="{00000000-0005-0000-0000-0000001A0000}"/>
    <cellStyle name="Normal 2 2 2 2 2 2 2 2 2 2 11" xfId="42259" xr:uid="{00000000-0005-0000-0000-0000011A0000}"/>
    <cellStyle name="Normal 2 2 2 2 2 2 2 2 2 2 12" xfId="42260" xr:uid="{00000000-0005-0000-0000-0000021A0000}"/>
    <cellStyle name="Normal 2 2 2 2 2 2 2 2 2 2 13" xfId="42261" xr:uid="{00000000-0005-0000-0000-0000031A0000}"/>
    <cellStyle name="Normal 2 2 2 2 2 2 2 2 2 2 14" xfId="42262" xr:uid="{00000000-0005-0000-0000-0000041A0000}"/>
    <cellStyle name="Normal 2 2 2 2 2 2 2 2 2 2 15" xfId="42263" xr:uid="{00000000-0005-0000-0000-0000051A0000}"/>
    <cellStyle name="Normal 2 2 2 2 2 2 2 2 2 2 16" xfId="42264" xr:uid="{00000000-0005-0000-0000-0000061A0000}"/>
    <cellStyle name="Normal 2 2 2 2 2 2 2 2 2 2 17" xfId="42265" xr:uid="{00000000-0005-0000-0000-0000071A0000}"/>
    <cellStyle name="Normal 2 2 2 2 2 2 2 2 2 2 18" xfId="42266" xr:uid="{00000000-0005-0000-0000-0000081A0000}"/>
    <cellStyle name="Normal 2 2 2 2 2 2 2 2 2 2 2" xfId="42267" xr:uid="{00000000-0005-0000-0000-0000091A0000}"/>
    <cellStyle name="Normal 2 2 2 2 2 2 2 2 2 2 2 2" xfId="42268" xr:uid="{00000000-0005-0000-0000-00000A1A0000}"/>
    <cellStyle name="Normal 2 2 2 2 2 2 2 2 2 2 2 2 2" xfId="42269" xr:uid="{00000000-0005-0000-0000-00000B1A0000}"/>
    <cellStyle name="Normal 2 2 2 2 2 2 2 2 2 2 2 2 3" xfId="42270" xr:uid="{00000000-0005-0000-0000-00000C1A0000}"/>
    <cellStyle name="Normal 2 2 2 2 2 2 2 2 2 2 2 2 4" xfId="42271" xr:uid="{00000000-0005-0000-0000-00000D1A0000}"/>
    <cellStyle name="Normal 2 2 2 2 2 2 2 2 2 2 2 2 5" xfId="42272" xr:uid="{00000000-0005-0000-0000-00000E1A0000}"/>
    <cellStyle name="Normal 2 2 2 2 2 2 2 2 2 2 2 2 6" xfId="42273" xr:uid="{00000000-0005-0000-0000-00000F1A0000}"/>
    <cellStyle name="Normal 2 2 2 2 2 2 2 2 2 2 2 2 7" xfId="42274" xr:uid="{00000000-0005-0000-0000-0000101A0000}"/>
    <cellStyle name="Normal 2 2 2 2 2 2 2 2 2 2 2 3" xfId="42275" xr:uid="{00000000-0005-0000-0000-0000111A0000}"/>
    <cellStyle name="Normal 2 2 2 2 2 2 2 2 2 2 2 4" xfId="42276" xr:uid="{00000000-0005-0000-0000-0000121A0000}"/>
    <cellStyle name="Normal 2 2 2 2 2 2 2 2 2 2 2 5" xfId="42277" xr:uid="{00000000-0005-0000-0000-0000131A0000}"/>
    <cellStyle name="Normal 2 2 2 2 2 2 2 2 2 2 2 6" xfId="42278" xr:uid="{00000000-0005-0000-0000-0000141A0000}"/>
    <cellStyle name="Normal 2 2 2 2 2 2 2 2 2 2 2 7" xfId="42279" xr:uid="{00000000-0005-0000-0000-0000151A0000}"/>
    <cellStyle name="Normal 2 2 2 2 2 2 2 2 2 2 2 8" xfId="42280" xr:uid="{00000000-0005-0000-0000-0000161A0000}"/>
    <cellStyle name="Normal 2 2 2 2 2 2 2 2 2 2 3" xfId="42281" xr:uid="{00000000-0005-0000-0000-0000171A0000}"/>
    <cellStyle name="Normal 2 2 2 2 2 2 2 2 2 2 4" xfId="42282" xr:uid="{00000000-0005-0000-0000-0000181A0000}"/>
    <cellStyle name="Normal 2 2 2 2 2 2 2 2 2 2 5" xfId="42283" xr:uid="{00000000-0005-0000-0000-0000191A0000}"/>
    <cellStyle name="Normal 2 2 2 2 2 2 2 2 2 2 5 2" xfId="42284" xr:uid="{00000000-0005-0000-0000-00001A1A0000}"/>
    <cellStyle name="Normal 2 2 2 2 2 2 2 2 2 2 5 3" xfId="42285" xr:uid="{00000000-0005-0000-0000-00001B1A0000}"/>
    <cellStyle name="Normal 2 2 2 2 2 2 2 2 2 2 5 4" xfId="42286" xr:uid="{00000000-0005-0000-0000-00001C1A0000}"/>
    <cellStyle name="Normal 2 2 2 2 2 2 2 2 2 2 5 5" xfId="42287" xr:uid="{00000000-0005-0000-0000-00001D1A0000}"/>
    <cellStyle name="Normal 2 2 2 2 2 2 2 2 2 2 5 6" xfId="42288" xr:uid="{00000000-0005-0000-0000-00001E1A0000}"/>
    <cellStyle name="Normal 2 2 2 2 2 2 2 2 2 2 5 7" xfId="42289" xr:uid="{00000000-0005-0000-0000-00001F1A0000}"/>
    <cellStyle name="Normal 2 2 2 2 2 2 2 2 2 2 6" xfId="42290" xr:uid="{00000000-0005-0000-0000-0000201A0000}"/>
    <cellStyle name="Normal 2 2 2 2 2 2 2 2 2 2 7" xfId="42291" xr:uid="{00000000-0005-0000-0000-0000211A0000}"/>
    <cellStyle name="Normal 2 2 2 2 2 2 2 2 2 2 8" xfId="42292" xr:uid="{00000000-0005-0000-0000-0000221A0000}"/>
    <cellStyle name="Normal 2 2 2 2 2 2 2 2 2 2 9" xfId="42293" xr:uid="{00000000-0005-0000-0000-0000231A0000}"/>
    <cellStyle name="Normal 2 2 2 2 2 2 2 2 2 3" xfId="6439" xr:uid="{00000000-0005-0000-0000-0000241A0000}"/>
    <cellStyle name="Normal 2 2 2 2 2 2 2 2 2 4" xfId="6440" xr:uid="{00000000-0005-0000-0000-0000251A0000}"/>
    <cellStyle name="Normal 2 2 2 2 2 2 2 2 2 4 2" xfId="42294" xr:uid="{00000000-0005-0000-0000-0000261A0000}"/>
    <cellStyle name="Normal 2 2 2 2 2 2 2 2 2 4 2 2" xfId="42295" xr:uid="{00000000-0005-0000-0000-0000271A0000}"/>
    <cellStyle name="Normal 2 2 2 2 2 2 2 2 2 4 2 3" xfId="42296" xr:uid="{00000000-0005-0000-0000-0000281A0000}"/>
    <cellStyle name="Normal 2 2 2 2 2 2 2 2 2 4 2 4" xfId="42297" xr:uid="{00000000-0005-0000-0000-0000291A0000}"/>
    <cellStyle name="Normal 2 2 2 2 2 2 2 2 2 4 2 5" xfId="42298" xr:uid="{00000000-0005-0000-0000-00002A1A0000}"/>
    <cellStyle name="Normal 2 2 2 2 2 2 2 2 2 4 2 6" xfId="42299" xr:uid="{00000000-0005-0000-0000-00002B1A0000}"/>
    <cellStyle name="Normal 2 2 2 2 2 2 2 2 2 4 2 7" xfId="42300" xr:uid="{00000000-0005-0000-0000-00002C1A0000}"/>
    <cellStyle name="Normal 2 2 2 2 2 2 2 2 2 4 3" xfId="42301" xr:uid="{00000000-0005-0000-0000-00002D1A0000}"/>
    <cellStyle name="Normal 2 2 2 2 2 2 2 2 2 4 4" xfId="42302" xr:uid="{00000000-0005-0000-0000-00002E1A0000}"/>
    <cellStyle name="Normal 2 2 2 2 2 2 2 2 2 4 5" xfId="42303" xr:uid="{00000000-0005-0000-0000-00002F1A0000}"/>
    <cellStyle name="Normal 2 2 2 2 2 2 2 2 2 4 6" xfId="42304" xr:uid="{00000000-0005-0000-0000-0000301A0000}"/>
    <cellStyle name="Normal 2 2 2 2 2 2 2 2 2 4 7" xfId="42305" xr:uid="{00000000-0005-0000-0000-0000311A0000}"/>
    <cellStyle name="Normal 2 2 2 2 2 2 2 2 2 4 8" xfId="42306" xr:uid="{00000000-0005-0000-0000-0000321A0000}"/>
    <cellStyle name="Normal 2 2 2 2 2 2 2 2 2 5" xfId="6441" xr:uid="{00000000-0005-0000-0000-0000331A0000}"/>
    <cellStyle name="Normal 2 2 2 2 2 2 2 2 2 6" xfId="6442" xr:uid="{00000000-0005-0000-0000-0000341A0000}"/>
    <cellStyle name="Normal 2 2 2 2 2 2 2 2 2 6 2" xfId="42307" xr:uid="{00000000-0005-0000-0000-0000351A0000}"/>
    <cellStyle name="Normal 2 2 2 2 2 2 2 2 2 6 3" xfId="42308" xr:uid="{00000000-0005-0000-0000-0000361A0000}"/>
    <cellStyle name="Normal 2 2 2 2 2 2 2 2 2 6 4" xfId="42309" xr:uid="{00000000-0005-0000-0000-0000371A0000}"/>
    <cellStyle name="Normal 2 2 2 2 2 2 2 2 2 6 5" xfId="42310" xr:uid="{00000000-0005-0000-0000-0000381A0000}"/>
    <cellStyle name="Normal 2 2 2 2 2 2 2 2 2 6 6" xfId="42311" xr:uid="{00000000-0005-0000-0000-0000391A0000}"/>
    <cellStyle name="Normal 2 2 2 2 2 2 2 2 2 6 7" xfId="42312" xr:uid="{00000000-0005-0000-0000-00003A1A0000}"/>
    <cellStyle name="Normal 2 2 2 2 2 2 2 2 2 7" xfId="6443" xr:uid="{00000000-0005-0000-0000-00003B1A0000}"/>
    <cellStyle name="Normal 2 2 2 2 2 2 2 2 2 8" xfId="6444" xr:uid="{00000000-0005-0000-0000-00003C1A0000}"/>
    <cellStyle name="Normal 2 2 2 2 2 2 2 2 2 9" xfId="6445" xr:uid="{00000000-0005-0000-0000-00003D1A0000}"/>
    <cellStyle name="Normal 2 2 2 2 2 2 2 2 2_Opex Input" xfId="42313" xr:uid="{00000000-0005-0000-0000-00003E1A0000}"/>
    <cellStyle name="Normal 2 2 2 2 2 2 2 2 20" xfId="42314" xr:uid="{00000000-0005-0000-0000-00003F1A0000}"/>
    <cellStyle name="Normal 2 2 2 2 2 2 2 2 3" xfId="6446" xr:uid="{00000000-0005-0000-0000-0000401A0000}"/>
    <cellStyle name="Normal 2 2 2 2 2 2 2 2 4" xfId="6447" xr:uid="{00000000-0005-0000-0000-0000411A0000}"/>
    <cellStyle name="Normal 2 2 2 2 2 2 2 2 5" xfId="6448" xr:uid="{00000000-0005-0000-0000-0000421A0000}"/>
    <cellStyle name="Normal 2 2 2 2 2 2 2 2 5 2" xfId="42315" xr:uid="{00000000-0005-0000-0000-0000431A0000}"/>
    <cellStyle name="Normal 2 2 2 2 2 2 2 2 5 2 2" xfId="42316" xr:uid="{00000000-0005-0000-0000-0000441A0000}"/>
    <cellStyle name="Normal 2 2 2 2 2 2 2 2 5 2 3" xfId="42317" xr:uid="{00000000-0005-0000-0000-0000451A0000}"/>
    <cellStyle name="Normal 2 2 2 2 2 2 2 2 5 2 4" xfId="42318" xr:uid="{00000000-0005-0000-0000-0000461A0000}"/>
    <cellStyle name="Normal 2 2 2 2 2 2 2 2 5 2 5" xfId="42319" xr:uid="{00000000-0005-0000-0000-0000471A0000}"/>
    <cellStyle name="Normal 2 2 2 2 2 2 2 2 5 2 6" xfId="42320" xr:uid="{00000000-0005-0000-0000-0000481A0000}"/>
    <cellStyle name="Normal 2 2 2 2 2 2 2 2 5 2 7" xfId="42321" xr:uid="{00000000-0005-0000-0000-0000491A0000}"/>
    <cellStyle name="Normal 2 2 2 2 2 2 2 2 5 3" xfId="42322" xr:uid="{00000000-0005-0000-0000-00004A1A0000}"/>
    <cellStyle name="Normal 2 2 2 2 2 2 2 2 5 4" xfId="42323" xr:uid="{00000000-0005-0000-0000-00004B1A0000}"/>
    <cellStyle name="Normal 2 2 2 2 2 2 2 2 5 5" xfId="42324" xr:uid="{00000000-0005-0000-0000-00004C1A0000}"/>
    <cellStyle name="Normal 2 2 2 2 2 2 2 2 5 6" xfId="42325" xr:uid="{00000000-0005-0000-0000-00004D1A0000}"/>
    <cellStyle name="Normal 2 2 2 2 2 2 2 2 5 7" xfId="42326" xr:uid="{00000000-0005-0000-0000-00004E1A0000}"/>
    <cellStyle name="Normal 2 2 2 2 2 2 2 2 5 8" xfId="42327" xr:uid="{00000000-0005-0000-0000-00004F1A0000}"/>
    <cellStyle name="Normal 2 2 2 2 2 2 2 2 6" xfId="6449" xr:uid="{00000000-0005-0000-0000-0000501A0000}"/>
    <cellStyle name="Normal 2 2 2 2 2 2 2 2 7" xfId="6450" xr:uid="{00000000-0005-0000-0000-0000511A0000}"/>
    <cellStyle name="Normal 2 2 2 2 2 2 2 2 7 2" xfId="42328" xr:uid="{00000000-0005-0000-0000-0000521A0000}"/>
    <cellStyle name="Normal 2 2 2 2 2 2 2 2 7 3" xfId="42329" xr:uid="{00000000-0005-0000-0000-0000531A0000}"/>
    <cellStyle name="Normal 2 2 2 2 2 2 2 2 7 4" xfId="42330" xr:uid="{00000000-0005-0000-0000-0000541A0000}"/>
    <cellStyle name="Normal 2 2 2 2 2 2 2 2 7 5" xfId="42331" xr:uid="{00000000-0005-0000-0000-0000551A0000}"/>
    <cellStyle name="Normal 2 2 2 2 2 2 2 2 7 6" xfId="42332" xr:uid="{00000000-0005-0000-0000-0000561A0000}"/>
    <cellStyle name="Normal 2 2 2 2 2 2 2 2 7 7" xfId="42333" xr:uid="{00000000-0005-0000-0000-0000571A0000}"/>
    <cellStyle name="Normal 2 2 2 2 2 2 2 2 8" xfId="6451" xr:uid="{00000000-0005-0000-0000-0000581A0000}"/>
    <cellStyle name="Normal 2 2 2 2 2 2 2 2 9" xfId="6452" xr:uid="{00000000-0005-0000-0000-0000591A0000}"/>
    <cellStyle name="Normal 2 2 2 2 2 2 2 2_ELEC SAP FCST UPLOAD" xfId="6453" xr:uid="{00000000-0005-0000-0000-00005A1A0000}"/>
    <cellStyle name="Normal 2 2 2 2 2 2 2 20" xfId="6454" xr:uid="{00000000-0005-0000-0000-00005B1A0000}"/>
    <cellStyle name="Normal 2 2 2 2 2 2 2 21" xfId="6455" xr:uid="{00000000-0005-0000-0000-00005C1A0000}"/>
    <cellStyle name="Normal 2 2 2 2 2 2 2 22" xfId="6456" xr:uid="{00000000-0005-0000-0000-00005D1A0000}"/>
    <cellStyle name="Normal 2 2 2 2 2 2 2 23" xfId="42334" xr:uid="{00000000-0005-0000-0000-00005E1A0000}"/>
    <cellStyle name="Normal 2 2 2 2 2 2 2 3" xfId="6457" xr:uid="{00000000-0005-0000-0000-00005F1A0000}"/>
    <cellStyle name="Normal 2 2 2 2 2 2 2 4" xfId="6458" xr:uid="{00000000-0005-0000-0000-0000601A0000}"/>
    <cellStyle name="Normal 2 2 2 2 2 2 2 5" xfId="6459" xr:uid="{00000000-0005-0000-0000-0000611A0000}"/>
    <cellStyle name="Normal 2 2 2 2 2 2 2 6" xfId="6460" xr:uid="{00000000-0005-0000-0000-0000621A0000}"/>
    <cellStyle name="Normal 2 2 2 2 2 2 2 7" xfId="6461" xr:uid="{00000000-0005-0000-0000-0000631A0000}"/>
    <cellStyle name="Normal 2 2 2 2 2 2 2 8" xfId="6462" xr:uid="{00000000-0005-0000-0000-0000641A0000}"/>
    <cellStyle name="Normal 2 2 2 2 2 2 2 8 2" xfId="42335" xr:uid="{00000000-0005-0000-0000-0000651A0000}"/>
    <cellStyle name="Normal 2 2 2 2 2 2 2 8 2 2" xfId="42336" xr:uid="{00000000-0005-0000-0000-0000661A0000}"/>
    <cellStyle name="Normal 2 2 2 2 2 2 2 8 2 3" xfId="42337" xr:uid="{00000000-0005-0000-0000-0000671A0000}"/>
    <cellStyle name="Normal 2 2 2 2 2 2 2 8 2 4" xfId="42338" xr:uid="{00000000-0005-0000-0000-0000681A0000}"/>
    <cellStyle name="Normal 2 2 2 2 2 2 2 8 2 5" xfId="42339" xr:uid="{00000000-0005-0000-0000-0000691A0000}"/>
    <cellStyle name="Normal 2 2 2 2 2 2 2 8 2 6" xfId="42340" xr:uid="{00000000-0005-0000-0000-00006A1A0000}"/>
    <cellStyle name="Normal 2 2 2 2 2 2 2 8 2 7" xfId="42341" xr:uid="{00000000-0005-0000-0000-00006B1A0000}"/>
    <cellStyle name="Normal 2 2 2 2 2 2 2 8 3" xfId="42342" xr:uid="{00000000-0005-0000-0000-00006C1A0000}"/>
    <cellStyle name="Normal 2 2 2 2 2 2 2 8 4" xfId="42343" xr:uid="{00000000-0005-0000-0000-00006D1A0000}"/>
    <cellStyle name="Normal 2 2 2 2 2 2 2 8 5" xfId="42344" xr:uid="{00000000-0005-0000-0000-00006E1A0000}"/>
    <cellStyle name="Normal 2 2 2 2 2 2 2 8 6" xfId="42345" xr:uid="{00000000-0005-0000-0000-00006F1A0000}"/>
    <cellStyle name="Normal 2 2 2 2 2 2 2 8 7" xfId="42346" xr:uid="{00000000-0005-0000-0000-0000701A0000}"/>
    <cellStyle name="Normal 2 2 2 2 2 2 2 8 8" xfId="42347" xr:uid="{00000000-0005-0000-0000-0000711A0000}"/>
    <cellStyle name="Normal 2 2 2 2 2 2 2 9" xfId="6463" xr:uid="{00000000-0005-0000-0000-0000721A0000}"/>
    <cellStyle name="Normal 2 2 2 2 2 2 2_ELEC SAP FCST UPLOAD" xfId="6464" xr:uid="{00000000-0005-0000-0000-0000731A0000}"/>
    <cellStyle name="Normal 2 2 2 2 2 2 20" xfId="6465" xr:uid="{00000000-0005-0000-0000-0000741A0000}"/>
    <cellStyle name="Normal 2 2 2 2 2 2 21" xfId="6466" xr:uid="{00000000-0005-0000-0000-0000751A0000}"/>
    <cellStyle name="Normal 2 2 2 2 2 2 22" xfId="6467" xr:uid="{00000000-0005-0000-0000-0000761A0000}"/>
    <cellStyle name="Normal 2 2 2 2 2 2 23" xfId="42348" xr:uid="{00000000-0005-0000-0000-0000771A0000}"/>
    <cellStyle name="Normal 2 2 2 2 2 2 3" xfId="6468" xr:uid="{00000000-0005-0000-0000-0000781A0000}"/>
    <cellStyle name="Normal 2 2 2 2 2 2 3 2" xfId="6469" xr:uid="{00000000-0005-0000-0000-0000791A0000}"/>
    <cellStyle name="Normal 2 2 2 2 2 2 3 3" xfId="6470" xr:uid="{00000000-0005-0000-0000-00007A1A0000}"/>
    <cellStyle name="Normal 2 2 2 2 2 2 3_ELEC SAP FCST UPLOAD" xfId="6471" xr:uid="{00000000-0005-0000-0000-00007B1A0000}"/>
    <cellStyle name="Normal 2 2 2 2 2 2 4" xfId="6472" xr:uid="{00000000-0005-0000-0000-00007C1A0000}"/>
    <cellStyle name="Normal 2 2 2 2 2 2 5" xfId="6473" xr:uid="{00000000-0005-0000-0000-00007D1A0000}"/>
    <cellStyle name="Normal 2 2 2 2 2 2 6" xfId="6474" xr:uid="{00000000-0005-0000-0000-00007E1A0000}"/>
    <cellStyle name="Normal 2 2 2 2 2 2 7" xfId="6475" xr:uid="{00000000-0005-0000-0000-00007F1A0000}"/>
    <cellStyle name="Normal 2 2 2 2 2 2 8" xfId="6476" xr:uid="{00000000-0005-0000-0000-0000801A0000}"/>
    <cellStyle name="Normal 2 2 2 2 2 2 8 2" xfId="42349" xr:uid="{00000000-0005-0000-0000-0000811A0000}"/>
    <cellStyle name="Normal 2 2 2 2 2 2 8 2 2" xfId="42350" xr:uid="{00000000-0005-0000-0000-0000821A0000}"/>
    <cellStyle name="Normal 2 2 2 2 2 2 8 2 3" xfId="42351" xr:uid="{00000000-0005-0000-0000-0000831A0000}"/>
    <cellStyle name="Normal 2 2 2 2 2 2 8 2 4" xfId="42352" xr:uid="{00000000-0005-0000-0000-0000841A0000}"/>
    <cellStyle name="Normal 2 2 2 2 2 2 8 2 5" xfId="42353" xr:uid="{00000000-0005-0000-0000-0000851A0000}"/>
    <cellStyle name="Normal 2 2 2 2 2 2 8 2 6" xfId="42354" xr:uid="{00000000-0005-0000-0000-0000861A0000}"/>
    <cellStyle name="Normal 2 2 2 2 2 2 8 2 7" xfId="42355" xr:uid="{00000000-0005-0000-0000-0000871A0000}"/>
    <cellStyle name="Normal 2 2 2 2 2 2 8 3" xfId="42356" xr:uid="{00000000-0005-0000-0000-0000881A0000}"/>
    <cellStyle name="Normal 2 2 2 2 2 2 8 4" xfId="42357" xr:uid="{00000000-0005-0000-0000-0000891A0000}"/>
    <cellStyle name="Normal 2 2 2 2 2 2 8 5" xfId="42358" xr:uid="{00000000-0005-0000-0000-00008A1A0000}"/>
    <cellStyle name="Normal 2 2 2 2 2 2 8 6" xfId="42359" xr:uid="{00000000-0005-0000-0000-00008B1A0000}"/>
    <cellStyle name="Normal 2 2 2 2 2 2 8 7" xfId="42360" xr:uid="{00000000-0005-0000-0000-00008C1A0000}"/>
    <cellStyle name="Normal 2 2 2 2 2 2 8 8" xfId="42361" xr:uid="{00000000-0005-0000-0000-00008D1A0000}"/>
    <cellStyle name="Normal 2 2 2 2 2 2 9" xfId="6477" xr:uid="{00000000-0005-0000-0000-00008E1A0000}"/>
    <cellStyle name="Normal 2 2 2 2 2 2_ELEC SAP FCST UPLOAD" xfId="6478" xr:uid="{00000000-0005-0000-0000-00008F1A0000}"/>
    <cellStyle name="Normal 2 2 2 2 2 20" xfId="6479" xr:uid="{00000000-0005-0000-0000-0000901A0000}"/>
    <cellStyle name="Normal 2 2 2 2 2 21" xfId="6480" xr:uid="{00000000-0005-0000-0000-0000911A0000}"/>
    <cellStyle name="Normal 2 2 2 2 2 22" xfId="6481" xr:uid="{00000000-0005-0000-0000-0000921A0000}"/>
    <cellStyle name="Normal 2 2 2 2 2 23" xfId="6482" xr:uid="{00000000-0005-0000-0000-0000931A0000}"/>
    <cellStyle name="Normal 2 2 2 2 2 24" xfId="42362" xr:uid="{00000000-0005-0000-0000-0000941A0000}"/>
    <cellStyle name="Normal 2 2 2 2 2 3" xfId="6483" xr:uid="{00000000-0005-0000-0000-0000951A0000}"/>
    <cellStyle name="Normal 2 2 2 2 2 3 2" xfId="6484" xr:uid="{00000000-0005-0000-0000-0000961A0000}"/>
    <cellStyle name="Normal 2 2 2 2 2 3 3" xfId="6485" xr:uid="{00000000-0005-0000-0000-0000971A0000}"/>
    <cellStyle name="Normal 2 2 2 2 2 3_ELEC SAP FCST UPLOAD" xfId="6486" xr:uid="{00000000-0005-0000-0000-0000981A0000}"/>
    <cellStyle name="Normal 2 2 2 2 2 4" xfId="6487" xr:uid="{00000000-0005-0000-0000-0000991A0000}"/>
    <cellStyle name="Normal 2 2 2 2 2 5" xfId="6488" xr:uid="{00000000-0005-0000-0000-00009A1A0000}"/>
    <cellStyle name="Normal 2 2 2 2 2 6" xfId="6489" xr:uid="{00000000-0005-0000-0000-00009B1A0000}"/>
    <cellStyle name="Normal 2 2 2 2 2 7" xfId="6490" xr:uid="{00000000-0005-0000-0000-00009C1A0000}"/>
    <cellStyle name="Normal 2 2 2 2 2 8" xfId="6491" xr:uid="{00000000-0005-0000-0000-00009D1A0000}"/>
    <cellStyle name="Normal 2 2 2 2 2 9" xfId="6492" xr:uid="{00000000-0005-0000-0000-00009E1A0000}"/>
    <cellStyle name="Normal 2 2 2 2 2 9 2" xfId="42363" xr:uid="{00000000-0005-0000-0000-00009F1A0000}"/>
    <cellStyle name="Normal 2 2 2 2 2 9 2 2" xfId="42364" xr:uid="{00000000-0005-0000-0000-0000A01A0000}"/>
    <cellStyle name="Normal 2 2 2 2 2 9 2 3" xfId="42365" xr:uid="{00000000-0005-0000-0000-0000A11A0000}"/>
    <cellStyle name="Normal 2 2 2 2 2 9 2 4" xfId="42366" xr:uid="{00000000-0005-0000-0000-0000A21A0000}"/>
    <cellStyle name="Normal 2 2 2 2 2 9 2 5" xfId="42367" xr:uid="{00000000-0005-0000-0000-0000A31A0000}"/>
    <cellStyle name="Normal 2 2 2 2 2 9 2 6" xfId="42368" xr:uid="{00000000-0005-0000-0000-0000A41A0000}"/>
    <cellStyle name="Normal 2 2 2 2 2 9 2 7" xfId="42369" xr:uid="{00000000-0005-0000-0000-0000A51A0000}"/>
    <cellStyle name="Normal 2 2 2 2 2 9 3" xfId="42370" xr:uid="{00000000-0005-0000-0000-0000A61A0000}"/>
    <cellStyle name="Normal 2 2 2 2 2 9 4" xfId="42371" xr:uid="{00000000-0005-0000-0000-0000A71A0000}"/>
    <cellStyle name="Normal 2 2 2 2 2 9 5" xfId="42372" xr:uid="{00000000-0005-0000-0000-0000A81A0000}"/>
    <cellStyle name="Normal 2 2 2 2 2 9 6" xfId="42373" xr:uid="{00000000-0005-0000-0000-0000A91A0000}"/>
    <cellStyle name="Normal 2 2 2 2 2 9 7" xfId="42374" xr:uid="{00000000-0005-0000-0000-0000AA1A0000}"/>
    <cellStyle name="Normal 2 2 2 2 2 9 8" xfId="42375" xr:uid="{00000000-0005-0000-0000-0000AB1A0000}"/>
    <cellStyle name="Normal 2 2 2 2 2_ELEC SAP FCST UPLOAD" xfId="6493" xr:uid="{00000000-0005-0000-0000-0000AC1A0000}"/>
    <cellStyle name="Normal 2 2 2 2 20" xfId="6494" xr:uid="{00000000-0005-0000-0000-0000AD1A0000}"/>
    <cellStyle name="Normal 2 2 2 2 21" xfId="6495" xr:uid="{00000000-0005-0000-0000-0000AE1A0000}"/>
    <cellStyle name="Normal 2 2 2 2 22" xfId="6496" xr:uid="{00000000-0005-0000-0000-0000AF1A0000}"/>
    <cellStyle name="Normal 2 2 2 2 23" xfId="6497" xr:uid="{00000000-0005-0000-0000-0000B01A0000}"/>
    <cellStyle name="Normal 2 2 2 2 24" xfId="6498" xr:uid="{00000000-0005-0000-0000-0000B11A0000}"/>
    <cellStyle name="Normal 2 2 2 2 25" xfId="6499" xr:uid="{00000000-0005-0000-0000-0000B21A0000}"/>
    <cellStyle name="Normal 2 2 2 2 26" xfId="6500" xr:uid="{00000000-0005-0000-0000-0000B31A0000}"/>
    <cellStyle name="Normal 2 2 2 2 27" xfId="6501" xr:uid="{00000000-0005-0000-0000-0000B41A0000}"/>
    <cellStyle name="Normal 2 2 2 2 28" xfId="6502" xr:uid="{00000000-0005-0000-0000-0000B51A0000}"/>
    <cellStyle name="Normal 2 2 2 2 29" xfId="6503" xr:uid="{00000000-0005-0000-0000-0000B61A0000}"/>
    <cellStyle name="Normal 2 2 2 2 3" xfId="6504" xr:uid="{00000000-0005-0000-0000-0000B71A0000}"/>
    <cellStyle name="Normal 2 2 2 2 3 2" xfId="6505" xr:uid="{00000000-0005-0000-0000-0000B81A0000}"/>
    <cellStyle name="Normal 2 2 2 2 3 2 2" xfId="6506" xr:uid="{00000000-0005-0000-0000-0000B91A0000}"/>
    <cellStyle name="Normal 2 2 2 2 3 2 3" xfId="6507" xr:uid="{00000000-0005-0000-0000-0000BA1A0000}"/>
    <cellStyle name="Normal 2 2 2 2 3 2_ELEC SAP FCST UPLOAD" xfId="6508" xr:uid="{00000000-0005-0000-0000-0000BB1A0000}"/>
    <cellStyle name="Normal 2 2 2 2 3 3" xfId="6509" xr:uid="{00000000-0005-0000-0000-0000BC1A0000}"/>
    <cellStyle name="Normal 2 2 2 2 3 4" xfId="6510" xr:uid="{00000000-0005-0000-0000-0000BD1A0000}"/>
    <cellStyle name="Normal 2 2 2 2 3 5" xfId="6511" xr:uid="{00000000-0005-0000-0000-0000BE1A0000}"/>
    <cellStyle name="Normal 2 2 2 2 3 6" xfId="6512" xr:uid="{00000000-0005-0000-0000-0000BF1A0000}"/>
    <cellStyle name="Normal 2 2 2 2 3_ELEC SAP FCST UPLOAD" xfId="6513" xr:uid="{00000000-0005-0000-0000-0000C01A0000}"/>
    <cellStyle name="Normal 2 2 2 2 30" xfId="6514" xr:uid="{00000000-0005-0000-0000-0000C11A0000}"/>
    <cellStyle name="Normal 2 2 2 2 31" xfId="6515" xr:uid="{00000000-0005-0000-0000-0000C21A0000}"/>
    <cellStyle name="Normal 2 2 2 2 32" xfId="6516" xr:uid="{00000000-0005-0000-0000-0000C31A0000}"/>
    <cellStyle name="Normal 2 2 2 2 33" xfId="6517" xr:uid="{00000000-0005-0000-0000-0000C41A0000}"/>
    <cellStyle name="Normal 2 2 2 2 34" xfId="6518" xr:uid="{00000000-0005-0000-0000-0000C51A0000}"/>
    <cellStyle name="Normal 2 2 2 2 35" xfId="6519" xr:uid="{00000000-0005-0000-0000-0000C61A0000}"/>
    <cellStyle name="Normal 2 2 2 2 36" xfId="6520" xr:uid="{00000000-0005-0000-0000-0000C71A0000}"/>
    <cellStyle name="Normal 2 2 2 2 37" xfId="6521" xr:uid="{00000000-0005-0000-0000-0000C81A0000}"/>
    <cellStyle name="Normal 2 2 2 2 38" xfId="6522" xr:uid="{00000000-0005-0000-0000-0000C91A0000}"/>
    <cellStyle name="Normal 2 2 2 2 39" xfId="6523" xr:uid="{00000000-0005-0000-0000-0000CA1A0000}"/>
    <cellStyle name="Normal 2 2 2 2 4" xfId="6524" xr:uid="{00000000-0005-0000-0000-0000CB1A0000}"/>
    <cellStyle name="Normal 2 2 2 2 4 2" xfId="6525" xr:uid="{00000000-0005-0000-0000-0000CC1A0000}"/>
    <cellStyle name="Normal 2 2 2 2 4 3" xfId="6526" xr:uid="{00000000-0005-0000-0000-0000CD1A0000}"/>
    <cellStyle name="Normal 2 2 2 2 4_ELEC SAP FCST UPLOAD" xfId="6527" xr:uid="{00000000-0005-0000-0000-0000CE1A0000}"/>
    <cellStyle name="Normal 2 2 2 2 40" xfId="6528" xr:uid="{00000000-0005-0000-0000-0000CF1A0000}"/>
    <cellStyle name="Normal 2 2 2 2 41" xfId="6529" xr:uid="{00000000-0005-0000-0000-0000D01A0000}"/>
    <cellStyle name="Normal 2 2 2 2 42" xfId="6530" xr:uid="{00000000-0005-0000-0000-0000D11A0000}"/>
    <cellStyle name="Normal 2 2 2 2 43" xfId="6531" xr:uid="{00000000-0005-0000-0000-0000D21A0000}"/>
    <cellStyle name="Normal 2 2 2 2 44" xfId="6532" xr:uid="{00000000-0005-0000-0000-0000D31A0000}"/>
    <cellStyle name="Normal 2 2 2 2 45" xfId="6533" xr:uid="{00000000-0005-0000-0000-0000D41A0000}"/>
    <cellStyle name="Normal 2 2 2 2 46" xfId="6534" xr:uid="{00000000-0005-0000-0000-0000D51A0000}"/>
    <cellStyle name="Normal 2 2 2 2 47" xfId="6535" xr:uid="{00000000-0005-0000-0000-0000D61A0000}"/>
    <cellStyle name="Normal 2 2 2 2 48" xfId="6536" xr:uid="{00000000-0005-0000-0000-0000D71A0000}"/>
    <cellStyle name="Normal 2 2 2 2 49" xfId="6537" xr:uid="{00000000-0005-0000-0000-0000D81A0000}"/>
    <cellStyle name="Normal 2 2 2 2 5" xfId="6538" xr:uid="{00000000-0005-0000-0000-0000D91A0000}"/>
    <cellStyle name="Normal 2 2 2 2 50" xfId="6539" xr:uid="{00000000-0005-0000-0000-0000DA1A0000}"/>
    <cellStyle name="Normal 2 2 2 2 51" xfId="6540" xr:uid="{00000000-0005-0000-0000-0000DB1A0000}"/>
    <cellStyle name="Normal 2 2 2 2 52" xfId="6541" xr:uid="{00000000-0005-0000-0000-0000DC1A0000}"/>
    <cellStyle name="Normal 2 2 2 2 53" xfId="6542" xr:uid="{00000000-0005-0000-0000-0000DD1A0000}"/>
    <cellStyle name="Normal 2 2 2 2 54" xfId="6543" xr:uid="{00000000-0005-0000-0000-0000DE1A0000}"/>
    <cellStyle name="Normal 2 2 2 2 55" xfId="6544" xr:uid="{00000000-0005-0000-0000-0000DF1A0000}"/>
    <cellStyle name="Normal 2 2 2 2 56" xfId="6545" xr:uid="{00000000-0005-0000-0000-0000E01A0000}"/>
    <cellStyle name="Normal 2 2 2 2 57" xfId="6546" xr:uid="{00000000-0005-0000-0000-0000E11A0000}"/>
    <cellStyle name="Normal 2 2 2 2 58" xfId="6547" xr:uid="{00000000-0005-0000-0000-0000E21A0000}"/>
    <cellStyle name="Normal 2 2 2 2 59" xfId="6548" xr:uid="{00000000-0005-0000-0000-0000E31A0000}"/>
    <cellStyle name="Normal 2 2 2 2 6" xfId="6549" xr:uid="{00000000-0005-0000-0000-0000E41A0000}"/>
    <cellStyle name="Normal 2 2 2 2 60" xfId="6550" xr:uid="{00000000-0005-0000-0000-0000E51A0000}"/>
    <cellStyle name="Normal 2 2 2 2 61" xfId="6551" xr:uid="{00000000-0005-0000-0000-0000E61A0000}"/>
    <cellStyle name="Normal 2 2 2 2 62" xfId="6552" xr:uid="{00000000-0005-0000-0000-0000E71A0000}"/>
    <cellStyle name="Normal 2 2 2 2 63" xfId="6553" xr:uid="{00000000-0005-0000-0000-0000E81A0000}"/>
    <cellStyle name="Normal 2 2 2 2 64" xfId="6554" xr:uid="{00000000-0005-0000-0000-0000E91A0000}"/>
    <cellStyle name="Normal 2 2 2 2 65" xfId="6555" xr:uid="{00000000-0005-0000-0000-0000EA1A0000}"/>
    <cellStyle name="Normal 2 2 2 2 66" xfId="6556" xr:uid="{00000000-0005-0000-0000-0000EB1A0000}"/>
    <cellStyle name="Normal 2 2 2 2 67" xfId="6557" xr:uid="{00000000-0005-0000-0000-0000EC1A0000}"/>
    <cellStyle name="Normal 2 2 2 2 68" xfId="6558" xr:uid="{00000000-0005-0000-0000-0000ED1A0000}"/>
    <cellStyle name="Normal 2 2 2 2 69" xfId="6559" xr:uid="{00000000-0005-0000-0000-0000EE1A0000}"/>
    <cellStyle name="Normal 2 2 2 2 7" xfId="6560" xr:uid="{00000000-0005-0000-0000-0000EF1A0000}"/>
    <cellStyle name="Normal 2 2 2 2 70" xfId="6561" xr:uid="{00000000-0005-0000-0000-0000F01A0000}"/>
    <cellStyle name="Normal 2 2 2 2 71" xfId="6562" xr:uid="{00000000-0005-0000-0000-0000F11A0000}"/>
    <cellStyle name="Normal 2 2 2 2 72" xfId="6563" xr:uid="{00000000-0005-0000-0000-0000F21A0000}"/>
    <cellStyle name="Normal 2 2 2 2 73" xfId="6564" xr:uid="{00000000-0005-0000-0000-0000F31A0000}"/>
    <cellStyle name="Normal 2 2 2 2 74" xfId="6565" xr:uid="{00000000-0005-0000-0000-0000F41A0000}"/>
    <cellStyle name="Normal 2 2 2 2 75" xfId="6566" xr:uid="{00000000-0005-0000-0000-0000F51A0000}"/>
    <cellStyle name="Normal 2 2 2 2 76" xfId="6567" xr:uid="{00000000-0005-0000-0000-0000F61A0000}"/>
    <cellStyle name="Normal 2 2 2 2 77" xfId="6568" xr:uid="{00000000-0005-0000-0000-0000F71A0000}"/>
    <cellStyle name="Normal 2 2 2 2 78" xfId="6569" xr:uid="{00000000-0005-0000-0000-0000F81A0000}"/>
    <cellStyle name="Normal 2 2 2 2 79" xfId="6570" xr:uid="{00000000-0005-0000-0000-0000F91A0000}"/>
    <cellStyle name="Normal 2 2 2 2 8" xfId="6571" xr:uid="{00000000-0005-0000-0000-0000FA1A0000}"/>
    <cellStyle name="Normal 2 2 2 2 8 10" xfId="6572" xr:uid="{00000000-0005-0000-0000-0000FB1A0000}"/>
    <cellStyle name="Normal 2 2 2 2 8 11" xfId="6573" xr:uid="{00000000-0005-0000-0000-0000FC1A0000}"/>
    <cellStyle name="Normal 2 2 2 2 8 12" xfId="6574" xr:uid="{00000000-0005-0000-0000-0000FD1A0000}"/>
    <cellStyle name="Normal 2 2 2 2 8 13" xfId="6575" xr:uid="{00000000-0005-0000-0000-0000FE1A0000}"/>
    <cellStyle name="Normal 2 2 2 2 8 14" xfId="6576" xr:uid="{00000000-0005-0000-0000-0000FF1A0000}"/>
    <cellStyle name="Normal 2 2 2 2 8 15" xfId="6577" xr:uid="{00000000-0005-0000-0000-0000001B0000}"/>
    <cellStyle name="Normal 2 2 2 2 8 16" xfId="6578" xr:uid="{00000000-0005-0000-0000-0000011B0000}"/>
    <cellStyle name="Normal 2 2 2 2 8 17" xfId="6579" xr:uid="{00000000-0005-0000-0000-0000021B0000}"/>
    <cellStyle name="Normal 2 2 2 2 8 2" xfId="6580" xr:uid="{00000000-0005-0000-0000-0000031B0000}"/>
    <cellStyle name="Normal 2 2 2 2 8 3" xfId="6581" xr:uid="{00000000-0005-0000-0000-0000041B0000}"/>
    <cellStyle name="Normal 2 2 2 2 8 4" xfId="6582" xr:uid="{00000000-0005-0000-0000-0000051B0000}"/>
    <cellStyle name="Normal 2 2 2 2 8 5" xfId="6583" xr:uid="{00000000-0005-0000-0000-0000061B0000}"/>
    <cellStyle name="Normal 2 2 2 2 8 6" xfId="6584" xr:uid="{00000000-0005-0000-0000-0000071B0000}"/>
    <cellStyle name="Normal 2 2 2 2 8 7" xfId="6585" xr:uid="{00000000-0005-0000-0000-0000081B0000}"/>
    <cellStyle name="Normal 2 2 2 2 8 8" xfId="6586" xr:uid="{00000000-0005-0000-0000-0000091B0000}"/>
    <cellStyle name="Normal 2 2 2 2 8 9" xfId="6587" xr:uid="{00000000-0005-0000-0000-00000A1B0000}"/>
    <cellStyle name="Normal 2 2 2 2 80" xfId="6588" xr:uid="{00000000-0005-0000-0000-00000B1B0000}"/>
    <cellStyle name="Normal 2 2 2 2 81" xfId="6589" xr:uid="{00000000-0005-0000-0000-00000C1B0000}"/>
    <cellStyle name="Normal 2 2 2 2 82" xfId="6590" xr:uid="{00000000-0005-0000-0000-00000D1B0000}"/>
    <cellStyle name="Normal 2 2 2 2 83" xfId="6591" xr:uid="{00000000-0005-0000-0000-00000E1B0000}"/>
    <cellStyle name="Normal 2 2 2 2 84" xfId="6592" xr:uid="{00000000-0005-0000-0000-00000F1B0000}"/>
    <cellStyle name="Normal 2 2 2 2 9" xfId="6593" xr:uid="{00000000-0005-0000-0000-0000101B0000}"/>
    <cellStyle name="Normal 2 2 2 2 9 2" xfId="42376" xr:uid="{00000000-0005-0000-0000-0000111B0000}"/>
    <cellStyle name="Normal 2 2 2 2 9 2 2" xfId="42377" xr:uid="{00000000-0005-0000-0000-0000121B0000}"/>
    <cellStyle name="Normal 2 2 2 2 9 2 3" xfId="42378" xr:uid="{00000000-0005-0000-0000-0000131B0000}"/>
    <cellStyle name="Normal 2 2 2 2 9 2 4" xfId="42379" xr:uid="{00000000-0005-0000-0000-0000141B0000}"/>
    <cellStyle name="Normal 2 2 2 2 9 2 5" xfId="42380" xr:uid="{00000000-0005-0000-0000-0000151B0000}"/>
    <cellStyle name="Normal 2 2 2 2 9 2 6" xfId="42381" xr:uid="{00000000-0005-0000-0000-0000161B0000}"/>
    <cellStyle name="Normal 2 2 2 2 9 2 7" xfId="42382" xr:uid="{00000000-0005-0000-0000-0000171B0000}"/>
    <cellStyle name="Normal 2 2 2 2 9 3" xfId="42383" xr:uid="{00000000-0005-0000-0000-0000181B0000}"/>
    <cellStyle name="Normal 2 2 2 2 9 4" xfId="42384" xr:uid="{00000000-0005-0000-0000-0000191B0000}"/>
    <cellStyle name="Normal 2 2 2 2 9 5" xfId="42385" xr:uid="{00000000-0005-0000-0000-00001A1B0000}"/>
    <cellStyle name="Normal 2 2 2 2 9 6" xfId="42386" xr:uid="{00000000-0005-0000-0000-00001B1B0000}"/>
    <cellStyle name="Normal 2 2 2 2 9 7" xfId="42387" xr:uid="{00000000-0005-0000-0000-00001C1B0000}"/>
    <cellStyle name="Normal 2 2 2 2 9 8" xfId="42388" xr:uid="{00000000-0005-0000-0000-00001D1B0000}"/>
    <cellStyle name="Normal 2 2 2 2_ELEC SAP FCST UPLOAD" xfId="6594" xr:uid="{00000000-0005-0000-0000-00001E1B0000}"/>
    <cellStyle name="Normal 2 2 2 20" xfId="6595" xr:uid="{00000000-0005-0000-0000-00001F1B0000}"/>
    <cellStyle name="Normal 2 2 2 21" xfId="6596" xr:uid="{00000000-0005-0000-0000-0000201B0000}"/>
    <cellStyle name="Normal 2 2 2 22" xfId="6597" xr:uid="{00000000-0005-0000-0000-0000211B0000}"/>
    <cellStyle name="Normal 2 2 2 23" xfId="6598" xr:uid="{00000000-0005-0000-0000-0000221B0000}"/>
    <cellStyle name="Normal 2 2 2 24" xfId="6599" xr:uid="{00000000-0005-0000-0000-0000231B0000}"/>
    <cellStyle name="Normal 2 2 2 25" xfId="6600" xr:uid="{00000000-0005-0000-0000-0000241B0000}"/>
    <cellStyle name="Normal 2 2 2 26" xfId="6601" xr:uid="{00000000-0005-0000-0000-0000251B0000}"/>
    <cellStyle name="Normal 2 2 2 27" xfId="6602" xr:uid="{00000000-0005-0000-0000-0000261B0000}"/>
    <cellStyle name="Normal 2 2 2 28" xfId="6603" xr:uid="{00000000-0005-0000-0000-0000271B0000}"/>
    <cellStyle name="Normal 2 2 2 29" xfId="6604" xr:uid="{00000000-0005-0000-0000-0000281B0000}"/>
    <cellStyle name="Normal 2 2 2 3" xfId="6605" xr:uid="{00000000-0005-0000-0000-0000291B0000}"/>
    <cellStyle name="Normal 2 2 2 30" xfId="6606" xr:uid="{00000000-0005-0000-0000-00002A1B0000}"/>
    <cellStyle name="Normal 2 2 2 31" xfId="6607" xr:uid="{00000000-0005-0000-0000-00002B1B0000}"/>
    <cellStyle name="Normal 2 2 2 32" xfId="6608" xr:uid="{00000000-0005-0000-0000-00002C1B0000}"/>
    <cellStyle name="Normal 2 2 2 33" xfId="6609" xr:uid="{00000000-0005-0000-0000-00002D1B0000}"/>
    <cellStyle name="Normal 2 2 2 34" xfId="6610" xr:uid="{00000000-0005-0000-0000-00002E1B0000}"/>
    <cellStyle name="Normal 2 2 2 35" xfId="6611" xr:uid="{00000000-0005-0000-0000-00002F1B0000}"/>
    <cellStyle name="Normal 2 2 2 36" xfId="6612" xr:uid="{00000000-0005-0000-0000-0000301B0000}"/>
    <cellStyle name="Normal 2 2 2 37" xfId="6613" xr:uid="{00000000-0005-0000-0000-0000311B0000}"/>
    <cellStyle name="Normal 2 2 2 38" xfId="6614" xr:uid="{00000000-0005-0000-0000-0000321B0000}"/>
    <cellStyle name="Normal 2 2 2 39" xfId="6615" xr:uid="{00000000-0005-0000-0000-0000331B0000}"/>
    <cellStyle name="Normal 2 2 2 4" xfId="6616" xr:uid="{00000000-0005-0000-0000-0000341B0000}"/>
    <cellStyle name="Normal 2 2 2 4 2" xfId="6617" xr:uid="{00000000-0005-0000-0000-0000351B0000}"/>
    <cellStyle name="Normal 2 2 2 4 2 2" xfId="6618" xr:uid="{00000000-0005-0000-0000-0000361B0000}"/>
    <cellStyle name="Normal 2 2 2 4 2 2 2" xfId="6619" xr:uid="{00000000-0005-0000-0000-0000371B0000}"/>
    <cellStyle name="Normal 2 2 2 4 2 2 3" xfId="6620" xr:uid="{00000000-0005-0000-0000-0000381B0000}"/>
    <cellStyle name="Normal 2 2 2 4 2 2_ELEC SAP FCST UPLOAD" xfId="6621" xr:uid="{00000000-0005-0000-0000-0000391B0000}"/>
    <cellStyle name="Normal 2 2 2 4 2 3" xfId="6622" xr:uid="{00000000-0005-0000-0000-00003A1B0000}"/>
    <cellStyle name="Normal 2 2 2 4 2 4" xfId="6623" xr:uid="{00000000-0005-0000-0000-00003B1B0000}"/>
    <cellStyle name="Normal 2 2 2 4 2 5" xfId="6624" xr:uid="{00000000-0005-0000-0000-00003C1B0000}"/>
    <cellStyle name="Normal 2 2 2 4 2 6" xfId="6625" xr:uid="{00000000-0005-0000-0000-00003D1B0000}"/>
    <cellStyle name="Normal 2 2 2 4 2_ELEC SAP FCST UPLOAD" xfId="6626" xr:uid="{00000000-0005-0000-0000-00003E1B0000}"/>
    <cellStyle name="Normal 2 2 2 4 3" xfId="6627" xr:uid="{00000000-0005-0000-0000-00003F1B0000}"/>
    <cellStyle name="Normal 2 2 2 4 3 2" xfId="6628" xr:uid="{00000000-0005-0000-0000-0000401B0000}"/>
    <cellStyle name="Normal 2 2 2 4 3 3" xfId="6629" xr:uid="{00000000-0005-0000-0000-0000411B0000}"/>
    <cellStyle name="Normal 2 2 2 4 3_ELEC SAP FCST UPLOAD" xfId="6630" xr:uid="{00000000-0005-0000-0000-0000421B0000}"/>
    <cellStyle name="Normal 2 2 2 4 4" xfId="6631" xr:uid="{00000000-0005-0000-0000-0000431B0000}"/>
    <cellStyle name="Normal 2 2 2 4 5" xfId="6632" xr:uid="{00000000-0005-0000-0000-0000441B0000}"/>
    <cellStyle name="Normal 2 2 2 4 6" xfId="6633" xr:uid="{00000000-0005-0000-0000-0000451B0000}"/>
    <cellStyle name="Normal 2 2 2 4_ELEC SAP FCST UPLOAD" xfId="6634" xr:uid="{00000000-0005-0000-0000-0000461B0000}"/>
    <cellStyle name="Normal 2 2 2 40" xfId="6635" xr:uid="{00000000-0005-0000-0000-0000471B0000}"/>
    <cellStyle name="Normal 2 2 2 41" xfId="6636" xr:uid="{00000000-0005-0000-0000-0000481B0000}"/>
    <cellStyle name="Normal 2 2 2 42" xfId="6637" xr:uid="{00000000-0005-0000-0000-0000491B0000}"/>
    <cellStyle name="Normal 2 2 2 43" xfId="6638" xr:uid="{00000000-0005-0000-0000-00004A1B0000}"/>
    <cellStyle name="Normal 2 2 2 44" xfId="6639" xr:uid="{00000000-0005-0000-0000-00004B1B0000}"/>
    <cellStyle name="Normal 2 2 2 45" xfId="6640" xr:uid="{00000000-0005-0000-0000-00004C1B0000}"/>
    <cellStyle name="Normal 2 2 2 46" xfId="6641" xr:uid="{00000000-0005-0000-0000-00004D1B0000}"/>
    <cellStyle name="Normal 2 2 2 47" xfId="6642" xr:uid="{00000000-0005-0000-0000-00004E1B0000}"/>
    <cellStyle name="Normal 2 2 2 48" xfId="6643" xr:uid="{00000000-0005-0000-0000-00004F1B0000}"/>
    <cellStyle name="Normal 2 2 2 49" xfId="6644" xr:uid="{00000000-0005-0000-0000-0000501B0000}"/>
    <cellStyle name="Normal 2 2 2 5" xfId="6645" xr:uid="{00000000-0005-0000-0000-0000511B0000}"/>
    <cellStyle name="Normal 2 2 2 5 2" xfId="6646" xr:uid="{00000000-0005-0000-0000-0000521B0000}"/>
    <cellStyle name="Normal 2 2 2 5 3" xfId="6647" xr:uid="{00000000-0005-0000-0000-0000531B0000}"/>
    <cellStyle name="Normal 2 2 2 5_ELEC SAP FCST UPLOAD" xfId="6648" xr:uid="{00000000-0005-0000-0000-0000541B0000}"/>
    <cellStyle name="Normal 2 2 2 50" xfId="6649" xr:uid="{00000000-0005-0000-0000-0000551B0000}"/>
    <cellStyle name="Normal 2 2 2 51" xfId="6650" xr:uid="{00000000-0005-0000-0000-0000561B0000}"/>
    <cellStyle name="Normal 2 2 2 52" xfId="6651" xr:uid="{00000000-0005-0000-0000-0000571B0000}"/>
    <cellStyle name="Normal 2 2 2 53" xfId="6652" xr:uid="{00000000-0005-0000-0000-0000581B0000}"/>
    <cellStyle name="Normal 2 2 2 54" xfId="6653" xr:uid="{00000000-0005-0000-0000-0000591B0000}"/>
    <cellStyle name="Normal 2 2 2 55" xfId="6654" xr:uid="{00000000-0005-0000-0000-00005A1B0000}"/>
    <cellStyle name="Normal 2 2 2 56" xfId="6655" xr:uid="{00000000-0005-0000-0000-00005B1B0000}"/>
    <cellStyle name="Normal 2 2 2 57" xfId="6656" xr:uid="{00000000-0005-0000-0000-00005C1B0000}"/>
    <cellStyle name="Normal 2 2 2 58" xfId="6657" xr:uid="{00000000-0005-0000-0000-00005D1B0000}"/>
    <cellStyle name="Normal 2 2 2 59" xfId="6658" xr:uid="{00000000-0005-0000-0000-00005E1B0000}"/>
    <cellStyle name="Normal 2 2 2 6" xfId="6659" xr:uid="{00000000-0005-0000-0000-00005F1B0000}"/>
    <cellStyle name="Normal 2 2 2 60" xfId="6660" xr:uid="{00000000-0005-0000-0000-0000601B0000}"/>
    <cellStyle name="Normal 2 2 2 61" xfId="6661" xr:uid="{00000000-0005-0000-0000-0000611B0000}"/>
    <cellStyle name="Normal 2 2 2 62" xfId="6662" xr:uid="{00000000-0005-0000-0000-0000621B0000}"/>
    <cellStyle name="Normal 2 2 2 63" xfId="6663" xr:uid="{00000000-0005-0000-0000-0000631B0000}"/>
    <cellStyle name="Normal 2 2 2 64" xfId="6664" xr:uid="{00000000-0005-0000-0000-0000641B0000}"/>
    <cellStyle name="Normal 2 2 2 65" xfId="6665" xr:uid="{00000000-0005-0000-0000-0000651B0000}"/>
    <cellStyle name="Normal 2 2 2 66" xfId="6666" xr:uid="{00000000-0005-0000-0000-0000661B0000}"/>
    <cellStyle name="Normal 2 2 2 67" xfId="6667" xr:uid="{00000000-0005-0000-0000-0000671B0000}"/>
    <cellStyle name="Normal 2 2 2 68" xfId="6668" xr:uid="{00000000-0005-0000-0000-0000681B0000}"/>
    <cellStyle name="Normal 2 2 2 69" xfId="6669" xr:uid="{00000000-0005-0000-0000-0000691B0000}"/>
    <cellStyle name="Normal 2 2 2 7" xfId="6670" xr:uid="{00000000-0005-0000-0000-00006A1B0000}"/>
    <cellStyle name="Normal 2 2 2 70" xfId="6671" xr:uid="{00000000-0005-0000-0000-00006B1B0000}"/>
    <cellStyle name="Normal 2 2 2 71" xfId="6672" xr:uid="{00000000-0005-0000-0000-00006C1B0000}"/>
    <cellStyle name="Normal 2 2 2 72" xfId="6673" xr:uid="{00000000-0005-0000-0000-00006D1B0000}"/>
    <cellStyle name="Normal 2 2 2 73" xfId="6674" xr:uid="{00000000-0005-0000-0000-00006E1B0000}"/>
    <cellStyle name="Normal 2 2 2 74" xfId="6675" xr:uid="{00000000-0005-0000-0000-00006F1B0000}"/>
    <cellStyle name="Normal 2 2 2 75" xfId="6676" xr:uid="{00000000-0005-0000-0000-0000701B0000}"/>
    <cellStyle name="Normal 2 2 2 76" xfId="6677" xr:uid="{00000000-0005-0000-0000-0000711B0000}"/>
    <cellStyle name="Normal 2 2 2 77" xfId="6678" xr:uid="{00000000-0005-0000-0000-0000721B0000}"/>
    <cellStyle name="Normal 2 2 2 78" xfId="6679" xr:uid="{00000000-0005-0000-0000-0000731B0000}"/>
    <cellStyle name="Normal 2 2 2 79" xfId="6680" xr:uid="{00000000-0005-0000-0000-0000741B0000}"/>
    <cellStyle name="Normal 2 2 2 8" xfId="6681" xr:uid="{00000000-0005-0000-0000-0000751B0000}"/>
    <cellStyle name="Normal 2 2 2 80" xfId="6682" xr:uid="{00000000-0005-0000-0000-0000761B0000}"/>
    <cellStyle name="Normal 2 2 2 81" xfId="6683" xr:uid="{00000000-0005-0000-0000-0000771B0000}"/>
    <cellStyle name="Normal 2 2 2 82" xfId="6684" xr:uid="{00000000-0005-0000-0000-0000781B0000}"/>
    <cellStyle name="Normal 2 2 2 83" xfId="6685" xr:uid="{00000000-0005-0000-0000-0000791B0000}"/>
    <cellStyle name="Normal 2 2 2 84" xfId="6686" xr:uid="{00000000-0005-0000-0000-00007A1B0000}"/>
    <cellStyle name="Normal 2 2 2 85" xfId="6687" xr:uid="{00000000-0005-0000-0000-00007B1B0000}"/>
    <cellStyle name="Normal 2 2 2 86" xfId="6688" xr:uid="{00000000-0005-0000-0000-00007C1B0000}"/>
    <cellStyle name="Normal 2 2 2 9" xfId="6689" xr:uid="{00000000-0005-0000-0000-00007D1B0000}"/>
    <cellStyle name="Normal 2 2 2_3.1.2 DB Pension Detail" xfId="6690" xr:uid="{00000000-0005-0000-0000-00007E1B0000}"/>
    <cellStyle name="Normal 2 2 20" xfId="6691" xr:uid="{00000000-0005-0000-0000-00007F1B0000}"/>
    <cellStyle name="Normal 2 2 21" xfId="6692" xr:uid="{00000000-0005-0000-0000-0000801B0000}"/>
    <cellStyle name="Normal 2 2 22" xfId="6693" xr:uid="{00000000-0005-0000-0000-0000811B0000}"/>
    <cellStyle name="Normal 2 2 23" xfId="6694" xr:uid="{00000000-0005-0000-0000-0000821B0000}"/>
    <cellStyle name="Normal 2 2 24" xfId="6695" xr:uid="{00000000-0005-0000-0000-0000831B0000}"/>
    <cellStyle name="Normal 2 2 25" xfId="6696" xr:uid="{00000000-0005-0000-0000-0000841B0000}"/>
    <cellStyle name="Normal 2 2 26" xfId="6697" xr:uid="{00000000-0005-0000-0000-0000851B0000}"/>
    <cellStyle name="Normal 2 2 27" xfId="6698" xr:uid="{00000000-0005-0000-0000-0000861B0000}"/>
    <cellStyle name="Normal 2 2 28" xfId="6699" xr:uid="{00000000-0005-0000-0000-0000871B0000}"/>
    <cellStyle name="Normal 2 2 29" xfId="6700" xr:uid="{00000000-0005-0000-0000-0000881B0000}"/>
    <cellStyle name="Normal 2 2 3" xfId="6701" xr:uid="{00000000-0005-0000-0000-0000891B0000}"/>
    <cellStyle name="Normal 2 2 3 10" xfId="6702" xr:uid="{00000000-0005-0000-0000-00008A1B0000}"/>
    <cellStyle name="Normal 2 2 3 11" xfId="6703" xr:uid="{00000000-0005-0000-0000-00008B1B0000}"/>
    <cellStyle name="Normal 2 2 3 12" xfId="6704" xr:uid="{00000000-0005-0000-0000-00008C1B0000}"/>
    <cellStyle name="Normal 2 2 3 13" xfId="6705" xr:uid="{00000000-0005-0000-0000-00008D1B0000}"/>
    <cellStyle name="Normal 2 2 3 14" xfId="6706" xr:uid="{00000000-0005-0000-0000-00008E1B0000}"/>
    <cellStyle name="Normal 2 2 3 15" xfId="6707" xr:uid="{00000000-0005-0000-0000-00008F1B0000}"/>
    <cellStyle name="Normal 2 2 3 16" xfId="6708" xr:uid="{00000000-0005-0000-0000-0000901B0000}"/>
    <cellStyle name="Normal 2 2 3 17" xfId="6709" xr:uid="{00000000-0005-0000-0000-0000911B0000}"/>
    <cellStyle name="Normal 2 2 3 18" xfId="6710" xr:uid="{00000000-0005-0000-0000-0000921B0000}"/>
    <cellStyle name="Normal 2 2 3 19" xfId="6711" xr:uid="{00000000-0005-0000-0000-0000931B0000}"/>
    <cellStyle name="Normal 2 2 3 2" xfId="6712" xr:uid="{00000000-0005-0000-0000-0000941B0000}"/>
    <cellStyle name="Normal 2 2 3 2 10" xfId="6713" xr:uid="{00000000-0005-0000-0000-0000951B0000}"/>
    <cellStyle name="Normal 2 2 3 2 11" xfId="6714" xr:uid="{00000000-0005-0000-0000-0000961B0000}"/>
    <cellStyle name="Normal 2 2 3 2 12" xfId="6715" xr:uid="{00000000-0005-0000-0000-0000971B0000}"/>
    <cellStyle name="Normal 2 2 3 2 13" xfId="6716" xr:uid="{00000000-0005-0000-0000-0000981B0000}"/>
    <cellStyle name="Normal 2 2 3 2 14" xfId="6717" xr:uid="{00000000-0005-0000-0000-0000991B0000}"/>
    <cellStyle name="Normal 2 2 3 2 15" xfId="6718" xr:uid="{00000000-0005-0000-0000-00009A1B0000}"/>
    <cellStyle name="Normal 2 2 3 2 16" xfId="6719" xr:uid="{00000000-0005-0000-0000-00009B1B0000}"/>
    <cellStyle name="Normal 2 2 3 2 17" xfId="6720" xr:uid="{00000000-0005-0000-0000-00009C1B0000}"/>
    <cellStyle name="Normal 2 2 3 2 18" xfId="6721" xr:uid="{00000000-0005-0000-0000-00009D1B0000}"/>
    <cellStyle name="Normal 2 2 3 2 19" xfId="6722" xr:uid="{00000000-0005-0000-0000-00009E1B0000}"/>
    <cellStyle name="Normal 2 2 3 2 2" xfId="6723" xr:uid="{00000000-0005-0000-0000-00009F1B0000}"/>
    <cellStyle name="Normal 2 2 3 2 2 10" xfId="6724" xr:uid="{00000000-0005-0000-0000-0000A01B0000}"/>
    <cellStyle name="Normal 2 2 3 2 2 11" xfId="6725" xr:uid="{00000000-0005-0000-0000-0000A11B0000}"/>
    <cellStyle name="Normal 2 2 3 2 2 12" xfId="6726" xr:uid="{00000000-0005-0000-0000-0000A21B0000}"/>
    <cellStyle name="Normal 2 2 3 2 2 13" xfId="6727" xr:uid="{00000000-0005-0000-0000-0000A31B0000}"/>
    <cellStyle name="Normal 2 2 3 2 2 14" xfId="6728" xr:uid="{00000000-0005-0000-0000-0000A41B0000}"/>
    <cellStyle name="Normal 2 2 3 2 2 15" xfId="6729" xr:uid="{00000000-0005-0000-0000-0000A51B0000}"/>
    <cellStyle name="Normal 2 2 3 2 2 16" xfId="6730" xr:uid="{00000000-0005-0000-0000-0000A61B0000}"/>
    <cellStyle name="Normal 2 2 3 2 2 17" xfId="6731" xr:uid="{00000000-0005-0000-0000-0000A71B0000}"/>
    <cellStyle name="Normal 2 2 3 2 2 18" xfId="6732" xr:uid="{00000000-0005-0000-0000-0000A81B0000}"/>
    <cellStyle name="Normal 2 2 3 2 2 19" xfId="6733" xr:uid="{00000000-0005-0000-0000-0000A91B0000}"/>
    <cellStyle name="Normal 2 2 3 2 2 2" xfId="6734" xr:uid="{00000000-0005-0000-0000-0000AA1B0000}"/>
    <cellStyle name="Normal 2 2 3 2 2 2 10" xfId="6735" xr:uid="{00000000-0005-0000-0000-0000AB1B0000}"/>
    <cellStyle name="Normal 2 2 3 2 2 2 11" xfId="6736" xr:uid="{00000000-0005-0000-0000-0000AC1B0000}"/>
    <cellStyle name="Normal 2 2 3 2 2 2 12" xfId="6737" xr:uid="{00000000-0005-0000-0000-0000AD1B0000}"/>
    <cellStyle name="Normal 2 2 3 2 2 2 13" xfId="6738" xr:uid="{00000000-0005-0000-0000-0000AE1B0000}"/>
    <cellStyle name="Normal 2 2 3 2 2 2 14" xfId="6739" xr:uid="{00000000-0005-0000-0000-0000AF1B0000}"/>
    <cellStyle name="Normal 2 2 3 2 2 2 15" xfId="6740" xr:uid="{00000000-0005-0000-0000-0000B01B0000}"/>
    <cellStyle name="Normal 2 2 3 2 2 2 16" xfId="6741" xr:uid="{00000000-0005-0000-0000-0000B11B0000}"/>
    <cellStyle name="Normal 2 2 3 2 2 2 17" xfId="6742" xr:uid="{00000000-0005-0000-0000-0000B21B0000}"/>
    <cellStyle name="Normal 2 2 3 2 2 2 18" xfId="6743" xr:uid="{00000000-0005-0000-0000-0000B31B0000}"/>
    <cellStyle name="Normal 2 2 3 2 2 2 19" xfId="6744" xr:uid="{00000000-0005-0000-0000-0000B41B0000}"/>
    <cellStyle name="Normal 2 2 3 2 2 2 2" xfId="6745" xr:uid="{00000000-0005-0000-0000-0000B51B0000}"/>
    <cellStyle name="Normal 2 2 3 2 2 2 2 10" xfId="6746" xr:uid="{00000000-0005-0000-0000-0000B61B0000}"/>
    <cellStyle name="Normal 2 2 3 2 2 2 2 11" xfId="6747" xr:uid="{00000000-0005-0000-0000-0000B71B0000}"/>
    <cellStyle name="Normal 2 2 3 2 2 2 2 12" xfId="6748" xr:uid="{00000000-0005-0000-0000-0000B81B0000}"/>
    <cellStyle name="Normal 2 2 3 2 2 2 2 13" xfId="6749" xr:uid="{00000000-0005-0000-0000-0000B91B0000}"/>
    <cellStyle name="Normal 2 2 3 2 2 2 2 14" xfId="6750" xr:uid="{00000000-0005-0000-0000-0000BA1B0000}"/>
    <cellStyle name="Normal 2 2 3 2 2 2 2 15" xfId="6751" xr:uid="{00000000-0005-0000-0000-0000BB1B0000}"/>
    <cellStyle name="Normal 2 2 3 2 2 2 2 16" xfId="6752" xr:uid="{00000000-0005-0000-0000-0000BC1B0000}"/>
    <cellStyle name="Normal 2 2 3 2 2 2 2 17" xfId="6753" xr:uid="{00000000-0005-0000-0000-0000BD1B0000}"/>
    <cellStyle name="Normal 2 2 3 2 2 2 2 18" xfId="6754" xr:uid="{00000000-0005-0000-0000-0000BE1B0000}"/>
    <cellStyle name="Normal 2 2 3 2 2 2 2 19" xfId="6755" xr:uid="{00000000-0005-0000-0000-0000BF1B0000}"/>
    <cellStyle name="Normal 2 2 3 2 2 2 2 2" xfId="6756" xr:uid="{00000000-0005-0000-0000-0000C01B0000}"/>
    <cellStyle name="Normal 2 2 3 2 2 2 2 2 10" xfId="6757" xr:uid="{00000000-0005-0000-0000-0000C11B0000}"/>
    <cellStyle name="Normal 2 2 3 2 2 2 2 2 11" xfId="6758" xr:uid="{00000000-0005-0000-0000-0000C21B0000}"/>
    <cellStyle name="Normal 2 2 3 2 2 2 2 2 12" xfId="6759" xr:uid="{00000000-0005-0000-0000-0000C31B0000}"/>
    <cellStyle name="Normal 2 2 3 2 2 2 2 2 13" xfId="6760" xr:uid="{00000000-0005-0000-0000-0000C41B0000}"/>
    <cellStyle name="Normal 2 2 3 2 2 2 2 2 14" xfId="6761" xr:uid="{00000000-0005-0000-0000-0000C51B0000}"/>
    <cellStyle name="Normal 2 2 3 2 2 2 2 2 15" xfId="6762" xr:uid="{00000000-0005-0000-0000-0000C61B0000}"/>
    <cellStyle name="Normal 2 2 3 2 2 2 2 2 16" xfId="6763" xr:uid="{00000000-0005-0000-0000-0000C71B0000}"/>
    <cellStyle name="Normal 2 2 3 2 2 2 2 2 17" xfId="6764" xr:uid="{00000000-0005-0000-0000-0000C81B0000}"/>
    <cellStyle name="Normal 2 2 3 2 2 2 2 2 18" xfId="6765" xr:uid="{00000000-0005-0000-0000-0000C91B0000}"/>
    <cellStyle name="Normal 2 2 3 2 2 2 2 2 2" xfId="6766" xr:uid="{00000000-0005-0000-0000-0000CA1B0000}"/>
    <cellStyle name="Normal 2 2 3 2 2 2 2 2 3" xfId="6767" xr:uid="{00000000-0005-0000-0000-0000CB1B0000}"/>
    <cellStyle name="Normal 2 2 3 2 2 2 2 2 4" xfId="6768" xr:uid="{00000000-0005-0000-0000-0000CC1B0000}"/>
    <cellStyle name="Normal 2 2 3 2 2 2 2 2 5" xfId="6769" xr:uid="{00000000-0005-0000-0000-0000CD1B0000}"/>
    <cellStyle name="Normal 2 2 3 2 2 2 2 2 6" xfId="6770" xr:uid="{00000000-0005-0000-0000-0000CE1B0000}"/>
    <cellStyle name="Normal 2 2 3 2 2 2 2 2 7" xfId="6771" xr:uid="{00000000-0005-0000-0000-0000CF1B0000}"/>
    <cellStyle name="Normal 2 2 3 2 2 2 2 2 8" xfId="6772" xr:uid="{00000000-0005-0000-0000-0000D01B0000}"/>
    <cellStyle name="Normal 2 2 3 2 2 2 2 2 9" xfId="6773" xr:uid="{00000000-0005-0000-0000-0000D11B0000}"/>
    <cellStyle name="Normal 2 2 3 2 2 2 2 3" xfId="6774" xr:uid="{00000000-0005-0000-0000-0000D21B0000}"/>
    <cellStyle name="Normal 2 2 3 2 2 2 2 4" xfId="6775" xr:uid="{00000000-0005-0000-0000-0000D31B0000}"/>
    <cellStyle name="Normal 2 2 3 2 2 2 2 5" xfId="6776" xr:uid="{00000000-0005-0000-0000-0000D41B0000}"/>
    <cellStyle name="Normal 2 2 3 2 2 2 2 6" xfId="6777" xr:uid="{00000000-0005-0000-0000-0000D51B0000}"/>
    <cellStyle name="Normal 2 2 3 2 2 2 2 7" xfId="6778" xr:uid="{00000000-0005-0000-0000-0000D61B0000}"/>
    <cellStyle name="Normal 2 2 3 2 2 2 2 8" xfId="6779" xr:uid="{00000000-0005-0000-0000-0000D71B0000}"/>
    <cellStyle name="Normal 2 2 3 2 2 2 2 9" xfId="6780" xr:uid="{00000000-0005-0000-0000-0000D81B0000}"/>
    <cellStyle name="Normal 2 2 3 2 2 2 2_ELEC SAP FCST UPLOAD" xfId="6781" xr:uid="{00000000-0005-0000-0000-0000D91B0000}"/>
    <cellStyle name="Normal 2 2 3 2 2 2 20" xfId="6782" xr:uid="{00000000-0005-0000-0000-0000DA1B0000}"/>
    <cellStyle name="Normal 2 2 3 2 2 2 21" xfId="6783" xr:uid="{00000000-0005-0000-0000-0000DB1B0000}"/>
    <cellStyle name="Normal 2 2 3 2 2 2 22" xfId="6784" xr:uid="{00000000-0005-0000-0000-0000DC1B0000}"/>
    <cellStyle name="Normal 2 2 3 2 2 2 3" xfId="6785" xr:uid="{00000000-0005-0000-0000-0000DD1B0000}"/>
    <cellStyle name="Normal 2 2 3 2 2 2 4" xfId="6786" xr:uid="{00000000-0005-0000-0000-0000DE1B0000}"/>
    <cellStyle name="Normal 2 2 3 2 2 2 5" xfId="6787" xr:uid="{00000000-0005-0000-0000-0000DF1B0000}"/>
    <cellStyle name="Normal 2 2 3 2 2 2 6" xfId="6788" xr:uid="{00000000-0005-0000-0000-0000E01B0000}"/>
    <cellStyle name="Normal 2 2 3 2 2 2 7" xfId="6789" xr:uid="{00000000-0005-0000-0000-0000E11B0000}"/>
    <cellStyle name="Normal 2 2 3 2 2 2 8" xfId="6790" xr:uid="{00000000-0005-0000-0000-0000E21B0000}"/>
    <cellStyle name="Normal 2 2 3 2 2 2 9" xfId="6791" xr:uid="{00000000-0005-0000-0000-0000E31B0000}"/>
    <cellStyle name="Normal 2 2 3 2 2 2_ELEC SAP FCST UPLOAD" xfId="6792" xr:uid="{00000000-0005-0000-0000-0000E41B0000}"/>
    <cellStyle name="Normal 2 2 3 2 2 20" xfId="6793" xr:uid="{00000000-0005-0000-0000-0000E51B0000}"/>
    <cellStyle name="Normal 2 2 3 2 2 21" xfId="6794" xr:uid="{00000000-0005-0000-0000-0000E61B0000}"/>
    <cellStyle name="Normal 2 2 3 2 2 22" xfId="6795" xr:uid="{00000000-0005-0000-0000-0000E71B0000}"/>
    <cellStyle name="Normal 2 2 3 2 2 3" xfId="6796" xr:uid="{00000000-0005-0000-0000-0000E81B0000}"/>
    <cellStyle name="Normal 2 2 3 2 2 3 2" xfId="6797" xr:uid="{00000000-0005-0000-0000-0000E91B0000}"/>
    <cellStyle name="Normal 2 2 3 2 2 3 3" xfId="6798" xr:uid="{00000000-0005-0000-0000-0000EA1B0000}"/>
    <cellStyle name="Normal 2 2 3 2 2 3_ELEC SAP FCST UPLOAD" xfId="6799" xr:uid="{00000000-0005-0000-0000-0000EB1B0000}"/>
    <cellStyle name="Normal 2 2 3 2 2 4" xfId="6800" xr:uid="{00000000-0005-0000-0000-0000EC1B0000}"/>
    <cellStyle name="Normal 2 2 3 2 2 5" xfId="6801" xr:uid="{00000000-0005-0000-0000-0000ED1B0000}"/>
    <cellStyle name="Normal 2 2 3 2 2 6" xfId="6802" xr:uid="{00000000-0005-0000-0000-0000EE1B0000}"/>
    <cellStyle name="Normal 2 2 3 2 2 7" xfId="6803" xr:uid="{00000000-0005-0000-0000-0000EF1B0000}"/>
    <cellStyle name="Normal 2 2 3 2 2 8" xfId="6804" xr:uid="{00000000-0005-0000-0000-0000F01B0000}"/>
    <cellStyle name="Normal 2 2 3 2 2 9" xfId="6805" xr:uid="{00000000-0005-0000-0000-0000F11B0000}"/>
    <cellStyle name="Normal 2 2 3 2 2_ELEC SAP FCST UPLOAD" xfId="6806" xr:uid="{00000000-0005-0000-0000-0000F21B0000}"/>
    <cellStyle name="Normal 2 2 3 2 20" xfId="6807" xr:uid="{00000000-0005-0000-0000-0000F31B0000}"/>
    <cellStyle name="Normal 2 2 3 2 21" xfId="6808" xr:uid="{00000000-0005-0000-0000-0000F41B0000}"/>
    <cellStyle name="Normal 2 2 3 2 22" xfId="6809" xr:uid="{00000000-0005-0000-0000-0000F51B0000}"/>
    <cellStyle name="Normal 2 2 3 2 23" xfId="6810" xr:uid="{00000000-0005-0000-0000-0000F61B0000}"/>
    <cellStyle name="Normal 2 2 3 2 3" xfId="6811" xr:uid="{00000000-0005-0000-0000-0000F71B0000}"/>
    <cellStyle name="Normal 2 2 3 2 3 2" xfId="6812" xr:uid="{00000000-0005-0000-0000-0000F81B0000}"/>
    <cellStyle name="Normal 2 2 3 2 3 3" xfId="6813" xr:uid="{00000000-0005-0000-0000-0000F91B0000}"/>
    <cellStyle name="Normal 2 2 3 2 3_ELEC SAP FCST UPLOAD" xfId="6814" xr:uid="{00000000-0005-0000-0000-0000FA1B0000}"/>
    <cellStyle name="Normal 2 2 3 2 4" xfId="6815" xr:uid="{00000000-0005-0000-0000-0000FB1B0000}"/>
    <cellStyle name="Normal 2 2 3 2 5" xfId="6816" xr:uid="{00000000-0005-0000-0000-0000FC1B0000}"/>
    <cellStyle name="Normal 2 2 3 2 6" xfId="6817" xr:uid="{00000000-0005-0000-0000-0000FD1B0000}"/>
    <cellStyle name="Normal 2 2 3 2 7" xfId="6818" xr:uid="{00000000-0005-0000-0000-0000FE1B0000}"/>
    <cellStyle name="Normal 2 2 3 2 8" xfId="6819" xr:uid="{00000000-0005-0000-0000-0000FF1B0000}"/>
    <cellStyle name="Normal 2 2 3 2 9" xfId="6820" xr:uid="{00000000-0005-0000-0000-0000001C0000}"/>
    <cellStyle name="Normal 2 2 3 2_ELEC SAP FCST UPLOAD" xfId="6821" xr:uid="{00000000-0005-0000-0000-0000011C0000}"/>
    <cellStyle name="Normal 2 2 3 20" xfId="6822" xr:uid="{00000000-0005-0000-0000-0000021C0000}"/>
    <cellStyle name="Normal 2 2 3 21" xfId="6823" xr:uid="{00000000-0005-0000-0000-0000031C0000}"/>
    <cellStyle name="Normal 2 2 3 22" xfId="6824" xr:uid="{00000000-0005-0000-0000-0000041C0000}"/>
    <cellStyle name="Normal 2 2 3 23" xfId="6825" xr:uid="{00000000-0005-0000-0000-0000051C0000}"/>
    <cellStyle name="Normal 2 2 3 24" xfId="6826" xr:uid="{00000000-0005-0000-0000-0000061C0000}"/>
    <cellStyle name="Normal 2 2 3 25" xfId="6827" xr:uid="{00000000-0005-0000-0000-0000071C0000}"/>
    <cellStyle name="Normal 2 2 3 26" xfId="6828" xr:uid="{00000000-0005-0000-0000-0000081C0000}"/>
    <cellStyle name="Normal 2 2 3 27" xfId="6829" xr:uid="{00000000-0005-0000-0000-0000091C0000}"/>
    <cellStyle name="Normal 2 2 3 28" xfId="6830" xr:uid="{00000000-0005-0000-0000-00000A1C0000}"/>
    <cellStyle name="Normal 2 2 3 29" xfId="6831" xr:uid="{00000000-0005-0000-0000-00000B1C0000}"/>
    <cellStyle name="Normal 2 2 3 3" xfId="6832" xr:uid="{00000000-0005-0000-0000-00000C1C0000}"/>
    <cellStyle name="Normal 2 2 3 3 2" xfId="6833" xr:uid="{00000000-0005-0000-0000-00000D1C0000}"/>
    <cellStyle name="Normal 2 2 3 3 2 2" xfId="6834" xr:uid="{00000000-0005-0000-0000-00000E1C0000}"/>
    <cellStyle name="Normal 2 2 3 3 2 3" xfId="6835" xr:uid="{00000000-0005-0000-0000-00000F1C0000}"/>
    <cellStyle name="Normal 2 2 3 3 2_ELEC SAP FCST UPLOAD" xfId="6836" xr:uid="{00000000-0005-0000-0000-0000101C0000}"/>
    <cellStyle name="Normal 2 2 3 3 3" xfId="6837" xr:uid="{00000000-0005-0000-0000-0000111C0000}"/>
    <cellStyle name="Normal 2 2 3 3 4" xfId="6838" xr:uid="{00000000-0005-0000-0000-0000121C0000}"/>
    <cellStyle name="Normal 2 2 3 3 5" xfId="6839" xr:uid="{00000000-0005-0000-0000-0000131C0000}"/>
    <cellStyle name="Normal 2 2 3 3 6" xfId="6840" xr:uid="{00000000-0005-0000-0000-0000141C0000}"/>
    <cellStyle name="Normal 2 2 3 3_ELEC SAP FCST UPLOAD" xfId="6841" xr:uid="{00000000-0005-0000-0000-0000151C0000}"/>
    <cellStyle name="Normal 2 2 3 30" xfId="6842" xr:uid="{00000000-0005-0000-0000-0000161C0000}"/>
    <cellStyle name="Normal 2 2 3 31" xfId="6843" xr:uid="{00000000-0005-0000-0000-0000171C0000}"/>
    <cellStyle name="Normal 2 2 3 32" xfId="6844" xr:uid="{00000000-0005-0000-0000-0000181C0000}"/>
    <cellStyle name="Normal 2 2 3 33" xfId="6845" xr:uid="{00000000-0005-0000-0000-0000191C0000}"/>
    <cellStyle name="Normal 2 2 3 34" xfId="6846" xr:uid="{00000000-0005-0000-0000-00001A1C0000}"/>
    <cellStyle name="Normal 2 2 3 35" xfId="6847" xr:uid="{00000000-0005-0000-0000-00001B1C0000}"/>
    <cellStyle name="Normal 2 2 3 36" xfId="6848" xr:uid="{00000000-0005-0000-0000-00001C1C0000}"/>
    <cellStyle name="Normal 2 2 3 37" xfId="6849" xr:uid="{00000000-0005-0000-0000-00001D1C0000}"/>
    <cellStyle name="Normal 2 2 3 38" xfId="6850" xr:uid="{00000000-0005-0000-0000-00001E1C0000}"/>
    <cellStyle name="Normal 2 2 3 39" xfId="6851" xr:uid="{00000000-0005-0000-0000-00001F1C0000}"/>
    <cellStyle name="Normal 2 2 3 4" xfId="6852" xr:uid="{00000000-0005-0000-0000-0000201C0000}"/>
    <cellStyle name="Normal 2 2 3 4 2" xfId="6853" xr:uid="{00000000-0005-0000-0000-0000211C0000}"/>
    <cellStyle name="Normal 2 2 3 4 3" xfId="6854" xr:uid="{00000000-0005-0000-0000-0000221C0000}"/>
    <cellStyle name="Normal 2 2 3 4_ELEC SAP FCST UPLOAD" xfId="6855" xr:uid="{00000000-0005-0000-0000-0000231C0000}"/>
    <cellStyle name="Normal 2 2 3 40" xfId="6856" xr:uid="{00000000-0005-0000-0000-0000241C0000}"/>
    <cellStyle name="Normal 2 2 3 41" xfId="6857" xr:uid="{00000000-0005-0000-0000-0000251C0000}"/>
    <cellStyle name="Normal 2 2 3 42" xfId="6858" xr:uid="{00000000-0005-0000-0000-0000261C0000}"/>
    <cellStyle name="Normal 2 2 3 43" xfId="6859" xr:uid="{00000000-0005-0000-0000-0000271C0000}"/>
    <cellStyle name="Normal 2 2 3 44" xfId="6860" xr:uid="{00000000-0005-0000-0000-0000281C0000}"/>
    <cellStyle name="Normal 2 2 3 45" xfId="6861" xr:uid="{00000000-0005-0000-0000-0000291C0000}"/>
    <cellStyle name="Normal 2 2 3 46" xfId="6862" xr:uid="{00000000-0005-0000-0000-00002A1C0000}"/>
    <cellStyle name="Normal 2 2 3 47" xfId="6863" xr:uid="{00000000-0005-0000-0000-00002B1C0000}"/>
    <cellStyle name="Normal 2 2 3 48" xfId="6864" xr:uid="{00000000-0005-0000-0000-00002C1C0000}"/>
    <cellStyle name="Normal 2 2 3 49" xfId="6865" xr:uid="{00000000-0005-0000-0000-00002D1C0000}"/>
    <cellStyle name="Normal 2 2 3 5" xfId="6866" xr:uid="{00000000-0005-0000-0000-00002E1C0000}"/>
    <cellStyle name="Normal 2 2 3 50" xfId="6867" xr:uid="{00000000-0005-0000-0000-00002F1C0000}"/>
    <cellStyle name="Normal 2 2 3 51" xfId="6868" xr:uid="{00000000-0005-0000-0000-0000301C0000}"/>
    <cellStyle name="Normal 2 2 3 52" xfId="6869" xr:uid="{00000000-0005-0000-0000-0000311C0000}"/>
    <cellStyle name="Normal 2 2 3 53" xfId="6870" xr:uid="{00000000-0005-0000-0000-0000321C0000}"/>
    <cellStyle name="Normal 2 2 3 54" xfId="6871" xr:uid="{00000000-0005-0000-0000-0000331C0000}"/>
    <cellStyle name="Normal 2 2 3 55" xfId="6872" xr:uid="{00000000-0005-0000-0000-0000341C0000}"/>
    <cellStyle name="Normal 2 2 3 56" xfId="6873" xr:uid="{00000000-0005-0000-0000-0000351C0000}"/>
    <cellStyle name="Normal 2 2 3 57" xfId="6874" xr:uid="{00000000-0005-0000-0000-0000361C0000}"/>
    <cellStyle name="Normal 2 2 3 58" xfId="6875" xr:uid="{00000000-0005-0000-0000-0000371C0000}"/>
    <cellStyle name="Normal 2 2 3 59" xfId="6876" xr:uid="{00000000-0005-0000-0000-0000381C0000}"/>
    <cellStyle name="Normal 2 2 3 6" xfId="6877" xr:uid="{00000000-0005-0000-0000-0000391C0000}"/>
    <cellStyle name="Normal 2 2 3 60" xfId="6878" xr:uid="{00000000-0005-0000-0000-00003A1C0000}"/>
    <cellStyle name="Normal 2 2 3 61" xfId="6879" xr:uid="{00000000-0005-0000-0000-00003B1C0000}"/>
    <cellStyle name="Normal 2 2 3 62" xfId="6880" xr:uid="{00000000-0005-0000-0000-00003C1C0000}"/>
    <cellStyle name="Normal 2 2 3 63" xfId="6881" xr:uid="{00000000-0005-0000-0000-00003D1C0000}"/>
    <cellStyle name="Normal 2 2 3 64" xfId="6882" xr:uid="{00000000-0005-0000-0000-00003E1C0000}"/>
    <cellStyle name="Normal 2 2 3 65" xfId="6883" xr:uid="{00000000-0005-0000-0000-00003F1C0000}"/>
    <cellStyle name="Normal 2 2 3 66" xfId="6884" xr:uid="{00000000-0005-0000-0000-0000401C0000}"/>
    <cellStyle name="Normal 2 2 3 67" xfId="6885" xr:uid="{00000000-0005-0000-0000-0000411C0000}"/>
    <cellStyle name="Normal 2 2 3 68" xfId="6886" xr:uid="{00000000-0005-0000-0000-0000421C0000}"/>
    <cellStyle name="Normal 2 2 3 69" xfId="6887" xr:uid="{00000000-0005-0000-0000-0000431C0000}"/>
    <cellStyle name="Normal 2 2 3 7" xfId="6888" xr:uid="{00000000-0005-0000-0000-0000441C0000}"/>
    <cellStyle name="Normal 2 2 3 70" xfId="6889" xr:uid="{00000000-0005-0000-0000-0000451C0000}"/>
    <cellStyle name="Normal 2 2 3 71" xfId="6890" xr:uid="{00000000-0005-0000-0000-0000461C0000}"/>
    <cellStyle name="Normal 2 2 3 72" xfId="6891" xr:uid="{00000000-0005-0000-0000-0000471C0000}"/>
    <cellStyle name="Normal 2 2 3 73" xfId="6892" xr:uid="{00000000-0005-0000-0000-0000481C0000}"/>
    <cellStyle name="Normal 2 2 3 74" xfId="6893" xr:uid="{00000000-0005-0000-0000-0000491C0000}"/>
    <cellStyle name="Normal 2 2 3 75" xfId="6894" xr:uid="{00000000-0005-0000-0000-00004A1C0000}"/>
    <cellStyle name="Normal 2 2 3 76" xfId="6895" xr:uid="{00000000-0005-0000-0000-00004B1C0000}"/>
    <cellStyle name="Normal 2 2 3 77" xfId="6896" xr:uid="{00000000-0005-0000-0000-00004C1C0000}"/>
    <cellStyle name="Normal 2 2 3 78" xfId="6897" xr:uid="{00000000-0005-0000-0000-00004D1C0000}"/>
    <cellStyle name="Normal 2 2 3 79" xfId="6898" xr:uid="{00000000-0005-0000-0000-00004E1C0000}"/>
    <cellStyle name="Normal 2 2 3 8" xfId="6899" xr:uid="{00000000-0005-0000-0000-00004F1C0000}"/>
    <cellStyle name="Normal 2 2 3 8 10" xfId="6900" xr:uid="{00000000-0005-0000-0000-0000501C0000}"/>
    <cellStyle name="Normal 2 2 3 8 11" xfId="6901" xr:uid="{00000000-0005-0000-0000-0000511C0000}"/>
    <cellStyle name="Normal 2 2 3 8 12" xfId="6902" xr:uid="{00000000-0005-0000-0000-0000521C0000}"/>
    <cellStyle name="Normal 2 2 3 8 13" xfId="6903" xr:uid="{00000000-0005-0000-0000-0000531C0000}"/>
    <cellStyle name="Normal 2 2 3 8 14" xfId="6904" xr:uid="{00000000-0005-0000-0000-0000541C0000}"/>
    <cellStyle name="Normal 2 2 3 8 15" xfId="6905" xr:uid="{00000000-0005-0000-0000-0000551C0000}"/>
    <cellStyle name="Normal 2 2 3 8 16" xfId="6906" xr:uid="{00000000-0005-0000-0000-0000561C0000}"/>
    <cellStyle name="Normal 2 2 3 8 17" xfId="6907" xr:uid="{00000000-0005-0000-0000-0000571C0000}"/>
    <cellStyle name="Normal 2 2 3 8 2" xfId="6908" xr:uid="{00000000-0005-0000-0000-0000581C0000}"/>
    <cellStyle name="Normal 2 2 3 8 3" xfId="6909" xr:uid="{00000000-0005-0000-0000-0000591C0000}"/>
    <cellStyle name="Normal 2 2 3 8 4" xfId="6910" xr:uid="{00000000-0005-0000-0000-00005A1C0000}"/>
    <cellStyle name="Normal 2 2 3 8 5" xfId="6911" xr:uid="{00000000-0005-0000-0000-00005B1C0000}"/>
    <cellStyle name="Normal 2 2 3 8 6" xfId="6912" xr:uid="{00000000-0005-0000-0000-00005C1C0000}"/>
    <cellStyle name="Normal 2 2 3 8 7" xfId="6913" xr:uid="{00000000-0005-0000-0000-00005D1C0000}"/>
    <cellStyle name="Normal 2 2 3 8 8" xfId="6914" xr:uid="{00000000-0005-0000-0000-00005E1C0000}"/>
    <cellStyle name="Normal 2 2 3 8 9" xfId="6915" xr:uid="{00000000-0005-0000-0000-00005F1C0000}"/>
    <cellStyle name="Normal 2 2 3 80" xfId="6916" xr:uid="{00000000-0005-0000-0000-0000601C0000}"/>
    <cellStyle name="Normal 2 2 3 81" xfId="6917" xr:uid="{00000000-0005-0000-0000-0000611C0000}"/>
    <cellStyle name="Normal 2 2 3 82" xfId="6918" xr:uid="{00000000-0005-0000-0000-0000621C0000}"/>
    <cellStyle name="Normal 2 2 3 83" xfId="6919" xr:uid="{00000000-0005-0000-0000-0000631C0000}"/>
    <cellStyle name="Normal 2 2 3 84" xfId="6920" xr:uid="{00000000-0005-0000-0000-0000641C0000}"/>
    <cellStyle name="Normal 2 2 3 9" xfId="6921" xr:uid="{00000000-0005-0000-0000-0000651C0000}"/>
    <cellStyle name="Normal 2 2 3_ELEC SAP FCST UPLOAD" xfId="6922" xr:uid="{00000000-0005-0000-0000-0000661C0000}"/>
    <cellStyle name="Normal 2 2 30" xfId="6923" xr:uid="{00000000-0005-0000-0000-0000671C0000}"/>
    <cellStyle name="Normal 2 2 31" xfId="6924" xr:uid="{00000000-0005-0000-0000-0000681C0000}"/>
    <cellStyle name="Normal 2 2 32" xfId="6925" xr:uid="{00000000-0005-0000-0000-0000691C0000}"/>
    <cellStyle name="Normal 2 2 33" xfId="6926" xr:uid="{00000000-0005-0000-0000-00006A1C0000}"/>
    <cellStyle name="Normal 2 2 34" xfId="6927" xr:uid="{00000000-0005-0000-0000-00006B1C0000}"/>
    <cellStyle name="Normal 2 2 35" xfId="6928" xr:uid="{00000000-0005-0000-0000-00006C1C0000}"/>
    <cellStyle name="Normal 2 2 36" xfId="6929" xr:uid="{00000000-0005-0000-0000-00006D1C0000}"/>
    <cellStyle name="Normal 2 2 37" xfId="6930" xr:uid="{00000000-0005-0000-0000-00006E1C0000}"/>
    <cellStyle name="Normal 2 2 38" xfId="6931" xr:uid="{00000000-0005-0000-0000-00006F1C0000}"/>
    <cellStyle name="Normal 2 2 39" xfId="6932" xr:uid="{00000000-0005-0000-0000-0000701C0000}"/>
    <cellStyle name="Normal 2 2 4" xfId="6933" xr:uid="{00000000-0005-0000-0000-0000711C0000}"/>
    <cellStyle name="Normal 2 2 4 10" xfId="6934" xr:uid="{00000000-0005-0000-0000-0000721C0000}"/>
    <cellStyle name="Normal 2 2 4 11" xfId="6935" xr:uid="{00000000-0005-0000-0000-0000731C0000}"/>
    <cellStyle name="Normal 2 2 4 12" xfId="6936" xr:uid="{00000000-0005-0000-0000-0000741C0000}"/>
    <cellStyle name="Normal 2 2 4 13" xfId="6937" xr:uid="{00000000-0005-0000-0000-0000751C0000}"/>
    <cellStyle name="Normal 2 2 4 14" xfId="6938" xr:uid="{00000000-0005-0000-0000-0000761C0000}"/>
    <cellStyle name="Normal 2 2 4 15" xfId="6939" xr:uid="{00000000-0005-0000-0000-0000771C0000}"/>
    <cellStyle name="Normal 2 2 4 16" xfId="6940" xr:uid="{00000000-0005-0000-0000-0000781C0000}"/>
    <cellStyle name="Normal 2 2 4 17" xfId="6941" xr:uid="{00000000-0005-0000-0000-0000791C0000}"/>
    <cellStyle name="Normal 2 2 4 18" xfId="6942" xr:uid="{00000000-0005-0000-0000-00007A1C0000}"/>
    <cellStyle name="Normal 2 2 4 19" xfId="6943" xr:uid="{00000000-0005-0000-0000-00007B1C0000}"/>
    <cellStyle name="Normal 2 2 4 2" xfId="6944" xr:uid="{00000000-0005-0000-0000-00007C1C0000}"/>
    <cellStyle name="Normal 2 2 4 2 10" xfId="6945" xr:uid="{00000000-0005-0000-0000-00007D1C0000}"/>
    <cellStyle name="Normal 2 2 4 2 11" xfId="6946" xr:uid="{00000000-0005-0000-0000-00007E1C0000}"/>
    <cellStyle name="Normal 2 2 4 2 12" xfId="6947" xr:uid="{00000000-0005-0000-0000-00007F1C0000}"/>
    <cellStyle name="Normal 2 2 4 2 13" xfId="6948" xr:uid="{00000000-0005-0000-0000-0000801C0000}"/>
    <cellStyle name="Normal 2 2 4 2 14" xfId="6949" xr:uid="{00000000-0005-0000-0000-0000811C0000}"/>
    <cellStyle name="Normal 2 2 4 2 15" xfId="6950" xr:uid="{00000000-0005-0000-0000-0000821C0000}"/>
    <cellStyle name="Normal 2 2 4 2 16" xfId="6951" xr:uid="{00000000-0005-0000-0000-0000831C0000}"/>
    <cellStyle name="Normal 2 2 4 2 17" xfId="6952" xr:uid="{00000000-0005-0000-0000-0000841C0000}"/>
    <cellStyle name="Normal 2 2 4 2 18" xfId="6953" xr:uid="{00000000-0005-0000-0000-0000851C0000}"/>
    <cellStyle name="Normal 2 2 4 2 19" xfId="6954" xr:uid="{00000000-0005-0000-0000-0000861C0000}"/>
    <cellStyle name="Normal 2 2 4 2 2" xfId="6955" xr:uid="{00000000-0005-0000-0000-0000871C0000}"/>
    <cellStyle name="Normal 2 2 4 2 2 10" xfId="6956" xr:uid="{00000000-0005-0000-0000-0000881C0000}"/>
    <cellStyle name="Normal 2 2 4 2 2 11" xfId="6957" xr:uid="{00000000-0005-0000-0000-0000891C0000}"/>
    <cellStyle name="Normal 2 2 4 2 2 12" xfId="6958" xr:uid="{00000000-0005-0000-0000-00008A1C0000}"/>
    <cellStyle name="Normal 2 2 4 2 2 13" xfId="6959" xr:uid="{00000000-0005-0000-0000-00008B1C0000}"/>
    <cellStyle name="Normal 2 2 4 2 2 14" xfId="6960" xr:uid="{00000000-0005-0000-0000-00008C1C0000}"/>
    <cellStyle name="Normal 2 2 4 2 2 15" xfId="6961" xr:uid="{00000000-0005-0000-0000-00008D1C0000}"/>
    <cellStyle name="Normal 2 2 4 2 2 16" xfId="6962" xr:uid="{00000000-0005-0000-0000-00008E1C0000}"/>
    <cellStyle name="Normal 2 2 4 2 2 17" xfId="6963" xr:uid="{00000000-0005-0000-0000-00008F1C0000}"/>
    <cellStyle name="Normal 2 2 4 2 2 18" xfId="6964" xr:uid="{00000000-0005-0000-0000-0000901C0000}"/>
    <cellStyle name="Normal 2 2 4 2 2 19" xfId="6965" xr:uid="{00000000-0005-0000-0000-0000911C0000}"/>
    <cellStyle name="Normal 2 2 4 2 2 2" xfId="6966" xr:uid="{00000000-0005-0000-0000-0000921C0000}"/>
    <cellStyle name="Normal 2 2 4 2 2 2 10" xfId="6967" xr:uid="{00000000-0005-0000-0000-0000931C0000}"/>
    <cellStyle name="Normal 2 2 4 2 2 2 11" xfId="6968" xr:uid="{00000000-0005-0000-0000-0000941C0000}"/>
    <cellStyle name="Normal 2 2 4 2 2 2 12" xfId="6969" xr:uid="{00000000-0005-0000-0000-0000951C0000}"/>
    <cellStyle name="Normal 2 2 4 2 2 2 13" xfId="6970" xr:uid="{00000000-0005-0000-0000-0000961C0000}"/>
    <cellStyle name="Normal 2 2 4 2 2 2 14" xfId="6971" xr:uid="{00000000-0005-0000-0000-0000971C0000}"/>
    <cellStyle name="Normal 2 2 4 2 2 2 15" xfId="6972" xr:uid="{00000000-0005-0000-0000-0000981C0000}"/>
    <cellStyle name="Normal 2 2 4 2 2 2 16" xfId="6973" xr:uid="{00000000-0005-0000-0000-0000991C0000}"/>
    <cellStyle name="Normal 2 2 4 2 2 2 17" xfId="6974" xr:uid="{00000000-0005-0000-0000-00009A1C0000}"/>
    <cellStyle name="Normal 2 2 4 2 2 2 18" xfId="6975" xr:uid="{00000000-0005-0000-0000-00009B1C0000}"/>
    <cellStyle name="Normal 2 2 4 2 2 2 2" xfId="6976" xr:uid="{00000000-0005-0000-0000-00009C1C0000}"/>
    <cellStyle name="Normal 2 2 4 2 2 2 3" xfId="6977" xr:uid="{00000000-0005-0000-0000-00009D1C0000}"/>
    <cellStyle name="Normal 2 2 4 2 2 2 4" xfId="6978" xr:uid="{00000000-0005-0000-0000-00009E1C0000}"/>
    <cellStyle name="Normal 2 2 4 2 2 2 5" xfId="6979" xr:uid="{00000000-0005-0000-0000-00009F1C0000}"/>
    <cellStyle name="Normal 2 2 4 2 2 2 6" xfId="6980" xr:uid="{00000000-0005-0000-0000-0000A01C0000}"/>
    <cellStyle name="Normal 2 2 4 2 2 2 7" xfId="6981" xr:uid="{00000000-0005-0000-0000-0000A11C0000}"/>
    <cellStyle name="Normal 2 2 4 2 2 2 8" xfId="6982" xr:uid="{00000000-0005-0000-0000-0000A21C0000}"/>
    <cellStyle name="Normal 2 2 4 2 2 2 9" xfId="6983" xr:uid="{00000000-0005-0000-0000-0000A31C0000}"/>
    <cellStyle name="Normal 2 2 4 2 2 3" xfId="6984" xr:uid="{00000000-0005-0000-0000-0000A41C0000}"/>
    <cellStyle name="Normal 2 2 4 2 2 4" xfId="6985" xr:uid="{00000000-0005-0000-0000-0000A51C0000}"/>
    <cellStyle name="Normal 2 2 4 2 2 5" xfId="6986" xr:uid="{00000000-0005-0000-0000-0000A61C0000}"/>
    <cellStyle name="Normal 2 2 4 2 2 6" xfId="6987" xr:uid="{00000000-0005-0000-0000-0000A71C0000}"/>
    <cellStyle name="Normal 2 2 4 2 2 7" xfId="6988" xr:uid="{00000000-0005-0000-0000-0000A81C0000}"/>
    <cellStyle name="Normal 2 2 4 2 2 8" xfId="6989" xr:uid="{00000000-0005-0000-0000-0000A91C0000}"/>
    <cellStyle name="Normal 2 2 4 2 2 9" xfId="6990" xr:uid="{00000000-0005-0000-0000-0000AA1C0000}"/>
    <cellStyle name="Normal 2 2 4 2 2_ELEC SAP FCST UPLOAD" xfId="6991" xr:uid="{00000000-0005-0000-0000-0000AB1C0000}"/>
    <cellStyle name="Normal 2 2 4 2 20" xfId="6992" xr:uid="{00000000-0005-0000-0000-0000AC1C0000}"/>
    <cellStyle name="Normal 2 2 4 2 21" xfId="6993" xr:uid="{00000000-0005-0000-0000-0000AD1C0000}"/>
    <cellStyle name="Normal 2 2 4 2 22" xfId="6994" xr:uid="{00000000-0005-0000-0000-0000AE1C0000}"/>
    <cellStyle name="Normal 2 2 4 2 3" xfId="6995" xr:uid="{00000000-0005-0000-0000-0000AF1C0000}"/>
    <cellStyle name="Normal 2 2 4 2 4" xfId="6996" xr:uid="{00000000-0005-0000-0000-0000B01C0000}"/>
    <cellStyle name="Normal 2 2 4 2 5" xfId="6997" xr:uid="{00000000-0005-0000-0000-0000B11C0000}"/>
    <cellStyle name="Normal 2 2 4 2 6" xfId="6998" xr:uid="{00000000-0005-0000-0000-0000B21C0000}"/>
    <cellStyle name="Normal 2 2 4 2 7" xfId="6999" xr:uid="{00000000-0005-0000-0000-0000B31C0000}"/>
    <cellStyle name="Normal 2 2 4 2 8" xfId="7000" xr:uid="{00000000-0005-0000-0000-0000B41C0000}"/>
    <cellStyle name="Normal 2 2 4 2 9" xfId="7001" xr:uid="{00000000-0005-0000-0000-0000B51C0000}"/>
    <cellStyle name="Normal 2 2 4 2_ELEC SAP FCST UPLOAD" xfId="7002" xr:uid="{00000000-0005-0000-0000-0000B61C0000}"/>
    <cellStyle name="Normal 2 2 4 20" xfId="7003" xr:uid="{00000000-0005-0000-0000-0000B71C0000}"/>
    <cellStyle name="Normal 2 2 4 21" xfId="7004" xr:uid="{00000000-0005-0000-0000-0000B81C0000}"/>
    <cellStyle name="Normal 2 2 4 22" xfId="7005" xr:uid="{00000000-0005-0000-0000-0000B91C0000}"/>
    <cellStyle name="Normal 2 2 4 23" xfId="7006" xr:uid="{00000000-0005-0000-0000-0000BA1C0000}"/>
    <cellStyle name="Normal 2 2 4 24" xfId="7007" xr:uid="{00000000-0005-0000-0000-0000BB1C0000}"/>
    <cellStyle name="Normal 2 2 4 25" xfId="7008" xr:uid="{00000000-0005-0000-0000-0000BC1C0000}"/>
    <cellStyle name="Normal 2 2 4 26" xfId="7009" xr:uid="{00000000-0005-0000-0000-0000BD1C0000}"/>
    <cellStyle name="Normal 2 2 4 27" xfId="7010" xr:uid="{00000000-0005-0000-0000-0000BE1C0000}"/>
    <cellStyle name="Normal 2 2 4 28" xfId="7011" xr:uid="{00000000-0005-0000-0000-0000BF1C0000}"/>
    <cellStyle name="Normal 2 2 4 29" xfId="7012" xr:uid="{00000000-0005-0000-0000-0000C01C0000}"/>
    <cellStyle name="Normal 2 2 4 3" xfId="7013" xr:uid="{00000000-0005-0000-0000-0000C11C0000}"/>
    <cellStyle name="Normal 2 2 4 3 2" xfId="7014" xr:uid="{00000000-0005-0000-0000-0000C21C0000}"/>
    <cellStyle name="Normal 2 2 4 3 3" xfId="7015" xr:uid="{00000000-0005-0000-0000-0000C31C0000}"/>
    <cellStyle name="Normal 2 2 4 3_ELEC SAP FCST UPLOAD" xfId="7016" xr:uid="{00000000-0005-0000-0000-0000C41C0000}"/>
    <cellStyle name="Normal 2 2 4 30" xfId="7017" xr:uid="{00000000-0005-0000-0000-0000C51C0000}"/>
    <cellStyle name="Normal 2 2 4 31" xfId="7018" xr:uid="{00000000-0005-0000-0000-0000C61C0000}"/>
    <cellStyle name="Normal 2 2 4 32" xfId="7019" xr:uid="{00000000-0005-0000-0000-0000C71C0000}"/>
    <cellStyle name="Normal 2 2 4 33" xfId="7020" xr:uid="{00000000-0005-0000-0000-0000C81C0000}"/>
    <cellStyle name="Normal 2 2 4 34" xfId="7021" xr:uid="{00000000-0005-0000-0000-0000C91C0000}"/>
    <cellStyle name="Normal 2 2 4 35" xfId="7022" xr:uid="{00000000-0005-0000-0000-0000CA1C0000}"/>
    <cellStyle name="Normal 2 2 4 36" xfId="7023" xr:uid="{00000000-0005-0000-0000-0000CB1C0000}"/>
    <cellStyle name="Normal 2 2 4 37" xfId="7024" xr:uid="{00000000-0005-0000-0000-0000CC1C0000}"/>
    <cellStyle name="Normal 2 2 4 38" xfId="7025" xr:uid="{00000000-0005-0000-0000-0000CD1C0000}"/>
    <cellStyle name="Normal 2 2 4 39" xfId="7026" xr:uid="{00000000-0005-0000-0000-0000CE1C0000}"/>
    <cellStyle name="Normal 2 2 4 4" xfId="7027" xr:uid="{00000000-0005-0000-0000-0000CF1C0000}"/>
    <cellStyle name="Normal 2 2 4 40" xfId="7028" xr:uid="{00000000-0005-0000-0000-0000D01C0000}"/>
    <cellStyle name="Normal 2 2 4 41" xfId="7029" xr:uid="{00000000-0005-0000-0000-0000D11C0000}"/>
    <cellStyle name="Normal 2 2 4 42" xfId="7030" xr:uid="{00000000-0005-0000-0000-0000D21C0000}"/>
    <cellStyle name="Normal 2 2 4 43" xfId="7031" xr:uid="{00000000-0005-0000-0000-0000D31C0000}"/>
    <cellStyle name="Normal 2 2 4 44" xfId="7032" xr:uid="{00000000-0005-0000-0000-0000D41C0000}"/>
    <cellStyle name="Normal 2 2 4 45" xfId="7033" xr:uid="{00000000-0005-0000-0000-0000D51C0000}"/>
    <cellStyle name="Normal 2 2 4 46" xfId="7034" xr:uid="{00000000-0005-0000-0000-0000D61C0000}"/>
    <cellStyle name="Normal 2 2 4 47" xfId="7035" xr:uid="{00000000-0005-0000-0000-0000D71C0000}"/>
    <cellStyle name="Normal 2 2 4 48" xfId="7036" xr:uid="{00000000-0005-0000-0000-0000D81C0000}"/>
    <cellStyle name="Normal 2 2 4 49" xfId="7037" xr:uid="{00000000-0005-0000-0000-0000D91C0000}"/>
    <cellStyle name="Normal 2 2 4 5" xfId="7038" xr:uid="{00000000-0005-0000-0000-0000DA1C0000}"/>
    <cellStyle name="Normal 2 2 4 50" xfId="7039" xr:uid="{00000000-0005-0000-0000-0000DB1C0000}"/>
    <cellStyle name="Normal 2 2 4 51" xfId="7040" xr:uid="{00000000-0005-0000-0000-0000DC1C0000}"/>
    <cellStyle name="Normal 2 2 4 52" xfId="7041" xr:uid="{00000000-0005-0000-0000-0000DD1C0000}"/>
    <cellStyle name="Normal 2 2 4 53" xfId="7042" xr:uid="{00000000-0005-0000-0000-0000DE1C0000}"/>
    <cellStyle name="Normal 2 2 4 54" xfId="7043" xr:uid="{00000000-0005-0000-0000-0000DF1C0000}"/>
    <cellStyle name="Normal 2 2 4 55" xfId="7044" xr:uid="{00000000-0005-0000-0000-0000E01C0000}"/>
    <cellStyle name="Normal 2 2 4 56" xfId="7045" xr:uid="{00000000-0005-0000-0000-0000E11C0000}"/>
    <cellStyle name="Normal 2 2 4 57" xfId="7046" xr:uid="{00000000-0005-0000-0000-0000E21C0000}"/>
    <cellStyle name="Normal 2 2 4 58" xfId="7047" xr:uid="{00000000-0005-0000-0000-0000E31C0000}"/>
    <cellStyle name="Normal 2 2 4 59" xfId="7048" xr:uid="{00000000-0005-0000-0000-0000E41C0000}"/>
    <cellStyle name="Normal 2 2 4 6" xfId="7049" xr:uid="{00000000-0005-0000-0000-0000E51C0000}"/>
    <cellStyle name="Normal 2 2 4 60" xfId="7050" xr:uid="{00000000-0005-0000-0000-0000E61C0000}"/>
    <cellStyle name="Normal 2 2 4 61" xfId="7051" xr:uid="{00000000-0005-0000-0000-0000E71C0000}"/>
    <cellStyle name="Normal 2 2 4 62" xfId="7052" xr:uid="{00000000-0005-0000-0000-0000E81C0000}"/>
    <cellStyle name="Normal 2 2 4 63" xfId="7053" xr:uid="{00000000-0005-0000-0000-0000E91C0000}"/>
    <cellStyle name="Normal 2 2 4 64" xfId="7054" xr:uid="{00000000-0005-0000-0000-0000EA1C0000}"/>
    <cellStyle name="Normal 2 2 4 65" xfId="7055" xr:uid="{00000000-0005-0000-0000-0000EB1C0000}"/>
    <cellStyle name="Normal 2 2 4 66" xfId="7056" xr:uid="{00000000-0005-0000-0000-0000EC1C0000}"/>
    <cellStyle name="Normal 2 2 4 67" xfId="7057" xr:uid="{00000000-0005-0000-0000-0000ED1C0000}"/>
    <cellStyle name="Normal 2 2 4 68" xfId="7058" xr:uid="{00000000-0005-0000-0000-0000EE1C0000}"/>
    <cellStyle name="Normal 2 2 4 69" xfId="7059" xr:uid="{00000000-0005-0000-0000-0000EF1C0000}"/>
    <cellStyle name="Normal 2 2 4 7" xfId="7060" xr:uid="{00000000-0005-0000-0000-0000F01C0000}"/>
    <cellStyle name="Normal 2 2 4 7 10" xfId="7061" xr:uid="{00000000-0005-0000-0000-0000F11C0000}"/>
    <cellStyle name="Normal 2 2 4 7 11" xfId="7062" xr:uid="{00000000-0005-0000-0000-0000F21C0000}"/>
    <cellStyle name="Normal 2 2 4 7 12" xfId="7063" xr:uid="{00000000-0005-0000-0000-0000F31C0000}"/>
    <cellStyle name="Normal 2 2 4 7 13" xfId="7064" xr:uid="{00000000-0005-0000-0000-0000F41C0000}"/>
    <cellStyle name="Normal 2 2 4 7 14" xfId="7065" xr:uid="{00000000-0005-0000-0000-0000F51C0000}"/>
    <cellStyle name="Normal 2 2 4 7 15" xfId="7066" xr:uid="{00000000-0005-0000-0000-0000F61C0000}"/>
    <cellStyle name="Normal 2 2 4 7 16" xfId="7067" xr:uid="{00000000-0005-0000-0000-0000F71C0000}"/>
    <cellStyle name="Normal 2 2 4 7 17" xfId="7068" xr:uid="{00000000-0005-0000-0000-0000F81C0000}"/>
    <cellStyle name="Normal 2 2 4 7 2" xfId="7069" xr:uid="{00000000-0005-0000-0000-0000F91C0000}"/>
    <cellStyle name="Normal 2 2 4 7 3" xfId="7070" xr:uid="{00000000-0005-0000-0000-0000FA1C0000}"/>
    <cellStyle name="Normal 2 2 4 7 4" xfId="7071" xr:uid="{00000000-0005-0000-0000-0000FB1C0000}"/>
    <cellStyle name="Normal 2 2 4 7 5" xfId="7072" xr:uid="{00000000-0005-0000-0000-0000FC1C0000}"/>
    <cellStyle name="Normal 2 2 4 7 6" xfId="7073" xr:uid="{00000000-0005-0000-0000-0000FD1C0000}"/>
    <cellStyle name="Normal 2 2 4 7 7" xfId="7074" xr:uid="{00000000-0005-0000-0000-0000FE1C0000}"/>
    <cellStyle name="Normal 2 2 4 7 8" xfId="7075" xr:uid="{00000000-0005-0000-0000-0000FF1C0000}"/>
    <cellStyle name="Normal 2 2 4 7 9" xfId="7076" xr:uid="{00000000-0005-0000-0000-0000001D0000}"/>
    <cellStyle name="Normal 2 2 4 70" xfId="7077" xr:uid="{00000000-0005-0000-0000-0000011D0000}"/>
    <cellStyle name="Normal 2 2 4 71" xfId="7078" xr:uid="{00000000-0005-0000-0000-0000021D0000}"/>
    <cellStyle name="Normal 2 2 4 72" xfId="7079" xr:uid="{00000000-0005-0000-0000-0000031D0000}"/>
    <cellStyle name="Normal 2 2 4 73" xfId="7080" xr:uid="{00000000-0005-0000-0000-0000041D0000}"/>
    <cellStyle name="Normal 2 2 4 74" xfId="7081" xr:uid="{00000000-0005-0000-0000-0000051D0000}"/>
    <cellStyle name="Normal 2 2 4 75" xfId="7082" xr:uid="{00000000-0005-0000-0000-0000061D0000}"/>
    <cellStyle name="Normal 2 2 4 76" xfId="7083" xr:uid="{00000000-0005-0000-0000-0000071D0000}"/>
    <cellStyle name="Normal 2 2 4 77" xfId="7084" xr:uid="{00000000-0005-0000-0000-0000081D0000}"/>
    <cellStyle name="Normal 2 2 4 78" xfId="7085" xr:uid="{00000000-0005-0000-0000-0000091D0000}"/>
    <cellStyle name="Normal 2 2 4 79" xfId="7086" xr:uid="{00000000-0005-0000-0000-00000A1D0000}"/>
    <cellStyle name="Normal 2 2 4 8" xfId="7087" xr:uid="{00000000-0005-0000-0000-00000B1D0000}"/>
    <cellStyle name="Normal 2 2 4 80" xfId="7088" xr:uid="{00000000-0005-0000-0000-00000C1D0000}"/>
    <cellStyle name="Normal 2 2 4 81" xfId="7089" xr:uid="{00000000-0005-0000-0000-00000D1D0000}"/>
    <cellStyle name="Normal 2 2 4 82" xfId="7090" xr:uid="{00000000-0005-0000-0000-00000E1D0000}"/>
    <cellStyle name="Normal 2 2 4 83" xfId="7091" xr:uid="{00000000-0005-0000-0000-00000F1D0000}"/>
    <cellStyle name="Normal 2 2 4 9" xfId="7092" xr:uid="{00000000-0005-0000-0000-0000101D0000}"/>
    <cellStyle name="Normal 2 2 4_ELEC SAP FCST UPLOAD" xfId="7093" xr:uid="{00000000-0005-0000-0000-0000111D0000}"/>
    <cellStyle name="Normal 2 2 40" xfId="7094" xr:uid="{00000000-0005-0000-0000-0000121D0000}"/>
    <cellStyle name="Normal 2 2 41" xfId="7095" xr:uid="{00000000-0005-0000-0000-0000131D0000}"/>
    <cellStyle name="Normal 2 2 42" xfId="7096" xr:uid="{00000000-0005-0000-0000-0000141D0000}"/>
    <cellStyle name="Normal 2 2 43" xfId="7097" xr:uid="{00000000-0005-0000-0000-0000151D0000}"/>
    <cellStyle name="Normal 2 2 44" xfId="7098" xr:uid="{00000000-0005-0000-0000-0000161D0000}"/>
    <cellStyle name="Normal 2 2 45" xfId="7099" xr:uid="{00000000-0005-0000-0000-0000171D0000}"/>
    <cellStyle name="Normal 2 2 46" xfId="7100" xr:uid="{00000000-0005-0000-0000-0000181D0000}"/>
    <cellStyle name="Normal 2 2 47" xfId="7101" xr:uid="{00000000-0005-0000-0000-0000191D0000}"/>
    <cellStyle name="Normal 2 2 48" xfId="7102" xr:uid="{00000000-0005-0000-0000-00001A1D0000}"/>
    <cellStyle name="Normal 2 2 48 10" xfId="7103" xr:uid="{00000000-0005-0000-0000-00001B1D0000}"/>
    <cellStyle name="Normal 2 2 48 11" xfId="7104" xr:uid="{00000000-0005-0000-0000-00001C1D0000}"/>
    <cellStyle name="Normal 2 2 48 12" xfId="7105" xr:uid="{00000000-0005-0000-0000-00001D1D0000}"/>
    <cellStyle name="Normal 2 2 48 13" xfId="7106" xr:uid="{00000000-0005-0000-0000-00001E1D0000}"/>
    <cellStyle name="Normal 2 2 48 14" xfId="7107" xr:uid="{00000000-0005-0000-0000-00001F1D0000}"/>
    <cellStyle name="Normal 2 2 48 15" xfId="7108" xr:uid="{00000000-0005-0000-0000-0000201D0000}"/>
    <cellStyle name="Normal 2 2 48 16" xfId="7109" xr:uid="{00000000-0005-0000-0000-0000211D0000}"/>
    <cellStyle name="Normal 2 2 48 17" xfId="7110" xr:uid="{00000000-0005-0000-0000-0000221D0000}"/>
    <cellStyle name="Normal 2 2 48 2" xfId="7111" xr:uid="{00000000-0005-0000-0000-0000231D0000}"/>
    <cellStyle name="Normal 2 2 48 3" xfId="7112" xr:uid="{00000000-0005-0000-0000-0000241D0000}"/>
    <cellStyle name="Normal 2 2 48 4" xfId="7113" xr:uid="{00000000-0005-0000-0000-0000251D0000}"/>
    <cellStyle name="Normal 2 2 48 5" xfId="7114" xr:uid="{00000000-0005-0000-0000-0000261D0000}"/>
    <cellStyle name="Normal 2 2 48 6" xfId="7115" xr:uid="{00000000-0005-0000-0000-0000271D0000}"/>
    <cellStyle name="Normal 2 2 48 7" xfId="7116" xr:uid="{00000000-0005-0000-0000-0000281D0000}"/>
    <cellStyle name="Normal 2 2 48 8" xfId="7117" xr:uid="{00000000-0005-0000-0000-0000291D0000}"/>
    <cellStyle name="Normal 2 2 48 9" xfId="7118" xr:uid="{00000000-0005-0000-0000-00002A1D0000}"/>
    <cellStyle name="Normal 2 2 49" xfId="7119" xr:uid="{00000000-0005-0000-0000-00002B1D0000}"/>
    <cellStyle name="Normal 2 2 49 10" xfId="7120" xr:uid="{00000000-0005-0000-0000-00002C1D0000}"/>
    <cellStyle name="Normal 2 2 49 11" xfId="7121" xr:uid="{00000000-0005-0000-0000-00002D1D0000}"/>
    <cellStyle name="Normal 2 2 49 12" xfId="7122" xr:uid="{00000000-0005-0000-0000-00002E1D0000}"/>
    <cellStyle name="Normal 2 2 49 13" xfId="7123" xr:uid="{00000000-0005-0000-0000-00002F1D0000}"/>
    <cellStyle name="Normal 2 2 49 14" xfId="7124" xr:uid="{00000000-0005-0000-0000-0000301D0000}"/>
    <cellStyle name="Normal 2 2 49 15" xfId="7125" xr:uid="{00000000-0005-0000-0000-0000311D0000}"/>
    <cellStyle name="Normal 2 2 49 16" xfId="7126" xr:uid="{00000000-0005-0000-0000-0000321D0000}"/>
    <cellStyle name="Normal 2 2 49 17" xfId="7127" xr:uid="{00000000-0005-0000-0000-0000331D0000}"/>
    <cellStyle name="Normal 2 2 49 2" xfId="7128" xr:uid="{00000000-0005-0000-0000-0000341D0000}"/>
    <cellStyle name="Normal 2 2 49 3" xfId="7129" xr:uid="{00000000-0005-0000-0000-0000351D0000}"/>
    <cellStyle name="Normal 2 2 49 4" xfId="7130" xr:uid="{00000000-0005-0000-0000-0000361D0000}"/>
    <cellStyle name="Normal 2 2 49 5" xfId="7131" xr:uid="{00000000-0005-0000-0000-0000371D0000}"/>
    <cellStyle name="Normal 2 2 49 6" xfId="7132" xr:uid="{00000000-0005-0000-0000-0000381D0000}"/>
    <cellStyle name="Normal 2 2 49 7" xfId="7133" xr:uid="{00000000-0005-0000-0000-0000391D0000}"/>
    <cellStyle name="Normal 2 2 49 8" xfId="7134" xr:uid="{00000000-0005-0000-0000-00003A1D0000}"/>
    <cellStyle name="Normal 2 2 49 9" xfId="7135" xr:uid="{00000000-0005-0000-0000-00003B1D0000}"/>
    <cellStyle name="Normal 2 2 5" xfId="7136" xr:uid="{00000000-0005-0000-0000-00003C1D0000}"/>
    <cellStyle name="Normal 2 2 5 10" xfId="7137" xr:uid="{00000000-0005-0000-0000-00003D1D0000}"/>
    <cellStyle name="Normal 2 2 5 11" xfId="7138" xr:uid="{00000000-0005-0000-0000-00003E1D0000}"/>
    <cellStyle name="Normal 2 2 5 12" xfId="7139" xr:uid="{00000000-0005-0000-0000-00003F1D0000}"/>
    <cellStyle name="Normal 2 2 5 13" xfId="7140" xr:uid="{00000000-0005-0000-0000-0000401D0000}"/>
    <cellStyle name="Normal 2 2 5 14" xfId="7141" xr:uid="{00000000-0005-0000-0000-0000411D0000}"/>
    <cellStyle name="Normal 2 2 5 15" xfId="7142" xr:uid="{00000000-0005-0000-0000-0000421D0000}"/>
    <cellStyle name="Normal 2 2 5 16" xfId="7143" xr:uid="{00000000-0005-0000-0000-0000431D0000}"/>
    <cellStyle name="Normal 2 2 5 17" xfId="7144" xr:uid="{00000000-0005-0000-0000-0000441D0000}"/>
    <cellStyle name="Normal 2 2 5 18" xfId="7145" xr:uid="{00000000-0005-0000-0000-0000451D0000}"/>
    <cellStyle name="Normal 2 2 5 19" xfId="7146" xr:uid="{00000000-0005-0000-0000-0000461D0000}"/>
    <cellStyle name="Normal 2 2 5 2" xfId="7147" xr:uid="{00000000-0005-0000-0000-0000471D0000}"/>
    <cellStyle name="Normal 2 2 5 2 10" xfId="7148" xr:uid="{00000000-0005-0000-0000-0000481D0000}"/>
    <cellStyle name="Normal 2 2 5 2 11" xfId="7149" xr:uid="{00000000-0005-0000-0000-0000491D0000}"/>
    <cellStyle name="Normal 2 2 5 2 12" xfId="7150" xr:uid="{00000000-0005-0000-0000-00004A1D0000}"/>
    <cellStyle name="Normal 2 2 5 2 13" xfId="7151" xr:uid="{00000000-0005-0000-0000-00004B1D0000}"/>
    <cellStyle name="Normal 2 2 5 2 14" xfId="7152" xr:uid="{00000000-0005-0000-0000-00004C1D0000}"/>
    <cellStyle name="Normal 2 2 5 2 15" xfId="7153" xr:uid="{00000000-0005-0000-0000-00004D1D0000}"/>
    <cellStyle name="Normal 2 2 5 2 16" xfId="7154" xr:uid="{00000000-0005-0000-0000-00004E1D0000}"/>
    <cellStyle name="Normal 2 2 5 2 17" xfId="7155" xr:uid="{00000000-0005-0000-0000-00004F1D0000}"/>
    <cellStyle name="Normal 2 2 5 2 18" xfId="7156" xr:uid="{00000000-0005-0000-0000-0000501D0000}"/>
    <cellStyle name="Normal 2 2 5 2 2" xfId="7157" xr:uid="{00000000-0005-0000-0000-0000511D0000}"/>
    <cellStyle name="Normal 2 2 5 2 3" xfId="7158" xr:uid="{00000000-0005-0000-0000-0000521D0000}"/>
    <cellStyle name="Normal 2 2 5 2 4" xfId="7159" xr:uid="{00000000-0005-0000-0000-0000531D0000}"/>
    <cellStyle name="Normal 2 2 5 2 5" xfId="7160" xr:uid="{00000000-0005-0000-0000-0000541D0000}"/>
    <cellStyle name="Normal 2 2 5 2 6" xfId="7161" xr:uid="{00000000-0005-0000-0000-0000551D0000}"/>
    <cellStyle name="Normal 2 2 5 2 7" xfId="7162" xr:uid="{00000000-0005-0000-0000-0000561D0000}"/>
    <cellStyle name="Normal 2 2 5 2 8" xfId="7163" xr:uid="{00000000-0005-0000-0000-0000571D0000}"/>
    <cellStyle name="Normal 2 2 5 2 9" xfId="7164" xr:uid="{00000000-0005-0000-0000-0000581D0000}"/>
    <cellStyle name="Normal 2 2 5 20" xfId="7165" xr:uid="{00000000-0005-0000-0000-0000591D0000}"/>
    <cellStyle name="Normal 2 2 5 21" xfId="7166" xr:uid="{00000000-0005-0000-0000-00005A1D0000}"/>
    <cellStyle name="Normal 2 2 5 22" xfId="7167" xr:uid="{00000000-0005-0000-0000-00005B1D0000}"/>
    <cellStyle name="Normal 2 2 5 23" xfId="7168" xr:uid="{00000000-0005-0000-0000-00005C1D0000}"/>
    <cellStyle name="Normal 2 2 5 24" xfId="7169" xr:uid="{00000000-0005-0000-0000-00005D1D0000}"/>
    <cellStyle name="Normal 2 2 5 25" xfId="7170" xr:uid="{00000000-0005-0000-0000-00005E1D0000}"/>
    <cellStyle name="Normal 2 2 5 26" xfId="7171" xr:uid="{00000000-0005-0000-0000-00005F1D0000}"/>
    <cellStyle name="Normal 2 2 5 27" xfId="7172" xr:uid="{00000000-0005-0000-0000-0000601D0000}"/>
    <cellStyle name="Normal 2 2 5 28" xfId="7173" xr:uid="{00000000-0005-0000-0000-0000611D0000}"/>
    <cellStyle name="Normal 2 2 5 29" xfId="7174" xr:uid="{00000000-0005-0000-0000-0000621D0000}"/>
    <cellStyle name="Normal 2 2 5 3" xfId="7175" xr:uid="{00000000-0005-0000-0000-0000631D0000}"/>
    <cellStyle name="Normal 2 2 5 30" xfId="7176" xr:uid="{00000000-0005-0000-0000-0000641D0000}"/>
    <cellStyle name="Normal 2 2 5 31" xfId="7177" xr:uid="{00000000-0005-0000-0000-0000651D0000}"/>
    <cellStyle name="Normal 2 2 5 32" xfId="7178" xr:uid="{00000000-0005-0000-0000-0000661D0000}"/>
    <cellStyle name="Normal 2 2 5 33" xfId="7179" xr:uid="{00000000-0005-0000-0000-0000671D0000}"/>
    <cellStyle name="Normal 2 2 5 34" xfId="7180" xr:uid="{00000000-0005-0000-0000-0000681D0000}"/>
    <cellStyle name="Normal 2 2 5 35" xfId="7181" xr:uid="{00000000-0005-0000-0000-0000691D0000}"/>
    <cellStyle name="Normal 2 2 5 36" xfId="7182" xr:uid="{00000000-0005-0000-0000-00006A1D0000}"/>
    <cellStyle name="Normal 2 2 5 37" xfId="7183" xr:uid="{00000000-0005-0000-0000-00006B1D0000}"/>
    <cellStyle name="Normal 2 2 5 38" xfId="7184" xr:uid="{00000000-0005-0000-0000-00006C1D0000}"/>
    <cellStyle name="Normal 2 2 5 39" xfId="7185" xr:uid="{00000000-0005-0000-0000-00006D1D0000}"/>
    <cellStyle name="Normal 2 2 5 4" xfId="7186" xr:uid="{00000000-0005-0000-0000-00006E1D0000}"/>
    <cellStyle name="Normal 2 2 5 4 10" xfId="7187" xr:uid="{00000000-0005-0000-0000-00006F1D0000}"/>
    <cellStyle name="Normal 2 2 5 4 11" xfId="7188" xr:uid="{00000000-0005-0000-0000-0000701D0000}"/>
    <cellStyle name="Normal 2 2 5 4 12" xfId="7189" xr:uid="{00000000-0005-0000-0000-0000711D0000}"/>
    <cellStyle name="Normal 2 2 5 4 13" xfId="7190" xr:uid="{00000000-0005-0000-0000-0000721D0000}"/>
    <cellStyle name="Normal 2 2 5 4 14" xfId="7191" xr:uid="{00000000-0005-0000-0000-0000731D0000}"/>
    <cellStyle name="Normal 2 2 5 4 15" xfId="7192" xr:uid="{00000000-0005-0000-0000-0000741D0000}"/>
    <cellStyle name="Normal 2 2 5 4 16" xfId="7193" xr:uid="{00000000-0005-0000-0000-0000751D0000}"/>
    <cellStyle name="Normal 2 2 5 4 17" xfId="7194" xr:uid="{00000000-0005-0000-0000-0000761D0000}"/>
    <cellStyle name="Normal 2 2 5 4 2" xfId="7195" xr:uid="{00000000-0005-0000-0000-0000771D0000}"/>
    <cellStyle name="Normal 2 2 5 4 3" xfId="7196" xr:uid="{00000000-0005-0000-0000-0000781D0000}"/>
    <cellStyle name="Normal 2 2 5 4 4" xfId="7197" xr:uid="{00000000-0005-0000-0000-0000791D0000}"/>
    <cellStyle name="Normal 2 2 5 4 5" xfId="7198" xr:uid="{00000000-0005-0000-0000-00007A1D0000}"/>
    <cellStyle name="Normal 2 2 5 4 6" xfId="7199" xr:uid="{00000000-0005-0000-0000-00007B1D0000}"/>
    <cellStyle name="Normal 2 2 5 4 7" xfId="7200" xr:uid="{00000000-0005-0000-0000-00007C1D0000}"/>
    <cellStyle name="Normal 2 2 5 4 8" xfId="7201" xr:uid="{00000000-0005-0000-0000-00007D1D0000}"/>
    <cellStyle name="Normal 2 2 5 4 9" xfId="7202" xr:uid="{00000000-0005-0000-0000-00007E1D0000}"/>
    <cellStyle name="Normal 2 2 5 40" xfId="7203" xr:uid="{00000000-0005-0000-0000-00007F1D0000}"/>
    <cellStyle name="Normal 2 2 5 41" xfId="7204" xr:uid="{00000000-0005-0000-0000-0000801D0000}"/>
    <cellStyle name="Normal 2 2 5 42" xfId="7205" xr:uid="{00000000-0005-0000-0000-0000811D0000}"/>
    <cellStyle name="Normal 2 2 5 43" xfId="7206" xr:uid="{00000000-0005-0000-0000-0000821D0000}"/>
    <cellStyle name="Normal 2 2 5 44" xfId="7207" xr:uid="{00000000-0005-0000-0000-0000831D0000}"/>
    <cellStyle name="Normal 2 2 5 45" xfId="7208" xr:uid="{00000000-0005-0000-0000-0000841D0000}"/>
    <cellStyle name="Normal 2 2 5 46" xfId="7209" xr:uid="{00000000-0005-0000-0000-0000851D0000}"/>
    <cellStyle name="Normal 2 2 5 47" xfId="7210" xr:uid="{00000000-0005-0000-0000-0000861D0000}"/>
    <cellStyle name="Normal 2 2 5 48" xfId="7211" xr:uid="{00000000-0005-0000-0000-0000871D0000}"/>
    <cellStyle name="Normal 2 2 5 49" xfId="7212" xr:uid="{00000000-0005-0000-0000-0000881D0000}"/>
    <cellStyle name="Normal 2 2 5 5" xfId="7213" xr:uid="{00000000-0005-0000-0000-0000891D0000}"/>
    <cellStyle name="Normal 2 2 5 50" xfId="7214" xr:uid="{00000000-0005-0000-0000-00008A1D0000}"/>
    <cellStyle name="Normal 2 2 5 51" xfId="7215" xr:uid="{00000000-0005-0000-0000-00008B1D0000}"/>
    <cellStyle name="Normal 2 2 5 52" xfId="7216" xr:uid="{00000000-0005-0000-0000-00008C1D0000}"/>
    <cellStyle name="Normal 2 2 5 53" xfId="7217" xr:uid="{00000000-0005-0000-0000-00008D1D0000}"/>
    <cellStyle name="Normal 2 2 5 54" xfId="7218" xr:uid="{00000000-0005-0000-0000-00008E1D0000}"/>
    <cellStyle name="Normal 2 2 5 55" xfId="7219" xr:uid="{00000000-0005-0000-0000-00008F1D0000}"/>
    <cellStyle name="Normal 2 2 5 56" xfId="7220" xr:uid="{00000000-0005-0000-0000-0000901D0000}"/>
    <cellStyle name="Normal 2 2 5 57" xfId="7221" xr:uid="{00000000-0005-0000-0000-0000911D0000}"/>
    <cellStyle name="Normal 2 2 5 58" xfId="7222" xr:uid="{00000000-0005-0000-0000-0000921D0000}"/>
    <cellStyle name="Normal 2 2 5 59" xfId="7223" xr:uid="{00000000-0005-0000-0000-0000931D0000}"/>
    <cellStyle name="Normal 2 2 5 6" xfId="7224" xr:uid="{00000000-0005-0000-0000-0000941D0000}"/>
    <cellStyle name="Normal 2 2 5 60" xfId="7225" xr:uid="{00000000-0005-0000-0000-0000951D0000}"/>
    <cellStyle name="Normal 2 2 5 61" xfId="7226" xr:uid="{00000000-0005-0000-0000-0000961D0000}"/>
    <cellStyle name="Normal 2 2 5 62" xfId="7227" xr:uid="{00000000-0005-0000-0000-0000971D0000}"/>
    <cellStyle name="Normal 2 2 5 63" xfId="7228" xr:uid="{00000000-0005-0000-0000-0000981D0000}"/>
    <cellStyle name="Normal 2 2 5 64" xfId="7229" xr:uid="{00000000-0005-0000-0000-0000991D0000}"/>
    <cellStyle name="Normal 2 2 5 65" xfId="7230" xr:uid="{00000000-0005-0000-0000-00009A1D0000}"/>
    <cellStyle name="Normal 2 2 5 66" xfId="7231" xr:uid="{00000000-0005-0000-0000-00009B1D0000}"/>
    <cellStyle name="Normal 2 2 5 67" xfId="7232" xr:uid="{00000000-0005-0000-0000-00009C1D0000}"/>
    <cellStyle name="Normal 2 2 5 68" xfId="7233" xr:uid="{00000000-0005-0000-0000-00009D1D0000}"/>
    <cellStyle name="Normal 2 2 5 69" xfId="7234" xr:uid="{00000000-0005-0000-0000-00009E1D0000}"/>
    <cellStyle name="Normal 2 2 5 7" xfId="7235" xr:uid="{00000000-0005-0000-0000-00009F1D0000}"/>
    <cellStyle name="Normal 2 2 5 70" xfId="7236" xr:uid="{00000000-0005-0000-0000-0000A01D0000}"/>
    <cellStyle name="Normal 2 2 5 71" xfId="7237" xr:uid="{00000000-0005-0000-0000-0000A11D0000}"/>
    <cellStyle name="Normal 2 2 5 72" xfId="7238" xr:uid="{00000000-0005-0000-0000-0000A21D0000}"/>
    <cellStyle name="Normal 2 2 5 73" xfId="7239" xr:uid="{00000000-0005-0000-0000-0000A31D0000}"/>
    <cellStyle name="Normal 2 2 5 74" xfId="7240" xr:uid="{00000000-0005-0000-0000-0000A41D0000}"/>
    <cellStyle name="Normal 2 2 5 75" xfId="7241" xr:uid="{00000000-0005-0000-0000-0000A51D0000}"/>
    <cellStyle name="Normal 2 2 5 76" xfId="7242" xr:uid="{00000000-0005-0000-0000-0000A61D0000}"/>
    <cellStyle name="Normal 2 2 5 77" xfId="7243" xr:uid="{00000000-0005-0000-0000-0000A71D0000}"/>
    <cellStyle name="Normal 2 2 5 78" xfId="7244" xr:uid="{00000000-0005-0000-0000-0000A81D0000}"/>
    <cellStyle name="Normal 2 2 5 79" xfId="7245" xr:uid="{00000000-0005-0000-0000-0000A91D0000}"/>
    <cellStyle name="Normal 2 2 5 8" xfId="7246" xr:uid="{00000000-0005-0000-0000-0000AA1D0000}"/>
    <cellStyle name="Normal 2 2 5 80" xfId="7247" xr:uid="{00000000-0005-0000-0000-0000AB1D0000}"/>
    <cellStyle name="Normal 2 2 5 9" xfId="7248" xr:uid="{00000000-0005-0000-0000-0000AC1D0000}"/>
    <cellStyle name="Normal 2 2 5_ELEC SAP FCST UPLOAD" xfId="7249" xr:uid="{00000000-0005-0000-0000-0000AD1D0000}"/>
    <cellStyle name="Normal 2 2 50" xfId="7250" xr:uid="{00000000-0005-0000-0000-0000AE1D0000}"/>
    <cellStyle name="Normal 2 2 51" xfId="7251" xr:uid="{00000000-0005-0000-0000-0000AF1D0000}"/>
    <cellStyle name="Normal 2 2 52" xfId="7252" xr:uid="{00000000-0005-0000-0000-0000B01D0000}"/>
    <cellStyle name="Normal 2 2 53" xfId="7253" xr:uid="{00000000-0005-0000-0000-0000B11D0000}"/>
    <cellStyle name="Normal 2 2 54" xfId="7254" xr:uid="{00000000-0005-0000-0000-0000B21D0000}"/>
    <cellStyle name="Normal 2 2 55" xfId="7255" xr:uid="{00000000-0005-0000-0000-0000B31D0000}"/>
    <cellStyle name="Normal 2 2 56" xfId="7256" xr:uid="{00000000-0005-0000-0000-0000B41D0000}"/>
    <cellStyle name="Normal 2 2 57" xfId="7257" xr:uid="{00000000-0005-0000-0000-0000B51D0000}"/>
    <cellStyle name="Normal 2 2 58" xfId="7258" xr:uid="{00000000-0005-0000-0000-0000B61D0000}"/>
    <cellStyle name="Normal 2 2 59" xfId="7259" xr:uid="{00000000-0005-0000-0000-0000B71D0000}"/>
    <cellStyle name="Normal 2 2 6" xfId="7260" xr:uid="{00000000-0005-0000-0000-0000B81D0000}"/>
    <cellStyle name="Normal 2 2 6 10" xfId="7261" xr:uid="{00000000-0005-0000-0000-0000B91D0000}"/>
    <cellStyle name="Normal 2 2 6 11" xfId="7262" xr:uid="{00000000-0005-0000-0000-0000BA1D0000}"/>
    <cellStyle name="Normal 2 2 6 12" xfId="7263" xr:uid="{00000000-0005-0000-0000-0000BB1D0000}"/>
    <cellStyle name="Normal 2 2 6 13" xfId="7264" xr:uid="{00000000-0005-0000-0000-0000BC1D0000}"/>
    <cellStyle name="Normal 2 2 6 14" xfId="7265" xr:uid="{00000000-0005-0000-0000-0000BD1D0000}"/>
    <cellStyle name="Normal 2 2 6 15" xfId="7266" xr:uid="{00000000-0005-0000-0000-0000BE1D0000}"/>
    <cellStyle name="Normal 2 2 6 16" xfId="7267" xr:uid="{00000000-0005-0000-0000-0000BF1D0000}"/>
    <cellStyle name="Normal 2 2 6 17" xfId="7268" xr:uid="{00000000-0005-0000-0000-0000C01D0000}"/>
    <cellStyle name="Normal 2 2 6 18" xfId="7269" xr:uid="{00000000-0005-0000-0000-0000C11D0000}"/>
    <cellStyle name="Normal 2 2 6 19" xfId="7270" xr:uid="{00000000-0005-0000-0000-0000C21D0000}"/>
    <cellStyle name="Normal 2 2 6 2" xfId="7271" xr:uid="{00000000-0005-0000-0000-0000C31D0000}"/>
    <cellStyle name="Normal 2 2 6 2 10" xfId="7272" xr:uid="{00000000-0005-0000-0000-0000C41D0000}"/>
    <cellStyle name="Normal 2 2 6 2 11" xfId="7273" xr:uid="{00000000-0005-0000-0000-0000C51D0000}"/>
    <cellStyle name="Normal 2 2 6 2 12" xfId="7274" xr:uid="{00000000-0005-0000-0000-0000C61D0000}"/>
    <cellStyle name="Normal 2 2 6 2 13" xfId="7275" xr:uid="{00000000-0005-0000-0000-0000C71D0000}"/>
    <cellStyle name="Normal 2 2 6 2 14" xfId="7276" xr:uid="{00000000-0005-0000-0000-0000C81D0000}"/>
    <cellStyle name="Normal 2 2 6 2 15" xfId="7277" xr:uid="{00000000-0005-0000-0000-0000C91D0000}"/>
    <cellStyle name="Normal 2 2 6 2 16" xfId="7278" xr:uid="{00000000-0005-0000-0000-0000CA1D0000}"/>
    <cellStyle name="Normal 2 2 6 2 17" xfId="7279" xr:uid="{00000000-0005-0000-0000-0000CB1D0000}"/>
    <cellStyle name="Normal 2 2 6 2 2" xfId="7280" xr:uid="{00000000-0005-0000-0000-0000CC1D0000}"/>
    <cellStyle name="Normal 2 2 6 2 3" xfId="7281" xr:uid="{00000000-0005-0000-0000-0000CD1D0000}"/>
    <cellStyle name="Normal 2 2 6 2 4" xfId="7282" xr:uid="{00000000-0005-0000-0000-0000CE1D0000}"/>
    <cellStyle name="Normal 2 2 6 2 5" xfId="7283" xr:uid="{00000000-0005-0000-0000-0000CF1D0000}"/>
    <cellStyle name="Normal 2 2 6 2 6" xfId="7284" xr:uid="{00000000-0005-0000-0000-0000D01D0000}"/>
    <cellStyle name="Normal 2 2 6 2 7" xfId="7285" xr:uid="{00000000-0005-0000-0000-0000D11D0000}"/>
    <cellStyle name="Normal 2 2 6 2 8" xfId="7286" xr:uid="{00000000-0005-0000-0000-0000D21D0000}"/>
    <cellStyle name="Normal 2 2 6 2 9" xfId="7287" xr:uid="{00000000-0005-0000-0000-0000D31D0000}"/>
    <cellStyle name="Normal 2 2 6 20" xfId="7288" xr:uid="{00000000-0005-0000-0000-0000D41D0000}"/>
    <cellStyle name="Normal 2 2 6 21" xfId="7289" xr:uid="{00000000-0005-0000-0000-0000D51D0000}"/>
    <cellStyle name="Normal 2 2 6 22" xfId="7290" xr:uid="{00000000-0005-0000-0000-0000D61D0000}"/>
    <cellStyle name="Normal 2 2 6 23" xfId="7291" xr:uid="{00000000-0005-0000-0000-0000D71D0000}"/>
    <cellStyle name="Normal 2 2 6 24" xfId="7292" xr:uid="{00000000-0005-0000-0000-0000D81D0000}"/>
    <cellStyle name="Normal 2 2 6 25" xfId="7293" xr:uid="{00000000-0005-0000-0000-0000D91D0000}"/>
    <cellStyle name="Normal 2 2 6 26" xfId="7294" xr:uid="{00000000-0005-0000-0000-0000DA1D0000}"/>
    <cellStyle name="Normal 2 2 6 27" xfId="7295" xr:uid="{00000000-0005-0000-0000-0000DB1D0000}"/>
    <cellStyle name="Normal 2 2 6 28" xfId="7296" xr:uid="{00000000-0005-0000-0000-0000DC1D0000}"/>
    <cellStyle name="Normal 2 2 6 29" xfId="7297" xr:uid="{00000000-0005-0000-0000-0000DD1D0000}"/>
    <cellStyle name="Normal 2 2 6 3" xfId="7298" xr:uid="{00000000-0005-0000-0000-0000DE1D0000}"/>
    <cellStyle name="Normal 2 2 6 3 10" xfId="7299" xr:uid="{00000000-0005-0000-0000-0000DF1D0000}"/>
    <cellStyle name="Normal 2 2 6 3 11" xfId="7300" xr:uid="{00000000-0005-0000-0000-0000E01D0000}"/>
    <cellStyle name="Normal 2 2 6 3 12" xfId="7301" xr:uid="{00000000-0005-0000-0000-0000E11D0000}"/>
    <cellStyle name="Normal 2 2 6 3 13" xfId="7302" xr:uid="{00000000-0005-0000-0000-0000E21D0000}"/>
    <cellStyle name="Normal 2 2 6 3 14" xfId="7303" xr:uid="{00000000-0005-0000-0000-0000E31D0000}"/>
    <cellStyle name="Normal 2 2 6 3 15" xfId="7304" xr:uid="{00000000-0005-0000-0000-0000E41D0000}"/>
    <cellStyle name="Normal 2 2 6 3 16" xfId="7305" xr:uid="{00000000-0005-0000-0000-0000E51D0000}"/>
    <cellStyle name="Normal 2 2 6 3 17" xfId="7306" xr:uid="{00000000-0005-0000-0000-0000E61D0000}"/>
    <cellStyle name="Normal 2 2 6 3 2" xfId="7307" xr:uid="{00000000-0005-0000-0000-0000E71D0000}"/>
    <cellStyle name="Normal 2 2 6 3 3" xfId="7308" xr:uid="{00000000-0005-0000-0000-0000E81D0000}"/>
    <cellStyle name="Normal 2 2 6 3 4" xfId="7309" xr:uid="{00000000-0005-0000-0000-0000E91D0000}"/>
    <cellStyle name="Normal 2 2 6 3 5" xfId="7310" xr:uid="{00000000-0005-0000-0000-0000EA1D0000}"/>
    <cellStyle name="Normal 2 2 6 3 6" xfId="7311" xr:uid="{00000000-0005-0000-0000-0000EB1D0000}"/>
    <cellStyle name="Normal 2 2 6 3 7" xfId="7312" xr:uid="{00000000-0005-0000-0000-0000EC1D0000}"/>
    <cellStyle name="Normal 2 2 6 3 8" xfId="7313" xr:uid="{00000000-0005-0000-0000-0000ED1D0000}"/>
    <cellStyle name="Normal 2 2 6 3 9" xfId="7314" xr:uid="{00000000-0005-0000-0000-0000EE1D0000}"/>
    <cellStyle name="Normal 2 2 6 30" xfId="7315" xr:uid="{00000000-0005-0000-0000-0000EF1D0000}"/>
    <cellStyle name="Normal 2 2 6 31" xfId="7316" xr:uid="{00000000-0005-0000-0000-0000F01D0000}"/>
    <cellStyle name="Normal 2 2 6 32" xfId="7317" xr:uid="{00000000-0005-0000-0000-0000F11D0000}"/>
    <cellStyle name="Normal 2 2 6 33" xfId="7318" xr:uid="{00000000-0005-0000-0000-0000F21D0000}"/>
    <cellStyle name="Normal 2 2 6 34" xfId="7319" xr:uid="{00000000-0005-0000-0000-0000F31D0000}"/>
    <cellStyle name="Normal 2 2 6 35" xfId="7320" xr:uid="{00000000-0005-0000-0000-0000F41D0000}"/>
    <cellStyle name="Normal 2 2 6 36" xfId="7321" xr:uid="{00000000-0005-0000-0000-0000F51D0000}"/>
    <cellStyle name="Normal 2 2 6 37" xfId="7322" xr:uid="{00000000-0005-0000-0000-0000F61D0000}"/>
    <cellStyle name="Normal 2 2 6 38" xfId="7323" xr:uid="{00000000-0005-0000-0000-0000F71D0000}"/>
    <cellStyle name="Normal 2 2 6 39" xfId="7324" xr:uid="{00000000-0005-0000-0000-0000F81D0000}"/>
    <cellStyle name="Normal 2 2 6 4" xfId="7325" xr:uid="{00000000-0005-0000-0000-0000F91D0000}"/>
    <cellStyle name="Normal 2 2 6 40" xfId="7326" xr:uid="{00000000-0005-0000-0000-0000FA1D0000}"/>
    <cellStyle name="Normal 2 2 6 41" xfId="7327" xr:uid="{00000000-0005-0000-0000-0000FB1D0000}"/>
    <cellStyle name="Normal 2 2 6 42" xfId="7328" xr:uid="{00000000-0005-0000-0000-0000FC1D0000}"/>
    <cellStyle name="Normal 2 2 6 43" xfId="7329" xr:uid="{00000000-0005-0000-0000-0000FD1D0000}"/>
    <cellStyle name="Normal 2 2 6 44" xfId="7330" xr:uid="{00000000-0005-0000-0000-0000FE1D0000}"/>
    <cellStyle name="Normal 2 2 6 45" xfId="7331" xr:uid="{00000000-0005-0000-0000-0000FF1D0000}"/>
    <cellStyle name="Normal 2 2 6 46" xfId="7332" xr:uid="{00000000-0005-0000-0000-0000001E0000}"/>
    <cellStyle name="Normal 2 2 6 47" xfId="7333" xr:uid="{00000000-0005-0000-0000-0000011E0000}"/>
    <cellStyle name="Normal 2 2 6 48" xfId="7334" xr:uid="{00000000-0005-0000-0000-0000021E0000}"/>
    <cellStyle name="Normal 2 2 6 49" xfId="7335" xr:uid="{00000000-0005-0000-0000-0000031E0000}"/>
    <cellStyle name="Normal 2 2 6 5" xfId="7336" xr:uid="{00000000-0005-0000-0000-0000041E0000}"/>
    <cellStyle name="Normal 2 2 6 50" xfId="7337" xr:uid="{00000000-0005-0000-0000-0000051E0000}"/>
    <cellStyle name="Normal 2 2 6 51" xfId="7338" xr:uid="{00000000-0005-0000-0000-0000061E0000}"/>
    <cellStyle name="Normal 2 2 6 52" xfId="7339" xr:uid="{00000000-0005-0000-0000-0000071E0000}"/>
    <cellStyle name="Normal 2 2 6 53" xfId="7340" xr:uid="{00000000-0005-0000-0000-0000081E0000}"/>
    <cellStyle name="Normal 2 2 6 54" xfId="7341" xr:uid="{00000000-0005-0000-0000-0000091E0000}"/>
    <cellStyle name="Normal 2 2 6 55" xfId="7342" xr:uid="{00000000-0005-0000-0000-00000A1E0000}"/>
    <cellStyle name="Normal 2 2 6 56" xfId="7343" xr:uid="{00000000-0005-0000-0000-00000B1E0000}"/>
    <cellStyle name="Normal 2 2 6 57" xfId="7344" xr:uid="{00000000-0005-0000-0000-00000C1E0000}"/>
    <cellStyle name="Normal 2 2 6 58" xfId="7345" xr:uid="{00000000-0005-0000-0000-00000D1E0000}"/>
    <cellStyle name="Normal 2 2 6 59" xfId="7346" xr:uid="{00000000-0005-0000-0000-00000E1E0000}"/>
    <cellStyle name="Normal 2 2 6 6" xfId="7347" xr:uid="{00000000-0005-0000-0000-00000F1E0000}"/>
    <cellStyle name="Normal 2 2 6 60" xfId="7348" xr:uid="{00000000-0005-0000-0000-0000101E0000}"/>
    <cellStyle name="Normal 2 2 6 61" xfId="7349" xr:uid="{00000000-0005-0000-0000-0000111E0000}"/>
    <cellStyle name="Normal 2 2 6 62" xfId="7350" xr:uid="{00000000-0005-0000-0000-0000121E0000}"/>
    <cellStyle name="Normal 2 2 6 63" xfId="7351" xr:uid="{00000000-0005-0000-0000-0000131E0000}"/>
    <cellStyle name="Normal 2 2 6 64" xfId="7352" xr:uid="{00000000-0005-0000-0000-0000141E0000}"/>
    <cellStyle name="Normal 2 2 6 65" xfId="7353" xr:uid="{00000000-0005-0000-0000-0000151E0000}"/>
    <cellStyle name="Normal 2 2 6 66" xfId="7354" xr:uid="{00000000-0005-0000-0000-0000161E0000}"/>
    <cellStyle name="Normal 2 2 6 67" xfId="7355" xr:uid="{00000000-0005-0000-0000-0000171E0000}"/>
    <cellStyle name="Normal 2 2 6 68" xfId="7356" xr:uid="{00000000-0005-0000-0000-0000181E0000}"/>
    <cellStyle name="Normal 2 2 6 69" xfId="7357" xr:uid="{00000000-0005-0000-0000-0000191E0000}"/>
    <cellStyle name="Normal 2 2 6 7" xfId="7358" xr:uid="{00000000-0005-0000-0000-00001A1E0000}"/>
    <cellStyle name="Normal 2 2 6 70" xfId="7359" xr:uid="{00000000-0005-0000-0000-00001B1E0000}"/>
    <cellStyle name="Normal 2 2 6 71" xfId="7360" xr:uid="{00000000-0005-0000-0000-00001C1E0000}"/>
    <cellStyle name="Normal 2 2 6 72" xfId="7361" xr:uid="{00000000-0005-0000-0000-00001D1E0000}"/>
    <cellStyle name="Normal 2 2 6 73" xfId="7362" xr:uid="{00000000-0005-0000-0000-00001E1E0000}"/>
    <cellStyle name="Normal 2 2 6 74" xfId="7363" xr:uid="{00000000-0005-0000-0000-00001F1E0000}"/>
    <cellStyle name="Normal 2 2 6 75" xfId="7364" xr:uid="{00000000-0005-0000-0000-0000201E0000}"/>
    <cellStyle name="Normal 2 2 6 76" xfId="7365" xr:uid="{00000000-0005-0000-0000-0000211E0000}"/>
    <cellStyle name="Normal 2 2 6 77" xfId="7366" xr:uid="{00000000-0005-0000-0000-0000221E0000}"/>
    <cellStyle name="Normal 2 2 6 78" xfId="7367" xr:uid="{00000000-0005-0000-0000-0000231E0000}"/>
    <cellStyle name="Normal 2 2 6 8" xfId="7368" xr:uid="{00000000-0005-0000-0000-0000241E0000}"/>
    <cellStyle name="Normal 2 2 6 9" xfId="7369" xr:uid="{00000000-0005-0000-0000-0000251E0000}"/>
    <cellStyle name="Normal 2 2 60" xfId="7370" xr:uid="{00000000-0005-0000-0000-0000261E0000}"/>
    <cellStyle name="Normal 2 2 61" xfId="7371" xr:uid="{00000000-0005-0000-0000-0000271E0000}"/>
    <cellStyle name="Normal 2 2 62" xfId="7372" xr:uid="{00000000-0005-0000-0000-0000281E0000}"/>
    <cellStyle name="Normal 2 2 63" xfId="7373" xr:uid="{00000000-0005-0000-0000-0000291E0000}"/>
    <cellStyle name="Normal 2 2 64" xfId="7374" xr:uid="{00000000-0005-0000-0000-00002A1E0000}"/>
    <cellStyle name="Normal 2 2 65" xfId="7375" xr:uid="{00000000-0005-0000-0000-00002B1E0000}"/>
    <cellStyle name="Normal 2 2 66" xfId="7376" xr:uid="{00000000-0005-0000-0000-00002C1E0000}"/>
    <cellStyle name="Normal 2 2 67" xfId="7377" xr:uid="{00000000-0005-0000-0000-00002D1E0000}"/>
    <cellStyle name="Normal 2 2 68" xfId="7378" xr:uid="{00000000-0005-0000-0000-00002E1E0000}"/>
    <cellStyle name="Normal 2 2 69" xfId="7379" xr:uid="{00000000-0005-0000-0000-00002F1E0000}"/>
    <cellStyle name="Normal 2 2 7" xfId="7380" xr:uid="{00000000-0005-0000-0000-0000301E0000}"/>
    <cellStyle name="Normal 2 2 7 10" xfId="7381" xr:uid="{00000000-0005-0000-0000-0000311E0000}"/>
    <cellStyle name="Normal 2 2 7 11" xfId="7382" xr:uid="{00000000-0005-0000-0000-0000321E0000}"/>
    <cellStyle name="Normal 2 2 7 12" xfId="7383" xr:uid="{00000000-0005-0000-0000-0000331E0000}"/>
    <cellStyle name="Normal 2 2 7 13" xfId="7384" xr:uid="{00000000-0005-0000-0000-0000341E0000}"/>
    <cellStyle name="Normal 2 2 7 14" xfId="7385" xr:uid="{00000000-0005-0000-0000-0000351E0000}"/>
    <cellStyle name="Normal 2 2 7 15" xfId="7386" xr:uid="{00000000-0005-0000-0000-0000361E0000}"/>
    <cellStyle name="Normal 2 2 7 16" xfId="7387" xr:uid="{00000000-0005-0000-0000-0000371E0000}"/>
    <cellStyle name="Normal 2 2 7 17" xfId="7388" xr:uid="{00000000-0005-0000-0000-0000381E0000}"/>
    <cellStyle name="Normal 2 2 7 18" xfId="7389" xr:uid="{00000000-0005-0000-0000-0000391E0000}"/>
    <cellStyle name="Normal 2 2 7 19" xfId="7390" xr:uid="{00000000-0005-0000-0000-00003A1E0000}"/>
    <cellStyle name="Normal 2 2 7 2" xfId="7391" xr:uid="{00000000-0005-0000-0000-00003B1E0000}"/>
    <cellStyle name="Normal 2 2 7 2 10" xfId="7392" xr:uid="{00000000-0005-0000-0000-00003C1E0000}"/>
    <cellStyle name="Normal 2 2 7 2 11" xfId="7393" xr:uid="{00000000-0005-0000-0000-00003D1E0000}"/>
    <cellStyle name="Normal 2 2 7 2 12" xfId="7394" xr:uid="{00000000-0005-0000-0000-00003E1E0000}"/>
    <cellStyle name="Normal 2 2 7 2 13" xfId="7395" xr:uid="{00000000-0005-0000-0000-00003F1E0000}"/>
    <cellStyle name="Normal 2 2 7 2 14" xfId="7396" xr:uid="{00000000-0005-0000-0000-0000401E0000}"/>
    <cellStyle name="Normal 2 2 7 2 15" xfId="7397" xr:uid="{00000000-0005-0000-0000-0000411E0000}"/>
    <cellStyle name="Normal 2 2 7 2 16" xfId="7398" xr:uid="{00000000-0005-0000-0000-0000421E0000}"/>
    <cellStyle name="Normal 2 2 7 2 17" xfId="7399" xr:uid="{00000000-0005-0000-0000-0000431E0000}"/>
    <cellStyle name="Normal 2 2 7 2 2" xfId="7400" xr:uid="{00000000-0005-0000-0000-0000441E0000}"/>
    <cellStyle name="Normal 2 2 7 2 3" xfId="7401" xr:uid="{00000000-0005-0000-0000-0000451E0000}"/>
    <cellStyle name="Normal 2 2 7 2 4" xfId="7402" xr:uid="{00000000-0005-0000-0000-0000461E0000}"/>
    <cellStyle name="Normal 2 2 7 2 5" xfId="7403" xr:uid="{00000000-0005-0000-0000-0000471E0000}"/>
    <cellStyle name="Normal 2 2 7 2 6" xfId="7404" xr:uid="{00000000-0005-0000-0000-0000481E0000}"/>
    <cellStyle name="Normal 2 2 7 2 7" xfId="7405" xr:uid="{00000000-0005-0000-0000-0000491E0000}"/>
    <cellStyle name="Normal 2 2 7 2 8" xfId="7406" xr:uid="{00000000-0005-0000-0000-00004A1E0000}"/>
    <cellStyle name="Normal 2 2 7 2 9" xfId="7407" xr:uid="{00000000-0005-0000-0000-00004B1E0000}"/>
    <cellStyle name="Normal 2 2 7 20" xfId="7408" xr:uid="{00000000-0005-0000-0000-00004C1E0000}"/>
    <cellStyle name="Normal 2 2 7 21" xfId="7409" xr:uid="{00000000-0005-0000-0000-00004D1E0000}"/>
    <cellStyle name="Normal 2 2 7 22" xfId="7410" xr:uid="{00000000-0005-0000-0000-00004E1E0000}"/>
    <cellStyle name="Normal 2 2 7 23" xfId="7411" xr:uid="{00000000-0005-0000-0000-00004F1E0000}"/>
    <cellStyle name="Normal 2 2 7 24" xfId="7412" xr:uid="{00000000-0005-0000-0000-0000501E0000}"/>
    <cellStyle name="Normal 2 2 7 25" xfId="7413" xr:uid="{00000000-0005-0000-0000-0000511E0000}"/>
    <cellStyle name="Normal 2 2 7 26" xfId="7414" xr:uid="{00000000-0005-0000-0000-0000521E0000}"/>
    <cellStyle name="Normal 2 2 7 27" xfId="7415" xr:uid="{00000000-0005-0000-0000-0000531E0000}"/>
    <cellStyle name="Normal 2 2 7 28" xfId="7416" xr:uid="{00000000-0005-0000-0000-0000541E0000}"/>
    <cellStyle name="Normal 2 2 7 29" xfId="7417" xr:uid="{00000000-0005-0000-0000-0000551E0000}"/>
    <cellStyle name="Normal 2 2 7 3" xfId="7418" xr:uid="{00000000-0005-0000-0000-0000561E0000}"/>
    <cellStyle name="Normal 2 2 7 3 10" xfId="7419" xr:uid="{00000000-0005-0000-0000-0000571E0000}"/>
    <cellStyle name="Normal 2 2 7 3 11" xfId="7420" xr:uid="{00000000-0005-0000-0000-0000581E0000}"/>
    <cellStyle name="Normal 2 2 7 3 12" xfId="7421" xr:uid="{00000000-0005-0000-0000-0000591E0000}"/>
    <cellStyle name="Normal 2 2 7 3 13" xfId="7422" xr:uid="{00000000-0005-0000-0000-00005A1E0000}"/>
    <cellStyle name="Normal 2 2 7 3 14" xfId="7423" xr:uid="{00000000-0005-0000-0000-00005B1E0000}"/>
    <cellStyle name="Normal 2 2 7 3 15" xfId="7424" xr:uid="{00000000-0005-0000-0000-00005C1E0000}"/>
    <cellStyle name="Normal 2 2 7 3 16" xfId="7425" xr:uid="{00000000-0005-0000-0000-00005D1E0000}"/>
    <cellStyle name="Normal 2 2 7 3 17" xfId="7426" xr:uid="{00000000-0005-0000-0000-00005E1E0000}"/>
    <cellStyle name="Normal 2 2 7 3 2" xfId="7427" xr:uid="{00000000-0005-0000-0000-00005F1E0000}"/>
    <cellStyle name="Normal 2 2 7 3 3" xfId="7428" xr:uid="{00000000-0005-0000-0000-0000601E0000}"/>
    <cellStyle name="Normal 2 2 7 3 4" xfId="7429" xr:uid="{00000000-0005-0000-0000-0000611E0000}"/>
    <cellStyle name="Normal 2 2 7 3 5" xfId="7430" xr:uid="{00000000-0005-0000-0000-0000621E0000}"/>
    <cellStyle name="Normal 2 2 7 3 6" xfId="7431" xr:uid="{00000000-0005-0000-0000-0000631E0000}"/>
    <cellStyle name="Normal 2 2 7 3 7" xfId="7432" xr:uid="{00000000-0005-0000-0000-0000641E0000}"/>
    <cellStyle name="Normal 2 2 7 3 8" xfId="7433" xr:uid="{00000000-0005-0000-0000-0000651E0000}"/>
    <cellStyle name="Normal 2 2 7 3 9" xfId="7434" xr:uid="{00000000-0005-0000-0000-0000661E0000}"/>
    <cellStyle name="Normal 2 2 7 30" xfId="7435" xr:uid="{00000000-0005-0000-0000-0000671E0000}"/>
    <cellStyle name="Normal 2 2 7 31" xfId="7436" xr:uid="{00000000-0005-0000-0000-0000681E0000}"/>
    <cellStyle name="Normal 2 2 7 32" xfId="7437" xr:uid="{00000000-0005-0000-0000-0000691E0000}"/>
    <cellStyle name="Normal 2 2 7 33" xfId="7438" xr:uid="{00000000-0005-0000-0000-00006A1E0000}"/>
    <cellStyle name="Normal 2 2 7 34" xfId="7439" xr:uid="{00000000-0005-0000-0000-00006B1E0000}"/>
    <cellStyle name="Normal 2 2 7 35" xfId="7440" xr:uid="{00000000-0005-0000-0000-00006C1E0000}"/>
    <cellStyle name="Normal 2 2 7 36" xfId="7441" xr:uid="{00000000-0005-0000-0000-00006D1E0000}"/>
    <cellStyle name="Normal 2 2 7 37" xfId="7442" xr:uid="{00000000-0005-0000-0000-00006E1E0000}"/>
    <cellStyle name="Normal 2 2 7 38" xfId="7443" xr:uid="{00000000-0005-0000-0000-00006F1E0000}"/>
    <cellStyle name="Normal 2 2 7 39" xfId="7444" xr:uid="{00000000-0005-0000-0000-0000701E0000}"/>
    <cellStyle name="Normal 2 2 7 4" xfId="7445" xr:uid="{00000000-0005-0000-0000-0000711E0000}"/>
    <cellStyle name="Normal 2 2 7 40" xfId="7446" xr:uid="{00000000-0005-0000-0000-0000721E0000}"/>
    <cellStyle name="Normal 2 2 7 41" xfId="7447" xr:uid="{00000000-0005-0000-0000-0000731E0000}"/>
    <cellStyle name="Normal 2 2 7 42" xfId="7448" xr:uid="{00000000-0005-0000-0000-0000741E0000}"/>
    <cellStyle name="Normal 2 2 7 43" xfId="7449" xr:uid="{00000000-0005-0000-0000-0000751E0000}"/>
    <cellStyle name="Normal 2 2 7 44" xfId="7450" xr:uid="{00000000-0005-0000-0000-0000761E0000}"/>
    <cellStyle name="Normal 2 2 7 45" xfId="7451" xr:uid="{00000000-0005-0000-0000-0000771E0000}"/>
    <cellStyle name="Normal 2 2 7 46" xfId="7452" xr:uid="{00000000-0005-0000-0000-0000781E0000}"/>
    <cellStyle name="Normal 2 2 7 47" xfId="7453" xr:uid="{00000000-0005-0000-0000-0000791E0000}"/>
    <cellStyle name="Normal 2 2 7 48" xfId="7454" xr:uid="{00000000-0005-0000-0000-00007A1E0000}"/>
    <cellStyle name="Normal 2 2 7 49" xfId="7455" xr:uid="{00000000-0005-0000-0000-00007B1E0000}"/>
    <cellStyle name="Normal 2 2 7 5" xfId="7456" xr:uid="{00000000-0005-0000-0000-00007C1E0000}"/>
    <cellStyle name="Normal 2 2 7 50" xfId="7457" xr:uid="{00000000-0005-0000-0000-00007D1E0000}"/>
    <cellStyle name="Normal 2 2 7 51" xfId="7458" xr:uid="{00000000-0005-0000-0000-00007E1E0000}"/>
    <cellStyle name="Normal 2 2 7 52" xfId="7459" xr:uid="{00000000-0005-0000-0000-00007F1E0000}"/>
    <cellStyle name="Normal 2 2 7 53" xfId="7460" xr:uid="{00000000-0005-0000-0000-0000801E0000}"/>
    <cellStyle name="Normal 2 2 7 54" xfId="7461" xr:uid="{00000000-0005-0000-0000-0000811E0000}"/>
    <cellStyle name="Normal 2 2 7 55" xfId="7462" xr:uid="{00000000-0005-0000-0000-0000821E0000}"/>
    <cellStyle name="Normal 2 2 7 56" xfId="7463" xr:uid="{00000000-0005-0000-0000-0000831E0000}"/>
    <cellStyle name="Normal 2 2 7 57" xfId="7464" xr:uid="{00000000-0005-0000-0000-0000841E0000}"/>
    <cellStyle name="Normal 2 2 7 58" xfId="7465" xr:uid="{00000000-0005-0000-0000-0000851E0000}"/>
    <cellStyle name="Normal 2 2 7 59" xfId="7466" xr:uid="{00000000-0005-0000-0000-0000861E0000}"/>
    <cellStyle name="Normal 2 2 7 6" xfId="7467" xr:uid="{00000000-0005-0000-0000-0000871E0000}"/>
    <cellStyle name="Normal 2 2 7 60" xfId="7468" xr:uid="{00000000-0005-0000-0000-0000881E0000}"/>
    <cellStyle name="Normal 2 2 7 61" xfId="7469" xr:uid="{00000000-0005-0000-0000-0000891E0000}"/>
    <cellStyle name="Normal 2 2 7 62" xfId="7470" xr:uid="{00000000-0005-0000-0000-00008A1E0000}"/>
    <cellStyle name="Normal 2 2 7 63" xfId="7471" xr:uid="{00000000-0005-0000-0000-00008B1E0000}"/>
    <cellStyle name="Normal 2 2 7 64" xfId="7472" xr:uid="{00000000-0005-0000-0000-00008C1E0000}"/>
    <cellStyle name="Normal 2 2 7 65" xfId="7473" xr:uid="{00000000-0005-0000-0000-00008D1E0000}"/>
    <cellStyle name="Normal 2 2 7 66" xfId="7474" xr:uid="{00000000-0005-0000-0000-00008E1E0000}"/>
    <cellStyle name="Normal 2 2 7 67" xfId="7475" xr:uid="{00000000-0005-0000-0000-00008F1E0000}"/>
    <cellStyle name="Normal 2 2 7 68" xfId="7476" xr:uid="{00000000-0005-0000-0000-0000901E0000}"/>
    <cellStyle name="Normal 2 2 7 69" xfId="7477" xr:uid="{00000000-0005-0000-0000-0000911E0000}"/>
    <cellStyle name="Normal 2 2 7 7" xfId="7478" xr:uid="{00000000-0005-0000-0000-0000921E0000}"/>
    <cellStyle name="Normal 2 2 7 70" xfId="7479" xr:uid="{00000000-0005-0000-0000-0000931E0000}"/>
    <cellStyle name="Normal 2 2 7 71" xfId="7480" xr:uid="{00000000-0005-0000-0000-0000941E0000}"/>
    <cellStyle name="Normal 2 2 7 72" xfId="7481" xr:uid="{00000000-0005-0000-0000-0000951E0000}"/>
    <cellStyle name="Normal 2 2 7 73" xfId="7482" xr:uid="{00000000-0005-0000-0000-0000961E0000}"/>
    <cellStyle name="Normal 2 2 7 74" xfId="7483" xr:uid="{00000000-0005-0000-0000-0000971E0000}"/>
    <cellStyle name="Normal 2 2 7 75" xfId="7484" xr:uid="{00000000-0005-0000-0000-0000981E0000}"/>
    <cellStyle name="Normal 2 2 7 76" xfId="7485" xr:uid="{00000000-0005-0000-0000-0000991E0000}"/>
    <cellStyle name="Normal 2 2 7 77" xfId="7486" xr:uid="{00000000-0005-0000-0000-00009A1E0000}"/>
    <cellStyle name="Normal 2 2 7 78" xfId="7487" xr:uid="{00000000-0005-0000-0000-00009B1E0000}"/>
    <cellStyle name="Normal 2 2 7 8" xfId="7488" xr:uid="{00000000-0005-0000-0000-00009C1E0000}"/>
    <cellStyle name="Normal 2 2 7 9" xfId="7489" xr:uid="{00000000-0005-0000-0000-00009D1E0000}"/>
    <cellStyle name="Normal 2 2 70" xfId="7490" xr:uid="{00000000-0005-0000-0000-00009E1E0000}"/>
    <cellStyle name="Normal 2 2 71" xfId="7491" xr:uid="{00000000-0005-0000-0000-00009F1E0000}"/>
    <cellStyle name="Normal 2 2 72" xfId="7492" xr:uid="{00000000-0005-0000-0000-0000A01E0000}"/>
    <cellStyle name="Normal 2 2 73" xfId="7493" xr:uid="{00000000-0005-0000-0000-0000A11E0000}"/>
    <cellStyle name="Normal 2 2 74" xfId="7494" xr:uid="{00000000-0005-0000-0000-0000A21E0000}"/>
    <cellStyle name="Normal 2 2 75" xfId="7495" xr:uid="{00000000-0005-0000-0000-0000A31E0000}"/>
    <cellStyle name="Normal 2 2 76" xfId="7496" xr:uid="{00000000-0005-0000-0000-0000A41E0000}"/>
    <cellStyle name="Normal 2 2 77" xfId="7497" xr:uid="{00000000-0005-0000-0000-0000A51E0000}"/>
    <cellStyle name="Normal 2 2 78" xfId="7498" xr:uid="{00000000-0005-0000-0000-0000A61E0000}"/>
    <cellStyle name="Normal 2 2 79" xfId="7499" xr:uid="{00000000-0005-0000-0000-0000A71E0000}"/>
    <cellStyle name="Normal 2 2 8" xfId="7500" xr:uid="{00000000-0005-0000-0000-0000A81E0000}"/>
    <cellStyle name="Normal 2 2 8 10" xfId="7501" xr:uid="{00000000-0005-0000-0000-0000A91E0000}"/>
    <cellStyle name="Normal 2 2 8 11" xfId="7502" xr:uid="{00000000-0005-0000-0000-0000AA1E0000}"/>
    <cellStyle name="Normal 2 2 8 12" xfId="7503" xr:uid="{00000000-0005-0000-0000-0000AB1E0000}"/>
    <cellStyle name="Normal 2 2 8 13" xfId="7504" xr:uid="{00000000-0005-0000-0000-0000AC1E0000}"/>
    <cellStyle name="Normal 2 2 8 14" xfId="7505" xr:uid="{00000000-0005-0000-0000-0000AD1E0000}"/>
    <cellStyle name="Normal 2 2 8 15" xfId="7506" xr:uid="{00000000-0005-0000-0000-0000AE1E0000}"/>
    <cellStyle name="Normal 2 2 8 16" xfId="7507" xr:uid="{00000000-0005-0000-0000-0000AF1E0000}"/>
    <cellStyle name="Normal 2 2 8 17" xfId="7508" xr:uid="{00000000-0005-0000-0000-0000B01E0000}"/>
    <cellStyle name="Normal 2 2 8 18" xfId="7509" xr:uid="{00000000-0005-0000-0000-0000B11E0000}"/>
    <cellStyle name="Normal 2 2 8 19" xfId="7510" xr:uid="{00000000-0005-0000-0000-0000B21E0000}"/>
    <cellStyle name="Normal 2 2 8 2" xfId="7511" xr:uid="{00000000-0005-0000-0000-0000B31E0000}"/>
    <cellStyle name="Normal 2 2 8 2 10" xfId="7512" xr:uid="{00000000-0005-0000-0000-0000B41E0000}"/>
    <cellStyle name="Normal 2 2 8 2 11" xfId="7513" xr:uid="{00000000-0005-0000-0000-0000B51E0000}"/>
    <cellStyle name="Normal 2 2 8 2 12" xfId="7514" xr:uid="{00000000-0005-0000-0000-0000B61E0000}"/>
    <cellStyle name="Normal 2 2 8 2 13" xfId="7515" xr:uid="{00000000-0005-0000-0000-0000B71E0000}"/>
    <cellStyle name="Normal 2 2 8 2 14" xfId="7516" xr:uid="{00000000-0005-0000-0000-0000B81E0000}"/>
    <cellStyle name="Normal 2 2 8 2 15" xfId="7517" xr:uid="{00000000-0005-0000-0000-0000B91E0000}"/>
    <cellStyle name="Normal 2 2 8 2 16" xfId="7518" xr:uid="{00000000-0005-0000-0000-0000BA1E0000}"/>
    <cellStyle name="Normal 2 2 8 2 17" xfId="7519" xr:uid="{00000000-0005-0000-0000-0000BB1E0000}"/>
    <cellStyle name="Normal 2 2 8 2 2" xfId="7520" xr:uid="{00000000-0005-0000-0000-0000BC1E0000}"/>
    <cellStyle name="Normal 2 2 8 2 3" xfId="7521" xr:uid="{00000000-0005-0000-0000-0000BD1E0000}"/>
    <cellStyle name="Normal 2 2 8 2 4" xfId="7522" xr:uid="{00000000-0005-0000-0000-0000BE1E0000}"/>
    <cellStyle name="Normal 2 2 8 2 5" xfId="7523" xr:uid="{00000000-0005-0000-0000-0000BF1E0000}"/>
    <cellStyle name="Normal 2 2 8 2 6" xfId="7524" xr:uid="{00000000-0005-0000-0000-0000C01E0000}"/>
    <cellStyle name="Normal 2 2 8 2 7" xfId="7525" xr:uid="{00000000-0005-0000-0000-0000C11E0000}"/>
    <cellStyle name="Normal 2 2 8 2 8" xfId="7526" xr:uid="{00000000-0005-0000-0000-0000C21E0000}"/>
    <cellStyle name="Normal 2 2 8 2 9" xfId="7527" xr:uid="{00000000-0005-0000-0000-0000C31E0000}"/>
    <cellStyle name="Normal 2 2 8 20" xfId="7528" xr:uid="{00000000-0005-0000-0000-0000C41E0000}"/>
    <cellStyle name="Normal 2 2 8 21" xfId="7529" xr:uid="{00000000-0005-0000-0000-0000C51E0000}"/>
    <cellStyle name="Normal 2 2 8 22" xfId="7530" xr:uid="{00000000-0005-0000-0000-0000C61E0000}"/>
    <cellStyle name="Normal 2 2 8 23" xfId="7531" xr:uid="{00000000-0005-0000-0000-0000C71E0000}"/>
    <cellStyle name="Normal 2 2 8 24" xfId="7532" xr:uid="{00000000-0005-0000-0000-0000C81E0000}"/>
    <cellStyle name="Normal 2 2 8 25" xfId="7533" xr:uid="{00000000-0005-0000-0000-0000C91E0000}"/>
    <cellStyle name="Normal 2 2 8 26" xfId="7534" xr:uid="{00000000-0005-0000-0000-0000CA1E0000}"/>
    <cellStyle name="Normal 2 2 8 27" xfId="7535" xr:uid="{00000000-0005-0000-0000-0000CB1E0000}"/>
    <cellStyle name="Normal 2 2 8 28" xfId="7536" xr:uid="{00000000-0005-0000-0000-0000CC1E0000}"/>
    <cellStyle name="Normal 2 2 8 29" xfId="7537" xr:uid="{00000000-0005-0000-0000-0000CD1E0000}"/>
    <cellStyle name="Normal 2 2 8 3" xfId="7538" xr:uid="{00000000-0005-0000-0000-0000CE1E0000}"/>
    <cellStyle name="Normal 2 2 8 3 10" xfId="7539" xr:uid="{00000000-0005-0000-0000-0000CF1E0000}"/>
    <cellStyle name="Normal 2 2 8 3 11" xfId="7540" xr:uid="{00000000-0005-0000-0000-0000D01E0000}"/>
    <cellStyle name="Normal 2 2 8 3 12" xfId="7541" xr:uid="{00000000-0005-0000-0000-0000D11E0000}"/>
    <cellStyle name="Normal 2 2 8 3 13" xfId="7542" xr:uid="{00000000-0005-0000-0000-0000D21E0000}"/>
    <cellStyle name="Normal 2 2 8 3 14" xfId="7543" xr:uid="{00000000-0005-0000-0000-0000D31E0000}"/>
    <cellStyle name="Normal 2 2 8 3 15" xfId="7544" xr:uid="{00000000-0005-0000-0000-0000D41E0000}"/>
    <cellStyle name="Normal 2 2 8 3 16" xfId="7545" xr:uid="{00000000-0005-0000-0000-0000D51E0000}"/>
    <cellStyle name="Normal 2 2 8 3 17" xfId="7546" xr:uid="{00000000-0005-0000-0000-0000D61E0000}"/>
    <cellStyle name="Normal 2 2 8 3 2" xfId="7547" xr:uid="{00000000-0005-0000-0000-0000D71E0000}"/>
    <cellStyle name="Normal 2 2 8 3 3" xfId="7548" xr:uid="{00000000-0005-0000-0000-0000D81E0000}"/>
    <cellStyle name="Normal 2 2 8 3 4" xfId="7549" xr:uid="{00000000-0005-0000-0000-0000D91E0000}"/>
    <cellStyle name="Normal 2 2 8 3 5" xfId="7550" xr:uid="{00000000-0005-0000-0000-0000DA1E0000}"/>
    <cellStyle name="Normal 2 2 8 3 6" xfId="7551" xr:uid="{00000000-0005-0000-0000-0000DB1E0000}"/>
    <cellStyle name="Normal 2 2 8 3 7" xfId="7552" xr:uid="{00000000-0005-0000-0000-0000DC1E0000}"/>
    <cellStyle name="Normal 2 2 8 3 8" xfId="7553" xr:uid="{00000000-0005-0000-0000-0000DD1E0000}"/>
    <cellStyle name="Normal 2 2 8 3 9" xfId="7554" xr:uid="{00000000-0005-0000-0000-0000DE1E0000}"/>
    <cellStyle name="Normal 2 2 8 30" xfId="7555" xr:uid="{00000000-0005-0000-0000-0000DF1E0000}"/>
    <cellStyle name="Normal 2 2 8 31" xfId="7556" xr:uid="{00000000-0005-0000-0000-0000E01E0000}"/>
    <cellStyle name="Normal 2 2 8 32" xfId="7557" xr:uid="{00000000-0005-0000-0000-0000E11E0000}"/>
    <cellStyle name="Normal 2 2 8 33" xfId="7558" xr:uid="{00000000-0005-0000-0000-0000E21E0000}"/>
    <cellStyle name="Normal 2 2 8 34" xfId="7559" xr:uid="{00000000-0005-0000-0000-0000E31E0000}"/>
    <cellStyle name="Normal 2 2 8 35" xfId="7560" xr:uid="{00000000-0005-0000-0000-0000E41E0000}"/>
    <cellStyle name="Normal 2 2 8 36" xfId="7561" xr:uid="{00000000-0005-0000-0000-0000E51E0000}"/>
    <cellStyle name="Normal 2 2 8 37" xfId="7562" xr:uid="{00000000-0005-0000-0000-0000E61E0000}"/>
    <cellStyle name="Normal 2 2 8 38" xfId="7563" xr:uid="{00000000-0005-0000-0000-0000E71E0000}"/>
    <cellStyle name="Normal 2 2 8 39" xfId="7564" xr:uid="{00000000-0005-0000-0000-0000E81E0000}"/>
    <cellStyle name="Normal 2 2 8 4" xfId="7565" xr:uid="{00000000-0005-0000-0000-0000E91E0000}"/>
    <cellStyle name="Normal 2 2 8 40" xfId="7566" xr:uid="{00000000-0005-0000-0000-0000EA1E0000}"/>
    <cellStyle name="Normal 2 2 8 41" xfId="7567" xr:uid="{00000000-0005-0000-0000-0000EB1E0000}"/>
    <cellStyle name="Normal 2 2 8 42" xfId="7568" xr:uid="{00000000-0005-0000-0000-0000EC1E0000}"/>
    <cellStyle name="Normal 2 2 8 43" xfId="7569" xr:uid="{00000000-0005-0000-0000-0000ED1E0000}"/>
    <cellStyle name="Normal 2 2 8 44" xfId="7570" xr:uid="{00000000-0005-0000-0000-0000EE1E0000}"/>
    <cellStyle name="Normal 2 2 8 45" xfId="7571" xr:uid="{00000000-0005-0000-0000-0000EF1E0000}"/>
    <cellStyle name="Normal 2 2 8 46" xfId="7572" xr:uid="{00000000-0005-0000-0000-0000F01E0000}"/>
    <cellStyle name="Normal 2 2 8 47" xfId="7573" xr:uid="{00000000-0005-0000-0000-0000F11E0000}"/>
    <cellStyle name="Normal 2 2 8 48" xfId="7574" xr:uid="{00000000-0005-0000-0000-0000F21E0000}"/>
    <cellStyle name="Normal 2 2 8 49" xfId="7575" xr:uid="{00000000-0005-0000-0000-0000F31E0000}"/>
    <cellStyle name="Normal 2 2 8 5" xfId="7576" xr:uid="{00000000-0005-0000-0000-0000F41E0000}"/>
    <cellStyle name="Normal 2 2 8 50" xfId="7577" xr:uid="{00000000-0005-0000-0000-0000F51E0000}"/>
    <cellStyle name="Normal 2 2 8 51" xfId="7578" xr:uid="{00000000-0005-0000-0000-0000F61E0000}"/>
    <cellStyle name="Normal 2 2 8 52" xfId="7579" xr:uid="{00000000-0005-0000-0000-0000F71E0000}"/>
    <cellStyle name="Normal 2 2 8 53" xfId="7580" xr:uid="{00000000-0005-0000-0000-0000F81E0000}"/>
    <cellStyle name="Normal 2 2 8 54" xfId="7581" xr:uid="{00000000-0005-0000-0000-0000F91E0000}"/>
    <cellStyle name="Normal 2 2 8 55" xfId="7582" xr:uid="{00000000-0005-0000-0000-0000FA1E0000}"/>
    <cellStyle name="Normal 2 2 8 56" xfId="7583" xr:uid="{00000000-0005-0000-0000-0000FB1E0000}"/>
    <cellStyle name="Normal 2 2 8 57" xfId="7584" xr:uid="{00000000-0005-0000-0000-0000FC1E0000}"/>
    <cellStyle name="Normal 2 2 8 58" xfId="7585" xr:uid="{00000000-0005-0000-0000-0000FD1E0000}"/>
    <cellStyle name="Normal 2 2 8 59" xfId="7586" xr:uid="{00000000-0005-0000-0000-0000FE1E0000}"/>
    <cellStyle name="Normal 2 2 8 6" xfId="7587" xr:uid="{00000000-0005-0000-0000-0000FF1E0000}"/>
    <cellStyle name="Normal 2 2 8 60" xfId="7588" xr:uid="{00000000-0005-0000-0000-0000001F0000}"/>
    <cellStyle name="Normal 2 2 8 61" xfId="7589" xr:uid="{00000000-0005-0000-0000-0000011F0000}"/>
    <cellStyle name="Normal 2 2 8 62" xfId="7590" xr:uid="{00000000-0005-0000-0000-0000021F0000}"/>
    <cellStyle name="Normal 2 2 8 63" xfId="7591" xr:uid="{00000000-0005-0000-0000-0000031F0000}"/>
    <cellStyle name="Normal 2 2 8 64" xfId="7592" xr:uid="{00000000-0005-0000-0000-0000041F0000}"/>
    <cellStyle name="Normal 2 2 8 65" xfId="7593" xr:uid="{00000000-0005-0000-0000-0000051F0000}"/>
    <cellStyle name="Normal 2 2 8 66" xfId="7594" xr:uid="{00000000-0005-0000-0000-0000061F0000}"/>
    <cellStyle name="Normal 2 2 8 67" xfId="7595" xr:uid="{00000000-0005-0000-0000-0000071F0000}"/>
    <cellStyle name="Normal 2 2 8 68" xfId="7596" xr:uid="{00000000-0005-0000-0000-0000081F0000}"/>
    <cellStyle name="Normal 2 2 8 69" xfId="7597" xr:uid="{00000000-0005-0000-0000-0000091F0000}"/>
    <cellStyle name="Normal 2 2 8 7" xfId="7598" xr:uid="{00000000-0005-0000-0000-00000A1F0000}"/>
    <cellStyle name="Normal 2 2 8 70" xfId="7599" xr:uid="{00000000-0005-0000-0000-00000B1F0000}"/>
    <cellStyle name="Normal 2 2 8 71" xfId="7600" xr:uid="{00000000-0005-0000-0000-00000C1F0000}"/>
    <cellStyle name="Normal 2 2 8 72" xfId="7601" xr:uid="{00000000-0005-0000-0000-00000D1F0000}"/>
    <cellStyle name="Normal 2 2 8 73" xfId="7602" xr:uid="{00000000-0005-0000-0000-00000E1F0000}"/>
    <cellStyle name="Normal 2 2 8 74" xfId="7603" xr:uid="{00000000-0005-0000-0000-00000F1F0000}"/>
    <cellStyle name="Normal 2 2 8 75" xfId="7604" xr:uid="{00000000-0005-0000-0000-0000101F0000}"/>
    <cellStyle name="Normal 2 2 8 76" xfId="7605" xr:uid="{00000000-0005-0000-0000-0000111F0000}"/>
    <cellStyle name="Normal 2 2 8 77" xfId="7606" xr:uid="{00000000-0005-0000-0000-0000121F0000}"/>
    <cellStyle name="Normal 2 2 8 78" xfId="7607" xr:uid="{00000000-0005-0000-0000-0000131F0000}"/>
    <cellStyle name="Normal 2 2 8 8" xfId="7608" xr:uid="{00000000-0005-0000-0000-0000141F0000}"/>
    <cellStyle name="Normal 2 2 8 9" xfId="7609" xr:uid="{00000000-0005-0000-0000-0000151F0000}"/>
    <cellStyle name="Normal 2 2 80" xfId="7610" xr:uid="{00000000-0005-0000-0000-0000161F0000}"/>
    <cellStyle name="Normal 2 2 81" xfId="7611" xr:uid="{00000000-0005-0000-0000-0000171F0000}"/>
    <cellStyle name="Normal 2 2 82" xfId="7612" xr:uid="{00000000-0005-0000-0000-0000181F0000}"/>
    <cellStyle name="Normal 2 2 83" xfId="7613" xr:uid="{00000000-0005-0000-0000-0000191F0000}"/>
    <cellStyle name="Normal 2 2 84" xfId="7614" xr:uid="{00000000-0005-0000-0000-00001A1F0000}"/>
    <cellStyle name="Normal 2 2 85" xfId="7615" xr:uid="{00000000-0005-0000-0000-00001B1F0000}"/>
    <cellStyle name="Normal 2 2 86" xfId="7616" xr:uid="{00000000-0005-0000-0000-00001C1F0000}"/>
    <cellStyle name="Normal 2 2 87" xfId="7617" xr:uid="{00000000-0005-0000-0000-00001D1F0000}"/>
    <cellStyle name="Normal 2 2 88" xfId="7618" xr:uid="{00000000-0005-0000-0000-00001E1F0000}"/>
    <cellStyle name="Normal 2 2 89" xfId="7619" xr:uid="{00000000-0005-0000-0000-00001F1F0000}"/>
    <cellStyle name="Normal 2 2 9" xfId="7620" xr:uid="{00000000-0005-0000-0000-0000201F0000}"/>
    <cellStyle name="Normal 2 2 9 10" xfId="7621" xr:uid="{00000000-0005-0000-0000-0000211F0000}"/>
    <cellStyle name="Normal 2 2 9 11" xfId="7622" xr:uid="{00000000-0005-0000-0000-0000221F0000}"/>
    <cellStyle name="Normal 2 2 9 12" xfId="7623" xr:uid="{00000000-0005-0000-0000-0000231F0000}"/>
    <cellStyle name="Normal 2 2 9 13" xfId="7624" xr:uid="{00000000-0005-0000-0000-0000241F0000}"/>
    <cellStyle name="Normal 2 2 9 14" xfId="7625" xr:uid="{00000000-0005-0000-0000-0000251F0000}"/>
    <cellStyle name="Normal 2 2 9 15" xfId="7626" xr:uid="{00000000-0005-0000-0000-0000261F0000}"/>
    <cellStyle name="Normal 2 2 9 16" xfId="7627" xr:uid="{00000000-0005-0000-0000-0000271F0000}"/>
    <cellStyle name="Normal 2 2 9 17" xfId="7628" xr:uid="{00000000-0005-0000-0000-0000281F0000}"/>
    <cellStyle name="Normal 2 2 9 18" xfId="7629" xr:uid="{00000000-0005-0000-0000-0000291F0000}"/>
    <cellStyle name="Normal 2 2 9 19" xfId="7630" xr:uid="{00000000-0005-0000-0000-00002A1F0000}"/>
    <cellStyle name="Normal 2 2 9 2" xfId="7631" xr:uid="{00000000-0005-0000-0000-00002B1F0000}"/>
    <cellStyle name="Normal 2 2 9 2 10" xfId="7632" xr:uid="{00000000-0005-0000-0000-00002C1F0000}"/>
    <cellStyle name="Normal 2 2 9 2 11" xfId="7633" xr:uid="{00000000-0005-0000-0000-00002D1F0000}"/>
    <cellStyle name="Normal 2 2 9 2 12" xfId="7634" xr:uid="{00000000-0005-0000-0000-00002E1F0000}"/>
    <cellStyle name="Normal 2 2 9 2 13" xfId="7635" xr:uid="{00000000-0005-0000-0000-00002F1F0000}"/>
    <cellStyle name="Normal 2 2 9 2 14" xfId="7636" xr:uid="{00000000-0005-0000-0000-0000301F0000}"/>
    <cellStyle name="Normal 2 2 9 2 15" xfId="7637" xr:uid="{00000000-0005-0000-0000-0000311F0000}"/>
    <cellStyle name="Normal 2 2 9 2 16" xfId="7638" xr:uid="{00000000-0005-0000-0000-0000321F0000}"/>
    <cellStyle name="Normal 2 2 9 2 17" xfId="7639" xr:uid="{00000000-0005-0000-0000-0000331F0000}"/>
    <cellStyle name="Normal 2 2 9 2 2" xfId="7640" xr:uid="{00000000-0005-0000-0000-0000341F0000}"/>
    <cellStyle name="Normal 2 2 9 2 3" xfId="7641" xr:uid="{00000000-0005-0000-0000-0000351F0000}"/>
    <cellStyle name="Normal 2 2 9 2 4" xfId="7642" xr:uid="{00000000-0005-0000-0000-0000361F0000}"/>
    <cellStyle name="Normal 2 2 9 2 5" xfId="7643" xr:uid="{00000000-0005-0000-0000-0000371F0000}"/>
    <cellStyle name="Normal 2 2 9 2 6" xfId="7644" xr:uid="{00000000-0005-0000-0000-0000381F0000}"/>
    <cellStyle name="Normal 2 2 9 2 7" xfId="7645" xr:uid="{00000000-0005-0000-0000-0000391F0000}"/>
    <cellStyle name="Normal 2 2 9 2 8" xfId="7646" xr:uid="{00000000-0005-0000-0000-00003A1F0000}"/>
    <cellStyle name="Normal 2 2 9 2 9" xfId="7647" xr:uid="{00000000-0005-0000-0000-00003B1F0000}"/>
    <cellStyle name="Normal 2 2 9 20" xfId="7648" xr:uid="{00000000-0005-0000-0000-00003C1F0000}"/>
    <cellStyle name="Normal 2 2 9 21" xfId="7649" xr:uid="{00000000-0005-0000-0000-00003D1F0000}"/>
    <cellStyle name="Normal 2 2 9 22" xfId="7650" xr:uid="{00000000-0005-0000-0000-00003E1F0000}"/>
    <cellStyle name="Normal 2 2 9 23" xfId="7651" xr:uid="{00000000-0005-0000-0000-00003F1F0000}"/>
    <cellStyle name="Normal 2 2 9 24" xfId="7652" xr:uid="{00000000-0005-0000-0000-0000401F0000}"/>
    <cellStyle name="Normal 2 2 9 25" xfId="7653" xr:uid="{00000000-0005-0000-0000-0000411F0000}"/>
    <cellStyle name="Normal 2 2 9 26" xfId="7654" xr:uid="{00000000-0005-0000-0000-0000421F0000}"/>
    <cellStyle name="Normal 2 2 9 27" xfId="7655" xr:uid="{00000000-0005-0000-0000-0000431F0000}"/>
    <cellStyle name="Normal 2 2 9 28" xfId="7656" xr:uid="{00000000-0005-0000-0000-0000441F0000}"/>
    <cellStyle name="Normal 2 2 9 29" xfId="7657" xr:uid="{00000000-0005-0000-0000-0000451F0000}"/>
    <cellStyle name="Normal 2 2 9 3" xfId="7658" xr:uid="{00000000-0005-0000-0000-0000461F0000}"/>
    <cellStyle name="Normal 2 2 9 3 10" xfId="7659" xr:uid="{00000000-0005-0000-0000-0000471F0000}"/>
    <cellStyle name="Normal 2 2 9 3 11" xfId="7660" xr:uid="{00000000-0005-0000-0000-0000481F0000}"/>
    <cellStyle name="Normal 2 2 9 3 12" xfId="7661" xr:uid="{00000000-0005-0000-0000-0000491F0000}"/>
    <cellStyle name="Normal 2 2 9 3 13" xfId="7662" xr:uid="{00000000-0005-0000-0000-00004A1F0000}"/>
    <cellStyle name="Normal 2 2 9 3 14" xfId="7663" xr:uid="{00000000-0005-0000-0000-00004B1F0000}"/>
    <cellStyle name="Normal 2 2 9 3 15" xfId="7664" xr:uid="{00000000-0005-0000-0000-00004C1F0000}"/>
    <cellStyle name="Normal 2 2 9 3 16" xfId="7665" xr:uid="{00000000-0005-0000-0000-00004D1F0000}"/>
    <cellStyle name="Normal 2 2 9 3 17" xfId="7666" xr:uid="{00000000-0005-0000-0000-00004E1F0000}"/>
    <cellStyle name="Normal 2 2 9 3 2" xfId="7667" xr:uid="{00000000-0005-0000-0000-00004F1F0000}"/>
    <cellStyle name="Normal 2 2 9 3 3" xfId="7668" xr:uid="{00000000-0005-0000-0000-0000501F0000}"/>
    <cellStyle name="Normal 2 2 9 3 4" xfId="7669" xr:uid="{00000000-0005-0000-0000-0000511F0000}"/>
    <cellStyle name="Normal 2 2 9 3 5" xfId="7670" xr:uid="{00000000-0005-0000-0000-0000521F0000}"/>
    <cellStyle name="Normal 2 2 9 3 6" xfId="7671" xr:uid="{00000000-0005-0000-0000-0000531F0000}"/>
    <cellStyle name="Normal 2 2 9 3 7" xfId="7672" xr:uid="{00000000-0005-0000-0000-0000541F0000}"/>
    <cellStyle name="Normal 2 2 9 3 8" xfId="7673" xr:uid="{00000000-0005-0000-0000-0000551F0000}"/>
    <cellStyle name="Normal 2 2 9 3 9" xfId="7674" xr:uid="{00000000-0005-0000-0000-0000561F0000}"/>
    <cellStyle name="Normal 2 2 9 30" xfId="7675" xr:uid="{00000000-0005-0000-0000-0000571F0000}"/>
    <cellStyle name="Normal 2 2 9 31" xfId="7676" xr:uid="{00000000-0005-0000-0000-0000581F0000}"/>
    <cellStyle name="Normal 2 2 9 32" xfId="7677" xr:uid="{00000000-0005-0000-0000-0000591F0000}"/>
    <cellStyle name="Normal 2 2 9 33" xfId="7678" xr:uid="{00000000-0005-0000-0000-00005A1F0000}"/>
    <cellStyle name="Normal 2 2 9 34" xfId="7679" xr:uid="{00000000-0005-0000-0000-00005B1F0000}"/>
    <cellStyle name="Normal 2 2 9 35" xfId="7680" xr:uid="{00000000-0005-0000-0000-00005C1F0000}"/>
    <cellStyle name="Normal 2 2 9 36" xfId="7681" xr:uid="{00000000-0005-0000-0000-00005D1F0000}"/>
    <cellStyle name="Normal 2 2 9 37" xfId="7682" xr:uid="{00000000-0005-0000-0000-00005E1F0000}"/>
    <cellStyle name="Normal 2 2 9 38" xfId="7683" xr:uid="{00000000-0005-0000-0000-00005F1F0000}"/>
    <cellStyle name="Normal 2 2 9 39" xfId="7684" xr:uid="{00000000-0005-0000-0000-0000601F0000}"/>
    <cellStyle name="Normal 2 2 9 4" xfId="7685" xr:uid="{00000000-0005-0000-0000-0000611F0000}"/>
    <cellStyle name="Normal 2 2 9 40" xfId="7686" xr:uid="{00000000-0005-0000-0000-0000621F0000}"/>
    <cellStyle name="Normal 2 2 9 41" xfId="7687" xr:uid="{00000000-0005-0000-0000-0000631F0000}"/>
    <cellStyle name="Normal 2 2 9 42" xfId="7688" xr:uid="{00000000-0005-0000-0000-0000641F0000}"/>
    <cellStyle name="Normal 2 2 9 43" xfId="7689" xr:uid="{00000000-0005-0000-0000-0000651F0000}"/>
    <cellStyle name="Normal 2 2 9 44" xfId="7690" xr:uid="{00000000-0005-0000-0000-0000661F0000}"/>
    <cellStyle name="Normal 2 2 9 45" xfId="7691" xr:uid="{00000000-0005-0000-0000-0000671F0000}"/>
    <cellStyle name="Normal 2 2 9 46" xfId="7692" xr:uid="{00000000-0005-0000-0000-0000681F0000}"/>
    <cellStyle name="Normal 2 2 9 47" xfId="7693" xr:uid="{00000000-0005-0000-0000-0000691F0000}"/>
    <cellStyle name="Normal 2 2 9 48" xfId="7694" xr:uid="{00000000-0005-0000-0000-00006A1F0000}"/>
    <cellStyle name="Normal 2 2 9 49" xfId="7695" xr:uid="{00000000-0005-0000-0000-00006B1F0000}"/>
    <cellStyle name="Normal 2 2 9 5" xfId="7696" xr:uid="{00000000-0005-0000-0000-00006C1F0000}"/>
    <cellStyle name="Normal 2 2 9 50" xfId="7697" xr:uid="{00000000-0005-0000-0000-00006D1F0000}"/>
    <cellStyle name="Normal 2 2 9 51" xfId="7698" xr:uid="{00000000-0005-0000-0000-00006E1F0000}"/>
    <cellStyle name="Normal 2 2 9 52" xfId="7699" xr:uid="{00000000-0005-0000-0000-00006F1F0000}"/>
    <cellStyle name="Normal 2 2 9 53" xfId="7700" xr:uid="{00000000-0005-0000-0000-0000701F0000}"/>
    <cellStyle name="Normal 2 2 9 54" xfId="7701" xr:uid="{00000000-0005-0000-0000-0000711F0000}"/>
    <cellStyle name="Normal 2 2 9 55" xfId="7702" xr:uid="{00000000-0005-0000-0000-0000721F0000}"/>
    <cellStyle name="Normal 2 2 9 56" xfId="7703" xr:uid="{00000000-0005-0000-0000-0000731F0000}"/>
    <cellStyle name="Normal 2 2 9 57" xfId="7704" xr:uid="{00000000-0005-0000-0000-0000741F0000}"/>
    <cellStyle name="Normal 2 2 9 58" xfId="7705" xr:uid="{00000000-0005-0000-0000-0000751F0000}"/>
    <cellStyle name="Normal 2 2 9 59" xfId="7706" xr:uid="{00000000-0005-0000-0000-0000761F0000}"/>
    <cellStyle name="Normal 2 2 9 6" xfId="7707" xr:uid="{00000000-0005-0000-0000-0000771F0000}"/>
    <cellStyle name="Normal 2 2 9 60" xfId="7708" xr:uid="{00000000-0005-0000-0000-0000781F0000}"/>
    <cellStyle name="Normal 2 2 9 61" xfId="7709" xr:uid="{00000000-0005-0000-0000-0000791F0000}"/>
    <cellStyle name="Normal 2 2 9 62" xfId="7710" xr:uid="{00000000-0005-0000-0000-00007A1F0000}"/>
    <cellStyle name="Normal 2 2 9 63" xfId="7711" xr:uid="{00000000-0005-0000-0000-00007B1F0000}"/>
    <cellStyle name="Normal 2 2 9 64" xfId="7712" xr:uid="{00000000-0005-0000-0000-00007C1F0000}"/>
    <cellStyle name="Normal 2 2 9 65" xfId="7713" xr:uid="{00000000-0005-0000-0000-00007D1F0000}"/>
    <cellStyle name="Normal 2 2 9 66" xfId="7714" xr:uid="{00000000-0005-0000-0000-00007E1F0000}"/>
    <cellStyle name="Normal 2 2 9 67" xfId="7715" xr:uid="{00000000-0005-0000-0000-00007F1F0000}"/>
    <cellStyle name="Normal 2 2 9 68" xfId="7716" xr:uid="{00000000-0005-0000-0000-0000801F0000}"/>
    <cellStyle name="Normal 2 2 9 69" xfId="7717" xr:uid="{00000000-0005-0000-0000-0000811F0000}"/>
    <cellStyle name="Normal 2 2 9 7" xfId="7718" xr:uid="{00000000-0005-0000-0000-0000821F0000}"/>
    <cellStyle name="Normal 2 2 9 70" xfId="7719" xr:uid="{00000000-0005-0000-0000-0000831F0000}"/>
    <cellStyle name="Normal 2 2 9 71" xfId="7720" xr:uid="{00000000-0005-0000-0000-0000841F0000}"/>
    <cellStyle name="Normal 2 2 9 72" xfId="7721" xr:uid="{00000000-0005-0000-0000-0000851F0000}"/>
    <cellStyle name="Normal 2 2 9 73" xfId="7722" xr:uid="{00000000-0005-0000-0000-0000861F0000}"/>
    <cellStyle name="Normal 2 2 9 74" xfId="7723" xr:uid="{00000000-0005-0000-0000-0000871F0000}"/>
    <cellStyle name="Normal 2 2 9 75" xfId="7724" xr:uid="{00000000-0005-0000-0000-0000881F0000}"/>
    <cellStyle name="Normal 2 2 9 76" xfId="7725" xr:uid="{00000000-0005-0000-0000-0000891F0000}"/>
    <cellStyle name="Normal 2 2 9 77" xfId="7726" xr:uid="{00000000-0005-0000-0000-00008A1F0000}"/>
    <cellStyle name="Normal 2 2 9 78" xfId="7727" xr:uid="{00000000-0005-0000-0000-00008B1F0000}"/>
    <cellStyle name="Normal 2 2 9 8" xfId="7728" xr:uid="{00000000-0005-0000-0000-00008C1F0000}"/>
    <cellStyle name="Normal 2 2 9 9" xfId="7729" xr:uid="{00000000-0005-0000-0000-00008D1F0000}"/>
    <cellStyle name="Normal 2 2 90" xfId="7730" xr:uid="{00000000-0005-0000-0000-00008E1F0000}"/>
    <cellStyle name="Normal 2 2 91" xfId="7731" xr:uid="{00000000-0005-0000-0000-00008F1F0000}"/>
    <cellStyle name="Normal 2 2 92" xfId="7732" xr:uid="{00000000-0005-0000-0000-0000901F0000}"/>
    <cellStyle name="Normal 2 2 93" xfId="7733" xr:uid="{00000000-0005-0000-0000-0000911F0000}"/>
    <cellStyle name="Normal 2 2 94" xfId="7734" xr:uid="{00000000-0005-0000-0000-0000921F0000}"/>
    <cellStyle name="Normal 2 2 95" xfId="7735" xr:uid="{00000000-0005-0000-0000-0000931F0000}"/>
    <cellStyle name="Normal 2 2 96" xfId="7736" xr:uid="{00000000-0005-0000-0000-0000941F0000}"/>
    <cellStyle name="Normal 2 2 97" xfId="7737" xr:uid="{00000000-0005-0000-0000-0000951F0000}"/>
    <cellStyle name="Normal 2 2 98" xfId="7738" xr:uid="{00000000-0005-0000-0000-0000961F0000}"/>
    <cellStyle name="Normal 2 2 99" xfId="7739" xr:uid="{00000000-0005-0000-0000-0000971F0000}"/>
    <cellStyle name="Normal 2 2_1.3s Accounting C Costs Scots" xfId="7740" xr:uid="{00000000-0005-0000-0000-0000981F0000}"/>
    <cellStyle name="Normal 2 20" xfId="7741" xr:uid="{00000000-0005-0000-0000-0000991F0000}"/>
    <cellStyle name="Normal 2 21" xfId="7742" xr:uid="{00000000-0005-0000-0000-00009A1F0000}"/>
    <cellStyle name="Normal 2 22" xfId="7743" xr:uid="{00000000-0005-0000-0000-00009B1F0000}"/>
    <cellStyle name="Normal 2 23" xfId="7744" xr:uid="{00000000-0005-0000-0000-00009C1F0000}"/>
    <cellStyle name="Normal 2 24" xfId="7745" xr:uid="{00000000-0005-0000-0000-00009D1F0000}"/>
    <cellStyle name="Normal 2 25" xfId="7746" xr:uid="{00000000-0005-0000-0000-00009E1F0000}"/>
    <cellStyle name="Normal 2 26" xfId="7747" xr:uid="{00000000-0005-0000-0000-00009F1F0000}"/>
    <cellStyle name="Normal 2 27" xfId="7748" xr:uid="{00000000-0005-0000-0000-0000A01F0000}"/>
    <cellStyle name="Normal 2 28" xfId="7749" xr:uid="{00000000-0005-0000-0000-0000A11F0000}"/>
    <cellStyle name="Normal 2 29" xfId="7750" xr:uid="{00000000-0005-0000-0000-0000A21F0000}"/>
    <cellStyle name="Normal 2 3" xfId="7751" xr:uid="{00000000-0005-0000-0000-0000A31F0000}"/>
    <cellStyle name="Normal 2 3 10" xfId="7752" xr:uid="{00000000-0005-0000-0000-0000A41F0000}"/>
    <cellStyle name="Normal 2 3 11" xfId="7753" xr:uid="{00000000-0005-0000-0000-0000A51F0000}"/>
    <cellStyle name="Normal 2 3 12" xfId="7754" xr:uid="{00000000-0005-0000-0000-0000A61F0000}"/>
    <cellStyle name="Normal 2 3 13" xfId="7755" xr:uid="{00000000-0005-0000-0000-0000A71F0000}"/>
    <cellStyle name="Normal 2 3 14" xfId="7756" xr:uid="{00000000-0005-0000-0000-0000A81F0000}"/>
    <cellStyle name="Normal 2 3 15" xfId="7757" xr:uid="{00000000-0005-0000-0000-0000A91F0000}"/>
    <cellStyle name="Normal 2 3 16" xfId="7758" xr:uid="{00000000-0005-0000-0000-0000AA1F0000}"/>
    <cellStyle name="Normal 2 3 17" xfId="7759" xr:uid="{00000000-0005-0000-0000-0000AB1F0000}"/>
    <cellStyle name="Normal 2 3 18" xfId="7760" xr:uid="{00000000-0005-0000-0000-0000AC1F0000}"/>
    <cellStyle name="Normal 2 3 19" xfId="7761" xr:uid="{00000000-0005-0000-0000-0000AD1F0000}"/>
    <cellStyle name="Normal 2 3 2" xfId="7762" xr:uid="{00000000-0005-0000-0000-0000AE1F0000}"/>
    <cellStyle name="Normal 2 3 2 10" xfId="7763" xr:uid="{00000000-0005-0000-0000-0000AF1F0000}"/>
    <cellStyle name="Normal 2 3 2 11" xfId="7764" xr:uid="{00000000-0005-0000-0000-0000B01F0000}"/>
    <cellStyle name="Normal 2 3 2 12" xfId="7765" xr:uid="{00000000-0005-0000-0000-0000B11F0000}"/>
    <cellStyle name="Normal 2 3 2 13" xfId="7766" xr:uid="{00000000-0005-0000-0000-0000B21F0000}"/>
    <cellStyle name="Normal 2 3 2 14" xfId="7767" xr:uid="{00000000-0005-0000-0000-0000B31F0000}"/>
    <cellStyle name="Normal 2 3 2 15" xfId="7768" xr:uid="{00000000-0005-0000-0000-0000B41F0000}"/>
    <cellStyle name="Normal 2 3 2 16" xfId="7769" xr:uid="{00000000-0005-0000-0000-0000B51F0000}"/>
    <cellStyle name="Normal 2 3 2 17" xfId="7770" xr:uid="{00000000-0005-0000-0000-0000B61F0000}"/>
    <cellStyle name="Normal 2 3 2 18" xfId="7771" xr:uid="{00000000-0005-0000-0000-0000B71F0000}"/>
    <cellStyle name="Normal 2 3 2 19" xfId="7772" xr:uid="{00000000-0005-0000-0000-0000B81F0000}"/>
    <cellStyle name="Normal 2 3 2 2" xfId="7773" xr:uid="{00000000-0005-0000-0000-0000B91F0000}"/>
    <cellStyle name="Normal 2 3 2 2 10" xfId="7774" xr:uid="{00000000-0005-0000-0000-0000BA1F0000}"/>
    <cellStyle name="Normal 2 3 2 2 11" xfId="7775" xr:uid="{00000000-0005-0000-0000-0000BB1F0000}"/>
    <cellStyle name="Normal 2 3 2 2 12" xfId="7776" xr:uid="{00000000-0005-0000-0000-0000BC1F0000}"/>
    <cellStyle name="Normal 2 3 2 2 13" xfId="7777" xr:uid="{00000000-0005-0000-0000-0000BD1F0000}"/>
    <cellStyle name="Normal 2 3 2 2 14" xfId="7778" xr:uid="{00000000-0005-0000-0000-0000BE1F0000}"/>
    <cellStyle name="Normal 2 3 2 2 15" xfId="7779" xr:uid="{00000000-0005-0000-0000-0000BF1F0000}"/>
    <cellStyle name="Normal 2 3 2 2 16" xfId="7780" xr:uid="{00000000-0005-0000-0000-0000C01F0000}"/>
    <cellStyle name="Normal 2 3 2 2 17" xfId="7781" xr:uid="{00000000-0005-0000-0000-0000C11F0000}"/>
    <cellStyle name="Normal 2 3 2 2 18" xfId="7782" xr:uid="{00000000-0005-0000-0000-0000C21F0000}"/>
    <cellStyle name="Normal 2 3 2 2 19" xfId="7783" xr:uid="{00000000-0005-0000-0000-0000C31F0000}"/>
    <cellStyle name="Normal 2 3 2 2 2" xfId="7784" xr:uid="{00000000-0005-0000-0000-0000C41F0000}"/>
    <cellStyle name="Normal 2 3 2 2 2 10" xfId="7785" xr:uid="{00000000-0005-0000-0000-0000C51F0000}"/>
    <cellStyle name="Normal 2 3 2 2 2 11" xfId="7786" xr:uid="{00000000-0005-0000-0000-0000C61F0000}"/>
    <cellStyle name="Normal 2 3 2 2 2 12" xfId="7787" xr:uid="{00000000-0005-0000-0000-0000C71F0000}"/>
    <cellStyle name="Normal 2 3 2 2 2 13" xfId="7788" xr:uid="{00000000-0005-0000-0000-0000C81F0000}"/>
    <cellStyle name="Normal 2 3 2 2 2 14" xfId="7789" xr:uid="{00000000-0005-0000-0000-0000C91F0000}"/>
    <cellStyle name="Normal 2 3 2 2 2 15" xfId="7790" xr:uid="{00000000-0005-0000-0000-0000CA1F0000}"/>
    <cellStyle name="Normal 2 3 2 2 2 16" xfId="7791" xr:uid="{00000000-0005-0000-0000-0000CB1F0000}"/>
    <cellStyle name="Normal 2 3 2 2 2 17" xfId="7792" xr:uid="{00000000-0005-0000-0000-0000CC1F0000}"/>
    <cellStyle name="Normal 2 3 2 2 2 18" xfId="7793" xr:uid="{00000000-0005-0000-0000-0000CD1F0000}"/>
    <cellStyle name="Normal 2 3 2 2 2 19" xfId="7794" xr:uid="{00000000-0005-0000-0000-0000CE1F0000}"/>
    <cellStyle name="Normal 2 3 2 2 2 2" xfId="7795" xr:uid="{00000000-0005-0000-0000-0000CF1F0000}"/>
    <cellStyle name="Normal 2 3 2 2 2 2 10" xfId="7796" xr:uid="{00000000-0005-0000-0000-0000D01F0000}"/>
    <cellStyle name="Normal 2 3 2 2 2 2 11" xfId="7797" xr:uid="{00000000-0005-0000-0000-0000D11F0000}"/>
    <cellStyle name="Normal 2 3 2 2 2 2 12" xfId="7798" xr:uid="{00000000-0005-0000-0000-0000D21F0000}"/>
    <cellStyle name="Normal 2 3 2 2 2 2 13" xfId="7799" xr:uid="{00000000-0005-0000-0000-0000D31F0000}"/>
    <cellStyle name="Normal 2 3 2 2 2 2 14" xfId="7800" xr:uid="{00000000-0005-0000-0000-0000D41F0000}"/>
    <cellStyle name="Normal 2 3 2 2 2 2 15" xfId="7801" xr:uid="{00000000-0005-0000-0000-0000D51F0000}"/>
    <cellStyle name="Normal 2 3 2 2 2 2 16" xfId="7802" xr:uid="{00000000-0005-0000-0000-0000D61F0000}"/>
    <cellStyle name="Normal 2 3 2 2 2 2 17" xfId="7803" xr:uid="{00000000-0005-0000-0000-0000D71F0000}"/>
    <cellStyle name="Normal 2 3 2 2 2 2 18" xfId="7804" xr:uid="{00000000-0005-0000-0000-0000D81F0000}"/>
    <cellStyle name="Normal 2 3 2 2 2 2 19" xfId="7805" xr:uid="{00000000-0005-0000-0000-0000D91F0000}"/>
    <cellStyle name="Normal 2 3 2 2 2 2 2" xfId="7806" xr:uid="{00000000-0005-0000-0000-0000DA1F0000}"/>
    <cellStyle name="Normal 2 3 2 2 2 2 2 10" xfId="7807" xr:uid="{00000000-0005-0000-0000-0000DB1F0000}"/>
    <cellStyle name="Normal 2 3 2 2 2 2 2 11" xfId="7808" xr:uid="{00000000-0005-0000-0000-0000DC1F0000}"/>
    <cellStyle name="Normal 2 3 2 2 2 2 2 12" xfId="7809" xr:uid="{00000000-0005-0000-0000-0000DD1F0000}"/>
    <cellStyle name="Normal 2 3 2 2 2 2 2 13" xfId="7810" xr:uid="{00000000-0005-0000-0000-0000DE1F0000}"/>
    <cellStyle name="Normal 2 3 2 2 2 2 2 14" xfId="7811" xr:uid="{00000000-0005-0000-0000-0000DF1F0000}"/>
    <cellStyle name="Normal 2 3 2 2 2 2 2 15" xfId="7812" xr:uid="{00000000-0005-0000-0000-0000E01F0000}"/>
    <cellStyle name="Normal 2 3 2 2 2 2 2 16" xfId="7813" xr:uid="{00000000-0005-0000-0000-0000E11F0000}"/>
    <cellStyle name="Normal 2 3 2 2 2 2 2 17" xfId="7814" xr:uid="{00000000-0005-0000-0000-0000E21F0000}"/>
    <cellStyle name="Normal 2 3 2 2 2 2 2 18" xfId="7815" xr:uid="{00000000-0005-0000-0000-0000E31F0000}"/>
    <cellStyle name="Normal 2 3 2 2 2 2 2 2" xfId="7816" xr:uid="{00000000-0005-0000-0000-0000E41F0000}"/>
    <cellStyle name="Normal 2 3 2 2 2 2 2 3" xfId="7817" xr:uid="{00000000-0005-0000-0000-0000E51F0000}"/>
    <cellStyle name="Normal 2 3 2 2 2 2 2 4" xfId="7818" xr:uid="{00000000-0005-0000-0000-0000E61F0000}"/>
    <cellStyle name="Normal 2 3 2 2 2 2 2 5" xfId="7819" xr:uid="{00000000-0005-0000-0000-0000E71F0000}"/>
    <cellStyle name="Normal 2 3 2 2 2 2 2 6" xfId="7820" xr:uid="{00000000-0005-0000-0000-0000E81F0000}"/>
    <cellStyle name="Normal 2 3 2 2 2 2 2 7" xfId="7821" xr:uid="{00000000-0005-0000-0000-0000E91F0000}"/>
    <cellStyle name="Normal 2 3 2 2 2 2 2 8" xfId="7822" xr:uid="{00000000-0005-0000-0000-0000EA1F0000}"/>
    <cellStyle name="Normal 2 3 2 2 2 2 2 9" xfId="7823" xr:uid="{00000000-0005-0000-0000-0000EB1F0000}"/>
    <cellStyle name="Normal 2 3 2 2 2 2 3" xfId="7824" xr:uid="{00000000-0005-0000-0000-0000EC1F0000}"/>
    <cellStyle name="Normal 2 3 2 2 2 2 4" xfId="7825" xr:uid="{00000000-0005-0000-0000-0000ED1F0000}"/>
    <cellStyle name="Normal 2 3 2 2 2 2 5" xfId="7826" xr:uid="{00000000-0005-0000-0000-0000EE1F0000}"/>
    <cellStyle name="Normal 2 3 2 2 2 2 6" xfId="7827" xr:uid="{00000000-0005-0000-0000-0000EF1F0000}"/>
    <cellStyle name="Normal 2 3 2 2 2 2 7" xfId="7828" xr:uid="{00000000-0005-0000-0000-0000F01F0000}"/>
    <cellStyle name="Normal 2 3 2 2 2 2 8" xfId="7829" xr:uid="{00000000-0005-0000-0000-0000F11F0000}"/>
    <cellStyle name="Normal 2 3 2 2 2 2 9" xfId="7830" xr:uid="{00000000-0005-0000-0000-0000F21F0000}"/>
    <cellStyle name="Normal 2 3 2 2 2 2_ELEC SAP FCST UPLOAD" xfId="7831" xr:uid="{00000000-0005-0000-0000-0000F31F0000}"/>
    <cellStyle name="Normal 2 3 2 2 2 20" xfId="7832" xr:uid="{00000000-0005-0000-0000-0000F41F0000}"/>
    <cellStyle name="Normal 2 3 2 2 2 21" xfId="7833" xr:uid="{00000000-0005-0000-0000-0000F51F0000}"/>
    <cellStyle name="Normal 2 3 2 2 2 22" xfId="7834" xr:uid="{00000000-0005-0000-0000-0000F61F0000}"/>
    <cellStyle name="Normal 2 3 2 2 2 3" xfId="7835" xr:uid="{00000000-0005-0000-0000-0000F71F0000}"/>
    <cellStyle name="Normal 2 3 2 2 2 4" xfId="7836" xr:uid="{00000000-0005-0000-0000-0000F81F0000}"/>
    <cellStyle name="Normal 2 3 2 2 2 5" xfId="7837" xr:uid="{00000000-0005-0000-0000-0000F91F0000}"/>
    <cellStyle name="Normal 2 3 2 2 2 6" xfId="7838" xr:uid="{00000000-0005-0000-0000-0000FA1F0000}"/>
    <cellStyle name="Normal 2 3 2 2 2 7" xfId="7839" xr:uid="{00000000-0005-0000-0000-0000FB1F0000}"/>
    <cellStyle name="Normal 2 3 2 2 2 8" xfId="7840" xr:uid="{00000000-0005-0000-0000-0000FC1F0000}"/>
    <cellStyle name="Normal 2 3 2 2 2 9" xfId="7841" xr:uid="{00000000-0005-0000-0000-0000FD1F0000}"/>
    <cellStyle name="Normal 2 3 2 2 2_ELEC SAP FCST UPLOAD" xfId="7842" xr:uid="{00000000-0005-0000-0000-0000FE1F0000}"/>
    <cellStyle name="Normal 2 3 2 2 20" xfId="7843" xr:uid="{00000000-0005-0000-0000-0000FF1F0000}"/>
    <cellStyle name="Normal 2 3 2 2 21" xfId="7844" xr:uid="{00000000-0005-0000-0000-000000200000}"/>
    <cellStyle name="Normal 2 3 2 2 22" xfId="7845" xr:uid="{00000000-0005-0000-0000-000001200000}"/>
    <cellStyle name="Normal 2 3 2 2 23" xfId="7846" xr:uid="{00000000-0005-0000-0000-000002200000}"/>
    <cellStyle name="Normal 2 3 2 2 24" xfId="7847" xr:uid="{00000000-0005-0000-0000-000003200000}"/>
    <cellStyle name="Normal 2 3 2 2 25" xfId="7848" xr:uid="{00000000-0005-0000-0000-000004200000}"/>
    <cellStyle name="Normal 2 3 2 2 26" xfId="7849" xr:uid="{00000000-0005-0000-0000-000005200000}"/>
    <cellStyle name="Normal 2 3 2 2 27" xfId="7850" xr:uid="{00000000-0005-0000-0000-000006200000}"/>
    <cellStyle name="Normal 2 3 2 2 28" xfId="7851" xr:uid="{00000000-0005-0000-0000-000007200000}"/>
    <cellStyle name="Normal 2 3 2 2 29" xfId="7852" xr:uid="{00000000-0005-0000-0000-000008200000}"/>
    <cellStyle name="Normal 2 3 2 2 3" xfId="7853" xr:uid="{00000000-0005-0000-0000-000009200000}"/>
    <cellStyle name="Normal 2 3 2 2 3 2" xfId="7854" xr:uid="{00000000-0005-0000-0000-00000A200000}"/>
    <cellStyle name="Normal 2 3 2 2 3 3" xfId="7855" xr:uid="{00000000-0005-0000-0000-00000B200000}"/>
    <cellStyle name="Normal 2 3 2 2 3_ELEC SAP FCST UPLOAD" xfId="7856" xr:uid="{00000000-0005-0000-0000-00000C200000}"/>
    <cellStyle name="Normal 2 3 2 2 30" xfId="7857" xr:uid="{00000000-0005-0000-0000-00000D200000}"/>
    <cellStyle name="Normal 2 3 2 2 31" xfId="7858" xr:uid="{00000000-0005-0000-0000-00000E200000}"/>
    <cellStyle name="Normal 2 3 2 2 32" xfId="7859" xr:uid="{00000000-0005-0000-0000-00000F200000}"/>
    <cellStyle name="Normal 2 3 2 2 33" xfId="7860" xr:uid="{00000000-0005-0000-0000-000010200000}"/>
    <cellStyle name="Normal 2 3 2 2 34" xfId="7861" xr:uid="{00000000-0005-0000-0000-000011200000}"/>
    <cellStyle name="Normal 2 3 2 2 35" xfId="7862" xr:uid="{00000000-0005-0000-0000-000012200000}"/>
    <cellStyle name="Normal 2 3 2 2 36" xfId="7863" xr:uid="{00000000-0005-0000-0000-000013200000}"/>
    <cellStyle name="Normal 2 3 2 2 37" xfId="7864" xr:uid="{00000000-0005-0000-0000-000014200000}"/>
    <cellStyle name="Normal 2 3 2 2 38" xfId="7865" xr:uid="{00000000-0005-0000-0000-000015200000}"/>
    <cellStyle name="Normal 2 3 2 2 39" xfId="7866" xr:uid="{00000000-0005-0000-0000-000016200000}"/>
    <cellStyle name="Normal 2 3 2 2 4" xfId="7867" xr:uid="{00000000-0005-0000-0000-000017200000}"/>
    <cellStyle name="Normal 2 3 2 2 40" xfId="7868" xr:uid="{00000000-0005-0000-0000-000018200000}"/>
    <cellStyle name="Normal 2 3 2 2 41" xfId="7869" xr:uid="{00000000-0005-0000-0000-000019200000}"/>
    <cellStyle name="Normal 2 3 2 2 42" xfId="7870" xr:uid="{00000000-0005-0000-0000-00001A200000}"/>
    <cellStyle name="Normal 2 3 2 2 43" xfId="7871" xr:uid="{00000000-0005-0000-0000-00001B200000}"/>
    <cellStyle name="Normal 2 3 2 2 44" xfId="7872" xr:uid="{00000000-0005-0000-0000-00001C200000}"/>
    <cellStyle name="Normal 2 3 2 2 45" xfId="7873" xr:uid="{00000000-0005-0000-0000-00001D200000}"/>
    <cellStyle name="Normal 2 3 2 2 46" xfId="7874" xr:uid="{00000000-0005-0000-0000-00001E200000}"/>
    <cellStyle name="Normal 2 3 2 2 47" xfId="7875" xr:uid="{00000000-0005-0000-0000-00001F200000}"/>
    <cellStyle name="Normal 2 3 2 2 48" xfId="7876" xr:uid="{00000000-0005-0000-0000-000020200000}"/>
    <cellStyle name="Normal 2 3 2 2 49" xfId="7877" xr:uid="{00000000-0005-0000-0000-000021200000}"/>
    <cellStyle name="Normal 2 3 2 2 5" xfId="7878" xr:uid="{00000000-0005-0000-0000-000022200000}"/>
    <cellStyle name="Normal 2 3 2 2 50" xfId="7879" xr:uid="{00000000-0005-0000-0000-000023200000}"/>
    <cellStyle name="Normal 2 3 2 2 51" xfId="7880" xr:uid="{00000000-0005-0000-0000-000024200000}"/>
    <cellStyle name="Normal 2 3 2 2 52" xfId="7881" xr:uid="{00000000-0005-0000-0000-000025200000}"/>
    <cellStyle name="Normal 2 3 2 2 53" xfId="7882" xr:uid="{00000000-0005-0000-0000-000026200000}"/>
    <cellStyle name="Normal 2 3 2 2 54" xfId="7883" xr:uid="{00000000-0005-0000-0000-000027200000}"/>
    <cellStyle name="Normal 2 3 2 2 55" xfId="7884" xr:uid="{00000000-0005-0000-0000-000028200000}"/>
    <cellStyle name="Normal 2 3 2 2 56" xfId="7885" xr:uid="{00000000-0005-0000-0000-000029200000}"/>
    <cellStyle name="Normal 2 3 2 2 57" xfId="7886" xr:uid="{00000000-0005-0000-0000-00002A200000}"/>
    <cellStyle name="Normal 2 3 2 2 58" xfId="7887" xr:uid="{00000000-0005-0000-0000-00002B200000}"/>
    <cellStyle name="Normal 2 3 2 2 59" xfId="7888" xr:uid="{00000000-0005-0000-0000-00002C200000}"/>
    <cellStyle name="Normal 2 3 2 2 6" xfId="7889" xr:uid="{00000000-0005-0000-0000-00002D200000}"/>
    <cellStyle name="Normal 2 3 2 2 60" xfId="7890" xr:uid="{00000000-0005-0000-0000-00002E200000}"/>
    <cellStyle name="Normal 2 3 2 2 61" xfId="7891" xr:uid="{00000000-0005-0000-0000-00002F200000}"/>
    <cellStyle name="Normal 2 3 2 2 62" xfId="7892" xr:uid="{00000000-0005-0000-0000-000030200000}"/>
    <cellStyle name="Normal 2 3 2 2 63" xfId="7893" xr:uid="{00000000-0005-0000-0000-000031200000}"/>
    <cellStyle name="Normal 2 3 2 2 64" xfId="7894" xr:uid="{00000000-0005-0000-0000-000032200000}"/>
    <cellStyle name="Normal 2 3 2 2 65" xfId="7895" xr:uid="{00000000-0005-0000-0000-000033200000}"/>
    <cellStyle name="Normal 2 3 2 2 66" xfId="7896" xr:uid="{00000000-0005-0000-0000-000034200000}"/>
    <cellStyle name="Normal 2 3 2 2 67" xfId="7897" xr:uid="{00000000-0005-0000-0000-000035200000}"/>
    <cellStyle name="Normal 2 3 2 2 68" xfId="7898" xr:uid="{00000000-0005-0000-0000-000036200000}"/>
    <cellStyle name="Normal 2 3 2 2 69" xfId="7899" xr:uid="{00000000-0005-0000-0000-000037200000}"/>
    <cellStyle name="Normal 2 3 2 2 7" xfId="7900" xr:uid="{00000000-0005-0000-0000-000038200000}"/>
    <cellStyle name="Normal 2 3 2 2 7 10" xfId="7901" xr:uid="{00000000-0005-0000-0000-000039200000}"/>
    <cellStyle name="Normal 2 3 2 2 7 11" xfId="7902" xr:uid="{00000000-0005-0000-0000-00003A200000}"/>
    <cellStyle name="Normal 2 3 2 2 7 12" xfId="7903" xr:uid="{00000000-0005-0000-0000-00003B200000}"/>
    <cellStyle name="Normal 2 3 2 2 7 13" xfId="7904" xr:uid="{00000000-0005-0000-0000-00003C200000}"/>
    <cellStyle name="Normal 2 3 2 2 7 14" xfId="7905" xr:uid="{00000000-0005-0000-0000-00003D200000}"/>
    <cellStyle name="Normal 2 3 2 2 7 15" xfId="7906" xr:uid="{00000000-0005-0000-0000-00003E200000}"/>
    <cellStyle name="Normal 2 3 2 2 7 16" xfId="7907" xr:uid="{00000000-0005-0000-0000-00003F200000}"/>
    <cellStyle name="Normal 2 3 2 2 7 17" xfId="7908" xr:uid="{00000000-0005-0000-0000-000040200000}"/>
    <cellStyle name="Normal 2 3 2 2 7 2" xfId="7909" xr:uid="{00000000-0005-0000-0000-000041200000}"/>
    <cellStyle name="Normal 2 3 2 2 7 3" xfId="7910" xr:uid="{00000000-0005-0000-0000-000042200000}"/>
    <cellStyle name="Normal 2 3 2 2 7 4" xfId="7911" xr:uid="{00000000-0005-0000-0000-000043200000}"/>
    <cellStyle name="Normal 2 3 2 2 7 5" xfId="7912" xr:uid="{00000000-0005-0000-0000-000044200000}"/>
    <cellStyle name="Normal 2 3 2 2 7 6" xfId="7913" xr:uid="{00000000-0005-0000-0000-000045200000}"/>
    <cellStyle name="Normal 2 3 2 2 7 7" xfId="7914" xr:uid="{00000000-0005-0000-0000-000046200000}"/>
    <cellStyle name="Normal 2 3 2 2 7 8" xfId="7915" xr:uid="{00000000-0005-0000-0000-000047200000}"/>
    <cellStyle name="Normal 2 3 2 2 7 9" xfId="7916" xr:uid="{00000000-0005-0000-0000-000048200000}"/>
    <cellStyle name="Normal 2 3 2 2 70" xfId="7917" xr:uid="{00000000-0005-0000-0000-000049200000}"/>
    <cellStyle name="Normal 2 3 2 2 71" xfId="7918" xr:uid="{00000000-0005-0000-0000-00004A200000}"/>
    <cellStyle name="Normal 2 3 2 2 72" xfId="7919" xr:uid="{00000000-0005-0000-0000-00004B200000}"/>
    <cellStyle name="Normal 2 3 2 2 73" xfId="7920" xr:uid="{00000000-0005-0000-0000-00004C200000}"/>
    <cellStyle name="Normal 2 3 2 2 74" xfId="7921" xr:uid="{00000000-0005-0000-0000-00004D200000}"/>
    <cellStyle name="Normal 2 3 2 2 75" xfId="7922" xr:uid="{00000000-0005-0000-0000-00004E200000}"/>
    <cellStyle name="Normal 2 3 2 2 76" xfId="7923" xr:uid="{00000000-0005-0000-0000-00004F200000}"/>
    <cellStyle name="Normal 2 3 2 2 77" xfId="7924" xr:uid="{00000000-0005-0000-0000-000050200000}"/>
    <cellStyle name="Normal 2 3 2 2 78" xfId="7925" xr:uid="{00000000-0005-0000-0000-000051200000}"/>
    <cellStyle name="Normal 2 3 2 2 79" xfId="7926" xr:uid="{00000000-0005-0000-0000-000052200000}"/>
    <cellStyle name="Normal 2 3 2 2 8" xfId="7927" xr:uid="{00000000-0005-0000-0000-000053200000}"/>
    <cellStyle name="Normal 2 3 2 2 80" xfId="7928" xr:uid="{00000000-0005-0000-0000-000054200000}"/>
    <cellStyle name="Normal 2 3 2 2 81" xfId="7929" xr:uid="{00000000-0005-0000-0000-000055200000}"/>
    <cellStyle name="Normal 2 3 2 2 82" xfId="7930" xr:uid="{00000000-0005-0000-0000-000056200000}"/>
    <cellStyle name="Normal 2 3 2 2 83" xfId="7931" xr:uid="{00000000-0005-0000-0000-000057200000}"/>
    <cellStyle name="Normal 2 3 2 2 9" xfId="7932" xr:uid="{00000000-0005-0000-0000-000058200000}"/>
    <cellStyle name="Normal 2 3 2 2_ELEC SAP FCST UPLOAD" xfId="7933" xr:uid="{00000000-0005-0000-0000-000059200000}"/>
    <cellStyle name="Normal 2 3 2 20" xfId="7934" xr:uid="{00000000-0005-0000-0000-00005A200000}"/>
    <cellStyle name="Normal 2 3 2 21" xfId="7935" xr:uid="{00000000-0005-0000-0000-00005B200000}"/>
    <cellStyle name="Normal 2 3 2 22" xfId="7936" xr:uid="{00000000-0005-0000-0000-00005C200000}"/>
    <cellStyle name="Normal 2 3 2 23" xfId="7937" xr:uid="{00000000-0005-0000-0000-00005D200000}"/>
    <cellStyle name="Normal 2 3 2 24" xfId="7938" xr:uid="{00000000-0005-0000-0000-00005E200000}"/>
    <cellStyle name="Normal 2 3 2 25" xfId="7939" xr:uid="{00000000-0005-0000-0000-00005F200000}"/>
    <cellStyle name="Normal 2 3 2 26" xfId="7940" xr:uid="{00000000-0005-0000-0000-000060200000}"/>
    <cellStyle name="Normal 2 3 2 27" xfId="7941" xr:uid="{00000000-0005-0000-0000-000061200000}"/>
    <cellStyle name="Normal 2 3 2 28" xfId="7942" xr:uid="{00000000-0005-0000-0000-000062200000}"/>
    <cellStyle name="Normal 2 3 2 29" xfId="7943" xr:uid="{00000000-0005-0000-0000-000063200000}"/>
    <cellStyle name="Normal 2 3 2 3" xfId="7944" xr:uid="{00000000-0005-0000-0000-000064200000}"/>
    <cellStyle name="Normal 2 3 2 3 10" xfId="7945" xr:uid="{00000000-0005-0000-0000-000065200000}"/>
    <cellStyle name="Normal 2 3 2 3 11" xfId="7946" xr:uid="{00000000-0005-0000-0000-000066200000}"/>
    <cellStyle name="Normal 2 3 2 3 12" xfId="7947" xr:uid="{00000000-0005-0000-0000-000067200000}"/>
    <cellStyle name="Normal 2 3 2 3 13" xfId="7948" xr:uid="{00000000-0005-0000-0000-000068200000}"/>
    <cellStyle name="Normal 2 3 2 3 14" xfId="7949" xr:uid="{00000000-0005-0000-0000-000069200000}"/>
    <cellStyle name="Normal 2 3 2 3 15" xfId="7950" xr:uid="{00000000-0005-0000-0000-00006A200000}"/>
    <cellStyle name="Normal 2 3 2 3 16" xfId="7951" xr:uid="{00000000-0005-0000-0000-00006B200000}"/>
    <cellStyle name="Normal 2 3 2 3 17" xfId="7952" xr:uid="{00000000-0005-0000-0000-00006C200000}"/>
    <cellStyle name="Normal 2 3 2 3 18" xfId="7953" xr:uid="{00000000-0005-0000-0000-00006D200000}"/>
    <cellStyle name="Normal 2 3 2 3 19" xfId="7954" xr:uid="{00000000-0005-0000-0000-00006E200000}"/>
    <cellStyle name="Normal 2 3 2 3 2" xfId="7955" xr:uid="{00000000-0005-0000-0000-00006F200000}"/>
    <cellStyle name="Normal 2 3 2 3 2 10" xfId="7956" xr:uid="{00000000-0005-0000-0000-000070200000}"/>
    <cellStyle name="Normal 2 3 2 3 2 11" xfId="7957" xr:uid="{00000000-0005-0000-0000-000071200000}"/>
    <cellStyle name="Normal 2 3 2 3 2 12" xfId="7958" xr:uid="{00000000-0005-0000-0000-000072200000}"/>
    <cellStyle name="Normal 2 3 2 3 2 13" xfId="7959" xr:uid="{00000000-0005-0000-0000-000073200000}"/>
    <cellStyle name="Normal 2 3 2 3 2 14" xfId="7960" xr:uid="{00000000-0005-0000-0000-000074200000}"/>
    <cellStyle name="Normal 2 3 2 3 2 15" xfId="7961" xr:uid="{00000000-0005-0000-0000-000075200000}"/>
    <cellStyle name="Normal 2 3 2 3 2 16" xfId="7962" xr:uid="{00000000-0005-0000-0000-000076200000}"/>
    <cellStyle name="Normal 2 3 2 3 2 17" xfId="7963" xr:uid="{00000000-0005-0000-0000-000077200000}"/>
    <cellStyle name="Normal 2 3 2 3 2 18" xfId="7964" xr:uid="{00000000-0005-0000-0000-000078200000}"/>
    <cellStyle name="Normal 2 3 2 3 2 2" xfId="7965" xr:uid="{00000000-0005-0000-0000-000079200000}"/>
    <cellStyle name="Normal 2 3 2 3 2 3" xfId="7966" xr:uid="{00000000-0005-0000-0000-00007A200000}"/>
    <cellStyle name="Normal 2 3 2 3 2 4" xfId="7967" xr:uid="{00000000-0005-0000-0000-00007B200000}"/>
    <cellStyle name="Normal 2 3 2 3 2 5" xfId="7968" xr:uid="{00000000-0005-0000-0000-00007C200000}"/>
    <cellStyle name="Normal 2 3 2 3 2 6" xfId="7969" xr:uid="{00000000-0005-0000-0000-00007D200000}"/>
    <cellStyle name="Normal 2 3 2 3 2 7" xfId="7970" xr:uid="{00000000-0005-0000-0000-00007E200000}"/>
    <cellStyle name="Normal 2 3 2 3 2 8" xfId="7971" xr:uid="{00000000-0005-0000-0000-00007F200000}"/>
    <cellStyle name="Normal 2 3 2 3 2 9" xfId="7972" xr:uid="{00000000-0005-0000-0000-000080200000}"/>
    <cellStyle name="Normal 2 3 2 3 3" xfId="7973" xr:uid="{00000000-0005-0000-0000-000081200000}"/>
    <cellStyle name="Normal 2 3 2 3 4" xfId="7974" xr:uid="{00000000-0005-0000-0000-000082200000}"/>
    <cellStyle name="Normal 2 3 2 3 5" xfId="7975" xr:uid="{00000000-0005-0000-0000-000083200000}"/>
    <cellStyle name="Normal 2 3 2 3 6" xfId="7976" xr:uid="{00000000-0005-0000-0000-000084200000}"/>
    <cellStyle name="Normal 2 3 2 3 7" xfId="7977" xr:uid="{00000000-0005-0000-0000-000085200000}"/>
    <cellStyle name="Normal 2 3 2 3 8" xfId="7978" xr:uid="{00000000-0005-0000-0000-000086200000}"/>
    <cellStyle name="Normal 2 3 2 3 9" xfId="7979" xr:uid="{00000000-0005-0000-0000-000087200000}"/>
    <cellStyle name="Normal 2 3 2 3_ELEC SAP FCST UPLOAD" xfId="7980" xr:uid="{00000000-0005-0000-0000-000088200000}"/>
    <cellStyle name="Normal 2 3 2 30" xfId="7981" xr:uid="{00000000-0005-0000-0000-000089200000}"/>
    <cellStyle name="Normal 2 3 2 31" xfId="7982" xr:uid="{00000000-0005-0000-0000-00008A200000}"/>
    <cellStyle name="Normal 2 3 2 32" xfId="7983" xr:uid="{00000000-0005-0000-0000-00008B200000}"/>
    <cellStyle name="Normal 2 3 2 33" xfId="7984" xr:uid="{00000000-0005-0000-0000-00008C200000}"/>
    <cellStyle name="Normal 2 3 2 34" xfId="7985" xr:uid="{00000000-0005-0000-0000-00008D200000}"/>
    <cellStyle name="Normal 2 3 2 35" xfId="7986" xr:uid="{00000000-0005-0000-0000-00008E200000}"/>
    <cellStyle name="Normal 2 3 2 36" xfId="7987" xr:uid="{00000000-0005-0000-0000-00008F200000}"/>
    <cellStyle name="Normal 2 3 2 37" xfId="7988" xr:uid="{00000000-0005-0000-0000-000090200000}"/>
    <cellStyle name="Normal 2 3 2 38" xfId="7989" xr:uid="{00000000-0005-0000-0000-000091200000}"/>
    <cellStyle name="Normal 2 3 2 39" xfId="7990" xr:uid="{00000000-0005-0000-0000-000092200000}"/>
    <cellStyle name="Normal 2 3 2 4" xfId="7991" xr:uid="{00000000-0005-0000-0000-000093200000}"/>
    <cellStyle name="Normal 2 3 2 40" xfId="7992" xr:uid="{00000000-0005-0000-0000-000094200000}"/>
    <cellStyle name="Normal 2 3 2 41" xfId="7993" xr:uid="{00000000-0005-0000-0000-000095200000}"/>
    <cellStyle name="Normal 2 3 2 42" xfId="7994" xr:uid="{00000000-0005-0000-0000-000096200000}"/>
    <cellStyle name="Normal 2 3 2 43" xfId="7995" xr:uid="{00000000-0005-0000-0000-000097200000}"/>
    <cellStyle name="Normal 2 3 2 44" xfId="7996" xr:uid="{00000000-0005-0000-0000-000098200000}"/>
    <cellStyle name="Normal 2 3 2 45" xfId="7997" xr:uid="{00000000-0005-0000-0000-000099200000}"/>
    <cellStyle name="Normal 2 3 2 46" xfId="7998" xr:uid="{00000000-0005-0000-0000-00009A200000}"/>
    <cellStyle name="Normal 2 3 2 47" xfId="7999" xr:uid="{00000000-0005-0000-0000-00009B200000}"/>
    <cellStyle name="Normal 2 3 2 48" xfId="8000" xr:uid="{00000000-0005-0000-0000-00009C200000}"/>
    <cellStyle name="Normal 2 3 2 49" xfId="8001" xr:uid="{00000000-0005-0000-0000-00009D200000}"/>
    <cellStyle name="Normal 2 3 2 5" xfId="8002" xr:uid="{00000000-0005-0000-0000-00009E200000}"/>
    <cellStyle name="Normal 2 3 2 50" xfId="8003" xr:uid="{00000000-0005-0000-0000-00009F200000}"/>
    <cellStyle name="Normal 2 3 2 51" xfId="8004" xr:uid="{00000000-0005-0000-0000-0000A0200000}"/>
    <cellStyle name="Normal 2 3 2 52" xfId="8005" xr:uid="{00000000-0005-0000-0000-0000A1200000}"/>
    <cellStyle name="Normal 2 3 2 53" xfId="8006" xr:uid="{00000000-0005-0000-0000-0000A2200000}"/>
    <cellStyle name="Normal 2 3 2 54" xfId="8007" xr:uid="{00000000-0005-0000-0000-0000A3200000}"/>
    <cellStyle name="Normal 2 3 2 55" xfId="8008" xr:uid="{00000000-0005-0000-0000-0000A4200000}"/>
    <cellStyle name="Normal 2 3 2 56" xfId="8009" xr:uid="{00000000-0005-0000-0000-0000A5200000}"/>
    <cellStyle name="Normal 2 3 2 57" xfId="8010" xr:uid="{00000000-0005-0000-0000-0000A6200000}"/>
    <cellStyle name="Normal 2 3 2 58" xfId="8011" xr:uid="{00000000-0005-0000-0000-0000A7200000}"/>
    <cellStyle name="Normal 2 3 2 59" xfId="8012" xr:uid="{00000000-0005-0000-0000-0000A8200000}"/>
    <cellStyle name="Normal 2 3 2 6" xfId="8013" xr:uid="{00000000-0005-0000-0000-0000A9200000}"/>
    <cellStyle name="Normal 2 3 2 60" xfId="8014" xr:uid="{00000000-0005-0000-0000-0000AA200000}"/>
    <cellStyle name="Normal 2 3 2 61" xfId="8015" xr:uid="{00000000-0005-0000-0000-0000AB200000}"/>
    <cellStyle name="Normal 2 3 2 62" xfId="8016" xr:uid="{00000000-0005-0000-0000-0000AC200000}"/>
    <cellStyle name="Normal 2 3 2 63" xfId="8017" xr:uid="{00000000-0005-0000-0000-0000AD200000}"/>
    <cellStyle name="Normal 2 3 2 64" xfId="8018" xr:uid="{00000000-0005-0000-0000-0000AE200000}"/>
    <cellStyle name="Normal 2 3 2 65" xfId="8019" xr:uid="{00000000-0005-0000-0000-0000AF200000}"/>
    <cellStyle name="Normal 2 3 2 66" xfId="8020" xr:uid="{00000000-0005-0000-0000-0000B0200000}"/>
    <cellStyle name="Normal 2 3 2 67" xfId="8021" xr:uid="{00000000-0005-0000-0000-0000B1200000}"/>
    <cellStyle name="Normal 2 3 2 68" xfId="8022" xr:uid="{00000000-0005-0000-0000-0000B2200000}"/>
    <cellStyle name="Normal 2 3 2 69" xfId="8023" xr:uid="{00000000-0005-0000-0000-0000B3200000}"/>
    <cellStyle name="Normal 2 3 2 7" xfId="8024" xr:uid="{00000000-0005-0000-0000-0000B4200000}"/>
    <cellStyle name="Normal 2 3 2 70" xfId="8025" xr:uid="{00000000-0005-0000-0000-0000B5200000}"/>
    <cellStyle name="Normal 2 3 2 71" xfId="8026" xr:uid="{00000000-0005-0000-0000-0000B6200000}"/>
    <cellStyle name="Normal 2 3 2 72" xfId="8027" xr:uid="{00000000-0005-0000-0000-0000B7200000}"/>
    <cellStyle name="Normal 2 3 2 73" xfId="8028" xr:uid="{00000000-0005-0000-0000-0000B8200000}"/>
    <cellStyle name="Normal 2 3 2 74" xfId="8029" xr:uid="{00000000-0005-0000-0000-0000B9200000}"/>
    <cellStyle name="Normal 2 3 2 75" xfId="8030" xr:uid="{00000000-0005-0000-0000-0000BA200000}"/>
    <cellStyle name="Normal 2 3 2 76" xfId="8031" xr:uid="{00000000-0005-0000-0000-0000BB200000}"/>
    <cellStyle name="Normal 2 3 2 77" xfId="8032" xr:uid="{00000000-0005-0000-0000-0000BC200000}"/>
    <cellStyle name="Normal 2 3 2 78" xfId="8033" xr:uid="{00000000-0005-0000-0000-0000BD200000}"/>
    <cellStyle name="Normal 2 3 2 79" xfId="8034" xr:uid="{00000000-0005-0000-0000-0000BE200000}"/>
    <cellStyle name="Normal 2 3 2 8" xfId="8035" xr:uid="{00000000-0005-0000-0000-0000BF200000}"/>
    <cellStyle name="Normal 2 3 2 8 10" xfId="8036" xr:uid="{00000000-0005-0000-0000-0000C0200000}"/>
    <cellStyle name="Normal 2 3 2 8 11" xfId="8037" xr:uid="{00000000-0005-0000-0000-0000C1200000}"/>
    <cellStyle name="Normal 2 3 2 8 12" xfId="8038" xr:uid="{00000000-0005-0000-0000-0000C2200000}"/>
    <cellStyle name="Normal 2 3 2 8 13" xfId="8039" xr:uid="{00000000-0005-0000-0000-0000C3200000}"/>
    <cellStyle name="Normal 2 3 2 8 14" xfId="8040" xr:uid="{00000000-0005-0000-0000-0000C4200000}"/>
    <cellStyle name="Normal 2 3 2 8 15" xfId="8041" xr:uid="{00000000-0005-0000-0000-0000C5200000}"/>
    <cellStyle name="Normal 2 3 2 8 16" xfId="8042" xr:uid="{00000000-0005-0000-0000-0000C6200000}"/>
    <cellStyle name="Normal 2 3 2 8 17" xfId="8043" xr:uid="{00000000-0005-0000-0000-0000C7200000}"/>
    <cellStyle name="Normal 2 3 2 8 2" xfId="8044" xr:uid="{00000000-0005-0000-0000-0000C8200000}"/>
    <cellStyle name="Normal 2 3 2 8 3" xfId="8045" xr:uid="{00000000-0005-0000-0000-0000C9200000}"/>
    <cellStyle name="Normal 2 3 2 8 4" xfId="8046" xr:uid="{00000000-0005-0000-0000-0000CA200000}"/>
    <cellStyle name="Normal 2 3 2 8 5" xfId="8047" xr:uid="{00000000-0005-0000-0000-0000CB200000}"/>
    <cellStyle name="Normal 2 3 2 8 6" xfId="8048" xr:uid="{00000000-0005-0000-0000-0000CC200000}"/>
    <cellStyle name="Normal 2 3 2 8 7" xfId="8049" xr:uid="{00000000-0005-0000-0000-0000CD200000}"/>
    <cellStyle name="Normal 2 3 2 8 8" xfId="8050" xr:uid="{00000000-0005-0000-0000-0000CE200000}"/>
    <cellStyle name="Normal 2 3 2 8 9" xfId="8051" xr:uid="{00000000-0005-0000-0000-0000CF200000}"/>
    <cellStyle name="Normal 2 3 2 80" xfId="8052" xr:uid="{00000000-0005-0000-0000-0000D0200000}"/>
    <cellStyle name="Normal 2 3 2 81" xfId="8053" xr:uid="{00000000-0005-0000-0000-0000D1200000}"/>
    <cellStyle name="Normal 2 3 2 82" xfId="8054" xr:uid="{00000000-0005-0000-0000-0000D2200000}"/>
    <cellStyle name="Normal 2 3 2 83" xfId="8055" xr:uid="{00000000-0005-0000-0000-0000D3200000}"/>
    <cellStyle name="Normal 2 3 2 84" xfId="8056" xr:uid="{00000000-0005-0000-0000-0000D4200000}"/>
    <cellStyle name="Normal 2 3 2 9" xfId="8057" xr:uid="{00000000-0005-0000-0000-0000D5200000}"/>
    <cellStyle name="Normal 2 3 2_ELEC SAP FCST UPLOAD" xfId="8058" xr:uid="{00000000-0005-0000-0000-0000D6200000}"/>
    <cellStyle name="Normal 2 3 20" xfId="8059" xr:uid="{00000000-0005-0000-0000-0000D7200000}"/>
    <cellStyle name="Normal 2 3 21" xfId="8060" xr:uid="{00000000-0005-0000-0000-0000D8200000}"/>
    <cellStyle name="Normal 2 3 22" xfId="8061" xr:uid="{00000000-0005-0000-0000-0000D9200000}"/>
    <cellStyle name="Normal 2 3 23" xfId="8062" xr:uid="{00000000-0005-0000-0000-0000DA200000}"/>
    <cellStyle name="Normal 2 3 24" xfId="8063" xr:uid="{00000000-0005-0000-0000-0000DB200000}"/>
    <cellStyle name="Normal 2 3 25" xfId="8064" xr:uid="{00000000-0005-0000-0000-0000DC200000}"/>
    <cellStyle name="Normal 2 3 26" xfId="8065" xr:uid="{00000000-0005-0000-0000-0000DD200000}"/>
    <cellStyle name="Normal 2 3 27" xfId="8066" xr:uid="{00000000-0005-0000-0000-0000DE200000}"/>
    <cellStyle name="Normal 2 3 28" xfId="8067" xr:uid="{00000000-0005-0000-0000-0000DF200000}"/>
    <cellStyle name="Normal 2 3 29" xfId="8068" xr:uid="{00000000-0005-0000-0000-0000E0200000}"/>
    <cellStyle name="Normal 2 3 3" xfId="8069" xr:uid="{00000000-0005-0000-0000-0000E1200000}"/>
    <cellStyle name="Normal 2 3 3 10" xfId="8070" xr:uid="{00000000-0005-0000-0000-0000E2200000}"/>
    <cellStyle name="Normal 2 3 3 11" xfId="8071" xr:uid="{00000000-0005-0000-0000-0000E3200000}"/>
    <cellStyle name="Normal 2 3 3 12" xfId="8072" xr:uid="{00000000-0005-0000-0000-0000E4200000}"/>
    <cellStyle name="Normal 2 3 3 13" xfId="8073" xr:uid="{00000000-0005-0000-0000-0000E5200000}"/>
    <cellStyle name="Normal 2 3 3 14" xfId="8074" xr:uid="{00000000-0005-0000-0000-0000E6200000}"/>
    <cellStyle name="Normal 2 3 3 15" xfId="8075" xr:uid="{00000000-0005-0000-0000-0000E7200000}"/>
    <cellStyle name="Normal 2 3 3 16" xfId="8076" xr:uid="{00000000-0005-0000-0000-0000E8200000}"/>
    <cellStyle name="Normal 2 3 3 17" xfId="8077" xr:uid="{00000000-0005-0000-0000-0000E9200000}"/>
    <cellStyle name="Normal 2 3 3 18" xfId="8078" xr:uid="{00000000-0005-0000-0000-0000EA200000}"/>
    <cellStyle name="Normal 2 3 3 19" xfId="8079" xr:uid="{00000000-0005-0000-0000-0000EB200000}"/>
    <cellStyle name="Normal 2 3 3 2" xfId="8080" xr:uid="{00000000-0005-0000-0000-0000EC200000}"/>
    <cellStyle name="Normal 2 3 3 2 10" xfId="8081" xr:uid="{00000000-0005-0000-0000-0000ED200000}"/>
    <cellStyle name="Normal 2 3 3 2 11" xfId="8082" xr:uid="{00000000-0005-0000-0000-0000EE200000}"/>
    <cellStyle name="Normal 2 3 3 2 12" xfId="8083" xr:uid="{00000000-0005-0000-0000-0000EF200000}"/>
    <cellStyle name="Normal 2 3 3 2 13" xfId="8084" xr:uid="{00000000-0005-0000-0000-0000F0200000}"/>
    <cellStyle name="Normal 2 3 3 2 14" xfId="8085" xr:uid="{00000000-0005-0000-0000-0000F1200000}"/>
    <cellStyle name="Normal 2 3 3 2 15" xfId="8086" xr:uid="{00000000-0005-0000-0000-0000F2200000}"/>
    <cellStyle name="Normal 2 3 3 2 16" xfId="8087" xr:uid="{00000000-0005-0000-0000-0000F3200000}"/>
    <cellStyle name="Normal 2 3 3 2 17" xfId="8088" xr:uid="{00000000-0005-0000-0000-0000F4200000}"/>
    <cellStyle name="Normal 2 3 3 2 18" xfId="8089" xr:uid="{00000000-0005-0000-0000-0000F5200000}"/>
    <cellStyle name="Normal 2 3 3 2 19" xfId="8090" xr:uid="{00000000-0005-0000-0000-0000F6200000}"/>
    <cellStyle name="Normal 2 3 3 2 2" xfId="8091" xr:uid="{00000000-0005-0000-0000-0000F7200000}"/>
    <cellStyle name="Normal 2 3 3 2 2 10" xfId="8092" xr:uid="{00000000-0005-0000-0000-0000F8200000}"/>
    <cellStyle name="Normal 2 3 3 2 2 11" xfId="8093" xr:uid="{00000000-0005-0000-0000-0000F9200000}"/>
    <cellStyle name="Normal 2 3 3 2 2 12" xfId="8094" xr:uid="{00000000-0005-0000-0000-0000FA200000}"/>
    <cellStyle name="Normal 2 3 3 2 2 13" xfId="8095" xr:uid="{00000000-0005-0000-0000-0000FB200000}"/>
    <cellStyle name="Normal 2 3 3 2 2 14" xfId="8096" xr:uid="{00000000-0005-0000-0000-0000FC200000}"/>
    <cellStyle name="Normal 2 3 3 2 2 15" xfId="8097" xr:uid="{00000000-0005-0000-0000-0000FD200000}"/>
    <cellStyle name="Normal 2 3 3 2 2 16" xfId="8098" xr:uid="{00000000-0005-0000-0000-0000FE200000}"/>
    <cellStyle name="Normal 2 3 3 2 2 17" xfId="8099" xr:uid="{00000000-0005-0000-0000-0000FF200000}"/>
    <cellStyle name="Normal 2 3 3 2 2 18" xfId="8100" xr:uid="{00000000-0005-0000-0000-000000210000}"/>
    <cellStyle name="Normal 2 3 3 2 2 2" xfId="8101" xr:uid="{00000000-0005-0000-0000-000001210000}"/>
    <cellStyle name="Normal 2 3 3 2 2 3" xfId="8102" xr:uid="{00000000-0005-0000-0000-000002210000}"/>
    <cellStyle name="Normal 2 3 3 2 2 4" xfId="8103" xr:uid="{00000000-0005-0000-0000-000003210000}"/>
    <cellStyle name="Normal 2 3 3 2 2 5" xfId="8104" xr:uid="{00000000-0005-0000-0000-000004210000}"/>
    <cellStyle name="Normal 2 3 3 2 2 6" xfId="8105" xr:uid="{00000000-0005-0000-0000-000005210000}"/>
    <cellStyle name="Normal 2 3 3 2 2 7" xfId="8106" xr:uid="{00000000-0005-0000-0000-000006210000}"/>
    <cellStyle name="Normal 2 3 3 2 2 8" xfId="8107" xr:uid="{00000000-0005-0000-0000-000007210000}"/>
    <cellStyle name="Normal 2 3 3 2 2 9" xfId="8108" xr:uid="{00000000-0005-0000-0000-000008210000}"/>
    <cellStyle name="Normal 2 3 3 2 3" xfId="8109" xr:uid="{00000000-0005-0000-0000-000009210000}"/>
    <cellStyle name="Normal 2 3 3 2 4" xfId="8110" xr:uid="{00000000-0005-0000-0000-00000A210000}"/>
    <cellStyle name="Normal 2 3 3 2 5" xfId="8111" xr:uid="{00000000-0005-0000-0000-00000B210000}"/>
    <cellStyle name="Normal 2 3 3 2 6" xfId="8112" xr:uid="{00000000-0005-0000-0000-00000C210000}"/>
    <cellStyle name="Normal 2 3 3 2 7" xfId="8113" xr:uid="{00000000-0005-0000-0000-00000D210000}"/>
    <cellStyle name="Normal 2 3 3 2 8" xfId="8114" xr:uid="{00000000-0005-0000-0000-00000E210000}"/>
    <cellStyle name="Normal 2 3 3 2 9" xfId="8115" xr:uid="{00000000-0005-0000-0000-00000F210000}"/>
    <cellStyle name="Normal 2 3 3 2_ELEC SAP FCST UPLOAD" xfId="8116" xr:uid="{00000000-0005-0000-0000-000010210000}"/>
    <cellStyle name="Normal 2 3 3 20" xfId="8117" xr:uid="{00000000-0005-0000-0000-000011210000}"/>
    <cellStyle name="Normal 2 3 3 21" xfId="8118" xr:uid="{00000000-0005-0000-0000-000012210000}"/>
    <cellStyle name="Normal 2 3 3 22" xfId="8119" xr:uid="{00000000-0005-0000-0000-000013210000}"/>
    <cellStyle name="Normal 2 3 3 23" xfId="8120" xr:uid="{00000000-0005-0000-0000-000014210000}"/>
    <cellStyle name="Normal 2 3 3 24" xfId="8121" xr:uid="{00000000-0005-0000-0000-000015210000}"/>
    <cellStyle name="Normal 2 3 3 25" xfId="8122" xr:uid="{00000000-0005-0000-0000-000016210000}"/>
    <cellStyle name="Normal 2 3 3 26" xfId="8123" xr:uid="{00000000-0005-0000-0000-000017210000}"/>
    <cellStyle name="Normal 2 3 3 27" xfId="8124" xr:uid="{00000000-0005-0000-0000-000018210000}"/>
    <cellStyle name="Normal 2 3 3 28" xfId="8125" xr:uid="{00000000-0005-0000-0000-000019210000}"/>
    <cellStyle name="Normal 2 3 3 29" xfId="8126" xr:uid="{00000000-0005-0000-0000-00001A210000}"/>
    <cellStyle name="Normal 2 3 3 3" xfId="8127" xr:uid="{00000000-0005-0000-0000-00001B210000}"/>
    <cellStyle name="Normal 2 3 3 30" xfId="8128" xr:uid="{00000000-0005-0000-0000-00001C210000}"/>
    <cellStyle name="Normal 2 3 3 31" xfId="8129" xr:uid="{00000000-0005-0000-0000-00001D210000}"/>
    <cellStyle name="Normal 2 3 3 32" xfId="8130" xr:uid="{00000000-0005-0000-0000-00001E210000}"/>
    <cellStyle name="Normal 2 3 3 33" xfId="8131" xr:uid="{00000000-0005-0000-0000-00001F210000}"/>
    <cellStyle name="Normal 2 3 3 34" xfId="8132" xr:uid="{00000000-0005-0000-0000-000020210000}"/>
    <cellStyle name="Normal 2 3 3 35" xfId="8133" xr:uid="{00000000-0005-0000-0000-000021210000}"/>
    <cellStyle name="Normal 2 3 3 36" xfId="8134" xr:uid="{00000000-0005-0000-0000-000022210000}"/>
    <cellStyle name="Normal 2 3 3 37" xfId="8135" xr:uid="{00000000-0005-0000-0000-000023210000}"/>
    <cellStyle name="Normal 2 3 3 38" xfId="8136" xr:uid="{00000000-0005-0000-0000-000024210000}"/>
    <cellStyle name="Normal 2 3 3 39" xfId="8137" xr:uid="{00000000-0005-0000-0000-000025210000}"/>
    <cellStyle name="Normal 2 3 3 4" xfId="8138" xr:uid="{00000000-0005-0000-0000-000026210000}"/>
    <cellStyle name="Normal 2 3 3 40" xfId="8139" xr:uid="{00000000-0005-0000-0000-000027210000}"/>
    <cellStyle name="Normal 2 3 3 41" xfId="8140" xr:uid="{00000000-0005-0000-0000-000028210000}"/>
    <cellStyle name="Normal 2 3 3 42" xfId="8141" xr:uid="{00000000-0005-0000-0000-000029210000}"/>
    <cellStyle name="Normal 2 3 3 43" xfId="8142" xr:uid="{00000000-0005-0000-0000-00002A210000}"/>
    <cellStyle name="Normal 2 3 3 44" xfId="8143" xr:uid="{00000000-0005-0000-0000-00002B210000}"/>
    <cellStyle name="Normal 2 3 3 45" xfId="8144" xr:uid="{00000000-0005-0000-0000-00002C210000}"/>
    <cellStyle name="Normal 2 3 3 46" xfId="8145" xr:uid="{00000000-0005-0000-0000-00002D210000}"/>
    <cellStyle name="Normal 2 3 3 47" xfId="8146" xr:uid="{00000000-0005-0000-0000-00002E210000}"/>
    <cellStyle name="Normal 2 3 3 48" xfId="8147" xr:uid="{00000000-0005-0000-0000-00002F210000}"/>
    <cellStyle name="Normal 2 3 3 49" xfId="8148" xr:uid="{00000000-0005-0000-0000-000030210000}"/>
    <cellStyle name="Normal 2 3 3 5" xfId="8149" xr:uid="{00000000-0005-0000-0000-000031210000}"/>
    <cellStyle name="Normal 2 3 3 50" xfId="8150" xr:uid="{00000000-0005-0000-0000-000032210000}"/>
    <cellStyle name="Normal 2 3 3 51" xfId="8151" xr:uid="{00000000-0005-0000-0000-000033210000}"/>
    <cellStyle name="Normal 2 3 3 52" xfId="8152" xr:uid="{00000000-0005-0000-0000-000034210000}"/>
    <cellStyle name="Normal 2 3 3 53" xfId="8153" xr:uid="{00000000-0005-0000-0000-000035210000}"/>
    <cellStyle name="Normal 2 3 3 54" xfId="8154" xr:uid="{00000000-0005-0000-0000-000036210000}"/>
    <cellStyle name="Normal 2 3 3 55" xfId="8155" xr:uid="{00000000-0005-0000-0000-000037210000}"/>
    <cellStyle name="Normal 2 3 3 56" xfId="8156" xr:uid="{00000000-0005-0000-0000-000038210000}"/>
    <cellStyle name="Normal 2 3 3 57" xfId="8157" xr:uid="{00000000-0005-0000-0000-000039210000}"/>
    <cellStyle name="Normal 2 3 3 58" xfId="8158" xr:uid="{00000000-0005-0000-0000-00003A210000}"/>
    <cellStyle name="Normal 2 3 3 59" xfId="8159" xr:uid="{00000000-0005-0000-0000-00003B210000}"/>
    <cellStyle name="Normal 2 3 3 6" xfId="8160" xr:uid="{00000000-0005-0000-0000-00003C210000}"/>
    <cellStyle name="Normal 2 3 3 60" xfId="8161" xr:uid="{00000000-0005-0000-0000-00003D210000}"/>
    <cellStyle name="Normal 2 3 3 61" xfId="8162" xr:uid="{00000000-0005-0000-0000-00003E210000}"/>
    <cellStyle name="Normal 2 3 3 62" xfId="8163" xr:uid="{00000000-0005-0000-0000-00003F210000}"/>
    <cellStyle name="Normal 2 3 3 63" xfId="8164" xr:uid="{00000000-0005-0000-0000-000040210000}"/>
    <cellStyle name="Normal 2 3 3 64" xfId="8165" xr:uid="{00000000-0005-0000-0000-000041210000}"/>
    <cellStyle name="Normal 2 3 3 65" xfId="8166" xr:uid="{00000000-0005-0000-0000-000042210000}"/>
    <cellStyle name="Normal 2 3 3 66" xfId="8167" xr:uid="{00000000-0005-0000-0000-000043210000}"/>
    <cellStyle name="Normal 2 3 3 67" xfId="8168" xr:uid="{00000000-0005-0000-0000-000044210000}"/>
    <cellStyle name="Normal 2 3 3 68" xfId="8169" xr:uid="{00000000-0005-0000-0000-000045210000}"/>
    <cellStyle name="Normal 2 3 3 69" xfId="8170" xr:uid="{00000000-0005-0000-0000-000046210000}"/>
    <cellStyle name="Normal 2 3 3 7" xfId="8171" xr:uid="{00000000-0005-0000-0000-000047210000}"/>
    <cellStyle name="Normal 2 3 3 7 10" xfId="8172" xr:uid="{00000000-0005-0000-0000-000048210000}"/>
    <cellStyle name="Normal 2 3 3 7 11" xfId="8173" xr:uid="{00000000-0005-0000-0000-000049210000}"/>
    <cellStyle name="Normal 2 3 3 7 12" xfId="8174" xr:uid="{00000000-0005-0000-0000-00004A210000}"/>
    <cellStyle name="Normal 2 3 3 7 13" xfId="8175" xr:uid="{00000000-0005-0000-0000-00004B210000}"/>
    <cellStyle name="Normal 2 3 3 7 14" xfId="8176" xr:uid="{00000000-0005-0000-0000-00004C210000}"/>
    <cellStyle name="Normal 2 3 3 7 15" xfId="8177" xr:uid="{00000000-0005-0000-0000-00004D210000}"/>
    <cellStyle name="Normal 2 3 3 7 16" xfId="8178" xr:uid="{00000000-0005-0000-0000-00004E210000}"/>
    <cellStyle name="Normal 2 3 3 7 17" xfId="8179" xr:uid="{00000000-0005-0000-0000-00004F210000}"/>
    <cellStyle name="Normal 2 3 3 7 2" xfId="8180" xr:uid="{00000000-0005-0000-0000-000050210000}"/>
    <cellStyle name="Normal 2 3 3 7 3" xfId="8181" xr:uid="{00000000-0005-0000-0000-000051210000}"/>
    <cellStyle name="Normal 2 3 3 7 4" xfId="8182" xr:uid="{00000000-0005-0000-0000-000052210000}"/>
    <cellStyle name="Normal 2 3 3 7 5" xfId="8183" xr:uid="{00000000-0005-0000-0000-000053210000}"/>
    <cellStyle name="Normal 2 3 3 7 6" xfId="8184" xr:uid="{00000000-0005-0000-0000-000054210000}"/>
    <cellStyle name="Normal 2 3 3 7 7" xfId="8185" xr:uid="{00000000-0005-0000-0000-000055210000}"/>
    <cellStyle name="Normal 2 3 3 7 8" xfId="8186" xr:uid="{00000000-0005-0000-0000-000056210000}"/>
    <cellStyle name="Normal 2 3 3 7 9" xfId="8187" xr:uid="{00000000-0005-0000-0000-000057210000}"/>
    <cellStyle name="Normal 2 3 3 70" xfId="8188" xr:uid="{00000000-0005-0000-0000-000058210000}"/>
    <cellStyle name="Normal 2 3 3 71" xfId="8189" xr:uid="{00000000-0005-0000-0000-000059210000}"/>
    <cellStyle name="Normal 2 3 3 72" xfId="8190" xr:uid="{00000000-0005-0000-0000-00005A210000}"/>
    <cellStyle name="Normal 2 3 3 73" xfId="8191" xr:uid="{00000000-0005-0000-0000-00005B210000}"/>
    <cellStyle name="Normal 2 3 3 74" xfId="8192" xr:uid="{00000000-0005-0000-0000-00005C210000}"/>
    <cellStyle name="Normal 2 3 3 75" xfId="8193" xr:uid="{00000000-0005-0000-0000-00005D210000}"/>
    <cellStyle name="Normal 2 3 3 76" xfId="8194" xr:uid="{00000000-0005-0000-0000-00005E210000}"/>
    <cellStyle name="Normal 2 3 3 77" xfId="8195" xr:uid="{00000000-0005-0000-0000-00005F210000}"/>
    <cellStyle name="Normal 2 3 3 78" xfId="8196" xr:uid="{00000000-0005-0000-0000-000060210000}"/>
    <cellStyle name="Normal 2 3 3 79" xfId="8197" xr:uid="{00000000-0005-0000-0000-000061210000}"/>
    <cellStyle name="Normal 2 3 3 8" xfId="8198" xr:uid="{00000000-0005-0000-0000-000062210000}"/>
    <cellStyle name="Normal 2 3 3 80" xfId="8199" xr:uid="{00000000-0005-0000-0000-000063210000}"/>
    <cellStyle name="Normal 2 3 3 81" xfId="8200" xr:uid="{00000000-0005-0000-0000-000064210000}"/>
    <cellStyle name="Normal 2 3 3 82" xfId="8201" xr:uid="{00000000-0005-0000-0000-000065210000}"/>
    <cellStyle name="Normal 2 3 3 83" xfId="8202" xr:uid="{00000000-0005-0000-0000-000066210000}"/>
    <cellStyle name="Normal 2 3 3 9" xfId="8203" xr:uid="{00000000-0005-0000-0000-000067210000}"/>
    <cellStyle name="Normal 2 3 3_ELEC SAP FCST UPLOAD" xfId="8204" xr:uid="{00000000-0005-0000-0000-000068210000}"/>
    <cellStyle name="Normal 2 3 30" xfId="8205" xr:uid="{00000000-0005-0000-0000-000069210000}"/>
    <cellStyle name="Normal 2 3 31" xfId="8206" xr:uid="{00000000-0005-0000-0000-00006A210000}"/>
    <cellStyle name="Normal 2 3 32" xfId="8207" xr:uid="{00000000-0005-0000-0000-00006B210000}"/>
    <cellStyle name="Normal 2 3 33" xfId="8208" xr:uid="{00000000-0005-0000-0000-00006C210000}"/>
    <cellStyle name="Normal 2 3 34" xfId="8209" xr:uid="{00000000-0005-0000-0000-00006D210000}"/>
    <cellStyle name="Normal 2 3 35" xfId="8210" xr:uid="{00000000-0005-0000-0000-00006E210000}"/>
    <cellStyle name="Normal 2 3 36" xfId="8211" xr:uid="{00000000-0005-0000-0000-00006F210000}"/>
    <cellStyle name="Normal 2 3 37" xfId="8212" xr:uid="{00000000-0005-0000-0000-000070210000}"/>
    <cellStyle name="Normal 2 3 38" xfId="8213" xr:uid="{00000000-0005-0000-0000-000071210000}"/>
    <cellStyle name="Normal 2 3 39" xfId="8214" xr:uid="{00000000-0005-0000-0000-000072210000}"/>
    <cellStyle name="Normal 2 3 4" xfId="8215" xr:uid="{00000000-0005-0000-0000-000073210000}"/>
    <cellStyle name="Normal 2 3 4 10" xfId="8216" xr:uid="{00000000-0005-0000-0000-000074210000}"/>
    <cellStyle name="Normal 2 3 4 11" xfId="8217" xr:uid="{00000000-0005-0000-0000-000075210000}"/>
    <cellStyle name="Normal 2 3 4 12" xfId="8218" xr:uid="{00000000-0005-0000-0000-000076210000}"/>
    <cellStyle name="Normal 2 3 4 13" xfId="8219" xr:uid="{00000000-0005-0000-0000-000077210000}"/>
    <cellStyle name="Normal 2 3 4 14" xfId="8220" xr:uid="{00000000-0005-0000-0000-000078210000}"/>
    <cellStyle name="Normal 2 3 4 15" xfId="8221" xr:uid="{00000000-0005-0000-0000-000079210000}"/>
    <cellStyle name="Normal 2 3 4 16" xfId="8222" xr:uid="{00000000-0005-0000-0000-00007A210000}"/>
    <cellStyle name="Normal 2 3 4 17" xfId="8223" xr:uid="{00000000-0005-0000-0000-00007B210000}"/>
    <cellStyle name="Normal 2 3 4 18" xfId="8224" xr:uid="{00000000-0005-0000-0000-00007C210000}"/>
    <cellStyle name="Normal 2 3 4 19" xfId="8225" xr:uid="{00000000-0005-0000-0000-00007D210000}"/>
    <cellStyle name="Normal 2 3 4 2" xfId="8226" xr:uid="{00000000-0005-0000-0000-00007E210000}"/>
    <cellStyle name="Normal 2 3 4 2 10" xfId="8227" xr:uid="{00000000-0005-0000-0000-00007F210000}"/>
    <cellStyle name="Normal 2 3 4 2 11" xfId="8228" xr:uid="{00000000-0005-0000-0000-000080210000}"/>
    <cellStyle name="Normal 2 3 4 2 12" xfId="8229" xr:uid="{00000000-0005-0000-0000-000081210000}"/>
    <cellStyle name="Normal 2 3 4 2 13" xfId="8230" xr:uid="{00000000-0005-0000-0000-000082210000}"/>
    <cellStyle name="Normal 2 3 4 2 14" xfId="8231" xr:uid="{00000000-0005-0000-0000-000083210000}"/>
    <cellStyle name="Normal 2 3 4 2 15" xfId="8232" xr:uid="{00000000-0005-0000-0000-000084210000}"/>
    <cellStyle name="Normal 2 3 4 2 16" xfId="8233" xr:uid="{00000000-0005-0000-0000-000085210000}"/>
    <cellStyle name="Normal 2 3 4 2 17" xfId="8234" xr:uid="{00000000-0005-0000-0000-000086210000}"/>
    <cellStyle name="Normal 2 3 4 2 18" xfId="8235" xr:uid="{00000000-0005-0000-0000-000087210000}"/>
    <cellStyle name="Normal 2 3 4 2 2" xfId="8236" xr:uid="{00000000-0005-0000-0000-000088210000}"/>
    <cellStyle name="Normal 2 3 4 2 3" xfId="8237" xr:uid="{00000000-0005-0000-0000-000089210000}"/>
    <cellStyle name="Normal 2 3 4 2 4" xfId="8238" xr:uid="{00000000-0005-0000-0000-00008A210000}"/>
    <cellStyle name="Normal 2 3 4 2 5" xfId="8239" xr:uid="{00000000-0005-0000-0000-00008B210000}"/>
    <cellStyle name="Normal 2 3 4 2 6" xfId="8240" xr:uid="{00000000-0005-0000-0000-00008C210000}"/>
    <cellStyle name="Normal 2 3 4 2 7" xfId="8241" xr:uid="{00000000-0005-0000-0000-00008D210000}"/>
    <cellStyle name="Normal 2 3 4 2 8" xfId="8242" xr:uid="{00000000-0005-0000-0000-00008E210000}"/>
    <cellStyle name="Normal 2 3 4 2 9" xfId="8243" xr:uid="{00000000-0005-0000-0000-00008F210000}"/>
    <cellStyle name="Normal 2 3 4 20" xfId="8244" xr:uid="{00000000-0005-0000-0000-000090210000}"/>
    <cellStyle name="Normal 2 3 4 21" xfId="8245" xr:uid="{00000000-0005-0000-0000-000091210000}"/>
    <cellStyle name="Normal 2 3 4 22" xfId="8246" xr:uid="{00000000-0005-0000-0000-000092210000}"/>
    <cellStyle name="Normal 2 3 4 23" xfId="8247" xr:uid="{00000000-0005-0000-0000-000093210000}"/>
    <cellStyle name="Normal 2 3 4 24" xfId="8248" xr:uid="{00000000-0005-0000-0000-000094210000}"/>
    <cellStyle name="Normal 2 3 4 25" xfId="8249" xr:uid="{00000000-0005-0000-0000-000095210000}"/>
    <cellStyle name="Normal 2 3 4 26" xfId="8250" xr:uid="{00000000-0005-0000-0000-000096210000}"/>
    <cellStyle name="Normal 2 3 4 27" xfId="8251" xr:uid="{00000000-0005-0000-0000-000097210000}"/>
    <cellStyle name="Normal 2 3 4 28" xfId="8252" xr:uid="{00000000-0005-0000-0000-000098210000}"/>
    <cellStyle name="Normal 2 3 4 29" xfId="8253" xr:uid="{00000000-0005-0000-0000-000099210000}"/>
    <cellStyle name="Normal 2 3 4 3" xfId="8254" xr:uid="{00000000-0005-0000-0000-00009A210000}"/>
    <cellStyle name="Normal 2 3 4 30" xfId="8255" xr:uid="{00000000-0005-0000-0000-00009B210000}"/>
    <cellStyle name="Normal 2 3 4 31" xfId="8256" xr:uid="{00000000-0005-0000-0000-00009C210000}"/>
    <cellStyle name="Normal 2 3 4 32" xfId="8257" xr:uid="{00000000-0005-0000-0000-00009D210000}"/>
    <cellStyle name="Normal 2 3 4 33" xfId="8258" xr:uid="{00000000-0005-0000-0000-00009E210000}"/>
    <cellStyle name="Normal 2 3 4 34" xfId="8259" xr:uid="{00000000-0005-0000-0000-00009F210000}"/>
    <cellStyle name="Normal 2 3 4 35" xfId="8260" xr:uid="{00000000-0005-0000-0000-0000A0210000}"/>
    <cellStyle name="Normal 2 3 4 36" xfId="8261" xr:uid="{00000000-0005-0000-0000-0000A1210000}"/>
    <cellStyle name="Normal 2 3 4 37" xfId="8262" xr:uid="{00000000-0005-0000-0000-0000A2210000}"/>
    <cellStyle name="Normal 2 3 4 38" xfId="8263" xr:uid="{00000000-0005-0000-0000-0000A3210000}"/>
    <cellStyle name="Normal 2 3 4 39" xfId="8264" xr:uid="{00000000-0005-0000-0000-0000A4210000}"/>
    <cellStyle name="Normal 2 3 4 4" xfId="8265" xr:uid="{00000000-0005-0000-0000-0000A5210000}"/>
    <cellStyle name="Normal 2 3 4 4 10" xfId="8266" xr:uid="{00000000-0005-0000-0000-0000A6210000}"/>
    <cellStyle name="Normal 2 3 4 4 11" xfId="8267" xr:uid="{00000000-0005-0000-0000-0000A7210000}"/>
    <cellStyle name="Normal 2 3 4 4 12" xfId="8268" xr:uid="{00000000-0005-0000-0000-0000A8210000}"/>
    <cellStyle name="Normal 2 3 4 4 13" xfId="8269" xr:uid="{00000000-0005-0000-0000-0000A9210000}"/>
    <cellStyle name="Normal 2 3 4 4 14" xfId="8270" xr:uid="{00000000-0005-0000-0000-0000AA210000}"/>
    <cellStyle name="Normal 2 3 4 4 15" xfId="8271" xr:uid="{00000000-0005-0000-0000-0000AB210000}"/>
    <cellStyle name="Normal 2 3 4 4 16" xfId="8272" xr:uid="{00000000-0005-0000-0000-0000AC210000}"/>
    <cellStyle name="Normal 2 3 4 4 17" xfId="8273" xr:uid="{00000000-0005-0000-0000-0000AD210000}"/>
    <cellStyle name="Normal 2 3 4 4 2" xfId="8274" xr:uid="{00000000-0005-0000-0000-0000AE210000}"/>
    <cellStyle name="Normal 2 3 4 4 3" xfId="8275" xr:uid="{00000000-0005-0000-0000-0000AF210000}"/>
    <cellStyle name="Normal 2 3 4 4 4" xfId="8276" xr:uid="{00000000-0005-0000-0000-0000B0210000}"/>
    <cellStyle name="Normal 2 3 4 4 5" xfId="8277" xr:uid="{00000000-0005-0000-0000-0000B1210000}"/>
    <cellStyle name="Normal 2 3 4 4 6" xfId="8278" xr:uid="{00000000-0005-0000-0000-0000B2210000}"/>
    <cellStyle name="Normal 2 3 4 4 7" xfId="8279" xr:uid="{00000000-0005-0000-0000-0000B3210000}"/>
    <cellStyle name="Normal 2 3 4 4 8" xfId="8280" xr:uid="{00000000-0005-0000-0000-0000B4210000}"/>
    <cellStyle name="Normal 2 3 4 4 9" xfId="8281" xr:uid="{00000000-0005-0000-0000-0000B5210000}"/>
    <cellStyle name="Normal 2 3 4 40" xfId="8282" xr:uid="{00000000-0005-0000-0000-0000B6210000}"/>
    <cellStyle name="Normal 2 3 4 41" xfId="8283" xr:uid="{00000000-0005-0000-0000-0000B7210000}"/>
    <cellStyle name="Normal 2 3 4 42" xfId="8284" xr:uid="{00000000-0005-0000-0000-0000B8210000}"/>
    <cellStyle name="Normal 2 3 4 43" xfId="8285" xr:uid="{00000000-0005-0000-0000-0000B9210000}"/>
    <cellStyle name="Normal 2 3 4 44" xfId="8286" xr:uid="{00000000-0005-0000-0000-0000BA210000}"/>
    <cellStyle name="Normal 2 3 4 45" xfId="8287" xr:uid="{00000000-0005-0000-0000-0000BB210000}"/>
    <cellStyle name="Normal 2 3 4 46" xfId="8288" xr:uid="{00000000-0005-0000-0000-0000BC210000}"/>
    <cellStyle name="Normal 2 3 4 47" xfId="8289" xr:uid="{00000000-0005-0000-0000-0000BD210000}"/>
    <cellStyle name="Normal 2 3 4 48" xfId="8290" xr:uid="{00000000-0005-0000-0000-0000BE210000}"/>
    <cellStyle name="Normal 2 3 4 49" xfId="8291" xr:uid="{00000000-0005-0000-0000-0000BF210000}"/>
    <cellStyle name="Normal 2 3 4 5" xfId="8292" xr:uid="{00000000-0005-0000-0000-0000C0210000}"/>
    <cellStyle name="Normal 2 3 4 50" xfId="8293" xr:uid="{00000000-0005-0000-0000-0000C1210000}"/>
    <cellStyle name="Normal 2 3 4 51" xfId="8294" xr:uid="{00000000-0005-0000-0000-0000C2210000}"/>
    <cellStyle name="Normal 2 3 4 52" xfId="8295" xr:uid="{00000000-0005-0000-0000-0000C3210000}"/>
    <cellStyle name="Normal 2 3 4 53" xfId="8296" xr:uid="{00000000-0005-0000-0000-0000C4210000}"/>
    <cellStyle name="Normal 2 3 4 54" xfId="8297" xr:uid="{00000000-0005-0000-0000-0000C5210000}"/>
    <cellStyle name="Normal 2 3 4 55" xfId="8298" xr:uid="{00000000-0005-0000-0000-0000C6210000}"/>
    <cellStyle name="Normal 2 3 4 56" xfId="8299" xr:uid="{00000000-0005-0000-0000-0000C7210000}"/>
    <cellStyle name="Normal 2 3 4 57" xfId="8300" xr:uid="{00000000-0005-0000-0000-0000C8210000}"/>
    <cellStyle name="Normal 2 3 4 58" xfId="8301" xr:uid="{00000000-0005-0000-0000-0000C9210000}"/>
    <cellStyle name="Normal 2 3 4 59" xfId="8302" xr:uid="{00000000-0005-0000-0000-0000CA210000}"/>
    <cellStyle name="Normal 2 3 4 6" xfId="8303" xr:uid="{00000000-0005-0000-0000-0000CB210000}"/>
    <cellStyle name="Normal 2 3 4 60" xfId="8304" xr:uid="{00000000-0005-0000-0000-0000CC210000}"/>
    <cellStyle name="Normal 2 3 4 61" xfId="8305" xr:uid="{00000000-0005-0000-0000-0000CD210000}"/>
    <cellStyle name="Normal 2 3 4 62" xfId="8306" xr:uid="{00000000-0005-0000-0000-0000CE210000}"/>
    <cellStyle name="Normal 2 3 4 63" xfId="8307" xr:uid="{00000000-0005-0000-0000-0000CF210000}"/>
    <cellStyle name="Normal 2 3 4 64" xfId="8308" xr:uid="{00000000-0005-0000-0000-0000D0210000}"/>
    <cellStyle name="Normal 2 3 4 65" xfId="8309" xr:uid="{00000000-0005-0000-0000-0000D1210000}"/>
    <cellStyle name="Normal 2 3 4 66" xfId="8310" xr:uid="{00000000-0005-0000-0000-0000D2210000}"/>
    <cellStyle name="Normal 2 3 4 67" xfId="8311" xr:uid="{00000000-0005-0000-0000-0000D3210000}"/>
    <cellStyle name="Normal 2 3 4 68" xfId="8312" xr:uid="{00000000-0005-0000-0000-0000D4210000}"/>
    <cellStyle name="Normal 2 3 4 69" xfId="8313" xr:uid="{00000000-0005-0000-0000-0000D5210000}"/>
    <cellStyle name="Normal 2 3 4 7" xfId="8314" xr:uid="{00000000-0005-0000-0000-0000D6210000}"/>
    <cellStyle name="Normal 2 3 4 70" xfId="8315" xr:uid="{00000000-0005-0000-0000-0000D7210000}"/>
    <cellStyle name="Normal 2 3 4 71" xfId="8316" xr:uid="{00000000-0005-0000-0000-0000D8210000}"/>
    <cellStyle name="Normal 2 3 4 72" xfId="8317" xr:uid="{00000000-0005-0000-0000-0000D9210000}"/>
    <cellStyle name="Normal 2 3 4 73" xfId="8318" xr:uid="{00000000-0005-0000-0000-0000DA210000}"/>
    <cellStyle name="Normal 2 3 4 74" xfId="8319" xr:uid="{00000000-0005-0000-0000-0000DB210000}"/>
    <cellStyle name="Normal 2 3 4 75" xfId="8320" xr:uid="{00000000-0005-0000-0000-0000DC210000}"/>
    <cellStyle name="Normal 2 3 4 76" xfId="8321" xr:uid="{00000000-0005-0000-0000-0000DD210000}"/>
    <cellStyle name="Normal 2 3 4 77" xfId="8322" xr:uid="{00000000-0005-0000-0000-0000DE210000}"/>
    <cellStyle name="Normal 2 3 4 78" xfId="8323" xr:uid="{00000000-0005-0000-0000-0000DF210000}"/>
    <cellStyle name="Normal 2 3 4 79" xfId="8324" xr:uid="{00000000-0005-0000-0000-0000E0210000}"/>
    <cellStyle name="Normal 2 3 4 8" xfId="8325" xr:uid="{00000000-0005-0000-0000-0000E1210000}"/>
    <cellStyle name="Normal 2 3 4 80" xfId="8326" xr:uid="{00000000-0005-0000-0000-0000E2210000}"/>
    <cellStyle name="Normal 2 3 4 9" xfId="8327" xr:uid="{00000000-0005-0000-0000-0000E3210000}"/>
    <cellStyle name="Normal 2 3 4_ELEC SAP FCST UPLOAD" xfId="8328" xr:uid="{00000000-0005-0000-0000-0000E4210000}"/>
    <cellStyle name="Normal 2 3 40" xfId="8329" xr:uid="{00000000-0005-0000-0000-0000E5210000}"/>
    <cellStyle name="Normal 2 3 41" xfId="8330" xr:uid="{00000000-0005-0000-0000-0000E6210000}"/>
    <cellStyle name="Normal 2 3 42" xfId="8331" xr:uid="{00000000-0005-0000-0000-0000E7210000}"/>
    <cellStyle name="Normal 2 3 43" xfId="8332" xr:uid="{00000000-0005-0000-0000-0000E8210000}"/>
    <cellStyle name="Normal 2 3 44" xfId="8333" xr:uid="{00000000-0005-0000-0000-0000E9210000}"/>
    <cellStyle name="Normal 2 3 45" xfId="8334" xr:uid="{00000000-0005-0000-0000-0000EA210000}"/>
    <cellStyle name="Normal 2 3 46" xfId="8335" xr:uid="{00000000-0005-0000-0000-0000EB210000}"/>
    <cellStyle name="Normal 2 3 47" xfId="8336" xr:uid="{00000000-0005-0000-0000-0000EC210000}"/>
    <cellStyle name="Normal 2 3 48" xfId="8337" xr:uid="{00000000-0005-0000-0000-0000ED210000}"/>
    <cellStyle name="Normal 2 3 49" xfId="8338" xr:uid="{00000000-0005-0000-0000-0000EE210000}"/>
    <cellStyle name="Normal 2 3 5" xfId="8339" xr:uid="{00000000-0005-0000-0000-0000EF210000}"/>
    <cellStyle name="Normal 2 3 50" xfId="8340" xr:uid="{00000000-0005-0000-0000-0000F0210000}"/>
    <cellStyle name="Normal 2 3 51" xfId="8341" xr:uid="{00000000-0005-0000-0000-0000F1210000}"/>
    <cellStyle name="Normal 2 3 52" xfId="8342" xr:uid="{00000000-0005-0000-0000-0000F2210000}"/>
    <cellStyle name="Normal 2 3 53" xfId="8343" xr:uid="{00000000-0005-0000-0000-0000F3210000}"/>
    <cellStyle name="Normal 2 3 54" xfId="8344" xr:uid="{00000000-0005-0000-0000-0000F4210000}"/>
    <cellStyle name="Normal 2 3 55" xfId="8345" xr:uid="{00000000-0005-0000-0000-0000F5210000}"/>
    <cellStyle name="Normal 2 3 56" xfId="8346" xr:uid="{00000000-0005-0000-0000-0000F6210000}"/>
    <cellStyle name="Normal 2 3 57" xfId="8347" xr:uid="{00000000-0005-0000-0000-0000F7210000}"/>
    <cellStyle name="Normal 2 3 58" xfId="8348" xr:uid="{00000000-0005-0000-0000-0000F8210000}"/>
    <cellStyle name="Normal 2 3 59" xfId="8349" xr:uid="{00000000-0005-0000-0000-0000F9210000}"/>
    <cellStyle name="Normal 2 3 6" xfId="8350" xr:uid="{00000000-0005-0000-0000-0000FA210000}"/>
    <cellStyle name="Normal 2 3 60" xfId="8351" xr:uid="{00000000-0005-0000-0000-0000FB210000}"/>
    <cellStyle name="Normal 2 3 61" xfId="8352" xr:uid="{00000000-0005-0000-0000-0000FC210000}"/>
    <cellStyle name="Normal 2 3 62" xfId="8353" xr:uid="{00000000-0005-0000-0000-0000FD210000}"/>
    <cellStyle name="Normal 2 3 63" xfId="8354" xr:uid="{00000000-0005-0000-0000-0000FE210000}"/>
    <cellStyle name="Normal 2 3 64" xfId="8355" xr:uid="{00000000-0005-0000-0000-0000FF210000}"/>
    <cellStyle name="Normal 2 3 65" xfId="8356" xr:uid="{00000000-0005-0000-0000-000000220000}"/>
    <cellStyle name="Normal 2 3 66" xfId="8357" xr:uid="{00000000-0005-0000-0000-000001220000}"/>
    <cellStyle name="Normal 2 3 67" xfId="8358" xr:uid="{00000000-0005-0000-0000-000002220000}"/>
    <cellStyle name="Normal 2 3 68" xfId="8359" xr:uid="{00000000-0005-0000-0000-000003220000}"/>
    <cellStyle name="Normal 2 3 69" xfId="8360" xr:uid="{00000000-0005-0000-0000-000004220000}"/>
    <cellStyle name="Normal 2 3 7" xfId="8361" xr:uid="{00000000-0005-0000-0000-000005220000}"/>
    <cellStyle name="Normal 2 3 70" xfId="8362" xr:uid="{00000000-0005-0000-0000-000006220000}"/>
    <cellStyle name="Normal 2 3 71" xfId="8363" xr:uid="{00000000-0005-0000-0000-000007220000}"/>
    <cellStyle name="Normal 2 3 72" xfId="8364" xr:uid="{00000000-0005-0000-0000-000008220000}"/>
    <cellStyle name="Normal 2 3 73" xfId="8365" xr:uid="{00000000-0005-0000-0000-000009220000}"/>
    <cellStyle name="Normal 2 3 74" xfId="8366" xr:uid="{00000000-0005-0000-0000-00000A220000}"/>
    <cellStyle name="Normal 2 3 75" xfId="8367" xr:uid="{00000000-0005-0000-0000-00000B220000}"/>
    <cellStyle name="Normal 2 3 76" xfId="8368" xr:uid="{00000000-0005-0000-0000-00000C220000}"/>
    <cellStyle name="Normal 2 3 77" xfId="8369" xr:uid="{00000000-0005-0000-0000-00000D220000}"/>
    <cellStyle name="Normal 2 3 78" xfId="8370" xr:uid="{00000000-0005-0000-0000-00000E220000}"/>
    <cellStyle name="Normal 2 3 79" xfId="8371" xr:uid="{00000000-0005-0000-0000-00000F220000}"/>
    <cellStyle name="Normal 2 3 8" xfId="8372" xr:uid="{00000000-0005-0000-0000-000010220000}"/>
    <cellStyle name="Normal 2 3 8 10" xfId="8373" xr:uid="{00000000-0005-0000-0000-000011220000}"/>
    <cellStyle name="Normal 2 3 8 11" xfId="8374" xr:uid="{00000000-0005-0000-0000-000012220000}"/>
    <cellStyle name="Normal 2 3 8 12" xfId="8375" xr:uid="{00000000-0005-0000-0000-000013220000}"/>
    <cellStyle name="Normal 2 3 8 13" xfId="8376" xr:uid="{00000000-0005-0000-0000-000014220000}"/>
    <cellStyle name="Normal 2 3 8 14" xfId="8377" xr:uid="{00000000-0005-0000-0000-000015220000}"/>
    <cellStyle name="Normal 2 3 8 15" xfId="8378" xr:uid="{00000000-0005-0000-0000-000016220000}"/>
    <cellStyle name="Normal 2 3 8 16" xfId="8379" xr:uid="{00000000-0005-0000-0000-000017220000}"/>
    <cellStyle name="Normal 2 3 8 17" xfId="8380" xr:uid="{00000000-0005-0000-0000-000018220000}"/>
    <cellStyle name="Normal 2 3 8 2" xfId="8381" xr:uid="{00000000-0005-0000-0000-000019220000}"/>
    <cellStyle name="Normal 2 3 8 3" xfId="8382" xr:uid="{00000000-0005-0000-0000-00001A220000}"/>
    <cellStyle name="Normal 2 3 8 4" xfId="8383" xr:uid="{00000000-0005-0000-0000-00001B220000}"/>
    <cellStyle name="Normal 2 3 8 5" xfId="8384" xr:uid="{00000000-0005-0000-0000-00001C220000}"/>
    <cellStyle name="Normal 2 3 8 6" xfId="8385" xr:uid="{00000000-0005-0000-0000-00001D220000}"/>
    <cellStyle name="Normal 2 3 8 7" xfId="8386" xr:uid="{00000000-0005-0000-0000-00001E220000}"/>
    <cellStyle name="Normal 2 3 8 8" xfId="8387" xr:uid="{00000000-0005-0000-0000-00001F220000}"/>
    <cellStyle name="Normal 2 3 8 9" xfId="8388" xr:uid="{00000000-0005-0000-0000-000020220000}"/>
    <cellStyle name="Normal 2 3 80" xfId="8389" xr:uid="{00000000-0005-0000-0000-000021220000}"/>
    <cellStyle name="Normal 2 3 81" xfId="8390" xr:uid="{00000000-0005-0000-0000-000022220000}"/>
    <cellStyle name="Normal 2 3 82" xfId="8391" xr:uid="{00000000-0005-0000-0000-000023220000}"/>
    <cellStyle name="Normal 2 3 83" xfId="8392" xr:uid="{00000000-0005-0000-0000-000024220000}"/>
    <cellStyle name="Normal 2 3 84" xfId="8393" xr:uid="{00000000-0005-0000-0000-000025220000}"/>
    <cellStyle name="Normal 2 3 85" xfId="8394" xr:uid="{00000000-0005-0000-0000-000026220000}"/>
    <cellStyle name="Normal 2 3 9" xfId="8395" xr:uid="{00000000-0005-0000-0000-000027220000}"/>
    <cellStyle name="Normal 2 3_Customer Operations Business Plan Input Reqs (3)" xfId="8396" xr:uid="{00000000-0005-0000-0000-000028220000}"/>
    <cellStyle name="Normal 2 30" xfId="8397" xr:uid="{00000000-0005-0000-0000-000029220000}"/>
    <cellStyle name="Normal 2 31" xfId="8398" xr:uid="{00000000-0005-0000-0000-00002A220000}"/>
    <cellStyle name="Normal 2 32" xfId="8399" xr:uid="{00000000-0005-0000-0000-00002B220000}"/>
    <cellStyle name="Normal 2 33" xfId="8400" xr:uid="{00000000-0005-0000-0000-00002C220000}"/>
    <cellStyle name="Normal 2 34" xfId="8401" xr:uid="{00000000-0005-0000-0000-00002D220000}"/>
    <cellStyle name="Normal 2 35" xfId="8402" xr:uid="{00000000-0005-0000-0000-00002E220000}"/>
    <cellStyle name="Normal 2 35 2" xfId="42518" xr:uid="{F0B64BAD-4BBD-4A71-ADC7-20ED3CE88B76}"/>
    <cellStyle name="Normal 2 36" xfId="8403" xr:uid="{00000000-0005-0000-0000-00002F220000}"/>
    <cellStyle name="Normal 2 37" xfId="8404" xr:uid="{00000000-0005-0000-0000-000030220000}"/>
    <cellStyle name="Normal 2 38" xfId="8405" xr:uid="{00000000-0005-0000-0000-000031220000}"/>
    <cellStyle name="Normal 2 39" xfId="8406" xr:uid="{00000000-0005-0000-0000-000032220000}"/>
    <cellStyle name="Normal 2 4" xfId="8407" xr:uid="{00000000-0005-0000-0000-000033220000}"/>
    <cellStyle name="Normal 2 4 10" xfId="8408" xr:uid="{00000000-0005-0000-0000-000034220000}"/>
    <cellStyle name="Normal 2 4 11" xfId="8409" xr:uid="{00000000-0005-0000-0000-000035220000}"/>
    <cellStyle name="Normal 2 4 12" xfId="8410" xr:uid="{00000000-0005-0000-0000-000036220000}"/>
    <cellStyle name="Normal 2 4 13" xfId="8411" xr:uid="{00000000-0005-0000-0000-000037220000}"/>
    <cellStyle name="Normal 2 4 14" xfId="8412" xr:uid="{00000000-0005-0000-0000-000038220000}"/>
    <cellStyle name="Normal 2 4 15" xfId="8413" xr:uid="{00000000-0005-0000-0000-000039220000}"/>
    <cellStyle name="Normal 2 4 16" xfId="8414" xr:uid="{00000000-0005-0000-0000-00003A220000}"/>
    <cellStyle name="Normal 2 4 17" xfId="8415" xr:uid="{00000000-0005-0000-0000-00003B220000}"/>
    <cellStyle name="Normal 2 4 18" xfId="8416" xr:uid="{00000000-0005-0000-0000-00003C220000}"/>
    <cellStyle name="Normal 2 4 19" xfId="8417" xr:uid="{00000000-0005-0000-0000-00003D220000}"/>
    <cellStyle name="Normal 2 4 2" xfId="8418" xr:uid="{00000000-0005-0000-0000-00003E220000}"/>
    <cellStyle name="Normal 2 4 2 10" xfId="8419" xr:uid="{00000000-0005-0000-0000-00003F220000}"/>
    <cellStyle name="Normal 2 4 2 11" xfId="8420" xr:uid="{00000000-0005-0000-0000-000040220000}"/>
    <cellStyle name="Normal 2 4 2 12" xfId="8421" xr:uid="{00000000-0005-0000-0000-000041220000}"/>
    <cellStyle name="Normal 2 4 2 13" xfId="8422" xr:uid="{00000000-0005-0000-0000-000042220000}"/>
    <cellStyle name="Normal 2 4 2 14" xfId="8423" xr:uid="{00000000-0005-0000-0000-000043220000}"/>
    <cellStyle name="Normal 2 4 2 15" xfId="8424" xr:uid="{00000000-0005-0000-0000-000044220000}"/>
    <cellStyle name="Normal 2 4 2 16" xfId="8425" xr:uid="{00000000-0005-0000-0000-000045220000}"/>
    <cellStyle name="Normal 2 4 2 17" xfId="8426" xr:uid="{00000000-0005-0000-0000-000046220000}"/>
    <cellStyle name="Normal 2 4 2 18" xfId="8427" xr:uid="{00000000-0005-0000-0000-000047220000}"/>
    <cellStyle name="Normal 2 4 2 19" xfId="8428" xr:uid="{00000000-0005-0000-0000-000048220000}"/>
    <cellStyle name="Normal 2 4 2 2" xfId="8429" xr:uid="{00000000-0005-0000-0000-000049220000}"/>
    <cellStyle name="Normal 2 4 2 2 10" xfId="8430" xr:uid="{00000000-0005-0000-0000-00004A220000}"/>
    <cellStyle name="Normal 2 4 2 2 11" xfId="8431" xr:uid="{00000000-0005-0000-0000-00004B220000}"/>
    <cellStyle name="Normal 2 4 2 2 12" xfId="8432" xr:uid="{00000000-0005-0000-0000-00004C220000}"/>
    <cellStyle name="Normal 2 4 2 2 13" xfId="8433" xr:uid="{00000000-0005-0000-0000-00004D220000}"/>
    <cellStyle name="Normal 2 4 2 2 14" xfId="8434" xr:uid="{00000000-0005-0000-0000-00004E220000}"/>
    <cellStyle name="Normal 2 4 2 2 15" xfId="8435" xr:uid="{00000000-0005-0000-0000-00004F220000}"/>
    <cellStyle name="Normal 2 4 2 2 16" xfId="8436" xr:uid="{00000000-0005-0000-0000-000050220000}"/>
    <cellStyle name="Normal 2 4 2 2 17" xfId="8437" xr:uid="{00000000-0005-0000-0000-000051220000}"/>
    <cellStyle name="Normal 2 4 2 2 18" xfId="8438" xr:uid="{00000000-0005-0000-0000-000052220000}"/>
    <cellStyle name="Normal 2 4 2 2 19" xfId="8439" xr:uid="{00000000-0005-0000-0000-000053220000}"/>
    <cellStyle name="Normal 2 4 2 2 2" xfId="8440" xr:uid="{00000000-0005-0000-0000-000054220000}"/>
    <cellStyle name="Normal 2 4 2 2 2 10" xfId="8441" xr:uid="{00000000-0005-0000-0000-000055220000}"/>
    <cellStyle name="Normal 2 4 2 2 2 11" xfId="8442" xr:uid="{00000000-0005-0000-0000-000056220000}"/>
    <cellStyle name="Normal 2 4 2 2 2 12" xfId="8443" xr:uid="{00000000-0005-0000-0000-000057220000}"/>
    <cellStyle name="Normal 2 4 2 2 2 13" xfId="8444" xr:uid="{00000000-0005-0000-0000-000058220000}"/>
    <cellStyle name="Normal 2 4 2 2 2 14" xfId="8445" xr:uid="{00000000-0005-0000-0000-000059220000}"/>
    <cellStyle name="Normal 2 4 2 2 2 15" xfId="8446" xr:uid="{00000000-0005-0000-0000-00005A220000}"/>
    <cellStyle name="Normal 2 4 2 2 2 16" xfId="8447" xr:uid="{00000000-0005-0000-0000-00005B220000}"/>
    <cellStyle name="Normal 2 4 2 2 2 17" xfId="8448" xr:uid="{00000000-0005-0000-0000-00005C220000}"/>
    <cellStyle name="Normal 2 4 2 2 2 2" xfId="8449" xr:uid="{00000000-0005-0000-0000-00005D220000}"/>
    <cellStyle name="Normal 2 4 2 2 2 3" xfId="8450" xr:uid="{00000000-0005-0000-0000-00005E220000}"/>
    <cellStyle name="Normal 2 4 2 2 2 4" xfId="8451" xr:uid="{00000000-0005-0000-0000-00005F220000}"/>
    <cellStyle name="Normal 2 4 2 2 2 5" xfId="8452" xr:uid="{00000000-0005-0000-0000-000060220000}"/>
    <cellStyle name="Normal 2 4 2 2 2 6" xfId="8453" xr:uid="{00000000-0005-0000-0000-000061220000}"/>
    <cellStyle name="Normal 2 4 2 2 2 7" xfId="8454" xr:uid="{00000000-0005-0000-0000-000062220000}"/>
    <cellStyle name="Normal 2 4 2 2 2 8" xfId="8455" xr:uid="{00000000-0005-0000-0000-000063220000}"/>
    <cellStyle name="Normal 2 4 2 2 2 9" xfId="8456" xr:uid="{00000000-0005-0000-0000-000064220000}"/>
    <cellStyle name="Normal 2 4 2 2 20" xfId="8457" xr:uid="{00000000-0005-0000-0000-000065220000}"/>
    <cellStyle name="Normal 2 4 2 2 21" xfId="8458" xr:uid="{00000000-0005-0000-0000-000066220000}"/>
    <cellStyle name="Normal 2 4 2 2 22" xfId="8459" xr:uid="{00000000-0005-0000-0000-000067220000}"/>
    <cellStyle name="Normal 2 4 2 2 23" xfId="8460" xr:uid="{00000000-0005-0000-0000-000068220000}"/>
    <cellStyle name="Normal 2 4 2 2 24" xfId="8461" xr:uid="{00000000-0005-0000-0000-000069220000}"/>
    <cellStyle name="Normal 2 4 2 2 25" xfId="8462" xr:uid="{00000000-0005-0000-0000-00006A220000}"/>
    <cellStyle name="Normal 2 4 2 2 26" xfId="8463" xr:uid="{00000000-0005-0000-0000-00006B220000}"/>
    <cellStyle name="Normal 2 4 2 2 27" xfId="8464" xr:uid="{00000000-0005-0000-0000-00006C220000}"/>
    <cellStyle name="Normal 2 4 2 2 28" xfId="8465" xr:uid="{00000000-0005-0000-0000-00006D220000}"/>
    <cellStyle name="Normal 2 4 2 2 29" xfId="8466" xr:uid="{00000000-0005-0000-0000-00006E220000}"/>
    <cellStyle name="Normal 2 4 2 2 3" xfId="8467" xr:uid="{00000000-0005-0000-0000-00006F220000}"/>
    <cellStyle name="Normal 2 4 2 2 30" xfId="8468" xr:uid="{00000000-0005-0000-0000-000070220000}"/>
    <cellStyle name="Normal 2 4 2 2 31" xfId="8469" xr:uid="{00000000-0005-0000-0000-000071220000}"/>
    <cellStyle name="Normal 2 4 2 2 32" xfId="8470" xr:uid="{00000000-0005-0000-0000-000072220000}"/>
    <cellStyle name="Normal 2 4 2 2 33" xfId="8471" xr:uid="{00000000-0005-0000-0000-000073220000}"/>
    <cellStyle name="Normal 2 4 2 2 34" xfId="8472" xr:uid="{00000000-0005-0000-0000-000074220000}"/>
    <cellStyle name="Normal 2 4 2 2 35" xfId="8473" xr:uid="{00000000-0005-0000-0000-000075220000}"/>
    <cellStyle name="Normal 2 4 2 2 36" xfId="8474" xr:uid="{00000000-0005-0000-0000-000076220000}"/>
    <cellStyle name="Normal 2 4 2 2 37" xfId="8475" xr:uid="{00000000-0005-0000-0000-000077220000}"/>
    <cellStyle name="Normal 2 4 2 2 38" xfId="8476" xr:uid="{00000000-0005-0000-0000-000078220000}"/>
    <cellStyle name="Normal 2 4 2 2 39" xfId="8477" xr:uid="{00000000-0005-0000-0000-000079220000}"/>
    <cellStyle name="Normal 2 4 2 2 4" xfId="8478" xr:uid="{00000000-0005-0000-0000-00007A220000}"/>
    <cellStyle name="Normal 2 4 2 2 40" xfId="8479" xr:uid="{00000000-0005-0000-0000-00007B220000}"/>
    <cellStyle name="Normal 2 4 2 2 41" xfId="8480" xr:uid="{00000000-0005-0000-0000-00007C220000}"/>
    <cellStyle name="Normal 2 4 2 2 42" xfId="8481" xr:uid="{00000000-0005-0000-0000-00007D220000}"/>
    <cellStyle name="Normal 2 4 2 2 43" xfId="8482" xr:uid="{00000000-0005-0000-0000-00007E220000}"/>
    <cellStyle name="Normal 2 4 2 2 44" xfId="8483" xr:uid="{00000000-0005-0000-0000-00007F220000}"/>
    <cellStyle name="Normal 2 4 2 2 45" xfId="8484" xr:uid="{00000000-0005-0000-0000-000080220000}"/>
    <cellStyle name="Normal 2 4 2 2 46" xfId="8485" xr:uid="{00000000-0005-0000-0000-000081220000}"/>
    <cellStyle name="Normal 2 4 2 2 47" xfId="8486" xr:uid="{00000000-0005-0000-0000-000082220000}"/>
    <cellStyle name="Normal 2 4 2 2 48" xfId="8487" xr:uid="{00000000-0005-0000-0000-000083220000}"/>
    <cellStyle name="Normal 2 4 2 2 49" xfId="8488" xr:uid="{00000000-0005-0000-0000-000084220000}"/>
    <cellStyle name="Normal 2 4 2 2 5" xfId="8489" xr:uid="{00000000-0005-0000-0000-000085220000}"/>
    <cellStyle name="Normal 2 4 2 2 50" xfId="8490" xr:uid="{00000000-0005-0000-0000-000086220000}"/>
    <cellStyle name="Normal 2 4 2 2 51" xfId="8491" xr:uid="{00000000-0005-0000-0000-000087220000}"/>
    <cellStyle name="Normal 2 4 2 2 52" xfId="8492" xr:uid="{00000000-0005-0000-0000-000088220000}"/>
    <cellStyle name="Normal 2 4 2 2 53" xfId="8493" xr:uid="{00000000-0005-0000-0000-000089220000}"/>
    <cellStyle name="Normal 2 4 2 2 54" xfId="8494" xr:uid="{00000000-0005-0000-0000-00008A220000}"/>
    <cellStyle name="Normal 2 4 2 2 55" xfId="8495" xr:uid="{00000000-0005-0000-0000-00008B220000}"/>
    <cellStyle name="Normal 2 4 2 2 56" xfId="8496" xr:uid="{00000000-0005-0000-0000-00008C220000}"/>
    <cellStyle name="Normal 2 4 2 2 57" xfId="8497" xr:uid="{00000000-0005-0000-0000-00008D220000}"/>
    <cellStyle name="Normal 2 4 2 2 58" xfId="8498" xr:uid="{00000000-0005-0000-0000-00008E220000}"/>
    <cellStyle name="Normal 2 4 2 2 59" xfId="8499" xr:uid="{00000000-0005-0000-0000-00008F220000}"/>
    <cellStyle name="Normal 2 4 2 2 6" xfId="8500" xr:uid="{00000000-0005-0000-0000-000090220000}"/>
    <cellStyle name="Normal 2 4 2 2 60" xfId="8501" xr:uid="{00000000-0005-0000-0000-000091220000}"/>
    <cellStyle name="Normal 2 4 2 2 61" xfId="8502" xr:uid="{00000000-0005-0000-0000-000092220000}"/>
    <cellStyle name="Normal 2 4 2 2 62" xfId="8503" xr:uid="{00000000-0005-0000-0000-000093220000}"/>
    <cellStyle name="Normal 2 4 2 2 63" xfId="8504" xr:uid="{00000000-0005-0000-0000-000094220000}"/>
    <cellStyle name="Normal 2 4 2 2 64" xfId="8505" xr:uid="{00000000-0005-0000-0000-000095220000}"/>
    <cellStyle name="Normal 2 4 2 2 65" xfId="8506" xr:uid="{00000000-0005-0000-0000-000096220000}"/>
    <cellStyle name="Normal 2 4 2 2 66" xfId="8507" xr:uid="{00000000-0005-0000-0000-000097220000}"/>
    <cellStyle name="Normal 2 4 2 2 67" xfId="8508" xr:uid="{00000000-0005-0000-0000-000098220000}"/>
    <cellStyle name="Normal 2 4 2 2 68" xfId="8509" xr:uid="{00000000-0005-0000-0000-000099220000}"/>
    <cellStyle name="Normal 2 4 2 2 69" xfId="8510" xr:uid="{00000000-0005-0000-0000-00009A220000}"/>
    <cellStyle name="Normal 2 4 2 2 7" xfId="8511" xr:uid="{00000000-0005-0000-0000-00009B220000}"/>
    <cellStyle name="Normal 2 4 2 2 70" xfId="8512" xr:uid="{00000000-0005-0000-0000-00009C220000}"/>
    <cellStyle name="Normal 2 4 2 2 71" xfId="8513" xr:uid="{00000000-0005-0000-0000-00009D220000}"/>
    <cellStyle name="Normal 2 4 2 2 72" xfId="8514" xr:uid="{00000000-0005-0000-0000-00009E220000}"/>
    <cellStyle name="Normal 2 4 2 2 73" xfId="8515" xr:uid="{00000000-0005-0000-0000-00009F220000}"/>
    <cellStyle name="Normal 2 4 2 2 74" xfId="8516" xr:uid="{00000000-0005-0000-0000-0000A0220000}"/>
    <cellStyle name="Normal 2 4 2 2 75" xfId="8517" xr:uid="{00000000-0005-0000-0000-0000A1220000}"/>
    <cellStyle name="Normal 2 4 2 2 76" xfId="8518" xr:uid="{00000000-0005-0000-0000-0000A2220000}"/>
    <cellStyle name="Normal 2 4 2 2 77" xfId="8519" xr:uid="{00000000-0005-0000-0000-0000A3220000}"/>
    <cellStyle name="Normal 2 4 2 2 78" xfId="8520" xr:uid="{00000000-0005-0000-0000-0000A4220000}"/>
    <cellStyle name="Normal 2 4 2 2 8" xfId="8521" xr:uid="{00000000-0005-0000-0000-0000A5220000}"/>
    <cellStyle name="Normal 2 4 2 2 9" xfId="8522" xr:uid="{00000000-0005-0000-0000-0000A6220000}"/>
    <cellStyle name="Normal 2 4 2 20" xfId="8523" xr:uid="{00000000-0005-0000-0000-0000A7220000}"/>
    <cellStyle name="Normal 2 4 2 21" xfId="8524" xr:uid="{00000000-0005-0000-0000-0000A8220000}"/>
    <cellStyle name="Normal 2 4 2 22" xfId="8525" xr:uid="{00000000-0005-0000-0000-0000A9220000}"/>
    <cellStyle name="Normal 2 4 2 23" xfId="8526" xr:uid="{00000000-0005-0000-0000-0000AA220000}"/>
    <cellStyle name="Normal 2 4 2 24" xfId="8527" xr:uid="{00000000-0005-0000-0000-0000AB220000}"/>
    <cellStyle name="Normal 2 4 2 25" xfId="8528" xr:uid="{00000000-0005-0000-0000-0000AC220000}"/>
    <cellStyle name="Normal 2 4 2 26" xfId="8529" xr:uid="{00000000-0005-0000-0000-0000AD220000}"/>
    <cellStyle name="Normal 2 4 2 27" xfId="8530" xr:uid="{00000000-0005-0000-0000-0000AE220000}"/>
    <cellStyle name="Normal 2 4 2 28" xfId="8531" xr:uid="{00000000-0005-0000-0000-0000AF220000}"/>
    <cellStyle name="Normal 2 4 2 29" xfId="8532" xr:uid="{00000000-0005-0000-0000-0000B0220000}"/>
    <cellStyle name="Normal 2 4 2 3" xfId="8533" xr:uid="{00000000-0005-0000-0000-0000B1220000}"/>
    <cellStyle name="Normal 2 4 2 3 10" xfId="8534" xr:uid="{00000000-0005-0000-0000-0000B2220000}"/>
    <cellStyle name="Normal 2 4 2 3 11" xfId="8535" xr:uid="{00000000-0005-0000-0000-0000B3220000}"/>
    <cellStyle name="Normal 2 4 2 3 12" xfId="8536" xr:uid="{00000000-0005-0000-0000-0000B4220000}"/>
    <cellStyle name="Normal 2 4 2 3 13" xfId="8537" xr:uid="{00000000-0005-0000-0000-0000B5220000}"/>
    <cellStyle name="Normal 2 4 2 3 14" xfId="8538" xr:uid="{00000000-0005-0000-0000-0000B6220000}"/>
    <cellStyle name="Normal 2 4 2 3 15" xfId="8539" xr:uid="{00000000-0005-0000-0000-0000B7220000}"/>
    <cellStyle name="Normal 2 4 2 3 16" xfId="8540" xr:uid="{00000000-0005-0000-0000-0000B8220000}"/>
    <cellStyle name="Normal 2 4 2 3 17" xfId="8541" xr:uid="{00000000-0005-0000-0000-0000B9220000}"/>
    <cellStyle name="Normal 2 4 2 3 2" xfId="8542" xr:uid="{00000000-0005-0000-0000-0000BA220000}"/>
    <cellStyle name="Normal 2 4 2 3 3" xfId="8543" xr:uid="{00000000-0005-0000-0000-0000BB220000}"/>
    <cellStyle name="Normal 2 4 2 3 4" xfId="8544" xr:uid="{00000000-0005-0000-0000-0000BC220000}"/>
    <cellStyle name="Normal 2 4 2 3 5" xfId="8545" xr:uid="{00000000-0005-0000-0000-0000BD220000}"/>
    <cellStyle name="Normal 2 4 2 3 6" xfId="8546" xr:uid="{00000000-0005-0000-0000-0000BE220000}"/>
    <cellStyle name="Normal 2 4 2 3 7" xfId="8547" xr:uid="{00000000-0005-0000-0000-0000BF220000}"/>
    <cellStyle name="Normal 2 4 2 3 8" xfId="8548" xr:uid="{00000000-0005-0000-0000-0000C0220000}"/>
    <cellStyle name="Normal 2 4 2 3 9" xfId="8549" xr:uid="{00000000-0005-0000-0000-0000C1220000}"/>
    <cellStyle name="Normal 2 4 2 30" xfId="8550" xr:uid="{00000000-0005-0000-0000-0000C2220000}"/>
    <cellStyle name="Normal 2 4 2 31" xfId="8551" xr:uid="{00000000-0005-0000-0000-0000C3220000}"/>
    <cellStyle name="Normal 2 4 2 32" xfId="8552" xr:uid="{00000000-0005-0000-0000-0000C4220000}"/>
    <cellStyle name="Normal 2 4 2 33" xfId="8553" xr:uid="{00000000-0005-0000-0000-0000C5220000}"/>
    <cellStyle name="Normal 2 4 2 34" xfId="8554" xr:uid="{00000000-0005-0000-0000-0000C6220000}"/>
    <cellStyle name="Normal 2 4 2 35" xfId="8555" xr:uid="{00000000-0005-0000-0000-0000C7220000}"/>
    <cellStyle name="Normal 2 4 2 36" xfId="8556" xr:uid="{00000000-0005-0000-0000-0000C8220000}"/>
    <cellStyle name="Normal 2 4 2 37" xfId="8557" xr:uid="{00000000-0005-0000-0000-0000C9220000}"/>
    <cellStyle name="Normal 2 4 2 38" xfId="8558" xr:uid="{00000000-0005-0000-0000-0000CA220000}"/>
    <cellStyle name="Normal 2 4 2 39" xfId="8559" xr:uid="{00000000-0005-0000-0000-0000CB220000}"/>
    <cellStyle name="Normal 2 4 2 4" xfId="8560" xr:uid="{00000000-0005-0000-0000-0000CC220000}"/>
    <cellStyle name="Normal 2 4 2 40" xfId="8561" xr:uid="{00000000-0005-0000-0000-0000CD220000}"/>
    <cellStyle name="Normal 2 4 2 41" xfId="8562" xr:uid="{00000000-0005-0000-0000-0000CE220000}"/>
    <cellStyle name="Normal 2 4 2 42" xfId="8563" xr:uid="{00000000-0005-0000-0000-0000CF220000}"/>
    <cellStyle name="Normal 2 4 2 43" xfId="8564" xr:uid="{00000000-0005-0000-0000-0000D0220000}"/>
    <cellStyle name="Normal 2 4 2 44" xfId="8565" xr:uid="{00000000-0005-0000-0000-0000D1220000}"/>
    <cellStyle name="Normal 2 4 2 45" xfId="8566" xr:uid="{00000000-0005-0000-0000-0000D2220000}"/>
    <cellStyle name="Normal 2 4 2 46" xfId="8567" xr:uid="{00000000-0005-0000-0000-0000D3220000}"/>
    <cellStyle name="Normal 2 4 2 47" xfId="8568" xr:uid="{00000000-0005-0000-0000-0000D4220000}"/>
    <cellStyle name="Normal 2 4 2 48" xfId="8569" xr:uid="{00000000-0005-0000-0000-0000D5220000}"/>
    <cellStyle name="Normal 2 4 2 49" xfId="8570" xr:uid="{00000000-0005-0000-0000-0000D6220000}"/>
    <cellStyle name="Normal 2 4 2 5" xfId="8571" xr:uid="{00000000-0005-0000-0000-0000D7220000}"/>
    <cellStyle name="Normal 2 4 2 50" xfId="8572" xr:uid="{00000000-0005-0000-0000-0000D8220000}"/>
    <cellStyle name="Normal 2 4 2 51" xfId="8573" xr:uid="{00000000-0005-0000-0000-0000D9220000}"/>
    <cellStyle name="Normal 2 4 2 52" xfId="8574" xr:uid="{00000000-0005-0000-0000-0000DA220000}"/>
    <cellStyle name="Normal 2 4 2 53" xfId="8575" xr:uid="{00000000-0005-0000-0000-0000DB220000}"/>
    <cellStyle name="Normal 2 4 2 54" xfId="8576" xr:uid="{00000000-0005-0000-0000-0000DC220000}"/>
    <cellStyle name="Normal 2 4 2 55" xfId="8577" xr:uid="{00000000-0005-0000-0000-0000DD220000}"/>
    <cellStyle name="Normal 2 4 2 56" xfId="8578" xr:uid="{00000000-0005-0000-0000-0000DE220000}"/>
    <cellStyle name="Normal 2 4 2 57" xfId="8579" xr:uid="{00000000-0005-0000-0000-0000DF220000}"/>
    <cellStyle name="Normal 2 4 2 58" xfId="8580" xr:uid="{00000000-0005-0000-0000-0000E0220000}"/>
    <cellStyle name="Normal 2 4 2 59" xfId="8581" xr:uid="{00000000-0005-0000-0000-0000E1220000}"/>
    <cellStyle name="Normal 2 4 2 6" xfId="8582" xr:uid="{00000000-0005-0000-0000-0000E2220000}"/>
    <cellStyle name="Normal 2 4 2 60" xfId="8583" xr:uid="{00000000-0005-0000-0000-0000E3220000}"/>
    <cellStyle name="Normal 2 4 2 61" xfId="8584" xr:uid="{00000000-0005-0000-0000-0000E4220000}"/>
    <cellStyle name="Normal 2 4 2 62" xfId="8585" xr:uid="{00000000-0005-0000-0000-0000E5220000}"/>
    <cellStyle name="Normal 2 4 2 63" xfId="8586" xr:uid="{00000000-0005-0000-0000-0000E6220000}"/>
    <cellStyle name="Normal 2 4 2 64" xfId="8587" xr:uid="{00000000-0005-0000-0000-0000E7220000}"/>
    <cellStyle name="Normal 2 4 2 65" xfId="8588" xr:uid="{00000000-0005-0000-0000-0000E8220000}"/>
    <cellStyle name="Normal 2 4 2 66" xfId="8589" xr:uid="{00000000-0005-0000-0000-0000E9220000}"/>
    <cellStyle name="Normal 2 4 2 67" xfId="8590" xr:uid="{00000000-0005-0000-0000-0000EA220000}"/>
    <cellStyle name="Normal 2 4 2 68" xfId="8591" xr:uid="{00000000-0005-0000-0000-0000EB220000}"/>
    <cellStyle name="Normal 2 4 2 69" xfId="8592" xr:uid="{00000000-0005-0000-0000-0000EC220000}"/>
    <cellStyle name="Normal 2 4 2 7" xfId="8593" xr:uid="{00000000-0005-0000-0000-0000ED220000}"/>
    <cellStyle name="Normal 2 4 2 70" xfId="8594" xr:uid="{00000000-0005-0000-0000-0000EE220000}"/>
    <cellStyle name="Normal 2 4 2 71" xfId="8595" xr:uid="{00000000-0005-0000-0000-0000EF220000}"/>
    <cellStyle name="Normal 2 4 2 72" xfId="8596" xr:uid="{00000000-0005-0000-0000-0000F0220000}"/>
    <cellStyle name="Normal 2 4 2 73" xfId="8597" xr:uid="{00000000-0005-0000-0000-0000F1220000}"/>
    <cellStyle name="Normal 2 4 2 74" xfId="8598" xr:uid="{00000000-0005-0000-0000-0000F2220000}"/>
    <cellStyle name="Normal 2 4 2 75" xfId="8599" xr:uid="{00000000-0005-0000-0000-0000F3220000}"/>
    <cellStyle name="Normal 2 4 2 76" xfId="8600" xr:uid="{00000000-0005-0000-0000-0000F4220000}"/>
    <cellStyle name="Normal 2 4 2 77" xfId="8601" xr:uid="{00000000-0005-0000-0000-0000F5220000}"/>
    <cellStyle name="Normal 2 4 2 78" xfId="8602" xr:uid="{00000000-0005-0000-0000-0000F6220000}"/>
    <cellStyle name="Normal 2 4 2 8" xfId="8603" xr:uid="{00000000-0005-0000-0000-0000F7220000}"/>
    <cellStyle name="Normal 2 4 2 9" xfId="8604" xr:uid="{00000000-0005-0000-0000-0000F8220000}"/>
    <cellStyle name="Normal 2 4 20" xfId="8605" xr:uid="{00000000-0005-0000-0000-0000F9220000}"/>
    <cellStyle name="Normal 2 4 21" xfId="8606" xr:uid="{00000000-0005-0000-0000-0000FA220000}"/>
    <cellStyle name="Normal 2 4 22" xfId="8607" xr:uid="{00000000-0005-0000-0000-0000FB220000}"/>
    <cellStyle name="Normal 2 4 23" xfId="8608" xr:uid="{00000000-0005-0000-0000-0000FC220000}"/>
    <cellStyle name="Normal 2 4 24" xfId="8609" xr:uid="{00000000-0005-0000-0000-0000FD220000}"/>
    <cellStyle name="Normal 2 4 25" xfId="8610" xr:uid="{00000000-0005-0000-0000-0000FE220000}"/>
    <cellStyle name="Normal 2 4 26" xfId="8611" xr:uid="{00000000-0005-0000-0000-0000FF220000}"/>
    <cellStyle name="Normal 2 4 27" xfId="8612" xr:uid="{00000000-0005-0000-0000-000000230000}"/>
    <cellStyle name="Normal 2 4 28" xfId="8613" xr:uid="{00000000-0005-0000-0000-000001230000}"/>
    <cellStyle name="Normal 2 4 29" xfId="8614" xr:uid="{00000000-0005-0000-0000-000002230000}"/>
    <cellStyle name="Normal 2 4 3" xfId="8615" xr:uid="{00000000-0005-0000-0000-000003230000}"/>
    <cellStyle name="Normal 2 4 30" xfId="8616" xr:uid="{00000000-0005-0000-0000-000004230000}"/>
    <cellStyle name="Normal 2 4 31" xfId="8617" xr:uid="{00000000-0005-0000-0000-000005230000}"/>
    <cellStyle name="Normal 2 4 32" xfId="8618" xr:uid="{00000000-0005-0000-0000-000006230000}"/>
    <cellStyle name="Normal 2 4 33" xfId="8619" xr:uid="{00000000-0005-0000-0000-000007230000}"/>
    <cellStyle name="Normal 2 4 34" xfId="8620" xr:uid="{00000000-0005-0000-0000-000008230000}"/>
    <cellStyle name="Normal 2 4 35" xfId="8621" xr:uid="{00000000-0005-0000-0000-000009230000}"/>
    <cellStyle name="Normal 2 4 36" xfId="8622" xr:uid="{00000000-0005-0000-0000-00000A230000}"/>
    <cellStyle name="Normal 2 4 37" xfId="8623" xr:uid="{00000000-0005-0000-0000-00000B230000}"/>
    <cellStyle name="Normal 2 4 38" xfId="8624" xr:uid="{00000000-0005-0000-0000-00000C230000}"/>
    <cellStyle name="Normal 2 4 39" xfId="8625" xr:uid="{00000000-0005-0000-0000-00000D230000}"/>
    <cellStyle name="Normal 2 4 4" xfId="8626" xr:uid="{00000000-0005-0000-0000-00000E230000}"/>
    <cellStyle name="Normal 2 4 40" xfId="8627" xr:uid="{00000000-0005-0000-0000-00000F230000}"/>
    <cellStyle name="Normal 2 4 41" xfId="8628" xr:uid="{00000000-0005-0000-0000-000010230000}"/>
    <cellStyle name="Normal 2 4 42" xfId="8629" xr:uid="{00000000-0005-0000-0000-000011230000}"/>
    <cellStyle name="Normal 2 4 43" xfId="8630" xr:uid="{00000000-0005-0000-0000-000012230000}"/>
    <cellStyle name="Normal 2 4 44" xfId="8631" xr:uid="{00000000-0005-0000-0000-000013230000}"/>
    <cellStyle name="Normal 2 4 45" xfId="8632" xr:uid="{00000000-0005-0000-0000-000014230000}"/>
    <cellStyle name="Normal 2 4 46" xfId="8633" xr:uid="{00000000-0005-0000-0000-000015230000}"/>
    <cellStyle name="Normal 2 4 47" xfId="8634" xr:uid="{00000000-0005-0000-0000-000016230000}"/>
    <cellStyle name="Normal 2 4 48" xfId="8635" xr:uid="{00000000-0005-0000-0000-000017230000}"/>
    <cellStyle name="Normal 2 4 49" xfId="8636" xr:uid="{00000000-0005-0000-0000-000018230000}"/>
    <cellStyle name="Normal 2 4 5" xfId="8637" xr:uid="{00000000-0005-0000-0000-000019230000}"/>
    <cellStyle name="Normal 2 4 5 10" xfId="8638" xr:uid="{00000000-0005-0000-0000-00001A230000}"/>
    <cellStyle name="Normal 2 4 5 11" xfId="8639" xr:uid="{00000000-0005-0000-0000-00001B230000}"/>
    <cellStyle name="Normal 2 4 5 12" xfId="8640" xr:uid="{00000000-0005-0000-0000-00001C230000}"/>
    <cellStyle name="Normal 2 4 5 13" xfId="8641" xr:uid="{00000000-0005-0000-0000-00001D230000}"/>
    <cellStyle name="Normal 2 4 5 14" xfId="8642" xr:uid="{00000000-0005-0000-0000-00001E230000}"/>
    <cellStyle name="Normal 2 4 5 15" xfId="8643" xr:uid="{00000000-0005-0000-0000-00001F230000}"/>
    <cellStyle name="Normal 2 4 5 16" xfId="8644" xr:uid="{00000000-0005-0000-0000-000020230000}"/>
    <cellStyle name="Normal 2 4 5 17" xfId="8645" xr:uid="{00000000-0005-0000-0000-000021230000}"/>
    <cellStyle name="Normal 2 4 5 2" xfId="8646" xr:uid="{00000000-0005-0000-0000-000022230000}"/>
    <cellStyle name="Normal 2 4 5 3" xfId="8647" xr:uid="{00000000-0005-0000-0000-000023230000}"/>
    <cellStyle name="Normal 2 4 5 4" xfId="8648" xr:uid="{00000000-0005-0000-0000-000024230000}"/>
    <cellStyle name="Normal 2 4 5 5" xfId="8649" xr:uid="{00000000-0005-0000-0000-000025230000}"/>
    <cellStyle name="Normal 2 4 5 6" xfId="8650" xr:uid="{00000000-0005-0000-0000-000026230000}"/>
    <cellStyle name="Normal 2 4 5 7" xfId="8651" xr:uid="{00000000-0005-0000-0000-000027230000}"/>
    <cellStyle name="Normal 2 4 5 8" xfId="8652" xr:uid="{00000000-0005-0000-0000-000028230000}"/>
    <cellStyle name="Normal 2 4 5 9" xfId="8653" xr:uid="{00000000-0005-0000-0000-000029230000}"/>
    <cellStyle name="Normal 2 4 50" xfId="8654" xr:uid="{00000000-0005-0000-0000-00002A230000}"/>
    <cellStyle name="Normal 2 4 51" xfId="8655" xr:uid="{00000000-0005-0000-0000-00002B230000}"/>
    <cellStyle name="Normal 2 4 52" xfId="8656" xr:uid="{00000000-0005-0000-0000-00002C230000}"/>
    <cellStyle name="Normal 2 4 53" xfId="8657" xr:uid="{00000000-0005-0000-0000-00002D230000}"/>
    <cellStyle name="Normal 2 4 54" xfId="8658" xr:uid="{00000000-0005-0000-0000-00002E230000}"/>
    <cellStyle name="Normal 2 4 55" xfId="8659" xr:uid="{00000000-0005-0000-0000-00002F230000}"/>
    <cellStyle name="Normal 2 4 56" xfId="8660" xr:uid="{00000000-0005-0000-0000-000030230000}"/>
    <cellStyle name="Normal 2 4 57" xfId="8661" xr:uid="{00000000-0005-0000-0000-000031230000}"/>
    <cellStyle name="Normal 2 4 58" xfId="8662" xr:uid="{00000000-0005-0000-0000-000032230000}"/>
    <cellStyle name="Normal 2 4 59" xfId="8663" xr:uid="{00000000-0005-0000-0000-000033230000}"/>
    <cellStyle name="Normal 2 4 6" xfId="8664" xr:uid="{00000000-0005-0000-0000-000034230000}"/>
    <cellStyle name="Normal 2 4 6 10" xfId="8665" xr:uid="{00000000-0005-0000-0000-000035230000}"/>
    <cellStyle name="Normal 2 4 6 11" xfId="8666" xr:uid="{00000000-0005-0000-0000-000036230000}"/>
    <cellStyle name="Normal 2 4 6 12" xfId="8667" xr:uid="{00000000-0005-0000-0000-000037230000}"/>
    <cellStyle name="Normal 2 4 6 13" xfId="8668" xr:uid="{00000000-0005-0000-0000-000038230000}"/>
    <cellStyle name="Normal 2 4 6 14" xfId="8669" xr:uid="{00000000-0005-0000-0000-000039230000}"/>
    <cellStyle name="Normal 2 4 6 15" xfId="8670" xr:uid="{00000000-0005-0000-0000-00003A230000}"/>
    <cellStyle name="Normal 2 4 6 16" xfId="8671" xr:uid="{00000000-0005-0000-0000-00003B230000}"/>
    <cellStyle name="Normal 2 4 6 17" xfId="8672" xr:uid="{00000000-0005-0000-0000-00003C230000}"/>
    <cellStyle name="Normal 2 4 6 2" xfId="8673" xr:uid="{00000000-0005-0000-0000-00003D230000}"/>
    <cellStyle name="Normal 2 4 6 3" xfId="8674" xr:uid="{00000000-0005-0000-0000-00003E230000}"/>
    <cellStyle name="Normal 2 4 6 4" xfId="8675" xr:uid="{00000000-0005-0000-0000-00003F230000}"/>
    <cellStyle name="Normal 2 4 6 5" xfId="8676" xr:uid="{00000000-0005-0000-0000-000040230000}"/>
    <cellStyle name="Normal 2 4 6 6" xfId="8677" xr:uid="{00000000-0005-0000-0000-000041230000}"/>
    <cellStyle name="Normal 2 4 6 7" xfId="8678" xr:uid="{00000000-0005-0000-0000-000042230000}"/>
    <cellStyle name="Normal 2 4 6 8" xfId="8679" xr:uid="{00000000-0005-0000-0000-000043230000}"/>
    <cellStyle name="Normal 2 4 6 9" xfId="8680" xr:uid="{00000000-0005-0000-0000-000044230000}"/>
    <cellStyle name="Normal 2 4 60" xfId="8681" xr:uid="{00000000-0005-0000-0000-000045230000}"/>
    <cellStyle name="Normal 2 4 61" xfId="8682" xr:uid="{00000000-0005-0000-0000-000046230000}"/>
    <cellStyle name="Normal 2 4 62" xfId="8683" xr:uid="{00000000-0005-0000-0000-000047230000}"/>
    <cellStyle name="Normal 2 4 63" xfId="8684" xr:uid="{00000000-0005-0000-0000-000048230000}"/>
    <cellStyle name="Normal 2 4 64" xfId="8685" xr:uid="{00000000-0005-0000-0000-000049230000}"/>
    <cellStyle name="Normal 2 4 65" xfId="8686" xr:uid="{00000000-0005-0000-0000-00004A230000}"/>
    <cellStyle name="Normal 2 4 66" xfId="8687" xr:uid="{00000000-0005-0000-0000-00004B230000}"/>
    <cellStyle name="Normal 2 4 67" xfId="8688" xr:uid="{00000000-0005-0000-0000-00004C230000}"/>
    <cellStyle name="Normal 2 4 68" xfId="8689" xr:uid="{00000000-0005-0000-0000-00004D230000}"/>
    <cellStyle name="Normal 2 4 69" xfId="8690" xr:uid="{00000000-0005-0000-0000-00004E230000}"/>
    <cellStyle name="Normal 2 4 7" xfId="8691" xr:uid="{00000000-0005-0000-0000-00004F230000}"/>
    <cellStyle name="Normal 2 4 70" xfId="8692" xr:uid="{00000000-0005-0000-0000-000050230000}"/>
    <cellStyle name="Normal 2 4 71" xfId="8693" xr:uid="{00000000-0005-0000-0000-000051230000}"/>
    <cellStyle name="Normal 2 4 72" xfId="8694" xr:uid="{00000000-0005-0000-0000-000052230000}"/>
    <cellStyle name="Normal 2 4 73" xfId="8695" xr:uid="{00000000-0005-0000-0000-000053230000}"/>
    <cellStyle name="Normal 2 4 74" xfId="8696" xr:uid="{00000000-0005-0000-0000-000054230000}"/>
    <cellStyle name="Normal 2 4 75" xfId="8697" xr:uid="{00000000-0005-0000-0000-000055230000}"/>
    <cellStyle name="Normal 2 4 76" xfId="8698" xr:uid="{00000000-0005-0000-0000-000056230000}"/>
    <cellStyle name="Normal 2 4 77" xfId="8699" xr:uid="{00000000-0005-0000-0000-000057230000}"/>
    <cellStyle name="Normal 2 4 78" xfId="8700" xr:uid="{00000000-0005-0000-0000-000058230000}"/>
    <cellStyle name="Normal 2 4 79" xfId="8701" xr:uid="{00000000-0005-0000-0000-000059230000}"/>
    <cellStyle name="Normal 2 4 8" xfId="8702" xr:uid="{00000000-0005-0000-0000-00005A230000}"/>
    <cellStyle name="Normal 2 4 80" xfId="8703" xr:uid="{00000000-0005-0000-0000-00005B230000}"/>
    <cellStyle name="Normal 2 4 9" xfId="8704" xr:uid="{00000000-0005-0000-0000-00005C230000}"/>
    <cellStyle name="Normal 2 4_Customer Operations Business Plan Input Reqs (3)" xfId="8705" xr:uid="{00000000-0005-0000-0000-00005D230000}"/>
    <cellStyle name="Normal 2 40" xfId="8706" xr:uid="{00000000-0005-0000-0000-00005E230000}"/>
    <cellStyle name="Normal 2 41" xfId="8707" xr:uid="{00000000-0005-0000-0000-00005F230000}"/>
    <cellStyle name="Normal 2 42" xfId="8708" xr:uid="{00000000-0005-0000-0000-000060230000}"/>
    <cellStyle name="Normal 2 43" xfId="8709" xr:uid="{00000000-0005-0000-0000-000061230000}"/>
    <cellStyle name="Normal 2 44" xfId="8710" xr:uid="{00000000-0005-0000-0000-000062230000}"/>
    <cellStyle name="Normal 2 45" xfId="8711" xr:uid="{00000000-0005-0000-0000-000063230000}"/>
    <cellStyle name="Normal 2 46" xfId="8712" xr:uid="{00000000-0005-0000-0000-000064230000}"/>
    <cellStyle name="Normal 2 47" xfId="8713" xr:uid="{00000000-0005-0000-0000-000065230000}"/>
    <cellStyle name="Normal 2 48" xfId="8714" xr:uid="{00000000-0005-0000-0000-000066230000}"/>
    <cellStyle name="Normal 2 49" xfId="8715" xr:uid="{00000000-0005-0000-0000-000067230000}"/>
    <cellStyle name="Normal 2 5" xfId="8716" xr:uid="{00000000-0005-0000-0000-000068230000}"/>
    <cellStyle name="Normal 2 5 10" xfId="8717" xr:uid="{00000000-0005-0000-0000-000069230000}"/>
    <cellStyle name="Normal 2 5 11" xfId="8718" xr:uid="{00000000-0005-0000-0000-00006A230000}"/>
    <cellStyle name="Normal 2 5 12" xfId="8719" xr:uid="{00000000-0005-0000-0000-00006B230000}"/>
    <cellStyle name="Normal 2 5 13" xfId="8720" xr:uid="{00000000-0005-0000-0000-00006C230000}"/>
    <cellStyle name="Normal 2 5 14" xfId="8721" xr:uid="{00000000-0005-0000-0000-00006D230000}"/>
    <cellStyle name="Normal 2 5 15" xfId="8722" xr:uid="{00000000-0005-0000-0000-00006E230000}"/>
    <cellStyle name="Normal 2 5 16" xfId="8723" xr:uid="{00000000-0005-0000-0000-00006F230000}"/>
    <cellStyle name="Normal 2 5 17" xfId="8724" xr:uid="{00000000-0005-0000-0000-000070230000}"/>
    <cellStyle name="Normal 2 5 18" xfId="8725" xr:uid="{00000000-0005-0000-0000-000071230000}"/>
    <cellStyle name="Normal 2 5 19" xfId="8726" xr:uid="{00000000-0005-0000-0000-000072230000}"/>
    <cellStyle name="Normal 2 5 2" xfId="8727" xr:uid="{00000000-0005-0000-0000-000073230000}"/>
    <cellStyle name="Normal 2 5 2 10" xfId="8728" xr:uid="{00000000-0005-0000-0000-000074230000}"/>
    <cellStyle name="Normal 2 5 2 11" xfId="8729" xr:uid="{00000000-0005-0000-0000-000075230000}"/>
    <cellStyle name="Normal 2 5 2 12" xfId="8730" xr:uid="{00000000-0005-0000-0000-000076230000}"/>
    <cellStyle name="Normal 2 5 2 13" xfId="8731" xr:uid="{00000000-0005-0000-0000-000077230000}"/>
    <cellStyle name="Normal 2 5 2 14" xfId="8732" xr:uid="{00000000-0005-0000-0000-000078230000}"/>
    <cellStyle name="Normal 2 5 2 15" xfId="8733" xr:uid="{00000000-0005-0000-0000-000079230000}"/>
    <cellStyle name="Normal 2 5 2 16" xfId="8734" xr:uid="{00000000-0005-0000-0000-00007A230000}"/>
    <cellStyle name="Normal 2 5 2 17" xfId="8735" xr:uid="{00000000-0005-0000-0000-00007B230000}"/>
    <cellStyle name="Normal 2 5 2 18" xfId="8736" xr:uid="{00000000-0005-0000-0000-00007C230000}"/>
    <cellStyle name="Normal 2 5 2 19" xfId="8737" xr:uid="{00000000-0005-0000-0000-00007D230000}"/>
    <cellStyle name="Normal 2 5 2 2" xfId="8738" xr:uid="{00000000-0005-0000-0000-00007E230000}"/>
    <cellStyle name="Normal 2 5 2 2 10" xfId="8739" xr:uid="{00000000-0005-0000-0000-00007F230000}"/>
    <cellStyle name="Normal 2 5 2 2 11" xfId="8740" xr:uid="{00000000-0005-0000-0000-000080230000}"/>
    <cellStyle name="Normal 2 5 2 2 12" xfId="8741" xr:uid="{00000000-0005-0000-0000-000081230000}"/>
    <cellStyle name="Normal 2 5 2 2 13" xfId="8742" xr:uid="{00000000-0005-0000-0000-000082230000}"/>
    <cellStyle name="Normal 2 5 2 2 14" xfId="8743" xr:uid="{00000000-0005-0000-0000-000083230000}"/>
    <cellStyle name="Normal 2 5 2 2 15" xfId="8744" xr:uid="{00000000-0005-0000-0000-000084230000}"/>
    <cellStyle name="Normal 2 5 2 2 16" xfId="8745" xr:uid="{00000000-0005-0000-0000-000085230000}"/>
    <cellStyle name="Normal 2 5 2 2 17" xfId="8746" xr:uid="{00000000-0005-0000-0000-000086230000}"/>
    <cellStyle name="Normal 2 5 2 2 18" xfId="8747" xr:uid="{00000000-0005-0000-0000-000087230000}"/>
    <cellStyle name="Normal 2 5 2 2 19" xfId="8748" xr:uid="{00000000-0005-0000-0000-000088230000}"/>
    <cellStyle name="Normal 2 5 2 2 2" xfId="8749" xr:uid="{00000000-0005-0000-0000-000089230000}"/>
    <cellStyle name="Normal 2 5 2 2 2 10" xfId="8750" xr:uid="{00000000-0005-0000-0000-00008A230000}"/>
    <cellStyle name="Normal 2 5 2 2 2 11" xfId="8751" xr:uid="{00000000-0005-0000-0000-00008B230000}"/>
    <cellStyle name="Normal 2 5 2 2 2 12" xfId="8752" xr:uid="{00000000-0005-0000-0000-00008C230000}"/>
    <cellStyle name="Normal 2 5 2 2 2 13" xfId="8753" xr:uid="{00000000-0005-0000-0000-00008D230000}"/>
    <cellStyle name="Normal 2 5 2 2 2 14" xfId="8754" xr:uid="{00000000-0005-0000-0000-00008E230000}"/>
    <cellStyle name="Normal 2 5 2 2 2 15" xfId="8755" xr:uid="{00000000-0005-0000-0000-00008F230000}"/>
    <cellStyle name="Normal 2 5 2 2 2 16" xfId="8756" xr:uid="{00000000-0005-0000-0000-000090230000}"/>
    <cellStyle name="Normal 2 5 2 2 2 17" xfId="8757" xr:uid="{00000000-0005-0000-0000-000091230000}"/>
    <cellStyle name="Normal 2 5 2 2 2 18" xfId="8758" xr:uid="{00000000-0005-0000-0000-000092230000}"/>
    <cellStyle name="Normal 2 5 2 2 2 19" xfId="8759" xr:uid="{00000000-0005-0000-0000-000093230000}"/>
    <cellStyle name="Normal 2 5 2 2 2 2" xfId="8760" xr:uid="{00000000-0005-0000-0000-000094230000}"/>
    <cellStyle name="Normal 2 5 2 2 2 2 10" xfId="8761" xr:uid="{00000000-0005-0000-0000-000095230000}"/>
    <cellStyle name="Normal 2 5 2 2 2 2 11" xfId="8762" xr:uid="{00000000-0005-0000-0000-000096230000}"/>
    <cellStyle name="Normal 2 5 2 2 2 2 12" xfId="8763" xr:uid="{00000000-0005-0000-0000-000097230000}"/>
    <cellStyle name="Normal 2 5 2 2 2 2 13" xfId="8764" xr:uid="{00000000-0005-0000-0000-000098230000}"/>
    <cellStyle name="Normal 2 5 2 2 2 2 14" xfId="8765" xr:uid="{00000000-0005-0000-0000-000099230000}"/>
    <cellStyle name="Normal 2 5 2 2 2 2 15" xfId="8766" xr:uid="{00000000-0005-0000-0000-00009A230000}"/>
    <cellStyle name="Normal 2 5 2 2 2 2 16" xfId="8767" xr:uid="{00000000-0005-0000-0000-00009B230000}"/>
    <cellStyle name="Normal 2 5 2 2 2 2 17" xfId="8768" xr:uid="{00000000-0005-0000-0000-00009C230000}"/>
    <cellStyle name="Normal 2 5 2 2 2 2 2" xfId="8769" xr:uid="{00000000-0005-0000-0000-00009D230000}"/>
    <cellStyle name="Normal 2 5 2 2 2 2 3" xfId="8770" xr:uid="{00000000-0005-0000-0000-00009E230000}"/>
    <cellStyle name="Normal 2 5 2 2 2 2 4" xfId="8771" xr:uid="{00000000-0005-0000-0000-00009F230000}"/>
    <cellStyle name="Normal 2 5 2 2 2 2 5" xfId="8772" xr:uid="{00000000-0005-0000-0000-0000A0230000}"/>
    <cellStyle name="Normal 2 5 2 2 2 2 6" xfId="8773" xr:uid="{00000000-0005-0000-0000-0000A1230000}"/>
    <cellStyle name="Normal 2 5 2 2 2 2 7" xfId="8774" xr:uid="{00000000-0005-0000-0000-0000A2230000}"/>
    <cellStyle name="Normal 2 5 2 2 2 2 8" xfId="8775" xr:uid="{00000000-0005-0000-0000-0000A3230000}"/>
    <cellStyle name="Normal 2 5 2 2 2 2 9" xfId="8776" xr:uid="{00000000-0005-0000-0000-0000A4230000}"/>
    <cellStyle name="Normal 2 5 2 2 2 20" xfId="8777" xr:uid="{00000000-0005-0000-0000-0000A5230000}"/>
    <cellStyle name="Normal 2 5 2 2 2 21" xfId="8778" xr:uid="{00000000-0005-0000-0000-0000A6230000}"/>
    <cellStyle name="Normal 2 5 2 2 2 22" xfId="8779" xr:uid="{00000000-0005-0000-0000-0000A7230000}"/>
    <cellStyle name="Normal 2 5 2 2 2 23" xfId="8780" xr:uid="{00000000-0005-0000-0000-0000A8230000}"/>
    <cellStyle name="Normal 2 5 2 2 2 24" xfId="8781" xr:uid="{00000000-0005-0000-0000-0000A9230000}"/>
    <cellStyle name="Normal 2 5 2 2 2 25" xfId="8782" xr:uid="{00000000-0005-0000-0000-0000AA230000}"/>
    <cellStyle name="Normal 2 5 2 2 2 26" xfId="8783" xr:uid="{00000000-0005-0000-0000-0000AB230000}"/>
    <cellStyle name="Normal 2 5 2 2 2 27" xfId="8784" xr:uid="{00000000-0005-0000-0000-0000AC230000}"/>
    <cellStyle name="Normal 2 5 2 2 2 28" xfId="8785" xr:uid="{00000000-0005-0000-0000-0000AD230000}"/>
    <cellStyle name="Normal 2 5 2 2 2 29" xfId="8786" xr:uid="{00000000-0005-0000-0000-0000AE230000}"/>
    <cellStyle name="Normal 2 5 2 2 2 3" xfId="8787" xr:uid="{00000000-0005-0000-0000-0000AF230000}"/>
    <cellStyle name="Normal 2 5 2 2 2 3 10" xfId="8788" xr:uid="{00000000-0005-0000-0000-0000B0230000}"/>
    <cellStyle name="Normal 2 5 2 2 2 3 11" xfId="8789" xr:uid="{00000000-0005-0000-0000-0000B1230000}"/>
    <cellStyle name="Normal 2 5 2 2 2 3 12" xfId="8790" xr:uid="{00000000-0005-0000-0000-0000B2230000}"/>
    <cellStyle name="Normal 2 5 2 2 2 3 13" xfId="8791" xr:uid="{00000000-0005-0000-0000-0000B3230000}"/>
    <cellStyle name="Normal 2 5 2 2 2 3 14" xfId="8792" xr:uid="{00000000-0005-0000-0000-0000B4230000}"/>
    <cellStyle name="Normal 2 5 2 2 2 3 15" xfId="8793" xr:uid="{00000000-0005-0000-0000-0000B5230000}"/>
    <cellStyle name="Normal 2 5 2 2 2 3 16" xfId="8794" xr:uid="{00000000-0005-0000-0000-0000B6230000}"/>
    <cellStyle name="Normal 2 5 2 2 2 3 17" xfId="8795" xr:uid="{00000000-0005-0000-0000-0000B7230000}"/>
    <cellStyle name="Normal 2 5 2 2 2 3 2" xfId="8796" xr:uid="{00000000-0005-0000-0000-0000B8230000}"/>
    <cellStyle name="Normal 2 5 2 2 2 3 3" xfId="8797" xr:uid="{00000000-0005-0000-0000-0000B9230000}"/>
    <cellStyle name="Normal 2 5 2 2 2 3 4" xfId="8798" xr:uid="{00000000-0005-0000-0000-0000BA230000}"/>
    <cellStyle name="Normal 2 5 2 2 2 3 5" xfId="8799" xr:uid="{00000000-0005-0000-0000-0000BB230000}"/>
    <cellStyle name="Normal 2 5 2 2 2 3 6" xfId="8800" xr:uid="{00000000-0005-0000-0000-0000BC230000}"/>
    <cellStyle name="Normal 2 5 2 2 2 3 7" xfId="8801" xr:uid="{00000000-0005-0000-0000-0000BD230000}"/>
    <cellStyle name="Normal 2 5 2 2 2 3 8" xfId="8802" xr:uid="{00000000-0005-0000-0000-0000BE230000}"/>
    <cellStyle name="Normal 2 5 2 2 2 3 9" xfId="8803" xr:uid="{00000000-0005-0000-0000-0000BF230000}"/>
    <cellStyle name="Normal 2 5 2 2 2 30" xfId="8804" xr:uid="{00000000-0005-0000-0000-0000C0230000}"/>
    <cellStyle name="Normal 2 5 2 2 2 31" xfId="8805" xr:uid="{00000000-0005-0000-0000-0000C1230000}"/>
    <cellStyle name="Normal 2 5 2 2 2 32" xfId="8806" xr:uid="{00000000-0005-0000-0000-0000C2230000}"/>
    <cellStyle name="Normal 2 5 2 2 2 33" xfId="8807" xr:uid="{00000000-0005-0000-0000-0000C3230000}"/>
    <cellStyle name="Normal 2 5 2 2 2 34" xfId="8808" xr:uid="{00000000-0005-0000-0000-0000C4230000}"/>
    <cellStyle name="Normal 2 5 2 2 2 35" xfId="8809" xr:uid="{00000000-0005-0000-0000-0000C5230000}"/>
    <cellStyle name="Normal 2 5 2 2 2 36" xfId="8810" xr:uid="{00000000-0005-0000-0000-0000C6230000}"/>
    <cellStyle name="Normal 2 5 2 2 2 37" xfId="8811" xr:uid="{00000000-0005-0000-0000-0000C7230000}"/>
    <cellStyle name="Normal 2 5 2 2 2 38" xfId="8812" xr:uid="{00000000-0005-0000-0000-0000C8230000}"/>
    <cellStyle name="Normal 2 5 2 2 2 39" xfId="8813" xr:uid="{00000000-0005-0000-0000-0000C9230000}"/>
    <cellStyle name="Normal 2 5 2 2 2 4" xfId="8814" xr:uid="{00000000-0005-0000-0000-0000CA230000}"/>
    <cellStyle name="Normal 2 5 2 2 2 40" xfId="8815" xr:uid="{00000000-0005-0000-0000-0000CB230000}"/>
    <cellStyle name="Normal 2 5 2 2 2 41" xfId="8816" xr:uid="{00000000-0005-0000-0000-0000CC230000}"/>
    <cellStyle name="Normal 2 5 2 2 2 42" xfId="8817" xr:uid="{00000000-0005-0000-0000-0000CD230000}"/>
    <cellStyle name="Normal 2 5 2 2 2 43" xfId="8818" xr:uid="{00000000-0005-0000-0000-0000CE230000}"/>
    <cellStyle name="Normal 2 5 2 2 2 44" xfId="8819" xr:uid="{00000000-0005-0000-0000-0000CF230000}"/>
    <cellStyle name="Normal 2 5 2 2 2 45" xfId="8820" xr:uid="{00000000-0005-0000-0000-0000D0230000}"/>
    <cellStyle name="Normal 2 5 2 2 2 46" xfId="8821" xr:uid="{00000000-0005-0000-0000-0000D1230000}"/>
    <cellStyle name="Normal 2 5 2 2 2 47" xfId="8822" xr:uid="{00000000-0005-0000-0000-0000D2230000}"/>
    <cellStyle name="Normal 2 5 2 2 2 48" xfId="8823" xr:uid="{00000000-0005-0000-0000-0000D3230000}"/>
    <cellStyle name="Normal 2 5 2 2 2 49" xfId="8824" xr:uid="{00000000-0005-0000-0000-0000D4230000}"/>
    <cellStyle name="Normal 2 5 2 2 2 5" xfId="8825" xr:uid="{00000000-0005-0000-0000-0000D5230000}"/>
    <cellStyle name="Normal 2 5 2 2 2 50" xfId="8826" xr:uid="{00000000-0005-0000-0000-0000D6230000}"/>
    <cellStyle name="Normal 2 5 2 2 2 51" xfId="8827" xr:uid="{00000000-0005-0000-0000-0000D7230000}"/>
    <cellStyle name="Normal 2 5 2 2 2 52" xfId="8828" xr:uid="{00000000-0005-0000-0000-0000D8230000}"/>
    <cellStyle name="Normal 2 5 2 2 2 53" xfId="8829" xr:uid="{00000000-0005-0000-0000-0000D9230000}"/>
    <cellStyle name="Normal 2 5 2 2 2 54" xfId="8830" xr:uid="{00000000-0005-0000-0000-0000DA230000}"/>
    <cellStyle name="Normal 2 5 2 2 2 55" xfId="8831" xr:uid="{00000000-0005-0000-0000-0000DB230000}"/>
    <cellStyle name="Normal 2 5 2 2 2 56" xfId="8832" xr:uid="{00000000-0005-0000-0000-0000DC230000}"/>
    <cellStyle name="Normal 2 5 2 2 2 57" xfId="8833" xr:uid="{00000000-0005-0000-0000-0000DD230000}"/>
    <cellStyle name="Normal 2 5 2 2 2 58" xfId="8834" xr:uid="{00000000-0005-0000-0000-0000DE230000}"/>
    <cellStyle name="Normal 2 5 2 2 2 59" xfId="8835" xr:uid="{00000000-0005-0000-0000-0000DF230000}"/>
    <cellStyle name="Normal 2 5 2 2 2 6" xfId="8836" xr:uid="{00000000-0005-0000-0000-0000E0230000}"/>
    <cellStyle name="Normal 2 5 2 2 2 60" xfId="8837" xr:uid="{00000000-0005-0000-0000-0000E1230000}"/>
    <cellStyle name="Normal 2 5 2 2 2 61" xfId="8838" xr:uid="{00000000-0005-0000-0000-0000E2230000}"/>
    <cellStyle name="Normal 2 5 2 2 2 62" xfId="8839" xr:uid="{00000000-0005-0000-0000-0000E3230000}"/>
    <cellStyle name="Normal 2 5 2 2 2 63" xfId="8840" xr:uid="{00000000-0005-0000-0000-0000E4230000}"/>
    <cellStyle name="Normal 2 5 2 2 2 64" xfId="8841" xr:uid="{00000000-0005-0000-0000-0000E5230000}"/>
    <cellStyle name="Normal 2 5 2 2 2 65" xfId="8842" xr:uid="{00000000-0005-0000-0000-0000E6230000}"/>
    <cellStyle name="Normal 2 5 2 2 2 66" xfId="8843" xr:uid="{00000000-0005-0000-0000-0000E7230000}"/>
    <cellStyle name="Normal 2 5 2 2 2 67" xfId="8844" xr:uid="{00000000-0005-0000-0000-0000E8230000}"/>
    <cellStyle name="Normal 2 5 2 2 2 68" xfId="8845" xr:uid="{00000000-0005-0000-0000-0000E9230000}"/>
    <cellStyle name="Normal 2 5 2 2 2 69" xfId="8846" xr:uid="{00000000-0005-0000-0000-0000EA230000}"/>
    <cellStyle name="Normal 2 5 2 2 2 7" xfId="8847" xr:uid="{00000000-0005-0000-0000-0000EB230000}"/>
    <cellStyle name="Normal 2 5 2 2 2 70" xfId="8848" xr:uid="{00000000-0005-0000-0000-0000EC230000}"/>
    <cellStyle name="Normal 2 5 2 2 2 71" xfId="8849" xr:uid="{00000000-0005-0000-0000-0000ED230000}"/>
    <cellStyle name="Normal 2 5 2 2 2 72" xfId="8850" xr:uid="{00000000-0005-0000-0000-0000EE230000}"/>
    <cellStyle name="Normal 2 5 2 2 2 73" xfId="8851" xr:uid="{00000000-0005-0000-0000-0000EF230000}"/>
    <cellStyle name="Normal 2 5 2 2 2 74" xfId="8852" xr:uid="{00000000-0005-0000-0000-0000F0230000}"/>
    <cellStyle name="Normal 2 5 2 2 2 75" xfId="8853" xr:uid="{00000000-0005-0000-0000-0000F1230000}"/>
    <cellStyle name="Normal 2 5 2 2 2 76" xfId="8854" xr:uid="{00000000-0005-0000-0000-0000F2230000}"/>
    <cellStyle name="Normal 2 5 2 2 2 77" xfId="8855" xr:uid="{00000000-0005-0000-0000-0000F3230000}"/>
    <cellStyle name="Normal 2 5 2 2 2 78" xfId="8856" xr:uid="{00000000-0005-0000-0000-0000F4230000}"/>
    <cellStyle name="Normal 2 5 2 2 2 79" xfId="8857" xr:uid="{00000000-0005-0000-0000-0000F5230000}"/>
    <cellStyle name="Normal 2 5 2 2 2 8" xfId="8858" xr:uid="{00000000-0005-0000-0000-0000F6230000}"/>
    <cellStyle name="Normal 2 5 2 2 2 80" xfId="8859" xr:uid="{00000000-0005-0000-0000-0000F7230000}"/>
    <cellStyle name="Normal 2 5 2 2 2 81" xfId="8860" xr:uid="{00000000-0005-0000-0000-0000F8230000}"/>
    <cellStyle name="Normal 2 5 2 2 2 82" xfId="8861" xr:uid="{00000000-0005-0000-0000-0000F9230000}"/>
    <cellStyle name="Normal 2 5 2 2 2 9" xfId="8862" xr:uid="{00000000-0005-0000-0000-0000FA230000}"/>
    <cellStyle name="Normal 2 5 2 2 20" xfId="8863" xr:uid="{00000000-0005-0000-0000-0000FB230000}"/>
    <cellStyle name="Normal 2 5 2 2 21" xfId="8864" xr:uid="{00000000-0005-0000-0000-0000FC230000}"/>
    <cellStyle name="Normal 2 5 2 2 22" xfId="8865" xr:uid="{00000000-0005-0000-0000-0000FD230000}"/>
    <cellStyle name="Normal 2 5 2 2 23" xfId="8866" xr:uid="{00000000-0005-0000-0000-0000FE230000}"/>
    <cellStyle name="Normal 2 5 2 2 24" xfId="8867" xr:uid="{00000000-0005-0000-0000-0000FF230000}"/>
    <cellStyle name="Normal 2 5 2 2 25" xfId="8868" xr:uid="{00000000-0005-0000-0000-000000240000}"/>
    <cellStyle name="Normal 2 5 2 2 26" xfId="8869" xr:uid="{00000000-0005-0000-0000-000001240000}"/>
    <cellStyle name="Normal 2 5 2 2 27" xfId="8870" xr:uid="{00000000-0005-0000-0000-000002240000}"/>
    <cellStyle name="Normal 2 5 2 2 28" xfId="8871" xr:uid="{00000000-0005-0000-0000-000003240000}"/>
    <cellStyle name="Normal 2 5 2 2 29" xfId="8872" xr:uid="{00000000-0005-0000-0000-000004240000}"/>
    <cellStyle name="Normal 2 5 2 2 3" xfId="8873" xr:uid="{00000000-0005-0000-0000-000005240000}"/>
    <cellStyle name="Normal 2 5 2 2 3 10" xfId="8874" xr:uid="{00000000-0005-0000-0000-000006240000}"/>
    <cellStyle name="Normal 2 5 2 2 3 11" xfId="8875" xr:uid="{00000000-0005-0000-0000-000007240000}"/>
    <cellStyle name="Normal 2 5 2 2 3 12" xfId="8876" xr:uid="{00000000-0005-0000-0000-000008240000}"/>
    <cellStyle name="Normal 2 5 2 2 3 13" xfId="8877" xr:uid="{00000000-0005-0000-0000-000009240000}"/>
    <cellStyle name="Normal 2 5 2 2 3 14" xfId="8878" xr:uid="{00000000-0005-0000-0000-00000A240000}"/>
    <cellStyle name="Normal 2 5 2 2 3 15" xfId="8879" xr:uid="{00000000-0005-0000-0000-00000B240000}"/>
    <cellStyle name="Normal 2 5 2 2 3 16" xfId="8880" xr:uid="{00000000-0005-0000-0000-00000C240000}"/>
    <cellStyle name="Normal 2 5 2 2 3 17" xfId="8881" xr:uid="{00000000-0005-0000-0000-00000D240000}"/>
    <cellStyle name="Normal 2 5 2 2 3 18" xfId="8882" xr:uid="{00000000-0005-0000-0000-00000E240000}"/>
    <cellStyle name="Normal 2 5 2 2 3 2" xfId="8883" xr:uid="{00000000-0005-0000-0000-00000F240000}"/>
    <cellStyle name="Normal 2 5 2 2 3 3" xfId="8884" xr:uid="{00000000-0005-0000-0000-000010240000}"/>
    <cellStyle name="Normal 2 5 2 2 3 4" xfId="8885" xr:uid="{00000000-0005-0000-0000-000011240000}"/>
    <cellStyle name="Normal 2 5 2 2 3 5" xfId="8886" xr:uid="{00000000-0005-0000-0000-000012240000}"/>
    <cellStyle name="Normal 2 5 2 2 3 6" xfId="8887" xr:uid="{00000000-0005-0000-0000-000013240000}"/>
    <cellStyle name="Normal 2 5 2 2 3 7" xfId="8888" xr:uid="{00000000-0005-0000-0000-000014240000}"/>
    <cellStyle name="Normal 2 5 2 2 3 8" xfId="8889" xr:uid="{00000000-0005-0000-0000-000015240000}"/>
    <cellStyle name="Normal 2 5 2 2 3 9" xfId="8890" xr:uid="{00000000-0005-0000-0000-000016240000}"/>
    <cellStyle name="Normal 2 5 2 2 30" xfId="8891" xr:uid="{00000000-0005-0000-0000-000017240000}"/>
    <cellStyle name="Normal 2 5 2 2 31" xfId="8892" xr:uid="{00000000-0005-0000-0000-000018240000}"/>
    <cellStyle name="Normal 2 5 2 2 32" xfId="8893" xr:uid="{00000000-0005-0000-0000-000019240000}"/>
    <cellStyle name="Normal 2 5 2 2 33" xfId="8894" xr:uid="{00000000-0005-0000-0000-00001A240000}"/>
    <cellStyle name="Normal 2 5 2 2 34" xfId="8895" xr:uid="{00000000-0005-0000-0000-00001B240000}"/>
    <cellStyle name="Normal 2 5 2 2 35" xfId="8896" xr:uid="{00000000-0005-0000-0000-00001C240000}"/>
    <cellStyle name="Normal 2 5 2 2 36" xfId="8897" xr:uid="{00000000-0005-0000-0000-00001D240000}"/>
    <cellStyle name="Normal 2 5 2 2 37" xfId="8898" xr:uid="{00000000-0005-0000-0000-00001E240000}"/>
    <cellStyle name="Normal 2 5 2 2 38" xfId="8899" xr:uid="{00000000-0005-0000-0000-00001F240000}"/>
    <cellStyle name="Normal 2 5 2 2 39" xfId="8900" xr:uid="{00000000-0005-0000-0000-000020240000}"/>
    <cellStyle name="Normal 2 5 2 2 4" xfId="8901" xr:uid="{00000000-0005-0000-0000-000021240000}"/>
    <cellStyle name="Normal 2 5 2 2 4 10" xfId="8902" xr:uid="{00000000-0005-0000-0000-000022240000}"/>
    <cellStyle name="Normal 2 5 2 2 4 11" xfId="8903" xr:uid="{00000000-0005-0000-0000-000023240000}"/>
    <cellStyle name="Normal 2 5 2 2 4 12" xfId="8904" xr:uid="{00000000-0005-0000-0000-000024240000}"/>
    <cellStyle name="Normal 2 5 2 2 4 13" xfId="8905" xr:uid="{00000000-0005-0000-0000-000025240000}"/>
    <cellStyle name="Normal 2 5 2 2 4 14" xfId="8906" xr:uid="{00000000-0005-0000-0000-000026240000}"/>
    <cellStyle name="Normal 2 5 2 2 4 15" xfId="8907" xr:uid="{00000000-0005-0000-0000-000027240000}"/>
    <cellStyle name="Normal 2 5 2 2 4 16" xfId="8908" xr:uid="{00000000-0005-0000-0000-000028240000}"/>
    <cellStyle name="Normal 2 5 2 2 4 17" xfId="8909" xr:uid="{00000000-0005-0000-0000-000029240000}"/>
    <cellStyle name="Normal 2 5 2 2 4 2" xfId="8910" xr:uid="{00000000-0005-0000-0000-00002A240000}"/>
    <cellStyle name="Normal 2 5 2 2 4 3" xfId="8911" xr:uid="{00000000-0005-0000-0000-00002B240000}"/>
    <cellStyle name="Normal 2 5 2 2 4 4" xfId="8912" xr:uid="{00000000-0005-0000-0000-00002C240000}"/>
    <cellStyle name="Normal 2 5 2 2 4 5" xfId="8913" xr:uid="{00000000-0005-0000-0000-00002D240000}"/>
    <cellStyle name="Normal 2 5 2 2 4 6" xfId="8914" xr:uid="{00000000-0005-0000-0000-00002E240000}"/>
    <cellStyle name="Normal 2 5 2 2 4 7" xfId="8915" xr:uid="{00000000-0005-0000-0000-00002F240000}"/>
    <cellStyle name="Normal 2 5 2 2 4 8" xfId="8916" xr:uid="{00000000-0005-0000-0000-000030240000}"/>
    <cellStyle name="Normal 2 5 2 2 4 9" xfId="8917" xr:uid="{00000000-0005-0000-0000-000031240000}"/>
    <cellStyle name="Normal 2 5 2 2 40" xfId="8918" xr:uid="{00000000-0005-0000-0000-000032240000}"/>
    <cellStyle name="Normal 2 5 2 2 41" xfId="8919" xr:uid="{00000000-0005-0000-0000-000033240000}"/>
    <cellStyle name="Normal 2 5 2 2 42" xfId="8920" xr:uid="{00000000-0005-0000-0000-000034240000}"/>
    <cellStyle name="Normal 2 5 2 2 43" xfId="8921" xr:uid="{00000000-0005-0000-0000-000035240000}"/>
    <cellStyle name="Normal 2 5 2 2 44" xfId="8922" xr:uid="{00000000-0005-0000-0000-000036240000}"/>
    <cellStyle name="Normal 2 5 2 2 45" xfId="8923" xr:uid="{00000000-0005-0000-0000-000037240000}"/>
    <cellStyle name="Normal 2 5 2 2 46" xfId="8924" xr:uid="{00000000-0005-0000-0000-000038240000}"/>
    <cellStyle name="Normal 2 5 2 2 47" xfId="8925" xr:uid="{00000000-0005-0000-0000-000039240000}"/>
    <cellStyle name="Normal 2 5 2 2 48" xfId="8926" xr:uid="{00000000-0005-0000-0000-00003A240000}"/>
    <cellStyle name="Normal 2 5 2 2 49" xfId="8927" xr:uid="{00000000-0005-0000-0000-00003B240000}"/>
    <cellStyle name="Normal 2 5 2 2 5" xfId="8928" xr:uid="{00000000-0005-0000-0000-00003C240000}"/>
    <cellStyle name="Normal 2 5 2 2 50" xfId="8929" xr:uid="{00000000-0005-0000-0000-00003D240000}"/>
    <cellStyle name="Normal 2 5 2 2 51" xfId="8930" xr:uid="{00000000-0005-0000-0000-00003E240000}"/>
    <cellStyle name="Normal 2 5 2 2 52" xfId="8931" xr:uid="{00000000-0005-0000-0000-00003F240000}"/>
    <cellStyle name="Normal 2 5 2 2 53" xfId="8932" xr:uid="{00000000-0005-0000-0000-000040240000}"/>
    <cellStyle name="Normal 2 5 2 2 54" xfId="8933" xr:uid="{00000000-0005-0000-0000-000041240000}"/>
    <cellStyle name="Normal 2 5 2 2 55" xfId="8934" xr:uid="{00000000-0005-0000-0000-000042240000}"/>
    <cellStyle name="Normal 2 5 2 2 56" xfId="8935" xr:uid="{00000000-0005-0000-0000-000043240000}"/>
    <cellStyle name="Normal 2 5 2 2 57" xfId="8936" xr:uid="{00000000-0005-0000-0000-000044240000}"/>
    <cellStyle name="Normal 2 5 2 2 58" xfId="8937" xr:uid="{00000000-0005-0000-0000-000045240000}"/>
    <cellStyle name="Normal 2 5 2 2 59" xfId="8938" xr:uid="{00000000-0005-0000-0000-000046240000}"/>
    <cellStyle name="Normal 2 5 2 2 6" xfId="8939" xr:uid="{00000000-0005-0000-0000-000047240000}"/>
    <cellStyle name="Normal 2 5 2 2 60" xfId="8940" xr:uid="{00000000-0005-0000-0000-000048240000}"/>
    <cellStyle name="Normal 2 5 2 2 61" xfId="8941" xr:uid="{00000000-0005-0000-0000-000049240000}"/>
    <cellStyle name="Normal 2 5 2 2 62" xfId="8942" xr:uid="{00000000-0005-0000-0000-00004A240000}"/>
    <cellStyle name="Normal 2 5 2 2 63" xfId="8943" xr:uid="{00000000-0005-0000-0000-00004B240000}"/>
    <cellStyle name="Normal 2 5 2 2 64" xfId="8944" xr:uid="{00000000-0005-0000-0000-00004C240000}"/>
    <cellStyle name="Normal 2 5 2 2 65" xfId="8945" xr:uid="{00000000-0005-0000-0000-00004D240000}"/>
    <cellStyle name="Normal 2 5 2 2 66" xfId="8946" xr:uid="{00000000-0005-0000-0000-00004E240000}"/>
    <cellStyle name="Normal 2 5 2 2 67" xfId="8947" xr:uid="{00000000-0005-0000-0000-00004F240000}"/>
    <cellStyle name="Normal 2 5 2 2 68" xfId="8948" xr:uid="{00000000-0005-0000-0000-000050240000}"/>
    <cellStyle name="Normal 2 5 2 2 69" xfId="8949" xr:uid="{00000000-0005-0000-0000-000051240000}"/>
    <cellStyle name="Normal 2 5 2 2 7" xfId="8950" xr:uid="{00000000-0005-0000-0000-000052240000}"/>
    <cellStyle name="Normal 2 5 2 2 70" xfId="8951" xr:uid="{00000000-0005-0000-0000-000053240000}"/>
    <cellStyle name="Normal 2 5 2 2 71" xfId="8952" xr:uid="{00000000-0005-0000-0000-000054240000}"/>
    <cellStyle name="Normal 2 5 2 2 72" xfId="8953" xr:uid="{00000000-0005-0000-0000-000055240000}"/>
    <cellStyle name="Normal 2 5 2 2 73" xfId="8954" xr:uid="{00000000-0005-0000-0000-000056240000}"/>
    <cellStyle name="Normal 2 5 2 2 74" xfId="8955" xr:uid="{00000000-0005-0000-0000-000057240000}"/>
    <cellStyle name="Normal 2 5 2 2 75" xfId="8956" xr:uid="{00000000-0005-0000-0000-000058240000}"/>
    <cellStyle name="Normal 2 5 2 2 76" xfId="8957" xr:uid="{00000000-0005-0000-0000-000059240000}"/>
    <cellStyle name="Normal 2 5 2 2 77" xfId="8958" xr:uid="{00000000-0005-0000-0000-00005A240000}"/>
    <cellStyle name="Normal 2 5 2 2 78" xfId="8959" xr:uid="{00000000-0005-0000-0000-00005B240000}"/>
    <cellStyle name="Normal 2 5 2 2 79" xfId="8960" xr:uid="{00000000-0005-0000-0000-00005C240000}"/>
    <cellStyle name="Normal 2 5 2 2 8" xfId="8961" xr:uid="{00000000-0005-0000-0000-00005D240000}"/>
    <cellStyle name="Normal 2 5 2 2 80" xfId="8962" xr:uid="{00000000-0005-0000-0000-00005E240000}"/>
    <cellStyle name="Normal 2 5 2 2 81" xfId="8963" xr:uid="{00000000-0005-0000-0000-00005F240000}"/>
    <cellStyle name="Normal 2 5 2 2 82" xfId="8964" xr:uid="{00000000-0005-0000-0000-000060240000}"/>
    <cellStyle name="Normal 2 5 2 2 83" xfId="8965" xr:uid="{00000000-0005-0000-0000-000061240000}"/>
    <cellStyle name="Normal 2 5 2 2 84" xfId="8966" xr:uid="{00000000-0005-0000-0000-000062240000}"/>
    <cellStyle name="Normal 2 5 2 2 9" xfId="8967" xr:uid="{00000000-0005-0000-0000-000063240000}"/>
    <cellStyle name="Normal 2 5 2 2_4 28 1_Asst_Health_Crit_AllTO_RIIO_20110714pm" xfId="8968" xr:uid="{00000000-0005-0000-0000-000064240000}"/>
    <cellStyle name="Normal 2 5 2 20" xfId="8969" xr:uid="{00000000-0005-0000-0000-000065240000}"/>
    <cellStyle name="Normal 2 5 2 21" xfId="8970" xr:uid="{00000000-0005-0000-0000-000066240000}"/>
    <cellStyle name="Normal 2 5 2 22" xfId="8971" xr:uid="{00000000-0005-0000-0000-000067240000}"/>
    <cellStyle name="Normal 2 5 2 23" xfId="8972" xr:uid="{00000000-0005-0000-0000-000068240000}"/>
    <cellStyle name="Normal 2 5 2 24" xfId="8973" xr:uid="{00000000-0005-0000-0000-000069240000}"/>
    <cellStyle name="Normal 2 5 2 25" xfId="8974" xr:uid="{00000000-0005-0000-0000-00006A240000}"/>
    <cellStyle name="Normal 2 5 2 26" xfId="8975" xr:uid="{00000000-0005-0000-0000-00006B240000}"/>
    <cellStyle name="Normal 2 5 2 27" xfId="8976" xr:uid="{00000000-0005-0000-0000-00006C240000}"/>
    <cellStyle name="Normal 2 5 2 28" xfId="8977" xr:uid="{00000000-0005-0000-0000-00006D240000}"/>
    <cellStyle name="Normal 2 5 2 29" xfId="8978" xr:uid="{00000000-0005-0000-0000-00006E240000}"/>
    <cellStyle name="Normal 2 5 2 3" xfId="8979" xr:uid="{00000000-0005-0000-0000-00006F240000}"/>
    <cellStyle name="Normal 2 5 2 3 10" xfId="8980" xr:uid="{00000000-0005-0000-0000-000070240000}"/>
    <cellStyle name="Normal 2 5 2 3 11" xfId="8981" xr:uid="{00000000-0005-0000-0000-000071240000}"/>
    <cellStyle name="Normal 2 5 2 3 12" xfId="8982" xr:uid="{00000000-0005-0000-0000-000072240000}"/>
    <cellStyle name="Normal 2 5 2 3 13" xfId="8983" xr:uid="{00000000-0005-0000-0000-000073240000}"/>
    <cellStyle name="Normal 2 5 2 3 14" xfId="8984" xr:uid="{00000000-0005-0000-0000-000074240000}"/>
    <cellStyle name="Normal 2 5 2 3 15" xfId="8985" xr:uid="{00000000-0005-0000-0000-000075240000}"/>
    <cellStyle name="Normal 2 5 2 3 16" xfId="8986" xr:uid="{00000000-0005-0000-0000-000076240000}"/>
    <cellStyle name="Normal 2 5 2 3 17" xfId="8987" xr:uid="{00000000-0005-0000-0000-000077240000}"/>
    <cellStyle name="Normal 2 5 2 3 18" xfId="8988" xr:uid="{00000000-0005-0000-0000-000078240000}"/>
    <cellStyle name="Normal 2 5 2 3 19" xfId="8989" xr:uid="{00000000-0005-0000-0000-000079240000}"/>
    <cellStyle name="Normal 2 5 2 3 2" xfId="8990" xr:uid="{00000000-0005-0000-0000-00007A240000}"/>
    <cellStyle name="Normal 2 5 2 3 2 10" xfId="8991" xr:uid="{00000000-0005-0000-0000-00007B240000}"/>
    <cellStyle name="Normal 2 5 2 3 2 11" xfId="8992" xr:uid="{00000000-0005-0000-0000-00007C240000}"/>
    <cellStyle name="Normal 2 5 2 3 2 12" xfId="8993" xr:uid="{00000000-0005-0000-0000-00007D240000}"/>
    <cellStyle name="Normal 2 5 2 3 2 13" xfId="8994" xr:uid="{00000000-0005-0000-0000-00007E240000}"/>
    <cellStyle name="Normal 2 5 2 3 2 14" xfId="8995" xr:uid="{00000000-0005-0000-0000-00007F240000}"/>
    <cellStyle name="Normal 2 5 2 3 2 15" xfId="8996" xr:uid="{00000000-0005-0000-0000-000080240000}"/>
    <cellStyle name="Normal 2 5 2 3 2 16" xfId="8997" xr:uid="{00000000-0005-0000-0000-000081240000}"/>
    <cellStyle name="Normal 2 5 2 3 2 17" xfId="8998" xr:uid="{00000000-0005-0000-0000-000082240000}"/>
    <cellStyle name="Normal 2 5 2 3 2 2" xfId="8999" xr:uid="{00000000-0005-0000-0000-000083240000}"/>
    <cellStyle name="Normal 2 5 2 3 2 3" xfId="9000" xr:uid="{00000000-0005-0000-0000-000084240000}"/>
    <cellStyle name="Normal 2 5 2 3 2 4" xfId="9001" xr:uid="{00000000-0005-0000-0000-000085240000}"/>
    <cellStyle name="Normal 2 5 2 3 2 5" xfId="9002" xr:uid="{00000000-0005-0000-0000-000086240000}"/>
    <cellStyle name="Normal 2 5 2 3 2 6" xfId="9003" xr:uid="{00000000-0005-0000-0000-000087240000}"/>
    <cellStyle name="Normal 2 5 2 3 2 7" xfId="9004" xr:uid="{00000000-0005-0000-0000-000088240000}"/>
    <cellStyle name="Normal 2 5 2 3 2 8" xfId="9005" xr:uid="{00000000-0005-0000-0000-000089240000}"/>
    <cellStyle name="Normal 2 5 2 3 2 9" xfId="9006" xr:uid="{00000000-0005-0000-0000-00008A240000}"/>
    <cellStyle name="Normal 2 5 2 3 20" xfId="9007" xr:uid="{00000000-0005-0000-0000-00008B240000}"/>
    <cellStyle name="Normal 2 5 2 3 21" xfId="9008" xr:uid="{00000000-0005-0000-0000-00008C240000}"/>
    <cellStyle name="Normal 2 5 2 3 22" xfId="9009" xr:uid="{00000000-0005-0000-0000-00008D240000}"/>
    <cellStyle name="Normal 2 5 2 3 23" xfId="9010" xr:uid="{00000000-0005-0000-0000-00008E240000}"/>
    <cellStyle name="Normal 2 5 2 3 24" xfId="9011" xr:uid="{00000000-0005-0000-0000-00008F240000}"/>
    <cellStyle name="Normal 2 5 2 3 25" xfId="9012" xr:uid="{00000000-0005-0000-0000-000090240000}"/>
    <cellStyle name="Normal 2 5 2 3 26" xfId="9013" xr:uid="{00000000-0005-0000-0000-000091240000}"/>
    <cellStyle name="Normal 2 5 2 3 27" xfId="9014" xr:uid="{00000000-0005-0000-0000-000092240000}"/>
    <cellStyle name="Normal 2 5 2 3 28" xfId="9015" xr:uid="{00000000-0005-0000-0000-000093240000}"/>
    <cellStyle name="Normal 2 5 2 3 29" xfId="9016" xr:uid="{00000000-0005-0000-0000-000094240000}"/>
    <cellStyle name="Normal 2 5 2 3 3" xfId="9017" xr:uid="{00000000-0005-0000-0000-000095240000}"/>
    <cellStyle name="Normal 2 5 2 3 3 10" xfId="9018" xr:uid="{00000000-0005-0000-0000-000096240000}"/>
    <cellStyle name="Normal 2 5 2 3 3 11" xfId="9019" xr:uid="{00000000-0005-0000-0000-000097240000}"/>
    <cellStyle name="Normal 2 5 2 3 3 12" xfId="9020" xr:uid="{00000000-0005-0000-0000-000098240000}"/>
    <cellStyle name="Normal 2 5 2 3 3 13" xfId="9021" xr:uid="{00000000-0005-0000-0000-000099240000}"/>
    <cellStyle name="Normal 2 5 2 3 3 14" xfId="9022" xr:uid="{00000000-0005-0000-0000-00009A240000}"/>
    <cellStyle name="Normal 2 5 2 3 3 15" xfId="9023" xr:uid="{00000000-0005-0000-0000-00009B240000}"/>
    <cellStyle name="Normal 2 5 2 3 3 16" xfId="9024" xr:uid="{00000000-0005-0000-0000-00009C240000}"/>
    <cellStyle name="Normal 2 5 2 3 3 17" xfId="9025" xr:uid="{00000000-0005-0000-0000-00009D240000}"/>
    <cellStyle name="Normal 2 5 2 3 3 2" xfId="9026" xr:uid="{00000000-0005-0000-0000-00009E240000}"/>
    <cellStyle name="Normal 2 5 2 3 3 3" xfId="9027" xr:uid="{00000000-0005-0000-0000-00009F240000}"/>
    <cellStyle name="Normal 2 5 2 3 3 4" xfId="9028" xr:uid="{00000000-0005-0000-0000-0000A0240000}"/>
    <cellStyle name="Normal 2 5 2 3 3 5" xfId="9029" xr:uid="{00000000-0005-0000-0000-0000A1240000}"/>
    <cellStyle name="Normal 2 5 2 3 3 6" xfId="9030" xr:uid="{00000000-0005-0000-0000-0000A2240000}"/>
    <cellStyle name="Normal 2 5 2 3 3 7" xfId="9031" xr:uid="{00000000-0005-0000-0000-0000A3240000}"/>
    <cellStyle name="Normal 2 5 2 3 3 8" xfId="9032" xr:uid="{00000000-0005-0000-0000-0000A4240000}"/>
    <cellStyle name="Normal 2 5 2 3 3 9" xfId="9033" xr:uid="{00000000-0005-0000-0000-0000A5240000}"/>
    <cellStyle name="Normal 2 5 2 3 30" xfId="9034" xr:uid="{00000000-0005-0000-0000-0000A6240000}"/>
    <cellStyle name="Normal 2 5 2 3 31" xfId="9035" xr:uid="{00000000-0005-0000-0000-0000A7240000}"/>
    <cellStyle name="Normal 2 5 2 3 32" xfId="9036" xr:uid="{00000000-0005-0000-0000-0000A8240000}"/>
    <cellStyle name="Normal 2 5 2 3 33" xfId="9037" xr:uid="{00000000-0005-0000-0000-0000A9240000}"/>
    <cellStyle name="Normal 2 5 2 3 34" xfId="9038" xr:uid="{00000000-0005-0000-0000-0000AA240000}"/>
    <cellStyle name="Normal 2 5 2 3 35" xfId="9039" xr:uid="{00000000-0005-0000-0000-0000AB240000}"/>
    <cellStyle name="Normal 2 5 2 3 36" xfId="9040" xr:uid="{00000000-0005-0000-0000-0000AC240000}"/>
    <cellStyle name="Normal 2 5 2 3 37" xfId="9041" xr:uid="{00000000-0005-0000-0000-0000AD240000}"/>
    <cellStyle name="Normal 2 5 2 3 38" xfId="9042" xr:uid="{00000000-0005-0000-0000-0000AE240000}"/>
    <cellStyle name="Normal 2 5 2 3 39" xfId="9043" xr:uid="{00000000-0005-0000-0000-0000AF240000}"/>
    <cellStyle name="Normal 2 5 2 3 4" xfId="9044" xr:uid="{00000000-0005-0000-0000-0000B0240000}"/>
    <cellStyle name="Normal 2 5 2 3 40" xfId="9045" xr:uid="{00000000-0005-0000-0000-0000B1240000}"/>
    <cellStyle name="Normal 2 5 2 3 41" xfId="9046" xr:uid="{00000000-0005-0000-0000-0000B2240000}"/>
    <cellStyle name="Normal 2 5 2 3 42" xfId="9047" xr:uid="{00000000-0005-0000-0000-0000B3240000}"/>
    <cellStyle name="Normal 2 5 2 3 43" xfId="9048" xr:uid="{00000000-0005-0000-0000-0000B4240000}"/>
    <cellStyle name="Normal 2 5 2 3 44" xfId="9049" xr:uid="{00000000-0005-0000-0000-0000B5240000}"/>
    <cellStyle name="Normal 2 5 2 3 45" xfId="9050" xr:uid="{00000000-0005-0000-0000-0000B6240000}"/>
    <cellStyle name="Normal 2 5 2 3 46" xfId="9051" xr:uid="{00000000-0005-0000-0000-0000B7240000}"/>
    <cellStyle name="Normal 2 5 2 3 47" xfId="9052" xr:uid="{00000000-0005-0000-0000-0000B8240000}"/>
    <cellStyle name="Normal 2 5 2 3 48" xfId="9053" xr:uid="{00000000-0005-0000-0000-0000B9240000}"/>
    <cellStyle name="Normal 2 5 2 3 49" xfId="9054" xr:uid="{00000000-0005-0000-0000-0000BA240000}"/>
    <cellStyle name="Normal 2 5 2 3 5" xfId="9055" xr:uid="{00000000-0005-0000-0000-0000BB240000}"/>
    <cellStyle name="Normal 2 5 2 3 50" xfId="9056" xr:uid="{00000000-0005-0000-0000-0000BC240000}"/>
    <cellStyle name="Normal 2 5 2 3 51" xfId="9057" xr:uid="{00000000-0005-0000-0000-0000BD240000}"/>
    <cellStyle name="Normal 2 5 2 3 52" xfId="9058" xr:uid="{00000000-0005-0000-0000-0000BE240000}"/>
    <cellStyle name="Normal 2 5 2 3 53" xfId="9059" xr:uid="{00000000-0005-0000-0000-0000BF240000}"/>
    <cellStyle name="Normal 2 5 2 3 54" xfId="9060" xr:uid="{00000000-0005-0000-0000-0000C0240000}"/>
    <cellStyle name="Normal 2 5 2 3 55" xfId="9061" xr:uid="{00000000-0005-0000-0000-0000C1240000}"/>
    <cellStyle name="Normal 2 5 2 3 56" xfId="9062" xr:uid="{00000000-0005-0000-0000-0000C2240000}"/>
    <cellStyle name="Normal 2 5 2 3 57" xfId="9063" xr:uid="{00000000-0005-0000-0000-0000C3240000}"/>
    <cellStyle name="Normal 2 5 2 3 58" xfId="9064" xr:uid="{00000000-0005-0000-0000-0000C4240000}"/>
    <cellStyle name="Normal 2 5 2 3 59" xfId="9065" xr:uid="{00000000-0005-0000-0000-0000C5240000}"/>
    <cellStyle name="Normal 2 5 2 3 6" xfId="9066" xr:uid="{00000000-0005-0000-0000-0000C6240000}"/>
    <cellStyle name="Normal 2 5 2 3 60" xfId="9067" xr:uid="{00000000-0005-0000-0000-0000C7240000}"/>
    <cellStyle name="Normal 2 5 2 3 61" xfId="9068" xr:uid="{00000000-0005-0000-0000-0000C8240000}"/>
    <cellStyle name="Normal 2 5 2 3 62" xfId="9069" xr:uid="{00000000-0005-0000-0000-0000C9240000}"/>
    <cellStyle name="Normal 2 5 2 3 63" xfId="9070" xr:uid="{00000000-0005-0000-0000-0000CA240000}"/>
    <cellStyle name="Normal 2 5 2 3 64" xfId="9071" xr:uid="{00000000-0005-0000-0000-0000CB240000}"/>
    <cellStyle name="Normal 2 5 2 3 65" xfId="9072" xr:uid="{00000000-0005-0000-0000-0000CC240000}"/>
    <cellStyle name="Normal 2 5 2 3 66" xfId="9073" xr:uid="{00000000-0005-0000-0000-0000CD240000}"/>
    <cellStyle name="Normal 2 5 2 3 67" xfId="9074" xr:uid="{00000000-0005-0000-0000-0000CE240000}"/>
    <cellStyle name="Normal 2 5 2 3 68" xfId="9075" xr:uid="{00000000-0005-0000-0000-0000CF240000}"/>
    <cellStyle name="Normal 2 5 2 3 69" xfId="9076" xr:uid="{00000000-0005-0000-0000-0000D0240000}"/>
    <cellStyle name="Normal 2 5 2 3 7" xfId="9077" xr:uid="{00000000-0005-0000-0000-0000D1240000}"/>
    <cellStyle name="Normal 2 5 2 3 70" xfId="9078" xr:uid="{00000000-0005-0000-0000-0000D2240000}"/>
    <cellStyle name="Normal 2 5 2 3 71" xfId="9079" xr:uid="{00000000-0005-0000-0000-0000D3240000}"/>
    <cellStyle name="Normal 2 5 2 3 72" xfId="9080" xr:uid="{00000000-0005-0000-0000-0000D4240000}"/>
    <cellStyle name="Normal 2 5 2 3 73" xfId="9081" xr:uid="{00000000-0005-0000-0000-0000D5240000}"/>
    <cellStyle name="Normal 2 5 2 3 74" xfId="9082" xr:uid="{00000000-0005-0000-0000-0000D6240000}"/>
    <cellStyle name="Normal 2 5 2 3 75" xfId="9083" xr:uid="{00000000-0005-0000-0000-0000D7240000}"/>
    <cellStyle name="Normal 2 5 2 3 76" xfId="9084" xr:uid="{00000000-0005-0000-0000-0000D8240000}"/>
    <cellStyle name="Normal 2 5 2 3 77" xfId="9085" xr:uid="{00000000-0005-0000-0000-0000D9240000}"/>
    <cellStyle name="Normal 2 5 2 3 78" xfId="9086" xr:uid="{00000000-0005-0000-0000-0000DA240000}"/>
    <cellStyle name="Normal 2 5 2 3 79" xfId="9087" xr:uid="{00000000-0005-0000-0000-0000DB240000}"/>
    <cellStyle name="Normal 2 5 2 3 8" xfId="9088" xr:uid="{00000000-0005-0000-0000-0000DC240000}"/>
    <cellStyle name="Normal 2 5 2 3 80" xfId="9089" xr:uid="{00000000-0005-0000-0000-0000DD240000}"/>
    <cellStyle name="Normal 2 5 2 3 81" xfId="9090" xr:uid="{00000000-0005-0000-0000-0000DE240000}"/>
    <cellStyle name="Normal 2 5 2 3 82" xfId="9091" xr:uid="{00000000-0005-0000-0000-0000DF240000}"/>
    <cellStyle name="Normal 2 5 2 3 9" xfId="9092" xr:uid="{00000000-0005-0000-0000-0000E0240000}"/>
    <cellStyle name="Normal 2 5 2 30" xfId="9093" xr:uid="{00000000-0005-0000-0000-0000E1240000}"/>
    <cellStyle name="Normal 2 5 2 31" xfId="9094" xr:uid="{00000000-0005-0000-0000-0000E2240000}"/>
    <cellStyle name="Normal 2 5 2 32" xfId="9095" xr:uid="{00000000-0005-0000-0000-0000E3240000}"/>
    <cellStyle name="Normal 2 5 2 33" xfId="9096" xr:uid="{00000000-0005-0000-0000-0000E4240000}"/>
    <cellStyle name="Normal 2 5 2 34" xfId="9097" xr:uid="{00000000-0005-0000-0000-0000E5240000}"/>
    <cellStyle name="Normal 2 5 2 35" xfId="9098" xr:uid="{00000000-0005-0000-0000-0000E6240000}"/>
    <cellStyle name="Normal 2 5 2 36" xfId="9099" xr:uid="{00000000-0005-0000-0000-0000E7240000}"/>
    <cellStyle name="Normal 2 5 2 37" xfId="9100" xr:uid="{00000000-0005-0000-0000-0000E8240000}"/>
    <cellStyle name="Normal 2 5 2 38" xfId="9101" xr:uid="{00000000-0005-0000-0000-0000E9240000}"/>
    <cellStyle name="Normal 2 5 2 39" xfId="9102" xr:uid="{00000000-0005-0000-0000-0000EA240000}"/>
    <cellStyle name="Normal 2 5 2 4" xfId="9103" xr:uid="{00000000-0005-0000-0000-0000EB240000}"/>
    <cellStyle name="Normal 2 5 2 4 10" xfId="9104" xr:uid="{00000000-0005-0000-0000-0000EC240000}"/>
    <cellStyle name="Normal 2 5 2 4 11" xfId="9105" xr:uid="{00000000-0005-0000-0000-0000ED240000}"/>
    <cellStyle name="Normal 2 5 2 4 12" xfId="9106" xr:uid="{00000000-0005-0000-0000-0000EE240000}"/>
    <cellStyle name="Normal 2 5 2 4 13" xfId="9107" xr:uid="{00000000-0005-0000-0000-0000EF240000}"/>
    <cellStyle name="Normal 2 5 2 4 14" xfId="9108" xr:uid="{00000000-0005-0000-0000-0000F0240000}"/>
    <cellStyle name="Normal 2 5 2 4 15" xfId="9109" xr:uid="{00000000-0005-0000-0000-0000F1240000}"/>
    <cellStyle name="Normal 2 5 2 4 15 2" xfId="9110" xr:uid="{00000000-0005-0000-0000-0000F2240000}"/>
    <cellStyle name="Normal 2 5 2 4 15 2 2" xfId="9111" xr:uid="{00000000-0005-0000-0000-0000F3240000}"/>
    <cellStyle name="Normal 2 5 2 4 15 2 3" xfId="9112" xr:uid="{00000000-0005-0000-0000-0000F4240000}"/>
    <cellStyle name="Normal 2 5 2 4 15 2 3 2" xfId="9113" xr:uid="{00000000-0005-0000-0000-0000F5240000}"/>
    <cellStyle name="Normal 2 5 2 4 15 2 4" xfId="9114" xr:uid="{00000000-0005-0000-0000-0000F6240000}"/>
    <cellStyle name="Normal 2 5 2 4 15 2 4 2" xfId="9115" xr:uid="{00000000-0005-0000-0000-0000F7240000}"/>
    <cellStyle name="Normal 2 5 2 4 2" xfId="9116" xr:uid="{00000000-0005-0000-0000-0000F8240000}"/>
    <cellStyle name="Normal 2 5 2 4 2 10" xfId="9117" xr:uid="{00000000-0005-0000-0000-0000F9240000}"/>
    <cellStyle name="Normal 2 5 2 4 2 11" xfId="9118" xr:uid="{00000000-0005-0000-0000-0000FA240000}"/>
    <cellStyle name="Normal 2 5 2 4 2 12" xfId="9119" xr:uid="{00000000-0005-0000-0000-0000FB240000}"/>
    <cellStyle name="Normal 2 5 2 4 2 13" xfId="9120" xr:uid="{00000000-0005-0000-0000-0000FC240000}"/>
    <cellStyle name="Normal 2 5 2 4 2 2" xfId="9121" xr:uid="{00000000-0005-0000-0000-0000FD240000}"/>
    <cellStyle name="Normal 2 5 2 4 2 3" xfId="9122" xr:uid="{00000000-0005-0000-0000-0000FE240000}"/>
    <cellStyle name="Normal 2 5 2 4 2 4" xfId="9123" xr:uid="{00000000-0005-0000-0000-0000FF240000}"/>
    <cellStyle name="Normal 2 5 2 4 2 5" xfId="9124" xr:uid="{00000000-0005-0000-0000-000000250000}"/>
    <cellStyle name="Normal 2 5 2 4 2 6" xfId="9125" xr:uid="{00000000-0005-0000-0000-000001250000}"/>
    <cellStyle name="Normal 2 5 2 4 2 7" xfId="9126" xr:uid="{00000000-0005-0000-0000-000002250000}"/>
    <cellStyle name="Normal 2 5 2 4 2 8" xfId="9127" xr:uid="{00000000-0005-0000-0000-000003250000}"/>
    <cellStyle name="Normal 2 5 2 4 2 9" xfId="9128" xr:uid="{00000000-0005-0000-0000-000004250000}"/>
    <cellStyle name="Normal 2 5 2 4 3" xfId="9129" xr:uid="{00000000-0005-0000-0000-000005250000}"/>
    <cellStyle name="Normal 2 5 2 4 4" xfId="9130" xr:uid="{00000000-0005-0000-0000-000006250000}"/>
    <cellStyle name="Normal 2 5 2 4 5" xfId="9131" xr:uid="{00000000-0005-0000-0000-000007250000}"/>
    <cellStyle name="Normal 2 5 2 4 6" xfId="9132" xr:uid="{00000000-0005-0000-0000-000008250000}"/>
    <cellStyle name="Normal 2 5 2 4 7" xfId="9133" xr:uid="{00000000-0005-0000-0000-000009250000}"/>
    <cellStyle name="Normal 2 5 2 4 8" xfId="9134" xr:uid="{00000000-0005-0000-0000-00000A250000}"/>
    <cellStyle name="Normal 2 5 2 4 9" xfId="9135" xr:uid="{00000000-0005-0000-0000-00000B250000}"/>
    <cellStyle name="Normal 2 5 2 40" xfId="9136" xr:uid="{00000000-0005-0000-0000-00000C250000}"/>
    <cellStyle name="Normal 2 5 2 41" xfId="9137" xr:uid="{00000000-0005-0000-0000-00000D250000}"/>
    <cellStyle name="Normal 2 5 2 42" xfId="9138" xr:uid="{00000000-0005-0000-0000-00000E250000}"/>
    <cellStyle name="Normal 2 5 2 43" xfId="9139" xr:uid="{00000000-0005-0000-0000-00000F250000}"/>
    <cellStyle name="Normal 2 5 2 44" xfId="9140" xr:uid="{00000000-0005-0000-0000-000010250000}"/>
    <cellStyle name="Normal 2 5 2 45" xfId="9141" xr:uid="{00000000-0005-0000-0000-000011250000}"/>
    <cellStyle name="Normal 2 5 2 46" xfId="9142" xr:uid="{00000000-0005-0000-0000-000012250000}"/>
    <cellStyle name="Normal 2 5 2 47" xfId="9143" xr:uid="{00000000-0005-0000-0000-000013250000}"/>
    <cellStyle name="Normal 2 5 2 48" xfId="9144" xr:uid="{00000000-0005-0000-0000-000014250000}"/>
    <cellStyle name="Normal 2 5 2 49" xfId="9145" xr:uid="{00000000-0005-0000-0000-000015250000}"/>
    <cellStyle name="Normal 2 5 2 5" xfId="9146" xr:uid="{00000000-0005-0000-0000-000016250000}"/>
    <cellStyle name="Normal 2 5 2 5 10" xfId="9147" xr:uid="{00000000-0005-0000-0000-000017250000}"/>
    <cellStyle name="Normal 2 5 2 5 11" xfId="9148" xr:uid="{00000000-0005-0000-0000-000018250000}"/>
    <cellStyle name="Normal 2 5 2 5 12" xfId="9149" xr:uid="{00000000-0005-0000-0000-000019250000}"/>
    <cellStyle name="Normal 2 5 2 5 13" xfId="9150" xr:uid="{00000000-0005-0000-0000-00001A250000}"/>
    <cellStyle name="Normal 2 5 2 5 2" xfId="9151" xr:uid="{00000000-0005-0000-0000-00001B250000}"/>
    <cellStyle name="Normal 2 5 2 5 3" xfId="9152" xr:uid="{00000000-0005-0000-0000-00001C250000}"/>
    <cellStyle name="Normal 2 5 2 5 4" xfId="9153" xr:uid="{00000000-0005-0000-0000-00001D250000}"/>
    <cellStyle name="Normal 2 5 2 5 5" xfId="9154" xr:uid="{00000000-0005-0000-0000-00001E250000}"/>
    <cellStyle name="Normal 2 5 2 5 6" xfId="9155" xr:uid="{00000000-0005-0000-0000-00001F250000}"/>
    <cellStyle name="Normal 2 5 2 5 7" xfId="9156" xr:uid="{00000000-0005-0000-0000-000020250000}"/>
    <cellStyle name="Normal 2 5 2 5 8" xfId="9157" xr:uid="{00000000-0005-0000-0000-000021250000}"/>
    <cellStyle name="Normal 2 5 2 5 9" xfId="9158" xr:uid="{00000000-0005-0000-0000-000022250000}"/>
    <cellStyle name="Normal 2 5 2 50" xfId="9159" xr:uid="{00000000-0005-0000-0000-000023250000}"/>
    <cellStyle name="Normal 2 5 2 51" xfId="9160" xr:uid="{00000000-0005-0000-0000-000024250000}"/>
    <cellStyle name="Normal 2 5 2 52" xfId="9161" xr:uid="{00000000-0005-0000-0000-000025250000}"/>
    <cellStyle name="Normal 2 5 2 53" xfId="9162" xr:uid="{00000000-0005-0000-0000-000026250000}"/>
    <cellStyle name="Normal 2 5 2 54" xfId="9163" xr:uid="{00000000-0005-0000-0000-000027250000}"/>
    <cellStyle name="Normal 2 5 2 55" xfId="9164" xr:uid="{00000000-0005-0000-0000-000028250000}"/>
    <cellStyle name="Normal 2 5 2 56" xfId="9165" xr:uid="{00000000-0005-0000-0000-000029250000}"/>
    <cellStyle name="Normal 2 5 2 57" xfId="9166" xr:uid="{00000000-0005-0000-0000-00002A250000}"/>
    <cellStyle name="Normal 2 5 2 58" xfId="9167" xr:uid="{00000000-0005-0000-0000-00002B250000}"/>
    <cellStyle name="Normal 2 5 2 59" xfId="9168" xr:uid="{00000000-0005-0000-0000-00002C250000}"/>
    <cellStyle name="Normal 2 5 2 6" xfId="9169" xr:uid="{00000000-0005-0000-0000-00002D250000}"/>
    <cellStyle name="Normal 2 5 2 60" xfId="9170" xr:uid="{00000000-0005-0000-0000-00002E250000}"/>
    <cellStyle name="Normal 2 5 2 61" xfId="9171" xr:uid="{00000000-0005-0000-0000-00002F250000}"/>
    <cellStyle name="Normal 2 5 2 62" xfId="9172" xr:uid="{00000000-0005-0000-0000-000030250000}"/>
    <cellStyle name="Normal 2 5 2 63" xfId="9173" xr:uid="{00000000-0005-0000-0000-000031250000}"/>
    <cellStyle name="Normal 2 5 2 64" xfId="9174" xr:uid="{00000000-0005-0000-0000-000032250000}"/>
    <cellStyle name="Normal 2 5 2 65" xfId="9175" xr:uid="{00000000-0005-0000-0000-000033250000}"/>
    <cellStyle name="Normal 2 5 2 66" xfId="9176" xr:uid="{00000000-0005-0000-0000-000034250000}"/>
    <cellStyle name="Normal 2 5 2 67" xfId="9177" xr:uid="{00000000-0005-0000-0000-000035250000}"/>
    <cellStyle name="Normal 2 5 2 68" xfId="9178" xr:uid="{00000000-0005-0000-0000-000036250000}"/>
    <cellStyle name="Normal 2 5 2 69" xfId="9179" xr:uid="{00000000-0005-0000-0000-000037250000}"/>
    <cellStyle name="Normal 2 5 2 7" xfId="9180" xr:uid="{00000000-0005-0000-0000-000038250000}"/>
    <cellStyle name="Normal 2 5 2 7 10" xfId="9181" xr:uid="{00000000-0005-0000-0000-000039250000}"/>
    <cellStyle name="Normal 2 5 2 7 11" xfId="9182" xr:uid="{00000000-0005-0000-0000-00003A250000}"/>
    <cellStyle name="Normal 2 5 2 7 12" xfId="9183" xr:uid="{00000000-0005-0000-0000-00003B250000}"/>
    <cellStyle name="Normal 2 5 2 7 13" xfId="9184" xr:uid="{00000000-0005-0000-0000-00003C250000}"/>
    <cellStyle name="Normal 2 5 2 7 14" xfId="9185" xr:uid="{00000000-0005-0000-0000-00003D250000}"/>
    <cellStyle name="Normal 2 5 2 7 15" xfId="9186" xr:uid="{00000000-0005-0000-0000-00003E250000}"/>
    <cellStyle name="Normal 2 5 2 7 16" xfId="9187" xr:uid="{00000000-0005-0000-0000-00003F250000}"/>
    <cellStyle name="Normal 2 5 2 7 17" xfId="9188" xr:uid="{00000000-0005-0000-0000-000040250000}"/>
    <cellStyle name="Normal 2 5 2 7 2" xfId="9189" xr:uid="{00000000-0005-0000-0000-000041250000}"/>
    <cellStyle name="Normal 2 5 2 7 3" xfId="9190" xr:uid="{00000000-0005-0000-0000-000042250000}"/>
    <cellStyle name="Normal 2 5 2 7 4" xfId="9191" xr:uid="{00000000-0005-0000-0000-000043250000}"/>
    <cellStyle name="Normal 2 5 2 7 5" xfId="9192" xr:uid="{00000000-0005-0000-0000-000044250000}"/>
    <cellStyle name="Normal 2 5 2 7 6" xfId="9193" xr:uid="{00000000-0005-0000-0000-000045250000}"/>
    <cellStyle name="Normal 2 5 2 7 7" xfId="9194" xr:uid="{00000000-0005-0000-0000-000046250000}"/>
    <cellStyle name="Normal 2 5 2 7 8" xfId="9195" xr:uid="{00000000-0005-0000-0000-000047250000}"/>
    <cellStyle name="Normal 2 5 2 7 9" xfId="9196" xr:uid="{00000000-0005-0000-0000-000048250000}"/>
    <cellStyle name="Normal 2 5 2 70" xfId="9197" xr:uid="{00000000-0005-0000-0000-000049250000}"/>
    <cellStyle name="Normal 2 5 2 71" xfId="9198" xr:uid="{00000000-0005-0000-0000-00004A250000}"/>
    <cellStyle name="Normal 2 5 2 72" xfId="9199" xr:uid="{00000000-0005-0000-0000-00004B250000}"/>
    <cellStyle name="Normal 2 5 2 73" xfId="9200" xr:uid="{00000000-0005-0000-0000-00004C250000}"/>
    <cellStyle name="Normal 2 5 2 74" xfId="9201" xr:uid="{00000000-0005-0000-0000-00004D250000}"/>
    <cellStyle name="Normal 2 5 2 75" xfId="9202" xr:uid="{00000000-0005-0000-0000-00004E250000}"/>
    <cellStyle name="Normal 2 5 2 76" xfId="9203" xr:uid="{00000000-0005-0000-0000-00004F250000}"/>
    <cellStyle name="Normal 2 5 2 77" xfId="9204" xr:uid="{00000000-0005-0000-0000-000050250000}"/>
    <cellStyle name="Normal 2 5 2 78" xfId="9205" xr:uid="{00000000-0005-0000-0000-000051250000}"/>
    <cellStyle name="Normal 2 5 2 79" xfId="9206" xr:uid="{00000000-0005-0000-0000-000052250000}"/>
    <cellStyle name="Normal 2 5 2 8" xfId="9207" xr:uid="{00000000-0005-0000-0000-000053250000}"/>
    <cellStyle name="Normal 2 5 2 80" xfId="9208" xr:uid="{00000000-0005-0000-0000-000054250000}"/>
    <cellStyle name="Normal 2 5 2 81" xfId="9209" xr:uid="{00000000-0005-0000-0000-000055250000}"/>
    <cellStyle name="Normal 2 5 2 82" xfId="9210" xr:uid="{00000000-0005-0000-0000-000056250000}"/>
    <cellStyle name="Normal 2 5 2 83" xfId="9211" xr:uid="{00000000-0005-0000-0000-000057250000}"/>
    <cellStyle name="Normal 2 5 2 84" xfId="9212" xr:uid="{00000000-0005-0000-0000-000058250000}"/>
    <cellStyle name="Normal 2 5 2 85" xfId="9213" xr:uid="{00000000-0005-0000-0000-000059250000}"/>
    <cellStyle name="Normal 2 5 2 86" xfId="9214" xr:uid="{00000000-0005-0000-0000-00005A250000}"/>
    <cellStyle name="Normal 2 5 2 87" xfId="9215" xr:uid="{00000000-0005-0000-0000-00005B250000}"/>
    <cellStyle name="Normal 2 5 2 88" xfId="42053" xr:uid="{00000000-0005-0000-0000-00005C250000}"/>
    <cellStyle name="Normal 2 5 2 89" xfId="42389" xr:uid="{00000000-0005-0000-0000-00005D250000}"/>
    <cellStyle name="Normal 2 5 2 9" xfId="9216" xr:uid="{00000000-0005-0000-0000-00005E250000}"/>
    <cellStyle name="Normal 2 5 2_4 28 1_Asst_Health_Crit_AllTO_RIIO_20110714pm" xfId="9217" xr:uid="{00000000-0005-0000-0000-00005F250000}"/>
    <cellStyle name="Normal 2 5 20" xfId="9218" xr:uid="{00000000-0005-0000-0000-000060250000}"/>
    <cellStyle name="Normal 2 5 21" xfId="9219" xr:uid="{00000000-0005-0000-0000-000061250000}"/>
    <cellStyle name="Normal 2 5 22" xfId="9220" xr:uid="{00000000-0005-0000-0000-000062250000}"/>
    <cellStyle name="Normal 2 5 23" xfId="9221" xr:uid="{00000000-0005-0000-0000-000063250000}"/>
    <cellStyle name="Normal 2 5 24" xfId="9222" xr:uid="{00000000-0005-0000-0000-000064250000}"/>
    <cellStyle name="Normal 2 5 25" xfId="9223" xr:uid="{00000000-0005-0000-0000-000065250000}"/>
    <cellStyle name="Normal 2 5 26" xfId="9224" xr:uid="{00000000-0005-0000-0000-000066250000}"/>
    <cellStyle name="Normal 2 5 27" xfId="9225" xr:uid="{00000000-0005-0000-0000-000067250000}"/>
    <cellStyle name="Normal 2 5 28" xfId="9226" xr:uid="{00000000-0005-0000-0000-000068250000}"/>
    <cellStyle name="Normal 2 5 29" xfId="9227" xr:uid="{00000000-0005-0000-0000-000069250000}"/>
    <cellStyle name="Normal 2 5 3" xfId="9228" xr:uid="{00000000-0005-0000-0000-00006A250000}"/>
    <cellStyle name="Normal 2 5 3 10" xfId="9229" xr:uid="{00000000-0005-0000-0000-00006B250000}"/>
    <cellStyle name="Normal 2 5 3 11" xfId="9230" xr:uid="{00000000-0005-0000-0000-00006C250000}"/>
    <cellStyle name="Normal 2 5 3 12" xfId="9231" xr:uid="{00000000-0005-0000-0000-00006D250000}"/>
    <cellStyle name="Normal 2 5 3 13" xfId="9232" xr:uid="{00000000-0005-0000-0000-00006E250000}"/>
    <cellStyle name="Normal 2 5 3 14" xfId="9233" xr:uid="{00000000-0005-0000-0000-00006F250000}"/>
    <cellStyle name="Normal 2 5 3 15" xfId="9234" xr:uid="{00000000-0005-0000-0000-000070250000}"/>
    <cellStyle name="Normal 2 5 3 16" xfId="9235" xr:uid="{00000000-0005-0000-0000-000071250000}"/>
    <cellStyle name="Normal 2 5 3 17" xfId="9236" xr:uid="{00000000-0005-0000-0000-000072250000}"/>
    <cellStyle name="Normal 2 5 3 18" xfId="9237" xr:uid="{00000000-0005-0000-0000-000073250000}"/>
    <cellStyle name="Normal 2 5 3 19" xfId="9238" xr:uid="{00000000-0005-0000-0000-000074250000}"/>
    <cellStyle name="Normal 2 5 3 2" xfId="9239" xr:uid="{00000000-0005-0000-0000-000075250000}"/>
    <cellStyle name="Normal 2 5 3 2 10" xfId="9240" xr:uid="{00000000-0005-0000-0000-000076250000}"/>
    <cellStyle name="Normal 2 5 3 2 11" xfId="9241" xr:uid="{00000000-0005-0000-0000-000077250000}"/>
    <cellStyle name="Normal 2 5 3 2 12" xfId="9242" xr:uid="{00000000-0005-0000-0000-000078250000}"/>
    <cellStyle name="Normal 2 5 3 2 13" xfId="9243" xr:uid="{00000000-0005-0000-0000-000079250000}"/>
    <cellStyle name="Normal 2 5 3 2 14" xfId="9244" xr:uid="{00000000-0005-0000-0000-00007A250000}"/>
    <cellStyle name="Normal 2 5 3 2 15" xfId="9245" xr:uid="{00000000-0005-0000-0000-00007B250000}"/>
    <cellStyle name="Normal 2 5 3 2 16" xfId="9246" xr:uid="{00000000-0005-0000-0000-00007C250000}"/>
    <cellStyle name="Normal 2 5 3 2 17" xfId="9247" xr:uid="{00000000-0005-0000-0000-00007D250000}"/>
    <cellStyle name="Normal 2 5 3 2 18" xfId="9248" xr:uid="{00000000-0005-0000-0000-00007E250000}"/>
    <cellStyle name="Normal 2 5 3 2 19" xfId="9249" xr:uid="{00000000-0005-0000-0000-00007F250000}"/>
    <cellStyle name="Normal 2 5 3 2 2" xfId="9250" xr:uid="{00000000-0005-0000-0000-000080250000}"/>
    <cellStyle name="Normal 2 5 3 2 2 10" xfId="9251" xr:uid="{00000000-0005-0000-0000-000081250000}"/>
    <cellStyle name="Normal 2 5 3 2 2 11" xfId="9252" xr:uid="{00000000-0005-0000-0000-000082250000}"/>
    <cellStyle name="Normal 2 5 3 2 2 12" xfId="9253" xr:uid="{00000000-0005-0000-0000-000083250000}"/>
    <cellStyle name="Normal 2 5 3 2 2 13" xfId="9254" xr:uid="{00000000-0005-0000-0000-000084250000}"/>
    <cellStyle name="Normal 2 5 3 2 2 14" xfId="9255" xr:uid="{00000000-0005-0000-0000-000085250000}"/>
    <cellStyle name="Normal 2 5 3 2 2 15" xfId="9256" xr:uid="{00000000-0005-0000-0000-000086250000}"/>
    <cellStyle name="Normal 2 5 3 2 2 16" xfId="9257" xr:uid="{00000000-0005-0000-0000-000087250000}"/>
    <cellStyle name="Normal 2 5 3 2 2 17" xfId="9258" xr:uid="{00000000-0005-0000-0000-000088250000}"/>
    <cellStyle name="Normal 2 5 3 2 2 2" xfId="9259" xr:uid="{00000000-0005-0000-0000-000089250000}"/>
    <cellStyle name="Normal 2 5 3 2 2 3" xfId="9260" xr:uid="{00000000-0005-0000-0000-00008A250000}"/>
    <cellStyle name="Normal 2 5 3 2 2 4" xfId="9261" xr:uid="{00000000-0005-0000-0000-00008B250000}"/>
    <cellStyle name="Normal 2 5 3 2 2 5" xfId="9262" xr:uid="{00000000-0005-0000-0000-00008C250000}"/>
    <cellStyle name="Normal 2 5 3 2 2 6" xfId="9263" xr:uid="{00000000-0005-0000-0000-00008D250000}"/>
    <cellStyle name="Normal 2 5 3 2 2 7" xfId="9264" xr:uid="{00000000-0005-0000-0000-00008E250000}"/>
    <cellStyle name="Normal 2 5 3 2 2 8" xfId="9265" xr:uid="{00000000-0005-0000-0000-00008F250000}"/>
    <cellStyle name="Normal 2 5 3 2 2 9" xfId="9266" xr:uid="{00000000-0005-0000-0000-000090250000}"/>
    <cellStyle name="Normal 2 5 3 2 20" xfId="9267" xr:uid="{00000000-0005-0000-0000-000091250000}"/>
    <cellStyle name="Normal 2 5 3 2 21" xfId="9268" xr:uid="{00000000-0005-0000-0000-000092250000}"/>
    <cellStyle name="Normal 2 5 3 2 22" xfId="9269" xr:uid="{00000000-0005-0000-0000-000093250000}"/>
    <cellStyle name="Normal 2 5 3 2 23" xfId="9270" xr:uid="{00000000-0005-0000-0000-000094250000}"/>
    <cellStyle name="Normal 2 5 3 2 24" xfId="9271" xr:uid="{00000000-0005-0000-0000-000095250000}"/>
    <cellStyle name="Normal 2 5 3 2 25" xfId="9272" xr:uid="{00000000-0005-0000-0000-000096250000}"/>
    <cellStyle name="Normal 2 5 3 2 26" xfId="9273" xr:uid="{00000000-0005-0000-0000-000097250000}"/>
    <cellStyle name="Normal 2 5 3 2 27" xfId="9274" xr:uid="{00000000-0005-0000-0000-000098250000}"/>
    <cellStyle name="Normal 2 5 3 2 28" xfId="9275" xr:uid="{00000000-0005-0000-0000-000099250000}"/>
    <cellStyle name="Normal 2 5 3 2 29" xfId="9276" xr:uid="{00000000-0005-0000-0000-00009A250000}"/>
    <cellStyle name="Normal 2 5 3 2 3" xfId="9277" xr:uid="{00000000-0005-0000-0000-00009B250000}"/>
    <cellStyle name="Normal 2 5 3 2 3 10" xfId="9278" xr:uid="{00000000-0005-0000-0000-00009C250000}"/>
    <cellStyle name="Normal 2 5 3 2 3 11" xfId="9279" xr:uid="{00000000-0005-0000-0000-00009D250000}"/>
    <cellStyle name="Normal 2 5 3 2 3 12" xfId="9280" xr:uid="{00000000-0005-0000-0000-00009E250000}"/>
    <cellStyle name="Normal 2 5 3 2 3 13" xfId="9281" xr:uid="{00000000-0005-0000-0000-00009F250000}"/>
    <cellStyle name="Normal 2 5 3 2 3 14" xfId="9282" xr:uid="{00000000-0005-0000-0000-0000A0250000}"/>
    <cellStyle name="Normal 2 5 3 2 3 15" xfId="9283" xr:uid="{00000000-0005-0000-0000-0000A1250000}"/>
    <cellStyle name="Normal 2 5 3 2 3 16" xfId="9284" xr:uid="{00000000-0005-0000-0000-0000A2250000}"/>
    <cellStyle name="Normal 2 5 3 2 3 17" xfId="9285" xr:uid="{00000000-0005-0000-0000-0000A3250000}"/>
    <cellStyle name="Normal 2 5 3 2 3 2" xfId="9286" xr:uid="{00000000-0005-0000-0000-0000A4250000}"/>
    <cellStyle name="Normal 2 5 3 2 3 3" xfId="9287" xr:uid="{00000000-0005-0000-0000-0000A5250000}"/>
    <cellStyle name="Normal 2 5 3 2 3 4" xfId="9288" xr:uid="{00000000-0005-0000-0000-0000A6250000}"/>
    <cellStyle name="Normal 2 5 3 2 3 5" xfId="9289" xr:uid="{00000000-0005-0000-0000-0000A7250000}"/>
    <cellStyle name="Normal 2 5 3 2 3 6" xfId="9290" xr:uid="{00000000-0005-0000-0000-0000A8250000}"/>
    <cellStyle name="Normal 2 5 3 2 3 7" xfId="9291" xr:uid="{00000000-0005-0000-0000-0000A9250000}"/>
    <cellStyle name="Normal 2 5 3 2 3 8" xfId="9292" xr:uid="{00000000-0005-0000-0000-0000AA250000}"/>
    <cellStyle name="Normal 2 5 3 2 3 9" xfId="9293" xr:uid="{00000000-0005-0000-0000-0000AB250000}"/>
    <cellStyle name="Normal 2 5 3 2 30" xfId="9294" xr:uid="{00000000-0005-0000-0000-0000AC250000}"/>
    <cellStyle name="Normal 2 5 3 2 31" xfId="9295" xr:uid="{00000000-0005-0000-0000-0000AD250000}"/>
    <cellStyle name="Normal 2 5 3 2 32" xfId="9296" xr:uid="{00000000-0005-0000-0000-0000AE250000}"/>
    <cellStyle name="Normal 2 5 3 2 33" xfId="9297" xr:uid="{00000000-0005-0000-0000-0000AF250000}"/>
    <cellStyle name="Normal 2 5 3 2 34" xfId="9298" xr:uid="{00000000-0005-0000-0000-0000B0250000}"/>
    <cellStyle name="Normal 2 5 3 2 35" xfId="9299" xr:uid="{00000000-0005-0000-0000-0000B1250000}"/>
    <cellStyle name="Normal 2 5 3 2 36" xfId="9300" xr:uid="{00000000-0005-0000-0000-0000B2250000}"/>
    <cellStyle name="Normal 2 5 3 2 37" xfId="9301" xr:uid="{00000000-0005-0000-0000-0000B3250000}"/>
    <cellStyle name="Normal 2 5 3 2 38" xfId="9302" xr:uid="{00000000-0005-0000-0000-0000B4250000}"/>
    <cellStyle name="Normal 2 5 3 2 39" xfId="9303" xr:uid="{00000000-0005-0000-0000-0000B5250000}"/>
    <cellStyle name="Normal 2 5 3 2 4" xfId="9304" xr:uid="{00000000-0005-0000-0000-0000B6250000}"/>
    <cellStyle name="Normal 2 5 3 2 40" xfId="9305" xr:uid="{00000000-0005-0000-0000-0000B7250000}"/>
    <cellStyle name="Normal 2 5 3 2 41" xfId="9306" xr:uid="{00000000-0005-0000-0000-0000B8250000}"/>
    <cellStyle name="Normal 2 5 3 2 42" xfId="9307" xr:uid="{00000000-0005-0000-0000-0000B9250000}"/>
    <cellStyle name="Normal 2 5 3 2 43" xfId="9308" xr:uid="{00000000-0005-0000-0000-0000BA250000}"/>
    <cellStyle name="Normal 2 5 3 2 44" xfId="9309" xr:uid="{00000000-0005-0000-0000-0000BB250000}"/>
    <cellStyle name="Normal 2 5 3 2 45" xfId="9310" xr:uid="{00000000-0005-0000-0000-0000BC250000}"/>
    <cellStyle name="Normal 2 5 3 2 46" xfId="9311" xr:uid="{00000000-0005-0000-0000-0000BD250000}"/>
    <cellStyle name="Normal 2 5 3 2 47" xfId="9312" xr:uid="{00000000-0005-0000-0000-0000BE250000}"/>
    <cellStyle name="Normal 2 5 3 2 48" xfId="9313" xr:uid="{00000000-0005-0000-0000-0000BF250000}"/>
    <cellStyle name="Normal 2 5 3 2 49" xfId="9314" xr:uid="{00000000-0005-0000-0000-0000C0250000}"/>
    <cellStyle name="Normal 2 5 3 2 5" xfId="9315" xr:uid="{00000000-0005-0000-0000-0000C1250000}"/>
    <cellStyle name="Normal 2 5 3 2 50" xfId="9316" xr:uid="{00000000-0005-0000-0000-0000C2250000}"/>
    <cellStyle name="Normal 2 5 3 2 51" xfId="9317" xr:uid="{00000000-0005-0000-0000-0000C3250000}"/>
    <cellStyle name="Normal 2 5 3 2 52" xfId="9318" xr:uid="{00000000-0005-0000-0000-0000C4250000}"/>
    <cellStyle name="Normal 2 5 3 2 53" xfId="9319" xr:uid="{00000000-0005-0000-0000-0000C5250000}"/>
    <cellStyle name="Normal 2 5 3 2 54" xfId="9320" xr:uid="{00000000-0005-0000-0000-0000C6250000}"/>
    <cellStyle name="Normal 2 5 3 2 55" xfId="9321" xr:uid="{00000000-0005-0000-0000-0000C7250000}"/>
    <cellStyle name="Normal 2 5 3 2 56" xfId="9322" xr:uid="{00000000-0005-0000-0000-0000C8250000}"/>
    <cellStyle name="Normal 2 5 3 2 57" xfId="9323" xr:uid="{00000000-0005-0000-0000-0000C9250000}"/>
    <cellStyle name="Normal 2 5 3 2 58" xfId="9324" xr:uid="{00000000-0005-0000-0000-0000CA250000}"/>
    <cellStyle name="Normal 2 5 3 2 59" xfId="9325" xr:uid="{00000000-0005-0000-0000-0000CB250000}"/>
    <cellStyle name="Normal 2 5 3 2 6" xfId="9326" xr:uid="{00000000-0005-0000-0000-0000CC250000}"/>
    <cellStyle name="Normal 2 5 3 2 60" xfId="9327" xr:uid="{00000000-0005-0000-0000-0000CD250000}"/>
    <cellStyle name="Normal 2 5 3 2 61" xfId="9328" xr:uid="{00000000-0005-0000-0000-0000CE250000}"/>
    <cellStyle name="Normal 2 5 3 2 62" xfId="9329" xr:uid="{00000000-0005-0000-0000-0000CF250000}"/>
    <cellStyle name="Normal 2 5 3 2 63" xfId="9330" xr:uid="{00000000-0005-0000-0000-0000D0250000}"/>
    <cellStyle name="Normal 2 5 3 2 64" xfId="9331" xr:uid="{00000000-0005-0000-0000-0000D1250000}"/>
    <cellStyle name="Normal 2 5 3 2 65" xfId="9332" xr:uid="{00000000-0005-0000-0000-0000D2250000}"/>
    <cellStyle name="Normal 2 5 3 2 66" xfId="9333" xr:uid="{00000000-0005-0000-0000-0000D3250000}"/>
    <cellStyle name="Normal 2 5 3 2 67" xfId="9334" xr:uid="{00000000-0005-0000-0000-0000D4250000}"/>
    <cellStyle name="Normal 2 5 3 2 68" xfId="9335" xr:uid="{00000000-0005-0000-0000-0000D5250000}"/>
    <cellStyle name="Normal 2 5 3 2 69" xfId="9336" xr:uid="{00000000-0005-0000-0000-0000D6250000}"/>
    <cellStyle name="Normal 2 5 3 2 7" xfId="9337" xr:uid="{00000000-0005-0000-0000-0000D7250000}"/>
    <cellStyle name="Normal 2 5 3 2 70" xfId="9338" xr:uid="{00000000-0005-0000-0000-0000D8250000}"/>
    <cellStyle name="Normal 2 5 3 2 71" xfId="9339" xr:uid="{00000000-0005-0000-0000-0000D9250000}"/>
    <cellStyle name="Normal 2 5 3 2 72" xfId="9340" xr:uid="{00000000-0005-0000-0000-0000DA250000}"/>
    <cellStyle name="Normal 2 5 3 2 73" xfId="9341" xr:uid="{00000000-0005-0000-0000-0000DB250000}"/>
    <cellStyle name="Normal 2 5 3 2 74" xfId="9342" xr:uid="{00000000-0005-0000-0000-0000DC250000}"/>
    <cellStyle name="Normal 2 5 3 2 75" xfId="9343" xr:uid="{00000000-0005-0000-0000-0000DD250000}"/>
    <cellStyle name="Normal 2 5 3 2 76" xfId="9344" xr:uid="{00000000-0005-0000-0000-0000DE250000}"/>
    <cellStyle name="Normal 2 5 3 2 77" xfId="9345" xr:uid="{00000000-0005-0000-0000-0000DF250000}"/>
    <cellStyle name="Normal 2 5 3 2 78" xfId="9346" xr:uid="{00000000-0005-0000-0000-0000E0250000}"/>
    <cellStyle name="Normal 2 5 3 2 79" xfId="9347" xr:uid="{00000000-0005-0000-0000-0000E1250000}"/>
    <cellStyle name="Normal 2 5 3 2 8" xfId="9348" xr:uid="{00000000-0005-0000-0000-0000E2250000}"/>
    <cellStyle name="Normal 2 5 3 2 80" xfId="9349" xr:uid="{00000000-0005-0000-0000-0000E3250000}"/>
    <cellStyle name="Normal 2 5 3 2 81" xfId="9350" xr:uid="{00000000-0005-0000-0000-0000E4250000}"/>
    <cellStyle name="Normal 2 5 3 2 82" xfId="9351" xr:uid="{00000000-0005-0000-0000-0000E5250000}"/>
    <cellStyle name="Normal 2 5 3 2 9" xfId="9352" xr:uid="{00000000-0005-0000-0000-0000E6250000}"/>
    <cellStyle name="Normal 2 5 3 20" xfId="9353" xr:uid="{00000000-0005-0000-0000-0000E7250000}"/>
    <cellStyle name="Normal 2 5 3 21" xfId="9354" xr:uid="{00000000-0005-0000-0000-0000E8250000}"/>
    <cellStyle name="Normal 2 5 3 22" xfId="9355" xr:uid="{00000000-0005-0000-0000-0000E9250000}"/>
    <cellStyle name="Normal 2 5 3 23" xfId="9356" xr:uid="{00000000-0005-0000-0000-0000EA250000}"/>
    <cellStyle name="Normal 2 5 3 24" xfId="9357" xr:uid="{00000000-0005-0000-0000-0000EB250000}"/>
    <cellStyle name="Normal 2 5 3 25" xfId="9358" xr:uid="{00000000-0005-0000-0000-0000EC250000}"/>
    <cellStyle name="Normal 2 5 3 26" xfId="9359" xr:uid="{00000000-0005-0000-0000-0000ED250000}"/>
    <cellStyle name="Normal 2 5 3 27" xfId="9360" xr:uid="{00000000-0005-0000-0000-0000EE250000}"/>
    <cellStyle name="Normal 2 5 3 28" xfId="9361" xr:uid="{00000000-0005-0000-0000-0000EF250000}"/>
    <cellStyle name="Normal 2 5 3 29" xfId="9362" xr:uid="{00000000-0005-0000-0000-0000F0250000}"/>
    <cellStyle name="Normal 2 5 3 3" xfId="9363" xr:uid="{00000000-0005-0000-0000-0000F1250000}"/>
    <cellStyle name="Normal 2 5 3 3 10" xfId="9364" xr:uid="{00000000-0005-0000-0000-0000F2250000}"/>
    <cellStyle name="Normal 2 5 3 3 11" xfId="9365" xr:uid="{00000000-0005-0000-0000-0000F3250000}"/>
    <cellStyle name="Normal 2 5 3 3 12" xfId="9366" xr:uid="{00000000-0005-0000-0000-0000F4250000}"/>
    <cellStyle name="Normal 2 5 3 3 13" xfId="9367" xr:uid="{00000000-0005-0000-0000-0000F5250000}"/>
    <cellStyle name="Normal 2 5 3 3 14" xfId="9368" xr:uid="{00000000-0005-0000-0000-0000F6250000}"/>
    <cellStyle name="Normal 2 5 3 3 15" xfId="9369" xr:uid="{00000000-0005-0000-0000-0000F7250000}"/>
    <cellStyle name="Normal 2 5 3 3 16" xfId="9370" xr:uid="{00000000-0005-0000-0000-0000F8250000}"/>
    <cellStyle name="Normal 2 5 3 3 17" xfId="9371" xr:uid="{00000000-0005-0000-0000-0000F9250000}"/>
    <cellStyle name="Normal 2 5 3 3 18" xfId="9372" xr:uid="{00000000-0005-0000-0000-0000FA250000}"/>
    <cellStyle name="Normal 2 5 3 3 2" xfId="9373" xr:uid="{00000000-0005-0000-0000-0000FB250000}"/>
    <cellStyle name="Normal 2 5 3 3 3" xfId="9374" xr:uid="{00000000-0005-0000-0000-0000FC250000}"/>
    <cellStyle name="Normal 2 5 3 3 4" xfId="9375" xr:uid="{00000000-0005-0000-0000-0000FD250000}"/>
    <cellStyle name="Normal 2 5 3 3 5" xfId="9376" xr:uid="{00000000-0005-0000-0000-0000FE250000}"/>
    <cellStyle name="Normal 2 5 3 3 6" xfId="9377" xr:uid="{00000000-0005-0000-0000-0000FF250000}"/>
    <cellStyle name="Normal 2 5 3 3 7" xfId="9378" xr:uid="{00000000-0005-0000-0000-000000260000}"/>
    <cellStyle name="Normal 2 5 3 3 8" xfId="9379" xr:uid="{00000000-0005-0000-0000-000001260000}"/>
    <cellStyle name="Normal 2 5 3 3 9" xfId="9380" xr:uid="{00000000-0005-0000-0000-000002260000}"/>
    <cellStyle name="Normal 2 5 3 30" xfId="9381" xr:uid="{00000000-0005-0000-0000-000003260000}"/>
    <cellStyle name="Normal 2 5 3 31" xfId="9382" xr:uid="{00000000-0005-0000-0000-000004260000}"/>
    <cellStyle name="Normal 2 5 3 32" xfId="9383" xr:uid="{00000000-0005-0000-0000-000005260000}"/>
    <cellStyle name="Normal 2 5 3 33" xfId="9384" xr:uid="{00000000-0005-0000-0000-000006260000}"/>
    <cellStyle name="Normal 2 5 3 34" xfId="9385" xr:uid="{00000000-0005-0000-0000-000007260000}"/>
    <cellStyle name="Normal 2 5 3 35" xfId="9386" xr:uid="{00000000-0005-0000-0000-000008260000}"/>
    <cellStyle name="Normal 2 5 3 36" xfId="9387" xr:uid="{00000000-0005-0000-0000-000009260000}"/>
    <cellStyle name="Normal 2 5 3 37" xfId="9388" xr:uid="{00000000-0005-0000-0000-00000A260000}"/>
    <cellStyle name="Normal 2 5 3 38" xfId="9389" xr:uid="{00000000-0005-0000-0000-00000B260000}"/>
    <cellStyle name="Normal 2 5 3 39" xfId="9390" xr:uid="{00000000-0005-0000-0000-00000C260000}"/>
    <cellStyle name="Normal 2 5 3 4" xfId="9391" xr:uid="{00000000-0005-0000-0000-00000D260000}"/>
    <cellStyle name="Normal 2 5 3 4 10" xfId="9392" xr:uid="{00000000-0005-0000-0000-00000E260000}"/>
    <cellStyle name="Normal 2 5 3 4 11" xfId="9393" xr:uid="{00000000-0005-0000-0000-00000F260000}"/>
    <cellStyle name="Normal 2 5 3 4 12" xfId="9394" xr:uid="{00000000-0005-0000-0000-000010260000}"/>
    <cellStyle name="Normal 2 5 3 4 13" xfId="9395" xr:uid="{00000000-0005-0000-0000-000011260000}"/>
    <cellStyle name="Normal 2 5 3 4 14" xfId="9396" xr:uid="{00000000-0005-0000-0000-000012260000}"/>
    <cellStyle name="Normal 2 5 3 4 15" xfId="9397" xr:uid="{00000000-0005-0000-0000-000013260000}"/>
    <cellStyle name="Normal 2 5 3 4 16" xfId="9398" xr:uid="{00000000-0005-0000-0000-000014260000}"/>
    <cellStyle name="Normal 2 5 3 4 17" xfId="9399" xr:uid="{00000000-0005-0000-0000-000015260000}"/>
    <cellStyle name="Normal 2 5 3 4 2" xfId="9400" xr:uid="{00000000-0005-0000-0000-000016260000}"/>
    <cellStyle name="Normal 2 5 3 4 3" xfId="9401" xr:uid="{00000000-0005-0000-0000-000017260000}"/>
    <cellStyle name="Normal 2 5 3 4 4" xfId="9402" xr:uid="{00000000-0005-0000-0000-000018260000}"/>
    <cellStyle name="Normal 2 5 3 4 5" xfId="9403" xr:uid="{00000000-0005-0000-0000-000019260000}"/>
    <cellStyle name="Normal 2 5 3 4 6" xfId="9404" xr:uid="{00000000-0005-0000-0000-00001A260000}"/>
    <cellStyle name="Normal 2 5 3 4 7" xfId="9405" xr:uid="{00000000-0005-0000-0000-00001B260000}"/>
    <cellStyle name="Normal 2 5 3 4 8" xfId="9406" xr:uid="{00000000-0005-0000-0000-00001C260000}"/>
    <cellStyle name="Normal 2 5 3 4 9" xfId="9407" xr:uid="{00000000-0005-0000-0000-00001D260000}"/>
    <cellStyle name="Normal 2 5 3 40" xfId="9408" xr:uid="{00000000-0005-0000-0000-00001E260000}"/>
    <cellStyle name="Normal 2 5 3 41" xfId="9409" xr:uid="{00000000-0005-0000-0000-00001F260000}"/>
    <cellStyle name="Normal 2 5 3 42" xfId="9410" xr:uid="{00000000-0005-0000-0000-000020260000}"/>
    <cellStyle name="Normal 2 5 3 43" xfId="9411" xr:uid="{00000000-0005-0000-0000-000021260000}"/>
    <cellStyle name="Normal 2 5 3 44" xfId="9412" xr:uid="{00000000-0005-0000-0000-000022260000}"/>
    <cellStyle name="Normal 2 5 3 45" xfId="9413" xr:uid="{00000000-0005-0000-0000-000023260000}"/>
    <cellStyle name="Normal 2 5 3 46" xfId="9414" xr:uid="{00000000-0005-0000-0000-000024260000}"/>
    <cellStyle name="Normal 2 5 3 47" xfId="9415" xr:uid="{00000000-0005-0000-0000-000025260000}"/>
    <cellStyle name="Normal 2 5 3 48" xfId="9416" xr:uid="{00000000-0005-0000-0000-000026260000}"/>
    <cellStyle name="Normal 2 5 3 49" xfId="9417" xr:uid="{00000000-0005-0000-0000-000027260000}"/>
    <cellStyle name="Normal 2 5 3 5" xfId="9418" xr:uid="{00000000-0005-0000-0000-000028260000}"/>
    <cellStyle name="Normal 2 5 3 50" xfId="9419" xr:uid="{00000000-0005-0000-0000-000029260000}"/>
    <cellStyle name="Normal 2 5 3 51" xfId="9420" xr:uid="{00000000-0005-0000-0000-00002A260000}"/>
    <cellStyle name="Normal 2 5 3 52" xfId="9421" xr:uid="{00000000-0005-0000-0000-00002B260000}"/>
    <cellStyle name="Normal 2 5 3 53" xfId="9422" xr:uid="{00000000-0005-0000-0000-00002C260000}"/>
    <cellStyle name="Normal 2 5 3 54" xfId="9423" xr:uid="{00000000-0005-0000-0000-00002D260000}"/>
    <cellStyle name="Normal 2 5 3 55" xfId="9424" xr:uid="{00000000-0005-0000-0000-00002E260000}"/>
    <cellStyle name="Normal 2 5 3 56" xfId="9425" xr:uid="{00000000-0005-0000-0000-00002F260000}"/>
    <cellStyle name="Normal 2 5 3 57" xfId="9426" xr:uid="{00000000-0005-0000-0000-000030260000}"/>
    <cellStyle name="Normal 2 5 3 58" xfId="9427" xr:uid="{00000000-0005-0000-0000-000031260000}"/>
    <cellStyle name="Normal 2 5 3 59" xfId="9428" xr:uid="{00000000-0005-0000-0000-000032260000}"/>
    <cellStyle name="Normal 2 5 3 6" xfId="9429" xr:uid="{00000000-0005-0000-0000-000033260000}"/>
    <cellStyle name="Normal 2 5 3 60" xfId="9430" xr:uid="{00000000-0005-0000-0000-000034260000}"/>
    <cellStyle name="Normal 2 5 3 61" xfId="9431" xr:uid="{00000000-0005-0000-0000-000035260000}"/>
    <cellStyle name="Normal 2 5 3 62" xfId="9432" xr:uid="{00000000-0005-0000-0000-000036260000}"/>
    <cellStyle name="Normal 2 5 3 63" xfId="9433" xr:uid="{00000000-0005-0000-0000-000037260000}"/>
    <cellStyle name="Normal 2 5 3 64" xfId="9434" xr:uid="{00000000-0005-0000-0000-000038260000}"/>
    <cellStyle name="Normal 2 5 3 65" xfId="9435" xr:uid="{00000000-0005-0000-0000-000039260000}"/>
    <cellStyle name="Normal 2 5 3 66" xfId="9436" xr:uid="{00000000-0005-0000-0000-00003A260000}"/>
    <cellStyle name="Normal 2 5 3 67" xfId="9437" xr:uid="{00000000-0005-0000-0000-00003B260000}"/>
    <cellStyle name="Normal 2 5 3 68" xfId="9438" xr:uid="{00000000-0005-0000-0000-00003C260000}"/>
    <cellStyle name="Normal 2 5 3 69" xfId="9439" xr:uid="{00000000-0005-0000-0000-00003D260000}"/>
    <cellStyle name="Normal 2 5 3 7" xfId="9440" xr:uid="{00000000-0005-0000-0000-00003E260000}"/>
    <cellStyle name="Normal 2 5 3 70" xfId="9441" xr:uid="{00000000-0005-0000-0000-00003F260000}"/>
    <cellStyle name="Normal 2 5 3 71" xfId="9442" xr:uid="{00000000-0005-0000-0000-000040260000}"/>
    <cellStyle name="Normal 2 5 3 72" xfId="9443" xr:uid="{00000000-0005-0000-0000-000041260000}"/>
    <cellStyle name="Normal 2 5 3 73" xfId="9444" xr:uid="{00000000-0005-0000-0000-000042260000}"/>
    <cellStyle name="Normal 2 5 3 74" xfId="9445" xr:uid="{00000000-0005-0000-0000-000043260000}"/>
    <cellStyle name="Normal 2 5 3 75" xfId="9446" xr:uid="{00000000-0005-0000-0000-000044260000}"/>
    <cellStyle name="Normal 2 5 3 76" xfId="9447" xr:uid="{00000000-0005-0000-0000-000045260000}"/>
    <cellStyle name="Normal 2 5 3 77" xfId="9448" xr:uid="{00000000-0005-0000-0000-000046260000}"/>
    <cellStyle name="Normal 2 5 3 78" xfId="9449" xr:uid="{00000000-0005-0000-0000-000047260000}"/>
    <cellStyle name="Normal 2 5 3 79" xfId="9450" xr:uid="{00000000-0005-0000-0000-000048260000}"/>
    <cellStyle name="Normal 2 5 3 8" xfId="9451" xr:uid="{00000000-0005-0000-0000-000049260000}"/>
    <cellStyle name="Normal 2 5 3 80" xfId="9452" xr:uid="{00000000-0005-0000-0000-00004A260000}"/>
    <cellStyle name="Normal 2 5 3 81" xfId="9453" xr:uid="{00000000-0005-0000-0000-00004B260000}"/>
    <cellStyle name="Normal 2 5 3 82" xfId="9454" xr:uid="{00000000-0005-0000-0000-00004C260000}"/>
    <cellStyle name="Normal 2 5 3 83" xfId="9455" xr:uid="{00000000-0005-0000-0000-00004D260000}"/>
    <cellStyle name="Normal 2 5 3 84" xfId="9456" xr:uid="{00000000-0005-0000-0000-00004E260000}"/>
    <cellStyle name="Normal 2 5 3 9" xfId="9457" xr:uid="{00000000-0005-0000-0000-00004F260000}"/>
    <cellStyle name="Normal 2 5 3_4 28 1_Asst_Health_Crit_AllTO_RIIO_20110714pm" xfId="9458" xr:uid="{00000000-0005-0000-0000-000050260000}"/>
    <cellStyle name="Normal 2 5 30" xfId="9459" xr:uid="{00000000-0005-0000-0000-000051260000}"/>
    <cellStyle name="Normal 2 5 31" xfId="9460" xr:uid="{00000000-0005-0000-0000-000052260000}"/>
    <cellStyle name="Normal 2 5 32" xfId="9461" xr:uid="{00000000-0005-0000-0000-000053260000}"/>
    <cellStyle name="Normal 2 5 33" xfId="9462" xr:uid="{00000000-0005-0000-0000-000054260000}"/>
    <cellStyle name="Normal 2 5 34" xfId="9463" xr:uid="{00000000-0005-0000-0000-000055260000}"/>
    <cellStyle name="Normal 2 5 35" xfId="9464" xr:uid="{00000000-0005-0000-0000-000056260000}"/>
    <cellStyle name="Normal 2 5 36" xfId="9465" xr:uid="{00000000-0005-0000-0000-000057260000}"/>
    <cellStyle name="Normal 2 5 37" xfId="9466" xr:uid="{00000000-0005-0000-0000-000058260000}"/>
    <cellStyle name="Normal 2 5 38" xfId="9467" xr:uid="{00000000-0005-0000-0000-000059260000}"/>
    <cellStyle name="Normal 2 5 39" xfId="9468" xr:uid="{00000000-0005-0000-0000-00005A260000}"/>
    <cellStyle name="Normal 2 5 4" xfId="9469" xr:uid="{00000000-0005-0000-0000-00005B260000}"/>
    <cellStyle name="Normal 2 5 4 10" xfId="9470" xr:uid="{00000000-0005-0000-0000-00005C260000}"/>
    <cellStyle name="Normal 2 5 4 11" xfId="9471" xr:uid="{00000000-0005-0000-0000-00005D260000}"/>
    <cellStyle name="Normal 2 5 4 12" xfId="9472" xr:uid="{00000000-0005-0000-0000-00005E260000}"/>
    <cellStyle name="Normal 2 5 4 13" xfId="9473" xr:uid="{00000000-0005-0000-0000-00005F260000}"/>
    <cellStyle name="Normal 2 5 4 14" xfId="9474" xr:uid="{00000000-0005-0000-0000-000060260000}"/>
    <cellStyle name="Normal 2 5 4 15" xfId="9475" xr:uid="{00000000-0005-0000-0000-000061260000}"/>
    <cellStyle name="Normal 2 5 4 16" xfId="9476" xr:uid="{00000000-0005-0000-0000-000062260000}"/>
    <cellStyle name="Normal 2 5 4 17" xfId="9477" xr:uid="{00000000-0005-0000-0000-000063260000}"/>
    <cellStyle name="Normal 2 5 4 18" xfId="9478" xr:uid="{00000000-0005-0000-0000-000064260000}"/>
    <cellStyle name="Normal 2 5 4 19" xfId="9479" xr:uid="{00000000-0005-0000-0000-000065260000}"/>
    <cellStyle name="Normal 2 5 4 2" xfId="9480" xr:uid="{00000000-0005-0000-0000-000066260000}"/>
    <cellStyle name="Normal 2 5 4 2 10" xfId="9481" xr:uid="{00000000-0005-0000-0000-000067260000}"/>
    <cellStyle name="Normal 2 5 4 2 11" xfId="9482" xr:uid="{00000000-0005-0000-0000-000068260000}"/>
    <cellStyle name="Normal 2 5 4 2 12" xfId="9483" xr:uid="{00000000-0005-0000-0000-000069260000}"/>
    <cellStyle name="Normal 2 5 4 2 13" xfId="9484" xr:uid="{00000000-0005-0000-0000-00006A260000}"/>
    <cellStyle name="Normal 2 5 4 2 14" xfId="9485" xr:uid="{00000000-0005-0000-0000-00006B260000}"/>
    <cellStyle name="Normal 2 5 4 2 15" xfId="9486" xr:uid="{00000000-0005-0000-0000-00006C260000}"/>
    <cellStyle name="Normal 2 5 4 2 16" xfId="9487" xr:uid="{00000000-0005-0000-0000-00006D260000}"/>
    <cellStyle name="Normal 2 5 4 2 17" xfId="9488" xr:uid="{00000000-0005-0000-0000-00006E260000}"/>
    <cellStyle name="Normal 2 5 4 2 2" xfId="9489" xr:uid="{00000000-0005-0000-0000-00006F260000}"/>
    <cellStyle name="Normal 2 5 4 2 3" xfId="9490" xr:uid="{00000000-0005-0000-0000-000070260000}"/>
    <cellStyle name="Normal 2 5 4 2 4" xfId="9491" xr:uid="{00000000-0005-0000-0000-000071260000}"/>
    <cellStyle name="Normal 2 5 4 2 5" xfId="9492" xr:uid="{00000000-0005-0000-0000-000072260000}"/>
    <cellStyle name="Normal 2 5 4 2 6" xfId="9493" xr:uid="{00000000-0005-0000-0000-000073260000}"/>
    <cellStyle name="Normal 2 5 4 2 7" xfId="9494" xr:uid="{00000000-0005-0000-0000-000074260000}"/>
    <cellStyle name="Normal 2 5 4 2 8" xfId="9495" xr:uid="{00000000-0005-0000-0000-000075260000}"/>
    <cellStyle name="Normal 2 5 4 2 9" xfId="9496" xr:uid="{00000000-0005-0000-0000-000076260000}"/>
    <cellStyle name="Normal 2 5 4 20" xfId="9497" xr:uid="{00000000-0005-0000-0000-000077260000}"/>
    <cellStyle name="Normal 2 5 4 21" xfId="9498" xr:uid="{00000000-0005-0000-0000-000078260000}"/>
    <cellStyle name="Normal 2 5 4 22" xfId="9499" xr:uid="{00000000-0005-0000-0000-000079260000}"/>
    <cellStyle name="Normal 2 5 4 23" xfId="9500" xr:uid="{00000000-0005-0000-0000-00007A260000}"/>
    <cellStyle name="Normal 2 5 4 24" xfId="9501" xr:uid="{00000000-0005-0000-0000-00007B260000}"/>
    <cellStyle name="Normal 2 5 4 25" xfId="9502" xr:uid="{00000000-0005-0000-0000-00007C260000}"/>
    <cellStyle name="Normal 2 5 4 26" xfId="9503" xr:uid="{00000000-0005-0000-0000-00007D260000}"/>
    <cellStyle name="Normal 2 5 4 27" xfId="9504" xr:uid="{00000000-0005-0000-0000-00007E260000}"/>
    <cellStyle name="Normal 2 5 4 28" xfId="9505" xr:uid="{00000000-0005-0000-0000-00007F260000}"/>
    <cellStyle name="Normal 2 5 4 29" xfId="9506" xr:uid="{00000000-0005-0000-0000-000080260000}"/>
    <cellStyle name="Normal 2 5 4 3" xfId="9507" xr:uid="{00000000-0005-0000-0000-000081260000}"/>
    <cellStyle name="Normal 2 5 4 3 10" xfId="9508" xr:uid="{00000000-0005-0000-0000-000082260000}"/>
    <cellStyle name="Normal 2 5 4 3 11" xfId="9509" xr:uid="{00000000-0005-0000-0000-000083260000}"/>
    <cellStyle name="Normal 2 5 4 3 12" xfId="9510" xr:uid="{00000000-0005-0000-0000-000084260000}"/>
    <cellStyle name="Normal 2 5 4 3 13" xfId="9511" xr:uid="{00000000-0005-0000-0000-000085260000}"/>
    <cellStyle name="Normal 2 5 4 3 14" xfId="9512" xr:uid="{00000000-0005-0000-0000-000086260000}"/>
    <cellStyle name="Normal 2 5 4 3 15" xfId="9513" xr:uid="{00000000-0005-0000-0000-000087260000}"/>
    <cellStyle name="Normal 2 5 4 3 16" xfId="9514" xr:uid="{00000000-0005-0000-0000-000088260000}"/>
    <cellStyle name="Normal 2 5 4 3 17" xfId="9515" xr:uid="{00000000-0005-0000-0000-000089260000}"/>
    <cellStyle name="Normal 2 5 4 3 2" xfId="9516" xr:uid="{00000000-0005-0000-0000-00008A260000}"/>
    <cellStyle name="Normal 2 5 4 3 3" xfId="9517" xr:uid="{00000000-0005-0000-0000-00008B260000}"/>
    <cellStyle name="Normal 2 5 4 3 4" xfId="9518" xr:uid="{00000000-0005-0000-0000-00008C260000}"/>
    <cellStyle name="Normal 2 5 4 3 5" xfId="9519" xr:uid="{00000000-0005-0000-0000-00008D260000}"/>
    <cellStyle name="Normal 2 5 4 3 6" xfId="9520" xr:uid="{00000000-0005-0000-0000-00008E260000}"/>
    <cellStyle name="Normal 2 5 4 3 7" xfId="9521" xr:uid="{00000000-0005-0000-0000-00008F260000}"/>
    <cellStyle name="Normal 2 5 4 3 8" xfId="9522" xr:uid="{00000000-0005-0000-0000-000090260000}"/>
    <cellStyle name="Normal 2 5 4 3 9" xfId="9523" xr:uid="{00000000-0005-0000-0000-000091260000}"/>
    <cellStyle name="Normal 2 5 4 30" xfId="9524" xr:uid="{00000000-0005-0000-0000-000092260000}"/>
    <cellStyle name="Normal 2 5 4 31" xfId="9525" xr:uid="{00000000-0005-0000-0000-000093260000}"/>
    <cellStyle name="Normal 2 5 4 32" xfId="9526" xr:uid="{00000000-0005-0000-0000-000094260000}"/>
    <cellStyle name="Normal 2 5 4 33" xfId="9527" xr:uid="{00000000-0005-0000-0000-000095260000}"/>
    <cellStyle name="Normal 2 5 4 34" xfId="9528" xr:uid="{00000000-0005-0000-0000-000096260000}"/>
    <cellStyle name="Normal 2 5 4 35" xfId="9529" xr:uid="{00000000-0005-0000-0000-000097260000}"/>
    <cellStyle name="Normal 2 5 4 36" xfId="9530" xr:uid="{00000000-0005-0000-0000-000098260000}"/>
    <cellStyle name="Normal 2 5 4 37" xfId="9531" xr:uid="{00000000-0005-0000-0000-000099260000}"/>
    <cellStyle name="Normal 2 5 4 38" xfId="9532" xr:uid="{00000000-0005-0000-0000-00009A260000}"/>
    <cellStyle name="Normal 2 5 4 39" xfId="9533" xr:uid="{00000000-0005-0000-0000-00009B260000}"/>
    <cellStyle name="Normal 2 5 4 4" xfId="9534" xr:uid="{00000000-0005-0000-0000-00009C260000}"/>
    <cellStyle name="Normal 2 5 4 40" xfId="9535" xr:uid="{00000000-0005-0000-0000-00009D260000}"/>
    <cellStyle name="Normal 2 5 4 41" xfId="9536" xr:uid="{00000000-0005-0000-0000-00009E260000}"/>
    <cellStyle name="Normal 2 5 4 42" xfId="9537" xr:uid="{00000000-0005-0000-0000-00009F260000}"/>
    <cellStyle name="Normal 2 5 4 43" xfId="9538" xr:uid="{00000000-0005-0000-0000-0000A0260000}"/>
    <cellStyle name="Normal 2 5 4 44" xfId="9539" xr:uid="{00000000-0005-0000-0000-0000A1260000}"/>
    <cellStyle name="Normal 2 5 4 45" xfId="9540" xr:uid="{00000000-0005-0000-0000-0000A2260000}"/>
    <cellStyle name="Normal 2 5 4 46" xfId="9541" xr:uid="{00000000-0005-0000-0000-0000A3260000}"/>
    <cellStyle name="Normal 2 5 4 47" xfId="9542" xr:uid="{00000000-0005-0000-0000-0000A4260000}"/>
    <cellStyle name="Normal 2 5 4 48" xfId="9543" xr:uid="{00000000-0005-0000-0000-0000A5260000}"/>
    <cellStyle name="Normal 2 5 4 49" xfId="9544" xr:uid="{00000000-0005-0000-0000-0000A6260000}"/>
    <cellStyle name="Normal 2 5 4 5" xfId="9545" xr:uid="{00000000-0005-0000-0000-0000A7260000}"/>
    <cellStyle name="Normal 2 5 4 50" xfId="9546" xr:uid="{00000000-0005-0000-0000-0000A8260000}"/>
    <cellStyle name="Normal 2 5 4 51" xfId="9547" xr:uid="{00000000-0005-0000-0000-0000A9260000}"/>
    <cellStyle name="Normal 2 5 4 52" xfId="9548" xr:uid="{00000000-0005-0000-0000-0000AA260000}"/>
    <cellStyle name="Normal 2 5 4 53" xfId="9549" xr:uid="{00000000-0005-0000-0000-0000AB260000}"/>
    <cellStyle name="Normal 2 5 4 54" xfId="9550" xr:uid="{00000000-0005-0000-0000-0000AC260000}"/>
    <cellStyle name="Normal 2 5 4 55" xfId="9551" xr:uid="{00000000-0005-0000-0000-0000AD260000}"/>
    <cellStyle name="Normal 2 5 4 56" xfId="9552" xr:uid="{00000000-0005-0000-0000-0000AE260000}"/>
    <cellStyle name="Normal 2 5 4 57" xfId="9553" xr:uid="{00000000-0005-0000-0000-0000AF260000}"/>
    <cellStyle name="Normal 2 5 4 58" xfId="9554" xr:uid="{00000000-0005-0000-0000-0000B0260000}"/>
    <cellStyle name="Normal 2 5 4 59" xfId="9555" xr:uid="{00000000-0005-0000-0000-0000B1260000}"/>
    <cellStyle name="Normal 2 5 4 6" xfId="9556" xr:uid="{00000000-0005-0000-0000-0000B2260000}"/>
    <cellStyle name="Normal 2 5 4 60" xfId="9557" xr:uid="{00000000-0005-0000-0000-0000B3260000}"/>
    <cellStyle name="Normal 2 5 4 61" xfId="9558" xr:uid="{00000000-0005-0000-0000-0000B4260000}"/>
    <cellStyle name="Normal 2 5 4 62" xfId="9559" xr:uid="{00000000-0005-0000-0000-0000B5260000}"/>
    <cellStyle name="Normal 2 5 4 63" xfId="9560" xr:uid="{00000000-0005-0000-0000-0000B6260000}"/>
    <cellStyle name="Normal 2 5 4 64" xfId="9561" xr:uid="{00000000-0005-0000-0000-0000B7260000}"/>
    <cellStyle name="Normal 2 5 4 65" xfId="9562" xr:uid="{00000000-0005-0000-0000-0000B8260000}"/>
    <cellStyle name="Normal 2 5 4 66" xfId="9563" xr:uid="{00000000-0005-0000-0000-0000B9260000}"/>
    <cellStyle name="Normal 2 5 4 67" xfId="9564" xr:uid="{00000000-0005-0000-0000-0000BA260000}"/>
    <cellStyle name="Normal 2 5 4 68" xfId="9565" xr:uid="{00000000-0005-0000-0000-0000BB260000}"/>
    <cellStyle name="Normal 2 5 4 69" xfId="9566" xr:uid="{00000000-0005-0000-0000-0000BC260000}"/>
    <cellStyle name="Normal 2 5 4 7" xfId="9567" xr:uid="{00000000-0005-0000-0000-0000BD260000}"/>
    <cellStyle name="Normal 2 5 4 70" xfId="9568" xr:uid="{00000000-0005-0000-0000-0000BE260000}"/>
    <cellStyle name="Normal 2 5 4 71" xfId="9569" xr:uid="{00000000-0005-0000-0000-0000BF260000}"/>
    <cellStyle name="Normal 2 5 4 72" xfId="9570" xr:uid="{00000000-0005-0000-0000-0000C0260000}"/>
    <cellStyle name="Normal 2 5 4 73" xfId="9571" xr:uid="{00000000-0005-0000-0000-0000C1260000}"/>
    <cellStyle name="Normal 2 5 4 74" xfId="9572" xr:uid="{00000000-0005-0000-0000-0000C2260000}"/>
    <cellStyle name="Normal 2 5 4 75" xfId="9573" xr:uid="{00000000-0005-0000-0000-0000C3260000}"/>
    <cellStyle name="Normal 2 5 4 76" xfId="9574" xr:uid="{00000000-0005-0000-0000-0000C4260000}"/>
    <cellStyle name="Normal 2 5 4 77" xfId="9575" xr:uid="{00000000-0005-0000-0000-0000C5260000}"/>
    <cellStyle name="Normal 2 5 4 78" xfId="9576" xr:uid="{00000000-0005-0000-0000-0000C6260000}"/>
    <cellStyle name="Normal 2 5 4 79" xfId="9577" xr:uid="{00000000-0005-0000-0000-0000C7260000}"/>
    <cellStyle name="Normal 2 5 4 8" xfId="9578" xr:uid="{00000000-0005-0000-0000-0000C8260000}"/>
    <cellStyle name="Normal 2 5 4 80" xfId="9579" xr:uid="{00000000-0005-0000-0000-0000C9260000}"/>
    <cellStyle name="Normal 2 5 4 81" xfId="9580" xr:uid="{00000000-0005-0000-0000-0000CA260000}"/>
    <cellStyle name="Normal 2 5 4 82" xfId="9581" xr:uid="{00000000-0005-0000-0000-0000CB260000}"/>
    <cellStyle name="Normal 2 5 4 9" xfId="9582" xr:uid="{00000000-0005-0000-0000-0000CC260000}"/>
    <cellStyle name="Normal 2 5 40" xfId="9583" xr:uid="{00000000-0005-0000-0000-0000CD260000}"/>
    <cellStyle name="Normal 2 5 41" xfId="9584" xr:uid="{00000000-0005-0000-0000-0000CE260000}"/>
    <cellStyle name="Normal 2 5 42" xfId="9585" xr:uid="{00000000-0005-0000-0000-0000CF260000}"/>
    <cellStyle name="Normal 2 5 43" xfId="9586" xr:uid="{00000000-0005-0000-0000-0000D0260000}"/>
    <cellStyle name="Normal 2 5 44" xfId="9587" xr:uid="{00000000-0005-0000-0000-0000D1260000}"/>
    <cellStyle name="Normal 2 5 45" xfId="9588" xr:uid="{00000000-0005-0000-0000-0000D2260000}"/>
    <cellStyle name="Normal 2 5 46" xfId="9589" xr:uid="{00000000-0005-0000-0000-0000D3260000}"/>
    <cellStyle name="Normal 2 5 47" xfId="9590" xr:uid="{00000000-0005-0000-0000-0000D4260000}"/>
    <cellStyle name="Normal 2 5 48" xfId="9591" xr:uid="{00000000-0005-0000-0000-0000D5260000}"/>
    <cellStyle name="Normal 2 5 49" xfId="9592" xr:uid="{00000000-0005-0000-0000-0000D6260000}"/>
    <cellStyle name="Normal 2 5 5" xfId="9593" xr:uid="{00000000-0005-0000-0000-0000D7260000}"/>
    <cellStyle name="Normal 2 5 5 10" xfId="9594" xr:uid="{00000000-0005-0000-0000-0000D8260000}"/>
    <cellStyle name="Normal 2 5 5 11" xfId="9595" xr:uid="{00000000-0005-0000-0000-0000D9260000}"/>
    <cellStyle name="Normal 2 5 5 12" xfId="9596" xr:uid="{00000000-0005-0000-0000-0000DA260000}"/>
    <cellStyle name="Normal 2 5 5 13" xfId="9597" xr:uid="{00000000-0005-0000-0000-0000DB260000}"/>
    <cellStyle name="Normal 2 5 5 14" xfId="9598" xr:uid="{00000000-0005-0000-0000-0000DC260000}"/>
    <cellStyle name="Normal 2 5 5 2" xfId="9599" xr:uid="{00000000-0005-0000-0000-0000DD260000}"/>
    <cellStyle name="Normal 2 5 5 2 10" xfId="9600" xr:uid="{00000000-0005-0000-0000-0000DE260000}"/>
    <cellStyle name="Normal 2 5 5 2 11" xfId="9601" xr:uid="{00000000-0005-0000-0000-0000DF260000}"/>
    <cellStyle name="Normal 2 5 5 2 12" xfId="9602" xr:uid="{00000000-0005-0000-0000-0000E0260000}"/>
    <cellStyle name="Normal 2 5 5 2 13" xfId="9603" xr:uid="{00000000-0005-0000-0000-0000E1260000}"/>
    <cellStyle name="Normal 2 5 5 2 2" xfId="9604" xr:uid="{00000000-0005-0000-0000-0000E2260000}"/>
    <cellStyle name="Normal 2 5 5 2 3" xfId="9605" xr:uid="{00000000-0005-0000-0000-0000E3260000}"/>
    <cellStyle name="Normal 2 5 5 2 4" xfId="9606" xr:uid="{00000000-0005-0000-0000-0000E4260000}"/>
    <cellStyle name="Normal 2 5 5 2 5" xfId="9607" xr:uid="{00000000-0005-0000-0000-0000E5260000}"/>
    <cellStyle name="Normal 2 5 5 2 6" xfId="9608" xr:uid="{00000000-0005-0000-0000-0000E6260000}"/>
    <cellStyle name="Normal 2 5 5 2 7" xfId="9609" xr:uid="{00000000-0005-0000-0000-0000E7260000}"/>
    <cellStyle name="Normal 2 5 5 2 8" xfId="9610" xr:uid="{00000000-0005-0000-0000-0000E8260000}"/>
    <cellStyle name="Normal 2 5 5 2 9" xfId="9611" xr:uid="{00000000-0005-0000-0000-0000E9260000}"/>
    <cellStyle name="Normal 2 5 5 3" xfId="9612" xr:uid="{00000000-0005-0000-0000-0000EA260000}"/>
    <cellStyle name="Normal 2 5 5 4" xfId="9613" xr:uid="{00000000-0005-0000-0000-0000EB260000}"/>
    <cellStyle name="Normal 2 5 5 5" xfId="9614" xr:uid="{00000000-0005-0000-0000-0000EC260000}"/>
    <cellStyle name="Normal 2 5 5 6" xfId="9615" xr:uid="{00000000-0005-0000-0000-0000ED260000}"/>
    <cellStyle name="Normal 2 5 5 7" xfId="9616" xr:uid="{00000000-0005-0000-0000-0000EE260000}"/>
    <cellStyle name="Normal 2 5 5 8" xfId="9617" xr:uid="{00000000-0005-0000-0000-0000EF260000}"/>
    <cellStyle name="Normal 2 5 5 9" xfId="9618" xr:uid="{00000000-0005-0000-0000-0000F0260000}"/>
    <cellStyle name="Normal 2 5 50" xfId="9619" xr:uid="{00000000-0005-0000-0000-0000F1260000}"/>
    <cellStyle name="Normal 2 5 51" xfId="9620" xr:uid="{00000000-0005-0000-0000-0000F2260000}"/>
    <cellStyle name="Normal 2 5 52" xfId="9621" xr:uid="{00000000-0005-0000-0000-0000F3260000}"/>
    <cellStyle name="Normal 2 5 53" xfId="9622" xr:uid="{00000000-0005-0000-0000-0000F4260000}"/>
    <cellStyle name="Normal 2 5 54" xfId="9623" xr:uid="{00000000-0005-0000-0000-0000F5260000}"/>
    <cellStyle name="Normal 2 5 55" xfId="9624" xr:uid="{00000000-0005-0000-0000-0000F6260000}"/>
    <cellStyle name="Normal 2 5 56" xfId="9625" xr:uid="{00000000-0005-0000-0000-0000F7260000}"/>
    <cellStyle name="Normal 2 5 57" xfId="9626" xr:uid="{00000000-0005-0000-0000-0000F8260000}"/>
    <cellStyle name="Normal 2 5 58" xfId="9627" xr:uid="{00000000-0005-0000-0000-0000F9260000}"/>
    <cellStyle name="Normal 2 5 59" xfId="9628" xr:uid="{00000000-0005-0000-0000-0000FA260000}"/>
    <cellStyle name="Normal 2 5 6" xfId="9629" xr:uid="{00000000-0005-0000-0000-0000FB260000}"/>
    <cellStyle name="Normal 2 5 6 10" xfId="9630" xr:uid="{00000000-0005-0000-0000-0000FC260000}"/>
    <cellStyle name="Normal 2 5 6 11" xfId="9631" xr:uid="{00000000-0005-0000-0000-0000FD260000}"/>
    <cellStyle name="Normal 2 5 6 12" xfId="9632" xr:uid="{00000000-0005-0000-0000-0000FE260000}"/>
    <cellStyle name="Normal 2 5 6 13" xfId="9633" xr:uid="{00000000-0005-0000-0000-0000FF260000}"/>
    <cellStyle name="Normal 2 5 6 14" xfId="9634" xr:uid="{00000000-0005-0000-0000-000000270000}"/>
    <cellStyle name="Normal 2 5 6 2" xfId="9635" xr:uid="{00000000-0005-0000-0000-000001270000}"/>
    <cellStyle name="Normal 2 5 6 2 10" xfId="9636" xr:uid="{00000000-0005-0000-0000-000002270000}"/>
    <cellStyle name="Normal 2 5 6 2 11" xfId="9637" xr:uid="{00000000-0005-0000-0000-000003270000}"/>
    <cellStyle name="Normal 2 5 6 2 12" xfId="9638" xr:uid="{00000000-0005-0000-0000-000004270000}"/>
    <cellStyle name="Normal 2 5 6 2 13" xfId="9639" xr:uid="{00000000-0005-0000-0000-000005270000}"/>
    <cellStyle name="Normal 2 5 6 2 2" xfId="9640" xr:uid="{00000000-0005-0000-0000-000006270000}"/>
    <cellStyle name="Normal 2 5 6 2 3" xfId="9641" xr:uid="{00000000-0005-0000-0000-000007270000}"/>
    <cellStyle name="Normal 2 5 6 2 4" xfId="9642" xr:uid="{00000000-0005-0000-0000-000008270000}"/>
    <cellStyle name="Normal 2 5 6 2 5" xfId="9643" xr:uid="{00000000-0005-0000-0000-000009270000}"/>
    <cellStyle name="Normal 2 5 6 2 6" xfId="9644" xr:uid="{00000000-0005-0000-0000-00000A270000}"/>
    <cellStyle name="Normal 2 5 6 2 7" xfId="9645" xr:uid="{00000000-0005-0000-0000-00000B270000}"/>
    <cellStyle name="Normal 2 5 6 2 8" xfId="9646" xr:uid="{00000000-0005-0000-0000-00000C270000}"/>
    <cellStyle name="Normal 2 5 6 2 9" xfId="9647" xr:uid="{00000000-0005-0000-0000-00000D270000}"/>
    <cellStyle name="Normal 2 5 6 3" xfId="9648" xr:uid="{00000000-0005-0000-0000-00000E270000}"/>
    <cellStyle name="Normal 2 5 6 4" xfId="9649" xr:uid="{00000000-0005-0000-0000-00000F270000}"/>
    <cellStyle name="Normal 2 5 6 5" xfId="9650" xr:uid="{00000000-0005-0000-0000-000010270000}"/>
    <cellStyle name="Normal 2 5 6 6" xfId="9651" xr:uid="{00000000-0005-0000-0000-000011270000}"/>
    <cellStyle name="Normal 2 5 6 7" xfId="9652" xr:uid="{00000000-0005-0000-0000-000012270000}"/>
    <cellStyle name="Normal 2 5 6 8" xfId="9653" xr:uid="{00000000-0005-0000-0000-000013270000}"/>
    <cellStyle name="Normal 2 5 6 9" xfId="9654" xr:uid="{00000000-0005-0000-0000-000014270000}"/>
    <cellStyle name="Normal 2 5 60" xfId="9655" xr:uid="{00000000-0005-0000-0000-000015270000}"/>
    <cellStyle name="Normal 2 5 61" xfId="9656" xr:uid="{00000000-0005-0000-0000-000016270000}"/>
    <cellStyle name="Normal 2 5 62" xfId="9657" xr:uid="{00000000-0005-0000-0000-000017270000}"/>
    <cellStyle name="Normal 2 5 63" xfId="9658" xr:uid="{00000000-0005-0000-0000-000018270000}"/>
    <cellStyle name="Normal 2 5 64" xfId="9659" xr:uid="{00000000-0005-0000-0000-000019270000}"/>
    <cellStyle name="Normal 2 5 65" xfId="9660" xr:uid="{00000000-0005-0000-0000-00001A270000}"/>
    <cellStyle name="Normal 2 5 66" xfId="9661" xr:uid="{00000000-0005-0000-0000-00001B270000}"/>
    <cellStyle name="Normal 2 5 67" xfId="9662" xr:uid="{00000000-0005-0000-0000-00001C270000}"/>
    <cellStyle name="Normal 2 5 68" xfId="9663" xr:uid="{00000000-0005-0000-0000-00001D270000}"/>
    <cellStyle name="Normal 2 5 69" xfId="9664" xr:uid="{00000000-0005-0000-0000-00001E270000}"/>
    <cellStyle name="Normal 2 5 7" xfId="9665" xr:uid="{00000000-0005-0000-0000-00001F270000}"/>
    <cellStyle name="Normal 2 5 7 10" xfId="9666" xr:uid="{00000000-0005-0000-0000-000020270000}"/>
    <cellStyle name="Normal 2 5 7 11" xfId="9667" xr:uid="{00000000-0005-0000-0000-000021270000}"/>
    <cellStyle name="Normal 2 5 7 12" xfId="9668" xr:uid="{00000000-0005-0000-0000-000022270000}"/>
    <cellStyle name="Normal 2 5 7 13" xfId="9669" xr:uid="{00000000-0005-0000-0000-000023270000}"/>
    <cellStyle name="Normal 2 5 7 14" xfId="9670" xr:uid="{00000000-0005-0000-0000-000024270000}"/>
    <cellStyle name="Normal 2 5 7 15" xfId="9671" xr:uid="{00000000-0005-0000-0000-000025270000}"/>
    <cellStyle name="Normal 2 5 7 16" xfId="9672" xr:uid="{00000000-0005-0000-0000-000026270000}"/>
    <cellStyle name="Normal 2 5 7 17" xfId="9673" xr:uid="{00000000-0005-0000-0000-000027270000}"/>
    <cellStyle name="Normal 2 5 7 2" xfId="9674" xr:uid="{00000000-0005-0000-0000-000028270000}"/>
    <cellStyle name="Normal 2 5 7 3" xfId="9675" xr:uid="{00000000-0005-0000-0000-000029270000}"/>
    <cellStyle name="Normal 2 5 7 4" xfId="9676" xr:uid="{00000000-0005-0000-0000-00002A270000}"/>
    <cellStyle name="Normal 2 5 7 5" xfId="9677" xr:uid="{00000000-0005-0000-0000-00002B270000}"/>
    <cellStyle name="Normal 2 5 7 6" xfId="9678" xr:uid="{00000000-0005-0000-0000-00002C270000}"/>
    <cellStyle name="Normal 2 5 7 7" xfId="9679" xr:uid="{00000000-0005-0000-0000-00002D270000}"/>
    <cellStyle name="Normal 2 5 7 8" xfId="9680" xr:uid="{00000000-0005-0000-0000-00002E270000}"/>
    <cellStyle name="Normal 2 5 7 9" xfId="9681" xr:uid="{00000000-0005-0000-0000-00002F270000}"/>
    <cellStyle name="Normal 2 5 70" xfId="9682" xr:uid="{00000000-0005-0000-0000-000030270000}"/>
    <cellStyle name="Normal 2 5 71" xfId="9683" xr:uid="{00000000-0005-0000-0000-000031270000}"/>
    <cellStyle name="Normal 2 5 72" xfId="9684" xr:uid="{00000000-0005-0000-0000-000032270000}"/>
    <cellStyle name="Normal 2 5 73" xfId="9685" xr:uid="{00000000-0005-0000-0000-000033270000}"/>
    <cellStyle name="Normal 2 5 74" xfId="9686" xr:uid="{00000000-0005-0000-0000-000034270000}"/>
    <cellStyle name="Normal 2 5 75" xfId="9687" xr:uid="{00000000-0005-0000-0000-000035270000}"/>
    <cellStyle name="Normal 2 5 76" xfId="9688" xr:uid="{00000000-0005-0000-0000-000036270000}"/>
    <cellStyle name="Normal 2 5 77" xfId="9689" xr:uid="{00000000-0005-0000-0000-000037270000}"/>
    <cellStyle name="Normal 2 5 78" xfId="9690" xr:uid="{00000000-0005-0000-0000-000038270000}"/>
    <cellStyle name="Normal 2 5 79" xfId="9691" xr:uid="{00000000-0005-0000-0000-000039270000}"/>
    <cellStyle name="Normal 2 5 8" xfId="9692" xr:uid="{00000000-0005-0000-0000-00003A270000}"/>
    <cellStyle name="Normal 2 5 8 2" xfId="9693" xr:uid="{00000000-0005-0000-0000-00003B270000}"/>
    <cellStyle name="Normal 2 5 8 2 2" xfId="9694" xr:uid="{00000000-0005-0000-0000-00003C270000}"/>
    <cellStyle name="Normal 2 5 8 2 2 2" xfId="9695" xr:uid="{00000000-0005-0000-0000-00003D270000}"/>
    <cellStyle name="Normal 2 5 8 2 2 3" xfId="9696" xr:uid="{00000000-0005-0000-0000-00003E270000}"/>
    <cellStyle name="Normal 2 5 8 2 2 3 2" xfId="9697" xr:uid="{00000000-0005-0000-0000-00003F270000}"/>
    <cellStyle name="Normal 2 5 8 3" xfId="9698" xr:uid="{00000000-0005-0000-0000-000040270000}"/>
    <cellStyle name="Normal 2 5 80" xfId="9699" xr:uid="{00000000-0005-0000-0000-000041270000}"/>
    <cellStyle name="Normal 2 5 81" xfId="9700" xr:uid="{00000000-0005-0000-0000-000042270000}"/>
    <cellStyle name="Normal 2 5 82" xfId="9701" xr:uid="{00000000-0005-0000-0000-000043270000}"/>
    <cellStyle name="Normal 2 5 83" xfId="9702" xr:uid="{00000000-0005-0000-0000-000044270000}"/>
    <cellStyle name="Normal 2 5 84" xfId="9703" xr:uid="{00000000-0005-0000-0000-000045270000}"/>
    <cellStyle name="Normal 2 5 85" xfId="9704" xr:uid="{00000000-0005-0000-0000-000046270000}"/>
    <cellStyle name="Normal 2 5 86" xfId="9705" xr:uid="{00000000-0005-0000-0000-000047270000}"/>
    <cellStyle name="Normal 2 5 87" xfId="9706" xr:uid="{00000000-0005-0000-0000-000048270000}"/>
    <cellStyle name="Normal 2 5 88" xfId="9707" xr:uid="{00000000-0005-0000-0000-000049270000}"/>
    <cellStyle name="Normal 2 5 9" xfId="9708" xr:uid="{00000000-0005-0000-0000-00004A270000}"/>
    <cellStyle name="Normal 2 5 9 2" xfId="9709" xr:uid="{00000000-0005-0000-0000-00004B270000}"/>
    <cellStyle name="Normal 2 5 9 2 2" xfId="9710" xr:uid="{00000000-0005-0000-0000-00004C270000}"/>
    <cellStyle name="Normal 2 5 9 2 2 2" xfId="9711" xr:uid="{00000000-0005-0000-0000-00004D270000}"/>
    <cellStyle name="Normal 2 5 9 2 2 3" xfId="9712" xr:uid="{00000000-0005-0000-0000-00004E270000}"/>
    <cellStyle name="Normal 2 5 9 2 2 3 2" xfId="9713" xr:uid="{00000000-0005-0000-0000-00004F270000}"/>
    <cellStyle name="Normal 2 5_1.3s Accounting C Costs Scots" xfId="9714" xr:uid="{00000000-0005-0000-0000-000050270000}"/>
    <cellStyle name="Normal 2 50" xfId="9715" xr:uid="{00000000-0005-0000-0000-000051270000}"/>
    <cellStyle name="Normal 2 51" xfId="9716" xr:uid="{00000000-0005-0000-0000-000052270000}"/>
    <cellStyle name="Normal 2 52" xfId="9717" xr:uid="{00000000-0005-0000-0000-000053270000}"/>
    <cellStyle name="Normal 2 53" xfId="9718" xr:uid="{00000000-0005-0000-0000-000054270000}"/>
    <cellStyle name="Normal 2 53 2" xfId="9719" xr:uid="{00000000-0005-0000-0000-000055270000}"/>
    <cellStyle name="Normal 2 53 3" xfId="9720" xr:uid="{00000000-0005-0000-0000-000056270000}"/>
    <cellStyle name="Normal 2 54" xfId="9721" xr:uid="{00000000-0005-0000-0000-000057270000}"/>
    <cellStyle name="Normal 2 54 10" xfId="9722" xr:uid="{00000000-0005-0000-0000-000058270000}"/>
    <cellStyle name="Normal 2 54 11" xfId="9723" xr:uid="{00000000-0005-0000-0000-000059270000}"/>
    <cellStyle name="Normal 2 54 12" xfId="9724" xr:uid="{00000000-0005-0000-0000-00005A270000}"/>
    <cellStyle name="Normal 2 54 13" xfId="9725" xr:uid="{00000000-0005-0000-0000-00005B270000}"/>
    <cellStyle name="Normal 2 54 14" xfId="9726" xr:uid="{00000000-0005-0000-0000-00005C270000}"/>
    <cellStyle name="Normal 2 54 15" xfId="9727" xr:uid="{00000000-0005-0000-0000-00005D270000}"/>
    <cellStyle name="Normal 2 54 16" xfId="9728" xr:uid="{00000000-0005-0000-0000-00005E270000}"/>
    <cellStyle name="Normal 2 54 17" xfId="9729" xr:uid="{00000000-0005-0000-0000-00005F270000}"/>
    <cellStyle name="Normal 2 54 2" xfId="9730" xr:uid="{00000000-0005-0000-0000-000060270000}"/>
    <cellStyle name="Normal 2 54 3" xfId="9731" xr:uid="{00000000-0005-0000-0000-000061270000}"/>
    <cellStyle name="Normal 2 54 4" xfId="9732" xr:uid="{00000000-0005-0000-0000-000062270000}"/>
    <cellStyle name="Normal 2 54 5" xfId="9733" xr:uid="{00000000-0005-0000-0000-000063270000}"/>
    <cellStyle name="Normal 2 54 6" xfId="9734" xr:uid="{00000000-0005-0000-0000-000064270000}"/>
    <cellStyle name="Normal 2 54 7" xfId="9735" xr:uid="{00000000-0005-0000-0000-000065270000}"/>
    <cellStyle name="Normal 2 54 8" xfId="9736" xr:uid="{00000000-0005-0000-0000-000066270000}"/>
    <cellStyle name="Normal 2 54 9" xfId="9737" xr:uid="{00000000-0005-0000-0000-000067270000}"/>
    <cellStyle name="Normal 2 55" xfId="9738" xr:uid="{00000000-0005-0000-0000-000068270000}"/>
    <cellStyle name="Normal 2 55 10" xfId="9739" xr:uid="{00000000-0005-0000-0000-000069270000}"/>
    <cellStyle name="Normal 2 55 11" xfId="9740" xr:uid="{00000000-0005-0000-0000-00006A270000}"/>
    <cellStyle name="Normal 2 55 12" xfId="9741" xr:uid="{00000000-0005-0000-0000-00006B270000}"/>
    <cellStyle name="Normal 2 55 13" xfId="9742" xr:uid="{00000000-0005-0000-0000-00006C270000}"/>
    <cellStyle name="Normal 2 55 14" xfId="9743" xr:uid="{00000000-0005-0000-0000-00006D270000}"/>
    <cellStyle name="Normal 2 55 15" xfId="9744" xr:uid="{00000000-0005-0000-0000-00006E270000}"/>
    <cellStyle name="Normal 2 55 16" xfId="9745" xr:uid="{00000000-0005-0000-0000-00006F270000}"/>
    <cellStyle name="Normal 2 55 17" xfId="9746" xr:uid="{00000000-0005-0000-0000-000070270000}"/>
    <cellStyle name="Normal 2 55 2" xfId="9747" xr:uid="{00000000-0005-0000-0000-000071270000}"/>
    <cellStyle name="Normal 2 55 3" xfId="9748" xr:uid="{00000000-0005-0000-0000-000072270000}"/>
    <cellStyle name="Normal 2 55 4" xfId="9749" xr:uid="{00000000-0005-0000-0000-000073270000}"/>
    <cellStyle name="Normal 2 55 5" xfId="9750" xr:uid="{00000000-0005-0000-0000-000074270000}"/>
    <cellStyle name="Normal 2 55 6" xfId="9751" xr:uid="{00000000-0005-0000-0000-000075270000}"/>
    <cellStyle name="Normal 2 55 7" xfId="9752" xr:uid="{00000000-0005-0000-0000-000076270000}"/>
    <cellStyle name="Normal 2 55 8" xfId="9753" xr:uid="{00000000-0005-0000-0000-000077270000}"/>
    <cellStyle name="Normal 2 55 9" xfId="9754" xr:uid="{00000000-0005-0000-0000-000078270000}"/>
    <cellStyle name="Normal 2 56" xfId="9755" xr:uid="{00000000-0005-0000-0000-000079270000}"/>
    <cellStyle name="Normal 2 57" xfId="9756" xr:uid="{00000000-0005-0000-0000-00007A270000}"/>
    <cellStyle name="Normal 2 58" xfId="9757" xr:uid="{00000000-0005-0000-0000-00007B270000}"/>
    <cellStyle name="Normal 2 59" xfId="9758" xr:uid="{00000000-0005-0000-0000-00007C270000}"/>
    <cellStyle name="Normal 2 6" xfId="9759" xr:uid="{00000000-0005-0000-0000-00007D270000}"/>
    <cellStyle name="Normal 2 6 10" xfId="9760" xr:uid="{00000000-0005-0000-0000-00007E270000}"/>
    <cellStyle name="Normal 2 6 11" xfId="9761" xr:uid="{00000000-0005-0000-0000-00007F270000}"/>
    <cellStyle name="Normal 2 6 12" xfId="9762" xr:uid="{00000000-0005-0000-0000-000080270000}"/>
    <cellStyle name="Normal 2 6 13" xfId="9763" xr:uid="{00000000-0005-0000-0000-000081270000}"/>
    <cellStyle name="Normal 2 6 14" xfId="9764" xr:uid="{00000000-0005-0000-0000-000082270000}"/>
    <cellStyle name="Normal 2 6 15" xfId="9765" xr:uid="{00000000-0005-0000-0000-000083270000}"/>
    <cellStyle name="Normal 2 6 16" xfId="9766" xr:uid="{00000000-0005-0000-0000-000084270000}"/>
    <cellStyle name="Normal 2 6 17" xfId="9767" xr:uid="{00000000-0005-0000-0000-000085270000}"/>
    <cellStyle name="Normal 2 6 18" xfId="9768" xr:uid="{00000000-0005-0000-0000-000086270000}"/>
    <cellStyle name="Normal 2 6 19" xfId="9769" xr:uid="{00000000-0005-0000-0000-000087270000}"/>
    <cellStyle name="Normal 2 6 2" xfId="9770" xr:uid="{00000000-0005-0000-0000-000088270000}"/>
    <cellStyle name="Normal 2 6 20" xfId="9771" xr:uid="{00000000-0005-0000-0000-000089270000}"/>
    <cellStyle name="Normal 2 6 21" xfId="9772" xr:uid="{00000000-0005-0000-0000-00008A270000}"/>
    <cellStyle name="Normal 2 6 22" xfId="9773" xr:uid="{00000000-0005-0000-0000-00008B270000}"/>
    <cellStyle name="Normal 2 6 23" xfId="9774" xr:uid="{00000000-0005-0000-0000-00008C270000}"/>
    <cellStyle name="Normal 2 6 24" xfId="9775" xr:uid="{00000000-0005-0000-0000-00008D270000}"/>
    <cellStyle name="Normal 2 6 25" xfId="9776" xr:uid="{00000000-0005-0000-0000-00008E270000}"/>
    <cellStyle name="Normal 2 6 26" xfId="9777" xr:uid="{00000000-0005-0000-0000-00008F270000}"/>
    <cellStyle name="Normal 2 6 27" xfId="9778" xr:uid="{00000000-0005-0000-0000-000090270000}"/>
    <cellStyle name="Normal 2 6 28" xfId="9779" xr:uid="{00000000-0005-0000-0000-000091270000}"/>
    <cellStyle name="Normal 2 6 29" xfId="9780" xr:uid="{00000000-0005-0000-0000-000092270000}"/>
    <cellStyle name="Normal 2 6 3" xfId="9781" xr:uid="{00000000-0005-0000-0000-000093270000}"/>
    <cellStyle name="Normal 2 6 3 10" xfId="9782" xr:uid="{00000000-0005-0000-0000-000094270000}"/>
    <cellStyle name="Normal 2 6 3 11" xfId="9783" xr:uid="{00000000-0005-0000-0000-000095270000}"/>
    <cellStyle name="Normal 2 6 3 12" xfId="9784" xr:uid="{00000000-0005-0000-0000-000096270000}"/>
    <cellStyle name="Normal 2 6 3 13" xfId="9785" xr:uid="{00000000-0005-0000-0000-000097270000}"/>
    <cellStyle name="Normal 2 6 3 14" xfId="9786" xr:uid="{00000000-0005-0000-0000-000098270000}"/>
    <cellStyle name="Normal 2 6 3 15" xfId="9787" xr:uid="{00000000-0005-0000-0000-000099270000}"/>
    <cellStyle name="Normal 2 6 3 16" xfId="9788" xr:uid="{00000000-0005-0000-0000-00009A270000}"/>
    <cellStyle name="Normal 2 6 3 17" xfId="9789" xr:uid="{00000000-0005-0000-0000-00009B270000}"/>
    <cellStyle name="Normal 2 6 3 2" xfId="9790" xr:uid="{00000000-0005-0000-0000-00009C270000}"/>
    <cellStyle name="Normal 2 6 3 3" xfId="9791" xr:uid="{00000000-0005-0000-0000-00009D270000}"/>
    <cellStyle name="Normal 2 6 3 4" xfId="9792" xr:uid="{00000000-0005-0000-0000-00009E270000}"/>
    <cellStyle name="Normal 2 6 3 5" xfId="9793" xr:uid="{00000000-0005-0000-0000-00009F270000}"/>
    <cellStyle name="Normal 2 6 3 6" xfId="9794" xr:uid="{00000000-0005-0000-0000-0000A0270000}"/>
    <cellStyle name="Normal 2 6 3 7" xfId="9795" xr:uid="{00000000-0005-0000-0000-0000A1270000}"/>
    <cellStyle name="Normal 2 6 3 8" xfId="9796" xr:uid="{00000000-0005-0000-0000-0000A2270000}"/>
    <cellStyle name="Normal 2 6 3 9" xfId="9797" xr:uid="{00000000-0005-0000-0000-0000A3270000}"/>
    <cellStyle name="Normal 2 6 30" xfId="9798" xr:uid="{00000000-0005-0000-0000-0000A4270000}"/>
    <cellStyle name="Normal 2 6 31" xfId="9799" xr:uid="{00000000-0005-0000-0000-0000A5270000}"/>
    <cellStyle name="Normal 2 6 32" xfId="9800" xr:uid="{00000000-0005-0000-0000-0000A6270000}"/>
    <cellStyle name="Normal 2 6 33" xfId="9801" xr:uid="{00000000-0005-0000-0000-0000A7270000}"/>
    <cellStyle name="Normal 2 6 34" xfId="9802" xr:uid="{00000000-0005-0000-0000-0000A8270000}"/>
    <cellStyle name="Normal 2 6 35" xfId="9803" xr:uid="{00000000-0005-0000-0000-0000A9270000}"/>
    <cellStyle name="Normal 2 6 36" xfId="9804" xr:uid="{00000000-0005-0000-0000-0000AA270000}"/>
    <cellStyle name="Normal 2 6 37" xfId="9805" xr:uid="{00000000-0005-0000-0000-0000AB270000}"/>
    <cellStyle name="Normal 2 6 38" xfId="9806" xr:uid="{00000000-0005-0000-0000-0000AC270000}"/>
    <cellStyle name="Normal 2 6 39" xfId="9807" xr:uid="{00000000-0005-0000-0000-0000AD270000}"/>
    <cellStyle name="Normal 2 6 4" xfId="9808" xr:uid="{00000000-0005-0000-0000-0000AE270000}"/>
    <cellStyle name="Normal 2 6 4 10" xfId="9809" xr:uid="{00000000-0005-0000-0000-0000AF270000}"/>
    <cellStyle name="Normal 2 6 4 11" xfId="9810" xr:uid="{00000000-0005-0000-0000-0000B0270000}"/>
    <cellStyle name="Normal 2 6 4 12" xfId="9811" xr:uid="{00000000-0005-0000-0000-0000B1270000}"/>
    <cellStyle name="Normal 2 6 4 13" xfId="9812" xr:uid="{00000000-0005-0000-0000-0000B2270000}"/>
    <cellStyle name="Normal 2 6 4 14" xfId="9813" xr:uid="{00000000-0005-0000-0000-0000B3270000}"/>
    <cellStyle name="Normal 2 6 4 15" xfId="9814" xr:uid="{00000000-0005-0000-0000-0000B4270000}"/>
    <cellStyle name="Normal 2 6 4 16" xfId="9815" xr:uid="{00000000-0005-0000-0000-0000B5270000}"/>
    <cellStyle name="Normal 2 6 4 17" xfId="9816" xr:uid="{00000000-0005-0000-0000-0000B6270000}"/>
    <cellStyle name="Normal 2 6 4 2" xfId="9817" xr:uid="{00000000-0005-0000-0000-0000B7270000}"/>
    <cellStyle name="Normal 2 6 4 3" xfId="9818" xr:uid="{00000000-0005-0000-0000-0000B8270000}"/>
    <cellStyle name="Normal 2 6 4 4" xfId="9819" xr:uid="{00000000-0005-0000-0000-0000B9270000}"/>
    <cellStyle name="Normal 2 6 4 5" xfId="9820" xr:uid="{00000000-0005-0000-0000-0000BA270000}"/>
    <cellStyle name="Normal 2 6 4 6" xfId="9821" xr:uid="{00000000-0005-0000-0000-0000BB270000}"/>
    <cellStyle name="Normal 2 6 4 7" xfId="9822" xr:uid="{00000000-0005-0000-0000-0000BC270000}"/>
    <cellStyle name="Normal 2 6 4 8" xfId="9823" xr:uid="{00000000-0005-0000-0000-0000BD270000}"/>
    <cellStyle name="Normal 2 6 4 9" xfId="9824" xr:uid="{00000000-0005-0000-0000-0000BE270000}"/>
    <cellStyle name="Normal 2 6 40" xfId="9825" xr:uid="{00000000-0005-0000-0000-0000BF270000}"/>
    <cellStyle name="Normal 2 6 41" xfId="9826" xr:uid="{00000000-0005-0000-0000-0000C0270000}"/>
    <cellStyle name="Normal 2 6 42" xfId="9827" xr:uid="{00000000-0005-0000-0000-0000C1270000}"/>
    <cellStyle name="Normal 2 6 43" xfId="9828" xr:uid="{00000000-0005-0000-0000-0000C2270000}"/>
    <cellStyle name="Normal 2 6 44" xfId="9829" xr:uid="{00000000-0005-0000-0000-0000C3270000}"/>
    <cellStyle name="Normal 2 6 45" xfId="9830" xr:uid="{00000000-0005-0000-0000-0000C4270000}"/>
    <cellStyle name="Normal 2 6 46" xfId="9831" xr:uid="{00000000-0005-0000-0000-0000C5270000}"/>
    <cellStyle name="Normal 2 6 47" xfId="9832" xr:uid="{00000000-0005-0000-0000-0000C6270000}"/>
    <cellStyle name="Normal 2 6 48" xfId="9833" xr:uid="{00000000-0005-0000-0000-0000C7270000}"/>
    <cellStyle name="Normal 2 6 49" xfId="9834" xr:uid="{00000000-0005-0000-0000-0000C8270000}"/>
    <cellStyle name="Normal 2 6 5" xfId="9835" xr:uid="{00000000-0005-0000-0000-0000C9270000}"/>
    <cellStyle name="Normal 2 6 50" xfId="9836" xr:uid="{00000000-0005-0000-0000-0000CA270000}"/>
    <cellStyle name="Normal 2 6 51" xfId="9837" xr:uid="{00000000-0005-0000-0000-0000CB270000}"/>
    <cellStyle name="Normal 2 6 52" xfId="9838" xr:uid="{00000000-0005-0000-0000-0000CC270000}"/>
    <cellStyle name="Normal 2 6 53" xfId="9839" xr:uid="{00000000-0005-0000-0000-0000CD270000}"/>
    <cellStyle name="Normal 2 6 54" xfId="9840" xr:uid="{00000000-0005-0000-0000-0000CE270000}"/>
    <cellStyle name="Normal 2 6 55" xfId="9841" xr:uid="{00000000-0005-0000-0000-0000CF270000}"/>
    <cellStyle name="Normal 2 6 56" xfId="9842" xr:uid="{00000000-0005-0000-0000-0000D0270000}"/>
    <cellStyle name="Normal 2 6 57" xfId="9843" xr:uid="{00000000-0005-0000-0000-0000D1270000}"/>
    <cellStyle name="Normal 2 6 58" xfId="9844" xr:uid="{00000000-0005-0000-0000-0000D2270000}"/>
    <cellStyle name="Normal 2 6 59" xfId="9845" xr:uid="{00000000-0005-0000-0000-0000D3270000}"/>
    <cellStyle name="Normal 2 6 6" xfId="9846" xr:uid="{00000000-0005-0000-0000-0000D4270000}"/>
    <cellStyle name="Normal 2 6 60" xfId="9847" xr:uid="{00000000-0005-0000-0000-0000D5270000}"/>
    <cellStyle name="Normal 2 6 61" xfId="9848" xr:uid="{00000000-0005-0000-0000-0000D6270000}"/>
    <cellStyle name="Normal 2 6 62" xfId="9849" xr:uid="{00000000-0005-0000-0000-0000D7270000}"/>
    <cellStyle name="Normal 2 6 63" xfId="9850" xr:uid="{00000000-0005-0000-0000-0000D8270000}"/>
    <cellStyle name="Normal 2 6 64" xfId="9851" xr:uid="{00000000-0005-0000-0000-0000D9270000}"/>
    <cellStyle name="Normal 2 6 65" xfId="9852" xr:uid="{00000000-0005-0000-0000-0000DA270000}"/>
    <cellStyle name="Normal 2 6 66" xfId="9853" xr:uid="{00000000-0005-0000-0000-0000DB270000}"/>
    <cellStyle name="Normal 2 6 67" xfId="9854" xr:uid="{00000000-0005-0000-0000-0000DC270000}"/>
    <cellStyle name="Normal 2 6 68" xfId="9855" xr:uid="{00000000-0005-0000-0000-0000DD270000}"/>
    <cellStyle name="Normal 2 6 69" xfId="9856" xr:uid="{00000000-0005-0000-0000-0000DE270000}"/>
    <cellStyle name="Normal 2 6 7" xfId="9857" xr:uid="{00000000-0005-0000-0000-0000DF270000}"/>
    <cellStyle name="Normal 2 6 70" xfId="9858" xr:uid="{00000000-0005-0000-0000-0000E0270000}"/>
    <cellStyle name="Normal 2 6 71" xfId="9859" xr:uid="{00000000-0005-0000-0000-0000E1270000}"/>
    <cellStyle name="Normal 2 6 72" xfId="9860" xr:uid="{00000000-0005-0000-0000-0000E2270000}"/>
    <cellStyle name="Normal 2 6 73" xfId="9861" xr:uid="{00000000-0005-0000-0000-0000E3270000}"/>
    <cellStyle name="Normal 2 6 74" xfId="9862" xr:uid="{00000000-0005-0000-0000-0000E4270000}"/>
    <cellStyle name="Normal 2 6 75" xfId="9863" xr:uid="{00000000-0005-0000-0000-0000E5270000}"/>
    <cellStyle name="Normal 2 6 76" xfId="9864" xr:uid="{00000000-0005-0000-0000-0000E6270000}"/>
    <cellStyle name="Normal 2 6 77" xfId="9865" xr:uid="{00000000-0005-0000-0000-0000E7270000}"/>
    <cellStyle name="Normal 2 6 78" xfId="9866" xr:uid="{00000000-0005-0000-0000-0000E8270000}"/>
    <cellStyle name="Normal 2 6 8" xfId="9867" xr:uid="{00000000-0005-0000-0000-0000E9270000}"/>
    <cellStyle name="Normal 2 6 9" xfId="9868" xr:uid="{00000000-0005-0000-0000-0000EA270000}"/>
    <cellStyle name="Normal 2 6_3.1.2 DB Pension Detail" xfId="9869" xr:uid="{00000000-0005-0000-0000-0000EB270000}"/>
    <cellStyle name="Normal 2 60" xfId="9870" xr:uid="{00000000-0005-0000-0000-0000EC270000}"/>
    <cellStyle name="Normal 2 61" xfId="9871" xr:uid="{00000000-0005-0000-0000-0000ED270000}"/>
    <cellStyle name="Normal 2 62" xfId="9872" xr:uid="{00000000-0005-0000-0000-0000EE270000}"/>
    <cellStyle name="Normal 2 63" xfId="9873" xr:uid="{00000000-0005-0000-0000-0000EF270000}"/>
    <cellStyle name="Normal 2 64" xfId="9874" xr:uid="{00000000-0005-0000-0000-0000F0270000}"/>
    <cellStyle name="Normal 2 65" xfId="9875" xr:uid="{00000000-0005-0000-0000-0000F1270000}"/>
    <cellStyle name="Normal 2 66" xfId="9876" xr:uid="{00000000-0005-0000-0000-0000F2270000}"/>
    <cellStyle name="Normal 2 67" xfId="9877" xr:uid="{00000000-0005-0000-0000-0000F3270000}"/>
    <cellStyle name="Normal 2 68" xfId="9878" xr:uid="{00000000-0005-0000-0000-0000F4270000}"/>
    <cellStyle name="Normal 2 69" xfId="9879" xr:uid="{00000000-0005-0000-0000-0000F5270000}"/>
    <cellStyle name="Normal 2 7" xfId="9880" xr:uid="{00000000-0005-0000-0000-0000F6270000}"/>
    <cellStyle name="Normal 2 7 10" xfId="9881" xr:uid="{00000000-0005-0000-0000-0000F7270000}"/>
    <cellStyle name="Normal 2 7 11" xfId="9882" xr:uid="{00000000-0005-0000-0000-0000F8270000}"/>
    <cellStyle name="Normal 2 7 12" xfId="9883" xr:uid="{00000000-0005-0000-0000-0000F9270000}"/>
    <cellStyle name="Normal 2 7 13" xfId="9884" xr:uid="{00000000-0005-0000-0000-0000FA270000}"/>
    <cellStyle name="Normal 2 7 14" xfId="9885" xr:uid="{00000000-0005-0000-0000-0000FB270000}"/>
    <cellStyle name="Normal 2 7 15" xfId="9886" xr:uid="{00000000-0005-0000-0000-0000FC270000}"/>
    <cellStyle name="Normal 2 7 16" xfId="9887" xr:uid="{00000000-0005-0000-0000-0000FD270000}"/>
    <cellStyle name="Normal 2 7 17" xfId="9888" xr:uid="{00000000-0005-0000-0000-0000FE270000}"/>
    <cellStyle name="Normal 2 7 18" xfId="9889" xr:uid="{00000000-0005-0000-0000-0000FF270000}"/>
    <cellStyle name="Normal 2 7 19" xfId="9890" xr:uid="{00000000-0005-0000-0000-000000280000}"/>
    <cellStyle name="Normal 2 7 2" xfId="9891" xr:uid="{00000000-0005-0000-0000-000001280000}"/>
    <cellStyle name="Normal 2 7 2 10" xfId="9892" xr:uid="{00000000-0005-0000-0000-000002280000}"/>
    <cellStyle name="Normal 2 7 2 11" xfId="9893" xr:uid="{00000000-0005-0000-0000-000003280000}"/>
    <cellStyle name="Normal 2 7 2 12" xfId="9894" xr:uid="{00000000-0005-0000-0000-000004280000}"/>
    <cellStyle name="Normal 2 7 2 13" xfId="9895" xr:uid="{00000000-0005-0000-0000-000005280000}"/>
    <cellStyle name="Normal 2 7 2 14" xfId="9896" xr:uid="{00000000-0005-0000-0000-000006280000}"/>
    <cellStyle name="Normal 2 7 2 15" xfId="9897" xr:uid="{00000000-0005-0000-0000-000007280000}"/>
    <cellStyle name="Normal 2 7 2 16" xfId="9898" xr:uid="{00000000-0005-0000-0000-000008280000}"/>
    <cellStyle name="Normal 2 7 2 17" xfId="9899" xr:uid="{00000000-0005-0000-0000-000009280000}"/>
    <cellStyle name="Normal 2 7 2 2" xfId="9900" xr:uid="{00000000-0005-0000-0000-00000A280000}"/>
    <cellStyle name="Normal 2 7 2 3" xfId="9901" xr:uid="{00000000-0005-0000-0000-00000B280000}"/>
    <cellStyle name="Normal 2 7 2 4" xfId="9902" xr:uid="{00000000-0005-0000-0000-00000C280000}"/>
    <cellStyle name="Normal 2 7 2 5" xfId="9903" xr:uid="{00000000-0005-0000-0000-00000D280000}"/>
    <cellStyle name="Normal 2 7 2 6" xfId="9904" xr:uid="{00000000-0005-0000-0000-00000E280000}"/>
    <cellStyle name="Normal 2 7 2 7" xfId="9905" xr:uid="{00000000-0005-0000-0000-00000F280000}"/>
    <cellStyle name="Normal 2 7 2 8" xfId="9906" xr:uid="{00000000-0005-0000-0000-000010280000}"/>
    <cellStyle name="Normal 2 7 2 9" xfId="9907" xr:uid="{00000000-0005-0000-0000-000011280000}"/>
    <cellStyle name="Normal 2 7 20" xfId="9908" xr:uid="{00000000-0005-0000-0000-000012280000}"/>
    <cellStyle name="Normal 2 7 21" xfId="9909" xr:uid="{00000000-0005-0000-0000-000013280000}"/>
    <cellStyle name="Normal 2 7 22" xfId="9910" xr:uid="{00000000-0005-0000-0000-000014280000}"/>
    <cellStyle name="Normal 2 7 23" xfId="9911" xr:uid="{00000000-0005-0000-0000-000015280000}"/>
    <cellStyle name="Normal 2 7 24" xfId="9912" xr:uid="{00000000-0005-0000-0000-000016280000}"/>
    <cellStyle name="Normal 2 7 25" xfId="9913" xr:uid="{00000000-0005-0000-0000-000017280000}"/>
    <cellStyle name="Normal 2 7 26" xfId="9914" xr:uid="{00000000-0005-0000-0000-000018280000}"/>
    <cellStyle name="Normal 2 7 27" xfId="9915" xr:uid="{00000000-0005-0000-0000-000019280000}"/>
    <cellStyle name="Normal 2 7 28" xfId="9916" xr:uid="{00000000-0005-0000-0000-00001A280000}"/>
    <cellStyle name="Normal 2 7 29" xfId="9917" xr:uid="{00000000-0005-0000-0000-00001B280000}"/>
    <cellStyle name="Normal 2 7 3" xfId="9918" xr:uid="{00000000-0005-0000-0000-00001C280000}"/>
    <cellStyle name="Normal 2 7 3 10" xfId="9919" xr:uid="{00000000-0005-0000-0000-00001D280000}"/>
    <cellStyle name="Normal 2 7 3 11" xfId="9920" xr:uid="{00000000-0005-0000-0000-00001E280000}"/>
    <cellStyle name="Normal 2 7 3 12" xfId="9921" xr:uid="{00000000-0005-0000-0000-00001F280000}"/>
    <cellStyle name="Normal 2 7 3 13" xfId="9922" xr:uid="{00000000-0005-0000-0000-000020280000}"/>
    <cellStyle name="Normal 2 7 3 14" xfId="9923" xr:uid="{00000000-0005-0000-0000-000021280000}"/>
    <cellStyle name="Normal 2 7 3 15" xfId="9924" xr:uid="{00000000-0005-0000-0000-000022280000}"/>
    <cellStyle name="Normal 2 7 3 16" xfId="9925" xr:uid="{00000000-0005-0000-0000-000023280000}"/>
    <cellStyle name="Normal 2 7 3 17" xfId="9926" xr:uid="{00000000-0005-0000-0000-000024280000}"/>
    <cellStyle name="Normal 2 7 3 2" xfId="9927" xr:uid="{00000000-0005-0000-0000-000025280000}"/>
    <cellStyle name="Normal 2 7 3 3" xfId="9928" xr:uid="{00000000-0005-0000-0000-000026280000}"/>
    <cellStyle name="Normal 2 7 3 4" xfId="9929" xr:uid="{00000000-0005-0000-0000-000027280000}"/>
    <cellStyle name="Normal 2 7 3 5" xfId="9930" xr:uid="{00000000-0005-0000-0000-000028280000}"/>
    <cellStyle name="Normal 2 7 3 6" xfId="9931" xr:uid="{00000000-0005-0000-0000-000029280000}"/>
    <cellStyle name="Normal 2 7 3 7" xfId="9932" xr:uid="{00000000-0005-0000-0000-00002A280000}"/>
    <cellStyle name="Normal 2 7 3 8" xfId="9933" xr:uid="{00000000-0005-0000-0000-00002B280000}"/>
    <cellStyle name="Normal 2 7 3 9" xfId="9934" xr:uid="{00000000-0005-0000-0000-00002C280000}"/>
    <cellStyle name="Normal 2 7 30" xfId="9935" xr:uid="{00000000-0005-0000-0000-00002D280000}"/>
    <cellStyle name="Normal 2 7 31" xfId="9936" xr:uid="{00000000-0005-0000-0000-00002E280000}"/>
    <cellStyle name="Normal 2 7 32" xfId="9937" xr:uid="{00000000-0005-0000-0000-00002F280000}"/>
    <cellStyle name="Normal 2 7 33" xfId="9938" xr:uid="{00000000-0005-0000-0000-000030280000}"/>
    <cellStyle name="Normal 2 7 34" xfId="9939" xr:uid="{00000000-0005-0000-0000-000031280000}"/>
    <cellStyle name="Normal 2 7 35" xfId="9940" xr:uid="{00000000-0005-0000-0000-000032280000}"/>
    <cellStyle name="Normal 2 7 36" xfId="9941" xr:uid="{00000000-0005-0000-0000-000033280000}"/>
    <cellStyle name="Normal 2 7 37" xfId="9942" xr:uid="{00000000-0005-0000-0000-000034280000}"/>
    <cellStyle name="Normal 2 7 38" xfId="9943" xr:uid="{00000000-0005-0000-0000-000035280000}"/>
    <cellStyle name="Normal 2 7 39" xfId="9944" xr:uid="{00000000-0005-0000-0000-000036280000}"/>
    <cellStyle name="Normal 2 7 4" xfId="9945" xr:uid="{00000000-0005-0000-0000-000037280000}"/>
    <cellStyle name="Normal 2 7 40" xfId="9946" xr:uid="{00000000-0005-0000-0000-000038280000}"/>
    <cellStyle name="Normal 2 7 41" xfId="9947" xr:uid="{00000000-0005-0000-0000-000039280000}"/>
    <cellStyle name="Normal 2 7 42" xfId="9948" xr:uid="{00000000-0005-0000-0000-00003A280000}"/>
    <cellStyle name="Normal 2 7 43" xfId="9949" xr:uid="{00000000-0005-0000-0000-00003B280000}"/>
    <cellStyle name="Normal 2 7 44" xfId="9950" xr:uid="{00000000-0005-0000-0000-00003C280000}"/>
    <cellStyle name="Normal 2 7 45" xfId="9951" xr:uid="{00000000-0005-0000-0000-00003D280000}"/>
    <cellStyle name="Normal 2 7 46" xfId="9952" xr:uid="{00000000-0005-0000-0000-00003E280000}"/>
    <cellStyle name="Normal 2 7 47" xfId="9953" xr:uid="{00000000-0005-0000-0000-00003F280000}"/>
    <cellStyle name="Normal 2 7 48" xfId="9954" xr:uid="{00000000-0005-0000-0000-000040280000}"/>
    <cellStyle name="Normal 2 7 49" xfId="9955" xr:uid="{00000000-0005-0000-0000-000041280000}"/>
    <cellStyle name="Normal 2 7 5" xfId="9956" xr:uid="{00000000-0005-0000-0000-000042280000}"/>
    <cellStyle name="Normal 2 7 50" xfId="9957" xr:uid="{00000000-0005-0000-0000-000043280000}"/>
    <cellStyle name="Normal 2 7 51" xfId="9958" xr:uid="{00000000-0005-0000-0000-000044280000}"/>
    <cellStyle name="Normal 2 7 52" xfId="9959" xr:uid="{00000000-0005-0000-0000-000045280000}"/>
    <cellStyle name="Normal 2 7 53" xfId="9960" xr:uid="{00000000-0005-0000-0000-000046280000}"/>
    <cellStyle name="Normal 2 7 54" xfId="9961" xr:uid="{00000000-0005-0000-0000-000047280000}"/>
    <cellStyle name="Normal 2 7 55" xfId="9962" xr:uid="{00000000-0005-0000-0000-000048280000}"/>
    <cellStyle name="Normal 2 7 56" xfId="9963" xr:uid="{00000000-0005-0000-0000-000049280000}"/>
    <cellStyle name="Normal 2 7 57" xfId="9964" xr:uid="{00000000-0005-0000-0000-00004A280000}"/>
    <cellStyle name="Normal 2 7 58" xfId="9965" xr:uid="{00000000-0005-0000-0000-00004B280000}"/>
    <cellStyle name="Normal 2 7 59" xfId="9966" xr:uid="{00000000-0005-0000-0000-00004C280000}"/>
    <cellStyle name="Normal 2 7 6" xfId="9967" xr:uid="{00000000-0005-0000-0000-00004D280000}"/>
    <cellStyle name="Normal 2 7 60" xfId="9968" xr:uid="{00000000-0005-0000-0000-00004E280000}"/>
    <cellStyle name="Normal 2 7 61" xfId="9969" xr:uid="{00000000-0005-0000-0000-00004F280000}"/>
    <cellStyle name="Normal 2 7 62" xfId="9970" xr:uid="{00000000-0005-0000-0000-000050280000}"/>
    <cellStyle name="Normal 2 7 63" xfId="9971" xr:uid="{00000000-0005-0000-0000-000051280000}"/>
    <cellStyle name="Normal 2 7 64" xfId="9972" xr:uid="{00000000-0005-0000-0000-000052280000}"/>
    <cellStyle name="Normal 2 7 65" xfId="9973" xr:uid="{00000000-0005-0000-0000-000053280000}"/>
    <cellStyle name="Normal 2 7 66" xfId="9974" xr:uid="{00000000-0005-0000-0000-000054280000}"/>
    <cellStyle name="Normal 2 7 67" xfId="9975" xr:uid="{00000000-0005-0000-0000-000055280000}"/>
    <cellStyle name="Normal 2 7 68" xfId="9976" xr:uid="{00000000-0005-0000-0000-000056280000}"/>
    <cellStyle name="Normal 2 7 69" xfId="9977" xr:uid="{00000000-0005-0000-0000-000057280000}"/>
    <cellStyle name="Normal 2 7 7" xfId="9978" xr:uid="{00000000-0005-0000-0000-000058280000}"/>
    <cellStyle name="Normal 2 7 70" xfId="9979" xr:uid="{00000000-0005-0000-0000-000059280000}"/>
    <cellStyle name="Normal 2 7 71" xfId="9980" xr:uid="{00000000-0005-0000-0000-00005A280000}"/>
    <cellStyle name="Normal 2 7 72" xfId="9981" xr:uid="{00000000-0005-0000-0000-00005B280000}"/>
    <cellStyle name="Normal 2 7 73" xfId="9982" xr:uid="{00000000-0005-0000-0000-00005C280000}"/>
    <cellStyle name="Normal 2 7 74" xfId="9983" xr:uid="{00000000-0005-0000-0000-00005D280000}"/>
    <cellStyle name="Normal 2 7 75" xfId="9984" xr:uid="{00000000-0005-0000-0000-00005E280000}"/>
    <cellStyle name="Normal 2 7 76" xfId="9985" xr:uid="{00000000-0005-0000-0000-00005F280000}"/>
    <cellStyle name="Normal 2 7 77" xfId="9986" xr:uid="{00000000-0005-0000-0000-000060280000}"/>
    <cellStyle name="Normal 2 7 78" xfId="9987" xr:uid="{00000000-0005-0000-0000-000061280000}"/>
    <cellStyle name="Normal 2 7 8" xfId="9988" xr:uid="{00000000-0005-0000-0000-000062280000}"/>
    <cellStyle name="Normal 2 7 9" xfId="9989" xr:uid="{00000000-0005-0000-0000-000063280000}"/>
    <cellStyle name="Normal 2 70" xfId="9990" xr:uid="{00000000-0005-0000-0000-000064280000}"/>
    <cellStyle name="Normal 2 70 2" xfId="9991" xr:uid="{00000000-0005-0000-0000-000065280000}"/>
    <cellStyle name="Normal 2 71" xfId="9992" xr:uid="{00000000-0005-0000-0000-000066280000}"/>
    <cellStyle name="Normal 2 72" xfId="9993" xr:uid="{00000000-0005-0000-0000-000067280000}"/>
    <cellStyle name="Normal 2 73" xfId="9994" xr:uid="{00000000-0005-0000-0000-000068280000}"/>
    <cellStyle name="Normal 2 74" xfId="9995" xr:uid="{00000000-0005-0000-0000-000069280000}"/>
    <cellStyle name="Normal 2 75" xfId="9996" xr:uid="{00000000-0005-0000-0000-00006A280000}"/>
    <cellStyle name="Normal 2 76" xfId="9997" xr:uid="{00000000-0005-0000-0000-00006B280000}"/>
    <cellStyle name="Normal 2 77" xfId="9998" xr:uid="{00000000-0005-0000-0000-00006C280000}"/>
    <cellStyle name="Normal 2 78" xfId="9999" xr:uid="{00000000-0005-0000-0000-00006D280000}"/>
    <cellStyle name="Normal 2 79" xfId="10000" xr:uid="{00000000-0005-0000-0000-00006E280000}"/>
    <cellStyle name="Normal 2 8" xfId="10001" xr:uid="{00000000-0005-0000-0000-00006F280000}"/>
    <cellStyle name="Normal 2 8 10" xfId="10002" xr:uid="{00000000-0005-0000-0000-000070280000}"/>
    <cellStyle name="Normal 2 8 11" xfId="10003" xr:uid="{00000000-0005-0000-0000-000071280000}"/>
    <cellStyle name="Normal 2 8 12" xfId="10004" xr:uid="{00000000-0005-0000-0000-000072280000}"/>
    <cellStyle name="Normal 2 8 13" xfId="10005" xr:uid="{00000000-0005-0000-0000-000073280000}"/>
    <cellStyle name="Normal 2 8 14" xfId="10006" xr:uid="{00000000-0005-0000-0000-000074280000}"/>
    <cellStyle name="Normal 2 8 15" xfId="10007" xr:uid="{00000000-0005-0000-0000-000075280000}"/>
    <cellStyle name="Normal 2 8 16" xfId="10008" xr:uid="{00000000-0005-0000-0000-000076280000}"/>
    <cellStyle name="Normal 2 8 17" xfId="10009" xr:uid="{00000000-0005-0000-0000-000077280000}"/>
    <cellStyle name="Normal 2 8 18" xfId="10010" xr:uid="{00000000-0005-0000-0000-000078280000}"/>
    <cellStyle name="Normal 2 8 19" xfId="10011" xr:uid="{00000000-0005-0000-0000-000079280000}"/>
    <cellStyle name="Normal 2 8 2" xfId="10012" xr:uid="{00000000-0005-0000-0000-00007A280000}"/>
    <cellStyle name="Normal 2 8 2 10" xfId="10013" xr:uid="{00000000-0005-0000-0000-00007B280000}"/>
    <cellStyle name="Normal 2 8 2 11" xfId="10014" xr:uid="{00000000-0005-0000-0000-00007C280000}"/>
    <cellStyle name="Normal 2 8 2 12" xfId="10015" xr:uid="{00000000-0005-0000-0000-00007D280000}"/>
    <cellStyle name="Normal 2 8 2 13" xfId="10016" xr:uid="{00000000-0005-0000-0000-00007E280000}"/>
    <cellStyle name="Normal 2 8 2 14" xfId="10017" xr:uid="{00000000-0005-0000-0000-00007F280000}"/>
    <cellStyle name="Normal 2 8 2 15" xfId="10018" xr:uid="{00000000-0005-0000-0000-000080280000}"/>
    <cellStyle name="Normal 2 8 2 16" xfId="10019" xr:uid="{00000000-0005-0000-0000-000081280000}"/>
    <cellStyle name="Normal 2 8 2 17" xfId="10020" xr:uid="{00000000-0005-0000-0000-000082280000}"/>
    <cellStyle name="Normal 2 8 2 2" xfId="10021" xr:uid="{00000000-0005-0000-0000-000083280000}"/>
    <cellStyle name="Normal 2 8 2 3" xfId="10022" xr:uid="{00000000-0005-0000-0000-000084280000}"/>
    <cellStyle name="Normal 2 8 2 4" xfId="10023" xr:uid="{00000000-0005-0000-0000-000085280000}"/>
    <cellStyle name="Normal 2 8 2 5" xfId="10024" xr:uid="{00000000-0005-0000-0000-000086280000}"/>
    <cellStyle name="Normal 2 8 2 6" xfId="10025" xr:uid="{00000000-0005-0000-0000-000087280000}"/>
    <cellStyle name="Normal 2 8 2 7" xfId="10026" xr:uid="{00000000-0005-0000-0000-000088280000}"/>
    <cellStyle name="Normal 2 8 2 8" xfId="10027" xr:uid="{00000000-0005-0000-0000-000089280000}"/>
    <cellStyle name="Normal 2 8 2 9" xfId="10028" xr:uid="{00000000-0005-0000-0000-00008A280000}"/>
    <cellStyle name="Normal 2 8 20" xfId="10029" xr:uid="{00000000-0005-0000-0000-00008B280000}"/>
    <cellStyle name="Normal 2 8 21" xfId="10030" xr:uid="{00000000-0005-0000-0000-00008C280000}"/>
    <cellStyle name="Normal 2 8 22" xfId="10031" xr:uid="{00000000-0005-0000-0000-00008D280000}"/>
    <cellStyle name="Normal 2 8 23" xfId="10032" xr:uid="{00000000-0005-0000-0000-00008E280000}"/>
    <cellStyle name="Normal 2 8 24" xfId="10033" xr:uid="{00000000-0005-0000-0000-00008F280000}"/>
    <cellStyle name="Normal 2 8 25" xfId="10034" xr:uid="{00000000-0005-0000-0000-000090280000}"/>
    <cellStyle name="Normal 2 8 26" xfId="10035" xr:uid="{00000000-0005-0000-0000-000091280000}"/>
    <cellStyle name="Normal 2 8 27" xfId="10036" xr:uid="{00000000-0005-0000-0000-000092280000}"/>
    <cellStyle name="Normal 2 8 28" xfId="10037" xr:uid="{00000000-0005-0000-0000-000093280000}"/>
    <cellStyle name="Normal 2 8 29" xfId="10038" xr:uid="{00000000-0005-0000-0000-000094280000}"/>
    <cellStyle name="Normal 2 8 3" xfId="10039" xr:uid="{00000000-0005-0000-0000-000095280000}"/>
    <cellStyle name="Normal 2 8 3 10" xfId="10040" xr:uid="{00000000-0005-0000-0000-000096280000}"/>
    <cellStyle name="Normal 2 8 3 11" xfId="10041" xr:uid="{00000000-0005-0000-0000-000097280000}"/>
    <cellStyle name="Normal 2 8 3 12" xfId="10042" xr:uid="{00000000-0005-0000-0000-000098280000}"/>
    <cellStyle name="Normal 2 8 3 13" xfId="10043" xr:uid="{00000000-0005-0000-0000-000099280000}"/>
    <cellStyle name="Normal 2 8 3 14" xfId="10044" xr:uid="{00000000-0005-0000-0000-00009A280000}"/>
    <cellStyle name="Normal 2 8 3 15" xfId="10045" xr:uid="{00000000-0005-0000-0000-00009B280000}"/>
    <cellStyle name="Normal 2 8 3 16" xfId="10046" xr:uid="{00000000-0005-0000-0000-00009C280000}"/>
    <cellStyle name="Normal 2 8 3 17" xfId="10047" xr:uid="{00000000-0005-0000-0000-00009D280000}"/>
    <cellStyle name="Normal 2 8 3 2" xfId="10048" xr:uid="{00000000-0005-0000-0000-00009E280000}"/>
    <cellStyle name="Normal 2 8 3 3" xfId="10049" xr:uid="{00000000-0005-0000-0000-00009F280000}"/>
    <cellStyle name="Normal 2 8 3 4" xfId="10050" xr:uid="{00000000-0005-0000-0000-0000A0280000}"/>
    <cellStyle name="Normal 2 8 3 5" xfId="10051" xr:uid="{00000000-0005-0000-0000-0000A1280000}"/>
    <cellStyle name="Normal 2 8 3 6" xfId="10052" xr:uid="{00000000-0005-0000-0000-0000A2280000}"/>
    <cellStyle name="Normal 2 8 3 7" xfId="10053" xr:uid="{00000000-0005-0000-0000-0000A3280000}"/>
    <cellStyle name="Normal 2 8 3 8" xfId="10054" xr:uid="{00000000-0005-0000-0000-0000A4280000}"/>
    <cellStyle name="Normal 2 8 3 9" xfId="10055" xr:uid="{00000000-0005-0000-0000-0000A5280000}"/>
    <cellStyle name="Normal 2 8 30" xfId="10056" xr:uid="{00000000-0005-0000-0000-0000A6280000}"/>
    <cellStyle name="Normal 2 8 31" xfId="10057" xr:uid="{00000000-0005-0000-0000-0000A7280000}"/>
    <cellStyle name="Normal 2 8 32" xfId="10058" xr:uid="{00000000-0005-0000-0000-0000A8280000}"/>
    <cellStyle name="Normal 2 8 33" xfId="10059" xr:uid="{00000000-0005-0000-0000-0000A9280000}"/>
    <cellStyle name="Normal 2 8 34" xfId="10060" xr:uid="{00000000-0005-0000-0000-0000AA280000}"/>
    <cellStyle name="Normal 2 8 35" xfId="10061" xr:uid="{00000000-0005-0000-0000-0000AB280000}"/>
    <cellStyle name="Normal 2 8 36" xfId="10062" xr:uid="{00000000-0005-0000-0000-0000AC280000}"/>
    <cellStyle name="Normal 2 8 37" xfId="10063" xr:uid="{00000000-0005-0000-0000-0000AD280000}"/>
    <cellStyle name="Normal 2 8 38" xfId="10064" xr:uid="{00000000-0005-0000-0000-0000AE280000}"/>
    <cellStyle name="Normal 2 8 39" xfId="10065" xr:uid="{00000000-0005-0000-0000-0000AF280000}"/>
    <cellStyle name="Normal 2 8 4" xfId="10066" xr:uid="{00000000-0005-0000-0000-0000B0280000}"/>
    <cellStyle name="Normal 2 8 40" xfId="10067" xr:uid="{00000000-0005-0000-0000-0000B1280000}"/>
    <cellStyle name="Normal 2 8 41" xfId="10068" xr:uid="{00000000-0005-0000-0000-0000B2280000}"/>
    <cellStyle name="Normal 2 8 42" xfId="10069" xr:uid="{00000000-0005-0000-0000-0000B3280000}"/>
    <cellStyle name="Normal 2 8 43" xfId="10070" xr:uid="{00000000-0005-0000-0000-0000B4280000}"/>
    <cellStyle name="Normal 2 8 44" xfId="10071" xr:uid="{00000000-0005-0000-0000-0000B5280000}"/>
    <cellStyle name="Normal 2 8 45" xfId="10072" xr:uid="{00000000-0005-0000-0000-0000B6280000}"/>
    <cellStyle name="Normal 2 8 46" xfId="10073" xr:uid="{00000000-0005-0000-0000-0000B7280000}"/>
    <cellStyle name="Normal 2 8 47" xfId="10074" xr:uid="{00000000-0005-0000-0000-0000B8280000}"/>
    <cellStyle name="Normal 2 8 48" xfId="10075" xr:uid="{00000000-0005-0000-0000-0000B9280000}"/>
    <cellStyle name="Normal 2 8 49" xfId="10076" xr:uid="{00000000-0005-0000-0000-0000BA280000}"/>
    <cellStyle name="Normal 2 8 5" xfId="10077" xr:uid="{00000000-0005-0000-0000-0000BB280000}"/>
    <cellStyle name="Normal 2 8 50" xfId="10078" xr:uid="{00000000-0005-0000-0000-0000BC280000}"/>
    <cellStyle name="Normal 2 8 51" xfId="10079" xr:uid="{00000000-0005-0000-0000-0000BD280000}"/>
    <cellStyle name="Normal 2 8 52" xfId="10080" xr:uid="{00000000-0005-0000-0000-0000BE280000}"/>
    <cellStyle name="Normal 2 8 53" xfId="10081" xr:uid="{00000000-0005-0000-0000-0000BF280000}"/>
    <cellStyle name="Normal 2 8 54" xfId="10082" xr:uid="{00000000-0005-0000-0000-0000C0280000}"/>
    <cellStyle name="Normal 2 8 55" xfId="10083" xr:uid="{00000000-0005-0000-0000-0000C1280000}"/>
    <cellStyle name="Normal 2 8 56" xfId="10084" xr:uid="{00000000-0005-0000-0000-0000C2280000}"/>
    <cellStyle name="Normal 2 8 57" xfId="10085" xr:uid="{00000000-0005-0000-0000-0000C3280000}"/>
    <cellStyle name="Normal 2 8 58" xfId="10086" xr:uid="{00000000-0005-0000-0000-0000C4280000}"/>
    <cellStyle name="Normal 2 8 59" xfId="10087" xr:uid="{00000000-0005-0000-0000-0000C5280000}"/>
    <cellStyle name="Normal 2 8 6" xfId="10088" xr:uid="{00000000-0005-0000-0000-0000C6280000}"/>
    <cellStyle name="Normal 2 8 60" xfId="10089" xr:uid="{00000000-0005-0000-0000-0000C7280000}"/>
    <cellStyle name="Normal 2 8 61" xfId="10090" xr:uid="{00000000-0005-0000-0000-0000C8280000}"/>
    <cellStyle name="Normal 2 8 62" xfId="10091" xr:uid="{00000000-0005-0000-0000-0000C9280000}"/>
    <cellStyle name="Normal 2 8 63" xfId="10092" xr:uid="{00000000-0005-0000-0000-0000CA280000}"/>
    <cellStyle name="Normal 2 8 64" xfId="10093" xr:uid="{00000000-0005-0000-0000-0000CB280000}"/>
    <cellStyle name="Normal 2 8 65" xfId="10094" xr:uid="{00000000-0005-0000-0000-0000CC280000}"/>
    <cellStyle name="Normal 2 8 66" xfId="10095" xr:uid="{00000000-0005-0000-0000-0000CD280000}"/>
    <cellStyle name="Normal 2 8 67" xfId="10096" xr:uid="{00000000-0005-0000-0000-0000CE280000}"/>
    <cellStyle name="Normal 2 8 68" xfId="10097" xr:uid="{00000000-0005-0000-0000-0000CF280000}"/>
    <cellStyle name="Normal 2 8 69" xfId="10098" xr:uid="{00000000-0005-0000-0000-0000D0280000}"/>
    <cellStyle name="Normal 2 8 7" xfId="10099" xr:uid="{00000000-0005-0000-0000-0000D1280000}"/>
    <cellStyle name="Normal 2 8 70" xfId="10100" xr:uid="{00000000-0005-0000-0000-0000D2280000}"/>
    <cellStyle name="Normal 2 8 71" xfId="10101" xr:uid="{00000000-0005-0000-0000-0000D3280000}"/>
    <cellStyle name="Normal 2 8 72" xfId="10102" xr:uid="{00000000-0005-0000-0000-0000D4280000}"/>
    <cellStyle name="Normal 2 8 73" xfId="10103" xr:uid="{00000000-0005-0000-0000-0000D5280000}"/>
    <cellStyle name="Normal 2 8 74" xfId="10104" xr:uid="{00000000-0005-0000-0000-0000D6280000}"/>
    <cellStyle name="Normal 2 8 75" xfId="10105" xr:uid="{00000000-0005-0000-0000-0000D7280000}"/>
    <cellStyle name="Normal 2 8 76" xfId="10106" xr:uid="{00000000-0005-0000-0000-0000D8280000}"/>
    <cellStyle name="Normal 2 8 77" xfId="10107" xr:uid="{00000000-0005-0000-0000-0000D9280000}"/>
    <cellStyle name="Normal 2 8 78" xfId="10108" xr:uid="{00000000-0005-0000-0000-0000DA280000}"/>
    <cellStyle name="Normal 2 8 8" xfId="10109" xr:uid="{00000000-0005-0000-0000-0000DB280000}"/>
    <cellStyle name="Normal 2 8 9" xfId="10110" xr:uid="{00000000-0005-0000-0000-0000DC280000}"/>
    <cellStyle name="Normal 2 80" xfId="10111" xr:uid="{00000000-0005-0000-0000-0000DD280000}"/>
    <cellStyle name="Normal 2 81" xfId="10112" xr:uid="{00000000-0005-0000-0000-0000DE280000}"/>
    <cellStyle name="Normal 2 82" xfId="10113" xr:uid="{00000000-0005-0000-0000-0000DF280000}"/>
    <cellStyle name="Normal 2 83" xfId="10114" xr:uid="{00000000-0005-0000-0000-0000E0280000}"/>
    <cellStyle name="Normal 2 84" xfId="10115" xr:uid="{00000000-0005-0000-0000-0000E1280000}"/>
    <cellStyle name="Normal 2 85" xfId="10116" xr:uid="{00000000-0005-0000-0000-0000E2280000}"/>
    <cellStyle name="Normal 2 86" xfId="10117" xr:uid="{00000000-0005-0000-0000-0000E3280000}"/>
    <cellStyle name="Normal 2 87" xfId="10118" xr:uid="{00000000-0005-0000-0000-0000E4280000}"/>
    <cellStyle name="Normal 2 88" xfId="10119" xr:uid="{00000000-0005-0000-0000-0000E5280000}"/>
    <cellStyle name="Normal 2 89" xfId="10120" xr:uid="{00000000-0005-0000-0000-0000E6280000}"/>
    <cellStyle name="Normal 2 9" xfId="10121" xr:uid="{00000000-0005-0000-0000-0000E7280000}"/>
    <cellStyle name="Normal 2 9 10" xfId="10122" xr:uid="{00000000-0005-0000-0000-0000E8280000}"/>
    <cellStyle name="Normal 2 9 11" xfId="10123" xr:uid="{00000000-0005-0000-0000-0000E9280000}"/>
    <cellStyle name="Normal 2 9 12" xfId="10124" xr:uid="{00000000-0005-0000-0000-0000EA280000}"/>
    <cellStyle name="Normal 2 9 13" xfId="10125" xr:uid="{00000000-0005-0000-0000-0000EB280000}"/>
    <cellStyle name="Normal 2 9 14" xfId="10126" xr:uid="{00000000-0005-0000-0000-0000EC280000}"/>
    <cellStyle name="Normal 2 9 15" xfId="10127" xr:uid="{00000000-0005-0000-0000-0000ED280000}"/>
    <cellStyle name="Normal 2 9 16" xfId="10128" xr:uid="{00000000-0005-0000-0000-0000EE280000}"/>
    <cellStyle name="Normal 2 9 17" xfId="10129" xr:uid="{00000000-0005-0000-0000-0000EF280000}"/>
    <cellStyle name="Normal 2 9 18" xfId="10130" xr:uid="{00000000-0005-0000-0000-0000F0280000}"/>
    <cellStyle name="Normal 2 9 19" xfId="10131" xr:uid="{00000000-0005-0000-0000-0000F1280000}"/>
    <cellStyle name="Normal 2 9 2" xfId="10132" xr:uid="{00000000-0005-0000-0000-0000F2280000}"/>
    <cellStyle name="Normal 2 9 2 10" xfId="10133" xr:uid="{00000000-0005-0000-0000-0000F3280000}"/>
    <cellStyle name="Normal 2 9 2 11" xfId="10134" xr:uid="{00000000-0005-0000-0000-0000F4280000}"/>
    <cellStyle name="Normal 2 9 2 12" xfId="10135" xr:uid="{00000000-0005-0000-0000-0000F5280000}"/>
    <cellStyle name="Normal 2 9 2 13" xfId="10136" xr:uid="{00000000-0005-0000-0000-0000F6280000}"/>
    <cellStyle name="Normal 2 9 2 14" xfId="10137" xr:uid="{00000000-0005-0000-0000-0000F7280000}"/>
    <cellStyle name="Normal 2 9 2 15" xfId="10138" xr:uid="{00000000-0005-0000-0000-0000F8280000}"/>
    <cellStyle name="Normal 2 9 2 16" xfId="10139" xr:uid="{00000000-0005-0000-0000-0000F9280000}"/>
    <cellStyle name="Normal 2 9 2 17" xfId="10140" xr:uid="{00000000-0005-0000-0000-0000FA280000}"/>
    <cellStyle name="Normal 2 9 2 2" xfId="10141" xr:uid="{00000000-0005-0000-0000-0000FB280000}"/>
    <cellStyle name="Normal 2 9 2 3" xfId="10142" xr:uid="{00000000-0005-0000-0000-0000FC280000}"/>
    <cellStyle name="Normal 2 9 2 4" xfId="10143" xr:uid="{00000000-0005-0000-0000-0000FD280000}"/>
    <cellStyle name="Normal 2 9 2 5" xfId="10144" xr:uid="{00000000-0005-0000-0000-0000FE280000}"/>
    <cellStyle name="Normal 2 9 2 6" xfId="10145" xr:uid="{00000000-0005-0000-0000-0000FF280000}"/>
    <cellStyle name="Normal 2 9 2 7" xfId="10146" xr:uid="{00000000-0005-0000-0000-000000290000}"/>
    <cellStyle name="Normal 2 9 2 8" xfId="10147" xr:uid="{00000000-0005-0000-0000-000001290000}"/>
    <cellStyle name="Normal 2 9 2 9" xfId="10148" xr:uid="{00000000-0005-0000-0000-000002290000}"/>
    <cellStyle name="Normal 2 9 20" xfId="10149" xr:uid="{00000000-0005-0000-0000-000003290000}"/>
    <cellStyle name="Normal 2 9 21" xfId="10150" xr:uid="{00000000-0005-0000-0000-000004290000}"/>
    <cellStyle name="Normal 2 9 22" xfId="10151" xr:uid="{00000000-0005-0000-0000-000005290000}"/>
    <cellStyle name="Normal 2 9 23" xfId="10152" xr:uid="{00000000-0005-0000-0000-000006290000}"/>
    <cellStyle name="Normal 2 9 24" xfId="10153" xr:uid="{00000000-0005-0000-0000-000007290000}"/>
    <cellStyle name="Normal 2 9 25" xfId="10154" xr:uid="{00000000-0005-0000-0000-000008290000}"/>
    <cellStyle name="Normal 2 9 26" xfId="10155" xr:uid="{00000000-0005-0000-0000-000009290000}"/>
    <cellStyle name="Normal 2 9 27" xfId="10156" xr:uid="{00000000-0005-0000-0000-00000A290000}"/>
    <cellStyle name="Normal 2 9 28" xfId="10157" xr:uid="{00000000-0005-0000-0000-00000B290000}"/>
    <cellStyle name="Normal 2 9 29" xfId="10158" xr:uid="{00000000-0005-0000-0000-00000C290000}"/>
    <cellStyle name="Normal 2 9 3" xfId="10159" xr:uid="{00000000-0005-0000-0000-00000D290000}"/>
    <cellStyle name="Normal 2 9 3 10" xfId="10160" xr:uid="{00000000-0005-0000-0000-00000E290000}"/>
    <cellStyle name="Normal 2 9 3 11" xfId="10161" xr:uid="{00000000-0005-0000-0000-00000F290000}"/>
    <cellStyle name="Normal 2 9 3 12" xfId="10162" xr:uid="{00000000-0005-0000-0000-000010290000}"/>
    <cellStyle name="Normal 2 9 3 13" xfId="10163" xr:uid="{00000000-0005-0000-0000-000011290000}"/>
    <cellStyle name="Normal 2 9 3 14" xfId="10164" xr:uid="{00000000-0005-0000-0000-000012290000}"/>
    <cellStyle name="Normal 2 9 3 15" xfId="10165" xr:uid="{00000000-0005-0000-0000-000013290000}"/>
    <cellStyle name="Normal 2 9 3 16" xfId="10166" xr:uid="{00000000-0005-0000-0000-000014290000}"/>
    <cellStyle name="Normal 2 9 3 17" xfId="10167" xr:uid="{00000000-0005-0000-0000-000015290000}"/>
    <cellStyle name="Normal 2 9 3 2" xfId="10168" xr:uid="{00000000-0005-0000-0000-000016290000}"/>
    <cellStyle name="Normal 2 9 3 3" xfId="10169" xr:uid="{00000000-0005-0000-0000-000017290000}"/>
    <cellStyle name="Normal 2 9 3 4" xfId="10170" xr:uid="{00000000-0005-0000-0000-000018290000}"/>
    <cellStyle name="Normal 2 9 3 5" xfId="10171" xr:uid="{00000000-0005-0000-0000-000019290000}"/>
    <cellStyle name="Normal 2 9 3 6" xfId="10172" xr:uid="{00000000-0005-0000-0000-00001A290000}"/>
    <cellStyle name="Normal 2 9 3 7" xfId="10173" xr:uid="{00000000-0005-0000-0000-00001B290000}"/>
    <cellStyle name="Normal 2 9 3 8" xfId="10174" xr:uid="{00000000-0005-0000-0000-00001C290000}"/>
    <cellStyle name="Normal 2 9 3 9" xfId="10175" xr:uid="{00000000-0005-0000-0000-00001D290000}"/>
    <cellStyle name="Normal 2 9 30" xfId="10176" xr:uid="{00000000-0005-0000-0000-00001E290000}"/>
    <cellStyle name="Normal 2 9 31" xfId="10177" xr:uid="{00000000-0005-0000-0000-00001F290000}"/>
    <cellStyle name="Normal 2 9 32" xfId="10178" xr:uid="{00000000-0005-0000-0000-000020290000}"/>
    <cellStyle name="Normal 2 9 33" xfId="10179" xr:uid="{00000000-0005-0000-0000-000021290000}"/>
    <cellStyle name="Normal 2 9 34" xfId="10180" xr:uid="{00000000-0005-0000-0000-000022290000}"/>
    <cellStyle name="Normal 2 9 35" xfId="10181" xr:uid="{00000000-0005-0000-0000-000023290000}"/>
    <cellStyle name="Normal 2 9 36" xfId="10182" xr:uid="{00000000-0005-0000-0000-000024290000}"/>
    <cellStyle name="Normal 2 9 37" xfId="10183" xr:uid="{00000000-0005-0000-0000-000025290000}"/>
    <cellStyle name="Normal 2 9 38" xfId="10184" xr:uid="{00000000-0005-0000-0000-000026290000}"/>
    <cellStyle name="Normal 2 9 39" xfId="10185" xr:uid="{00000000-0005-0000-0000-000027290000}"/>
    <cellStyle name="Normal 2 9 4" xfId="10186" xr:uid="{00000000-0005-0000-0000-000028290000}"/>
    <cellStyle name="Normal 2 9 40" xfId="10187" xr:uid="{00000000-0005-0000-0000-000029290000}"/>
    <cellStyle name="Normal 2 9 41" xfId="10188" xr:uid="{00000000-0005-0000-0000-00002A290000}"/>
    <cellStyle name="Normal 2 9 42" xfId="10189" xr:uid="{00000000-0005-0000-0000-00002B290000}"/>
    <cellStyle name="Normal 2 9 43" xfId="10190" xr:uid="{00000000-0005-0000-0000-00002C290000}"/>
    <cellStyle name="Normal 2 9 44" xfId="10191" xr:uid="{00000000-0005-0000-0000-00002D290000}"/>
    <cellStyle name="Normal 2 9 45" xfId="10192" xr:uid="{00000000-0005-0000-0000-00002E290000}"/>
    <cellStyle name="Normal 2 9 46" xfId="10193" xr:uid="{00000000-0005-0000-0000-00002F290000}"/>
    <cellStyle name="Normal 2 9 47" xfId="10194" xr:uid="{00000000-0005-0000-0000-000030290000}"/>
    <cellStyle name="Normal 2 9 48" xfId="10195" xr:uid="{00000000-0005-0000-0000-000031290000}"/>
    <cellStyle name="Normal 2 9 49" xfId="10196" xr:uid="{00000000-0005-0000-0000-000032290000}"/>
    <cellStyle name="Normal 2 9 5" xfId="10197" xr:uid="{00000000-0005-0000-0000-000033290000}"/>
    <cellStyle name="Normal 2 9 50" xfId="10198" xr:uid="{00000000-0005-0000-0000-000034290000}"/>
    <cellStyle name="Normal 2 9 51" xfId="10199" xr:uid="{00000000-0005-0000-0000-000035290000}"/>
    <cellStyle name="Normal 2 9 52" xfId="10200" xr:uid="{00000000-0005-0000-0000-000036290000}"/>
    <cellStyle name="Normal 2 9 53" xfId="10201" xr:uid="{00000000-0005-0000-0000-000037290000}"/>
    <cellStyle name="Normal 2 9 54" xfId="10202" xr:uid="{00000000-0005-0000-0000-000038290000}"/>
    <cellStyle name="Normal 2 9 55" xfId="10203" xr:uid="{00000000-0005-0000-0000-000039290000}"/>
    <cellStyle name="Normal 2 9 56" xfId="10204" xr:uid="{00000000-0005-0000-0000-00003A290000}"/>
    <cellStyle name="Normal 2 9 57" xfId="10205" xr:uid="{00000000-0005-0000-0000-00003B290000}"/>
    <cellStyle name="Normal 2 9 58" xfId="10206" xr:uid="{00000000-0005-0000-0000-00003C290000}"/>
    <cellStyle name="Normal 2 9 59" xfId="10207" xr:uid="{00000000-0005-0000-0000-00003D290000}"/>
    <cellStyle name="Normal 2 9 6" xfId="10208" xr:uid="{00000000-0005-0000-0000-00003E290000}"/>
    <cellStyle name="Normal 2 9 60" xfId="10209" xr:uid="{00000000-0005-0000-0000-00003F290000}"/>
    <cellStyle name="Normal 2 9 61" xfId="10210" xr:uid="{00000000-0005-0000-0000-000040290000}"/>
    <cellStyle name="Normal 2 9 62" xfId="10211" xr:uid="{00000000-0005-0000-0000-000041290000}"/>
    <cellStyle name="Normal 2 9 63" xfId="10212" xr:uid="{00000000-0005-0000-0000-000042290000}"/>
    <cellStyle name="Normal 2 9 64" xfId="10213" xr:uid="{00000000-0005-0000-0000-000043290000}"/>
    <cellStyle name="Normal 2 9 65" xfId="10214" xr:uid="{00000000-0005-0000-0000-000044290000}"/>
    <cellStyle name="Normal 2 9 66" xfId="10215" xr:uid="{00000000-0005-0000-0000-000045290000}"/>
    <cellStyle name="Normal 2 9 67" xfId="10216" xr:uid="{00000000-0005-0000-0000-000046290000}"/>
    <cellStyle name="Normal 2 9 68" xfId="10217" xr:uid="{00000000-0005-0000-0000-000047290000}"/>
    <cellStyle name="Normal 2 9 69" xfId="10218" xr:uid="{00000000-0005-0000-0000-000048290000}"/>
    <cellStyle name="Normal 2 9 7" xfId="10219" xr:uid="{00000000-0005-0000-0000-000049290000}"/>
    <cellStyle name="Normal 2 9 70" xfId="10220" xr:uid="{00000000-0005-0000-0000-00004A290000}"/>
    <cellStyle name="Normal 2 9 71" xfId="10221" xr:uid="{00000000-0005-0000-0000-00004B290000}"/>
    <cellStyle name="Normal 2 9 72" xfId="10222" xr:uid="{00000000-0005-0000-0000-00004C290000}"/>
    <cellStyle name="Normal 2 9 73" xfId="10223" xr:uid="{00000000-0005-0000-0000-00004D290000}"/>
    <cellStyle name="Normal 2 9 74" xfId="10224" xr:uid="{00000000-0005-0000-0000-00004E290000}"/>
    <cellStyle name="Normal 2 9 75" xfId="10225" xr:uid="{00000000-0005-0000-0000-00004F290000}"/>
    <cellStyle name="Normal 2 9 76" xfId="10226" xr:uid="{00000000-0005-0000-0000-000050290000}"/>
    <cellStyle name="Normal 2 9 77" xfId="10227" xr:uid="{00000000-0005-0000-0000-000051290000}"/>
    <cellStyle name="Normal 2 9 78" xfId="10228" xr:uid="{00000000-0005-0000-0000-000052290000}"/>
    <cellStyle name="Normal 2 9 8" xfId="10229" xr:uid="{00000000-0005-0000-0000-000053290000}"/>
    <cellStyle name="Normal 2 9 9" xfId="10230" xr:uid="{00000000-0005-0000-0000-000054290000}"/>
    <cellStyle name="Normal 2 90" xfId="10231" xr:uid="{00000000-0005-0000-0000-000055290000}"/>
    <cellStyle name="Normal 2 91" xfId="10232" xr:uid="{00000000-0005-0000-0000-000056290000}"/>
    <cellStyle name="Normal 2 92" xfId="10233" xr:uid="{00000000-0005-0000-0000-000057290000}"/>
    <cellStyle name="Normal 2 93" xfId="10234" xr:uid="{00000000-0005-0000-0000-000058290000}"/>
    <cellStyle name="Normal 2 94" xfId="10235" xr:uid="{00000000-0005-0000-0000-000059290000}"/>
    <cellStyle name="Normal 2 95" xfId="10236" xr:uid="{00000000-0005-0000-0000-00005A290000}"/>
    <cellStyle name="Normal 2 96" xfId="10237" xr:uid="{00000000-0005-0000-0000-00005B290000}"/>
    <cellStyle name="Normal 2 97" xfId="10238" xr:uid="{00000000-0005-0000-0000-00005C290000}"/>
    <cellStyle name="Normal 2 98" xfId="10239" xr:uid="{00000000-0005-0000-0000-00005D290000}"/>
    <cellStyle name="Normal 2 99" xfId="10240" xr:uid="{00000000-0005-0000-0000-00005E290000}"/>
    <cellStyle name="Normal 2_1.3s Accounting C Costs Scots" xfId="10241" xr:uid="{00000000-0005-0000-0000-00005F290000}"/>
    <cellStyle name="Normal 20" xfId="10242" xr:uid="{00000000-0005-0000-0000-000060290000}"/>
    <cellStyle name="Normal 20 10" xfId="10243" xr:uid="{00000000-0005-0000-0000-000061290000}"/>
    <cellStyle name="Normal 20 10 2" xfId="10244" xr:uid="{00000000-0005-0000-0000-000062290000}"/>
    <cellStyle name="Normal 20 11" xfId="10245" xr:uid="{00000000-0005-0000-0000-000063290000}"/>
    <cellStyle name="Normal 20 11 2" xfId="10246" xr:uid="{00000000-0005-0000-0000-000064290000}"/>
    <cellStyle name="Normal 20 12" xfId="10247" xr:uid="{00000000-0005-0000-0000-000065290000}"/>
    <cellStyle name="Normal 20 12 2" xfId="10248" xr:uid="{00000000-0005-0000-0000-000066290000}"/>
    <cellStyle name="Normal 20 13" xfId="10249" xr:uid="{00000000-0005-0000-0000-000067290000}"/>
    <cellStyle name="Normal 20 13 2" xfId="10250" xr:uid="{00000000-0005-0000-0000-000068290000}"/>
    <cellStyle name="Normal 20 14" xfId="10251" xr:uid="{00000000-0005-0000-0000-000069290000}"/>
    <cellStyle name="Normal 20 14 2" xfId="10252" xr:uid="{00000000-0005-0000-0000-00006A290000}"/>
    <cellStyle name="Normal 20 15" xfId="10253" xr:uid="{00000000-0005-0000-0000-00006B290000}"/>
    <cellStyle name="Normal 20 15 2" xfId="10254" xr:uid="{00000000-0005-0000-0000-00006C290000}"/>
    <cellStyle name="Normal 20 16" xfId="10255" xr:uid="{00000000-0005-0000-0000-00006D290000}"/>
    <cellStyle name="Normal 20 16 2" xfId="10256" xr:uid="{00000000-0005-0000-0000-00006E290000}"/>
    <cellStyle name="Normal 20 17" xfId="10257" xr:uid="{00000000-0005-0000-0000-00006F290000}"/>
    <cellStyle name="Normal 20 17 2" xfId="10258" xr:uid="{00000000-0005-0000-0000-000070290000}"/>
    <cellStyle name="Normal 20 18" xfId="10259" xr:uid="{00000000-0005-0000-0000-000071290000}"/>
    <cellStyle name="Normal 20 18 2" xfId="10260" xr:uid="{00000000-0005-0000-0000-000072290000}"/>
    <cellStyle name="Normal 20 19" xfId="10261" xr:uid="{00000000-0005-0000-0000-000073290000}"/>
    <cellStyle name="Normal 20 19 2" xfId="10262" xr:uid="{00000000-0005-0000-0000-000074290000}"/>
    <cellStyle name="Normal 20 2" xfId="10263" xr:uid="{00000000-0005-0000-0000-000075290000}"/>
    <cellStyle name="Normal 20 2 2" xfId="10264" xr:uid="{00000000-0005-0000-0000-000076290000}"/>
    <cellStyle name="Normal 20 20" xfId="10265" xr:uid="{00000000-0005-0000-0000-000077290000}"/>
    <cellStyle name="Normal 20 20 2" xfId="10266" xr:uid="{00000000-0005-0000-0000-000078290000}"/>
    <cellStyle name="Normal 20 21" xfId="10267" xr:uid="{00000000-0005-0000-0000-000079290000}"/>
    <cellStyle name="Normal 20 21 2" xfId="10268" xr:uid="{00000000-0005-0000-0000-00007A290000}"/>
    <cellStyle name="Normal 20 22" xfId="10269" xr:uid="{00000000-0005-0000-0000-00007B290000}"/>
    <cellStyle name="Normal 20 22 2" xfId="10270" xr:uid="{00000000-0005-0000-0000-00007C290000}"/>
    <cellStyle name="Normal 20 23" xfId="10271" xr:uid="{00000000-0005-0000-0000-00007D290000}"/>
    <cellStyle name="Normal 20 24" xfId="10272" xr:uid="{00000000-0005-0000-0000-00007E290000}"/>
    <cellStyle name="Normal 20 25" xfId="10273" xr:uid="{00000000-0005-0000-0000-00007F290000}"/>
    <cellStyle name="Normal 20 26" xfId="10274" xr:uid="{00000000-0005-0000-0000-000080290000}"/>
    <cellStyle name="Normal 20 27" xfId="10275" xr:uid="{00000000-0005-0000-0000-000081290000}"/>
    <cellStyle name="Normal 20 28" xfId="10276" xr:uid="{00000000-0005-0000-0000-000082290000}"/>
    <cellStyle name="Normal 20 29" xfId="10277" xr:uid="{00000000-0005-0000-0000-000083290000}"/>
    <cellStyle name="Normal 20 3" xfId="10278" xr:uid="{00000000-0005-0000-0000-000084290000}"/>
    <cellStyle name="Normal 20 3 2" xfId="10279" xr:uid="{00000000-0005-0000-0000-000085290000}"/>
    <cellStyle name="Normal 20 30" xfId="10280" xr:uid="{00000000-0005-0000-0000-000086290000}"/>
    <cellStyle name="Normal 20 31" xfId="10281" xr:uid="{00000000-0005-0000-0000-000087290000}"/>
    <cellStyle name="Normal 20 32" xfId="10282" xr:uid="{00000000-0005-0000-0000-000088290000}"/>
    <cellStyle name="Normal 20 33" xfId="10283" xr:uid="{00000000-0005-0000-0000-000089290000}"/>
    <cellStyle name="Normal 20 34" xfId="10284" xr:uid="{00000000-0005-0000-0000-00008A290000}"/>
    <cellStyle name="Normal 20 35" xfId="10285" xr:uid="{00000000-0005-0000-0000-00008B290000}"/>
    <cellStyle name="Normal 20 36" xfId="10286" xr:uid="{00000000-0005-0000-0000-00008C290000}"/>
    <cellStyle name="Normal 20 37" xfId="10287" xr:uid="{00000000-0005-0000-0000-00008D290000}"/>
    <cellStyle name="Normal 20 38" xfId="10288" xr:uid="{00000000-0005-0000-0000-00008E290000}"/>
    <cellStyle name="Normal 20 39" xfId="10289" xr:uid="{00000000-0005-0000-0000-00008F290000}"/>
    <cellStyle name="Normal 20 4" xfId="10290" xr:uid="{00000000-0005-0000-0000-000090290000}"/>
    <cellStyle name="Normal 20 4 2" xfId="10291" xr:uid="{00000000-0005-0000-0000-000091290000}"/>
    <cellStyle name="Normal 20 40" xfId="10292" xr:uid="{00000000-0005-0000-0000-000092290000}"/>
    <cellStyle name="Normal 20 41" xfId="10293" xr:uid="{00000000-0005-0000-0000-000093290000}"/>
    <cellStyle name="Normal 20 42" xfId="10294" xr:uid="{00000000-0005-0000-0000-000094290000}"/>
    <cellStyle name="Normal 20 43" xfId="10295" xr:uid="{00000000-0005-0000-0000-000095290000}"/>
    <cellStyle name="Normal 20 44" xfId="10296" xr:uid="{00000000-0005-0000-0000-000096290000}"/>
    <cellStyle name="Normal 20 45" xfId="10297" xr:uid="{00000000-0005-0000-0000-000097290000}"/>
    <cellStyle name="Normal 20 46" xfId="10298" xr:uid="{00000000-0005-0000-0000-000098290000}"/>
    <cellStyle name="Normal 20 47" xfId="10299" xr:uid="{00000000-0005-0000-0000-000099290000}"/>
    <cellStyle name="Normal 20 48" xfId="10300" xr:uid="{00000000-0005-0000-0000-00009A290000}"/>
    <cellStyle name="Normal 20 49" xfId="10301" xr:uid="{00000000-0005-0000-0000-00009B290000}"/>
    <cellStyle name="Normal 20 5" xfId="10302" xr:uid="{00000000-0005-0000-0000-00009C290000}"/>
    <cellStyle name="Normal 20 5 2" xfId="10303" xr:uid="{00000000-0005-0000-0000-00009D290000}"/>
    <cellStyle name="Normal 20 50" xfId="10304" xr:uid="{00000000-0005-0000-0000-00009E290000}"/>
    <cellStyle name="Normal 20 51" xfId="10305" xr:uid="{00000000-0005-0000-0000-00009F290000}"/>
    <cellStyle name="Normal 20 52" xfId="10306" xr:uid="{00000000-0005-0000-0000-0000A0290000}"/>
    <cellStyle name="Normal 20 53" xfId="10307" xr:uid="{00000000-0005-0000-0000-0000A1290000}"/>
    <cellStyle name="Normal 20 54" xfId="10308" xr:uid="{00000000-0005-0000-0000-0000A2290000}"/>
    <cellStyle name="Normal 20 55" xfId="10309" xr:uid="{00000000-0005-0000-0000-0000A3290000}"/>
    <cellStyle name="Normal 20 56" xfId="10310" xr:uid="{00000000-0005-0000-0000-0000A4290000}"/>
    <cellStyle name="Normal 20 57" xfId="10311" xr:uid="{00000000-0005-0000-0000-0000A5290000}"/>
    <cellStyle name="Normal 20 58" xfId="10312" xr:uid="{00000000-0005-0000-0000-0000A6290000}"/>
    <cellStyle name="Normal 20 59" xfId="10313" xr:uid="{00000000-0005-0000-0000-0000A7290000}"/>
    <cellStyle name="Normal 20 6" xfId="10314" xr:uid="{00000000-0005-0000-0000-0000A8290000}"/>
    <cellStyle name="Normal 20 6 2" xfId="10315" xr:uid="{00000000-0005-0000-0000-0000A9290000}"/>
    <cellStyle name="Normal 20 60" xfId="10316" xr:uid="{00000000-0005-0000-0000-0000AA290000}"/>
    <cellStyle name="Normal 20 61" xfId="10317" xr:uid="{00000000-0005-0000-0000-0000AB290000}"/>
    <cellStyle name="Normal 20 62" xfId="10318" xr:uid="{00000000-0005-0000-0000-0000AC290000}"/>
    <cellStyle name="Normal 20 63" xfId="10319" xr:uid="{00000000-0005-0000-0000-0000AD290000}"/>
    <cellStyle name="Normal 20 64" xfId="10320" xr:uid="{00000000-0005-0000-0000-0000AE290000}"/>
    <cellStyle name="Normal 20 65" xfId="10321" xr:uid="{00000000-0005-0000-0000-0000AF290000}"/>
    <cellStyle name="Normal 20 66" xfId="10322" xr:uid="{00000000-0005-0000-0000-0000B0290000}"/>
    <cellStyle name="Normal 20 67" xfId="10323" xr:uid="{00000000-0005-0000-0000-0000B1290000}"/>
    <cellStyle name="Normal 20 68" xfId="10324" xr:uid="{00000000-0005-0000-0000-0000B2290000}"/>
    <cellStyle name="Normal 20 69" xfId="10325" xr:uid="{00000000-0005-0000-0000-0000B3290000}"/>
    <cellStyle name="Normal 20 7" xfId="10326" xr:uid="{00000000-0005-0000-0000-0000B4290000}"/>
    <cellStyle name="Normal 20 7 2" xfId="10327" xr:uid="{00000000-0005-0000-0000-0000B5290000}"/>
    <cellStyle name="Normal 20 70" xfId="10328" xr:uid="{00000000-0005-0000-0000-0000B6290000}"/>
    <cellStyle name="Normal 20 8" xfId="10329" xr:uid="{00000000-0005-0000-0000-0000B7290000}"/>
    <cellStyle name="Normal 20 8 2" xfId="10330" xr:uid="{00000000-0005-0000-0000-0000B8290000}"/>
    <cellStyle name="Normal 20 9" xfId="10331" xr:uid="{00000000-0005-0000-0000-0000B9290000}"/>
    <cellStyle name="Normal 20 9 2" xfId="10332" xr:uid="{00000000-0005-0000-0000-0000BA290000}"/>
    <cellStyle name="Normal 21" xfId="10333" xr:uid="{00000000-0005-0000-0000-0000BB290000}"/>
    <cellStyle name="Normal 21 10" xfId="10334" xr:uid="{00000000-0005-0000-0000-0000BC290000}"/>
    <cellStyle name="Normal 21 10 2" xfId="10335" xr:uid="{00000000-0005-0000-0000-0000BD290000}"/>
    <cellStyle name="Normal 21 11" xfId="10336" xr:uid="{00000000-0005-0000-0000-0000BE290000}"/>
    <cellStyle name="Normal 21 11 2" xfId="10337" xr:uid="{00000000-0005-0000-0000-0000BF290000}"/>
    <cellStyle name="Normal 21 12" xfId="10338" xr:uid="{00000000-0005-0000-0000-0000C0290000}"/>
    <cellStyle name="Normal 21 12 2" xfId="10339" xr:uid="{00000000-0005-0000-0000-0000C1290000}"/>
    <cellStyle name="Normal 21 13" xfId="10340" xr:uid="{00000000-0005-0000-0000-0000C2290000}"/>
    <cellStyle name="Normal 21 13 2" xfId="10341" xr:uid="{00000000-0005-0000-0000-0000C3290000}"/>
    <cellStyle name="Normal 21 14" xfId="10342" xr:uid="{00000000-0005-0000-0000-0000C4290000}"/>
    <cellStyle name="Normal 21 14 2" xfId="10343" xr:uid="{00000000-0005-0000-0000-0000C5290000}"/>
    <cellStyle name="Normal 21 15" xfId="10344" xr:uid="{00000000-0005-0000-0000-0000C6290000}"/>
    <cellStyle name="Normal 21 15 2" xfId="10345" xr:uid="{00000000-0005-0000-0000-0000C7290000}"/>
    <cellStyle name="Normal 21 16" xfId="10346" xr:uid="{00000000-0005-0000-0000-0000C8290000}"/>
    <cellStyle name="Normal 21 16 2" xfId="10347" xr:uid="{00000000-0005-0000-0000-0000C9290000}"/>
    <cellStyle name="Normal 21 17" xfId="10348" xr:uid="{00000000-0005-0000-0000-0000CA290000}"/>
    <cellStyle name="Normal 21 17 2" xfId="10349" xr:uid="{00000000-0005-0000-0000-0000CB290000}"/>
    <cellStyle name="Normal 21 18" xfId="10350" xr:uid="{00000000-0005-0000-0000-0000CC290000}"/>
    <cellStyle name="Normal 21 18 2" xfId="10351" xr:uid="{00000000-0005-0000-0000-0000CD290000}"/>
    <cellStyle name="Normal 21 19" xfId="10352" xr:uid="{00000000-0005-0000-0000-0000CE290000}"/>
    <cellStyle name="Normal 21 19 2" xfId="10353" xr:uid="{00000000-0005-0000-0000-0000CF290000}"/>
    <cellStyle name="Normal 21 2" xfId="10354" xr:uid="{00000000-0005-0000-0000-0000D0290000}"/>
    <cellStyle name="Normal 21 2 2" xfId="10355" xr:uid="{00000000-0005-0000-0000-0000D1290000}"/>
    <cellStyle name="Normal 21 20" xfId="10356" xr:uid="{00000000-0005-0000-0000-0000D2290000}"/>
    <cellStyle name="Normal 21 20 2" xfId="10357" xr:uid="{00000000-0005-0000-0000-0000D3290000}"/>
    <cellStyle name="Normal 21 21" xfId="10358" xr:uid="{00000000-0005-0000-0000-0000D4290000}"/>
    <cellStyle name="Normal 21 21 2" xfId="10359" xr:uid="{00000000-0005-0000-0000-0000D5290000}"/>
    <cellStyle name="Normal 21 22" xfId="10360" xr:uid="{00000000-0005-0000-0000-0000D6290000}"/>
    <cellStyle name="Normal 21 22 2" xfId="10361" xr:uid="{00000000-0005-0000-0000-0000D7290000}"/>
    <cellStyle name="Normal 21 23" xfId="10362" xr:uid="{00000000-0005-0000-0000-0000D8290000}"/>
    <cellStyle name="Normal 21 24" xfId="10363" xr:uid="{00000000-0005-0000-0000-0000D9290000}"/>
    <cellStyle name="Normal 21 25" xfId="10364" xr:uid="{00000000-0005-0000-0000-0000DA290000}"/>
    <cellStyle name="Normal 21 26" xfId="10365" xr:uid="{00000000-0005-0000-0000-0000DB290000}"/>
    <cellStyle name="Normal 21 27" xfId="10366" xr:uid="{00000000-0005-0000-0000-0000DC290000}"/>
    <cellStyle name="Normal 21 28" xfId="10367" xr:uid="{00000000-0005-0000-0000-0000DD290000}"/>
    <cellStyle name="Normal 21 29" xfId="10368" xr:uid="{00000000-0005-0000-0000-0000DE290000}"/>
    <cellStyle name="Normal 21 3" xfId="10369" xr:uid="{00000000-0005-0000-0000-0000DF290000}"/>
    <cellStyle name="Normal 21 3 2" xfId="10370" xr:uid="{00000000-0005-0000-0000-0000E0290000}"/>
    <cellStyle name="Normal 21 30" xfId="10371" xr:uid="{00000000-0005-0000-0000-0000E1290000}"/>
    <cellStyle name="Normal 21 31" xfId="10372" xr:uid="{00000000-0005-0000-0000-0000E2290000}"/>
    <cellStyle name="Normal 21 32" xfId="10373" xr:uid="{00000000-0005-0000-0000-0000E3290000}"/>
    <cellStyle name="Normal 21 33" xfId="10374" xr:uid="{00000000-0005-0000-0000-0000E4290000}"/>
    <cellStyle name="Normal 21 34" xfId="10375" xr:uid="{00000000-0005-0000-0000-0000E5290000}"/>
    <cellStyle name="Normal 21 35" xfId="10376" xr:uid="{00000000-0005-0000-0000-0000E6290000}"/>
    <cellStyle name="Normal 21 36" xfId="10377" xr:uid="{00000000-0005-0000-0000-0000E7290000}"/>
    <cellStyle name="Normal 21 37" xfId="10378" xr:uid="{00000000-0005-0000-0000-0000E8290000}"/>
    <cellStyle name="Normal 21 38" xfId="10379" xr:uid="{00000000-0005-0000-0000-0000E9290000}"/>
    <cellStyle name="Normal 21 39" xfId="10380" xr:uid="{00000000-0005-0000-0000-0000EA290000}"/>
    <cellStyle name="Normal 21 4" xfId="10381" xr:uid="{00000000-0005-0000-0000-0000EB290000}"/>
    <cellStyle name="Normal 21 4 2" xfId="10382" xr:uid="{00000000-0005-0000-0000-0000EC290000}"/>
    <cellStyle name="Normal 21 40" xfId="10383" xr:uid="{00000000-0005-0000-0000-0000ED290000}"/>
    <cellStyle name="Normal 21 41" xfId="10384" xr:uid="{00000000-0005-0000-0000-0000EE290000}"/>
    <cellStyle name="Normal 21 42" xfId="10385" xr:uid="{00000000-0005-0000-0000-0000EF290000}"/>
    <cellStyle name="Normal 21 43" xfId="10386" xr:uid="{00000000-0005-0000-0000-0000F0290000}"/>
    <cellStyle name="Normal 21 44" xfId="10387" xr:uid="{00000000-0005-0000-0000-0000F1290000}"/>
    <cellStyle name="Normal 21 45" xfId="10388" xr:uid="{00000000-0005-0000-0000-0000F2290000}"/>
    <cellStyle name="Normal 21 46" xfId="10389" xr:uid="{00000000-0005-0000-0000-0000F3290000}"/>
    <cellStyle name="Normal 21 47" xfId="10390" xr:uid="{00000000-0005-0000-0000-0000F4290000}"/>
    <cellStyle name="Normal 21 48" xfId="10391" xr:uid="{00000000-0005-0000-0000-0000F5290000}"/>
    <cellStyle name="Normal 21 49" xfId="10392" xr:uid="{00000000-0005-0000-0000-0000F6290000}"/>
    <cellStyle name="Normal 21 5" xfId="10393" xr:uid="{00000000-0005-0000-0000-0000F7290000}"/>
    <cellStyle name="Normal 21 5 2" xfId="10394" xr:uid="{00000000-0005-0000-0000-0000F8290000}"/>
    <cellStyle name="Normal 21 50" xfId="10395" xr:uid="{00000000-0005-0000-0000-0000F9290000}"/>
    <cellStyle name="Normal 21 51" xfId="10396" xr:uid="{00000000-0005-0000-0000-0000FA290000}"/>
    <cellStyle name="Normal 21 52" xfId="10397" xr:uid="{00000000-0005-0000-0000-0000FB290000}"/>
    <cellStyle name="Normal 21 53" xfId="10398" xr:uid="{00000000-0005-0000-0000-0000FC290000}"/>
    <cellStyle name="Normal 21 54" xfId="10399" xr:uid="{00000000-0005-0000-0000-0000FD290000}"/>
    <cellStyle name="Normal 21 55" xfId="10400" xr:uid="{00000000-0005-0000-0000-0000FE290000}"/>
    <cellStyle name="Normal 21 56" xfId="10401" xr:uid="{00000000-0005-0000-0000-0000FF290000}"/>
    <cellStyle name="Normal 21 57" xfId="10402" xr:uid="{00000000-0005-0000-0000-0000002A0000}"/>
    <cellStyle name="Normal 21 58" xfId="10403" xr:uid="{00000000-0005-0000-0000-0000012A0000}"/>
    <cellStyle name="Normal 21 59" xfId="10404" xr:uid="{00000000-0005-0000-0000-0000022A0000}"/>
    <cellStyle name="Normal 21 6" xfId="10405" xr:uid="{00000000-0005-0000-0000-0000032A0000}"/>
    <cellStyle name="Normal 21 6 2" xfId="10406" xr:uid="{00000000-0005-0000-0000-0000042A0000}"/>
    <cellStyle name="Normal 21 60" xfId="10407" xr:uid="{00000000-0005-0000-0000-0000052A0000}"/>
    <cellStyle name="Normal 21 61" xfId="10408" xr:uid="{00000000-0005-0000-0000-0000062A0000}"/>
    <cellStyle name="Normal 21 62" xfId="10409" xr:uid="{00000000-0005-0000-0000-0000072A0000}"/>
    <cellStyle name="Normal 21 63" xfId="10410" xr:uid="{00000000-0005-0000-0000-0000082A0000}"/>
    <cellStyle name="Normal 21 64" xfId="10411" xr:uid="{00000000-0005-0000-0000-0000092A0000}"/>
    <cellStyle name="Normal 21 65" xfId="10412" xr:uid="{00000000-0005-0000-0000-00000A2A0000}"/>
    <cellStyle name="Normal 21 66" xfId="10413" xr:uid="{00000000-0005-0000-0000-00000B2A0000}"/>
    <cellStyle name="Normal 21 67" xfId="10414" xr:uid="{00000000-0005-0000-0000-00000C2A0000}"/>
    <cellStyle name="Normal 21 68" xfId="10415" xr:uid="{00000000-0005-0000-0000-00000D2A0000}"/>
    <cellStyle name="Normal 21 69" xfId="10416" xr:uid="{00000000-0005-0000-0000-00000E2A0000}"/>
    <cellStyle name="Normal 21 7" xfId="10417" xr:uid="{00000000-0005-0000-0000-00000F2A0000}"/>
    <cellStyle name="Normal 21 7 2" xfId="10418" xr:uid="{00000000-0005-0000-0000-0000102A0000}"/>
    <cellStyle name="Normal 21 70" xfId="10419" xr:uid="{00000000-0005-0000-0000-0000112A0000}"/>
    <cellStyle name="Normal 21 8" xfId="10420" xr:uid="{00000000-0005-0000-0000-0000122A0000}"/>
    <cellStyle name="Normal 21 8 2" xfId="10421" xr:uid="{00000000-0005-0000-0000-0000132A0000}"/>
    <cellStyle name="Normal 21 9" xfId="10422" xr:uid="{00000000-0005-0000-0000-0000142A0000}"/>
    <cellStyle name="Normal 21 9 2" xfId="10423" xr:uid="{00000000-0005-0000-0000-0000152A0000}"/>
    <cellStyle name="Normal 22" xfId="10424" xr:uid="{00000000-0005-0000-0000-0000162A0000}"/>
    <cellStyle name="Normal 22 10" xfId="10425" xr:uid="{00000000-0005-0000-0000-0000172A0000}"/>
    <cellStyle name="Normal 22 10 2" xfId="10426" xr:uid="{00000000-0005-0000-0000-0000182A0000}"/>
    <cellStyle name="Normal 22 11" xfId="10427" xr:uid="{00000000-0005-0000-0000-0000192A0000}"/>
    <cellStyle name="Normal 22 11 2" xfId="10428" xr:uid="{00000000-0005-0000-0000-00001A2A0000}"/>
    <cellStyle name="Normal 22 12" xfId="10429" xr:uid="{00000000-0005-0000-0000-00001B2A0000}"/>
    <cellStyle name="Normal 22 12 2" xfId="10430" xr:uid="{00000000-0005-0000-0000-00001C2A0000}"/>
    <cellStyle name="Normal 22 13" xfId="10431" xr:uid="{00000000-0005-0000-0000-00001D2A0000}"/>
    <cellStyle name="Normal 22 13 2" xfId="10432" xr:uid="{00000000-0005-0000-0000-00001E2A0000}"/>
    <cellStyle name="Normal 22 14" xfId="10433" xr:uid="{00000000-0005-0000-0000-00001F2A0000}"/>
    <cellStyle name="Normal 22 14 2" xfId="10434" xr:uid="{00000000-0005-0000-0000-0000202A0000}"/>
    <cellStyle name="Normal 22 15" xfId="10435" xr:uid="{00000000-0005-0000-0000-0000212A0000}"/>
    <cellStyle name="Normal 22 15 2" xfId="10436" xr:uid="{00000000-0005-0000-0000-0000222A0000}"/>
    <cellStyle name="Normal 22 16" xfId="10437" xr:uid="{00000000-0005-0000-0000-0000232A0000}"/>
    <cellStyle name="Normal 22 16 2" xfId="10438" xr:uid="{00000000-0005-0000-0000-0000242A0000}"/>
    <cellStyle name="Normal 22 17" xfId="10439" xr:uid="{00000000-0005-0000-0000-0000252A0000}"/>
    <cellStyle name="Normal 22 17 2" xfId="10440" xr:uid="{00000000-0005-0000-0000-0000262A0000}"/>
    <cellStyle name="Normal 22 18" xfId="10441" xr:uid="{00000000-0005-0000-0000-0000272A0000}"/>
    <cellStyle name="Normal 22 18 2" xfId="10442" xr:uid="{00000000-0005-0000-0000-0000282A0000}"/>
    <cellStyle name="Normal 22 19" xfId="10443" xr:uid="{00000000-0005-0000-0000-0000292A0000}"/>
    <cellStyle name="Normal 22 19 2" xfId="10444" xr:uid="{00000000-0005-0000-0000-00002A2A0000}"/>
    <cellStyle name="Normal 22 2" xfId="10445" xr:uid="{00000000-0005-0000-0000-00002B2A0000}"/>
    <cellStyle name="Normal 22 2 2" xfId="10446" xr:uid="{00000000-0005-0000-0000-00002C2A0000}"/>
    <cellStyle name="Normal 22 20" xfId="10447" xr:uid="{00000000-0005-0000-0000-00002D2A0000}"/>
    <cellStyle name="Normal 22 20 2" xfId="10448" xr:uid="{00000000-0005-0000-0000-00002E2A0000}"/>
    <cellStyle name="Normal 22 21" xfId="10449" xr:uid="{00000000-0005-0000-0000-00002F2A0000}"/>
    <cellStyle name="Normal 22 21 2" xfId="10450" xr:uid="{00000000-0005-0000-0000-0000302A0000}"/>
    <cellStyle name="Normal 22 22" xfId="10451" xr:uid="{00000000-0005-0000-0000-0000312A0000}"/>
    <cellStyle name="Normal 22 22 2" xfId="10452" xr:uid="{00000000-0005-0000-0000-0000322A0000}"/>
    <cellStyle name="Normal 22 23" xfId="10453" xr:uid="{00000000-0005-0000-0000-0000332A0000}"/>
    <cellStyle name="Normal 22 24" xfId="10454" xr:uid="{00000000-0005-0000-0000-0000342A0000}"/>
    <cellStyle name="Normal 22 25" xfId="10455" xr:uid="{00000000-0005-0000-0000-0000352A0000}"/>
    <cellStyle name="Normal 22 26" xfId="10456" xr:uid="{00000000-0005-0000-0000-0000362A0000}"/>
    <cellStyle name="Normal 22 27" xfId="10457" xr:uid="{00000000-0005-0000-0000-0000372A0000}"/>
    <cellStyle name="Normal 22 28" xfId="10458" xr:uid="{00000000-0005-0000-0000-0000382A0000}"/>
    <cellStyle name="Normal 22 29" xfId="10459" xr:uid="{00000000-0005-0000-0000-0000392A0000}"/>
    <cellStyle name="Normal 22 3" xfId="10460" xr:uid="{00000000-0005-0000-0000-00003A2A0000}"/>
    <cellStyle name="Normal 22 3 2" xfId="10461" xr:uid="{00000000-0005-0000-0000-00003B2A0000}"/>
    <cellStyle name="Normal 22 30" xfId="10462" xr:uid="{00000000-0005-0000-0000-00003C2A0000}"/>
    <cellStyle name="Normal 22 31" xfId="10463" xr:uid="{00000000-0005-0000-0000-00003D2A0000}"/>
    <cellStyle name="Normal 22 32" xfId="10464" xr:uid="{00000000-0005-0000-0000-00003E2A0000}"/>
    <cellStyle name="Normal 22 33" xfId="10465" xr:uid="{00000000-0005-0000-0000-00003F2A0000}"/>
    <cellStyle name="Normal 22 34" xfId="10466" xr:uid="{00000000-0005-0000-0000-0000402A0000}"/>
    <cellStyle name="Normal 22 35" xfId="10467" xr:uid="{00000000-0005-0000-0000-0000412A0000}"/>
    <cellStyle name="Normal 22 36" xfId="10468" xr:uid="{00000000-0005-0000-0000-0000422A0000}"/>
    <cellStyle name="Normal 22 37" xfId="10469" xr:uid="{00000000-0005-0000-0000-0000432A0000}"/>
    <cellStyle name="Normal 22 38" xfId="10470" xr:uid="{00000000-0005-0000-0000-0000442A0000}"/>
    <cellStyle name="Normal 22 39" xfId="10471" xr:uid="{00000000-0005-0000-0000-0000452A0000}"/>
    <cellStyle name="Normal 22 4" xfId="10472" xr:uid="{00000000-0005-0000-0000-0000462A0000}"/>
    <cellStyle name="Normal 22 4 2" xfId="10473" xr:uid="{00000000-0005-0000-0000-0000472A0000}"/>
    <cellStyle name="Normal 22 40" xfId="10474" xr:uid="{00000000-0005-0000-0000-0000482A0000}"/>
    <cellStyle name="Normal 22 41" xfId="10475" xr:uid="{00000000-0005-0000-0000-0000492A0000}"/>
    <cellStyle name="Normal 22 42" xfId="10476" xr:uid="{00000000-0005-0000-0000-00004A2A0000}"/>
    <cellStyle name="Normal 22 43" xfId="10477" xr:uid="{00000000-0005-0000-0000-00004B2A0000}"/>
    <cellStyle name="Normal 22 44" xfId="10478" xr:uid="{00000000-0005-0000-0000-00004C2A0000}"/>
    <cellStyle name="Normal 22 45" xfId="10479" xr:uid="{00000000-0005-0000-0000-00004D2A0000}"/>
    <cellStyle name="Normal 22 46" xfId="10480" xr:uid="{00000000-0005-0000-0000-00004E2A0000}"/>
    <cellStyle name="Normal 22 47" xfId="10481" xr:uid="{00000000-0005-0000-0000-00004F2A0000}"/>
    <cellStyle name="Normal 22 48" xfId="10482" xr:uid="{00000000-0005-0000-0000-0000502A0000}"/>
    <cellStyle name="Normal 22 49" xfId="10483" xr:uid="{00000000-0005-0000-0000-0000512A0000}"/>
    <cellStyle name="Normal 22 5" xfId="10484" xr:uid="{00000000-0005-0000-0000-0000522A0000}"/>
    <cellStyle name="Normal 22 5 2" xfId="10485" xr:uid="{00000000-0005-0000-0000-0000532A0000}"/>
    <cellStyle name="Normal 22 50" xfId="10486" xr:uid="{00000000-0005-0000-0000-0000542A0000}"/>
    <cellStyle name="Normal 22 51" xfId="10487" xr:uid="{00000000-0005-0000-0000-0000552A0000}"/>
    <cellStyle name="Normal 22 52" xfId="10488" xr:uid="{00000000-0005-0000-0000-0000562A0000}"/>
    <cellStyle name="Normal 22 53" xfId="10489" xr:uid="{00000000-0005-0000-0000-0000572A0000}"/>
    <cellStyle name="Normal 22 54" xfId="10490" xr:uid="{00000000-0005-0000-0000-0000582A0000}"/>
    <cellStyle name="Normal 22 55" xfId="10491" xr:uid="{00000000-0005-0000-0000-0000592A0000}"/>
    <cellStyle name="Normal 22 56" xfId="10492" xr:uid="{00000000-0005-0000-0000-00005A2A0000}"/>
    <cellStyle name="Normal 22 57" xfId="10493" xr:uid="{00000000-0005-0000-0000-00005B2A0000}"/>
    <cellStyle name="Normal 22 58" xfId="10494" xr:uid="{00000000-0005-0000-0000-00005C2A0000}"/>
    <cellStyle name="Normal 22 59" xfId="10495" xr:uid="{00000000-0005-0000-0000-00005D2A0000}"/>
    <cellStyle name="Normal 22 6" xfId="10496" xr:uid="{00000000-0005-0000-0000-00005E2A0000}"/>
    <cellStyle name="Normal 22 6 2" xfId="10497" xr:uid="{00000000-0005-0000-0000-00005F2A0000}"/>
    <cellStyle name="Normal 22 60" xfId="10498" xr:uid="{00000000-0005-0000-0000-0000602A0000}"/>
    <cellStyle name="Normal 22 61" xfId="10499" xr:uid="{00000000-0005-0000-0000-0000612A0000}"/>
    <cellStyle name="Normal 22 62" xfId="10500" xr:uid="{00000000-0005-0000-0000-0000622A0000}"/>
    <cellStyle name="Normal 22 63" xfId="10501" xr:uid="{00000000-0005-0000-0000-0000632A0000}"/>
    <cellStyle name="Normal 22 64" xfId="10502" xr:uid="{00000000-0005-0000-0000-0000642A0000}"/>
    <cellStyle name="Normal 22 65" xfId="10503" xr:uid="{00000000-0005-0000-0000-0000652A0000}"/>
    <cellStyle name="Normal 22 66" xfId="10504" xr:uid="{00000000-0005-0000-0000-0000662A0000}"/>
    <cellStyle name="Normal 22 67" xfId="10505" xr:uid="{00000000-0005-0000-0000-0000672A0000}"/>
    <cellStyle name="Normal 22 68" xfId="10506" xr:uid="{00000000-0005-0000-0000-0000682A0000}"/>
    <cellStyle name="Normal 22 69" xfId="10507" xr:uid="{00000000-0005-0000-0000-0000692A0000}"/>
    <cellStyle name="Normal 22 7" xfId="10508" xr:uid="{00000000-0005-0000-0000-00006A2A0000}"/>
    <cellStyle name="Normal 22 7 2" xfId="10509" xr:uid="{00000000-0005-0000-0000-00006B2A0000}"/>
    <cellStyle name="Normal 22 70" xfId="10510" xr:uid="{00000000-0005-0000-0000-00006C2A0000}"/>
    <cellStyle name="Normal 22 8" xfId="10511" xr:uid="{00000000-0005-0000-0000-00006D2A0000}"/>
    <cellStyle name="Normal 22 8 2" xfId="10512" xr:uid="{00000000-0005-0000-0000-00006E2A0000}"/>
    <cellStyle name="Normal 22 9" xfId="10513" xr:uid="{00000000-0005-0000-0000-00006F2A0000}"/>
    <cellStyle name="Normal 22 9 2" xfId="10514" xr:uid="{00000000-0005-0000-0000-0000702A0000}"/>
    <cellStyle name="Normal 23" xfId="10515" xr:uid="{00000000-0005-0000-0000-0000712A0000}"/>
    <cellStyle name="Normal 23 10" xfId="10516" xr:uid="{00000000-0005-0000-0000-0000722A0000}"/>
    <cellStyle name="Normal 23 10 2" xfId="10517" xr:uid="{00000000-0005-0000-0000-0000732A0000}"/>
    <cellStyle name="Normal 23 11" xfId="10518" xr:uid="{00000000-0005-0000-0000-0000742A0000}"/>
    <cellStyle name="Normal 23 11 2" xfId="10519" xr:uid="{00000000-0005-0000-0000-0000752A0000}"/>
    <cellStyle name="Normal 23 12" xfId="10520" xr:uid="{00000000-0005-0000-0000-0000762A0000}"/>
    <cellStyle name="Normal 23 12 2" xfId="10521" xr:uid="{00000000-0005-0000-0000-0000772A0000}"/>
    <cellStyle name="Normal 23 13" xfId="10522" xr:uid="{00000000-0005-0000-0000-0000782A0000}"/>
    <cellStyle name="Normal 23 13 2" xfId="10523" xr:uid="{00000000-0005-0000-0000-0000792A0000}"/>
    <cellStyle name="Normal 23 14" xfId="10524" xr:uid="{00000000-0005-0000-0000-00007A2A0000}"/>
    <cellStyle name="Normal 23 14 2" xfId="10525" xr:uid="{00000000-0005-0000-0000-00007B2A0000}"/>
    <cellStyle name="Normal 23 15" xfId="10526" xr:uid="{00000000-0005-0000-0000-00007C2A0000}"/>
    <cellStyle name="Normal 23 15 2" xfId="10527" xr:uid="{00000000-0005-0000-0000-00007D2A0000}"/>
    <cellStyle name="Normal 23 16" xfId="10528" xr:uid="{00000000-0005-0000-0000-00007E2A0000}"/>
    <cellStyle name="Normal 23 16 2" xfId="10529" xr:uid="{00000000-0005-0000-0000-00007F2A0000}"/>
    <cellStyle name="Normal 23 17" xfId="10530" xr:uid="{00000000-0005-0000-0000-0000802A0000}"/>
    <cellStyle name="Normal 23 17 2" xfId="10531" xr:uid="{00000000-0005-0000-0000-0000812A0000}"/>
    <cellStyle name="Normal 23 18" xfId="10532" xr:uid="{00000000-0005-0000-0000-0000822A0000}"/>
    <cellStyle name="Normal 23 18 2" xfId="10533" xr:uid="{00000000-0005-0000-0000-0000832A0000}"/>
    <cellStyle name="Normal 23 19" xfId="10534" xr:uid="{00000000-0005-0000-0000-0000842A0000}"/>
    <cellStyle name="Normal 23 19 2" xfId="10535" xr:uid="{00000000-0005-0000-0000-0000852A0000}"/>
    <cellStyle name="Normal 23 2" xfId="10536" xr:uid="{00000000-0005-0000-0000-0000862A0000}"/>
    <cellStyle name="Normal 23 2 2" xfId="10537" xr:uid="{00000000-0005-0000-0000-0000872A0000}"/>
    <cellStyle name="Normal 23 20" xfId="10538" xr:uid="{00000000-0005-0000-0000-0000882A0000}"/>
    <cellStyle name="Normal 23 20 2" xfId="10539" xr:uid="{00000000-0005-0000-0000-0000892A0000}"/>
    <cellStyle name="Normal 23 21" xfId="10540" xr:uid="{00000000-0005-0000-0000-00008A2A0000}"/>
    <cellStyle name="Normal 23 21 2" xfId="10541" xr:uid="{00000000-0005-0000-0000-00008B2A0000}"/>
    <cellStyle name="Normal 23 22" xfId="10542" xr:uid="{00000000-0005-0000-0000-00008C2A0000}"/>
    <cellStyle name="Normal 23 22 2" xfId="10543" xr:uid="{00000000-0005-0000-0000-00008D2A0000}"/>
    <cellStyle name="Normal 23 23" xfId="10544" xr:uid="{00000000-0005-0000-0000-00008E2A0000}"/>
    <cellStyle name="Normal 23 24" xfId="10545" xr:uid="{00000000-0005-0000-0000-00008F2A0000}"/>
    <cellStyle name="Normal 23 25" xfId="10546" xr:uid="{00000000-0005-0000-0000-0000902A0000}"/>
    <cellStyle name="Normal 23 26" xfId="10547" xr:uid="{00000000-0005-0000-0000-0000912A0000}"/>
    <cellStyle name="Normal 23 27" xfId="10548" xr:uid="{00000000-0005-0000-0000-0000922A0000}"/>
    <cellStyle name="Normal 23 28" xfId="10549" xr:uid="{00000000-0005-0000-0000-0000932A0000}"/>
    <cellStyle name="Normal 23 29" xfId="10550" xr:uid="{00000000-0005-0000-0000-0000942A0000}"/>
    <cellStyle name="Normal 23 3" xfId="10551" xr:uid="{00000000-0005-0000-0000-0000952A0000}"/>
    <cellStyle name="Normal 23 3 2" xfId="10552" xr:uid="{00000000-0005-0000-0000-0000962A0000}"/>
    <cellStyle name="Normal 23 30" xfId="10553" xr:uid="{00000000-0005-0000-0000-0000972A0000}"/>
    <cellStyle name="Normal 23 31" xfId="10554" xr:uid="{00000000-0005-0000-0000-0000982A0000}"/>
    <cellStyle name="Normal 23 32" xfId="10555" xr:uid="{00000000-0005-0000-0000-0000992A0000}"/>
    <cellStyle name="Normal 23 33" xfId="10556" xr:uid="{00000000-0005-0000-0000-00009A2A0000}"/>
    <cellStyle name="Normal 23 34" xfId="10557" xr:uid="{00000000-0005-0000-0000-00009B2A0000}"/>
    <cellStyle name="Normal 23 35" xfId="10558" xr:uid="{00000000-0005-0000-0000-00009C2A0000}"/>
    <cellStyle name="Normal 23 36" xfId="10559" xr:uid="{00000000-0005-0000-0000-00009D2A0000}"/>
    <cellStyle name="Normal 23 37" xfId="10560" xr:uid="{00000000-0005-0000-0000-00009E2A0000}"/>
    <cellStyle name="Normal 23 38" xfId="10561" xr:uid="{00000000-0005-0000-0000-00009F2A0000}"/>
    <cellStyle name="Normal 23 39" xfId="10562" xr:uid="{00000000-0005-0000-0000-0000A02A0000}"/>
    <cellStyle name="Normal 23 4" xfId="10563" xr:uid="{00000000-0005-0000-0000-0000A12A0000}"/>
    <cellStyle name="Normal 23 4 2" xfId="10564" xr:uid="{00000000-0005-0000-0000-0000A22A0000}"/>
    <cellStyle name="Normal 23 40" xfId="10565" xr:uid="{00000000-0005-0000-0000-0000A32A0000}"/>
    <cellStyle name="Normal 23 41" xfId="10566" xr:uid="{00000000-0005-0000-0000-0000A42A0000}"/>
    <cellStyle name="Normal 23 42" xfId="10567" xr:uid="{00000000-0005-0000-0000-0000A52A0000}"/>
    <cellStyle name="Normal 23 43" xfId="10568" xr:uid="{00000000-0005-0000-0000-0000A62A0000}"/>
    <cellStyle name="Normal 23 44" xfId="10569" xr:uid="{00000000-0005-0000-0000-0000A72A0000}"/>
    <cellStyle name="Normal 23 45" xfId="10570" xr:uid="{00000000-0005-0000-0000-0000A82A0000}"/>
    <cellStyle name="Normal 23 46" xfId="10571" xr:uid="{00000000-0005-0000-0000-0000A92A0000}"/>
    <cellStyle name="Normal 23 47" xfId="10572" xr:uid="{00000000-0005-0000-0000-0000AA2A0000}"/>
    <cellStyle name="Normal 23 48" xfId="10573" xr:uid="{00000000-0005-0000-0000-0000AB2A0000}"/>
    <cellStyle name="Normal 23 49" xfId="10574" xr:uid="{00000000-0005-0000-0000-0000AC2A0000}"/>
    <cellStyle name="Normal 23 5" xfId="10575" xr:uid="{00000000-0005-0000-0000-0000AD2A0000}"/>
    <cellStyle name="Normal 23 5 2" xfId="10576" xr:uid="{00000000-0005-0000-0000-0000AE2A0000}"/>
    <cellStyle name="Normal 23 50" xfId="10577" xr:uid="{00000000-0005-0000-0000-0000AF2A0000}"/>
    <cellStyle name="Normal 23 51" xfId="10578" xr:uid="{00000000-0005-0000-0000-0000B02A0000}"/>
    <cellStyle name="Normal 23 52" xfId="10579" xr:uid="{00000000-0005-0000-0000-0000B12A0000}"/>
    <cellStyle name="Normal 23 53" xfId="10580" xr:uid="{00000000-0005-0000-0000-0000B22A0000}"/>
    <cellStyle name="Normal 23 54" xfId="10581" xr:uid="{00000000-0005-0000-0000-0000B32A0000}"/>
    <cellStyle name="Normal 23 55" xfId="10582" xr:uid="{00000000-0005-0000-0000-0000B42A0000}"/>
    <cellStyle name="Normal 23 56" xfId="10583" xr:uid="{00000000-0005-0000-0000-0000B52A0000}"/>
    <cellStyle name="Normal 23 57" xfId="10584" xr:uid="{00000000-0005-0000-0000-0000B62A0000}"/>
    <cellStyle name="Normal 23 58" xfId="10585" xr:uid="{00000000-0005-0000-0000-0000B72A0000}"/>
    <cellStyle name="Normal 23 59" xfId="10586" xr:uid="{00000000-0005-0000-0000-0000B82A0000}"/>
    <cellStyle name="Normal 23 6" xfId="10587" xr:uid="{00000000-0005-0000-0000-0000B92A0000}"/>
    <cellStyle name="Normal 23 6 2" xfId="10588" xr:uid="{00000000-0005-0000-0000-0000BA2A0000}"/>
    <cellStyle name="Normal 23 60" xfId="10589" xr:uid="{00000000-0005-0000-0000-0000BB2A0000}"/>
    <cellStyle name="Normal 23 61" xfId="10590" xr:uid="{00000000-0005-0000-0000-0000BC2A0000}"/>
    <cellStyle name="Normal 23 62" xfId="10591" xr:uid="{00000000-0005-0000-0000-0000BD2A0000}"/>
    <cellStyle name="Normal 23 63" xfId="10592" xr:uid="{00000000-0005-0000-0000-0000BE2A0000}"/>
    <cellStyle name="Normal 23 64" xfId="10593" xr:uid="{00000000-0005-0000-0000-0000BF2A0000}"/>
    <cellStyle name="Normal 23 65" xfId="10594" xr:uid="{00000000-0005-0000-0000-0000C02A0000}"/>
    <cellStyle name="Normal 23 66" xfId="10595" xr:uid="{00000000-0005-0000-0000-0000C12A0000}"/>
    <cellStyle name="Normal 23 67" xfId="10596" xr:uid="{00000000-0005-0000-0000-0000C22A0000}"/>
    <cellStyle name="Normal 23 68" xfId="10597" xr:uid="{00000000-0005-0000-0000-0000C32A0000}"/>
    <cellStyle name="Normal 23 69" xfId="10598" xr:uid="{00000000-0005-0000-0000-0000C42A0000}"/>
    <cellStyle name="Normal 23 7" xfId="10599" xr:uid="{00000000-0005-0000-0000-0000C52A0000}"/>
    <cellStyle name="Normal 23 7 2" xfId="10600" xr:uid="{00000000-0005-0000-0000-0000C62A0000}"/>
    <cellStyle name="Normal 23 70" xfId="10601" xr:uid="{00000000-0005-0000-0000-0000C72A0000}"/>
    <cellStyle name="Normal 23 8" xfId="10602" xr:uid="{00000000-0005-0000-0000-0000C82A0000}"/>
    <cellStyle name="Normal 23 8 2" xfId="10603" xr:uid="{00000000-0005-0000-0000-0000C92A0000}"/>
    <cellStyle name="Normal 23 9" xfId="10604" xr:uid="{00000000-0005-0000-0000-0000CA2A0000}"/>
    <cellStyle name="Normal 23 9 2" xfId="10605" xr:uid="{00000000-0005-0000-0000-0000CB2A0000}"/>
    <cellStyle name="Normal 24" xfId="10606" xr:uid="{00000000-0005-0000-0000-0000CC2A0000}"/>
    <cellStyle name="Normal 24 10" xfId="10607" xr:uid="{00000000-0005-0000-0000-0000CD2A0000}"/>
    <cellStyle name="Normal 24 10 2" xfId="10608" xr:uid="{00000000-0005-0000-0000-0000CE2A0000}"/>
    <cellStyle name="Normal 24 11" xfId="10609" xr:uid="{00000000-0005-0000-0000-0000CF2A0000}"/>
    <cellStyle name="Normal 24 11 2" xfId="10610" xr:uid="{00000000-0005-0000-0000-0000D02A0000}"/>
    <cellStyle name="Normal 24 12" xfId="10611" xr:uid="{00000000-0005-0000-0000-0000D12A0000}"/>
    <cellStyle name="Normal 24 12 2" xfId="10612" xr:uid="{00000000-0005-0000-0000-0000D22A0000}"/>
    <cellStyle name="Normal 24 13" xfId="10613" xr:uid="{00000000-0005-0000-0000-0000D32A0000}"/>
    <cellStyle name="Normal 24 13 2" xfId="10614" xr:uid="{00000000-0005-0000-0000-0000D42A0000}"/>
    <cellStyle name="Normal 24 14" xfId="10615" xr:uid="{00000000-0005-0000-0000-0000D52A0000}"/>
    <cellStyle name="Normal 24 14 2" xfId="10616" xr:uid="{00000000-0005-0000-0000-0000D62A0000}"/>
    <cellStyle name="Normal 24 15" xfId="10617" xr:uid="{00000000-0005-0000-0000-0000D72A0000}"/>
    <cellStyle name="Normal 24 15 2" xfId="10618" xr:uid="{00000000-0005-0000-0000-0000D82A0000}"/>
    <cellStyle name="Normal 24 16" xfId="10619" xr:uid="{00000000-0005-0000-0000-0000D92A0000}"/>
    <cellStyle name="Normal 24 16 2" xfId="10620" xr:uid="{00000000-0005-0000-0000-0000DA2A0000}"/>
    <cellStyle name="Normal 24 17" xfId="10621" xr:uid="{00000000-0005-0000-0000-0000DB2A0000}"/>
    <cellStyle name="Normal 24 17 2" xfId="10622" xr:uid="{00000000-0005-0000-0000-0000DC2A0000}"/>
    <cellStyle name="Normal 24 18" xfId="10623" xr:uid="{00000000-0005-0000-0000-0000DD2A0000}"/>
    <cellStyle name="Normal 24 18 2" xfId="10624" xr:uid="{00000000-0005-0000-0000-0000DE2A0000}"/>
    <cellStyle name="Normal 24 19" xfId="10625" xr:uid="{00000000-0005-0000-0000-0000DF2A0000}"/>
    <cellStyle name="Normal 24 19 2" xfId="10626" xr:uid="{00000000-0005-0000-0000-0000E02A0000}"/>
    <cellStyle name="Normal 24 2" xfId="10627" xr:uid="{00000000-0005-0000-0000-0000E12A0000}"/>
    <cellStyle name="Normal 24 2 2" xfId="10628" xr:uid="{00000000-0005-0000-0000-0000E22A0000}"/>
    <cellStyle name="Normal 24 20" xfId="10629" xr:uid="{00000000-0005-0000-0000-0000E32A0000}"/>
    <cellStyle name="Normal 24 20 2" xfId="10630" xr:uid="{00000000-0005-0000-0000-0000E42A0000}"/>
    <cellStyle name="Normal 24 21" xfId="10631" xr:uid="{00000000-0005-0000-0000-0000E52A0000}"/>
    <cellStyle name="Normal 24 21 2" xfId="10632" xr:uid="{00000000-0005-0000-0000-0000E62A0000}"/>
    <cellStyle name="Normal 24 22" xfId="10633" xr:uid="{00000000-0005-0000-0000-0000E72A0000}"/>
    <cellStyle name="Normal 24 22 2" xfId="10634" xr:uid="{00000000-0005-0000-0000-0000E82A0000}"/>
    <cellStyle name="Normal 24 23" xfId="10635" xr:uid="{00000000-0005-0000-0000-0000E92A0000}"/>
    <cellStyle name="Normal 24 24" xfId="10636" xr:uid="{00000000-0005-0000-0000-0000EA2A0000}"/>
    <cellStyle name="Normal 24 25" xfId="10637" xr:uid="{00000000-0005-0000-0000-0000EB2A0000}"/>
    <cellStyle name="Normal 24 26" xfId="10638" xr:uid="{00000000-0005-0000-0000-0000EC2A0000}"/>
    <cellStyle name="Normal 24 27" xfId="10639" xr:uid="{00000000-0005-0000-0000-0000ED2A0000}"/>
    <cellStyle name="Normal 24 28" xfId="10640" xr:uid="{00000000-0005-0000-0000-0000EE2A0000}"/>
    <cellStyle name="Normal 24 29" xfId="10641" xr:uid="{00000000-0005-0000-0000-0000EF2A0000}"/>
    <cellStyle name="Normal 24 3" xfId="10642" xr:uid="{00000000-0005-0000-0000-0000F02A0000}"/>
    <cellStyle name="Normal 24 3 2" xfId="10643" xr:uid="{00000000-0005-0000-0000-0000F12A0000}"/>
    <cellStyle name="Normal 24 30" xfId="10644" xr:uid="{00000000-0005-0000-0000-0000F22A0000}"/>
    <cellStyle name="Normal 24 31" xfId="10645" xr:uid="{00000000-0005-0000-0000-0000F32A0000}"/>
    <cellStyle name="Normal 24 32" xfId="10646" xr:uid="{00000000-0005-0000-0000-0000F42A0000}"/>
    <cellStyle name="Normal 24 33" xfId="10647" xr:uid="{00000000-0005-0000-0000-0000F52A0000}"/>
    <cellStyle name="Normal 24 34" xfId="10648" xr:uid="{00000000-0005-0000-0000-0000F62A0000}"/>
    <cellStyle name="Normal 24 35" xfId="10649" xr:uid="{00000000-0005-0000-0000-0000F72A0000}"/>
    <cellStyle name="Normal 24 36" xfId="10650" xr:uid="{00000000-0005-0000-0000-0000F82A0000}"/>
    <cellStyle name="Normal 24 37" xfId="10651" xr:uid="{00000000-0005-0000-0000-0000F92A0000}"/>
    <cellStyle name="Normal 24 38" xfId="10652" xr:uid="{00000000-0005-0000-0000-0000FA2A0000}"/>
    <cellStyle name="Normal 24 39" xfId="10653" xr:uid="{00000000-0005-0000-0000-0000FB2A0000}"/>
    <cellStyle name="Normal 24 4" xfId="10654" xr:uid="{00000000-0005-0000-0000-0000FC2A0000}"/>
    <cellStyle name="Normal 24 4 2" xfId="10655" xr:uid="{00000000-0005-0000-0000-0000FD2A0000}"/>
    <cellStyle name="Normal 24 40" xfId="10656" xr:uid="{00000000-0005-0000-0000-0000FE2A0000}"/>
    <cellStyle name="Normal 24 41" xfId="10657" xr:uid="{00000000-0005-0000-0000-0000FF2A0000}"/>
    <cellStyle name="Normal 24 42" xfId="10658" xr:uid="{00000000-0005-0000-0000-0000002B0000}"/>
    <cellStyle name="Normal 24 43" xfId="10659" xr:uid="{00000000-0005-0000-0000-0000012B0000}"/>
    <cellStyle name="Normal 24 44" xfId="10660" xr:uid="{00000000-0005-0000-0000-0000022B0000}"/>
    <cellStyle name="Normal 24 45" xfId="10661" xr:uid="{00000000-0005-0000-0000-0000032B0000}"/>
    <cellStyle name="Normal 24 46" xfId="10662" xr:uid="{00000000-0005-0000-0000-0000042B0000}"/>
    <cellStyle name="Normal 24 47" xfId="10663" xr:uid="{00000000-0005-0000-0000-0000052B0000}"/>
    <cellStyle name="Normal 24 48" xfId="10664" xr:uid="{00000000-0005-0000-0000-0000062B0000}"/>
    <cellStyle name="Normal 24 49" xfId="10665" xr:uid="{00000000-0005-0000-0000-0000072B0000}"/>
    <cellStyle name="Normal 24 5" xfId="10666" xr:uid="{00000000-0005-0000-0000-0000082B0000}"/>
    <cellStyle name="Normal 24 5 2" xfId="10667" xr:uid="{00000000-0005-0000-0000-0000092B0000}"/>
    <cellStyle name="Normal 24 50" xfId="10668" xr:uid="{00000000-0005-0000-0000-00000A2B0000}"/>
    <cellStyle name="Normal 24 51" xfId="10669" xr:uid="{00000000-0005-0000-0000-00000B2B0000}"/>
    <cellStyle name="Normal 24 52" xfId="10670" xr:uid="{00000000-0005-0000-0000-00000C2B0000}"/>
    <cellStyle name="Normal 24 53" xfId="10671" xr:uid="{00000000-0005-0000-0000-00000D2B0000}"/>
    <cellStyle name="Normal 24 54" xfId="10672" xr:uid="{00000000-0005-0000-0000-00000E2B0000}"/>
    <cellStyle name="Normal 24 55" xfId="10673" xr:uid="{00000000-0005-0000-0000-00000F2B0000}"/>
    <cellStyle name="Normal 24 56" xfId="10674" xr:uid="{00000000-0005-0000-0000-0000102B0000}"/>
    <cellStyle name="Normal 24 57" xfId="10675" xr:uid="{00000000-0005-0000-0000-0000112B0000}"/>
    <cellStyle name="Normal 24 58" xfId="10676" xr:uid="{00000000-0005-0000-0000-0000122B0000}"/>
    <cellStyle name="Normal 24 59" xfId="10677" xr:uid="{00000000-0005-0000-0000-0000132B0000}"/>
    <cellStyle name="Normal 24 6" xfId="10678" xr:uid="{00000000-0005-0000-0000-0000142B0000}"/>
    <cellStyle name="Normal 24 6 2" xfId="10679" xr:uid="{00000000-0005-0000-0000-0000152B0000}"/>
    <cellStyle name="Normal 24 60" xfId="10680" xr:uid="{00000000-0005-0000-0000-0000162B0000}"/>
    <cellStyle name="Normal 24 61" xfId="10681" xr:uid="{00000000-0005-0000-0000-0000172B0000}"/>
    <cellStyle name="Normal 24 62" xfId="10682" xr:uid="{00000000-0005-0000-0000-0000182B0000}"/>
    <cellStyle name="Normal 24 63" xfId="10683" xr:uid="{00000000-0005-0000-0000-0000192B0000}"/>
    <cellStyle name="Normal 24 64" xfId="10684" xr:uid="{00000000-0005-0000-0000-00001A2B0000}"/>
    <cellStyle name="Normal 24 65" xfId="10685" xr:uid="{00000000-0005-0000-0000-00001B2B0000}"/>
    <cellStyle name="Normal 24 66" xfId="10686" xr:uid="{00000000-0005-0000-0000-00001C2B0000}"/>
    <cellStyle name="Normal 24 67" xfId="10687" xr:uid="{00000000-0005-0000-0000-00001D2B0000}"/>
    <cellStyle name="Normal 24 68" xfId="10688" xr:uid="{00000000-0005-0000-0000-00001E2B0000}"/>
    <cellStyle name="Normal 24 69" xfId="10689" xr:uid="{00000000-0005-0000-0000-00001F2B0000}"/>
    <cellStyle name="Normal 24 7" xfId="10690" xr:uid="{00000000-0005-0000-0000-0000202B0000}"/>
    <cellStyle name="Normal 24 7 2" xfId="10691" xr:uid="{00000000-0005-0000-0000-0000212B0000}"/>
    <cellStyle name="Normal 24 70" xfId="10692" xr:uid="{00000000-0005-0000-0000-0000222B0000}"/>
    <cellStyle name="Normal 24 8" xfId="10693" xr:uid="{00000000-0005-0000-0000-0000232B0000}"/>
    <cellStyle name="Normal 24 8 2" xfId="10694" xr:uid="{00000000-0005-0000-0000-0000242B0000}"/>
    <cellStyle name="Normal 24 9" xfId="10695" xr:uid="{00000000-0005-0000-0000-0000252B0000}"/>
    <cellStyle name="Normal 24 9 2" xfId="10696" xr:uid="{00000000-0005-0000-0000-0000262B0000}"/>
    <cellStyle name="Normal 25" xfId="10697" xr:uid="{00000000-0005-0000-0000-0000272B0000}"/>
    <cellStyle name="Normal 25 10" xfId="10698" xr:uid="{00000000-0005-0000-0000-0000282B0000}"/>
    <cellStyle name="Normal 25 10 2" xfId="10699" xr:uid="{00000000-0005-0000-0000-0000292B0000}"/>
    <cellStyle name="Normal 25 11" xfId="10700" xr:uid="{00000000-0005-0000-0000-00002A2B0000}"/>
    <cellStyle name="Normal 25 11 2" xfId="10701" xr:uid="{00000000-0005-0000-0000-00002B2B0000}"/>
    <cellStyle name="Normal 25 12" xfId="10702" xr:uid="{00000000-0005-0000-0000-00002C2B0000}"/>
    <cellStyle name="Normal 25 12 2" xfId="10703" xr:uid="{00000000-0005-0000-0000-00002D2B0000}"/>
    <cellStyle name="Normal 25 13" xfId="10704" xr:uid="{00000000-0005-0000-0000-00002E2B0000}"/>
    <cellStyle name="Normal 25 13 2" xfId="10705" xr:uid="{00000000-0005-0000-0000-00002F2B0000}"/>
    <cellStyle name="Normal 25 14" xfId="10706" xr:uid="{00000000-0005-0000-0000-0000302B0000}"/>
    <cellStyle name="Normal 25 14 2" xfId="10707" xr:uid="{00000000-0005-0000-0000-0000312B0000}"/>
    <cellStyle name="Normal 25 15" xfId="10708" xr:uid="{00000000-0005-0000-0000-0000322B0000}"/>
    <cellStyle name="Normal 25 15 2" xfId="10709" xr:uid="{00000000-0005-0000-0000-0000332B0000}"/>
    <cellStyle name="Normal 25 16" xfId="10710" xr:uid="{00000000-0005-0000-0000-0000342B0000}"/>
    <cellStyle name="Normal 25 16 2" xfId="10711" xr:uid="{00000000-0005-0000-0000-0000352B0000}"/>
    <cellStyle name="Normal 25 17" xfId="10712" xr:uid="{00000000-0005-0000-0000-0000362B0000}"/>
    <cellStyle name="Normal 25 17 2" xfId="10713" xr:uid="{00000000-0005-0000-0000-0000372B0000}"/>
    <cellStyle name="Normal 25 18" xfId="10714" xr:uid="{00000000-0005-0000-0000-0000382B0000}"/>
    <cellStyle name="Normal 25 18 2" xfId="10715" xr:uid="{00000000-0005-0000-0000-0000392B0000}"/>
    <cellStyle name="Normal 25 19" xfId="10716" xr:uid="{00000000-0005-0000-0000-00003A2B0000}"/>
    <cellStyle name="Normal 25 19 2" xfId="10717" xr:uid="{00000000-0005-0000-0000-00003B2B0000}"/>
    <cellStyle name="Normal 25 2" xfId="10718" xr:uid="{00000000-0005-0000-0000-00003C2B0000}"/>
    <cellStyle name="Normal 25 2 2" xfId="10719" xr:uid="{00000000-0005-0000-0000-00003D2B0000}"/>
    <cellStyle name="Normal 25 20" xfId="10720" xr:uid="{00000000-0005-0000-0000-00003E2B0000}"/>
    <cellStyle name="Normal 25 20 2" xfId="10721" xr:uid="{00000000-0005-0000-0000-00003F2B0000}"/>
    <cellStyle name="Normal 25 21" xfId="10722" xr:uid="{00000000-0005-0000-0000-0000402B0000}"/>
    <cellStyle name="Normal 25 21 2" xfId="10723" xr:uid="{00000000-0005-0000-0000-0000412B0000}"/>
    <cellStyle name="Normal 25 22" xfId="10724" xr:uid="{00000000-0005-0000-0000-0000422B0000}"/>
    <cellStyle name="Normal 25 22 2" xfId="10725" xr:uid="{00000000-0005-0000-0000-0000432B0000}"/>
    <cellStyle name="Normal 25 23" xfId="10726" xr:uid="{00000000-0005-0000-0000-0000442B0000}"/>
    <cellStyle name="Normal 25 24" xfId="10727" xr:uid="{00000000-0005-0000-0000-0000452B0000}"/>
    <cellStyle name="Normal 25 25" xfId="10728" xr:uid="{00000000-0005-0000-0000-0000462B0000}"/>
    <cellStyle name="Normal 25 26" xfId="10729" xr:uid="{00000000-0005-0000-0000-0000472B0000}"/>
    <cellStyle name="Normal 25 27" xfId="10730" xr:uid="{00000000-0005-0000-0000-0000482B0000}"/>
    <cellStyle name="Normal 25 28" xfId="10731" xr:uid="{00000000-0005-0000-0000-0000492B0000}"/>
    <cellStyle name="Normal 25 29" xfId="10732" xr:uid="{00000000-0005-0000-0000-00004A2B0000}"/>
    <cellStyle name="Normal 25 3" xfId="10733" xr:uid="{00000000-0005-0000-0000-00004B2B0000}"/>
    <cellStyle name="Normal 25 3 2" xfId="10734" xr:uid="{00000000-0005-0000-0000-00004C2B0000}"/>
    <cellStyle name="Normal 25 30" xfId="10735" xr:uid="{00000000-0005-0000-0000-00004D2B0000}"/>
    <cellStyle name="Normal 25 31" xfId="10736" xr:uid="{00000000-0005-0000-0000-00004E2B0000}"/>
    <cellStyle name="Normal 25 32" xfId="10737" xr:uid="{00000000-0005-0000-0000-00004F2B0000}"/>
    <cellStyle name="Normal 25 33" xfId="10738" xr:uid="{00000000-0005-0000-0000-0000502B0000}"/>
    <cellStyle name="Normal 25 34" xfId="10739" xr:uid="{00000000-0005-0000-0000-0000512B0000}"/>
    <cellStyle name="Normal 25 35" xfId="10740" xr:uid="{00000000-0005-0000-0000-0000522B0000}"/>
    <cellStyle name="Normal 25 36" xfId="10741" xr:uid="{00000000-0005-0000-0000-0000532B0000}"/>
    <cellStyle name="Normal 25 37" xfId="10742" xr:uid="{00000000-0005-0000-0000-0000542B0000}"/>
    <cellStyle name="Normal 25 38" xfId="10743" xr:uid="{00000000-0005-0000-0000-0000552B0000}"/>
    <cellStyle name="Normal 25 39" xfId="10744" xr:uid="{00000000-0005-0000-0000-0000562B0000}"/>
    <cellStyle name="Normal 25 4" xfId="10745" xr:uid="{00000000-0005-0000-0000-0000572B0000}"/>
    <cellStyle name="Normal 25 4 2" xfId="10746" xr:uid="{00000000-0005-0000-0000-0000582B0000}"/>
    <cellStyle name="Normal 25 40" xfId="10747" xr:uid="{00000000-0005-0000-0000-0000592B0000}"/>
    <cellStyle name="Normal 25 41" xfId="10748" xr:uid="{00000000-0005-0000-0000-00005A2B0000}"/>
    <cellStyle name="Normal 25 42" xfId="10749" xr:uid="{00000000-0005-0000-0000-00005B2B0000}"/>
    <cellStyle name="Normal 25 43" xfId="10750" xr:uid="{00000000-0005-0000-0000-00005C2B0000}"/>
    <cellStyle name="Normal 25 44" xfId="10751" xr:uid="{00000000-0005-0000-0000-00005D2B0000}"/>
    <cellStyle name="Normal 25 45" xfId="10752" xr:uid="{00000000-0005-0000-0000-00005E2B0000}"/>
    <cellStyle name="Normal 25 46" xfId="10753" xr:uid="{00000000-0005-0000-0000-00005F2B0000}"/>
    <cellStyle name="Normal 25 47" xfId="10754" xr:uid="{00000000-0005-0000-0000-0000602B0000}"/>
    <cellStyle name="Normal 25 48" xfId="10755" xr:uid="{00000000-0005-0000-0000-0000612B0000}"/>
    <cellStyle name="Normal 25 49" xfId="10756" xr:uid="{00000000-0005-0000-0000-0000622B0000}"/>
    <cellStyle name="Normal 25 5" xfId="10757" xr:uid="{00000000-0005-0000-0000-0000632B0000}"/>
    <cellStyle name="Normal 25 5 2" xfId="10758" xr:uid="{00000000-0005-0000-0000-0000642B0000}"/>
    <cellStyle name="Normal 25 50" xfId="10759" xr:uid="{00000000-0005-0000-0000-0000652B0000}"/>
    <cellStyle name="Normal 25 51" xfId="10760" xr:uid="{00000000-0005-0000-0000-0000662B0000}"/>
    <cellStyle name="Normal 25 52" xfId="10761" xr:uid="{00000000-0005-0000-0000-0000672B0000}"/>
    <cellStyle name="Normal 25 53" xfId="10762" xr:uid="{00000000-0005-0000-0000-0000682B0000}"/>
    <cellStyle name="Normal 25 54" xfId="10763" xr:uid="{00000000-0005-0000-0000-0000692B0000}"/>
    <cellStyle name="Normal 25 55" xfId="10764" xr:uid="{00000000-0005-0000-0000-00006A2B0000}"/>
    <cellStyle name="Normal 25 56" xfId="10765" xr:uid="{00000000-0005-0000-0000-00006B2B0000}"/>
    <cellStyle name="Normal 25 57" xfId="10766" xr:uid="{00000000-0005-0000-0000-00006C2B0000}"/>
    <cellStyle name="Normal 25 58" xfId="10767" xr:uid="{00000000-0005-0000-0000-00006D2B0000}"/>
    <cellStyle name="Normal 25 59" xfId="10768" xr:uid="{00000000-0005-0000-0000-00006E2B0000}"/>
    <cellStyle name="Normal 25 6" xfId="10769" xr:uid="{00000000-0005-0000-0000-00006F2B0000}"/>
    <cellStyle name="Normal 25 6 2" xfId="10770" xr:uid="{00000000-0005-0000-0000-0000702B0000}"/>
    <cellStyle name="Normal 25 60" xfId="10771" xr:uid="{00000000-0005-0000-0000-0000712B0000}"/>
    <cellStyle name="Normal 25 61" xfId="10772" xr:uid="{00000000-0005-0000-0000-0000722B0000}"/>
    <cellStyle name="Normal 25 62" xfId="10773" xr:uid="{00000000-0005-0000-0000-0000732B0000}"/>
    <cellStyle name="Normal 25 63" xfId="10774" xr:uid="{00000000-0005-0000-0000-0000742B0000}"/>
    <cellStyle name="Normal 25 64" xfId="10775" xr:uid="{00000000-0005-0000-0000-0000752B0000}"/>
    <cellStyle name="Normal 25 65" xfId="10776" xr:uid="{00000000-0005-0000-0000-0000762B0000}"/>
    <cellStyle name="Normal 25 66" xfId="10777" xr:uid="{00000000-0005-0000-0000-0000772B0000}"/>
    <cellStyle name="Normal 25 67" xfId="10778" xr:uid="{00000000-0005-0000-0000-0000782B0000}"/>
    <cellStyle name="Normal 25 68" xfId="10779" xr:uid="{00000000-0005-0000-0000-0000792B0000}"/>
    <cellStyle name="Normal 25 69" xfId="10780" xr:uid="{00000000-0005-0000-0000-00007A2B0000}"/>
    <cellStyle name="Normal 25 7" xfId="10781" xr:uid="{00000000-0005-0000-0000-00007B2B0000}"/>
    <cellStyle name="Normal 25 7 2" xfId="10782" xr:uid="{00000000-0005-0000-0000-00007C2B0000}"/>
    <cellStyle name="Normal 25 70" xfId="10783" xr:uid="{00000000-0005-0000-0000-00007D2B0000}"/>
    <cellStyle name="Normal 25 8" xfId="10784" xr:uid="{00000000-0005-0000-0000-00007E2B0000}"/>
    <cellStyle name="Normal 25 8 2" xfId="10785" xr:uid="{00000000-0005-0000-0000-00007F2B0000}"/>
    <cellStyle name="Normal 25 9" xfId="10786" xr:uid="{00000000-0005-0000-0000-0000802B0000}"/>
    <cellStyle name="Normal 25 9 2" xfId="10787" xr:uid="{00000000-0005-0000-0000-0000812B0000}"/>
    <cellStyle name="Normal 26" xfId="10788" xr:uid="{00000000-0005-0000-0000-0000822B0000}"/>
    <cellStyle name="Normal 26 10" xfId="10789" xr:uid="{00000000-0005-0000-0000-0000832B0000}"/>
    <cellStyle name="Normal 26 10 2" xfId="10790" xr:uid="{00000000-0005-0000-0000-0000842B0000}"/>
    <cellStyle name="Normal 26 11" xfId="10791" xr:uid="{00000000-0005-0000-0000-0000852B0000}"/>
    <cellStyle name="Normal 26 11 2" xfId="10792" xr:uid="{00000000-0005-0000-0000-0000862B0000}"/>
    <cellStyle name="Normal 26 12" xfId="10793" xr:uid="{00000000-0005-0000-0000-0000872B0000}"/>
    <cellStyle name="Normal 26 12 2" xfId="10794" xr:uid="{00000000-0005-0000-0000-0000882B0000}"/>
    <cellStyle name="Normal 26 13" xfId="10795" xr:uid="{00000000-0005-0000-0000-0000892B0000}"/>
    <cellStyle name="Normal 26 13 2" xfId="10796" xr:uid="{00000000-0005-0000-0000-00008A2B0000}"/>
    <cellStyle name="Normal 26 14" xfId="10797" xr:uid="{00000000-0005-0000-0000-00008B2B0000}"/>
    <cellStyle name="Normal 26 14 2" xfId="10798" xr:uid="{00000000-0005-0000-0000-00008C2B0000}"/>
    <cellStyle name="Normal 26 15" xfId="10799" xr:uid="{00000000-0005-0000-0000-00008D2B0000}"/>
    <cellStyle name="Normal 26 15 2" xfId="10800" xr:uid="{00000000-0005-0000-0000-00008E2B0000}"/>
    <cellStyle name="Normal 26 16" xfId="10801" xr:uid="{00000000-0005-0000-0000-00008F2B0000}"/>
    <cellStyle name="Normal 26 16 2" xfId="10802" xr:uid="{00000000-0005-0000-0000-0000902B0000}"/>
    <cellStyle name="Normal 26 17" xfId="10803" xr:uid="{00000000-0005-0000-0000-0000912B0000}"/>
    <cellStyle name="Normal 26 17 2" xfId="10804" xr:uid="{00000000-0005-0000-0000-0000922B0000}"/>
    <cellStyle name="Normal 26 18" xfId="10805" xr:uid="{00000000-0005-0000-0000-0000932B0000}"/>
    <cellStyle name="Normal 26 18 2" xfId="10806" xr:uid="{00000000-0005-0000-0000-0000942B0000}"/>
    <cellStyle name="Normal 26 19" xfId="10807" xr:uid="{00000000-0005-0000-0000-0000952B0000}"/>
    <cellStyle name="Normal 26 19 2" xfId="10808" xr:uid="{00000000-0005-0000-0000-0000962B0000}"/>
    <cellStyle name="Normal 26 2" xfId="10809" xr:uid="{00000000-0005-0000-0000-0000972B0000}"/>
    <cellStyle name="Normal 26 2 2" xfId="10810" xr:uid="{00000000-0005-0000-0000-0000982B0000}"/>
    <cellStyle name="Normal 26 20" xfId="10811" xr:uid="{00000000-0005-0000-0000-0000992B0000}"/>
    <cellStyle name="Normal 26 20 2" xfId="10812" xr:uid="{00000000-0005-0000-0000-00009A2B0000}"/>
    <cellStyle name="Normal 26 21" xfId="10813" xr:uid="{00000000-0005-0000-0000-00009B2B0000}"/>
    <cellStyle name="Normal 26 21 2" xfId="10814" xr:uid="{00000000-0005-0000-0000-00009C2B0000}"/>
    <cellStyle name="Normal 26 22" xfId="10815" xr:uid="{00000000-0005-0000-0000-00009D2B0000}"/>
    <cellStyle name="Normal 26 22 2" xfId="10816" xr:uid="{00000000-0005-0000-0000-00009E2B0000}"/>
    <cellStyle name="Normal 26 23" xfId="10817" xr:uid="{00000000-0005-0000-0000-00009F2B0000}"/>
    <cellStyle name="Normal 26 24" xfId="10818" xr:uid="{00000000-0005-0000-0000-0000A02B0000}"/>
    <cellStyle name="Normal 26 25" xfId="10819" xr:uid="{00000000-0005-0000-0000-0000A12B0000}"/>
    <cellStyle name="Normal 26 26" xfId="10820" xr:uid="{00000000-0005-0000-0000-0000A22B0000}"/>
    <cellStyle name="Normal 26 27" xfId="10821" xr:uid="{00000000-0005-0000-0000-0000A32B0000}"/>
    <cellStyle name="Normal 26 28" xfId="10822" xr:uid="{00000000-0005-0000-0000-0000A42B0000}"/>
    <cellStyle name="Normal 26 29" xfId="10823" xr:uid="{00000000-0005-0000-0000-0000A52B0000}"/>
    <cellStyle name="Normal 26 3" xfId="10824" xr:uid="{00000000-0005-0000-0000-0000A62B0000}"/>
    <cellStyle name="Normal 26 3 2" xfId="10825" xr:uid="{00000000-0005-0000-0000-0000A72B0000}"/>
    <cellStyle name="Normal 26 30" xfId="10826" xr:uid="{00000000-0005-0000-0000-0000A82B0000}"/>
    <cellStyle name="Normal 26 31" xfId="10827" xr:uid="{00000000-0005-0000-0000-0000A92B0000}"/>
    <cellStyle name="Normal 26 32" xfId="10828" xr:uid="{00000000-0005-0000-0000-0000AA2B0000}"/>
    <cellStyle name="Normal 26 33" xfId="10829" xr:uid="{00000000-0005-0000-0000-0000AB2B0000}"/>
    <cellStyle name="Normal 26 34" xfId="10830" xr:uid="{00000000-0005-0000-0000-0000AC2B0000}"/>
    <cellStyle name="Normal 26 35" xfId="10831" xr:uid="{00000000-0005-0000-0000-0000AD2B0000}"/>
    <cellStyle name="Normal 26 36" xfId="10832" xr:uid="{00000000-0005-0000-0000-0000AE2B0000}"/>
    <cellStyle name="Normal 26 37" xfId="10833" xr:uid="{00000000-0005-0000-0000-0000AF2B0000}"/>
    <cellStyle name="Normal 26 38" xfId="10834" xr:uid="{00000000-0005-0000-0000-0000B02B0000}"/>
    <cellStyle name="Normal 26 39" xfId="10835" xr:uid="{00000000-0005-0000-0000-0000B12B0000}"/>
    <cellStyle name="Normal 26 4" xfId="10836" xr:uid="{00000000-0005-0000-0000-0000B22B0000}"/>
    <cellStyle name="Normal 26 4 2" xfId="10837" xr:uid="{00000000-0005-0000-0000-0000B32B0000}"/>
    <cellStyle name="Normal 26 40" xfId="10838" xr:uid="{00000000-0005-0000-0000-0000B42B0000}"/>
    <cellStyle name="Normal 26 41" xfId="10839" xr:uid="{00000000-0005-0000-0000-0000B52B0000}"/>
    <cellStyle name="Normal 26 42" xfId="10840" xr:uid="{00000000-0005-0000-0000-0000B62B0000}"/>
    <cellStyle name="Normal 26 43" xfId="10841" xr:uid="{00000000-0005-0000-0000-0000B72B0000}"/>
    <cellStyle name="Normal 26 44" xfId="10842" xr:uid="{00000000-0005-0000-0000-0000B82B0000}"/>
    <cellStyle name="Normal 26 45" xfId="10843" xr:uid="{00000000-0005-0000-0000-0000B92B0000}"/>
    <cellStyle name="Normal 26 46" xfId="10844" xr:uid="{00000000-0005-0000-0000-0000BA2B0000}"/>
    <cellStyle name="Normal 26 47" xfId="10845" xr:uid="{00000000-0005-0000-0000-0000BB2B0000}"/>
    <cellStyle name="Normal 26 48" xfId="10846" xr:uid="{00000000-0005-0000-0000-0000BC2B0000}"/>
    <cellStyle name="Normal 26 49" xfId="10847" xr:uid="{00000000-0005-0000-0000-0000BD2B0000}"/>
    <cellStyle name="Normal 26 5" xfId="10848" xr:uid="{00000000-0005-0000-0000-0000BE2B0000}"/>
    <cellStyle name="Normal 26 5 2" xfId="10849" xr:uid="{00000000-0005-0000-0000-0000BF2B0000}"/>
    <cellStyle name="Normal 26 50" xfId="10850" xr:uid="{00000000-0005-0000-0000-0000C02B0000}"/>
    <cellStyle name="Normal 26 51" xfId="10851" xr:uid="{00000000-0005-0000-0000-0000C12B0000}"/>
    <cellStyle name="Normal 26 52" xfId="10852" xr:uid="{00000000-0005-0000-0000-0000C22B0000}"/>
    <cellStyle name="Normal 26 53" xfId="10853" xr:uid="{00000000-0005-0000-0000-0000C32B0000}"/>
    <cellStyle name="Normal 26 54" xfId="10854" xr:uid="{00000000-0005-0000-0000-0000C42B0000}"/>
    <cellStyle name="Normal 26 55" xfId="10855" xr:uid="{00000000-0005-0000-0000-0000C52B0000}"/>
    <cellStyle name="Normal 26 56" xfId="10856" xr:uid="{00000000-0005-0000-0000-0000C62B0000}"/>
    <cellStyle name="Normal 26 57" xfId="10857" xr:uid="{00000000-0005-0000-0000-0000C72B0000}"/>
    <cellStyle name="Normal 26 58" xfId="10858" xr:uid="{00000000-0005-0000-0000-0000C82B0000}"/>
    <cellStyle name="Normal 26 59" xfId="10859" xr:uid="{00000000-0005-0000-0000-0000C92B0000}"/>
    <cellStyle name="Normal 26 6" xfId="10860" xr:uid="{00000000-0005-0000-0000-0000CA2B0000}"/>
    <cellStyle name="Normal 26 6 2" xfId="10861" xr:uid="{00000000-0005-0000-0000-0000CB2B0000}"/>
    <cellStyle name="Normal 26 60" xfId="10862" xr:uid="{00000000-0005-0000-0000-0000CC2B0000}"/>
    <cellStyle name="Normal 26 61" xfId="10863" xr:uid="{00000000-0005-0000-0000-0000CD2B0000}"/>
    <cellStyle name="Normal 26 62" xfId="10864" xr:uid="{00000000-0005-0000-0000-0000CE2B0000}"/>
    <cellStyle name="Normal 26 63" xfId="10865" xr:uid="{00000000-0005-0000-0000-0000CF2B0000}"/>
    <cellStyle name="Normal 26 64" xfId="10866" xr:uid="{00000000-0005-0000-0000-0000D02B0000}"/>
    <cellStyle name="Normal 26 65" xfId="10867" xr:uid="{00000000-0005-0000-0000-0000D12B0000}"/>
    <cellStyle name="Normal 26 66" xfId="10868" xr:uid="{00000000-0005-0000-0000-0000D22B0000}"/>
    <cellStyle name="Normal 26 67" xfId="10869" xr:uid="{00000000-0005-0000-0000-0000D32B0000}"/>
    <cellStyle name="Normal 26 68" xfId="10870" xr:uid="{00000000-0005-0000-0000-0000D42B0000}"/>
    <cellStyle name="Normal 26 69" xfId="10871" xr:uid="{00000000-0005-0000-0000-0000D52B0000}"/>
    <cellStyle name="Normal 26 7" xfId="10872" xr:uid="{00000000-0005-0000-0000-0000D62B0000}"/>
    <cellStyle name="Normal 26 7 2" xfId="10873" xr:uid="{00000000-0005-0000-0000-0000D72B0000}"/>
    <cellStyle name="Normal 26 70" xfId="10874" xr:uid="{00000000-0005-0000-0000-0000D82B0000}"/>
    <cellStyle name="Normal 26 8" xfId="10875" xr:uid="{00000000-0005-0000-0000-0000D92B0000}"/>
    <cellStyle name="Normal 26 8 2" xfId="10876" xr:uid="{00000000-0005-0000-0000-0000DA2B0000}"/>
    <cellStyle name="Normal 26 9" xfId="10877" xr:uid="{00000000-0005-0000-0000-0000DB2B0000}"/>
    <cellStyle name="Normal 26 9 2" xfId="10878" xr:uid="{00000000-0005-0000-0000-0000DC2B0000}"/>
    <cellStyle name="Normal 27" xfId="10879" xr:uid="{00000000-0005-0000-0000-0000DD2B0000}"/>
    <cellStyle name="Normal 27 10" xfId="10880" xr:uid="{00000000-0005-0000-0000-0000DE2B0000}"/>
    <cellStyle name="Normal 27 10 2" xfId="10881" xr:uid="{00000000-0005-0000-0000-0000DF2B0000}"/>
    <cellStyle name="Normal 27 11" xfId="10882" xr:uid="{00000000-0005-0000-0000-0000E02B0000}"/>
    <cellStyle name="Normal 27 11 2" xfId="10883" xr:uid="{00000000-0005-0000-0000-0000E12B0000}"/>
    <cellStyle name="Normal 27 12" xfId="10884" xr:uid="{00000000-0005-0000-0000-0000E22B0000}"/>
    <cellStyle name="Normal 27 12 2" xfId="10885" xr:uid="{00000000-0005-0000-0000-0000E32B0000}"/>
    <cellStyle name="Normal 27 13" xfId="10886" xr:uid="{00000000-0005-0000-0000-0000E42B0000}"/>
    <cellStyle name="Normal 27 13 2" xfId="10887" xr:uid="{00000000-0005-0000-0000-0000E52B0000}"/>
    <cellStyle name="Normal 27 14" xfId="10888" xr:uid="{00000000-0005-0000-0000-0000E62B0000}"/>
    <cellStyle name="Normal 27 14 2" xfId="10889" xr:uid="{00000000-0005-0000-0000-0000E72B0000}"/>
    <cellStyle name="Normal 27 15" xfId="10890" xr:uid="{00000000-0005-0000-0000-0000E82B0000}"/>
    <cellStyle name="Normal 27 15 2" xfId="10891" xr:uid="{00000000-0005-0000-0000-0000E92B0000}"/>
    <cellStyle name="Normal 27 16" xfId="10892" xr:uid="{00000000-0005-0000-0000-0000EA2B0000}"/>
    <cellStyle name="Normal 27 16 2" xfId="10893" xr:uid="{00000000-0005-0000-0000-0000EB2B0000}"/>
    <cellStyle name="Normal 27 17" xfId="10894" xr:uid="{00000000-0005-0000-0000-0000EC2B0000}"/>
    <cellStyle name="Normal 27 17 2" xfId="10895" xr:uid="{00000000-0005-0000-0000-0000ED2B0000}"/>
    <cellStyle name="Normal 27 18" xfId="10896" xr:uid="{00000000-0005-0000-0000-0000EE2B0000}"/>
    <cellStyle name="Normal 27 18 2" xfId="10897" xr:uid="{00000000-0005-0000-0000-0000EF2B0000}"/>
    <cellStyle name="Normal 27 19" xfId="10898" xr:uid="{00000000-0005-0000-0000-0000F02B0000}"/>
    <cellStyle name="Normal 27 19 2" xfId="10899" xr:uid="{00000000-0005-0000-0000-0000F12B0000}"/>
    <cellStyle name="Normal 27 2" xfId="10900" xr:uid="{00000000-0005-0000-0000-0000F22B0000}"/>
    <cellStyle name="Normal 27 2 2" xfId="10901" xr:uid="{00000000-0005-0000-0000-0000F32B0000}"/>
    <cellStyle name="Normal 27 20" xfId="10902" xr:uid="{00000000-0005-0000-0000-0000F42B0000}"/>
    <cellStyle name="Normal 27 20 2" xfId="10903" xr:uid="{00000000-0005-0000-0000-0000F52B0000}"/>
    <cellStyle name="Normal 27 21" xfId="10904" xr:uid="{00000000-0005-0000-0000-0000F62B0000}"/>
    <cellStyle name="Normal 27 21 2" xfId="10905" xr:uid="{00000000-0005-0000-0000-0000F72B0000}"/>
    <cellStyle name="Normal 27 22" xfId="10906" xr:uid="{00000000-0005-0000-0000-0000F82B0000}"/>
    <cellStyle name="Normal 27 22 2" xfId="10907" xr:uid="{00000000-0005-0000-0000-0000F92B0000}"/>
    <cellStyle name="Normal 27 23" xfId="10908" xr:uid="{00000000-0005-0000-0000-0000FA2B0000}"/>
    <cellStyle name="Normal 27 24" xfId="10909" xr:uid="{00000000-0005-0000-0000-0000FB2B0000}"/>
    <cellStyle name="Normal 27 25" xfId="10910" xr:uid="{00000000-0005-0000-0000-0000FC2B0000}"/>
    <cellStyle name="Normal 27 26" xfId="10911" xr:uid="{00000000-0005-0000-0000-0000FD2B0000}"/>
    <cellStyle name="Normal 27 27" xfId="10912" xr:uid="{00000000-0005-0000-0000-0000FE2B0000}"/>
    <cellStyle name="Normal 27 28" xfId="10913" xr:uid="{00000000-0005-0000-0000-0000FF2B0000}"/>
    <cellStyle name="Normal 27 29" xfId="10914" xr:uid="{00000000-0005-0000-0000-0000002C0000}"/>
    <cellStyle name="Normal 27 3" xfId="10915" xr:uid="{00000000-0005-0000-0000-0000012C0000}"/>
    <cellStyle name="Normal 27 3 2" xfId="10916" xr:uid="{00000000-0005-0000-0000-0000022C0000}"/>
    <cellStyle name="Normal 27 30" xfId="10917" xr:uid="{00000000-0005-0000-0000-0000032C0000}"/>
    <cellStyle name="Normal 27 31" xfId="10918" xr:uid="{00000000-0005-0000-0000-0000042C0000}"/>
    <cellStyle name="Normal 27 32" xfId="10919" xr:uid="{00000000-0005-0000-0000-0000052C0000}"/>
    <cellStyle name="Normal 27 33" xfId="10920" xr:uid="{00000000-0005-0000-0000-0000062C0000}"/>
    <cellStyle name="Normal 27 34" xfId="10921" xr:uid="{00000000-0005-0000-0000-0000072C0000}"/>
    <cellStyle name="Normal 27 35" xfId="10922" xr:uid="{00000000-0005-0000-0000-0000082C0000}"/>
    <cellStyle name="Normal 27 36" xfId="10923" xr:uid="{00000000-0005-0000-0000-0000092C0000}"/>
    <cellStyle name="Normal 27 37" xfId="10924" xr:uid="{00000000-0005-0000-0000-00000A2C0000}"/>
    <cellStyle name="Normal 27 38" xfId="10925" xr:uid="{00000000-0005-0000-0000-00000B2C0000}"/>
    <cellStyle name="Normal 27 39" xfId="10926" xr:uid="{00000000-0005-0000-0000-00000C2C0000}"/>
    <cellStyle name="Normal 27 4" xfId="10927" xr:uid="{00000000-0005-0000-0000-00000D2C0000}"/>
    <cellStyle name="Normal 27 4 2" xfId="10928" xr:uid="{00000000-0005-0000-0000-00000E2C0000}"/>
    <cellStyle name="Normal 27 40" xfId="10929" xr:uid="{00000000-0005-0000-0000-00000F2C0000}"/>
    <cellStyle name="Normal 27 41" xfId="10930" xr:uid="{00000000-0005-0000-0000-0000102C0000}"/>
    <cellStyle name="Normal 27 42" xfId="10931" xr:uid="{00000000-0005-0000-0000-0000112C0000}"/>
    <cellStyle name="Normal 27 43" xfId="10932" xr:uid="{00000000-0005-0000-0000-0000122C0000}"/>
    <cellStyle name="Normal 27 44" xfId="10933" xr:uid="{00000000-0005-0000-0000-0000132C0000}"/>
    <cellStyle name="Normal 27 45" xfId="10934" xr:uid="{00000000-0005-0000-0000-0000142C0000}"/>
    <cellStyle name="Normal 27 46" xfId="10935" xr:uid="{00000000-0005-0000-0000-0000152C0000}"/>
    <cellStyle name="Normal 27 47" xfId="10936" xr:uid="{00000000-0005-0000-0000-0000162C0000}"/>
    <cellStyle name="Normal 27 48" xfId="10937" xr:uid="{00000000-0005-0000-0000-0000172C0000}"/>
    <cellStyle name="Normal 27 49" xfId="10938" xr:uid="{00000000-0005-0000-0000-0000182C0000}"/>
    <cellStyle name="Normal 27 5" xfId="10939" xr:uid="{00000000-0005-0000-0000-0000192C0000}"/>
    <cellStyle name="Normal 27 5 2" xfId="10940" xr:uid="{00000000-0005-0000-0000-00001A2C0000}"/>
    <cellStyle name="Normal 27 50" xfId="10941" xr:uid="{00000000-0005-0000-0000-00001B2C0000}"/>
    <cellStyle name="Normal 27 51" xfId="10942" xr:uid="{00000000-0005-0000-0000-00001C2C0000}"/>
    <cellStyle name="Normal 27 52" xfId="10943" xr:uid="{00000000-0005-0000-0000-00001D2C0000}"/>
    <cellStyle name="Normal 27 53" xfId="10944" xr:uid="{00000000-0005-0000-0000-00001E2C0000}"/>
    <cellStyle name="Normal 27 54" xfId="10945" xr:uid="{00000000-0005-0000-0000-00001F2C0000}"/>
    <cellStyle name="Normal 27 55" xfId="10946" xr:uid="{00000000-0005-0000-0000-0000202C0000}"/>
    <cellStyle name="Normal 27 56" xfId="10947" xr:uid="{00000000-0005-0000-0000-0000212C0000}"/>
    <cellStyle name="Normal 27 57" xfId="10948" xr:uid="{00000000-0005-0000-0000-0000222C0000}"/>
    <cellStyle name="Normal 27 58" xfId="10949" xr:uid="{00000000-0005-0000-0000-0000232C0000}"/>
    <cellStyle name="Normal 27 59" xfId="10950" xr:uid="{00000000-0005-0000-0000-0000242C0000}"/>
    <cellStyle name="Normal 27 6" xfId="10951" xr:uid="{00000000-0005-0000-0000-0000252C0000}"/>
    <cellStyle name="Normal 27 6 2" xfId="10952" xr:uid="{00000000-0005-0000-0000-0000262C0000}"/>
    <cellStyle name="Normal 27 60" xfId="10953" xr:uid="{00000000-0005-0000-0000-0000272C0000}"/>
    <cellStyle name="Normal 27 61" xfId="10954" xr:uid="{00000000-0005-0000-0000-0000282C0000}"/>
    <cellStyle name="Normal 27 62" xfId="10955" xr:uid="{00000000-0005-0000-0000-0000292C0000}"/>
    <cellStyle name="Normal 27 63" xfId="10956" xr:uid="{00000000-0005-0000-0000-00002A2C0000}"/>
    <cellStyle name="Normal 27 64" xfId="10957" xr:uid="{00000000-0005-0000-0000-00002B2C0000}"/>
    <cellStyle name="Normal 27 65" xfId="10958" xr:uid="{00000000-0005-0000-0000-00002C2C0000}"/>
    <cellStyle name="Normal 27 66" xfId="10959" xr:uid="{00000000-0005-0000-0000-00002D2C0000}"/>
    <cellStyle name="Normal 27 67" xfId="10960" xr:uid="{00000000-0005-0000-0000-00002E2C0000}"/>
    <cellStyle name="Normal 27 68" xfId="10961" xr:uid="{00000000-0005-0000-0000-00002F2C0000}"/>
    <cellStyle name="Normal 27 69" xfId="10962" xr:uid="{00000000-0005-0000-0000-0000302C0000}"/>
    <cellStyle name="Normal 27 7" xfId="10963" xr:uid="{00000000-0005-0000-0000-0000312C0000}"/>
    <cellStyle name="Normal 27 7 2" xfId="10964" xr:uid="{00000000-0005-0000-0000-0000322C0000}"/>
    <cellStyle name="Normal 27 70" xfId="10965" xr:uid="{00000000-0005-0000-0000-0000332C0000}"/>
    <cellStyle name="Normal 27 8" xfId="10966" xr:uid="{00000000-0005-0000-0000-0000342C0000}"/>
    <cellStyle name="Normal 27 8 2" xfId="10967" xr:uid="{00000000-0005-0000-0000-0000352C0000}"/>
    <cellStyle name="Normal 27 9" xfId="10968" xr:uid="{00000000-0005-0000-0000-0000362C0000}"/>
    <cellStyle name="Normal 27 9 2" xfId="10969" xr:uid="{00000000-0005-0000-0000-0000372C0000}"/>
    <cellStyle name="Normal 28" xfId="10970" xr:uid="{00000000-0005-0000-0000-0000382C0000}"/>
    <cellStyle name="Normal 28 10" xfId="10971" xr:uid="{00000000-0005-0000-0000-0000392C0000}"/>
    <cellStyle name="Normal 28 10 2" xfId="10972" xr:uid="{00000000-0005-0000-0000-00003A2C0000}"/>
    <cellStyle name="Normal 28 11" xfId="10973" xr:uid="{00000000-0005-0000-0000-00003B2C0000}"/>
    <cellStyle name="Normal 28 11 2" xfId="10974" xr:uid="{00000000-0005-0000-0000-00003C2C0000}"/>
    <cellStyle name="Normal 28 12" xfId="10975" xr:uid="{00000000-0005-0000-0000-00003D2C0000}"/>
    <cellStyle name="Normal 28 12 2" xfId="10976" xr:uid="{00000000-0005-0000-0000-00003E2C0000}"/>
    <cellStyle name="Normal 28 13" xfId="10977" xr:uid="{00000000-0005-0000-0000-00003F2C0000}"/>
    <cellStyle name="Normal 28 13 2" xfId="10978" xr:uid="{00000000-0005-0000-0000-0000402C0000}"/>
    <cellStyle name="Normal 28 14" xfId="10979" xr:uid="{00000000-0005-0000-0000-0000412C0000}"/>
    <cellStyle name="Normal 28 14 2" xfId="10980" xr:uid="{00000000-0005-0000-0000-0000422C0000}"/>
    <cellStyle name="Normal 28 15" xfId="10981" xr:uid="{00000000-0005-0000-0000-0000432C0000}"/>
    <cellStyle name="Normal 28 15 2" xfId="10982" xr:uid="{00000000-0005-0000-0000-0000442C0000}"/>
    <cellStyle name="Normal 28 16" xfId="10983" xr:uid="{00000000-0005-0000-0000-0000452C0000}"/>
    <cellStyle name="Normal 28 16 2" xfId="10984" xr:uid="{00000000-0005-0000-0000-0000462C0000}"/>
    <cellStyle name="Normal 28 17" xfId="10985" xr:uid="{00000000-0005-0000-0000-0000472C0000}"/>
    <cellStyle name="Normal 28 17 2" xfId="10986" xr:uid="{00000000-0005-0000-0000-0000482C0000}"/>
    <cellStyle name="Normal 28 18" xfId="10987" xr:uid="{00000000-0005-0000-0000-0000492C0000}"/>
    <cellStyle name="Normal 28 18 2" xfId="10988" xr:uid="{00000000-0005-0000-0000-00004A2C0000}"/>
    <cellStyle name="Normal 28 19" xfId="10989" xr:uid="{00000000-0005-0000-0000-00004B2C0000}"/>
    <cellStyle name="Normal 28 19 2" xfId="10990" xr:uid="{00000000-0005-0000-0000-00004C2C0000}"/>
    <cellStyle name="Normal 28 2" xfId="10991" xr:uid="{00000000-0005-0000-0000-00004D2C0000}"/>
    <cellStyle name="Normal 28 2 2" xfId="10992" xr:uid="{00000000-0005-0000-0000-00004E2C0000}"/>
    <cellStyle name="Normal 28 20" xfId="10993" xr:uid="{00000000-0005-0000-0000-00004F2C0000}"/>
    <cellStyle name="Normal 28 20 2" xfId="10994" xr:uid="{00000000-0005-0000-0000-0000502C0000}"/>
    <cellStyle name="Normal 28 21" xfId="10995" xr:uid="{00000000-0005-0000-0000-0000512C0000}"/>
    <cellStyle name="Normal 28 21 2" xfId="10996" xr:uid="{00000000-0005-0000-0000-0000522C0000}"/>
    <cellStyle name="Normal 28 22" xfId="10997" xr:uid="{00000000-0005-0000-0000-0000532C0000}"/>
    <cellStyle name="Normal 28 22 2" xfId="10998" xr:uid="{00000000-0005-0000-0000-0000542C0000}"/>
    <cellStyle name="Normal 28 23" xfId="10999" xr:uid="{00000000-0005-0000-0000-0000552C0000}"/>
    <cellStyle name="Normal 28 24" xfId="11000" xr:uid="{00000000-0005-0000-0000-0000562C0000}"/>
    <cellStyle name="Normal 28 25" xfId="11001" xr:uid="{00000000-0005-0000-0000-0000572C0000}"/>
    <cellStyle name="Normal 28 26" xfId="11002" xr:uid="{00000000-0005-0000-0000-0000582C0000}"/>
    <cellStyle name="Normal 28 27" xfId="11003" xr:uid="{00000000-0005-0000-0000-0000592C0000}"/>
    <cellStyle name="Normal 28 28" xfId="11004" xr:uid="{00000000-0005-0000-0000-00005A2C0000}"/>
    <cellStyle name="Normal 28 29" xfId="11005" xr:uid="{00000000-0005-0000-0000-00005B2C0000}"/>
    <cellStyle name="Normal 28 3" xfId="11006" xr:uid="{00000000-0005-0000-0000-00005C2C0000}"/>
    <cellStyle name="Normal 28 3 2" xfId="11007" xr:uid="{00000000-0005-0000-0000-00005D2C0000}"/>
    <cellStyle name="Normal 28 30" xfId="11008" xr:uid="{00000000-0005-0000-0000-00005E2C0000}"/>
    <cellStyle name="Normal 28 31" xfId="11009" xr:uid="{00000000-0005-0000-0000-00005F2C0000}"/>
    <cellStyle name="Normal 28 32" xfId="11010" xr:uid="{00000000-0005-0000-0000-0000602C0000}"/>
    <cellStyle name="Normal 28 33" xfId="11011" xr:uid="{00000000-0005-0000-0000-0000612C0000}"/>
    <cellStyle name="Normal 28 34" xfId="11012" xr:uid="{00000000-0005-0000-0000-0000622C0000}"/>
    <cellStyle name="Normal 28 35" xfId="11013" xr:uid="{00000000-0005-0000-0000-0000632C0000}"/>
    <cellStyle name="Normal 28 36" xfId="11014" xr:uid="{00000000-0005-0000-0000-0000642C0000}"/>
    <cellStyle name="Normal 28 37" xfId="11015" xr:uid="{00000000-0005-0000-0000-0000652C0000}"/>
    <cellStyle name="Normal 28 38" xfId="11016" xr:uid="{00000000-0005-0000-0000-0000662C0000}"/>
    <cellStyle name="Normal 28 39" xfId="11017" xr:uid="{00000000-0005-0000-0000-0000672C0000}"/>
    <cellStyle name="Normal 28 4" xfId="11018" xr:uid="{00000000-0005-0000-0000-0000682C0000}"/>
    <cellStyle name="Normal 28 4 2" xfId="11019" xr:uid="{00000000-0005-0000-0000-0000692C0000}"/>
    <cellStyle name="Normal 28 40" xfId="11020" xr:uid="{00000000-0005-0000-0000-00006A2C0000}"/>
    <cellStyle name="Normal 28 41" xfId="11021" xr:uid="{00000000-0005-0000-0000-00006B2C0000}"/>
    <cellStyle name="Normal 28 42" xfId="11022" xr:uid="{00000000-0005-0000-0000-00006C2C0000}"/>
    <cellStyle name="Normal 28 43" xfId="11023" xr:uid="{00000000-0005-0000-0000-00006D2C0000}"/>
    <cellStyle name="Normal 28 44" xfId="11024" xr:uid="{00000000-0005-0000-0000-00006E2C0000}"/>
    <cellStyle name="Normal 28 45" xfId="11025" xr:uid="{00000000-0005-0000-0000-00006F2C0000}"/>
    <cellStyle name="Normal 28 46" xfId="11026" xr:uid="{00000000-0005-0000-0000-0000702C0000}"/>
    <cellStyle name="Normal 28 47" xfId="11027" xr:uid="{00000000-0005-0000-0000-0000712C0000}"/>
    <cellStyle name="Normal 28 48" xfId="11028" xr:uid="{00000000-0005-0000-0000-0000722C0000}"/>
    <cellStyle name="Normal 28 49" xfId="11029" xr:uid="{00000000-0005-0000-0000-0000732C0000}"/>
    <cellStyle name="Normal 28 5" xfId="11030" xr:uid="{00000000-0005-0000-0000-0000742C0000}"/>
    <cellStyle name="Normal 28 5 2" xfId="11031" xr:uid="{00000000-0005-0000-0000-0000752C0000}"/>
    <cellStyle name="Normal 28 50" xfId="11032" xr:uid="{00000000-0005-0000-0000-0000762C0000}"/>
    <cellStyle name="Normal 28 51" xfId="11033" xr:uid="{00000000-0005-0000-0000-0000772C0000}"/>
    <cellStyle name="Normal 28 52" xfId="11034" xr:uid="{00000000-0005-0000-0000-0000782C0000}"/>
    <cellStyle name="Normal 28 53" xfId="11035" xr:uid="{00000000-0005-0000-0000-0000792C0000}"/>
    <cellStyle name="Normal 28 54" xfId="11036" xr:uid="{00000000-0005-0000-0000-00007A2C0000}"/>
    <cellStyle name="Normal 28 55" xfId="11037" xr:uid="{00000000-0005-0000-0000-00007B2C0000}"/>
    <cellStyle name="Normal 28 56" xfId="11038" xr:uid="{00000000-0005-0000-0000-00007C2C0000}"/>
    <cellStyle name="Normal 28 57" xfId="11039" xr:uid="{00000000-0005-0000-0000-00007D2C0000}"/>
    <cellStyle name="Normal 28 58" xfId="11040" xr:uid="{00000000-0005-0000-0000-00007E2C0000}"/>
    <cellStyle name="Normal 28 59" xfId="11041" xr:uid="{00000000-0005-0000-0000-00007F2C0000}"/>
    <cellStyle name="Normal 28 6" xfId="11042" xr:uid="{00000000-0005-0000-0000-0000802C0000}"/>
    <cellStyle name="Normal 28 6 2" xfId="11043" xr:uid="{00000000-0005-0000-0000-0000812C0000}"/>
    <cellStyle name="Normal 28 60" xfId="11044" xr:uid="{00000000-0005-0000-0000-0000822C0000}"/>
    <cellStyle name="Normal 28 61" xfId="11045" xr:uid="{00000000-0005-0000-0000-0000832C0000}"/>
    <cellStyle name="Normal 28 62" xfId="11046" xr:uid="{00000000-0005-0000-0000-0000842C0000}"/>
    <cellStyle name="Normal 28 63" xfId="11047" xr:uid="{00000000-0005-0000-0000-0000852C0000}"/>
    <cellStyle name="Normal 28 64" xfId="11048" xr:uid="{00000000-0005-0000-0000-0000862C0000}"/>
    <cellStyle name="Normal 28 65" xfId="11049" xr:uid="{00000000-0005-0000-0000-0000872C0000}"/>
    <cellStyle name="Normal 28 66" xfId="11050" xr:uid="{00000000-0005-0000-0000-0000882C0000}"/>
    <cellStyle name="Normal 28 67" xfId="11051" xr:uid="{00000000-0005-0000-0000-0000892C0000}"/>
    <cellStyle name="Normal 28 68" xfId="11052" xr:uid="{00000000-0005-0000-0000-00008A2C0000}"/>
    <cellStyle name="Normal 28 69" xfId="11053" xr:uid="{00000000-0005-0000-0000-00008B2C0000}"/>
    <cellStyle name="Normal 28 7" xfId="11054" xr:uid="{00000000-0005-0000-0000-00008C2C0000}"/>
    <cellStyle name="Normal 28 7 2" xfId="11055" xr:uid="{00000000-0005-0000-0000-00008D2C0000}"/>
    <cellStyle name="Normal 28 70" xfId="11056" xr:uid="{00000000-0005-0000-0000-00008E2C0000}"/>
    <cellStyle name="Normal 28 8" xfId="11057" xr:uid="{00000000-0005-0000-0000-00008F2C0000}"/>
    <cellStyle name="Normal 28 8 2" xfId="11058" xr:uid="{00000000-0005-0000-0000-0000902C0000}"/>
    <cellStyle name="Normal 28 9" xfId="11059" xr:uid="{00000000-0005-0000-0000-0000912C0000}"/>
    <cellStyle name="Normal 28 9 2" xfId="11060" xr:uid="{00000000-0005-0000-0000-0000922C0000}"/>
    <cellStyle name="Normal 29" xfId="11061" xr:uid="{00000000-0005-0000-0000-0000932C0000}"/>
    <cellStyle name="Normal 29 10" xfId="11062" xr:uid="{00000000-0005-0000-0000-0000942C0000}"/>
    <cellStyle name="Normal 29 10 2" xfId="11063" xr:uid="{00000000-0005-0000-0000-0000952C0000}"/>
    <cellStyle name="Normal 29 11" xfId="11064" xr:uid="{00000000-0005-0000-0000-0000962C0000}"/>
    <cellStyle name="Normal 29 11 2" xfId="11065" xr:uid="{00000000-0005-0000-0000-0000972C0000}"/>
    <cellStyle name="Normal 29 12" xfId="11066" xr:uid="{00000000-0005-0000-0000-0000982C0000}"/>
    <cellStyle name="Normal 29 12 2" xfId="11067" xr:uid="{00000000-0005-0000-0000-0000992C0000}"/>
    <cellStyle name="Normal 29 13" xfId="11068" xr:uid="{00000000-0005-0000-0000-00009A2C0000}"/>
    <cellStyle name="Normal 29 13 2" xfId="11069" xr:uid="{00000000-0005-0000-0000-00009B2C0000}"/>
    <cellStyle name="Normal 29 14" xfId="11070" xr:uid="{00000000-0005-0000-0000-00009C2C0000}"/>
    <cellStyle name="Normal 29 14 2" xfId="11071" xr:uid="{00000000-0005-0000-0000-00009D2C0000}"/>
    <cellStyle name="Normal 29 15" xfId="11072" xr:uid="{00000000-0005-0000-0000-00009E2C0000}"/>
    <cellStyle name="Normal 29 15 2" xfId="11073" xr:uid="{00000000-0005-0000-0000-00009F2C0000}"/>
    <cellStyle name="Normal 29 16" xfId="11074" xr:uid="{00000000-0005-0000-0000-0000A02C0000}"/>
    <cellStyle name="Normal 29 16 2" xfId="11075" xr:uid="{00000000-0005-0000-0000-0000A12C0000}"/>
    <cellStyle name="Normal 29 17" xfId="11076" xr:uid="{00000000-0005-0000-0000-0000A22C0000}"/>
    <cellStyle name="Normal 29 17 2" xfId="11077" xr:uid="{00000000-0005-0000-0000-0000A32C0000}"/>
    <cellStyle name="Normal 29 18" xfId="11078" xr:uid="{00000000-0005-0000-0000-0000A42C0000}"/>
    <cellStyle name="Normal 29 18 2" xfId="11079" xr:uid="{00000000-0005-0000-0000-0000A52C0000}"/>
    <cellStyle name="Normal 29 19" xfId="11080" xr:uid="{00000000-0005-0000-0000-0000A62C0000}"/>
    <cellStyle name="Normal 29 19 2" xfId="11081" xr:uid="{00000000-0005-0000-0000-0000A72C0000}"/>
    <cellStyle name="Normal 29 2" xfId="11082" xr:uid="{00000000-0005-0000-0000-0000A82C0000}"/>
    <cellStyle name="Normal 29 2 2" xfId="11083" xr:uid="{00000000-0005-0000-0000-0000A92C0000}"/>
    <cellStyle name="Normal 29 20" xfId="11084" xr:uid="{00000000-0005-0000-0000-0000AA2C0000}"/>
    <cellStyle name="Normal 29 20 2" xfId="11085" xr:uid="{00000000-0005-0000-0000-0000AB2C0000}"/>
    <cellStyle name="Normal 29 21" xfId="11086" xr:uid="{00000000-0005-0000-0000-0000AC2C0000}"/>
    <cellStyle name="Normal 29 21 2" xfId="11087" xr:uid="{00000000-0005-0000-0000-0000AD2C0000}"/>
    <cellStyle name="Normal 29 22" xfId="11088" xr:uid="{00000000-0005-0000-0000-0000AE2C0000}"/>
    <cellStyle name="Normal 29 22 2" xfId="11089" xr:uid="{00000000-0005-0000-0000-0000AF2C0000}"/>
    <cellStyle name="Normal 29 23" xfId="11090" xr:uid="{00000000-0005-0000-0000-0000B02C0000}"/>
    <cellStyle name="Normal 29 24" xfId="11091" xr:uid="{00000000-0005-0000-0000-0000B12C0000}"/>
    <cellStyle name="Normal 29 25" xfId="11092" xr:uid="{00000000-0005-0000-0000-0000B22C0000}"/>
    <cellStyle name="Normal 29 26" xfId="11093" xr:uid="{00000000-0005-0000-0000-0000B32C0000}"/>
    <cellStyle name="Normal 29 27" xfId="11094" xr:uid="{00000000-0005-0000-0000-0000B42C0000}"/>
    <cellStyle name="Normal 29 28" xfId="11095" xr:uid="{00000000-0005-0000-0000-0000B52C0000}"/>
    <cellStyle name="Normal 29 29" xfId="11096" xr:uid="{00000000-0005-0000-0000-0000B62C0000}"/>
    <cellStyle name="Normal 29 3" xfId="11097" xr:uid="{00000000-0005-0000-0000-0000B72C0000}"/>
    <cellStyle name="Normal 29 3 2" xfId="11098" xr:uid="{00000000-0005-0000-0000-0000B82C0000}"/>
    <cellStyle name="Normal 29 30" xfId="11099" xr:uid="{00000000-0005-0000-0000-0000B92C0000}"/>
    <cellStyle name="Normal 29 31" xfId="11100" xr:uid="{00000000-0005-0000-0000-0000BA2C0000}"/>
    <cellStyle name="Normal 29 32" xfId="11101" xr:uid="{00000000-0005-0000-0000-0000BB2C0000}"/>
    <cellStyle name="Normal 29 33" xfId="11102" xr:uid="{00000000-0005-0000-0000-0000BC2C0000}"/>
    <cellStyle name="Normal 29 34" xfId="11103" xr:uid="{00000000-0005-0000-0000-0000BD2C0000}"/>
    <cellStyle name="Normal 29 35" xfId="11104" xr:uid="{00000000-0005-0000-0000-0000BE2C0000}"/>
    <cellStyle name="Normal 29 36" xfId="11105" xr:uid="{00000000-0005-0000-0000-0000BF2C0000}"/>
    <cellStyle name="Normal 29 37" xfId="11106" xr:uid="{00000000-0005-0000-0000-0000C02C0000}"/>
    <cellStyle name="Normal 29 38" xfId="11107" xr:uid="{00000000-0005-0000-0000-0000C12C0000}"/>
    <cellStyle name="Normal 29 39" xfId="11108" xr:uid="{00000000-0005-0000-0000-0000C22C0000}"/>
    <cellStyle name="Normal 29 4" xfId="11109" xr:uid="{00000000-0005-0000-0000-0000C32C0000}"/>
    <cellStyle name="Normal 29 4 2" xfId="11110" xr:uid="{00000000-0005-0000-0000-0000C42C0000}"/>
    <cellStyle name="Normal 29 40" xfId="11111" xr:uid="{00000000-0005-0000-0000-0000C52C0000}"/>
    <cellStyle name="Normal 29 41" xfId="11112" xr:uid="{00000000-0005-0000-0000-0000C62C0000}"/>
    <cellStyle name="Normal 29 42" xfId="11113" xr:uid="{00000000-0005-0000-0000-0000C72C0000}"/>
    <cellStyle name="Normal 29 43" xfId="11114" xr:uid="{00000000-0005-0000-0000-0000C82C0000}"/>
    <cellStyle name="Normal 29 44" xfId="11115" xr:uid="{00000000-0005-0000-0000-0000C92C0000}"/>
    <cellStyle name="Normal 29 45" xfId="11116" xr:uid="{00000000-0005-0000-0000-0000CA2C0000}"/>
    <cellStyle name="Normal 29 46" xfId="11117" xr:uid="{00000000-0005-0000-0000-0000CB2C0000}"/>
    <cellStyle name="Normal 29 47" xfId="11118" xr:uid="{00000000-0005-0000-0000-0000CC2C0000}"/>
    <cellStyle name="Normal 29 48" xfId="11119" xr:uid="{00000000-0005-0000-0000-0000CD2C0000}"/>
    <cellStyle name="Normal 29 49" xfId="11120" xr:uid="{00000000-0005-0000-0000-0000CE2C0000}"/>
    <cellStyle name="Normal 29 5" xfId="11121" xr:uid="{00000000-0005-0000-0000-0000CF2C0000}"/>
    <cellStyle name="Normal 29 5 2" xfId="11122" xr:uid="{00000000-0005-0000-0000-0000D02C0000}"/>
    <cellStyle name="Normal 29 50" xfId="11123" xr:uid="{00000000-0005-0000-0000-0000D12C0000}"/>
    <cellStyle name="Normal 29 51" xfId="11124" xr:uid="{00000000-0005-0000-0000-0000D22C0000}"/>
    <cellStyle name="Normal 29 52" xfId="11125" xr:uid="{00000000-0005-0000-0000-0000D32C0000}"/>
    <cellStyle name="Normal 29 53" xfId="11126" xr:uid="{00000000-0005-0000-0000-0000D42C0000}"/>
    <cellStyle name="Normal 29 54" xfId="11127" xr:uid="{00000000-0005-0000-0000-0000D52C0000}"/>
    <cellStyle name="Normal 29 55" xfId="11128" xr:uid="{00000000-0005-0000-0000-0000D62C0000}"/>
    <cellStyle name="Normal 29 56" xfId="11129" xr:uid="{00000000-0005-0000-0000-0000D72C0000}"/>
    <cellStyle name="Normal 29 57" xfId="11130" xr:uid="{00000000-0005-0000-0000-0000D82C0000}"/>
    <cellStyle name="Normal 29 58" xfId="11131" xr:uid="{00000000-0005-0000-0000-0000D92C0000}"/>
    <cellStyle name="Normal 29 59" xfId="11132" xr:uid="{00000000-0005-0000-0000-0000DA2C0000}"/>
    <cellStyle name="Normal 29 6" xfId="11133" xr:uid="{00000000-0005-0000-0000-0000DB2C0000}"/>
    <cellStyle name="Normal 29 6 2" xfId="11134" xr:uid="{00000000-0005-0000-0000-0000DC2C0000}"/>
    <cellStyle name="Normal 29 60" xfId="11135" xr:uid="{00000000-0005-0000-0000-0000DD2C0000}"/>
    <cellStyle name="Normal 29 61" xfId="11136" xr:uid="{00000000-0005-0000-0000-0000DE2C0000}"/>
    <cellStyle name="Normal 29 62" xfId="11137" xr:uid="{00000000-0005-0000-0000-0000DF2C0000}"/>
    <cellStyle name="Normal 29 63" xfId="11138" xr:uid="{00000000-0005-0000-0000-0000E02C0000}"/>
    <cellStyle name="Normal 29 64" xfId="11139" xr:uid="{00000000-0005-0000-0000-0000E12C0000}"/>
    <cellStyle name="Normal 29 65" xfId="11140" xr:uid="{00000000-0005-0000-0000-0000E22C0000}"/>
    <cellStyle name="Normal 29 66" xfId="11141" xr:uid="{00000000-0005-0000-0000-0000E32C0000}"/>
    <cellStyle name="Normal 29 67" xfId="11142" xr:uid="{00000000-0005-0000-0000-0000E42C0000}"/>
    <cellStyle name="Normal 29 68" xfId="11143" xr:uid="{00000000-0005-0000-0000-0000E52C0000}"/>
    <cellStyle name="Normal 29 69" xfId="11144" xr:uid="{00000000-0005-0000-0000-0000E62C0000}"/>
    <cellStyle name="Normal 29 7" xfId="11145" xr:uid="{00000000-0005-0000-0000-0000E72C0000}"/>
    <cellStyle name="Normal 29 7 2" xfId="11146" xr:uid="{00000000-0005-0000-0000-0000E82C0000}"/>
    <cellStyle name="Normal 29 70" xfId="11147" xr:uid="{00000000-0005-0000-0000-0000E92C0000}"/>
    <cellStyle name="Normal 29 8" xfId="11148" xr:uid="{00000000-0005-0000-0000-0000EA2C0000}"/>
    <cellStyle name="Normal 29 8 2" xfId="11149" xr:uid="{00000000-0005-0000-0000-0000EB2C0000}"/>
    <cellStyle name="Normal 29 9" xfId="11150" xr:uid="{00000000-0005-0000-0000-0000EC2C0000}"/>
    <cellStyle name="Normal 29 9 2" xfId="11151" xr:uid="{00000000-0005-0000-0000-0000ED2C0000}"/>
    <cellStyle name="Normal 3" xfId="11152" xr:uid="{00000000-0005-0000-0000-0000EE2C0000}"/>
    <cellStyle name="Normal 3 10" xfId="11153" xr:uid="{00000000-0005-0000-0000-0000EF2C0000}"/>
    <cellStyle name="Normal 3 10 10" xfId="11154" xr:uid="{00000000-0005-0000-0000-0000F02C0000}"/>
    <cellStyle name="Normal 3 10 11" xfId="11155" xr:uid="{00000000-0005-0000-0000-0000F12C0000}"/>
    <cellStyle name="Normal 3 10 12" xfId="11156" xr:uid="{00000000-0005-0000-0000-0000F22C0000}"/>
    <cellStyle name="Normal 3 10 13" xfId="11157" xr:uid="{00000000-0005-0000-0000-0000F32C0000}"/>
    <cellStyle name="Normal 3 10 14" xfId="11158" xr:uid="{00000000-0005-0000-0000-0000F42C0000}"/>
    <cellStyle name="Normal 3 10 15" xfId="11159" xr:uid="{00000000-0005-0000-0000-0000F52C0000}"/>
    <cellStyle name="Normal 3 10 16" xfId="11160" xr:uid="{00000000-0005-0000-0000-0000F62C0000}"/>
    <cellStyle name="Normal 3 10 17" xfId="11161" xr:uid="{00000000-0005-0000-0000-0000F72C0000}"/>
    <cellStyle name="Normal 3 10 18" xfId="11162" xr:uid="{00000000-0005-0000-0000-0000F82C0000}"/>
    <cellStyle name="Normal 3 10 19" xfId="11163" xr:uid="{00000000-0005-0000-0000-0000F92C0000}"/>
    <cellStyle name="Normal 3 10 2" xfId="11164" xr:uid="{00000000-0005-0000-0000-0000FA2C0000}"/>
    <cellStyle name="Normal 3 10 2 10" xfId="11165" xr:uid="{00000000-0005-0000-0000-0000FB2C0000}"/>
    <cellStyle name="Normal 3 10 2 11" xfId="11166" xr:uid="{00000000-0005-0000-0000-0000FC2C0000}"/>
    <cellStyle name="Normal 3 10 2 12" xfId="11167" xr:uid="{00000000-0005-0000-0000-0000FD2C0000}"/>
    <cellStyle name="Normal 3 10 2 13" xfId="11168" xr:uid="{00000000-0005-0000-0000-0000FE2C0000}"/>
    <cellStyle name="Normal 3 10 2 2" xfId="11169" xr:uid="{00000000-0005-0000-0000-0000FF2C0000}"/>
    <cellStyle name="Normal 3 10 2 3" xfId="11170" xr:uid="{00000000-0005-0000-0000-0000002D0000}"/>
    <cellStyle name="Normal 3 10 2 4" xfId="11171" xr:uid="{00000000-0005-0000-0000-0000012D0000}"/>
    <cellStyle name="Normal 3 10 2 5" xfId="11172" xr:uid="{00000000-0005-0000-0000-0000022D0000}"/>
    <cellStyle name="Normal 3 10 2 6" xfId="11173" xr:uid="{00000000-0005-0000-0000-0000032D0000}"/>
    <cellStyle name="Normal 3 10 2 7" xfId="11174" xr:uid="{00000000-0005-0000-0000-0000042D0000}"/>
    <cellStyle name="Normal 3 10 2 8" xfId="11175" xr:uid="{00000000-0005-0000-0000-0000052D0000}"/>
    <cellStyle name="Normal 3 10 2 9" xfId="11176" xr:uid="{00000000-0005-0000-0000-0000062D0000}"/>
    <cellStyle name="Normal 3 10 20" xfId="11177" xr:uid="{00000000-0005-0000-0000-0000072D0000}"/>
    <cellStyle name="Normal 3 10 21" xfId="11178" xr:uid="{00000000-0005-0000-0000-0000082D0000}"/>
    <cellStyle name="Normal 3 10 3" xfId="11179" xr:uid="{00000000-0005-0000-0000-0000092D0000}"/>
    <cellStyle name="Normal 3 10 4" xfId="11180" xr:uid="{00000000-0005-0000-0000-00000A2D0000}"/>
    <cellStyle name="Normal 3 10 5" xfId="11181" xr:uid="{00000000-0005-0000-0000-00000B2D0000}"/>
    <cellStyle name="Normal 3 10 6" xfId="11182" xr:uid="{00000000-0005-0000-0000-00000C2D0000}"/>
    <cellStyle name="Normal 3 10 7" xfId="11183" xr:uid="{00000000-0005-0000-0000-00000D2D0000}"/>
    <cellStyle name="Normal 3 10 8" xfId="11184" xr:uid="{00000000-0005-0000-0000-00000E2D0000}"/>
    <cellStyle name="Normal 3 10 9" xfId="11185" xr:uid="{00000000-0005-0000-0000-00000F2D0000}"/>
    <cellStyle name="Normal 3 11" xfId="11186" xr:uid="{00000000-0005-0000-0000-0000102D0000}"/>
    <cellStyle name="Normal 3 11 10" xfId="11187" xr:uid="{00000000-0005-0000-0000-0000112D0000}"/>
    <cellStyle name="Normal 3 11 11" xfId="11188" xr:uid="{00000000-0005-0000-0000-0000122D0000}"/>
    <cellStyle name="Normal 3 11 12" xfId="11189" xr:uid="{00000000-0005-0000-0000-0000132D0000}"/>
    <cellStyle name="Normal 3 11 13" xfId="11190" xr:uid="{00000000-0005-0000-0000-0000142D0000}"/>
    <cellStyle name="Normal 3 11 14" xfId="11191" xr:uid="{00000000-0005-0000-0000-0000152D0000}"/>
    <cellStyle name="Normal 3 11 15" xfId="11192" xr:uid="{00000000-0005-0000-0000-0000162D0000}"/>
    <cellStyle name="Normal 3 11 16" xfId="11193" xr:uid="{00000000-0005-0000-0000-0000172D0000}"/>
    <cellStyle name="Normal 3 11 17" xfId="11194" xr:uid="{00000000-0005-0000-0000-0000182D0000}"/>
    <cellStyle name="Normal 3 11 2" xfId="11195" xr:uid="{00000000-0005-0000-0000-0000192D0000}"/>
    <cellStyle name="Normal 3 11 3" xfId="11196" xr:uid="{00000000-0005-0000-0000-00001A2D0000}"/>
    <cellStyle name="Normal 3 11 4" xfId="11197" xr:uid="{00000000-0005-0000-0000-00001B2D0000}"/>
    <cellStyle name="Normal 3 11 5" xfId="11198" xr:uid="{00000000-0005-0000-0000-00001C2D0000}"/>
    <cellStyle name="Normal 3 11 6" xfId="11199" xr:uid="{00000000-0005-0000-0000-00001D2D0000}"/>
    <cellStyle name="Normal 3 11 7" xfId="11200" xr:uid="{00000000-0005-0000-0000-00001E2D0000}"/>
    <cellStyle name="Normal 3 11 8" xfId="11201" xr:uid="{00000000-0005-0000-0000-00001F2D0000}"/>
    <cellStyle name="Normal 3 11 9" xfId="11202" xr:uid="{00000000-0005-0000-0000-0000202D0000}"/>
    <cellStyle name="Normal 3 12" xfId="11203" xr:uid="{00000000-0005-0000-0000-0000212D0000}"/>
    <cellStyle name="Normal 3 12 10" xfId="11204" xr:uid="{00000000-0005-0000-0000-0000222D0000}"/>
    <cellStyle name="Normal 3 12 11" xfId="11205" xr:uid="{00000000-0005-0000-0000-0000232D0000}"/>
    <cellStyle name="Normal 3 12 12" xfId="11206" xr:uid="{00000000-0005-0000-0000-0000242D0000}"/>
    <cellStyle name="Normal 3 12 13" xfId="11207" xr:uid="{00000000-0005-0000-0000-0000252D0000}"/>
    <cellStyle name="Normal 3 12 14" xfId="11208" xr:uid="{00000000-0005-0000-0000-0000262D0000}"/>
    <cellStyle name="Normal 3 12 15" xfId="11209" xr:uid="{00000000-0005-0000-0000-0000272D0000}"/>
    <cellStyle name="Normal 3 12 16" xfId="11210" xr:uid="{00000000-0005-0000-0000-0000282D0000}"/>
    <cellStyle name="Normal 3 12 17" xfId="11211" xr:uid="{00000000-0005-0000-0000-0000292D0000}"/>
    <cellStyle name="Normal 3 12 2" xfId="11212" xr:uid="{00000000-0005-0000-0000-00002A2D0000}"/>
    <cellStyle name="Normal 3 12 3" xfId="11213" xr:uid="{00000000-0005-0000-0000-00002B2D0000}"/>
    <cellStyle name="Normal 3 12 4" xfId="11214" xr:uid="{00000000-0005-0000-0000-00002C2D0000}"/>
    <cellStyle name="Normal 3 12 5" xfId="11215" xr:uid="{00000000-0005-0000-0000-00002D2D0000}"/>
    <cellStyle name="Normal 3 12 6" xfId="11216" xr:uid="{00000000-0005-0000-0000-00002E2D0000}"/>
    <cellStyle name="Normal 3 12 7" xfId="11217" xr:uid="{00000000-0005-0000-0000-00002F2D0000}"/>
    <cellStyle name="Normal 3 12 8" xfId="11218" xr:uid="{00000000-0005-0000-0000-0000302D0000}"/>
    <cellStyle name="Normal 3 12 9" xfId="11219" xr:uid="{00000000-0005-0000-0000-0000312D0000}"/>
    <cellStyle name="Normal 3 13" xfId="11220" xr:uid="{00000000-0005-0000-0000-0000322D0000}"/>
    <cellStyle name="Normal 3 14" xfId="11221" xr:uid="{00000000-0005-0000-0000-0000332D0000}"/>
    <cellStyle name="Normal 3 15" xfId="11222" xr:uid="{00000000-0005-0000-0000-0000342D0000}"/>
    <cellStyle name="Normal 3 16" xfId="11223" xr:uid="{00000000-0005-0000-0000-0000352D0000}"/>
    <cellStyle name="Normal 3 17" xfId="11224" xr:uid="{00000000-0005-0000-0000-0000362D0000}"/>
    <cellStyle name="Normal 3 18" xfId="11225" xr:uid="{00000000-0005-0000-0000-0000372D0000}"/>
    <cellStyle name="Normal 3 19" xfId="11226" xr:uid="{00000000-0005-0000-0000-0000382D0000}"/>
    <cellStyle name="Normal 3 2" xfId="11227" xr:uid="{00000000-0005-0000-0000-0000392D0000}"/>
    <cellStyle name="Normal 3 2 10" xfId="11228" xr:uid="{00000000-0005-0000-0000-00003A2D0000}"/>
    <cellStyle name="Normal 3 2 11" xfId="11229" xr:uid="{00000000-0005-0000-0000-00003B2D0000}"/>
    <cellStyle name="Normal 3 2 12" xfId="11230" xr:uid="{00000000-0005-0000-0000-00003C2D0000}"/>
    <cellStyle name="Normal 3 2 13" xfId="11231" xr:uid="{00000000-0005-0000-0000-00003D2D0000}"/>
    <cellStyle name="Normal 3 2 14" xfId="11232" xr:uid="{00000000-0005-0000-0000-00003E2D0000}"/>
    <cellStyle name="Normal 3 2 15" xfId="11233" xr:uid="{00000000-0005-0000-0000-00003F2D0000}"/>
    <cellStyle name="Normal 3 2 16" xfId="11234" xr:uid="{00000000-0005-0000-0000-0000402D0000}"/>
    <cellStyle name="Normal 3 2 17" xfId="11235" xr:uid="{00000000-0005-0000-0000-0000412D0000}"/>
    <cellStyle name="Normal 3 2 18" xfId="11236" xr:uid="{00000000-0005-0000-0000-0000422D0000}"/>
    <cellStyle name="Normal 3 2 19" xfId="11237" xr:uid="{00000000-0005-0000-0000-0000432D0000}"/>
    <cellStyle name="Normal 3 2 2" xfId="11238" xr:uid="{00000000-0005-0000-0000-0000442D0000}"/>
    <cellStyle name="Normal 3 2 2 2" xfId="11239" xr:uid="{00000000-0005-0000-0000-0000452D0000}"/>
    <cellStyle name="Normal 3 2 2 3" xfId="42044" xr:uid="{00000000-0005-0000-0000-0000462D0000}"/>
    <cellStyle name="Normal 3 2 2 4" xfId="42390" xr:uid="{00000000-0005-0000-0000-0000472D0000}"/>
    <cellStyle name="Normal 3 2 2 5" xfId="42391" xr:uid="{00000000-0005-0000-0000-0000482D0000}"/>
    <cellStyle name="Normal 3 2 2 6" xfId="42392" xr:uid="{00000000-0005-0000-0000-0000492D0000}"/>
    <cellStyle name="Normal 3 2 2 7" xfId="42393" xr:uid="{00000000-0005-0000-0000-00004A2D0000}"/>
    <cellStyle name="Normal 3 2 20" xfId="11240" xr:uid="{00000000-0005-0000-0000-00004B2D0000}"/>
    <cellStyle name="Normal 3 2 21" xfId="11241" xr:uid="{00000000-0005-0000-0000-00004C2D0000}"/>
    <cellStyle name="Normal 3 2 22" xfId="11242" xr:uid="{00000000-0005-0000-0000-00004D2D0000}"/>
    <cellStyle name="Normal 3 2 23" xfId="11243" xr:uid="{00000000-0005-0000-0000-00004E2D0000}"/>
    <cellStyle name="Normal 3 2 24" xfId="11244" xr:uid="{00000000-0005-0000-0000-00004F2D0000}"/>
    <cellStyle name="Normal 3 2 25" xfId="11245" xr:uid="{00000000-0005-0000-0000-0000502D0000}"/>
    <cellStyle name="Normal 3 2 26" xfId="11246" xr:uid="{00000000-0005-0000-0000-0000512D0000}"/>
    <cellStyle name="Normal 3 2 27" xfId="11247" xr:uid="{00000000-0005-0000-0000-0000522D0000}"/>
    <cellStyle name="Normal 3 2 28" xfId="11248" xr:uid="{00000000-0005-0000-0000-0000532D0000}"/>
    <cellStyle name="Normal 3 2 29" xfId="11249" xr:uid="{00000000-0005-0000-0000-0000542D0000}"/>
    <cellStyle name="Normal 3 2 3" xfId="11250" xr:uid="{00000000-0005-0000-0000-0000552D0000}"/>
    <cellStyle name="Normal 3 2 3 10" xfId="11251" xr:uid="{00000000-0005-0000-0000-0000562D0000}"/>
    <cellStyle name="Normal 3 2 3 11" xfId="11252" xr:uid="{00000000-0005-0000-0000-0000572D0000}"/>
    <cellStyle name="Normal 3 2 3 12" xfId="11253" xr:uid="{00000000-0005-0000-0000-0000582D0000}"/>
    <cellStyle name="Normal 3 2 3 13" xfId="11254" xr:uid="{00000000-0005-0000-0000-0000592D0000}"/>
    <cellStyle name="Normal 3 2 3 14" xfId="11255" xr:uid="{00000000-0005-0000-0000-00005A2D0000}"/>
    <cellStyle name="Normal 3 2 3 15" xfId="11256" xr:uid="{00000000-0005-0000-0000-00005B2D0000}"/>
    <cellStyle name="Normal 3 2 3 16" xfId="11257" xr:uid="{00000000-0005-0000-0000-00005C2D0000}"/>
    <cellStyle name="Normal 3 2 3 17" xfId="11258" xr:uid="{00000000-0005-0000-0000-00005D2D0000}"/>
    <cellStyle name="Normal 3 2 3 2" xfId="11259" xr:uid="{00000000-0005-0000-0000-00005E2D0000}"/>
    <cellStyle name="Normal 3 2 3 3" xfId="11260" xr:uid="{00000000-0005-0000-0000-00005F2D0000}"/>
    <cellStyle name="Normal 3 2 3 4" xfId="11261" xr:uid="{00000000-0005-0000-0000-0000602D0000}"/>
    <cellStyle name="Normal 3 2 3 5" xfId="11262" xr:uid="{00000000-0005-0000-0000-0000612D0000}"/>
    <cellStyle name="Normal 3 2 3 6" xfId="11263" xr:uid="{00000000-0005-0000-0000-0000622D0000}"/>
    <cellStyle name="Normal 3 2 3 7" xfId="11264" xr:uid="{00000000-0005-0000-0000-0000632D0000}"/>
    <cellStyle name="Normal 3 2 3 8" xfId="11265" xr:uid="{00000000-0005-0000-0000-0000642D0000}"/>
    <cellStyle name="Normal 3 2 3 9" xfId="11266" xr:uid="{00000000-0005-0000-0000-0000652D0000}"/>
    <cellStyle name="Normal 3 2 30" xfId="11267" xr:uid="{00000000-0005-0000-0000-0000662D0000}"/>
    <cellStyle name="Normal 3 2 31" xfId="11268" xr:uid="{00000000-0005-0000-0000-0000672D0000}"/>
    <cellStyle name="Normal 3 2 32" xfId="11269" xr:uid="{00000000-0005-0000-0000-0000682D0000}"/>
    <cellStyle name="Normal 3 2 33" xfId="11270" xr:uid="{00000000-0005-0000-0000-0000692D0000}"/>
    <cellStyle name="Normal 3 2 34" xfId="11271" xr:uid="{00000000-0005-0000-0000-00006A2D0000}"/>
    <cellStyle name="Normal 3 2 35" xfId="11272" xr:uid="{00000000-0005-0000-0000-00006B2D0000}"/>
    <cellStyle name="Normal 3 2 36" xfId="11273" xr:uid="{00000000-0005-0000-0000-00006C2D0000}"/>
    <cellStyle name="Normal 3 2 37" xfId="11274" xr:uid="{00000000-0005-0000-0000-00006D2D0000}"/>
    <cellStyle name="Normal 3 2 38" xfId="11275" xr:uid="{00000000-0005-0000-0000-00006E2D0000}"/>
    <cellStyle name="Normal 3 2 39" xfId="11276" xr:uid="{00000000-0005-0000-0000-00006F2D0000}"/>
    <cellStyle name="Normal 3 2 4" xfId="11277" xr:uid="{00000000-0005-0000-0000-0000702D0000}"/>
    <cellStyle name="Normal 3 2 4 10" xfId="11278" xr:uid="{00000000-0005-0000-0000-0000712D0000}"/>
    <cellStyle name="Normal 3 2 4 11" xfId="11279" xr:uid="{00000000-0005-0000-0000-0000722D0000}"/>
    <cellStyle name="Normal 3 2 4 12" xfId="11280" xr:uid="{00000000-0005-0000-0000-0000732D0000}"/>
    <cellStyle name="Normal 3 2 4 13" xfId="11281" xr:uid="{00000000-0005-0000-0000-0000742D0000}"/>
    <cellStyle name="Normal 3 2 4 14" xfId="11282" xr:uid="{00000000-0005-0000-0000-0000752D0000}"/>
    <cellStyle name="Normal 3 2 4 15" xfId="11283" xr:uid="{00000000-0005-0000-0000-0000762D0000}"/>
    <cellStyle name="Normal 3 2 4 16" xfId="11284" xr:uid="{00000000-0005-0000-0000-0000772D0000}"/>
    <cellStyle name="Normal 3 2 4 17" xfId="11285" xr:uid="{00000000-0005-0000-0000-0000782D0000}"/>
    <cellStyle name="Normal 3 2 4 2" xfId="11286" xr:uid="{00000000-0005-0000-0000-0000792D0000}"/>
    <cellStyle name="Normal 3 2 4 3" xfId="11287" xr:uid="{00000000-0005-0000-0000-00007A2D0000}"/>
    <cellStyle name="Normal 3 2 4 4" xfId="11288" xr:uid="{00000000-0005-0000-0000-00007B2D0000}"/>
    <cellStyle name="Normal 3 2 4 5" xfId="11289" xr:uid="{00000000-0005-0000-0000-00007C2D0000}"/>
    <cellStyle name="Normal 3 2 4 6" xfId="11290" xr:uid="{00000000-0005-0000-0000-00007D2D0000}"/>
    <cellStyle name="Normal 3 2 4 7" xfId="11291" xr:uid="{00000000-0005-0000-0000-00007E2D0000}"/>
    <cellStyle name="Normal 3 2 4 8" xfId="11292" xr:uid="{00000000-0005-0000-0000-00007F2D0000}"/>
    <cellStyle name="Normal 3 2 4 9" xfId="11293" xr:uid="{00000000-0005-0000-0000-0000802D0000}"/>
    <cellStyle name="Normal 3 2 40" xfId="11294" xr:uid="{00000000-0005-0000-0000-0000812D0000}"/>
    <cellStyle name="Normal 3 2 41" xfId="11295" xr:uid="{00000000-0005-0000-0000-0000822D0000}"/>
    <cellStyle name="Normal 3 2 42" xfId="11296" xr:uid="{00000000-0005-0000-0000-0000832D0000}"/>
    <cellStyle name="Normal 3 2 43" xfId="11297" xr:uid="{00000000-0005-0000-0000-0000842D0000}"/>
    <cellStyle name="Normal 3 2 44" xfId="11298" xr:uid="{00000000-0005-0000-0000-0000852D0000}"/>
    <cellStyle name="Normal 3 2 45" xfId="11299" xr:uid="{00000000-0005-0000-0000-0000862D0000}"/>
    <cellStyle name="Normal 3 2 46" xfId="11300" xr:uid="{00000000-0005-0000-0000-0000872D0000}"/>
    <cellStyle name="Normal 3 2 47" xfId="11301" xr:uid="{00000000-0005-0000-0000-0000882D0000}"/>
    <cellStyle name="Normal 3 2 48" xfId="11302" xr:uid="{00000000-0005-0000-0000-0000892D0000}"/>
    <cellStyle name="Normal 3 2 49" xfId="11303" xr:uid="{00000000-0005-0000-0000-00008A2D0000}"/>
    <cellStyle name="Normal 3 2 5" xfId="11304" xr:uid="{00000000-0005-0000-0000-00008B2D0000}"/>
    <cellStyle name="Normal 3 2 50" xfId="11305" xr:uid="{00000000-0005-0000-0000-00008C2D0000}"/>
    <cellStyle name="Normal 3 2 51" xfId="11306" xr:uid="{00000000-0005-0000-0000-00008D2D0000}"/>
    <cellStyle name="Normal 3 2 52" xfId="11307" xr:uid="{00000000-0005-0000-0000-00008E2D0000}"/>
    <cellStyle name="Normal 3 2 53" xfId="11308" xr:uid="{00000000-0005-0000-0000-00008F2D0000}"/>
    <cellStyle name="Normal 3 2 54" xfId="11309" xr:uid="{00000000-0005-0000-0000-0000902D0000}"/>
    <cellStyle name="Normal 3 2 55" xfId="11310" xr:uid="{00000000-0005-0000-0000-0000912D0000}"/>
    <cellStyle name="Normal 3 2 56" xfId="11311" xr:uid="{00000000-0005-0000-0000-0000922D0000}"/>
    <cellStyle name="Normal 3 2 57" xfId="11312" xr:uid="{00000000-0005-0000-0000-0000932D0000}"/>
    <cellStyle name="Normal 3 2 58" xfId="11313" xr:uid="{00000000-0005-0000-0000-0000942D0000}"/>
    <cellStyle name="Normal 3 2 59" xfId="11314" xr:uid="{00000000-0005-0000-0000-0000952D0000}"/>
    <cellStyle name="Normal 3 2 6" xfId="11315" xr:uid="{00000000-0005-0000-0000-0000962D0000}"/>
    <cellStyle name="Normal 3 2 60" xfId="11316" xr:uid="{00000000-0005-0000-0000-0000972D0000}"/>
    <cellStyle name="Normal 3 2 61" xfId="11317" xr:uid="{00000000-0005-0000-0000-0000982D0000}"/>
    <cellStyle name="Normal 3 2 62" xfId="11318" xr:uid="{00000000-0005-0000-0000-0000992D0000}"/>
    <cellStyle name="Normal 3 2 63" xfId="11319" xr:uid="{00000000-0005-0000-0000-00009A2D0000}"/>
    <cellStyle name="Normal 3 2 64" xfId="11320" xr:uid="{00000000-0005-0000-0000-00009B2D0000}"/>
    <cellStyle name="Normal 3 2 65" xfId="11321" xr:uid="{00000000-0005-0000-0000-00009C2D0000}"/>
    <cellStyle name="Normal 3 2 66" xfId="11322" xr:uid="{00000000-0005-0000-0000-00009D2D0000}"/>
    <cellStyle name="Normal 3 2 67" xfId="11323" xr:uid="{00000000-0005-0000-0000-00009E2D0000}"/>
    <cellStyle name="Normal 3 2 68" xfId="11324" xr:uid="{00000000-0005-0000-0000-00009F2D0000}"/>
    <cellStyle name="Normal 3 2 69" xfId="11325" xr:uid="{00000000-0005-0000-0000-0000A02D0000}"/>
    <cellStyle name="Normal 3 2 7" xfId="11326" xr:uid="{00000000-0005-0000-0000-0000A12D0000}"/>
    <cellStyle name="Normal 3 2 70" xfId="11327" xr:uid="{00000000-0005-0000-0000-0000A22D0000}"/>
    <cellStyle name="Normal 3 2 71" xfId="11328" xr:uid="{00000000-0005-0000-0000-0000A32D0000}"/>
    <cellStyle name="Normal 3 2 72" xfId="11329" xr:uid="{00000000-0005-0000-0000-0000A42D0000}"/>
    <cellStyle name="Normal 3 2 73" xfId="11330" xr:uid="{00000000-0005-0000-0000-0000A52D0000}"/>
    <cellStyle name="Normal 3 2 74" xfId="11331" xr:uid="{00000000-0005-0000-0000-0000A62D0000}"/>
    <cellStyle name="Normal 3 2 75" xfId="11332" xr:uid="{00000000-0005-0000-0000-0000A72D0000}"/>
    <cellStyle name="Normal 3 2 76" xfId="11333" xr:uid="{00000000-0005-0000-0000-0000A82D0000}"/>
    <cellStyle name="Normal 3 2 77" xfId="11334" xr:uid="{00000000-0005-0000-0000-0000A92D0000}"/>
    <cellStyle name="Normal 3 2 78" xfId="11335" xr:uid="{00000000-0005-0000-0000-0000AA2D0000}"/>
    <cellStyle name="Normal 3 2 8" xfId="11336" xr:uid="{00000000-0005-0000-0000-0000AB2D0000}"/>
    <cellStyle name="Normal 3 2 9" xfId="11337" xr:uid="{00000000-0005-0000-0000-0000AC2D0000}"/>
    <cellStyle name="Normal 3 2_3.1.2 DB Pension Detail" xfId="11338" xr:uid="{00000000-0005-0000-0000-0000AD2D0000}"/>
    <cellStyle name="Normal 3 20" xfId="11339" xr:uid="{00000000-0005-0000-0000-0000AE2D0000}"/>
    <cellStyle name="Normal 3 21" xfId="11340" xr:uid="{00000000-0005-0000-0000-0000AF2D0000}"/>
    <cellStyle name="Normal 3 22" xfId="11341" xr:uid="{00000000-0005-0000-0000-0000B02D0000}"/>
    <cellStyle name="Normal 3 23" xfId="11342" xr:uid="{00000000-0005-0000-0000-0000B12D0000}"/>
    <cellStyle name="Normal 3 24" xfId="11343" xr:uid="{00000000-0005-0000-0000-0000B22D0000}"/>
    <cellStyle name="Normal 3 25" xfId="11344" xr:uid="{00000000-0005-0000-0000-0000B32D0000}"/>
    <cellStyle name="Normal 3 26" xfId="11345" xr:uid="{00000000-0005-0000-0000-0000B42D0000}"/>
    <cellStyle name="Normal 3 27" xfId="11346" xr:uid="{00000000-0005-0000-0000-0000B52D0000}"/>
    <cellStyle name="Normal 3 28" xfId="11347" xr:uid="{00000000-0005-0000-0000-0000B62D0000}"/>
    <cellStyle name="Normal 3 29" xfId="11348" xr:uid="{00000000-0005-0000-0000-0000B72D0000}"/>
    <cellStyle name="Normal 3 3" xfId="11349" xr:uid="{00000000-0005-0000-0000-0000B82D0000}"/>
    <cellStyle name="Normal 3 3 10" xfId="11350" xr:uid="{00000000-0005-0000-0000-0000B92D0000}"/>
    <cellStyle name="Normal 3 3 11" xfId="11351" xr:uid="{00000000-0005-0000-0000-0000BA2D0000}"/>
    <cellStyle name="Normal 3 3 12" xfId="11352" xr:uid="{00000000-0005-0000-0000-0000BB2D0000}"/>
    <cellStyle name="Normal 3 3 13" xfId="11353" xr:uid="{00000000-0005-0000-0000-0000BC2D0000}"/>
    <cellStyle name="Normal 3 3 14" xfId="11354" xr:uid="{00000000-0005-0000-0000-0000BD2D0000}"/>
    <cellStyle name="Normal 3 3 15" xfId="11355" xr:uid="{00000000-0005-0000-0000-0000BE2D0000}"/>
    <cellStyle name="Normal 3 3 16" xfId="11356" xr:uid="{00000000-0005-0000-0000-0000BF2D0000}"/>
    <cellStyle name="Normal 3 3 17" xfId="11357" xr:uid="{00000000-0005-0000-0000-0000C02D0000}"/>
    <cellStyle name="Normal 3 3 18" xfId="11358" xr:uid="{00000000-0005-0000-0000-0000C12D0000}"/>
    <cellStyle name="Normal 3 3 19" xfId="11359" xr:uid="{00000000-0005-0000-0000-0000C22D0000}"/>
    <cellStyle name="Normal 3 3 2" xfId="11360" xr:uid="{00000000-0005-0000-0000-0000C32D0000}"/>
    <cellStyle name="Normal 3 3 2 10" xfId="11361" xr:uid="{00000000-0005-0000-0000-0000C42D0000}"/>
    <cellStyle name="Normal 3 3 2 11" xfId="11362" xr:uid="{00000000-0005-0000-0000-0000C52D0000}"/>
    <cellStyle name="Normal 3 3 2 12" xfId="11363" xr:uid="{00000000-0005-0000-0000-0000C62D0000}"/>
    <cellStyle name="Normal 3 3 2 13" xfId="11364" xr:uid="{00000000-0005-0000-0000-0000C72D0000}"/>
    <cellStyle name="Normal 3 3 2 14" xfId="11365" xr:uid="{00000000-0005-0000-0000-0000C82D0000}"/>
    <cellStyle name="Normal 3 3 2 15" xfId="11366" xr:uid="{00000000-0005-0000-0000-0000C92D0000}"/>
    <cellStyle name="Normal 3 3 2 16" xfId="11367" xr:uid="{00000000-0005-0000-0000-0000CA2D0000}"/>
    <cellStyle name="Normal 3 3 2 17" xfId="11368" xr:uid="{00000000-0005-0000-0000-0000CB2D0000}"/>
    <cellStyle name="Normal 3 3 2 18" xfId="11369" xr:uid="{00000000-0005-0000-0000-0000CC2D0000}"/>
    <cellStyle name="Normal 3 3 2 19" xfId="11370" xr:uid="{00000000-0005-0000-0000-0000CD2D0000}"/>
    <cellStyle name="Normal 3 3 2 2" xfId="11371" xr:uid="{00000000-0005-0000-0000-0000CE2D0000}"/>
    <cellStyle name="Normal 3 3 2 20" xfId="11372" xr:uid="{00000000-0005-0000-0000-0000CF2D0000}"/>
    <cellStyle name="Normal 3 3 2 21" xfId="11373" xr:uid="{00000000-0005-0000-0000-0000D02D0000}"/>
    <cellStyle name="Normal 3 3 2 22" xfId="11374" xr:uid="{00000000-0005-0000-0000-0000D12D0000}"/>
    <cellStyle name="Normal 3 3 2 23" xfId="11375" xr:uid="{00000000-0005-0000-0000-0000D22D0000}"/>
    <cellStyle name="Normal 3 3 2 24" xfId="11376" xr:uid="{00000000-0005-0000-0000-0000D32D0000}"/>
    <cellStyle name="Normal 3 3 2 25" xfId="11377" xr:uid="{00000000-0005-0000-0000-0000D42D0000}"/>
    <cellStyle name="Normal 3 3 2 3" xfId="11378" xr:uid="{00000000-0005-0000-0000-0000D52D0000}"/>
    <cellStyle name="Normal 3 3 2 3 10" xfId="11379" xr:uid="{00000000-0005-0000-0000-0000D62D0000}"/>
    <cellStyle name="Normal 3 3 2 3 11" xfId="11380" xr:uid="{00000000-0005-0000-0000-0000D72D0000}"/>
    <cellStyle name="Normal 3 3 2 3 12" xfId="11381" xr:uid="{00000000-0005-0000-0000-0000D82D0000}"/>
    <cellStyle name="Normal 3 3 2 3 13" xfId="11382" xr:uid="{00000000-0005-0000-0000-0000D92D0000}"/>
    <cellStyle name="Normal 3 3 2 3 14" xfId="11383" xr:uid="{00000000-0005-0000-0000-0000DA2D0000}"/>
    <cellStyle name="Normal 3 3 2 3 15" xfId="11384" xr:uid="{00000000-0005-0000-0000-0000DB2D0000}"/>
    <cellStyle name="Normal 3 3 2 3 16" xfId="11385" xr:uid="{00000000-0005-0000-0000-0000DC2D0000}"/>
    <cellStyle name="Normal 3 3 2 3 17" xfId="11386" xr:uid="{00000000-0005-0000-0000-0000DD2D0000}"/>
    <cellStyle name="Normal 3 3 2 3 18" xfId="11387" xr:uid="{00000000-0005-0000-0000-0000DE2D0000}"/>
    <cellStyle name="Normal 3 3 2 3 19" xfId="11388" xr:uid="{00000000-0005-0000-0000-0000DF2D0000}"/>
    <cellStyle name="Normal 3 3 2 3 2" xfId="11389" xr:uid="{00000000-0005-0000-0000-0000E02D0000}"/>
    <cellStyle name="Normal 3 3 2 3 2 10" xfId="11390" xr:uid="{00000000-0005-0000-0000-0000E12D0000}"/>
    <cellStyle name="Normal 3 3 2 3 2 11" xfId="11391" xr:uid="{00000000-0005-0000-0000-0000E22D0000}"/>
    <cellStyle name="Normal 3 3 2 3 2 12" xfId="11392" xr:uid="{00000000-0005-0000-0000-0000E32D0000}"/>
    <cellStyle name="Normal 3 3 2 3 2 13" xfId="11393" xr:uid="{00000000-0005-0000-0000-0000E42D0000}"/>
    <cellStyle name="Normal 3 3 2 3 2 14" xfId="11394" xr:uid="{00000000-0005-0000-0000-0000E52D0000}"/>
    <cellStyle name="Normal 3 3 2 3 2 15" xfId="11395" xr:uid="{00000000-0005-0000-0000-0000E62D0000}"/>
    <cellStyle name="Normal 3 3 2 3 2 16" xfId="11396" xr:uid="{00000000-0005-0000-0000-0000E72D0000}"/>
    <cellStyle name="Normal 3 3 2 3 2 17" xfId="11397" xr:uid="{00000000-0005-0000-0000-0000E82D0000}"/>
    <cellStyle name="Normal 3 3 2 3 2 18" xfId="11398" xr:uid="{00000000-0005-0000-0000-0000E92D0000}"/>
    <cellStyle name="Normal 3 3 2 3 2 19" xfId="11399" xr:uid="{00000000-0005-0000-0000-0000EA2D0000}"/>
    <cellStyle name="Normal 3 3 2 3 2 2" xfId="11400" xr:uid="{00000000-0005-0000-0000-0000EB2D0000}"/>
    <cellStyle name="Normal 3 3 2 3 2 2 10" xfId="11401" xr:uid="{00000000-0005-0000-0000-0000EC2D0000}"/>
    <cellStyle name="Normal 3 3 2 3 2 2 11" xfId="11402" xr:uid="{00000000-0005-0000-0000-0000ED2D0000}"/>
    <cellStyle name="Normal 3 3 2 3 2 2 12" xfId="11403" xr:uid="{00000000-0005-0000-0000-0000EE2D0000}"/>
    <cellStyle name="Normal 3 3 2 3 2 2 13" xfId="11404" xr:uid="{00000000-0005-0000-0000-0000EF2D0000}"/>
    <cellStyle name="Normal 3 3 2 3 2 2 2" xfId="11405" xr:uid="{00000000-0005-0000-0000-0000F02D0000}"/>
    <cellStyle name="Normal 3 3 2 3 2 2 3" xfId="11406" xr:uid="{00000000-0005-0000-0000-0000F12D0000}"/>
    <cellStyle name="Normal 3 3 2 3 2 2 4" xfId="11407" xr:uid="{00000000-0005-0000-0000-0000F22D0000}"/>
    <cellStyle name="Normal 3 3 2 3 2 2 5" xfId="11408" xr:uid="{00000000-0005-0000-0000-0000F32D0000}"/>
    <cellStyle name="Normal 3 3 2 3 2 2 6" xfId="11409" xr:uid="{00000000-0005-0000-0000-0000F42D0000}"/>
    <cellStyle name="Normal 3 3 2 3 2 2 7" xfId="11410" xr:uid="{00000000-0005-0000-0000-0000F52D0000}"/>
    <cellStyle name="Normal 3 3 2 3 2 2 8" xfId="11411" xr:uid="{00000000-0005-0000-0000-0000F62D0000}"/>
    <cellStyle name="Normal 3 3 2 3 2 2 9" xfId="11412" xr:uid="{00000000-0005-0000-0000-0000F72D0000}"/>
    <cellStyle name="Normal 3 3 2 3 2 20" xfId="11413" xr:uid="{00000000-0005-0000-0000-0000F82D0000}"/>
    <cellStyle name="Normal 3 3 2 3 2 21" xfId="11414" xr:uid="{00000000-0005-0000-0000-0000F92D0000}"/>
    <cellStyle name="Normal 3 3 2 3 2 3" xfId="11415" xr:uid="{00000000-0005-0000-0000-0000FA2D0000}"/>
    <cellStyle name="Normal 3 3 2 3 2 4" xfId="11416" xr:uid="{00000000-0005-0000-0000-0000FB2D0000}"/>
    <cellStyle name="Normal 3 3 2 3 2 5" xfId="11417" xr:uid="{00000000-0005-0000-0000-0000FC2D0000}"/>
    <cellStyle name="Normal 3 3 2 3 2 6" xfId="11418" xr:uid="{00000000-0005-0000-0000-0000FD2D0000}"/>
    <cellStyle name="Normal 3 3 2 3 2 7" xfId="11419" xr:uid="{00000000-0005-0000-0000-0000FE2D0000}"/>
    <cellStyle name="Normal 3 3 2 3 2 8" xfId="11420" xr:uid="{00000000-0005-0000-0000-0000FF2D0000}"/>
    <cellStyle name="Normal 3 3 2 3 2 9" xfId="11421" xr:uid="{00000000-0005-0000-0000-0000002E0000}"/>
    <cellStyle name="Normal 3 3 2 3 20" xfId="11422" xr:uid="{00000000-0005-0000-0000-0000012E0000}"/>
    <cellStyle name="Normal 3 3 2 3 21" xfId="11423" xr:uid="{00000000-0005-0000-0000-0000022E0000}"/>
    <cellStyle name="Normal 3 3 2 3 22" xfId="11424" xr:uid="{00000000-0005-0000-0000-0000032E0000}"/>
    <cellStyle name="Normal 3 3 2 3 3" xfId="11425" xr:uid="{00000000-0005-0000-0000-0000042E0000}"/>
    <cellStyle name="Normal 3 3 2 3 3 10" xfId="11426" xr:uid="{00000000-0005-0000-0000-0000052E0000}"/>
    <cellStyle name="Normal 3 3 2 3 3 11" xfId="11427" xr:uid="{00000000-0005-0000-0000-0000062E0000}"/>
    <cellStyle name="Normal 3 3 2 3 3 12" xfId="11428" xr:uid="{00000000-0005-0000-0000-0000072E0000}"/>
    <cellStyle name="Normal 3 3 2 3 3 13" xfId="11429" xr:uid="{00000000-0005-0000-0000-0000082E0000}"/>
    <cellStyle name="Normal 3 3 2 3 3 2" xfId="11430" xr:uid="{00000000-0005-0000-0000-0000092E0000}"/>
    <cellStyle name="Normal 3 3 2 3 3 3" xfId="11431" xr:uid="{00000000-0005-0000-0000-00000A2E0000}"/>
    <cellStyle name="Normal 3 3 2 3 3 4" xfId="11432" xr:uid="{00000000-0005-0000-0000-00000B2E0000}"/>
    <cellStyle name="Normal 3 3 2 3 3 5" xfId="11433" xr:uid="{00000000-0005-0000-0000-00000C2E0000}"/>
    <cellStyle name="Normal 3 3 2 3 3 6" xfId="11434" xr:uid="{00000000-0005-0000-0000-00000D2E0000}"/>
    <cellStyle name="Normal 3 3 2 3 3 7" xfId="11435" xr:uid="{00000000-0005-0000-0000-00000E2E0000}"/>
    <cellStyle name="Normal 3 3 2 3 3 8" xfId="11436" xr:uid="{00000000-0005-0000-0000-00000F2E0000}"/>
    <cellStyle name="Normal 3 3 2 3 3 9" xfId="11437" xr:uid="{00000000-0005-0000-0000-0000102E0000}"/>
    <cellStyle name="Normal 3 3 2 3 4" xfId="11438" xr:uid="{00000000-0005-0000-0000-0000112E0000}"/>
    <cellStyle name="Normal 3 3 2 3 5" xfId="11439" xr:uid="{00000000-0005-0000-0000-0000122E0000}"/>
    <cellStyle name="Normal 3 3 2 3 6" xfId="11440" xr:uid="{00000000-0005-0000-0000-0000132E0000}"/>
    <cellStyle name="Normal 3 3 2 3 7" xfId="11441" xr:uid="{00000000-0005-0000-0000-0000142E0000}"/>
    <cellStyle name="Normal 3 3 2 3 8" xfId="11442" xr:uid="{00000000-0005-0000-0000-0000152E0000}"/>
    <cellStyle name="Normal 3 3 2 3 9" xfId="11443" xr:uid="{00000000-0005-0000-0000-0000162E0000}"/>
    <cellStyle name="Normal 3 3 2 3_4 28 1_Asst_Health_Crit_AllTO_RIIO_20110714pm" xfId="11444" xr:uid="{00000000-0005-0000-0000-0000172E0000}"/>
    <cellStyle name="Normal 3 3 2 4" xfId="11445" xr:uid="{00000000-0005-0000-0000-0000182E0000}"/>
    <cellStyle name="Normal 3 3 2 4 10" xfId="11446" xr:uid="{00000000-0005-0000-0000-0000192E0000}"/>
    <cellStyle name="Normal 3 3 2 4 11" xfId="11447" xr:uid="{00000000-0005-0000-0000-00001A2E0000}"/>
    <cellStyle name="Normal 3 3 2 4 12" xfId="11448" xr:uid="{00000000-0005-0000-0000-00001B2E0000}"/>
    <cellStyle name="Normal 3 3 2 4 13" xfId="11449" xr:uid="{00000000-0005-0000-0000-00001C2E0000}"/>
    <cellStyle name="Normal 3 3 2 4 14" xfId="11450" xr:uid="{00000000-0005-0000-0000-00001D2E0000}"/>
    <cellStyle name="Normal 3 3 2 4 15" xfId="11451" xr:uid="{00000000-0005-0000-0000-00001E2E0000}"/>
    <cellStyle name="Normal 3 3 2 4 16" xfId="11452" xr:uid="{00000000-0005-0000-0000-00001F2E0000}"/>
    <cellStyle name="Normal 3 3 2 4 17" xfId="11453" xr:uid="{00000000-0005-0000-0000-0000202E0000}"/>
    <cellStyle name="Normal 3 3 2 4 18" xfId="11454" xr:uid="{00000000-0005-0000-0000-0000212E0000}"/>
    <cellStyle name="Normal 3 3 2 4 19" xfId="11455" xr:uid="{00000000-0005-0000-0000-0000222E0000}"/>
    <cellStyle name="Normal 3 3 2 4 2" xfId="11456" xr:uid="{00000000-0005-0000-0000-0000232E0000}"/>
    <cellStyle name="Normal 3 3 2 4 2 10" xfId="11457" xr:uid="{00000000-0005-0000-0000-0000242E0000}"/>
    <cellStyle name="Normal 3 3 2 4 2 11" xfId="11458" xr:uid="{00000000-0005-0000-0000-0000252E0000}"/>
    <cellStyle name="Normal 3 3 2 4 2 12" xfId="11459" xr:uid="{00000000-0005-0000-0000-0000262E0000}"/>
    <cellStyle name="Normal 3 3 2 4 2 13" xfId="11460" xr:uid="{00000000-0005-0000-0000-0000272E0000}"/>
    <cellStyle name="Normal 3 3 2 4 2 2" xfId="11461" xr:uid="{00000000-0005-0000-0000-0000282E0000}"/>
    <cellStyle name="Normal 3 3 2 4 2 3" xfId="11462" xr:uid="{00000000-0005-0000-0000-0000292E0000}"/>
    <cellStyle name="Normal 3 3 2 4 2 4" xfId="11463" xr:uid="{00000000-0005-0000-0000-00002A2E0000}"/>
    <cellStyle name="Normal 3 3 2 4 2 5" xfId="11464" xr:uid="{00000000-0005-0000-0000-00002B2E0000}"/>
    <cellStyle name="Normal 3 3 2 4 2 6" xfId="11465" xr:uid="{00000000-0005-0000-0000-00002C2E0000}"/>
    <cellStyle name="Normal 3 3 2 4 2 7" xfId="11466" xr:uid="{00000000-0005-0000-0000-00002D2E0000}"/>
    <cellStyle name="Normal 3 3 2 4 2 8" xfId="11467" xr:uid="{00000000-0005-0000-0000-00002E2E0000}"/>
    <cellStyle name="Normal 3 3 2 4 2 9" xfId="11468" xr:uid="{00000000-0005-0000-0000-00002F2E0000}"/>
    <cellStyle name="Normal 3 3 2 4 20" xfId="11469" xr:uid="{00000000-0005-0000-0000-0000302E0000}"/>
    <cellStyle name="Normal 3 3 2 4 21" xfId="11470" xr:uid="{00000000-0005-0000-0000-0000312E0000}"/>
    <cellStyle name="Normal 3 3 2 4 3" xfId="11471" xr:uid="{00000000-0005-0000-0000-0000322E0000}"/>
    <cellStyle name="Normal 3 3 2 4 4" xfId="11472" xr:uid="{00000000-0005-0000-0000-0000332E0000}"/>
    <cellStyle name="Normal 3 3 2 4 5" xfId="11473" xr:uid="{00000000-0005-0000-0000-0000342E0000}"/>
    <cellStyle name="Normal 3 3 2 4 6" xfId="11474" xr:uid="{00000000-0005-0000-0000-0000352E0000}"/>
    <cellStyle name="Normal 3 3 2 4 7" xfId="11475" xr:uid="{00000000-0005-0000-0000-0000362E0000}"/>
    <cellStyle name="Normal 3 3 2 4 8" xfId="11476" xr:uid="{00000000-0005-0000-0000-0000372E0000}"/>
    <cellStyle name="Normal 3 3 2 4 9" xfId="11477" xr:uid="{00000000-0005-0000-0000-0000382E0000}"/>
    <cellStyle name="Normal 3 3 2 5" xfId="11478" xr:uid="{00000000-0005-0000-0000-0000392E0000}"/>
    <cellStyle name="Normal 3 3 2 5 10" xfId="11479" xr:uid="{00000000-0005-0000-0000-00003A2E0000}"/>
    <cellStyle name="Normal 3 3 2 5 10 2" xfId="42041" xr:uid="{00000000-0005-0000-0000-00003B2E0000}"/>
    <cellStyle name="Normal 3 3 2 5 10 3" xfId="42038" xr:uid="{00000000-0005-0000-0000-00003C2E0000}"/>
    <cellStyle name="Normal 3 3 2 5 11" xfId="11480" xr:uid="{00000000-0005-0000-0000-00003D2E0000}"/>
    <cellStyle name="Normal 3 3 2 5 12" xfId="11481" xr:uid="{00000000-0005-0000-0000-00003E2E0000}"/>
    <cellStyle name="Normal 3 3 2 5 13" xfId="11482" xr:uid="{00000000-0005-0000-0000-00003F2E0000}"/>
    <cellStyle name="Normal 3 3 2 5 14" xfId="11483" xr:uid="{00000000-0005-0000-0000-0000402E0000}"/>
    <cellStyle name="Normal 3 3 2 5 15" xfId="11484" xr:uid="{00000000-0005-0000-0000-0000412E0000}"/>
    <cellStyle name="Normal 3 3 2 5 15 2" xfId="11485" xr:uid="{00000000-0005-0000-0000-0000422E0000}"/>
    <cellStyle name="Normal 3 3 2 5 15 2 2" xfId="11486" xr:uid="{00000000-0005-0000-0000-0000432E0000}"/>
    <cellStyle name="Normal 3 3 2 5 15 2 3" xfId="11487" xr:uid="{00000000-0005-0000-0000-0000442E0000}"/>
    <cellStyle name="Normal 3 3 2 5 15 2 4" xfId="11488" xr:uid="{00000000-0005-0000-0000-0000452E0000}"/>
    <cellStyle name="Normal 3 3 2 5 15 2 4 2" xfId="11489" xr:uid="{00000000-0005-0000-0000-0000462E0000}"/>
    <cellStyle name="Normal 3 3 2 5 16" xfId="11490" xr:uid="{00000000-0005-0000-0000-0000472E0000}"/>
    <cellStyle name="Normal 3 3 2 5 2" xfId="11491" xr:uid="{00000000-0005-0000-0000-0000482E0000}"/>
    <cellStyle name="Normal 3 3 2 5 2 10" xfId="11492" xr:uid="{00000000-0005-0000-0000-0000492E0000}"/>
    <cellStyle name="Normal 3 3 2 5 2 11" xfId="11493" xr:uid="{00000000-0005-0000-0000-00004A2E0000}"/>
    <cellStyle name="Normal 3 3 2 5 2 12" xfId="11494" xr:uid="{00000000-0005-0000-0000-00004B2E0000}"/>
    <cellStyle name="Normal 3 3 2 5 2 13" xfId="11495" xr:uid="{00000000-0005-0000-0000-00004C2E0000}"/>
    <cellStyle name="Normal 3 3 2 5 2 2" xfId="11496" xr:uid="{00000000-0005-0000-0000-00004D2E0000}"/>
    <cellStyle name="Normal 3 3 2 5 2 3" xfId="11497" xr:uid="{00000000-0005-0000-0000-00004E2E0000}"/>
    <cellStyle name="Normal 3 3 2 5 2 4" xfId="11498" xr:uid="{00000000-0005-0000-0000-00004F2E0000}"/>
    <cellStyle name="Normal 3 3 2 5 2 5" xfId="11499" xr:uid="{00000000-0005-0000-0000-0000502E0000}"/>
    <cellStyle name="Normal 3 3 2 5 2 6" xfId="11500" xr:uid="{00000000-0005-0000-0000-0000512E0000}"/>
    <cellStyle name="Normal 3 3 2 5 2 7" xfId="11501" xr:uid="{00000000-0005-0000-0000-0000522E0000}"/>
    <cellStyle name="Normal 3 3 2 5 2 8" xfId="11502" xr:uid="{00000000-0005-0000-0000-0000532E0000}"/>
    <cellStyle name="Normal 3 3 2 5 2 9" xfId="11503" xr:uid="{00000000-0005-0000-0000-0000542E0000}"/>
    <cellStyle name="Normal 3 3 2 5 3" xfId="11504" xr:uid="{00000000-0005-0000-0000-0000552E0000}"/>
    <cellStyle name="Normal 3 3 2 5 4" xfId="11505" xr:uid="{00000000-0005-0000-0000-0000562E0000}"/>
    <cellStyle name="Normal 3 3 2 5 5" xfId="11506" xr:uid="{00000000-0005-0000-0000-0000572E0000}"/>
    <cellStyle name="Normal 3 3 2 5 6" xfId="11507" xr:uid="{00000000-0005-0000-0000-0000582E0000}"/>
    <cellStyle name="Normal 3 3 2 5 7" xfId="11508" xr:uid="{00000000-0005-0000-0000-0000592E0000}"/>
    <cellStyle name="Normal 3 3 2 5 8" xfId="11509" xr:uid="{00000000-0005-0000-0000-00005A2E0000}"/>
    <cellStyle name="Normal 3 3 2 5 9" xfId="11510" xr:uid="{00000000-0005-0000-0000-00005B2E0000}"/>
    <cellStyle name="Normal 3 3 2 6" xfId="11511" xr:uid="{00000000-0005-0000-0000-00005C2E0000}"/>
    <cellStyle name="Normal 3 3 2 6 10" xfId="11512" xr:uid="{00000000-0005-0000-0000-00005D2E0000}"/>
    <cellStyle name="Normal 3 3 2 6 11" xfId="11513" xr:uid="{00000000-0005-0000-0000-00005E2E0000}"/>
    <cellStyle name="Normal 3 3 2 6 12" xfId="11514" xr:uid="{00000000-0005-0000-0000-00005F2E0000}"/>
    <cellStyle name="Normal 3 3 2 6 13" xfId="11515" xr:uid="{00000000-0005-0000-0000-0000602E0000}"/>
    <cellStyle name="Normal 3 3 2 6 2" xfId="11516" xr:uid="{00000000-0005-0000-0000-0000612E0000}"/>
    <cellStyle name="Normal 3 3 2 6 3" xfId="11517" xr:uid="{00000000-0005-0000-0000-0000622E0000}"/>
    <cellStyle name="Normal 3 3 2 6 4" xfId="11518" xr:uid="{00000000-0005-0000-0000-0000632E0000}"/>
    <cellStyle name="Normal 3 3 2 6 5" xfId="11519" xr:uid="{00000000-0005-0000-0000-0000642E0000}"/>
    <cellStyle name="Normal 3 3 2 6 6" xfId="11520" xr:uid="{00000000-0005-0000-0000-0000652E0000}"/>
    <cellStyle name="Normal 3 3 2 6 7" xfId="11521" xr:uid="{00000000-0005-0000-0000-0000662E0000}"/>
    <cellStyle name="Normal 3 3 2 6 8" xfId="11522" xr:uid="{00000000-0005-0000-0000-0000672E0000}"/>
    <cellStyle name="Normal 3 3 2 6 9" xfId="11523" xr:uid="{00000000-0005-0000-0000-0000682E0000}"/>
    <cellStyle name="Normal 3 3 2 7" xfId="11524" xr:uid="{00000000-0005-0000-0000-0000692E0000}"/>
    <cellStyle name="Normal 3 3 2 8" xfId="11525" xr:uid="{00000000-0005-0000-0000-00006A2E0000}"/>
    <cellStyle name="Normal 3 3 2 9" xfId="11526" xr:uid="{00000000-0005-0000-0000-00006B2E0000}"/>
    <cellStyle name="Normal 3 3 2_3.15 Additional Data" xfId="42394" xr:uid="{00000000-0005-0000-0000-00006C2E0000}"/>
    <cellStyle name="Normal 3 3 20" xfId="11527" xr:uid="{00000000-0005-0000-0000-00006D2E0000}"/>
    <cellStyle name="Normal 3 3 21" xfId="11528" xr:uid="{00000000-0005-0000-0000-00006E2E0000}"/>
    <cellStyle name="Normal 3 3 22" xfId="11529" xr:uid="{00000000-0005-0000-0000-00006F2E0000}"/>
    <cellStyle name="Normal 3 3 23" xfId="11530" xr:uid="{00000000-0005-0000-0000-0000702E0000}"/>
    <cellStyle name="Normal 3 3 24" xfId="11531" xr:uid="{00000000-0005-0000-0000-0000712E0000}"/>
    <cellStyle name="Normal 3 3 25" xfId="11532" xr:uid="{00000000-0005-0000-0000-0000722E0000}"/>
    <cellStyle name="Normal 3 3 26" xfId="11533" xr:uid="{00000000-0005-0000-0000-0000732E0000}"/>
    <cellStyle name="Normal 3 3 27" xfId="11534" xr:uid="{00000000-0005-0000-0000-0000742E0000}"/>
    <cellStyle name="Normal 3 3 28" xfId="11535" xr:uid="{00000000-0005-0000-0000-0000752E0000}"/>
    <cellStyle name="Normal 3 3 29" xfId="11536" xr:uid="{00000000-0005-0000-0000-0000762E0000}"/>
    <cellStyle name="Normal 3 3 3" xfId="11537" xr:uid="{00000000-0005-0000-0000-0000772E0000}"/>
    <cellStyle name="Normal 3 3 3 10" xfId="11538" xr:uid="{00000000-0005-0000-0000-0000782E0000}"/>
    <cellStyle name="Normal 3 3 3 11" xfId="11539" xr:uid="{00000000-0005-0000-0000-0000792E0000}"/>
    <cellStyle name="Normal 3 3 3 12" xfId="11540" xr:uid="{00000000-0005-0000-0000-00007A2E0000}"/>
    <cellStyle name="Normal 3 3 3 13" xfId="11541" xr:uid="{00000000-0005-0000-0000-00007B2E0000}"/>
    <cellStyle name="Normal 3 3 3 14" xfId="11542" xr:uid="{00000000-0005-0000-0000-00007C2E0000}"/>
    <cellStyle name="Normal 3 3 3 15" xfId="11543" xr:uid="{00000000-0005-0000-0000-00007D2E0000}"/>
    <cellStyle name="Normal 3 3 3 16" xfId="11544" xr:uid="{00000000-0005-0000-0000-00007E2E0000}"/>
    <cellStyle name="Normal 3 3 3 17" xfId="11545" xr:uid="{00000000-0005-0000-0000-00007F2E0000}"/>
    <cellStyle name="Normal 3 3 3 2" xfId="11546" xr:uid="{00000000-0005-0000-0000-0000802E0000}"/>
    <cellStyle name="Normal 3 3 3 2 10" xfId="11547" xr:uid="{00000000-0005-0000-0000-0000812E0000}"/>
    <cellStyle name="Normal 3 3 3 2 11" xfId="11548" xr:uid="{00000000-0005-0000-0000-0000822E0000}"/>
    <cellStyle name="Normal 3 3 3 2 12" xfId="11549" xr:uid="{00000000-0005-0000-0000-0000832E0000}"/>
    <cellStyle name="Normal 3 3 3 2 13" xfId="11550" xr:uid="{00000000-0005-0000-0000-0000842E0000}"/>
    <cellStyle name="Normal 3 3 3 2 14" xfId="11551" xr:uid="{00000000-0005-0000-0000-0000852E0000}"/>
    <cellStyle name="Normal 3 3 3 2 15" xfId="11552" xr:uid="{00000000-0005-0000-0000-0000862E0000}"/>
    <cellStyle name="Normal 3 3 3 2 16" xfId="11553" xr:uid="{00000000-0005-0000-0000-0000872E0000}"/>
    <cellStyle name="Normal 3 3 3 2 17" xfId="11554" xr:uid="{00000000-0005-0000-0000-0000882E0000}"/>
    <cellStyle name="Normal 3 3 3 2 18" xfId="11555" xr:uid="{00000000-0005-0000-0000-0000892E0000}"/>
    <cellStyle name="Normal 3 3 3 2 19" xfId="11556" xr:uid="{00000000-0005-0000-0000-00008A2E0000}"/>
    <cellStyle name="Normal 3 3 3 2 2" xfId="11557" xr:uid="{00000000-0005-0000-0000-00008B2E0000}"/>
    <cellStyle name="Normal 3 3 3 2 2 10" xfId="11558" xr:uid="{00000000-0005-0000-0000-00008C2E0000}"/>
    <cellStyle name="Normal 3 3 3 2 2 11" xfId="11559" xr:uid="{00000000-0005-0000-0000-00008D2E0000}"/>
    <cellStyle name="Normal 3 3 3 2 2 12" xfId="11560" xr:uid="{00000000-0005-0000-0000-00008E2E0000}"/>
    <cellStyle name="Normal 3 3 3 2 2 13" xfId="11561" xr:uid="{00000000-0005-0000-0000-00008F2E0000}"/>
    <cellStyle name="Normal 3 3 3 2 2 14" xfId="11562" xr:uid="{00000000-0005-0000-0000-0000902E0000}"/>
    <cellStyle name="Normal 3 3 3 2 2 15" xfId="11563" xr:uid="{00000000-0005-0000-0000-0000912E0000}"/>
    <cellStyle name="Normal 3 3 3 2 2 16" xfId="11564" xr:uid="{00000000-0005-0000-0000-0000922E0000}"/>
    <cellStyle name="Normal 3 3 3 2 2 17" xfId="11565" xr:uid="{00000000-0005-0000-0000-0000932E0000}"/>
    <cellStyle name="Normal 3 3 3 2 2 18" xfId="11566" xr:uid="{00000000-0005-0000-0000-0000942E0000}"/>
    <cellStyle name="Normal 3 3 3 2 2 19" xfId="11567" xr:uid="{00000000-0005-0000-0000-0000952E0000}"/>
    <cellStyle name="Normal 3 3 3 2 2 2" xfId="11568" xr:uid="{00000000-0005-0000-0000-0000962E0000}"/>
    <cellStyle name="Normal 3 3 3 2 2 2 10" xfId="11569" xr:uid="{00000000-0005-0000-0000-0000972E0000}"/>
    <cellStyle name="Normal 3 3 3 2 2 2 11" xfId="11570" xr:uid="{00000000-0005-0000-0000-0000982E0000}"/>
    <cellStyle name="Normal 3 3 3 2 2 2 12" xfId="11571" xr:uid="{00000000-0005-0000-0000-0000992E0000}"/>
    <cellStyle name="Normal 3 3 3 2 2 2 13" xfId="11572" xr:uid="{00000000-0005-0000-0000-00009A2E0000}"/>
    <cellStyle name="Normal 3 3 3 2 2 2 2" xfId="11573" xr:uid="{00000000-0005-0000-0000-00009B2E0000}"/>
    <cellStyle name="Normal 3 3 3 2 2 2 3" xfId="11574" xr:uid="{00000000-0005-0000-0000-00009C2E0000}"/>
    <cellStyle name="Normal 3 3 3 2 2 2 4" xfId="11575" xr:uid="{00000000-0005-0000-0000-00009D2E0000}"/>
    <cellStyle name="Normal 3 3 3 2 2 2 5" xfId="11576" xr:uid="{00000000-0005-0000-0000-00009E2E0000}"/>
    <cellStyle name="Normal 3 3 3 2 2 2 6" xfId="11577" xr:uid="{00000000-0005-0000-0000-00009F2E0000}"/>
    <cellStyle name="Normal 3 3 3 2 2 2 7" xfId="11578" xr:uid="{00000000-0005-0000-0000-0000A02E0000}"/>
    <cellStyle name="Normal 3 3 3 2 2 2 8" xfId="11579" xr:uid="{00000000-0005-0000-0000-0000A12E0000}"/>
    <cellStyle name="Normal 3 3 3 2 2 2 9" xfId="11580" xr:uid="{00000000-0005-0000-0000-0000A22E0000}"/>
    <cellStyle name="Normal 3 3 3 2 2 20" xfId="11581" xr:uid="{00000000-0005-0000-0000-0000A32E0000}"/>
    <cellStyle name="Normal 3 3 3 2 2 21" xfId="11582" xr:uid="{00000000-0005-0000-0000-0000A42E0000}"/>
    <cellStyle name="Normal 3 3 3 2 2 3" xfId="11583" xr:uid="{00000000-0005-0000-0000-0000A52E0000}"/>
    <cellStyle name="Normal 3 3 3 2 2 4" xfId="11584" xr:uid="{00000000-0005-0000-0000-0000A62E0000}"/>
    <cellStyle name="Normal 3 3 3 2 2 5" xfId="11585" xr:uid="{00000000-0005-0000-0000-0000A72E0000}"/>
    <cellStyle name="Normal 3 3 3 2 2 6" xfId="11586" xr:uid="{00000000-0005-0000-0000-0000A82E0000}"/>
    <cellStyle name="Normal 3 3 3 2 2 7" xfId="11587" xr:uid="{00000000-0005-0000-0000-0000A92E0000}"/>
    <cellStyle name="Normal 3 3 3 2 2 8" xfId="11588" xr:uid="{00000000-0005-0000-0000-0000AA2E0000}"/>
    <cellStyle name="Normal 3 3 3 2 2 9" xfId="11589" xr:uid="{00000000-0005-0000-0000-0000AB2E0000}"/>
    <cellStyle name="Normal 3 3 3 2 20" xfId="11590" xr:uid="{00000000-0005-0000-0000-0000AC2E0000}"/>
    <cellStyle name="Normal 3 3 3 2 21" xfId="11591" xr:uid="{00000000-0005-0000-0000-0000AD2E0000}"/>
    <cellStyle name="Normal 3 3 3 2 22" xfId="11592" xr:uid="{00000000-0005-0000-0000-0000AE2E0000}"/>
    <cellStyle name="Normal 3 3 3 2 3" xfId="11593" xr:uid="{00000000-0005-0000-0000-0000AF2E0000}"/>
    <cellStyle name="Normal 3 3 3 2 3 10" xfId="11594" xr:uid="{00000000-0005-0000-0000-0000B02E0000}"/>
    <cellStyle name="Normal 3 3 3 2 3 11" xfId="11595" xr:uid="{00000000-0005-0000-0000-0000B12E0000}"/>
    <cellStyle name="Normal 3 3 3 2 3 12" xfId="11596" xr:uid="{00000000-0005-0000-0000-0000B22E0000}"/>
    <cellStyle name="Normal 3 3 3 2 3 13" xfId="11597" xr:uid="{00000000-0005-0000-0000-0000B32E0000}"/>
    <cellStyle name="Normal 3 3 3 2 3 2" xfId="11598" xr:uid="{00000000-0005-0000-0000-0000B42E0000}"/>
    <cellStyle name="Normal 3 3 3 2 3 3" xfId="11599" xr:uid="{00000000-0005-0000-0000-0000B52E0000}"/>
    <cellStyle name="Normal 3 3 3 2 3 4" xfId="11600" xr:uid="{00000000-0005-0000-0000-0000B62E0000}"/>
    <cellStyle name="Normal 3 3 3 2 3 5" xfId="11601" xr:uid="{00000000-0005-0000-0000-0000B72E0000}"/>
    <cellStyle name="Normal 3 3 3 2 3 6" xfId="11602" xr:uid="{00000000-0005-0000-0000-0000B82E0000}"/>
    <cellStyle name="Normal 3 3 3 2 3 7" xfId="11603" xr:uid="{00000000-0005-0000-0000-0000B92E0000}"/>
    <cellStyle name="Normal 3 3 3 2 3 8" xfId="11604" xr:uid="{00000000-0005-0000-0000-0000BA2E0000}"/>
    <cellStyle name="Normal 3 3 3 2 3 9" xfId="11605" xr:uid="{00000000-0005-0000-0000-0000BB2E0000}"/>
    <cellStyle name="Normal 3 3 3 2 4" xfId="11606" xr:uid="{00000000-0005-0000-0000-0000BC2E0000}"/>
    <cellStyle name="Normal 3 3 3 2 5" xfId="11607" xr:uid="{00000000-0005-0000-0000-0000BD2E0000}"/>
    <cellStyle name="Normal 3 3 3 2 6" xfId="11608" xr:uid="{00000000-0005-0000-0000-0000BE2E0000}"/>
    <cellStyle name="Normal 3 3 3 2 7" xfId="11609" xr:uid="{00000000-0005-0000-0000-0000BF2E0000}"/>
    <cellStyle name="Normal 3 3 3 2 8" xfId="11610" xr:uid="{00000000-0005-0000-0000-0000C02E0000}"/>
    <cellStyle name="Normal 3 3 3 2 9" xfId="11611" xr:uid="{00000000-0005-0000-0000-0000C12E0000}"/>
    <cellStyle name="Normal 3 3 3 2_4 28 1_Asst_Health_Crit_AllTO_RIIO_20110714pm" xfId="11612" xr:uid="{00000000-0005-0000-0000-0000C22E0000}"/>
    <cellStyle name="Normal 3 3 3 3" xfId="11613" xr:uid="{00000000-0005-0000-0000-0000C32E0000}"/>
    <cellStyle name="Normal 3 3 3 3 10" xfId="11614" xr:uid="{00000000-0005-0000-0000-0000C42E0000}"/>
    <cellStyle name="Normal 3 3 3 3 11" xfId="11615" xr:uid="{00000000-0005-0000-0000-0000C52E0000}"/>
    <cellStyle name="Normal 3 3 3 3 12" xfId="11616" xr:uid="{00000000-0005-0000-0000-0000C62E0000}"/>
    <cellStyle name="Normal 3 3 3 3 13" xfId="11617" xr:uid="{00000000-0005-0000-0000-0000C72E0000}"/>
    <cellStyle name="Normal 3 3 3 3 14" xfId="11618" xr:uid="{00000000-0005-0000-0000-0000C82E0000}"/>
    <cellStyle name="Normal 3 3 3 3 15" xfId="11619" xr:uid="{00000000-0005-0000-0000-0000C92E0000}"/>
    <cellStyle name="Normal 3 3 3 3 16" xfId="11620" xr:uid="{00000000-0005-0000-0000-0000CA2E0000}"/>
    <cellStyle name="Normal 3 3 3 3 17" xfId="11621" xr:uid="{00000000-0005-0000-0000-0000CB2E0000}"/>
    <cellStyle name="Normal 3 3 3 3 18" xfId="11622" xr:uid="{00000000-0005-0000-0000-0000CC2E0000}"/>
    <cellStyle name="Normal 3 3 3 3 19" xfId="11623" xr:uid="{00000000-0005-0000-0000-0000CD2E0000}"/>
    <cellStyle name="Normal 3 3 3 3 2" xfId="11624" xr:uid="{00000000-0005-0000-0000-0000CE2E0000}"/>
    <cellStyle name="Normal 3 3 3 3 2 10" xfId="11625" xr:uid="{00000000-0005-0000-0000-0000CF2E0000}"/>
    <cellStyle name="Normal 3 3 3 3 2 11" xfId="11626" xr:uid="{00000000-0005-0000-0000-0000D02E0000}"/>
    <cellStyle name="Normal 3 3 3 3 2 12" xfId="11627" xr:uid="{00000000-0005-0000-0000-0000D12E0000}"/>
    <cellStyle name="Normal 3 3 3 3 2 13" xfId="11628" xr:uid="{00000000-0005-0000-0000-0000D22E0000}"/>
    <cellStyle name="Normal 3 3 3 3 2 2" xfId="11629" xr:uid="{00000000-0005-0000-0000-0000D32E0000}"/>
    <cellStyle name="Normal 3 3 3 3 2 3" xfId="11630" xr:uid="{00000000-0005-0000-0000-0000D42E0000}"/>
    <cellStyle name="Normal 3 3 3 3 2 4" xfId="11631" xr:uid="{00000000-0005-0000-0000-0000D52E0000}"/>
    <cellStyle name="Normal 3 3 3 3 2 5" xfId="11632" xr:uid="{00000000-0005-0000-0000-0000D62E0000}"/>
    <cellStyle name="Normal 3 3 3 3 2 6" xfId="11633" xr:uid="{00000000-0005-0000-0000-0000D72E0000}"/>
    <cellStyle name="Normal 3 3 3 3 2 7" xfId="11634" xr:uid="{00000000-0005-0000-0000-0000D82E0000}"/>
    <cellStyle name="Normal 3 3 3 3 2 8" xfId="11635" xr:uid="{00000000-0005-0000-0000-0000D92E0000}"/>
    <cellStyle name="Normal 3 3 3 3 2 9" xfId="11636" xr:uid="{00000000-0005-0000-0000-0000DA2E0000}"/>
    <cellStyle name="Normal 3 3 3 3 20" xfId="11637" xr:uid="{00000000-0005-0000-0000-0000DB2E0000}"/>
    <cellStyle name="Normal 3 3 3 3 21" xfId="11638" xr:uid="{00000000-0005-0000-0000-0000DC2E0000}"/>
    <cellStyle name="Normal 3 3 3 3 3" xfId="11639" xr:uid="{00000000-0005-0000-0000-0000DD2E0000}"/>
    <cellStyle name="Normal 3 3 3 3 4" xfId="11640" xr:uid="{00000000-0005-0000-0000-0000DE2E0000}"/>
    <cellStyle name="Normal 3 3 3 3 5" xfId="11641" xr:uid="{00000000-0005-0000-0000-0000DF2E0000}"/>
    <cellStyle name="Normal 3 3 3 3 6" xfId="11642" xr:uid="{00000000-0005-0000-0000-0000E02E0000}"/>
    <cellStyle name="Normal 3 3 3 3 7" xfId="11643" xr:uid="{00000000-0005-0000-0000-0000E12E0000}"/>
    <cellStyle name="Normal 3 3 3 3 8" xfId="11644" xr:uid="{00000000-0005-0000-0000-0000E22E0000}"/>
    <cellStyle name="Normal 3 3 3 3 9" xfId="11645" xr:uid="{00000000-0005-0000-0000-0000E32E0000}"/>
    <cellStyle name="Normal 3 3 3 4" xfId="11646" xr:uid="{00000000-0005-0000-0000-0000E42E0000}"/>
    <cellStyle name="Normal 3 3 3 4 10" xfId="11647" xr:uid="{00000000-0005-0000-0000-0000E52E0000}"/>
    <cellStyle name="Normal 3 3 3 4 11" xfId="11648" xr:uid="{00000000-0005-0000-0000-0000E62E0000}"/>
    <cellStyle name="Normal 3 3 3 4 12" xfId="11649" xr:uid="{00000000-0005-0000-0000-0000E72E0000}"/>
    <cellStyle name="Normal 3 3 3 4 13" xfId="11650" xr:uid="{00000000-0005-0000-0000-0000E82E0000}"/>
    <cellStyle name="Normal 3 3 3 4 2" xfId="11651" xr:uid="{00000000-0005-0000-0000-0000E92E0000}"/>
    <cellStyle name="Normal 3 3 3 4 3" xfId="11652" xr:uid="{00000000-0005-0000-0000-0000EA2E0000}"/>
    <cellStyle name="Normal 3 3 3 4 4" xfId="11653" xr:uid="{00000000-0005-0000-0000-0000EB2E0000}"/>
    <cellStyle name="Normal 3 3 3 4 5" xfId="11654" xr:uid="{00000000-0005-0000-0000-0000EC2E0000}"/>
    <cellStyle name="Normal 3 3 3 4 6" xfId="11655" xr:uid="{00000000-0005-0000-0000-0000ED2E0000}"/>
    <cellStyle name="Normal 3 3 3 4 7" xfId="11656" xr:uid="{00000000-0005-0000-0000-0000EE2E0000}"/>
    <cellStyle name="Normal 3 3 3 4 8" xfId="11657" xr:uid="{00000000-0005-0000-0000-0000EF2E0000}"/>
    <cellStyle name="Normal 3 3 3 4 9" xfId="11658" xr:uid="{00000000-0005-0000-0000-0000F02E0000}"/>
    <cellStyle name="Normal 3 3 3 5" xfId="11659" xr:uid="{00000000-0005-0000-0000-0000F12E0000}"/>
    <cellStyle name="Normal 3 3 3 6" xfId="11660" xr:uid="{00000000-0005-0000-0000-0000F22E0000}"/>
    <cellStyle name="Normal 3 3 3 7" xfId="11661" xr:uid="{00000000-0005-0000-0000-0000F32E0000}"/>
    <cellStyle name="Normal 3 3 3 8" xfId="11662" xr:uid="{00000000-0005-0000-0000-0000F42E0000}"/>
    <cellStyle name="Normal 3 3 3 9" xfId="11663" xr:uid="{00000000-0005-0000-0000-0000F52E0000}"/>
    <cellStyle name="Normal 3 3 3_4 28 1_Asst_Health_Crit_AllTO_RIIO_20110714pm" xfId="11664" xr:uid="{00000000-0005-0000-0000-0000F62E0000}"/>
    <cellStyle name="Normal 3 3 30" xfId="11665" xr:uid="{00000000-0005-0000-0000-0000F72E0000}"/>
    <cellStyle name="Normal 3 3 31" xfId="11666" xr:uid="{00000000-0005-0000-0000-0000F82E0000}"/>
    <cellStyle name="Normal 3 3 32" xfId="11667" xr:uid="{00000000-0005-0000-0000-0000F92E0000}"/>
    <cellStyle name="Normal 3 3 33" xfId="11668" xr:uid="{00000000-0005-0000-0000-0000FA2E0000}"/>
    <cellStyle name="Normal 3 3 34" xfId="11669" xr:uid="{00000000-0005-0000-0000-0000FB2E0000}"/>
    <cellStyle name="Normal 3 3 35" xfId="11670" xr:uid="{00000000-0005-0000-0000-0000FC2E0000}"/>
    <cellStyle name="Normal 3 3 36" xfId="11671" xr:uid="{00000000-0005-0000-0000-0000FD2E0000}"/>
    <cellStyle name="Normal 3 3 37" xfId="11672" xr:uid="{00000000-0005-0000-0000-0000FE2E0000}"/>
    <cellStyle name="Normal 3 3 38" xfId="11673" xr:uid="{00000000-0005-0000-0000-0000FF2E0000}"/>
    <cellStyle name="Normal 3 3 39" xfId="11674" xr:uid="{00000000-0005-0000-0000-0000002F0000}"/>
    <cellStyle name="Normal 3 3 4" xfId="11675" xr:uid="{00000000-0005-0000-0000-0000012F0000}"/>
    <cellStyle name="Normal 3 3 40" xfId="11676" xr:uid="{00000000-0005-0000-0000-0000022F0000}"/>
    <cellStyle name="Normal 3 3 41" xfId="11677" xr:uid="{00000000-0005-0000-0000-0000032F0000}"/>
    <cellStyle name="Normal 3 3 42" xfId="11678" xr:uid="{00000000-0005-0000-0000-0000042F0000}"/>
    <cellStyle name="Normal 3 3 43" xfId="11679" xr:uid="{00000000-0005-0000-0000-0000052F0000}"/>
    <cellStyle name="Normal 3 3 44" xfId="11680" xr:uid="{00000000-0005-0000-0000-0000062F0000}"/>
    <cellStyle name="Normal 3 3 45" xfId="11681" xr:uid="{00000000-0005-0000-0000-0000072F0000}"/>
    <cellStyle name="Normal 3 3 46" xfId="11682" xr:uid="{00000000-0005-0000-0000-0000082F0000}"/>
    <cellStyle name="Normal 3 3 47" xfId="11683" xr:uid="{00000000-0005-0000-0000-0000092F0000}"/>
    <cellStyle name="Normal 3 3 48" xfId="11684" xr:uid="{00000000-0005-0000-0000-00000A2F0000}"/>
    <cellStyle name="Normal 3 3 49" xfId="11685" xr:uid="{00000000-0005-0000-0000-00000B2F0000}"/>
    <cellStyle name="Normal 3 3 5" xfId="11686" xr:uid="{00000000-0005-0000-0000-00000C2F0000}"/>
    <cellStyle name="Normal 3 3 5 10" xfId="11687" xr:uid="{00000000-0005-0000-0000-00000D2F0000}"/>
    <cellStyle name="Normal 3 3 5 11" xfId="11688" xr:uid="{00000000-0005-0000-0000-00000E2F0000}"/>
    <cellStyle name="Normal 3 3 5 12" xfId="11689" xr:uid="{00000000-0005-0000-0000-00000F2F0000}"/>
    <cellStyle name="Normal 3 3 5 13" xfId="11690" xr:uid="{00000000-0005-0000-0000-0000102F0000}"/>
    <cellStyle name="Normal 3 3 5 14" xfId="11691" xr:uid="{00000000-0005-0000-0000-0000112F0000}"/>
    <cellStyle name="Normal 3 3 5 15" xfId="11692" xr:uid="{00000000-0005-0000-0000-0000122F0000}"/>
    <cellStyle name="Normal 3 3 5 16" xfId="11693" xr:uid="{00000000-0005-0000-0000-0000132F0000}"/>
    <cellStyle name="Normal 3 3 5 17" xfId="11694" xr:uid="{00000000-0005-0000-0000-0000142F0000}"/>
    <cellStyle name="Normal 3 3 5 2" xfId="11695" xr:uid="{00000000-0005-0000-0000-0000152F0000}"/>
    <cellStyle name="Normal 3 3 5 3" xfId="11696" xr:uid="{00000000-0005-0000-0000-0000162F0000}"/>
    <cellStyle name="Normal 3 3 5 4" xfId="11697" xr:uid="{00000000-0005-0000-0000-0000172F0000}"/>
    <cellStyle name="Normal 3 3 5 5" xfId="11698" xr:uid="{00000000-0005-0000-0000-0000182F0000}"/>
    <cellStyle name="Normal 3 3 5 6" xfId="11699" xr:uid="{00000000-0005-0000-0000-0000192F0000}"/>
    <cellStyle name="Normal 3 3 5 7" xfId="11700" xr:uid="{00000000-0005-0000-0000-00001A2F0000}"/>
    <cellStyle name="Normal 3 3 5 8" xfId="11701" xr:uid="{00000000-0005-0000-0000-00001B2F0000}"/>
    <cellStyle name="Normal 3 3 5 9" xfId="11702" xr:uid="{00000000-0005-0000-0000-00001C2F0000}"/>
    <cellStyle name="Normal 3 3 50" xfId="11703" xr:uid="{00000000-0005-0000-0000-00001D2F0000}"/>
    <cellStyle name="Normal 3 3 51" xfId="11704" xr:uid="{00000000-0005-0000-0000-00001E2F0000}"/>
    <cellStyle name="Normal 3 3 52" xfId="11705" xr:uid="{00000000-0005-0000-0000-00001F2F0000}"/>
    <cellStyle name="Normal 3 3 53" xfId="11706" xr:uid="{00000000-0005-0000-0000-0000202F0000}"/>
    <cellStyle name="Normal 3 3 54" xfId="11707" xr:uid="{00000000-0005-0000-0000-0000212F0000}"/>
    <cellStyle name="Normal 3 3 55" xfId="11708" xr:uid="{00000000-0005-0000-0000-0000222F0000}"/>
    <cellStyle name="Normal 3 3 56" xfId="11709" xr:uid="{00000000-0005-0000-0000-0000232F0000}"/>
    <cellStyle name="Normal 3 3 57" xfId="11710" xr:uid="{00000000-0005-0000-0000-0000242F0000}"/>
    <cellStyle name="Normal 3 3 58" xfId="11711" xr:uid="{00000000-0005-0000-0000-0000252F0000}"/>
    <cellStyle name="Normal 3 3 59" xfId="11712" xr:uid="{00000000-0005-0000-0000-0000262F0000}"/>
    <cellStyle name="Normal 3 3 6" xfId="11713" xr:uid="{00000000-0005-0000-0000-0000272F0000}"/>
    <cellStyle name="Normal 3 3 6 10" xfId="11714" xr:uid="{00000000-0005-0000-0000-0000282F0000}"/>
    <cellStyle name="Normal 3 3 6 11" xfId="11715" xr:uid="{00000000-0005-0000-0000-0000292F0000}"/>
    <cellStyle name="Normal 3 3 6 12" xfId="11716" xr:uid="{00000000-0005-0000-0000-00002A2F0000}"/>
    <cellStyle name="Normal 3 3 6 13" xfId="11717" xr:uid="{00000000-0005-0000-0000-00002B2F0000}"/>
    <cellStyle name="Normal 3 3 6 14" xfId="11718" xr:uid="{00000000-0005-0000-0000-00002C2F0000}"/>
    <cellStyle name="Normal 3 3 6 15" xfId="11719" xr:uid="{00000000-0005-0000-0000-00002D2F0000}"/>
    <cellStyle name="Normal 3 3 6 16" xfId="11720" xr:uid="{00000000-0005-0000-0000-00002E2F0000}"/>
    <cellStyle name="Normal 3 3 6 17" xfId="11721" xr:uid="{00000000-0005-0000-0000-00002F2F0000}"/>
    <cellStyle name="Normal 3 3 6 2" xfId="11722" xr:uid="{00000000-0005-0000-0000-0000302F0000}"/>
    <cellStyle name="Normal 3 3 6 3" xfId="11723" xr:uid="{00000000-0005-0000-0000-0000312F0000}"/>
    <cellStyle name="Normal 3 3 6 4" xfId="11724" xr:uid="{00000000-0005-0000-0000-0000322F0000}"/>
    <cellStyle name="Normal 3 3 6 5" xfId="11725" xr:uid="{00000000-0005-0000-0000-0000332F0000}"/>
    <cellStyle name="Normal 3 3 6 6" xfId="11726" xr:uid="{00000000-0005-0000-0000-0000342F0000}"/>
    <cellStyle name="Normal 3 3 6 7" xfId="11727" xr:uid="{00000000-0005-0000-0000-0000352F0000}"/>
    <cellStyle name="Normal 3 3 6 8" xfId="11728" xr:uid="{00000000-0005-0000-0000-0000362F0000}"/>
    <cellStyle name="Normal 3 3 6 9" xfId="11729" xr:uid="{00000000-0005-0000-0000-0000372F0000}"/>
    <cellStyle name="Normal 3 3 60" xfId="11730" xr:uid="{00000000-0005-0000-0000-0000382F0000}"/>
    <cellStyle name="Normal 3 3 61" xfId="11731" xr:uid="{00000000-0005-0000-0000-0000392F0000}"/>
    <cellStyle name="Normal 3 3 62" xfId="11732" xr:uid="{00000000-0005-0000-0000-00003A2F0000}"/>
    <cellStyle name="Normal 3 3 63" xfId="11733" xr:uid="{00000000-0005-0000-0000-00003B2F0000}"/>
    <cellStyle name="Normal 3 3 64" xfId="11734" xr:uid="{00000000-0005-0000-0000-00003C2F0000}"/>
    <cellStyle name="Normal 3 3 65" xfId="11735" xr:uid="{00000000-0005-0000-0000-00003D2F0000}"/>
    <cellStyle name="Normal 3 3 66" xfId="11736" xr:uid="{00000000-0005-0000-0000-00003E2F0000}"/>
    <cellStyle name="Normal 3 3 67" xfId="11737" xr:uid="{00000000-0005-0000-0000-00003F2F0000}"/>
    <cellStyle name="Normal 3 3 68" xfId="11738" xr:uid="{00000000-0005-0000-0000-0000402F0000}"/>
    <cellStyle name="Normal 3 3 69" xfId="11739" xr:uid="{00000000-0005-0000-0000-0000412F0000}"/>
    <cellStyle name="Normal 3 3 7" xfId="11740" xr:uid="{00000000-0005-0000-0000-0000422F0000}"/>
    <cellStyle name="Normal 3 3 70" xfId="11741" xr:uid="{00000000-0005-0000-0000-0000432F0000}"/>
    <cellStyle name="Normal 3 3 71" xfId="11742" xr:uid="{00000000-0005-0000-0000-0000442F0000}"/>
    <cellStyle name="Normal 3 3 72" xfId="11743" xr:uid="{00000000-0005-0000-0000-0000452F0000}"/>
    <cellStyle name="Normal 3 3 73" xfId="11744" xr:uid="{00000000-0005-0000-0000-0000462F0000}"/>
    <cellStyle name="Normal 3 3 74" xfId="11745" xr:uid="{00000000-0005-0000-0000-0000472F0000}"/>
    <cellStyle name="Normal 3 3 75" xfId="11746" xr:uid="{00000000-0005-0000-0000-0000482F0000}"/>
    <cellStyle name="Normal 3 3 76" xfId="11747" xr:uid="{00000000-0005-0000-0000-0000492F0000}"/>
    <cellStyle name="Normal 3 3 77" xfId="11748" xr:uid="{00000000-0005-0000-0000-00004A2F0000}"/>
    <cellStyle name="Normal 3 3 78" xfId="11749" xr:uid="{00000000-0005-0000-0000-00004B2F0000}"/>
    <cellStyle name="Normal 3 3 79" xfId="11750" xr:uid="{00000000-0005-0000-0000-00004C2F0000}"/>
    <cellStyle name="Normal 3 3 8" xfId="11751" xr:uid="{00000000-0005-0000-0000-00004D2F0000}"/>
    <cellStyle name="Normal 3 3 80" xfId="11752" xr:uid="{00000000-0005-0000-0000-00004E2F0000}"/>
    <cellStyle name="Normal 3 3 81" xfId="11753" xr:uid="{00000000-0005-0000-0000-00004F2F0000}"/>
    <cellStyle name="Normal 3 3 82" xfId="11754" xr:uid="{00000000-0005-0000-0000-0000502F0000}"/>
    <cellStyle name="Normal 3 3 83" xfId="11755" xr:uid="{00000000-0005-0000-0000-0000512F0000}"/>
    <cellStyle name="Normal 3 3 84" xfId="11756" xr:uid="{00000000-0005-0000-0000-0000522F0000}"/>
    <cellStyle name="Normal 3 3 9" xfId="11757" xr:uid="{00000000-0005-0000-0000-0000532F0000}"/>
    <cellStyle name="Normal 3 3_2010_NGET_TPCR4_RO_FBPQ(Opex) trace only FINAL(DPP)" xfId="11758" xr:uid="{00000000-0005-0000-0000-0000542F0000}"/>
    <cellStyle name="Normal 3 30" xfId="11759" xr:uid="{00000000-0005-0000-0000-0000552F0000}"/>
    <cellStyle name="Normal 3 31" xfId="11760" xr:uid="{00000000-0005-0000-0000-0000562F0000}"/>
    <cellStyle name="Normal 3 32" xfId="11761" xr:uid="{00000000-0005-0000-0000-0000572F0000}"/>
    <cellStyle name="Normal 3 33" xfId="11762" xr:uid="{00000000-0005-0000-0000-0000582F0000}"/>
    <cellStyle name="Normal 3 34" xfId="11763" xr:uid="{00000000-0005-0000-0000-0000592F0000}"/>
    <cellStyle name="Normal 3 35" xfId="11764" xr:uid="{00000000-0005-0000-0000-00005A2F0000}"/>
    <cellStyle name="Normal 3 36" xfId="11765" xr:uid="{00000000-0005-0000-0000-00005B2F0000}"/>
    <cellStyle name="Normal 3 37" xfId="11766" xr:uid="{00000000-0005-0000-0000-00005C2F0000}"/>
    <cellStyle name="Normal 3 38" xfId="11767" xr:uid="{00000000-0005-0000-0000-00005D2F0000}"/>
    <cellStyle name="Normal 3 39" xfId="11768" xr:uid="{00000000-0005-0000-0000-00005E2F0000}"/>
    <cellStyle name="Normal 3 4" xfId="11769" xr:uid="{00000000-0005-0000-0000-00005F2F0000}"/>
    <cellStyle name="Normal 3 4 10" xfId="11770" xr:uid="{00000000-0005-0000-0000-0000602F0000}"/>
    <cellStyle name="Normal 3 4 11" xfId="11771" xr:uid="{00000000-0005-0000-0000-0000612F0000}"/>
    <cellStyle name="Normal 3 4 12" xfId="11772" xr:uid="{00000000-0005-0000-0000-0000622F0000}"/>
    <cellStyle name="Normal 3 4 13" xfId="11773" xr:uid="{00000000-0005-0000-0000-0000632F0000}"/>
    <cellStyle name="Normal 3 4 14" xfId="11774" xr:uid="{00000000-0005-0000-0000-0000642F0000}"/>
    <cellStyle name="Normal 3 4 15" xfId="11775" xr:uid="{00000000-0005-0000-0000-0000652F0000}"/>
    <cellStyle name="Normal 3 4 16" xfId="11776" xr:uid="{00000000-0005-0000-0000-0000662F0000}"/>
    <cellStyle name="Normal 3 4 17" xfId="11777" xr:uid="{00000000-0005-0000-0000-0000672F0000}"/>
    <cellStyle name="Normal 3 4 18" xfId="11778" xr:uid="{00000000-0005-0000-0000-0000682F0000}"/>
    <cellStyle name="Normal 3 4 19" xfId="11779" xr:uid="{00000000-0005-0000-0000-0000692F0000}"/>
    <cellStyle name="Normal 3 4 2" xfId="11780" xr:uid="{00000000-0005-0000-0000-00006A2F0000}"/>
    <cellStyle name="Normal 3 4 2 10" xfId="11781" xr:uid="{00000000-0005-0000-0000-00006B2F0000}"/>
    <cellStyle name="Normal 3 4 2 11" xfId="11782" xr:uid="{00000000-0005-0000-0000-00006C2F0000}"/>
    <cellStyle name="Normal 3 4 2 12" xfId="11783" xr:uid="{00000000-0005-0000-0000-00006D2F0000}"/>
    <cellStyle name="Normal 3 4 2 13" xfId="11784" xr:uid="{00000000-0005-0000-0000-00006E2F0000}"/>
    <cellStyle name="Normal 3 4 2 14" xfId="11785" xr:uid="{00000000-0005-0000-0000-00006F2F0000}"/>
    <cellStyle name="Normal 3 4 2 15" xfId="11786" xr:uid="{00000000-0005-0000-0000-0000702F0000}"/>
    <cellStyle name="Normal 3 4 2 16" xfId="11787" xr:uid="{00000000-0005-0000-0000-0000712F0000}"/>
    <cellStyle name="Normal 3 4 2 17" xfId="11788" xr:uid="{00000000-0005-0000-0000-0000722F0000}"/>
    <cellStyle name="Normal 3 4 2 18" xfId="11789" xr:uid="{00000000-0005-0000-0000-0000732F0000}"/>
    <cellStyle name="Normal 3 4 2 19" xfId="11790" xr:uid="{00000000-0005-0000-0000-0000742F0000}"/>
    <cellStyle name="Normal 3 4 2 2" xfId="11791" xr:uid="{00000000-0005-0000-0000-0000752F0000}"/>
    <cellStyle name="Normal 3 4 2 2 10" xfId="11792" xr:uid="{00000000-0005-0000-0000-0000762F0000}"/>
    <cellStyle name="Normal 3 4 2 2 11" xfId="11793" xr:uid="{00000000-0005-0000-0000-0000772F0000}"/>
    <cellStyle name="Normal 3 4 2 2 12" xfId="11794" xr:uid="{00000000-0005-0000-0000-0000782F0000}"/>
    <cellStyle name="Normal 3 4 2 2 13" xfId="11795" xr:uid="{00000000-0005-0000-0000-0000792F0000}"/>
    <cellStyle name="Normal 3 4 2 2 14" xfId="11796" xr:uid="{00000000-0005-0000-0000-00007A2F0000}"/>
    <cellStyle name="Normal 3 4 2 2 15" xfId="11797" xr:uid="{00000000-0005-0000-0000-00007B2F0000}"/>
    <cellStyle name="Normal 3 4 2 2 16" xfId="11798" xr:uid="{00000000-0005-0000-0000-00007C2F0000}"/>
    <cellStyle name="Normal 3 4 2 2 17" xfId="11799" xr:uid="{00000000-0005-0000-0000-00007D2F0000}"/>
    <cellStyle name="Normal 3 4 2 2 18" xfId="11800" xr:uid="{00000000-0005-0000-0000-00007E2F0000}"/>
    <cellStyle name="Normal 3 4 2 2 19" xfId="11801" xr:uid="{00000000-0005-0000-0000-00007F2F0000}"/>
    <cellStyle name="Normal 3 4 2 2 2" xfId="11802" xr:uid="{00000000-0005-0000-0000-0000802F0000}"/>
    <cellStyle name="Normal 3 4 2 2 2 10" xfId="11803" xr:uid="{00000000-0005-0000-0000-0000812F0000}"/>
    <cellStyle name="Normal 3 4 2 2 2 11" xfId="11804" xr:uid="{00000000-0005-0000-0000-0000822F0000}"/>
    <cellStyle name="Normal 3 4 2 2 2 12" xfId="11805" xr:uid="{00000000-0005-0000-0000-0000832F0000}"/>
    <cellStyle name="Normal 3 4 2 2 2 13" xfId="11806" xr:uid="{00000000-0005-0000-0000-0000842F0000}"/>
    <cellStyle name="Normal 3 4 2 2 2 2" xfId="11807" xr:uid="{00000000-0005-0000-0000-0000852F0000}"/>
    <cellStyle name="Normal 3 4 2 2 2 3" xfId="11808" xr:uid="{00000000-0005-0000-0000-0000862F0000}"/>
    <cellStyle name="Normal 3 4 2 2 2 4" xfId="11809" xr:uid="{00000000-0005-0000-0000-0000872F0000}"/>
    <cellStyle name="Normal 3 4 2 2 2 5" xfId="11810" xr:uid="{00000000-0005-0000-0000-0000882F0000}"/>
    <cellStyle name="Normal 3 4 2 2 2 6" xfId="11811" xr:uid="{00000000-0005-0000-0000-0000892F0000}"/>
    <cellStyle name="Normal 3 4 2 2 2 7" xfId="11812" xr:uid="{00000000-0005-0000-0000-00008A2F0000}"/>
    <cellStyle name="Normal 3 4 2 2 2 8" xfId="11813" xr:uid="{00000000-0005-0000-0000-00008B2F0000}"/>
    <cellStyle name="Normal 3 4 2 2 2 9" xfId="11814" xr:uid="{00000000-0005-0000-0000-00008C2F0000}"/>
    <cellStyle name="Normal 3 4 2 2 20" xfId="11815" xr:uid="{00000000-0005-0000-0000-00008D2F0000}"/>
    <cellStyle name="Normal 3 4 2 2 21" xfId="11816" xr:uid="{00000000-0005-0000-0000-00008E2F0000}"/>
    <cellStyle name="Normal 3 4 2 2 3" xfId="11817" xr:uid="{00000000-0005-0000-0000-00008F2F0000}"/>
    <cellStyle name="Normal 3 4 2 2 4" xfId="11818" xr:uid="{00000000-0005-0000-0000-0000902F0000}"/>
    <cellStyle name="Normal 3 4 2 2 5" xfId="11819" xr:uid="{00000000-0005-0000-0000-0000912F0000}"/>
    <cellStyle name="Normal 3 4 2 2 6" xfId="11820" xr:uid="{00000000-0005-0000-0000-0000922F0000}"/>
    <cellStyle name="Normal 3 4 2 2 7" xfId="11821" xr:uid="{00000000-0005-0000-0000-0000932F0000}"/>
    <cellStyle name="Normal 3 4 2 2 8" xfId="11822" xr:uid="{00000000-0005-0000-0000-0000942F0000}"/>
    <cellStyle name="Normal 3 4 2 2 9" xfId="11823" xr:uid="{00000000-0005-0000-0000-0000952F0000}"/>
    <cellStyle name="Normal 3 4 2 20" xfId="11824" xr:uid="{00000000-0005-0000-0000-0000962F0000}"/>
    <cellStyle name="Normal 3 4 2 21" xfId="11825" xr:uid="{00000000-0005-0000-0000-0000972F0000}"/>
    <cellStyle name="Normal 3 4 2 22" xfId="11826" xr:uid="{00000000-0005-0000-0000-0000982F0000}"/>
    <cellStyle name="Normal 3 4 2 3" xfId="11827" xr:uid="{00000000-0005-0000-0000-0000992F0000}"/>
    <cellStyle name="Normal 3 4 2 3 10" xfId="11828" xr:uid="{00000000-0005-0000-0000-00009A2F0000}"/>
    <cellStyle name="Normal 3 4 2 3 11" xfId="11829" xr:uid="{00000000-0005-0000-0000-00009B2F0000}"/>
    <cellStyle name="Normal 3 4 2 3 12" xfId="11830" xr:uid="{00000000-0005-0000-0000-00009C2F0000}"/>
    <cellStyle name="Normal 3 4 2 3 13" xfId="11831" xr:uid="{00000000-0005-0000-0000-00009D2F0000}"/>
    <cellStyle name="Normal 3 4 2 3 2" xfId="11832" xr:uid="{00000000-0005-0000-0000-00009E2F0000}"/>
    <cellStyle name="Normal 3 4 2 3 3" xfId="11833" xr:uid="{00000000-0005-0000-0000-00009F2F0000}"/>
    <cellStyle name="Normal 3 4 2 3 4" xfId="11834" xr:uid="{00000000-0005-0000-0000-0000A02F0000}"/>
    <cellStyle name="Normal 3 4 2 3 5" xfId="11835" xr:uid="{00000000-0005-0000-0000-0000A12F0000}"/>
    <cellStyle name="Normal 3 4 2 3 6" xfId="11836" xr:uid="{00000000-0005-0000-0000-0000A22F0000}"/>
    <cellStyle name="Normal 3 4 2 3 7" xfId="11837" xr:uid="{00000000-0005-0000-0000-0000A32F0000}"/>
    <cellStyle name="Normal 3 4 2 3 8" xfId="11838" xr:uid="{00000000-0005-0000-0000-0000A42F0000}"/>
    <cellStyle name="Normal 3 4 2 3 9" xfId="11839" xr:uid="{00000000-0005-0000-0000-0000A52F0000}"/>
    <cellStyle name="Normal 3 4 2 4" xfId="11840" xr:uid="{00000000-0005-0000-0000-0000A62F0000}"/>
    <cellStyle name="Normal 3 4 2 5" xfId="11841" xr:uid="{00000000-0005-0000-0000-0000A72F0000}"/>
    <cellStyle name="Normal 3 4 2 6" xfId="11842" xr:uid="{00000000-0005-0000-0000-0000A82F0000}"/>
    <cellStyle name="Normal 3 4 2 7" xfId="11843" xr:uid="{00000000-0005-0000-0000-0000A92F0000}"/>
    <cellStyle name="Normal 3 4 2 8" xfId="11844" xr:uid="{00000000-0005-0000-0000-0000AA2F0000}"/>
    <cellStyle name="Normal 3 4 2 9" xfId="11845" xr:uid="{00000000-0005-0000-0000-0000AB2F0000}"/>
    <cellStyle name="Normal 3 4 2_4 28 1_Asst_Health_Crit_AllTO_RIIO_20110714pm" xfId="11846" xr:uid="{00000000-0005-0000-0000-0000AC2F0000}"/>
    <cellStyle name="Normal 3 4 20" xfId="11847" xr:uid="{00000000-0005-0000-0000-0000AD2F0000}"/>
    <cellStyle name="Normal 3 4 21" xfId="11848" xr:uid="{00000000-0005-0000-0000-0000AE2F0000}"/>
    <cellStyle name="Normal 3 4 22" xfId="11849" xr:uid="{00000000-0005-0000-0000-0000AF2F0000}"/>
    <cellStyle name="Normal 3 4 23" xfId="11850" xr:uid="{00000000-0005-0000-0000-0000B02F0000}"/>
    <cellStyle name="Normal 3 4 24" xfId="11851" xr:uid="{00000000-0005-0000-0000-0000B12F0000}"/>
    <cellStyle name="Normal 3 4 25" xfId="11852" xr:uid="{00000000-0005-0000-0000-0000B22F0000}"/>
    <cellStyle name="Normal 3 4 26" xfId="11853" xr:uid="{00000000-0005-0000-0000-0000B32F0000}"/>
    <cellStyle name="Normal 3 4 27" xfId="11854" xr:uid="{00000000-0005-0000-0000-0000B42F0000}"/>
    <cellStyle name="Normal 3 4 28" xfId="11855" xr:uid="{00000000-0005-0000-0000-0000B52F0000}"/>
    <cellStyle name="Normal 3 4 29" xfId="11856" xr:uid="{00000000-0005-0000-0000-0000B62F0000}"/>
    <cellStyle name="Normal 3 4 3" xfId="11857" xr:uid="{00000000-0005-0000-0000-0000B72F0000}"/>
    <cellStyle name="Normal 3 4 3 10" xfId="11858" xr:uid="{00000000-0005-0000-0000-0000B82F0000}"/>
    <cellStyle name="Normal 3 4 3 11" xfId="11859" xr:uid="{00000000-0005-0000-0000-0000B92F0000}"/>
    <cellStyle name="Normal 3 4 3 12" xfId="11860" xr:uid="{00000000-0005-0000-0000-0000BA2F0000}"/>
    <cellStyle name="Normal 3 4 3 13" xfId="11861" xr:uid="{00000000-0005-0000-0000-0000BB2F0000}"/>
    <cellStyle name="Normal 3 4 3 14" xfId="11862" xr:uid="{00000000-0005-0000-0000-0000BC2F0000}"/>
    <cellStyle name="Normal 3 4 3 15" xfId="11863" xr:uid="{00000000-0005-0000-0000-0000BD2F0000}"/>
    <cellStyle name="Normal 3 4 3 16" xfId="11864" xr:uid="{00000000-0005-0000-0000-0000BE2F0000}"/>
    <cellStyle name="Normal 3 4 3 17" xfId="11865" xr:uid="{00000000-0005-0000-0000-0000BF2F0000}"/>
    <cellStyle name="Normal 3 4 3 18" xfId="11866" xr:uid="{00000000-0005-0000-0000-0000C02F0000}"/>
    <cellStyle name="Normal 3 4 3 19" xfId="11867" xr:uid="{00000000-0005-0000-0000-0000C12F0000}"/>
    <cellStyle name="Normal 3 4 3 2" xfId="11868" xr:uid="{00000000-0005-0000-0000-0000C22F0000}"/>
    <cellStyle name="Normal 3 4 3 2 10" xfId="11869" xr:uid="{00000000-0005-0000-0000-0000C32F0000}"/>
    <cellStyle name="Normal 3 4 3 2 11" xfId="11870" xr:uid="{00000000-0005-0000-0000-0000C42F0000}"/>
    <cellStyle name="Normal 3 4 3 2 12" xfId="11871" xr:uid="{00000000-0005-0000-0000-0000C52F0000}"/>
    <cellStyle name="Normal 3 4 3 2 13" xfId="11872" xr:uid="{00000000-0005-0000-0000-0000C62F0000}"/>
    <cellStyle name="Normal 3 4 3 2 2" xfId="11873" xr:uid="{00000000-0005-0000-0000-0000C72F0000}"/>
    <cellStyle name="Normal 3 4 3 2 3" xfId="11874" xr:uid="{00000000-0005-0000-0000-0000C82F0000}"/>
    <cellStyle name="Normal 3 4 3 2 4" xfId="11875" xr:uid="{00000000-0005-0000-0000-0000C92F0000}"/>
    <cellStyle name="Normal 3 4 3 2 5" xfId="11876" xr:uid="{00000000-0005-0000-0000-0000CA2F0000}"/>
    <cellStyle name="Normal 3 4 3 2 6" xfId="11877" xr:uid="{00000000-0005-0000-0000-0000CB2F0000}"/>
    <cellStyle name="Normal 3 4 3 2 7" xfId="11878" xr:uid="{00000000-0005-0000-0000-0000CC2F0000}"/>
    <cellStyle name="Normal 3 4 3 2 8" xfId="11879" xr:uid="{00000000-0005-0000-0000-0000CD2F0000}"/>
    <cellStyle name="Normal 3 4 3 2 9" xfId="11880" xr:uid="{00000000-0005-0000-0000-0000CE2F0000}"/>
    <cellStyle name="Normal 3 4 3 20" xfId="11881" xr:uid="{00000000-0005-0000-0000-0000CF2F0000}"/>
    <cellStyle name="Normal 3 4 3 21" xfId="11882" xr:uid="{00000000-0005-0000-0000-0000D02F0000}"/>
    <cellStyle name="Normal 3 4 3 3" xfId="11883" xr:uid="{00000000-0005-0000-0000-0000D12F0000}"/>
    <cellStyle name="Normal 3 4 3 4" xfId="11884" xr:uid="{00000000-0005-0000-0000-0000D22F0000}"/>
    <cellStyle name="Normal 3 4 3 5" xfId="11885" xr:uid="{00000000-0005-0000-0000-0000D32F0000}"/>
    <cellStyle name="Normal 3 4 3 6" xfId="11886" xr:uid="{00000000-0005-0000-0000-0000D42F0000}"/>
    <cellStyle name="Normal 3 4 3 7" xfId="11887" xr:uid="{00000000-0005-0000-0000-0000D52F0000}"/>
    <cellStyle name="Normal 3 4 3 8" xfId="11888" xr:uid="{00000000-0005-0000-0000-0000D62F0000}"/>
    <cellStyle name="Normal 3 4 3 9" xfId="11889" xr:uid="{00000000-0005-0000-0000-0000D72F0000}"/>
    <cellStyle name="Normal 3 4 30" xfId="11890" xr:uid="{00000000-0005-0000-0000-0000D82F0000}"/>
    <cellStyle name="Normal 3 4 31" xfId="11891" xr:uid="{00000000-0005-0000-0000-0000D92F0000}"/>
    <cellStyle name="Normal 3 4 32" xfId="11892" xr:uid="{00000000-0005-0000-0000-0000DA2F0000}"/>
    <cellStyle name="Normal 3 4 33" xfId="11893" xr:uid="{00000000-0005-0000-0000-0000DB2F0000}"/>
    <cellStyle name="Normal 3 4 34" xfId="11894" xr:uid="{00000000-0005-0000-0000-0000DC2F0000}"/>
    <cellStyle name="Normal 3 4 35" xfId="11895" xr:uid="{00000000-0005-0000-0000-0000DD2F0000}"/>
    <cellStyle name="Normal 3 4 36" xfId="11896" xr:uid="{00000000-0005-0000-0000-0000DE2F0000}"/>
    <cellStyle name="Normal 3 4 37" xfId="11897" xr:uid="{00000000-0005-0000-0000-0000DF2F0000}"/>
    <cellStyle name="Normal 3 4 38" xfId="11898" xr:uid="{00000000-0005-0000-0000-0000E02F0000}"/>
    <cellStyle name="Normal 3 4 39" xfId="11899" xr:uid="{00000000-0005-0000-0000-0000E12F0000}"/>
    <cellStyle name="Normal 3 4 4" xfId="11900" xr:uid="{00000000-0005-0000-0000-0000E22F0000}"/>
    <cellStyle name="Normal 3 4 4 10" xfId="11901" xr:uid="{00000000-0005-0000-0000-0000E32F0000}"/>
    <cellStyle name="Normal 3 4 4 11" xfId="11902" xr:uid="{00000000-0005-0000-0000-0000E42F0000}"/>
    <cellStyle name="Normal 3 4 4 12" xfId="11903" xr:uid="{00000000-0005-0000-0000-0000E52F0000}"/>
    <cellStyle name="Normal 3 4 4 13" xfId="11904" xr:uid="{00000000-0005-0000-0000-0000E62F0000}"/>
    <cellStyle name="Normal 3 4 4 14" xfId="11905" xr:uid="{00000000-0005-0000-0000-0000E72F0000}"/>
    <cellStyle name="Normal 3 4 4 15" xfId="11906" xr:uid="{00000000-0005-0000-0000-0000E82F0000}"/>
    <cellStyle name="Normal 3 4 4 16" xfId="11907" xr:uid="{00000000-0005-0000-0000-0000E92F0000}"/>
    <cellStyle name="Normal 3 4 4 17" xfId="11908" xr:uid="{00000000-0005-0000-0000-0000EA2F0000}"/>
    <cellStyle name="Normal 3 4 4 2" xfId="11909" xr:uid="{00000000-0005-0000-0000-0000EB2F0000}"/>
    <cellStyle name="Normal 3 4 4 3" xfId="11910" xr:uid="{00000000-0005-0000-0000-0000EC2F0000}"/>
    <cellStyle name="Normal 3 4 4 4" xfId="11911" xr:uid="{00000000-0005-0000-0000-0000ED2F0000}"/>
    <cellStyle name="Normal 3 4 4 5" xfId="11912" xr:uid="{00000000-0005-0000-0000-0000EE2F0000}"/>
    <cellStyle name="Normal 3 4 4 6" xfId="11913" xr:uid="{00000000-0005-0000-0000-0000EF2F0000}"/>
    <cellStyle name="Normal 3 4 4 7" xfId="11914" xr:uid="{00000000-0005-0000-0000-0000F02F0000}"/>
    <cellStyle name="Normal 3 4 4 8" xfId="11915" xr:uid="{00000000-0005-0000-0000-0000F12F0000}"/>
    <cellStyle name="Normal 3 4 4 9" xfId="11916" xr:uid="{00000000-0005-0000-0000-0000F22F0000}"/>
    <cellStyle name="Normal 3 4 40" xfId="11917" xr:uid="{00000000-0005-0000-0000-0000F32F0000}"/>
    <cellStyle name="Normal 3 4 41" xfId="11918" xr:uid="{00000000-0005-0000-0000-0000F42F0000}"/>
    <cellStyle name="Normal 3 4 42" xfId="11919" xr:uid="{00000000-0005-0000-0000-0000F52F0000}"/>
    <cellStyle name="Normal 3 4 43" xfId="11920" xr:uid="{00000000-0005-0000-0000-0000F62F0000}"/>
    <cellStyle name="Normal 3 4 44" xfId="11921" xr:uid="{00000000-0005-0000-0000-0000F72F0000}"/>
    <cellStyle name="Normal 3 4 45" xfId="11922" xr:uid="{00000000-0005-0000-0000-0000F82F0000}"/>
    <cellStyle name="Normal 3 4 46" xfId="11923" xr:uid="{00000000-0005-0000-0000-0000F92F0000}"/>
    <cellStyle name="Normal 3 4 47" xfId="11924" xr:uid="{00000000-0005-0000-0000-0000FA2F0000}"/>
    <cellStyle name="Normal 3 4 48" xfId="11925" xr:uid="{00000000-0005-0000-0000-0000FB2F0000}"/>
    <cellStyle name="Normal 3 4 49" xfId="11926" xr:uid="{00000000-0005-0000-0000-0000FC2F0000}"/>
    <cellStyle name="Normal 3 4 5" xfId="11927" xr:uid="{00000000-0005-0000-0000-0000FD2F0000}"/>
    <cellStyle name="Normal 3 4 5 10" xfId="11928" xr:uid="{00000000-0005-0000-0000-0000FE2F0000}"/>
    <cellStyle name="Normal 3 4 5 11" xfId="11929" xr:uid="{00000000-0005-0000-0000-0000FF2F0000}"/>
    <cellStyle name="Normal 3 4 5 12" xfId="11930" xr:uid="{00000000-0005-0000-0000-000000300000}"/>
    <cellStyle name="Normal 3 4 5 13" xfId="11931" xr:uid="{00000000-0005-0000-0000-000001300000}"/>
    <cellStyle name="Normal 3 4 5 14" xfId="11932" xr:uid="{00000000-0005-0000-0000-000002300000}"/>
    <cellStyle name="Normal 3 4 5 15" xfId="11933" xr:uid="{00000000-0005-0000-0000-000003300000}"/>
    <cellStyle name="Normal 3 4 5 16" xfId="11934" xr:uid="{00000000-0005-0000-0000-000004300000}"/>
    <cellStyle name="Normal 3 4 5 17" xfId="11935" xr:uid="{00000000-0005-0000-0000-000005300000}"/>
    <cellStyle name="Normal 3 4 5 2" xfId="11936" xr:uid="{00000000-0005-0000-0000-000006300000}"/>
    <cellStyle name="Normal 3 4 5 3" xfId="11937" xr:uid="{00000000-0005-0000-0000-000007300000}"/>
    <cellStyle name="Normal 3 4 5 4" xfId="11938" xr:uid="{00000000-0005-0000-0000-000008300000}"/>
    <cellStyle name="Normal 3 4 5 5" xfId="11939" xr:uid="{00000000-0005-0000-0000-000009300000}"/>
    <cellStyle name="Normal 3 4 5 6" xfId="11940" xr:uid="{00000000-0005-0000-0000-00000A300000}"/>
    <cellStyle name="Normal 3 4 5 7" xfId="11941" xr:uid="{00000000-0005-0000-0000-00000B300000}"/>
    <cellStyle name="Normal 3 4 5 8" xfId="11942" xr:uid="{00000000-0005-0000-0000-00000C300000}"/>
    <cellStyle name="Normal 3 4 5 9" xfId="11943" xr:uid="{00000000-0005-0000-0000-00000D300000}"/>
    <cellStyle name="Normal 3 4 50" xfId="11944" xr:uid="{00000000-0005-0000-0000-00000E300000}"/>
    <cellStyle name="Normal 3 4 51" xfId="11945" xr:uid="{00000000-0005-0000-0000-00000F300000}"/>
    <cellStyle name="Normal 3 4 52" xfId="11946" xr:uid="{00000000-0005-0000-0000-000010300000}"/>
    <cellStyle name="Normal 3 4 53" xfId="11947" xr:uid="{00000000-0005-0000-0000-000011300000}"/>
    <cellStyle name="Normal 3 4 54" xfId="11948" xr:uid="{00000000-0005-0000-0000-000012300000}"/>
    <cellStyle name="Normal 3 4 55" xfId="11949" xr:uid="{00000000-0005-0000-0000-000013300000}"/>
    <cellStyle name="Normal 3 4 56" xfId="11950" xr:uid="{00000000-0005-0000-0000-000014300000}"/>
    <cellStyle name="Normal 3 4 57" xfId="11951" xr:uid="{00000000-0005-0000-0000-000015300000}"/>
    <cellStyle name="Normal 3 4 58" xfId="11952" xr:uid="{00000000-0005-0000-0000-000016300000}"/>
    <cellStyle name="Normal 3 4 59" xfId="11953" xr:uid="{00000000-0005-0000-0000-000017300000}"/>
    <cellStyle name="Normal 3 4 6" xfId="11954" xr:uid="{00000000-0005-0000-0000-000018300000}"/>
    <cellStyle name="Normal 3 4 60" xfId="11955" xr:uid="{00000000-0005-0000-0000-000019300000}"/>
    <cellStyle name="Normal 3 4 61" xfId="11956" xr:uid="{00000000-0005-0000-0000-00001A300000}"/>
    <cellStyle name="Normal 3 4 62" xfId="11957" xr:uid="{00000000-0005-0000-0000-00001B300000}"/>
    <cellStyle name="Normal 3 4 63" xfId="11958" xr:uid="{00000000-0005-0000-0000-00001C300000}"/>
    <cellStyle name="Normal 3 4 64" xfId="11959" xr:uid="{00000000-0005-0000-0000-00001D300000}"/>
    <cellStyle name="Normal 3 4 65" xfId="11960" xr:uid="{00000000-0005-0000-0000-00001E300000}"/>
    <cellStyle name="Normal 3 4 66" xfId="11961" xr:uid="{00000000-0005-0000-0000-00001F300000}"/>
    <cellStyle name="Normal 3 4 67" xfId="11962" xr:uid="{00000000-0005-0000-0000-000020300000}"/>
    <cellStyle name="Normal 3 4 68" xfId="11963" xr:uid="{00000000-0005-0000-0000-000021300000}"/>
    <cellStyle name="Normal 3 4 69" xfId="11964" xr:uid="{00000000-0005-0000-0000-000022300000}"/>
    <cellStyle name="Normal 3 4 7" xfId="11965" xr:uid="{00000000-0005-0000-0000-000023300000}"/>
    <cellStyle name="Normal 3 4 70" xfId="11966" xr:uid="{00000000-0005-0000-0000-000024300000}"/>
    <cellStyle name="Normal 3 4 71" xfId="11967" xr:uid="{00000000-0005-0000-0000-000025300000}"/>
    <cellStyle name="Normal 3 4 72" xfId="11968" xr:uid="{00000000-0005-0000-0000-000026300000}"/>
    <cellStyle name="Normal 3 4 73" xfId="11969" xr:uid="{00000000-0005-0000-0000-000027300000}"/>
    <cellStyle name="Normal 3 4 74" xfId="11970" xr:uid="{00000000-0005-0000-0000-000028300000}"/>
    <cellStyle name="Normal 3 4 75" xfId="11971" xr:uid="{00000000-0005-0000-0000-000029300000}"/>
    <cellStyle name="Normal 3 4 76" xfId="11972" xr:uid="{00000000-0005-0000-0000-00002A300000}"/>
    <cellStyle name="Normal 3 4 77" xfId="11973" xr:uid="{00000000-0005-0000-0000-00002B300000}"/>
    <cellStyle name="Normal 3 4 78" xfId="11974" xr:uid="{00000000-0005-0000-0000-00002C300000}"/>
    <cellStyle name="Normal 3 4 79" xfId="11975" xr:uid="{00000000-0005-0000-0000-00002D300000}"/>
    <cellStyle name="Normal 3 4 8" xfId="11976" xr:uid="{00000000-0005-0000-0000-00002E300000}"/>
    <cellStyle name="Normal 3 4 80" xfId="11977" xr:uid="{00000000-0005-0000-0000-00002F300000}"/>
    <cellStyle name="Normal 3 4 81" xfId="11978" xr:uid="{00000000-0005-0000-0000-000030300000}"/>
    <cellStyle name="Normal 3 4 82" xfId="11979" xr:uid="{00000000-0005-0000-0000-000031300000}"/>
    <cellStyle name="Normal 3 4 83" xfId="11980" xr:uid="{00000000-0005-0000-0000-000032300000}"/>
    <cellStyle name="Normal 3 4 9" xfId="11981" xr:uid="{00000000-0005-0000-0000-000033300000}"/>
    <cellStyle name="Normal 3 4_4 28 1_Asst_Health_Crit_AllTO_RIIO_20110714pm" xfId="11982" xr:uid="{00000000-0005-0000-0000-000034300000}"/>
    <cellStyle name="Normal 3 40" xfId="11983" xr:uid="{00000000-0005-0000-0000-000035300000}"/>
    <cellStyle name="Normal 3 41" xfId="11984" xr:uid="{00000000-0005-0000-0000-000036300000}"/>
    <cellStyle name="Normal 3 42" xfId="11985" xr:uid="{00000000-0005-0000-0000-000037300000}"/>
    <cellStyle name="Normal 3 43" xfId="11986" xr:uid="{00000000-0005-0000-0000-000038300000}"/>
    <cellStyle name="Normal 3 44" xfId="11987" xr:uid="{00000000-0005-0000-0000-000039300000}"/>
    <cellStyle name="Normal 3 45" xfId="11988" xr:uid="{00000000-0005-0000-0000-00003A300000}"/>
    <cellStyle name="Normal 3 46" xfId="11989" xr:uid="{00000000-0005-0000-0000-00003B300000}"/>
    <cellStyle name="Normal 3 47" xfId="11990" xr:uid="{00000000-0005-0000-0000-00003C300000}"/>
    <cellStyle name="Normal 3 48" xfId="11991" xr:uid="{00000000-0005-0000-0000-00003D300000}"/>
    <cellStyle name="Normal 3 49" xfId="11992" xr:uid="{00000000-0005-0000-0000-00003E300000}"/>
    <cellStyle name="Normal 3 5" xfId="11993" xr:uid="{00000000-0005-0000-0000-00003F300000}"/>
    <cellStyle name="Normal 3 5 10" xfId="11994" xr:uid="{00000000-0005-0000-0000-000040300000}"/>
    <cellStyle name="Normal 3 5 11" xfId="11995" xr:uid="{00000000-0005-0000-0000-000041300000}"/>
    <cellStyle name="Normal 3 5 12" xfId="11996" xr:uid="{00000000-0005-0000-0000-000042300000}"/>
    <cellStyle name="Normal 3 5 13" xfId="11997" xr:uid="{00000000-0005-0000-0000-000043300000}"/>
    <cellStyle name="Normal 3 5 14" xfId="11998" xr:uid="{00000000-0005-0000-0000-000044300000}"/>
    <cellStyle name="Normal 3 5 15" xfId="11999" xr:uid="{00000000-0005-0000-0000-000045300000}"/>
    <cellStyle name="Normal 3 5 16" xfId="12000" xr:uid="{00000000-0005-0000-0000-000046300000}"/>
    <cellStyle name="Normal 3 5 17" xfId="12001" xr:uid="{00000000-0005-0000-0000-000047300000}"/>
    <cellStyle name="Normal 3 5 18" xfId="12002" xr:uid="{00000000-0005-0000-0000-000048300000}"/>
    <cellStyle name="Normal 3 5 19" xfId="12003" xr:uid="{00000000-0005-0000-0000-000049300000}"/>
    <cellStyle name="Normal 3 5 2" xfId="12004" xr:uid="{00000000-0005-0000-0000-00004A300000}"/>
    <cellStyle name="Normal 3 5 2 10" xfId="12005" xr:uid="{00000000-0005-0000-0000-00004B300000}"/>
    <cellStyle name="Normal 3 5 2 11" xfId="12006" xr:uid="{00000000-0005-0000-0000-00004C300000}"/>
    <cellStyle name="Normal 3 5 2 12" xfId="12007" xr:uid="{00000000-0005-0000-0000-00004D300000}"/>
    <cellStyle name="Normal 3 5 2 13" xfId="12008" xr:uid="{00000000-0005-0000-0000-00004E300000}"/>
    <cellStyle name="Normal 3 5 2 14" xfId="12009" xr:uid="{00000000-0005-0000-0000-00004F300000}"/>
    <cellStyle name="Normal 3 5 2 15" xfId="12010" xr:uid="{00000000-0005-0000-0000-000050300000}"/>
    <cellStyle name="Normal 3 5 2 16" xfId="12011" xr:uid="{00000000-0005-0000-0000-000051300000}"/>
    <cellStyle name="Normal 3 5 2 17" xfId="12012" xr:uid="{00000000-0005-0000-0000-000052300000}"/>
    <cellStyle name="Normal 3 5 2 2" xfId="12013" xr:uid="{00000000-0005-0000-0000-000053300000}"/>
    <cellStyle name="Normal 3 5 2 3" xfId="12014" xr:uid="{00000000-0005-0000-0000-000054300000}"/>
    <cellStyle name="Normal 3 5 2 4" xfId="12015" xr:uid="{00000000-0005-0000-0000-000055300000}"/>
    <cellStyle name="Normal 3 5 2 5" xfId="12016" xr:uid="{00000000-0005-0000-0000-000056300000}"/>
    <cellStyle name="Normal 3 5 2 6" xfId="12017" xr:uid="{00000000-0005-0000-0000-000057300000}"/>
    <cellStyle name="Normal 3 5 2 7" xfId="12018" xr:uid="{00000000-0005-0000-0000-000058300000}"/>
    <cellStyle name="Normal 3 5 2 8" xfId="12019" xr:uid="{00000000-0005-0000-0000-000059300000}"/>
    <cellStyle name="Normal 3 5 2 9" xfId="12020" xr:uid="{00000000-0005-0000-0000-00005A300000}"/>
    <cellStyle name="Normal 3 5 20" xfId="12021" xr:uid="{00000000-0005-0000-0000-00005B300000}"/>
    <cellStyle name="Normal 3 5 21" xfId="12022" xr:uid="{00000000-0005-0000-0000-00005C300000}"/>
    <cellStyle name="Normal 3 5 22" xfId="12023" xr:uid="{00000000-0005-0000-0000-00005D300000}"/>
    <cellStyle name="Normal 3 5 23" xfId="12024" xr:uid="{00000000-0005-0000-0000-00005E300000}"/>
    <cellStyle name="Normal 3 5 24" xfId="12025" xr:uid="{00000000-0005-0000-0000-00005F300000}"/>
    <cellStyle name="Normal 3 5 25" xfId="12026" xr:uid="{00000000-0005-0000-0000-000060300000}"/>
    <cellStyle name="Normal 3 5 26" xfId="12027" xr:uid="{00000000-0005-0000-0000-000061300000}"/>
    <cellStyle name="Normal 3 5 27" xfId="12028" xr:uid="{00000000-0005-0000-0000-000062300000}"/>
    <cellStyle name="Normal 3 5 28" xfId="12029" xr:uid="{00000000-0005-0000-0000-000063300000}"/>
    <cellStyle name="Normal 3 5 29" xfId="12030" xr:uid="{00000000-0005-0000-0000-000064300000}"/>
    <cellStyle name="Normal 3 5 3" xfId="12031" xr:uid="{00000000-0005-0000-0000-000065300000}"/>
    <cellStyle name="Normal 3 5 3 10" xfId="12032" xr:uid="{00000000-0005-0000-0000-000066300000}"/>
    <cellStyle name="Normal 3 5 3 11" xfId="12033" xr:uid="{00000000-0005-0000-0000-000067300000}"/>
    <cellStyle name="Normal 3 5 3 12" xfId="12034" xr:uid="{00000000-0005-0000-0000-000068300000}"/>
    <cellStyle name="Normal 3 5 3 13" xfId="12035" xr:uid="{00000000-0005-0000-0000-000069300000}"/>
    <cellStyle name="Normal 3 5 3 14" xfId="12036" xr:uid="{00000000-0005-0000-0000-00006A300000}"/>
    <cellStyle name="Normal 3 5 3 15" xfId="12037" xr:uid="{00000000-0005-0000-0000-00006B300000}"/>
    <cellStyle name="Normal 3 5 3 16" xfId="12038" xr:uid="{00000000-0005-0000-0000-00006C300000}"/>
    <cellStyle name="Normal 3 5 3 17" xfId="12039" xr:uid="{00000000-0005-0000-0000-00006D300000}"/>
    <cellStyle name="Normal 3 5 3 2" xfId="12040" xr:uid="{00000000-0005-0000-0000-00006E300000}"/>
    <cellStyle name="Normal 3 5 3 3" xfId="12041" xr:uid="{00000000-0005-0000-0000-00006F300000}"/>
    <cellStyle name="Normal 3 5 3 4" xfId="12042" xr:uid="{00000000-0005-0000-0000-000070300000}"/>
    <cellStyle name="Normal 3 5 3 5" xfId="12043" xr:uid="{00000000-0005-0000-0000-000071300000}"/>
    <cellStyle name="Normal 3 5 3 6" xfId="12044" xr:uid="{00000000-0005-0000-0000-000072300000}"/>
    <cellStyle name="Normal 3 5 3 7" xfId="12045" xr:uid="{00000000-0005-0000-0000-000073300000}"/>
    <cellStyle name="Normal 3 5 3 8" xfId="12046" xr:uid="{00000000-0005-0000-0000-000074300000}"/>
    <cellStyle name="Normal 3 5 3 9" xfId="12047" xr:uid="{00000000-0005-0000-0000-000075300000}"/>
    <cellStyle name="Normal 3 5 30" xfId="12048" xr:uid="{00000000-0005-0000-0000-000076300000}"/>
    <cellStyle name="Normal 3 5 31" xfId="12049" xr:uid="{00000000-0005-0000-0000-000077300000}"/>
    <cellStyle name="Normal 3 5 32" xfId="12050" xr:uid="{00000000-0005-0000-0000-000078300000}"/>
    <cellStyle name="Normal 3 5 33" xfId="12051" xr:uid="{00000000-0005-0000-0000-000079300000}"/>
    <cellStyle name="Normal 3 5 34" xfId="12052" xr:uid="{00000000-0005-0000-0000-00007A300000}"/>
    <cellStyle name="Normal 3 5 35" xfId="12053" xr:uid="{00000000-0005-0000-0000-00007B300000}"/>
    <cellStyle name="Normal 3 5 36" xfId="12054" xr:uid="{00000000-0005-0000-0000-00007C300000}"/>
    <cellStyle name="Normal 3 5 37" xfId="12055" xr:uid="{00000000-0005-0000-0000-00007D300000}"/>
    <cellStyle name="Normal 3 5 38" xfId="12056" xr:uid="{00000000-0005-0000-0000-00007E300000}"/>
    <cellStyle name="Normal 3 5 39" xfId="12057" xr:uid="{00000000-0005-0000-0000-00007F300000}"/>
    <cellStyle name="Normal 3 5 4" xfId="12058" xr:uid="{00000000-0005-0000-0000-000080300000}"/>
    <cellStyle name="Normal 3 5 40" xfId="12059" xr:uid="{00000000-0005-0000-0000-000081300000}"/>
    <cellStyle name="Normal 3 5 41" xfId="12060" xr:uid="{00000000-0005-0000-0000-000082300000}"/>
    <cellStyle name="Normal 3 5 42" xfId="12061" xr:uid="{00000000-0005-0000-0000-000083300000}"/>
    <cellStyle name="Normal 3 5 43" xfId="12062" xr:uid="{00000000-0005-0000-0000-000084300000}"/>
    <cellStyle name="Normal 3 5 44" xfId="12063" xr:uid="{00000000-0005-0000-0000-000085300000}"/>
    <cellStyle name="Normal 3 5 45" xfId="12064" xr:uid="{00000000-0005-0000-0000-000086300000}"/>
    <cellStyle name="Normal 3 5 46" xfId="12065" xr:uid="{00000000-0005-0000-0000-000087300000}"/>
    <cellStyle name="Normal 3 5 47" xfId="12066" xr:uid="{00000000-0005-0000-0000-000088300000}"/>
    <cellStyle name="Normal 3 5 48" xfId="12067" xr:uid="{00000000-0005-0000-0000-000089300000}"/>
    <cellStyle name="Normal 3 5 49" xfId="12068" xr:uid="{00000000-0005-0000-0000-00008A300000}"/>
    <cellStyle name="Normal 3 5 5" xfId="12069" xr:uid="{00000000-0005-0000-0000-00008B300000}"/>
    <cellStyle name="Normal 3 5 50" xfId="12070" xr:uid="{00000000-0005-0000-0000-00008C300000}"/>
    <cellStyle name="Normal 3 5 51" xfId="12071" xr:uid="{00000000-0005-0000-0000-00008D300000}"/>
    <cellStyle name="Normal 3 5 52" xfId="12072" xr:uid="{00000000-0005-0000-0000-00008E300000}"/>
    <cellStyle name="Normal 3 5 53" xfId="12073" xr:uid="{00000000-0005-0000-0000-00008F300000}"/>
    <cellStyle name="Normal 3 5 54" xfId="12074" xr:uid="{00000000-0005-0000-0000-000090300000}"/>
    <cellStyle name="Normal 3 5 55" xfId="12075" xr:uid="{00000000-0005-0000-0000-000091300000}"/>
    <cellStyle name="Normal 3 5 56" xfId="12076" xr:uid="{00000000-0005-0000-0000-000092300000}"/>
    <cellStyle name="Normal 3 5 57" xfId="12077" xr:uid="{00000000-0005-0000-0000-000093300000}"/>
    <cellStyle name="Normal 3 5 58" xfId="12078" xr:uid="{00000000-0005-0000-0000-000094300000}"/>
    <cellStyle name="Normal 3 5 59" xfId="12079" xr:uid="{00000000-0005-0000-0000-000095300000}"/>
    <cellStyle name="Normal 3 5 6" xfId="12080" xr:uid="{00000000-0005-0000-0000-000096300000}"/>
    <cellStyle name="Normal 3 5 60" xfId="12081" xr:uid="{00000000-0005-0000-0000-000097300000}"/>
    <cellStyle name="Normal 3 5 61" xfId="12082" xr:uid="{00000000-0005-0000-0000-000098300000}"/>
    <cellStyle name="Normal 3 5 62" xfId="12083" xr:uid="{00000000-0005-0000-0000-000099300000}"/>
    <cellStyle name="Normal 3 5 63" xfId="12084" xr:uid="{00000000-0005-0000-0000-00009A300000}"/>
    <cellStyle name="Normal 3 5 64" xfId="12085" xr:uid="{00000000-0005-0000-0000-00009B300000}"/>
    <cellStyle name="Normal 3 5 65" xfId="12086" xr:uid="{00000000-0005-0000-0000-00009C300000}"/>
    <cellStyle name="Normal 3 5 66" xfId="12087" xr:uid="{00000000-0005-0000-0000-00009D300000}"/>
    <cellStyle name="Normal 3 5 67" xfId="12088" xr:uid="{00000000-0005-0000-0000-00009E300000}"/>
    <cellStyle name="Normal 3 5 68" xfId="12089" xr:uid="{00000000-0005-0000-0000-00009F300000}"/>
    <cellStyle name="Normal 3 5 69" xfId="12090" xr:uid="{00000000-0005-0000-0000-0000A0300000}"/>
    <cellStyle name="Normal 3 5 7" xfId="12091" xr:uid="{00000000-0005-0000-0000-0000A1300000}"/>
    <cellStyle name="Normal 3 5 70" xfId="12092" xr:uid="{00000000-0005-0000-0000-0000A2300000}"/>
    <cellStyle name="Normal 3 5 71" xfId="12093" xr:uid="{00000000-0005-0000-0000-0000A3300000}"/>
    <cellStyle name="Normal 3 5 72" xfId="12094" xr:uid="{00000000-0005-0000-0000-0000A4300000}"/>
    <cellStyle name="Normal 3 5 73" xfId="12095" xr:uid="{00000000-0005-0000-0000-0000A5300000}"/>
    <cellStyle name="Normal 3 5 74" xfId="12096" xr:uid="{00000000-0005-0000-0000-0000A6300000}"/>
    <cellStyle name="Normal 3 5 75" xfId="12097" xr:uid="{00000000-0005-0000-0000-0000A7300000}"/>
    <cellStyle name="Normal 3 5 76" xfId="12098" xr:uid="{00000000-0005-0000-0000-0000A8300000}"/>
    <cellStyle name="Normal 3 5 77" xfId="12099" xr:uid="{00000000-0005-0000-0000-0000A9300000}"/>
    <cellStyle name="Normal 3 5 78" xfId="12100" xr:uid="{00000000-0005-0000-0000-0000AA300000}"/>
    <cellStyle name="Normal 3 5 79" xfId="12101" xr:uid="{00000000-0005-0000-0000-0000AB300000}"/>
    <cellStyle name="Normal 3 5 8" xfId="12102" xr:uid="{00000000-0005-0000-0000-0000AC300000}"/>
    <cellStyle name="Normal 3 5 80" xfId="12103" xr:uid="{00000000-0005-0000-0000-0000AD300000}"/>
    <cellStyle name="Normal 3 5 81" xfId="12104" xr:uid="{00000000-0005-0000-0000-0000AE300000}"/>
    <cellStyle name="Normal 3 5 82" xfId="12105" xr:uid="{00000000-0005-0000-0000-0000AF300000}"/>
    <cellStyle name="Normal 3 5 9" xfId="12106" xr:uid="{00000000-0005-0000-0000-0000B0300000}"/>
    <cellStyle name="Normal 3 50" xfId="12107" xr:uid="{00000000-0005-0000-0000-0000B1300000}"/>
    <cellStyle name="Normal 3 51" xfId="12108" xr:uid="{00000000-0005-0000-0000-0000B2300000}"/>
    <cellStyle name="Normal 3 52" xfId="12109" xr:uid="{00000000-0005-0000-0000-0000B3300000}"/>
    <cellStyle name="Normal 3 53" xfId="12110" xr:uid="{00000000-0005-0000-0000-0000B4300000}"/>
    <cellStyle name="Normal 3 54" xfId="12111" xr:uid="{00000000-0005-0000-0000-0000B5300000}"/>
    <cellStyle name="Normal 3 55" xfId="12112" xr:uid="{00000000-0005-0000-0000-0000B6300000}"/>
    <cellStyle name="Normal 3 56" xfId="12113" xr:uid="{00000000-0005-0000-0000-0000B7300000}"/>
    <cellStyle name="Normal 3 57" xfId="12114" xr:uid="{00000000-0005-0000-0000-0000B8300000}"/>
    <cellStyle name="Normal 3 58" xfId="12115" xr:uid="{00000000-0005-0000-0000-0000B9300000}"/>
    <cellStyle name="Normal 3 59" xfId="12116" xr:uid="{00000000-0005-0000-0000-0000BA300000}"/>
    <cellStyle name="Normal 3 6" xfId="12117" xr:uid="{00000000-0005-0000-0000-0000BB300000}"/>
    <cellStyle name="Normal 3 6 10" xfId="12118" xr:uid="{00000000-0005-0000-0000-0000BC300000}"/>
    <cellStyle name="Normal 3 6 11" xfId="12119" xr:uid="{00000000-0005-0000-0000-0000BD300000}"/>
    <cellStyle name="Normal 3 6 12" xfId="12120" xr:uid="{00000000-0005-0000-0000-0000BE300000}"/>
    <cellStyle name="Normal 3 6 13" xfId="12121" xr:uid="{00000000-0005-0000-0000-0000BF300000}"/>
    <cellStyle name="Normal 3 6 14" xfId="12122" xr:uid="{00000000-0005-0000-0000-0000C0300000}"/>
    <cellStyle name="Normal 3 6 15" xfId="12123" xr:uid="{00000000-0005-0000-0000-0000C1300000}"/>
    <cellStyle name="Normal 3 6 16" xfId="12124" xr:uid="{00000000-0005-0000-0000-0000C2300000}"/>
    <cellStyle name="Normal 3 6 17" xfId="12125" xr:uid="{00000000-0005-0000-0000-0000C3300000}"/>
    <cellStyle name="Normal 3 6 18" xfId="12126" xr:uid="{00000000-0005-0000-0000-0000C4300000}"/>
    <cellStyle name="Normal 3 6 19" xfId="12127" xr:uid="{00000000-0005-0000-0000-0000C5300000}"/>
    <cellStyle name="Normal 3 6 2" xfId="12128" xr:uid="{00000000-0005-0000-0000-0000C6300000}"/>
    <cellStyle name="Normal 3 6 2 10" xfId="12129" xr:uid="{00000000-0005-0000-0000-0000C7300000}"/>
    <cellStyle name="Normal 3 6 2 11" xfId="12130" xr:uid="{00000000-0005-0000-0000-0000C8300000}"/>
    <cellStyle name="Normal 3 6 2 12" xfId="12131" xr:uid="{00000000-0005-0000-0000-0000C9300000}"/>
    <cellStyle name="Normal 3 6 2 13" xfId="12132" xr:uid="{00000000-0005-0000-0000-0000CA300000}"/>
    <cellStyle name="Normal 3 6 2 14" xfId="12133" xr:uid="{00000000-0005-0000-0000-0000CB300000}"/>
    <cellStyle name="Normal 3 6 2 15" xfId="12134" xr:uid="{00000000-0005-0000-0000-0000CC300000}"/>
    <cellStyle name="Normal 3 6 2 16" xfId="12135" xr:uid="{00000000-0005-0000-0000-0000CD300000}"/>
    <cellStyle name="Normal 3 6 2 17" xfId="12136" xr:uid="{00000000-0005-0000-0000-0000CE300000}"/>
    <cellStyle name="Normal 3 6 2 2" xfId="12137" xr:uid="{00000000-0005-0000-0000-0000CF300000}"/>
    <cellStyle name="Normal 3 6 2 3" xfId="12138" xr:uid="{00000000-0005-0000-0000-0000D0300000}"/>
    <cellStyle name="Normal 3 6 2 4" xfId="12139" xr:uid="{00000000-0005-0000-0000-0000D1300000}"/>
    <cellStyle name="Normal 3 6 2 5" xfId="12140" xr:uid="{00000000-0005-0000-0000-0000D2300000}"/>
    <cellStyle name="Normal 3 6 2 6" xfId="12141" xr:uid="{00000000-0005-0000-0000-0000D3300000}"/>
    <cellStyle name="Normal 3 6 2 7" xfId="12142" xr:uid="{00000000-0005-0000-0000-0000D4300000}"/>
    <cellStyle name="Normal 3 6 2 8" xfId="12143" xr:uid="{00000000-0005-0000-0000-0000D5300000}"/>
    <cellStyle name="Normal 3 6 2 9" xfId="12144" xr:uid="{00000000-0005-0000-0000-0000D6300000}"/>
    <cellStyle name="Normal 3 6 20" xfId="12145" xr:uid="{00000000-0005-0000-0000-0000D7300000}"/>
    <cellStyle name="Normal 3 6 21" xfId="12146" xr:uid="{00000000-0005-0000-0000-0000D8300000}"/>
    <cellStyle name="Normal 3 6 22" xfId="12147" xr:uid="{00000000-0005-0000-0000-0000D9300000}"/>
    <cellStyle name="Normal 3 6 23" xfId="12148" xr:uid="{00000000-0005-0000-0000-0000DA300000}"/>
    <cellStyle name="Normal 3 6 24" xfId="12149" xr:uid="{00000000-0005-0000-0000-0000DB300000}"/>
    <cellStyle name="Normal 3 6 25" xfId="12150" xr:uid="{00000000-0005-0000-0000-0000DC300000}"/>
    <cellStyle name="Normal 3 6 26" xfId="12151" xr:uid="{00000000-0005-0000-0000-0000DD300000}"/>
    <cellStyle name="Normal 3 6 27" xfId="12152" xr:uid="{00000000-0005-0000-0000-0000DE300000}"/>
    <cellStyle name="Normal 3 6 28" xfId="12153" xr:uid="{00000000-0005-0000-0000-0000DF300000}"/>
    <cellStyle name="Normal 3 6 29" xfId="12154" xr:uid="{00000000-0005-0000-0000-0000E0300000}"/>
    <cellStyle name="Normal 3 6 3" xfId="12155" xr:uid="{00000000-0005-0000-0000-0000E1300000}"/>
    <cellStyle name="Normal 3 6 3 10" xfId="12156" xr:uid="{00000000-0005-0000-0000-0000E2300000}"/>
    <cellStyle name="Normal 3 6 3 11" xfId="12157" xr:uid="{00000000-0005-0000-0000-0000E3300000}"/>
    <cellStyle name="Normal 3 6 3 12" xfId="12158" xr:uid="{00000000-0005-0000-0000-0000E4300000}"/>
    <cellStyle name="Normal 3 6 3 13" xfId="12159" xr:uid="{00000000-0005-0000-0000-0000E5300000}"/>
    <cellStyle name="Normal 3 6 3 14" xfId="12160" xr:uid="{00000000-0005-0000-0000-0000E6300000}"/>
    <cellStyle name="Normal 3 6 3 15" xfId="12161" xr:uid="{00000000-0005-0000-0000-0000E7300000}"/>
    <cellStyle name="Normal 3 6 3 16" xfId="12162" xr:uid="{00000000-0005-0000-0000-0000E8300000}"/>
    <cellStyle name="Normal 3 6 3 17" xfId="12163" xr:uid="{00000000-0005-0000-0000-0000E9300000}"/>
    <cellStyle name="Normal 3 6 3 2" xfId="12164" xr:uid="{00000000-0005-0000-0000-0000EA300000}"/>
    <cellStyle name="Normal 3 6 3 3" xfId="12165" xr:uid="{00000000-0005-0000-0000-0000EB300000}"/>
    <cellStyle name="Normal 3 6 3 4" xfId="12166" xr:uid="{00000000-0005-0000-0000-0000EC300000}"/>
    <cellStyle name="Normal 3 6 3 5" xfId="12167" xr:uid="{00000000-0005-0000-0000-0000ED300000}"/>
    <cellStyle name="Normal 3 6 3 6" xfId="12168" xr:uid="{00000000-0005-0000-0000-0000EE300000}"/>
    <cellStyle name="Normal 3 6 3 7" xfId="12169" xr:uid="{00000000-0005-0000-0000-0000EF300000}"/>
    <cellStyle name="Normal 3 6 3 8" xfId="12170" xr:uid="{00000000-0005-0000-0000-0000F0300000}"/>
    <cellStyle name="Normal 3 6 3 9" xfId="12171" xr:uid="{00000000-0005-0000-0000-0000F1300000}"/>
    <cellStyle name="Normal 3 6 30" xfId="12172" xr:uid="{00000000-0005-0000-0000-0000F2300000}"/>
    <cellStyle name="Normal 3 6 31" xfId="12173" xr:uid="{00000000-0005-0000-0000-0000F3300000}"/>
    <cellStyle name="Normal 3 6 32" xfId="12174" xr:uid="{00000000-0005-0000-0000-0000F4300000}"/>
    <cellStyle name="Normal 3 6 33" xfId="12175" xr:uid="{00000000-0005-0000-0000-0000F5300000}"/>
    <cellStyle name="Normal 3 6 34" xfId="12176" xr:uid="{00000000-0005-0000-0000-0000F6300000}"/>
    <cellStyle name="Normal 3 6 35" xfId="12177" xr:uid="{00000000-0005-0000-0000-0000F7300000}"/>
    <cellStyle name="Normal 3 6 36" xfId="12178" xr:uid="{00000000-0005-0000-0000-0000F8300000}"/>
    <cellStyle name="Normal 3 6 37" xfId="12179" xr:uid="{00000000-0005-0000-0000-0000F9300000}"/>
    <cellStyle name="Normal 3 6 38" xfId="12180" xr:uid="{00000000-0005-0000-0000-0000FA300000}"/>
    <cellStyle name="Normal 3 6 39" xfId="12181" xr:uid="{00000000-0005-0000-0000-0000FB300000}"/>
    <cellStyle name="Normal 3 6 4" xfId="12182" xr:uid="{00000000-0005-0000-0000-0000FC300000}"/>
    <cellStyle name="Normal 3 6 40" xfId="12183" xr:uid="{00000000-0005-0000-0000-0000FD300000}"/>
    <cellStyle name="Normal 3 6 41" xfId="12184" xr:uid="{00000000-0005-0000-0000-0000FE300000}"/>
    <cellStyle name="Normal 3 6 42" xfId="12185" xr:uid="{00000000-0005-0000-0000-0000FF300000}"/>
    <cellStyle name="Normal 3 6 43" xfId="12186" xr:uid="{00000000-0005-0000-0000-000000310000}"/>
    <cellStyle name="Normal 3 6 44" xfId="12187" xr:uid="{00000000-0005-0000-0000-000001310000}"/>
    <cellStyle name="Normal 3 6 45" xfId="12188" xr:uid="{00000000-0005-0000-0000-000002310000}"/>
    <cellStyle name="Normal 3 6 46" xfId="12189" xr:uid="{00000000-0005-0000-0000-000003310000}"/>
    <cellStyle name="Normal 3 6 47" xfId="12190" xr:uid="{00000000-0005-0000-0000-000004310000}"/>
    <cellStyle name="Normal 3 6 48" xfId="12191" xr:uid="{00000000-0005-0000-0000-000005310000}"/>
    <cellStyle name="Normal 3 6 49" xfId="12192" xr:uid="{00000000-0005-0000-0000-000006310000}"/>
    <cellStyle name="Normal 3 6 5" xfId="12193" xr:uid="{00000000-0005-0000-0000-000007310000}"/>
    <cellStyle name="Normal 3 6 50" xfId="12194" xr:uid="{00000000-0005-0000-0000-000008310000}"/>
    <cellStyle name="Normal 3 6 51" xfId="12195" xr:uid="{00000000-0005-0000-0000-000009310000}"/>
    <cellStyle name="Normal 3 6 52" xfId="12196" xr:uid="{00000000-0005-0000-0000-00000A310000}"/>
    <cellStyle name="Normal 3 6 53" xfId="12197" xr:uid="{00000000-0005-0000-0000-00000B310000}"/>
    <cellStyle name="Normal 3 6 54" xfId="12198" xr:uid="{00000000-0005-0000-0000-00000C310000}"/>
    <cellStyle name="Normal 3 6 55" xfId="12199" xr:uid="{00000000-0005-0000-0000-00000D310000}"/>
    <cellStyle name="Normal 3 6 56" xfId="12200" xr:uid="{00000000-0005-0000-0000-00000E310000}"/>
    <cellStyle name="Normal 3 6 57" xfId="12201" xr:uid="{00000000-0005-0000-0000-00000F310000}"/>
    <cellStyle name="Normal 3 6 58" xfId="12202" xr:uid="{00000000-0005-0000-0000-000010310000}"/>
    <cellStyle name="Normal 3 6 59" xfId="12203" xr:uid="{00000000-0005-0000-0000-000011310000}"/>
    <cellStyle name="Normal 3 6 6" xfId="12204" xr:uid="{00000000-0005-0000-0000-000012310000}"/>
    <cellStyle name="Normal 3 6 60" xfId="12205" xr:uid="{00000000-0005-0000-0000-000013310000}"/>
    <cellStyle name="Normal 3 6 61" xfId="12206" xr:uid="{00000000-0005-0000-0000-000014310000}"/>
    <cellStyle name="Normal 3 6 62" xfId="12207" xr:uid="{00000000-0005-0000-0000-000015310000}"/>
    <cellStyle name="Normal 3 6 63" xfId="12208" xr:uid="{00000000-0005-0000-0000-000016310000}"/>
    <cellStyle name="Normal 3 6 64" xfId="12209" xr:uid="{00000000-0005-0000-0000-000017310000}"/>
    <cellStyle name="Normal 3 6 65" xfId="12210" xr:uid="{00000000-0005-0000-0000-000018310000}"/>
    <cellStyle name="Normal 3 6 66" xfId="12211" xr:uid="{00000000-0005-0000-0000-000019310000}"/>
    <cellStyle name="Normal 3 6 67" xfId="12212" xr:uid="{00000000-0005-0000-0000-00001A310000}"/>
    <cellStyle name="Normal 3 6 68" xfId="12213" xr:uid="{00000000-0005-0000-0000-00001B310000}"/>
    <cellStyle name="Normal 3 6 69" xfId="12214" xr:uid="{00000000-0005-0000-0000-00001C310000}"/>
    <cellStyle name="Normal 3 6 7" xfId="12215" xr:uid="{00000000-0005-0000-0000-00001D310000}"/>
    <cellStyle name="Normal 3 6 70" xfId="12216" xr:uid="{00000000-0005-0000-0000-00001E310000}"/>
    <cellStyle name="Normal 3 6 71" xfId="12217" xr:uid="{00000000-0005-0000-0000-00001F310000}"/>
    <cellStyle name="Normal 3 6 72" xfId="12218" xr:uid="{00000000-0005-0000-0000-000020310000}"/>
    <cellStyle name="Normal 3 6 73" xfId="12219" xr:uid="{00000000-0005-0000-0000-000021310000}"/>
    <cellStyle name="Normal 3 6 74" xfId="12220" xr:uid="{00000000-0005-0000-0000-000022310000}"/>
    <cellStyle name="Normal 3 6 75" xfId="12221" xr:uid="{00000000-0005-0000-0000-000023310000}"/>
    <cellStyle name="Normal 3 6 76" xfId="12222" xr:uid="{00000000-0005-0000-0000-000024310000}"/>
    <cellStyle name="Normal 3 6 77" xfId="12223" xr:uid="{00000000-0005-0000-0000-000025310000}"/>
    <cellStyle name="Normal 3 6 78" xfId="12224" xr:uid="{00000000-0005-0000-0000-000026310000}"/>
    <cellStyle name="Normal 3 6 79" xfId="12225" xr:uid="{00000000-0005-0000-0000-000027310000}"/>
    <cellStyle name="Normal 3 6 8" xfId="12226" xr:uid="{00000000-0005-0000-0000-000028310000}"/>
    <cellStyle name="Normal 3 6 80" xfId="12227" xr:uid="{00000000-0005-0000-0000-000029310000}"/>
    <cellStyle name="Normal 3 6 81" xfId="12228" xr:uid="{00000000-0005-0000-0000-00002A310000}"/>
    <cellStyle name="Normal 3 6 82" xfId="12229" xr:uid="{00000000-0005-0000-0000-00002B310000}"/>
    <cellStyle name="Normal 3 6 9" xfId="12230" xr:uid="{00000000-0005-0000-0000-00002C310000}"/>
    <cellStyle name="Normal 3 60" xfId="12231" xr:uid="{00000000-0005-0000-0000-00002D310000}"/>
    <cellStyle name="Normal 3 61" xfId="12232" xr:uid="{00000000-0005-0000-0000-00002E310000}"/>
    <cellStyle name="Normal 3 62" xfId="12233" xr:uid="{00000000-0005-0000-0000-00002F310000}"/>
    <cellStyle name="Normal 3 63" xfId="12234" xr:uid="{00000000-0005-0000-0000-000030310000}"/>
    <cellStyle name="Normal 3 64" xfId="12235" xr:uid="{00000000-0005-0000-0000-000031310000}"/>
    <cellStyle name="Normal 3 65" xfId="12236" xr:uid="{00000000-0005-0000-0000-000032310000}"/>
    <cellStyle name="Normal 3 66" xfId="12237" xr:uid="{00000000-0005-0000-0000-000033310000}"/>
    <cellStyle name="Normal 3 67" xfId="12238" xr:uid="{00000000-0005-0000-0000-000034310000}"/>
    <cellStyle name="Normal 3 68" xfId="12239" xr:uid="{00000000-0005-0000-0000-000035310000}"/>
    <cellStyle name="Normal 3 69" xfId="12240" xr:uid="{00000000-0005-0000-0000-000036310000}"/>
    <cellStyle name="Normal 3 7" xfId="12241" xr:uid="{00000000-0005-0000-0000-000037310000}"/>
    <cellStyle name="Normal 3 7 10" xfId="12242" xr:uid="{00000000-0005-0000-0000-000038310000}"/>
    <cellStyle name="Normal 3 7 11" xfId="12243" xr:uid="{00000000-0005-0000-0000-000039310000}"/>
    <cellStyle name="Normal 3 7 12" xfId="12244" xr:uid="{00000000-0005-0000-0000-00003A310000}"/>
    <cellStyle name="Normal 3 7 13" xfId="12245" xr:uid="{00000000-0005-0000-0000-00003B310000}"/>
    <cellStyle name="Normal 3 7 14" xfId="12246" xr:uid="{00000000-0005-0000-0000-00003C310000}"/>
    <cellStyle name="Normal 3 7 15" xfId="12247" xr:uid="{00000000-0005-0000-0000-00003D310000}"/>
    <cellStyle name="Normal 3 7 16" xfId="12248" xr:uid="{00000000-0005-0000-0000-00003E310000}"/>
    <cellStyle name="Normal 3 7 17" xfId="12249" xr:uid="{00000000-0005-0000-0000-00003F310000}"/>
    <cellStyle name="Normal 3 7 18" xfId="12250" xr:uid="{00000000-0005-0000-0000-000040310000}"/>
    <cellStyle name="Normal 3 7 19" xfId="12251" xr:uid="{00000000-0005-0000-0000-000041310000}"/>
    <cellStyle name="Normal 3 7 2" xfId="12252" xr:uid="{00000000-0005-0000-0000-000042310000}"/>
    <cellStyle name="Normal 3 7 2 10" xfId="12253" xr:uid="{00000000-0005-0000-0000-000043310000}"/>
    <cellStyle name="Normal 3 7 2 11" xfId="12254" xr:uid="{00000000-0005-0000-0000-000044310000}"/>
    <cellStyle name="Normal 3 7 2 12" xfId="12255" xr:uid="{00000000-0005-0000-0000-000045310000}"/>
    <cellStyle name="Normal 3 7 2 13" xfId="12256" xr:uid="{00000000-0005-0000-0000-000046310000}"/>
    <cellStyle name="Normal 3 7 2 14" xfId="12257" xr:uid="{00000000-0005-0000-0000-000047310000}"/>
    <cellStyle name="Normal 3 7 2 15" xfId="12258" xr:uid="{00000000-0005-0000-0000-000048310000}"/>
    <cellStyle name="Normal 3 7 2 16" xfId="12259" xr:uid="{00000000-0005-0000-0000-000049310000}"/>
    <cellStyle name="Normal 3 7 2 17" xfId="12260" xr:uid="{00000000-0005-0000-0000-00004A310000}"/>
    <cellStyle name="Normal 3 7 2 2" xfId="12261" xr:uid="{00000000-0005-0000-0000-00004B310000}"/>
    <cellStyle name="Normal 3 7 2 3" xfId="12262" xr:uid="{00000000-0005-0000-0000-00004C310000}"/>
    <cellStyle name="Normal 3 7 2 4" xfId="12263" xr:uid="{00000000-0005-0000-0000-00004D310000}"/>
    <cellStyle name="Normal 3 7 2 5" xfId="12264" xr:uid="{00000000-0005-0000-0000-00004E310000}"/>
    <cellStyle name="Normal 3 7 2 6" xfId="12265" xr:uid="{00000000-0005-0000-0000-00004F310000}"/>
    <cellStyle name="Normal 3 7 2 7" xfId="12266" xr:uid="{00000000-0005-0000-0000-000050310000}"/>
    <cellStyle name="Normal 3 7 2 8" xfId="12267" xr:uid="{00000000-0005-0000-0000-000051310000}"/>
    <cellStyle name="Normal 3 7 2 9" xfId="12268" xr:uid="{00000000-0005-0000-0000-000052310000}"/>
    <cellStyle name="Normal 3 7 20" xfId="12269" xr:uid="{00000000-0005-0000-0000-000053310000}"/>
    <cellStyle name="Normal 3 7 21" xfId="12270" xr:uid="{00000000-0005-0000-0000-000054310000}"/>
    <cellStyle name="Normal 3 7 22" xfId="12271" xr:uid="{00000000-0005-0000-0000-000055310000}"/>
    <cellStyle name="Normal 3 7 23" xfId="12272" xr:uid="{00000000-0005-0000-0000-000056310000}"/>
    <cellStyle name="Normal 3 7 24" xfId="12273" xr:uid="{00000000-0005-0000-0000-000057310000}"/>
    <cellStyle name="Normal 3 7 25" xfId="12274" xr:uid="{00000000-0005-0000-0000-000058310000}"/>
    <cellStyle name="Normal 3 7 26" xfId="12275" xr:uid="{00000000-0005-0000-0000-000059310000}"/>
    <cellStyle name="Normal 3 7 27" xfId="12276" xr:uid="{00000000-0005-0000-0000-00005A310000}"/>
    <cellStyle name="Normal 3 7 28" xfId="12277" xr:uid="{00000000-0005-0000-0000-00005B310000}"/>
    <cellStyle name="Normal 3 7 29" xfId="12278" xr:uid="{00000000-0005-0000-0000-00005C310000}"/>
    <cellStyle name="Normal 3 7 3" xfId="12279" xr:uid="{00000000-0005-0000-0000-00005D310000}"/>
    <cellStyle name="Normal 3 7 3 10" xfId="12280" xr:uid="{00000000-0005-0000-0000-00005E310000}"/>
    <cellStyle name="Normal 3 7 3 11" xfId="12281" xr:uid="{00000000-0005-0000-0000-00005F310000}"/>
    <cellStyle name="Normal 3 7 3 12" xfId="12282" xr:uid="{00000000-0005-0000-0000-000060310000}"/>
    <cellStyle name="Normal 3 7 3 13" xfId="12283" xr:uid="{00000000-0005-0000-0000-000061310000}"/>
    <cellStyle name="Normal 3 7 3 14" xfId="12284" xr:uid="{00000000-0005-0000-0000-000062310000}"/>
    <cellStyle name="Normal 3 7 3 15" xfId="12285" xr:uid="{00000000-0005-0000-0000-000063310000}"/>
    <cellStyle name="Normal 3 7 3 16" xfId="12286" xr:uid="{00000000-0005-0000-0000-000064310000}"/>
    <cellStyle name="Normal 3 7 3 17" xfId="12287" xr:uid="{00000000-0005-0000-0000-000065310000}"/>
    <cellStyle name="Normal 3 7 3 2" xfId="12288" xr:uid="{00000000-0005-0000-0000-000066310000}"/>
    <cellStyle name="Normal 3 7 3 3" xfId="12289" xr:uid="{00000000-0005-0000-0000-000067310000}"/>
    <cellStyle name="Normal 3 7 3 4" xfId="12290" xr:uid="{00000000-0005-0000-0000-000068310000}"/>
    <cellStyle name="Normal 3 7 3 5" xfId="12291" xr:uid="{00000000-0005-0000-0000-000069310000}"/>
    <cellStyle name="Normal 3 7 3 6" xfId="12292" xr:uid="{00000000-0005-0000-0000-00006A310000}"/>
    <cellStyle name="Normal 3 7 3 7" xfId="12293" xr:uid="{00000000-0005-0000-0000-00006B310000}"/>
    <cellStyle name="Normal 3 7 3 8" xfId="12294" xr:uid="{00000000-0005-0000-0000-00006C310000}"/>
    <cellStyle name="Normal 3 7 3 9" xfId="12295" xr:uid="{00000000-0005-0000-0000-00006D310000}"/>
    <cellStyle name="Normal 3 7 30" xfId="12296" xr:uid="{00000000-0005-0000-0000-00006E310000}"/>
    <cellStyle name="Normal 3 7 31" xfId="12297" xr:uid="{00000000-0005-0000-0000-00006F310000}"/>
    <cellStyle name="Normal 3 7 32" xfId="12298" xr:uid="{00000000-0005-0000-0000-000070310000}"/>
    <cellStyle name="Normal 3 7 33" xfId="12299" xr:uid="{00000000-0005-0000-0000-000071310000}"/>
    <cellStyle name="Normal 3 7 34" xfId="12300" xr:uid="{00000000-0005-0000-0000-000072310000}"/>
    <cellStyle name="Normal 3 7 35" xfId="12301" xr:uid="{00000000-0005-0000-0000-000073310000}"/>
    <cellStyle name="Normal 3 7 36" xfId="12302" xr:uid="{00000000-0005-0000-0000-000074310000}"/>
    <cellStyle name="Normal 3 7 37" xfId="12303" xr:uid="{00000000-0005-0000-0000-000075310000}"/>
    <cellStyle name="Normal 3 7 38" xfId="12304" xr:uid="{00000000-0005-0000-0000-000076310000}"/>
    <cellStyle name="Normal 3 7 39" xfId="12305" xr:uid="{00000000-0005-0000-0000-000077310000}"/>
    <cellStyle name="Normal 3 7 4" xfId="12306" xr:uid="{00000000-0005-0000-0000-000078310000}"/>
    <cellStyle name="Normal 3 7 40" xfId="12307" xr:uid="{00000000-0005-0000-0000-000079310000}"/>
    <cellStyle name="Normal 3 7 41" xfId="12308" xr:uid="{00000000-0005-0000-0000-00007A310000}"/>
    <cellStyle name="Normal 3 7 42" xfId="12309" xr:uid="{00000000-0005-0000-0000-00007B310000}"/>
    <cellStyle name="Normal 3 7 43" xfId="12310" xr:uid="{00000000-0005-0000-0000-00007C310000}"/>
    <cellStyle name="Normal 3 7 44" xfId="12311" xr:uid="{00000000-0005-0000-0000-00007D310000}"/>
    <cellStyle name="Normal 3 7 45" xfId="12312" xr:uid="{00000000-0005-0000-0000-00007E310000}"/>
    <cellStyle name="Normal 3 7 46" xfId="12313" xr:uid="{00000000-0005-0000-0000-00007F310000}"/>
    <cellStyle name="Normal 3 7 47" xfId="12314" xr:uid="{00000000-0005-0000-0000-000080310000}"/>
    <cellStyle name="Normal 3 7 48" xfId="12315" xr:uid="{00000000-0005-0000-0000-000081310000}"/>
    <cellStyle name="Normal 3 7 49" xfId="12316" xr:uid="{00000000-0005-0000-0000-000082310000}"/>
    <cellStyle name="Normal 3 7 5" xfId="12317" xr:uid="{00000000-0005-0000-0000-000083310000}"/>
    <cellStyle name="Normal 3 7 50" xfId="12318" xr:uid="{00000000-0005-0000-0000-000084310000}"/>
    <cellStyle name="Normal 3 7 51" xfId="12319" xr:uid="{00000000-0005-0000-0000-000085310000}"/>
    <cellStyle name="Normal 3 7 52" xfId="12320" xr:uid="{00000000-0005-0000-0000-000086310000}"/>
    <cellStyle name="Normal 3 7 53" xfId="12321" xr:uid="{00000000-0005-0000-0000-000087310000}"/>
    <cellStyle name="Normal 3 7 54" xfId="12322" xr:uid="{00000000-0005-0000-0000-000088310000}"/>
    <cellStyle name="Normal 3 7 55" xfId="12323" xr:uid="{00000000-0005-0000-0000-000089310000}"/>
    <cellStyle name="Normal 3 7 56" xfId="12324" xr:uid="{00000000-0005-0000-0000-00008A310000}"/>
    <cellStyle name="Normal 3 7 57" xfId="12325" xr:uid="{00000000-0005-0000-0000-00008B310000}"/>
    <cellStyle name="Normal 3 7 58" xfId="12326" xr:uid="{00000000-0005-0000-0000-00008C310000}"/>
    <cellStyle name="Normal 3 7 59" xfId="12327" xr:uid="{00000000-0005-0000-0000-00008D310000}"/>
    <cellStyle name="Normal 3 7 6" xfId="12328" xr:uid="{00000000-0005-0000-0000-00008E310000}"/>
    <cellStyle name="Normal 3 7 60" xfId="12329" xr:uid="{00000000-0005-0000-0000-00008F310000}"/>
    <cellStyle name="Normal 3 7 61" xfId="12330" xr:uid="{00000000-0005-0000-0000-000090310000}"/>
    <cellStyle name="Normal 3 7 62" xfId="12331" xr:uid="{00000000-0005-0000-0000-000091310000}"/>
    <cellStyle name="Normal 3 7 63" xfId="12332" xr:uid="{00000000-0005-0000-0000-000092310000}"/>
    <cellStyle name="Normal 3 7 64" xfId="12333" xr:uid="{00000000-0005-0000-0000-000093310000}"/>
    <cellStyle name="Normal 3 7 65" xfId="12334" xr:uid="{00000000-0005-0000-0000-000094310000}"/>
    <cellStyle name="Normal 3 7 66" xfId="12335" xr:uid="{00000000-0005-0000-0000-000095310000}"/>
    <cellStyle name="Normal 3 7 67" xfId="12336" xr:uid="{00000000-0005-0000-0000-000096310000}"/>
    <cellStyle name="Normal 3 7 68" xfId="12337" xr:uid="{00000000-0005-0000-0000-000097310000}"/>
    <cellStyle name="Normal 3 7 69" xfId="12338" xr:uid="{00000000-0005-0000-0000-000098310000}"/>
    <cellStyle name="Normal 3 7 7" xfId="12339" xr:uid="{00000000-0005-0000-0000-000099310000}"/>
    <cellStyle name="Normal 3 7 70" xfId="12340" xr:uid="{00000000-0005-0000-0000-00009A310000}"/>
    <cellStyle name="Normal 3 7 71" xfId="12341" xr:uid="{00000000-0005-0000-0000-00009B310000}"/>
    <cellStyle name="Normal 3 7 72" xfId="12342" xr:uid="{00000000-0005-0000-0000-00009C310000}"/>
    <cellStyle name="Normal 3 7 73" xfId="12343" xr:uid="{00000000-0005-0000-0000-00009D310000}"/>
    <cellStyle name="Normal 3 7 74" xfId="12344" xr:uid="{00000000-0005-0000-0000-00009E310000}"/>
    <cellStyle name="Normal 3 7 75" xfId="12345" xr:uid="{00000000-0005-0000-0000-00009F310000}"/>
    <cellStyle name="Normal 3 7 76" xfId="12346" xr:uid="{00000000-0005-0000-0000-0000A0310000}"/>
    <cellStyle name="Normal 3 7 77" xfId="12347" xr:uid="{00000000-0005-0000-0000-0000A1310000}"/>
    <cellStyle name="Normal 3 7 78" xfId="12348" xr:uid="{00000000-0005-0000-0000-0000A2310000}"/>
    <cellStyle name="Normal 3 7 79" xfId="12349" xr:uid="{00000000-0005-0000-0000-0000A3310000}"/>
    <cellStyle name="Normal 3 7 8" xfId="12350" xr:uid="{00000000-0005-0000-0000-0000A4310000}"/>
    <cellStyle name="Normal 3 7 80" xfId="12351" xr:uid="{00000000-0005-0000-0000-0000A5310000}"/>
    <cellStyle name="Normal 3 7 81" xfId="12352" xr:uid="{00000000-0005-0000-0000-0000A6310000}"/>
    <cellStyle name="Normal 3 7 82" xfId="12353" xr:uid="{00000000-0005-0000-0000-0000A7310000}"/>
    <cellStyle name="Normal 3 7 9" xfId="12354" xr:uid="{00000000-0005-0000-0000-0000A8310000}"/>
    <cellStyle name="Normal 3 70" xfId="12355" xr:uid="{00000000-0005-0000-0000-0000A9310000}"/>
    <cellStyle name="Normal 3 71" xfId="12356" xr:uid="{00000000-0005-0000-0000-0000AA310000}"/>
    <cellStyle name="Normal 3 72" xfId="12357" xr:uid="{00000000-0005-0000-0000-0000AB310000}"/>
    <cellStyle name="Normal 3 73" xfId="12358" xr:uid="{00000000-0005-0000-0000-0000AC310000}"/>
    <cellStyle name="Normal 3 74" xfId="12359" xr:uid="{00000000-0005-0000-0000-0000AD310000}"/>
    <cellStyle name="Normal 3 75" xfId="12360" xr:uid="{00000000-0005-0000-0000-0000AE310000}"/>
    <cellStyle name="Normal 3 76" xfId="12361" xr:uid="{00000000-0005-0000-0000-0000AF310000}"/>
    <cellStyle name="Normal 3 77" xfId="12362" xr:uid="{00000000-0005-0000-0000-0000B0310000}"/>
    <cellStyle name="Normal 3 78" xfId="12363" xr:uid="{00000000-0005-0000-0000-0000B1310000}"/>
    <cellStyle name="Normal 3 79" xfId="12364" xr:uid="{00000000-0005-0000-0000-0000B2310000}"/>
    <cellStyle name="Normal 3 8" xfId="12365" xr:uid="{00000000-0005-0000-0000-0000B3310000}"/>
    <cellStyle name="Normal 3 8 10" xfId="12366" xr:uid="{00000000-0005-0000-0000-0000B4310000}"/>
    <cellStyle name="Normal 3 8 11" xfId="12367" xr:uid="{00000000-0005-0000-0000-0000B5310000}"/>
    <cellStyle name="Normal 3 8 12" xfId="12368" xr:uid="{00000000-0005-0000-0000-0000B6310000}"/>
    <cellStyle name="Normal 3 8 13" xfId="12369" xr:uid="{00000000-0005-0000-0000-0000B7310000}"/>
    <cellStyle name="Normal 3 8 14" xfId="12370" xr:uid="{00000000-0005-0000-0000-0000B8310000}"/>
    <cellStyle name="Normal 3 8 15" xfId="12371" xr:uid="{00000000-0005-0000-0000-0000B9310000}"/>
    <cellStyle name="Normal 3 8 16" xfId="12372" xr:uid="{00000000-0005-0000-0000-0000BA310000}"/>
    <cellStyle name="Normal 3 8 17" xfId="12373" xr:uid="{00000000-0005-0000-0000-0000BB310000}"/>
    <cellStyle name="Normal 3 8 18" xfId="12374" xr:uid="{00000000-0005-0000-0000-0000BC310000}"/>
    <cellStyle name="Normal 3 8 19" xfId="12375" xr:uid="{00000000-0005-0000-0000-0000BD310000}"/>
    <cellStyle name="Normal 3 8 2" xfId="12376" xr:uid="{00000000-0005-0000-0000-0000BE310000}"/>
    <cellStyle name="Normal 3 8 2 10" xfId="12377" xr:uid="{00000000-0005-0000-0000-0000BF310000}"/>
    <cellStyle name="Normal 3 8 2 11" xfId="12378" xr:uid="{00000000-0005-0000-0000-0000C0310000}"/>
    <cellStyle name="Normal 3 8 2 12" xfId="12379" xr:uid="{00000000-0005-0000-0000-0000C1310000}"/>
    <cellStyle name="Normal 3 8 2 13" xfId="12380" xr:uid="{00000000-0005-0000-0000-0000C2310000}"/>
    <cellStyle name="Normal 3 8 2 14" xfId="12381" xr:uid="{00000000-0005-0000-0000-0000C3310000}"/>
    <cellStyle name="Normal 3 8 2 15" xfId="12382" xr:uid="{00000000-0005-0000-0000-0000C4310000}"/>
    <cellStyle name="Normal 3 8 2 16" xfId="12383" xr:uid="{00000000-0005-0000-0000-0000C5310000}"/>
    <cellStyle name="Normal 3 8 2 17" xfId="12384" xr:uid="{00000000-0005-0000-0000-0000C6310000}"/>
    <cellStyle name="Normal 3 8 2 2" xfId="12385" xr:uid="{00000000-0005-0000-0000-0000C7310000}"/>
    <cellStyle name="Normal 3 8 2 3" xfId="12386" xr:uid="{00000000-0005-0000-0000-0000C8310000}"/>
    <cellStyle name="Normal 3 8 2 4" xfId="12387" xr:uid="{00000000-0005-0000-0000-0000C9310000}"/>
    <cellStyle name="Normal 3 8 2 5" xfId="12388" xr:uid="{00000000-0005-0000-0000-0000CA310000}"/>
    <cellStyle name="Normal 3 8 2 6" xfId="12389" xr:uid="{00000000-0005-0000-0000-0000CB310000}"/>
    <cellStyle name="Normal 3 8 2 7" xfId="12390" xr:uid="{00000000-0005-0000-0000-0000CC310000}"/>
    <cellStyle name="Normal 3 8 2 8" xfId="12391" xr:uid="{00000000-0005-0000-0000-0000CD310000}"/>
    <cellStyle name="Normal 3 8 2 9" xfId="12392" xr:uid="{00000000-0005-0000-0000-0000CE310000}"/>
    <cellStyle name="Normal 3 8 20" xfId="12393" xr:uid="{00000000-0005-0000-0000-0000CF310000}"/>
    <cellStyle name="Normal 3 8 21" xfId="12394" xr:uid="{00000000-0005-0000-0000-0000D0310000}"/>
    <cellStyle name="Normal 3 8 22" xfId="12395" xr:uid="{00000000-0005-0000-0000-0000D1310000}"/>
    <cellStyle name="Normal 3 8 23" xfId="12396" xr:uid="{00000000-0005-0000-0000-0000D2310000}"/>
    <cellStyle name="Normal 3 8 24" xfId="12397" xr:uid="{00000000-0005-0000-0000-0000D3310000}"/>
    <cellStyle name="Normal 3 8 25" xfId="12398" xr:uid="{00000000-0005-0000-0000-0000D4310000}"/>
    <cellStyle name="Normal 3 8 26" xfId="12399" xr:uid="{00000000-0005-0000-0000-0000D5310000}"/>
    <cellStyle name="Normal 3 8 27" xfId="12400" xr:uid="{00000000-0005-0000-0000-0000D6310000}"/>
    <cellStyle name="Normal 3 8 28" xfId="12401" xr:uid="{00000000-0005-0000-0000-0000D7310000}"/>
    <cellStyle name="Normal 3 8 29" xfId="12402" xr:uid="{00000000-0005-0000-0000-0000D8310000}"/>
    <cellStyle name="Normal 3 8 3" xfId="12403" xr:uid="{00000000-0005-0000-0000-0000D9310000}"/>
    <cellStyle name="Normal 3 8 3 10" xfId="12404" xr:uid="{00000000-0005-0000-0000-0000DA310000}"/>
    <cellStyle name="Normal 3 8 3 11" xfId="12405" xr:uid="{00000000-0005-0000-0000-0000DB310000}"/>
    <cellStyle name="Normal 3 8 3 12" xfId="12406" xr:uid="{00000000-0005-0000-0000-0000DC310000}"/>
    <cellStyle name="Normal 3 8 3 13" xfId="12407" xr:uid="{00000000-0005-0000-0000-0000DD310000}"/>
    <cellStyle name="Normal 3 8 3 14" xfId="12408" xr:uid="{00000000-0005-0000-0000-0000DE310000}"/>
    <cellStyle name="Normal 3 8 3 15" xfId="12409" xr:uid="{00000000-0005-0000-0000-0000DF310000}"/>
    <cellStyle name="Normal 3 8 3 16" xfId="12410" xr:uid="{00000000-0005-0000-0000-0000E0310000}"/>
    <cellStyle name="Normal 3 8 3 17" xfId="12411" xr:uid="{00000000-0005-0000-0000-0000E1310000}"/>
    <cellStyle name="Normal 3 8 3 2" xfId="12412" xr:uid="{00000000-0005-0000-0000-0000E2310000}"/>
    <cellStyle name="Normal 3 8 3 3" xfId="12413" xr:uid="{00000000-0005-0000-0000-0000E3310000}"/>
    <cellStyle name="Normal 3 8 3 4" xfId="12414" xr:uid="{00000000-0005-0000-0000-0000E4310000}"/>
    <cellStyle name="Normal 3 8 3 5" xfId="12415" xr:uid="{00000000-0005-0000-0000-0000E5310000}"/>
    <cellStyle name="Normal 3 8 3 6" xfId="12416" xr:uid="{00000000-0005-0000-0000-0000E6310000}"/>
    <cellStyle name="Normal 3 8 3 7" xfId="12417" xr:uid="{00000000-0005-0000-0000-0000E7310000}"/>
    <cellStyle name="Normal 3 8 3 8" xfId="12418" xr:uid="{00000000-0005-0000-0000-0000E8310000}"/>
    <cellStyle name="Normal 3 8 3 9" xfId="12419" xr:uid="{00000000-0005-0000-0000-0000E9310000}"/>
    <cellStyle name="Normal 3 8 30" xfId="12420" xr:uid="{00000000-0005-0000-0000-0000EA310000}"/>
    <cellStyle name="Normal 3 8 31" xfId="12421" xr:uid="{00000000-0005-0000-0000-0000EB310000}"/>
    <cellStyle name="Normal 3 8 32" xfId="12422" xr:uid="{00000000-0005-0000-0000-0000EC310000}"/>
    <cellStyle name="Normal 3 8 33" xfId="12423" xr:uid="{00000000-0005-0000-0000-0000ED310000}"/>
    <cellStyle name="Normal 3 8 34" xfId="12424" xr:uid="{00000000-0005-0000-0000-0000EE310000}"/>
    <cellStyle name="Normal 3 8 35" xfId="12425" xr:uid="{00000000-0005-0000-0000-0000EF310000}"/>
    <cellStyle name="Normal 3 8 36" xfId="12426" xr:uid="{00000000-0005-0000-0000-0000F0310000}"/>
    <cellStyle name="Normal 3 8 37" xfId="12427" xr:uid="{00000000-0005-0000-0000-0000F1310000}"/>
    <cellStyle name="Normal 3 8 38" xfId="12428" xr:uid="{00000000-0005-0000-0000-0000F2310000}"/>
    <cellStyle name="Normal 3 8 39" xfId="12429" xr:uid="{00000000-0005-0000-0000-0000F3310000}"/>
    <cellStyle name="Normal 3 8 4" xfId="12430" xr:uid="{00000000-0005-0000-0000-0000F4310000}"/>
    <cellStyle name="Normal 3 8 40" xfId="12431" xr:uid="{00000000-0005-0000-0000-0000F5310000}"/>
    <cellStyle name="Normal 3 8 41" xfId="12432" xr:uid="{00000000-0005-0000-0000-0000F6310000}"/>
    <cellStyle name="Normal 3 8 42" xfId="12433" xr:uid="{00000000-0005-0000-0000-0000F7310000}"/>
    <cellStyle name="Normal 3 8 43" xfId="12434" xr:uid="{00000000-0005-0000-0000-0000F8310000}"/>
    <cellStyle name="Normal 3 8 44" xfId="12435" xr:uid="{00000000-0005-0000-0000-0000F9310000}"/>
    <cellStyle name="Normal 3 8 45" xfId="12436" xr:uid="{00000000-0005-0000-0000-0000FA310000}"/>
    <cellStyle name="Normal 3 8 46" xfId="12437" xr:uid="{00000000-0005-0000-0000-0000FB310000}"/>
    <cellStyle name="Normal 3 8 47" xfId="12438" xr:uid="{00000000-0005-0000-0000-0000FC310000}"/>
    <cellStyle name="Normal 3 8 48" xfId="12439" xr:uid="{00000000-0005-0000-0000-0000FD310000}"/>
    <cellStyle name="Normal 3 8 49" xfId="12440" xr:uid="{00000000-0005-0000-0000-0000FE310000}"/>
    <cellStyle name="Normal 3 8 5" xfId="12441" xr:uid="{00000000-0005-0000-0000-0000FF310000}"/>
    <cellStyle name="Normal 3 8 50" xfId="12442" xr:uid="{00000000-0005-0000-0000-000000320000}"/>
    <cellStyle name="Normal 3 8 51" xfId="12443" xr:uid="{00000000-0005-0000-0000-000001320000}"/>
    <cellStyle name="Normal 3 8 52" xfId="12444" xr:uid="{00000000-0005-0000-0000-000002320000}"/>
    <cellStyle name="Normal 3 8 53" xfId="12445" xr:uid="{00000000-0005-0000-0000-000003320000}"/>
    <cellStyle name="Normal 3 8 54" xfId="12446" xr:uid="{00000000-0005-0000-0000-000004320000}"/>
    <cellStyle name="Normal 3 8 55" xfId="12447" xr:uid="{00000000-0005-0000-0000-000005320000}"/>
    <cellStyle name="Normal 3 8 56" xfId="12448" xr:uid="{00000000-0005-0000-0000-000006320000}"/>
    <cellStyle name="Normal 3 8 57" xfId="12449" xr:uid="{00000000-0005-0000-0000-000007320000}"/>
    <cellStyle name="Normal 3 8 58" xfId="12450" xr:uid="{00000000-0005-0000-0000-000008320000}"/>
    <cellStyle name="Normal 3 8 59" xfId="12451" xr:uid="{00000000-0005-0000-0000-000009320000}"/>
    <cellStyle name="Normal 3 8 6" xfId="12452" xr:uid="{00000000-0005-0000-0000-00000A320000}"/>
    <cellStyle name="Normal 3 8 60" xfId="12453" xr:uid="{00000000-0005-0000-0000-00000B320000}"/>
    <cellStyle name="Normal 3 8 61" xfId="12454" xr:uid="{00000000-0005-0000-0000-00000C320000}"/>
    <cellStyle name="Normal 3 8 62" xfId="12455" xr:uid="{00000000-0005-0000-0000-00000D320000}"/>
    <cellStyle name="Normal 3 8 63" xfId="12456" xr:uid="{00000000-0005-0000-0000-00000E320000}"/>
    <cellStyle name="Normal 3 8 64" xfId="12457" xr:uid="{00000000-0005-0000-0000-00000F320000}"/>
    <cellStyle name="Normal 3 8 65" xfId="12458" xr:uid="{00000000-0005-0000-0000-000010320000}"/>
    <cellStyle name="Normal 3 8 66" xfId="12459" xr:uid="{00000000-0005-0000-0000-000011320000}"/>
    <cellStyle name="Normal 3 8 67" xfId="12460" xr:uid="{00000000-0005-0000-0000-000012320000}"/>
    <cellStyle name="Normal 3 8 68" xfId="12461" xr:uid="{00000000-0005-0000-0000-000013320000}"/>
    <cellStyle name="Normal 3 8 69" xfId="12462" xr:uid="{00000000-0005-0000-0000-000014320000}"/>
    <cellStyle name="Normal 3 8 7" xfId="12463" xr:uid="{00000000-0005-0000-0000-000015320000}"/>
    <cellStyle name="Normal 3 8 70" xfId="12464" xr:uid="{00000000-0005-0000-0000-000016320000}"/>
    <cellStyle name="Normal 3 8 71" xfId="12465" xr:uid="{00000000-0005-0000-0000-000017320000}"/>
    <cellStyle name="Normal 3 8 72" xfId="12466" xr:uid="{00000000-0005-0000-0000-000018320000}"/>
    <cellStyle name="Normal 3 8 73" xfId="12467" xr:uid="{00000000-0005-0000-0000-000019320000}"/>
    <cellStyle name="Normal 3 8 74" xfId="12468" xr:uid="{00000000-0005-0000-0000-00001A320000}"/>
    <cellStyle name="Normal 3 8 75" xfId="12469" xr:uid="{00000000-0005-0000-0000-00001B320000}"/>
    <cellStyle name="Normal 3 8 76" xfId="12470" xr:uid="{00000000-0005-0000-0000-00001C320000}"/>
    <cellStyle name="Normal 3 8 77" xfId="12471" xr:uid="{00000000-0005-0000-0000-00001D320000}"/>
    <cellStyle name="Normal 3 8 78" xfId="12472" xr:uid="{00000000-0005-0000-0000-00001E320000}"/>
    <cellStyle name="Normal 3 8 79" xfId="12473" xr:uid="{00000000-0005-0000-0000-00001F320000}"/>
    <cellStyle name="Normal 3 8 8" xfId="12474" xr:uid="{00000000-0005-0000-0000-000020320000}"/>
    <cellStyle name="Normal 3 8 80" xfId="12475" xr:uid="{00000000-0005-0000-0000-000021320000}"/>
    <cellStyle name="Normal 3 8 81" xfId="12476" xr:uid="{00000000-0005-0000-0000-000022320000}"/>
    <cellStyle name="Normal 3 8 82" xfId="12477" xr:uid="{00000000-0005-0000-0000-000023320000}"/>
    <cellStyle name="Normal 3 8 9" xfId="12478" xr:uid="{00000000-0005-0000-0000-000024320000}"/>
    <cellStyle name="Normal 3 80" xfId="12479" xr:uid="{00000000-0005-0000-0000-000025320000}"/>
    <cellStyle name="Normal 3 81" xfId="12480" xr:uid="{00000000-0005-0000-0000-000026320000}"/>
    <cellStyle name="Normal 3 82" xfId="12481" xr:uid="{00000000-0005-0000-0000-000027320000}"/>
    <cellStyle name="Normal 3 83" xfId="12482" xr:uid="{00000000-0005-0000-0000-000028320000}"/>
    <cellStyle name="Normal 3 84" xfId="12483" xr:uid="{00000000-0005-0000-0000-000029320000}"/>
    <cellStyle name="Normal 3 85" xfId="12484" xr:uid="{00000000-0005-0000-0000-00002A320000}"/>
    <cellStyle name="Normal 3 86" xfId="12485" xr:uid="{00000000-0005-0000-0000-00002B320000}"/>
    <cellStyle name="Normal 3 87" xfId="12486" xr:uid="{00000000-0005-0000-0000-00002C320000}"/>
    <cellStyle name="Normal 3 88" xfId="12487" xr:uid="{00000000-0005-0000-0000-00002D320000}"/>
    <cellStyle name="Normal 3 89" xfId="12488" xr:uid="{00000000-0005-0000-0000-00002E320000}"/>
    <cellStyle name="Normal 3 9" xfId="12489" xr:uid="{00000000-0005-0000-0000-00002F320000}"/>
    <cellStyle name="Normal 3 9 10" xfId="12490" xr:uid="{00000000-0005-0000-0000-000030320000}"/>
    <cellStyle name="Normal 3 9 11" xfId="12491" xr:uid="{00000000-0005-0000-0000-000031320000}"/>
    <cellStyle name="Normal 3 9 12" xfId="12492" xr:uid="{00000000-0005-0000-0000-000032320000}"/>
    <cellStyle name="Normal 3 9 13" xfId="12493" xr:uid="{00000000-0005-0000-0000-000033320000}"/>
    <cellStyle name="Normal 3 9 14" xfId="12494" xr:uid="{00000000-0005-0000-0000-000034320000}"/>
    <cellStyle name="Normal 3 9 15" xfId="12495" xr:uid="{00000000-0005-0000-0000-000035320000}"/>
    <cellStyle name="Normal 3 9 16" xfId="12496" xr:uid="{00000000-0005-0000-0000-000036320000}"/>
    <cellStyle name="Normal 3 9 17" xfId="12497" xr:uid="{00000000-0005-0000-0000-000037320000}"/>
    <cellStyle name="Normal 3 9 18" xfId="12498" xr:uid="{00000000-0005-0000-0000-000038320000}"/>
    <cellStyle name="Normal 3 9 19" xfId="12499" xr:uid="{00000000-0005-0000-0000-000039320000}"/>
    <cellStyle name="Normal 3 9 2" xfId="12500" xr:uid="{00000000-0005-0000-0000-00003A320000}"/>
    <cellStyle name="Normal 3 9 2 10" xfId="12501" xr:uid="{00000000-0005-0000-0000-00003B320000}"/>
    <cellStyle name="Normal 3 9 2 11" xfId="12502" xr:uid="{00000000-0005-0000-0000-00003C320000}"/>
    <cellStyle name="Normal 3 9 2 12" xfId="12503" xr:uid="{00000000-0005-0000-0000-00003D320000}"/>
    <cellStyle name="Normal 3 9 2 13" xfId="12504" xr:uid="{00000000-0005-0000-0000-00003E320000}"/>
    <cellStyle name="Normal 3 9 2 2" xfId="12505" xr:uid="{00000000-0005-0000-0000-00003F320000}"/>
    <cellStyle name="Normal 3 9 2 3" xfId="12506" xr:uid="{00000000-0005-0000-0000-000040320000}"/>
    <cellStyle name="Normal 3 9 2 4" xfId="12507" xr:uid="{00000000-0005-0000-0000-000041320000}"/>
    <cellStyle name="Normal 3 9 2 5" xfId="12508" xr:uid="{00000000-0005-0000-0000-000042320000}"/>
    <cellStyle name="Normal 3 9 2 6" xfId="12509" xr:uid="{00000000-0005-0000-0000-000043320000}"/>
    <cellStyle name="Normal 3 9 2 7" xfId="12510" xr:uid="{00000000-0005-0000-0000-000044320000}"/>
    <cellStyle name="Normal 3 9 2 8" xfId="12511" xr:uid="{00000000-0005-0000-0000-000045320000}"/>
    <cellStyle name="Normal 3 9 2 9" xfId="12512" xr:uid="{00000000-0005-0000-0000-000046320000}"/>
    <cellStyle name="Normal 3 9 20" xfId="12513" xr:uid="{00000000-0005-0000-0000-000047320000}"/>
    <cellStyle name="Normal 3 9 21" xfId="12514" xr:uid="{00000000-0005-0000-0000-000048320000}"/>
    <cellStyle name="Normal 3 9 3" xfId="12515" xr:uid="{00000000-0005-0000-0000-000049320000}"/>
    <cellStyle name="Normal 3 9 4" xfId="12516" xr:uid="{00000000-0005-0000-0000-00004A320000}"/>
    <cellStyle name="Normal 3 9 5" xfId="12517" xr:uid="{00000000-0005-0000-0000-00004B320000}"/>
    <cellStyle name="Normal 3 9 6" xfId="12518" xr:uid="{00000000-0005-0000-0000-00004C320000}"/>
    <cellStyle name="Normal 3 9 7" xfId="12519" xr:uid="{00000000-0005-0000-0000-00004D320000}"/>
    <cellStyle name="Normal 3 9 8" xfId="12520" xr:uid="{00000000-0005-0000-0000-00004E320000}"/>
    <cellStyle name="Normal 3 9 9" xfId="12521" xr:uid="{00000000-0005-0000-0000-00004F320000}"/>
    <cellStyle name="Normal 3 90" xfId="12522" xr:uid="{00000000-0005-0000-0000-000050320000}"/>
    <cellStyle name="Normal 3 91" xfId="42043" xr:uid="{00000000-0005-0000-0000-000051320000}"/>
    <cellStyle name="Normal 3_1.3s Accounting C Costs Scots" xfId="12523" xr:uid="{00000000-0005-0000-0000-000052320000}"/>
    <cellStyle name="Normal 30" xfId="12524" xr:uid="{00000000-0005-0000-0000-000053320000}"/>
    <cellStyle name="Normal 30 10" xfId="12525" xr:uid="{00000000-0005-0000-0000-000054320000}"/>
    <cellStyle name="Normal 30 10 2" xfId="12526" xr:uid="{00000000-0005-0000-0000-000055320000}"/>
    <cellStyle name="Normal 30 11" xfId="12527" xr:uid="{00000000-0005-0000-0000-000056320000}"/>
    <cellStyle name="Normal 30 11 2" xfId="12528" xr:uid="{00000000-0005-0000-0000-000057320000}"/>
    <cellStyle name="Normal 30 12" xfId="12529" xr:uid="{00000000-0005-0000-0000-000058320000}"/>
    <cellStyle name="Normal 30 12 2" xfId="12530" xr:uid="{00000000-0005-0000-0000-000059320000}"/>
    <cellStyle name="Normal 30 13" xfId="12531" xr:uid="{00000000-0005-0000-0000-00005A320000}"/>
    <cellStyle name="Normal 30 13 2" xfId="12532" xr:uid="{00000000-0005-0000-0000-00005B320000}"/>
    <cellStyle name="Normal 30 14" xfId="12533" xr:uid="{00000000-0005-0000-0000-00005C320000}"/>
    <cellStyle name="Normal 30 14 2" xfId="12534" xr:uid="{00000000-0005-0000-0000-00005D320000}"/>
    <cellStyle name="Normal 30 15" xfId="12535" xr:uid="{00000000-0005-0000-0000-00005E320000}"/>
    <cellStyle name="Normal 30 15 2" xfId="12536" xr:uid="{00000000-0005-0000-0000-00005F320000}"/>
    <cellStyle name="Normal 30 16" xfId="12537" xr:uid="{00000000-0005-0000-0000-000060320000}"/>
    <cellStyle name="Normal 30 16 2" xfId="12538" xr:uid="{00000000-0005-0000-0000-000061320000}"/>
    <cellStyle name="Normal 30 17" xfId="12539" xr:uid="{00000000-0005-0000-0000-000062320000}"/>
    <cellStyle name="Normal 30 17 2" xfId="12540" xr:uid="{00000000-0005-0000-0000-000063320000}"/>
    <cellStyle name="Normal 30 18" xfId="12541" xr:uid="{00000000-0005-0000-0000-000064320000}"/>
    <cellStyle name="Normal 30 18 2" xfId="12542" xr:uid="{00000000-0005-0000-0000-000065320000}"/>
    <cellStyle name="Normal 30 19" xfId="12543" xr:uid="{00000000-0005-0000-0000-000066320000}"/>
    <cellStyle name="Normal 30 19 2" xfId="12544" xr:uid="{00000000-0005-0000-0000-000067320000}"/>
    <cellStyle name="Normal 30 2" xfId="12545" xr:uid="{00000000-0005-0000-0000-000068320000}"/>
    <cellStyle name="Normal 30 2 2" xfId="12546" xr:uid="{00000000-0005-0000-0000-000069320000}"/>
    <cellStyle name="Normal 30 20" xfId="12547" xr:uid="{00000000-0005-0000-0000-00006A320000}"/>
    <cellStyle name="Normal 30 20 2" xfId="12548" xr:uid="{00000000-0005-0000-0000-00006B320000}"/>
    <cellStyle name="Normal 30 21" xfId="12549" xr:uid="{00000000-0005-0000-0000-00006C320000}"/>
    <cellStyle name="Normal 30 21 2" xfId="12550" xr:uid="{00000000-0005-0000-0000-00006D320000}"/>
    <cellStyle name="Normal 30 22" xfId="12551" xr:uid="{00000000-0005-0000-0000-00006E320000}"/>
    <cellStyle name="Normal 30 22 2" xfId="12552" xr:uid="{00000000-0005-0000-0000-00006F320000}"/>
    <cellStyle name="Normal 30 23" xfId="12553" xr:uid="{00000000-0005-0000-0000-000070320000}"/>
    <cellStyle name="Normal 30 24" xfId="12554" xr:uid="{00000000-0005-0000-0000-000071320000}"/>
    <cellStyle name="Normal 30 25" xfId="12555" xr:uid="{00000000-0005-0000-0000-000072320000}"/>
    <cellStyle name="Normal 30 26" xfId="12556" xr:uid="{00000000-0005-0000-0000-000073320000}"/>
    <cellStyle name="Normal 30 27" xfId="12557" xr:uid="{00000000-0005-0000-0000-000074320000}"/>
    <cellStyle name="Normal 30 28" xfId="12558" xr:uid="{00000000-0005-0000-0000-000075320000}"/>
    <cellStyle name="Normal 30 29" xfId="12559" xr:uid="{00000000-0005-0000-0000-000076320000}"/>
    <cellStyle name="Normal 30 3" xfId="12560" xr:uid="{00000000-0005-0000-0000-000077320000}"/>
    <cellStyle name="Normal 30 3 2" xfId="12561" xr:uid="{00000000-0005-0000-0000-000078320000}"/>
    <cellStyle name="Normal 30 30" xfId="12562" xr:uid="{00000000-0005-0000-0000-000079320000}"/>
    <cellStyle name="Normal 30 31" xfId="12563" xr:uid="{00000000-0005-0000-0000-00007A320000}"/>
    <cellStyle name="Normal 30 32" xfId="12564" xr:uid="{00000000-0005-0000-0000-00007B320000}"/>
    <cellStyle name="Normal 30 33" xfId="12565" xr:uid="{00000000-0005-0000-0000-00007C320000}"/>
    <cellStyle name="Normal 30 34" xfId="12566" xr:uid="{00000000-0005-0000-0000-00007D320000}"/>
    <cellStyle name="Normal 30 35" xfId="12567" xr:uid="{00000000-0005-0000-0000-00007E320000}"/>
    <cellStyle name="Normal 30 36" xfId="12568" xr:uid="{00000000-0005-0000-0000-00007F320000}"/>
    <cellStyle name="Normal 30 37" xfId="12569" xr:uid="{00000000-0005-0000-0000-000080320000}"/>
    <cellStyle name="Normal 30 38" xfId="12570" xr:uid="{00000000-0005-0000-0000-000081320000}"/>
    <cellStyle name="Normal 30 39" xfId="12571" xr:uid="{00000000-0005-0000-0000-000082320000}"/>
    <cellStyle name="Normal 30 4" xfId="12572" xr:uid="{00000000-0005-0000-0000-000083320000}"/>
    <cellStyle name="Normal 30 4 2" xfId="12573" xr:uid="{00000000-0005-0000-0000-000084320000}"/>
    <cellStyle name="Normal 30 40" xfId="12574" xr:uid="{00000000-0005-0000-0000-000085320000}"/>
    <cellStyle name="Normal 30 41" xfId="12575" xr:uid="{00000000-0005-0000-0000-000086320000}"/>
    <cellStyle name="Normal 30 42" xfId="12576" xr:uid="{00000000-0005-0000-0000-000087320000}"/>
    <cellStyle name="Normal 30 43" xfId="12577" xr:uid="{00000000-0005-0000-0000-000088320000}"/>
    <cellStyle name="Normal 30 44" xfId="12578" xr:uid="{00000000-0005-0000-0000-000089320000}"/>
    <cellStyle name="Normal 30 45" xfId="12579" xr:uid="{00000000-0005-0000-0000-00008A320000}"/>
    <cellStyle name="Normal 30 46" xfId="12580" xr:uid="{00000000-0005-0000-0000-00008B320000}"/>
    <cellStyle name="Normal 30 47" xfId="12581" xr:uid="{00000000-0005-0000-0000-00008C320000}"/>
    <cellStyle name="Normal 30 48" xfId="12582" xr:uid="{00000000-0005-0000-0000-00008D320000}"/>
    <cellStyle name="Normal 30 49" xfId="12583" xr:uid="{00000000-0005-0000-0000-00008E320000}"/>
    <cellStyle name="Normal 30 5" xfId="12584" xr:uid="{00000000-0005-0000-0000-00008F320000}"/>
    <cellStyle name="Normal 30 5 2" xfId="12585" xr:uid="{00000000-0005-0000-0000-000090320000}"/>
    <cellStyle name="Normal 30 50" xfId="12586" xr:uid="{00000000-0005-0000-0000-000091320000}"/>
    <cellStyle name="Normal 30 51" xfId="12587" xr:uid="{00000000-0005-0000-0000-000092320000}"/>
    <cellStyle name="Normal 30 52" xfId="12588" xr:uid="{00000000-0005-0000-0000-000093320000}"/>
    <cellStyle name="Normal 30 53" xfId="12589" xr:uid="{00000000-0005-0000-0000-000094320000}"/>
    <cellStyle name="Normal 30 54" xfId="12590" xr:uid="{00000000-0005-0000-0000-000095320000}"/>
    <cellStyle name="Normal 30 55" xfId="12591" xr:uid="{00000000-0005-0000-0000-000096320000}"/>
    <cellStyle name="Normal 30 56" xfId="12592" xr:uid="{00000000-0005-0000-0000-000097320000}"/>
    <cellStyle name="Normal 30 57" xfId="12593" xr:uid="{00000000-0005-0000-0000-000098320000}"/>
    <cellStyle name="Normal 30 58" xfId="12594" xr:uid="{00000000-0005-0000-0000-000099320000}"/>
    <cellStyle name="Normal 30 59" xfId="12595" xr:uid="{00000000-0005-0000-0000-00009A320000}"/>
    <cellStyle name="Normal 30 6" xfId="12596" xr:uid="{00000000-0005-0000-0000-00009B320000}"/>
    <cellStyle name="Normal 30 6 2" xfId="12597" xr:uid="{00000000-0005-0000-0000-00009C320000}"/>
    <cellStyle name="Normal 30 60" xfId="12598" xr:uid="{00000000-0005-0000-0000-00009D320000}"/>
    <cellStyle name="Normal 30 61" xfId="12599" xr:uid="{00000000-0005-0000-0000-00009E320000}"/>
    <cellStyle name="Normal 30 62" xfId="12600" xr:uid="{00000000-0005-0000-0000-00009F320000}"/>
    <cellStyle name="Normal 30 63" xfId="12601" xr:uid="{00000000-0005-0000-0000-0000A0320000}"/>
    <cellStyle name="Normal 30 64" xfId="12602" xr:uid="{00000000-0005-0000-0000-0000A1320000}"/>
    <cellStyle name="Normal 30 65" xfId="12603" xr:uid="{00000000-0005-0000-0000-0000A2320000}"/>
    <cellStyle name="Normal 30 66" xfId="12604" xr:uid="{00000000-0005-0000-0000-0000A3320000}"/>
    <cellStyle name="Normal 30 67" xfId="12605" xr:uid="{00000000-0005-0000-0000-0000A4320000}"/>
    <cellStyle name="Normal 30 68" xfId="12606" xr:uid="{00000000-0005-0000-0000-0000A5320000}"/>
    <cellStyle name="Normal 30 69" xfId="12607" xr:uid="{00000000-0005-0000-0000-0000A6320000}"/>
    <cellStyle name="Normal 30 7" xfId="12608" xr:uid="{00000000-0005-0000-0000-0000A7320000}"/>
    <cellStyle name="Normal 30 7 2" xfId="12609" xr:uid="{00000000-0005-0000-0000-0000A8320000}"/>
    <cellStyle name="Normal 30 70" xfId="12610" xr:uid="{00000000-0005-0000-0000-0000A9320000}"/>
    <cellStyle name="Normal 30 8" xfId="12611" xr:uid="{00000000-0005-0000-0000-0000AA320000}"/>
    <cellStyle name="Normal 30 8 2" xfId="12612" xr:uid="{00000000-0005-0000-0000-0000AB320000}"/>
    <cellStyle name="Normal 30 9" xfId="12613" xr:uid="{00000000-0005-0000-0000-0000AC320000}"/>
    <cellStyle name="Normal 30 9 2" xfId="12614" xr:uid="{00000000-0005-0000-0000-0000AD320000}"/>
    <cellStyle name="Normal 31" xfId="12615" xr:uid="{00000000-0005-0000-0000-0000AE320000}"/>
    <cellStyle name="Normal 31 10" xfId="12616" xr:uid="{00000000-0005-0000-0000-0000AF320000}"/>
    <cellStyle name="Normal 31 10 2" xfId="12617" xr:uid="{00000000-0005-0000-0000-0000B0320000}"/>
    <cellStyle name="Normal 31 11" xfId="12618" xr:uid="{00000000-0005-0000-0000-0000B1320000}"/>
    <cellStyle name="Normal 31 11 2" xfId="12619" xr:uid="{00000000-0005-0000-0000-0000B2320000}"/>
    <cellStyle name="Normal 31 12" xfId="12620" xr:uid="{00000000-0005-0000-0000-0000B3320000}"/>
    <cellStyle name="Normal 31 12 2" xfId="12621" xr:uid="{00000000-0005-0000-0000-0000B4320000}"/>
    <cellStyle name="Normal 31 13" xfId="12622" xr:uid="{00000000-0005-0000-0000-0000B5320000}"/>
    <cellStyle name="Normal 31 13 2" xfId="12623" xr:uid="{00000000-0005-0000-0000-0000B6320000}"/>
    <cellStyle name="Normal 31 14" xfId="12624" xr:uid="{00000000-0005-0000-0000-0000B7320000}"/>
    <cellStyle name="Normal 31 14 2" xfId="12625" xr:uid="{00000000-0005-0000-0000-0000B8320000}"/>
    <cellStyle name="Normal 31 15" xfId="12626" xr:uid="{00000000-0005-0000-0000-0000B9320000}"/>
    <cellStyle name="Normal 31 15 2" xfId="12627" xr:uid="{00000000-0005-0000-0000-0000BA320000}"/>
    <cellStyle name="Normal 31 16" xfId="12628" xr:uid="{00000000-0005-0000-0000-0000BB320000}"/>
    <cellStyle name="Normal 31 16 2" xfId="12629" xr:uid="{00000000-0005-0000-0000-0000BC320000}"/>
    <cellStyle name="Normal 31 17" xfId="12630" xr:uid="{00000000-0005-0000-0000-0000BD320000}"/>
    <cellStyle name="Normal 31 17 2" xfId="12631" xr:uid="{00000000-0005-0000-0000-0000BE320000}"/>
    <cellStyle name="Normal 31 18" xfId="12632" xr:uid="{00000000-0005-0000-0000-0000BF320000}"/>
    <cellStyle name="Normal 31 18 2" xfId="12633" xr:uid="{00000000-0005-0000-0000-0000C0320000}"/>
    <cellStyle name="Normal 31 19" xfId="12634" xr:uid="{00000000-0005-0000-0000-0000C1320000}"/>
    <cellStyle name="Normal 31 19 2" xfId="12635" xr:uid="{00000000-0005-0000-0000-0000C2320000}"/>
    <cellStyle name="Normal 31 2" xfId="12636" xr:uid="{00000000-0005-0000-0000-0000C3320000}"/>
    <cellStyle name="Normal 31 2 2" xfId="12637" xr:uid="{00000000-0005-0000-0000-0000C4320000}"/>
    <cellStyle name="Normal 31 20" xfId="12638" xr:uid="{00000000-0005-0000-0000-0000C5320000}"/>
    <cellStyle name="Normal 31 20 2" xfId="12639" xr:uid="{00000000-0005-0000-0000-0000C6320000}"/>
    <cellStyle name="Normal 31 21" xfId="12640" xr:uid="{00000000-0005-0000-0000-0000C7320000}"/>
    <cellStyle name="Normal 31 21 2" xfId="12641" xr:uid="{00000000-0005-0000-0000-0000C8320000}"/>
    <cellStyle name="Normal 31 22" xfId="12642" xr:uid="{00000000-0005-0000-0000-0000C9320000}"/>
    <cellStyle name="Normal 31 22 2" xfId="12643" xr:uid="{00000000-0005-0000-0000-0000CA320000}"/>
    <cellStyle name="Normal 31 23" xfId="12644" xr:uid="{00000000-0005-0000-0000-0000CB320000}"/>
    <cellStyle name="Normal 31 24" xfId="12645" xr:uid="{00000000-0005-0000-0000-0000CC320000}"/>
    <cellStyle name="Normal 31 25" xfId="12646" xr:uid="{00000000-0005-0000-0000-0000CD320000}"/>
    <cellStyle name="Normal 31 26" xfId="12647" xr:uid="{00000000-0005-0000-0000-0000CE320000}"/>
    <cellStyle name="Normal 31 27" xfId="12648" xr:uid="{00000000-0005-0000-0000-0000CF320000}"/>
    <cellStyle name="Normal 31 28" xfId="12649" xr:uid="{00000000-0005-0000-0000-0000D0320000}"/>
    <cellStyle name="Normal 31 29" xfId="12650" xr:uid="{00000000-0005-0000-0000-0000D1320000}"/>
    <cellStyle name="Normal 31 3" xfId="12651" xr:uid="{00000000-0005-0000-0000-0000D2320000}"/>
    <cellStyle name="Normal 31 3 2" xfId="12652" xr:uid="{00000000-0005-0000-0000-0000D3320000}"/>
    <cellStyle name="Normal 31 30" xfId="12653" xr:uid="{00000000-0005-0000-0000-0000D4320000}"/>
    <cellStyle name="Normal 31 31" xfId="12654" xr:uid="{00000000-0005-0000-0000-0000D5320000}"/>
    <cellStyle name="Normal 31 32" xfId="12655" xr:uid="{00000000-0005-0000-0000-0000D6320000}"/>
    <cellStyle name="Normal 31 33" xfId="12656" xr:uid="{00000000-0005-0000-0000-0000D7320000}"/>
    <cellStyle name="Normal 31 34" xfId="12657" xr:uid="{00000000-0005-0000-0000-0000D8320000}"/>
    <cellStyle name="Normal 31 35" xfId="12658" xr:uid="{00000000-0005-0000-0000-0000D9320000}"/>
    <cellStyle name="Normal 31 36" xfId="12659" xr:uid="{00000000-0005-0000-0000-0000DA320000}"/>
    <cellStyle name="Normal 31 37" xfId="12660" xr:uid="{00000000-0005-0000-0000-0000DB320000}"/>
    <cellStyle name="Normal 31 38" xfId="12661" xr:uid="{00000000-0005-0000-0000-0000DC320000}"/>
    <cellStyle name="Normal 31 39" xfId="12662" xr:uid="{00000000-0005-0000-0000-0000DD320000}"/>
    <cellStyle name="Normal 31 4" xfId="12663" xr:uid="{00000000-0005-0000-0000-0000DE320000}"/>
    <cellStyle name="Normal 31 4 2" xfId="12664" xr:uid="{00000000-0005-0000-0000-0000DF320000}"/>
    <cellStyle name="Normal 31 40" xfId="12665" xr:uid="{00000000-0005-0000-0000-0000E0320000}"/>
    <cellStyle name="Normal 31 41" xfId="12666" xr:uid="{00000000-0005-0000-0000-0000E1320000}"/>
    <cellStyle name="Normal 31 42" xfId="12667" xr:uid="{00000000-0005-0000-0000-0000E2320000}"/>
    <cellStyle name="Normal 31 43" xfId="12668" xr:uid="{00000000-0005-0000-0000-0000E3320000}"/>
    <cellStyle name="Normal 31 44" xfId="12669" xr:uid="{00000000-0005-0000-0000-0000E4320000}"/>
    <cellStyle name="Normal 31 45" xfId="12670" xr:uid="{00000000-0005-0000-0000-0000E5320000}"/>
    <cellStyle name="Normal 31 46" xfId="12671" xr:uid="{00000000-0005-0000-0000-0000E6320000}"/>
    <cellStyle name="Normal 31 47" xfId="12672" xr:uid="{00000000-0005-0000-0000-0000E7320000}"/>
    <cellStyle name="Normal 31 48" xfId="12673" xr:uid="{00000000-0005-0000-0000-0000E8320000}"/>
    <cellStyle name="Normal 31 49" xfId="12674" xr:uid="{00000000-0005-0000-0000-0000E9320000}"/>
    <cellStyle name="Normal 31 5" xfId="12675" xr:uid="{00000000-0005-0000-0000-0000EA320000}"/>
    <cellStyle name="Normal 31 5 2" xfId="12676" xr:uid="{00000000-0005-0000-0000-0000EB320000}"/>
    <cellStyle name="Normal 31 50" xfId="12677" xr:uid="{00000000-0005-0000-0000-0000EC320000}"/>
    <cellStyle name="Normal 31 51" xfId="12678" xr:uid="{00000000-0005-0000-0000-0000ED320000}"/>
    <cellStyle name="Normal 31 52" xfId="12679" xr:uid="{00000000-0005-0000-0000-0000EE320000}"/>
    <cellStyle name="Normal 31 53" xfId="12680" xr:uid="{00000000-0005-0000-0000-0000EF320000}"/>
    <cellStyle name="Normal 31 54" xfId="12681" xr:uid="{00000000-0005-0000-0000-0000F0320000}"/>
    <cellStyle name="Normal 31 55" xfId="12682" xr:uid="{00000000-0005-0000-0000-0000F1320000}"/>
    <cellStyle name="Normal 31 56" xfId="12683" xr:uid="{00000000-0005-0000-0000-0000F2320000}"/>
    <cellStyle name="Normal 31 57" xfId="12684" xr:uid="{00000000-0005-0000-0000-0000F3320000}"/>
    <cellStyle name="Normal 31 58" xfId="12685" xr:uid="{00000000-0005-0000-0000-0000F4320000}"/>
    <cellStyle name="Normal 31 59" xfId="12686" xr:uid="{00000000-0005-0000-0000-0000F5320000}"/>
    <cellStyle name="Normal 31 6" xfId="12687" xr:uid="{00000000-0005-0000-0000-0000F6320000}"/>
    <cellStyle name="Normal 31 6 2" xfId="12688" xr:uid="{00000000-0005-0000-0000-0000F7320000}"/>
    <cellStyle name="Normal 31 60" xfId="12689" xr:uid="{00000000-0005-0000-0000-0000F8320000}"/>
    <cellStyle name="Normal 31 61" xfId="12690" xr:uid="{00000000-0005-0000-0000-0000F9320000}"/>
    <cellStyle name="Normal 31 62" xfId="12691" xr:uid="{00000000-0005-0000-0000-0000FA320000}"/>
    <cellStyle name="Normal 31 63" xfId="12692" xr:uid="{00000000-0005-0000-0000-0000FB320000}"/>
    <cellStyle name="Normal 31 64" xfId="12693" xr:uid="{00000000-0005-0000-0000-0000FC320000}"/>
    <cellStyle name="Normal 31 65" xfId="12694" xr:uid="{00000000-0005-0000-0000-0000FD320000}"/>
    <cellStyle name="Normal 31 66" xfId="12695" xr:uid="{00000000-0005-0000-0000-0000FE320000}"/>
    <cellStyle name="Normal 31 67" xfId="12696" xr:uid="{00000000-0005-0000-0000-0000FF320000}"/>
    <cellStyle name="Normal 31 68" xfId="12697" xr:uid="{00000000-0005-0000-0000-000000330000}"/>
    <cellStyle name="Normal 31 69" xfId="12698" xr:uid="{00000000-0005-0000-0000-000001330000}"/>
    <cellStyle name="Normal 31 7" xfId="12699" xr:uid="{00000000-0005-0000-0000-000002330000}"/>
    <cellStyle name="Normal 31 7 2" xfId="12700" xr:uid="{00000000-0005-0000-0000-000003330000}"/>
    <cellStyle name="Normal 31 70" xfId="12701" xr:uid="{00000000-0005-0000-0000-000004330000}"/>
    <cellStyle name="Normal 31 8" xfId="12702" xr:uid="{00000000-0005-0000-0000-000005330000}"/>
    <cellStyle name="Normal 31 8 2" xfId="12703" xr:uid="{00000000-0005-0000-0000-000006330000}"/>
    <cellStyle name="Normal 31 9" xfId="12704" xr:uid="{00000000-0005-0000-0000-000007330000}"/>
    <cellStyle name="Normal 31 9 2" xfId="12705" xr:uid="{00000000-0005-0000-0000-000008330000}"/>
    <cellStyle name="Normal 32" xfId="12706" xr:uid="{00000000-0005-0000-0000-000009330000}"/>
    <cellStyle name="Normal 32 10" xfId="12707" xr:uid="{00000000-0005-0000-0000-00000A330000}"/>
    <cellStyle name="Normal 32 10 2" xfId="12708" xr:uid="{00000000-0005-0000-0000-00000B330000}"/>
    <cellStyle name="Normal 32 11" xfId="12709" xr:uid="{00000000-0005-0000-0000-00000C330000}"/>
    <cellStyle name="Normal 32 11 2" xfId="12710" xr:uid="{00000000-0005-0000-0000-00000D330000}"/>
    <cellStyle name="Normal 32 12" xfId="12711" xr:uid="{00000000-0005-0000-0000-00000E330000}"/>
    <cellStyle name="Normal 32 12 2" xfId="12712" xr:uid="{00000000-0005-0000-0000-00000F330000}"/>
    <cellStyle name="Normal 32 13" xfId="12713" xr:uid="{00000000-0005-0000-0000-000010330000}"/>
    <cellStyle name="Normal 32 13 2" xfId="12714" xr:uid="{00000000-0005-0000-0000-000011330000}"/>
    <cellStyle name="Normal 32 14" xfId="12715" xr:uid="{00000000-0005-0000-0000-000012330000}"/>
    <cellStyle name="Normal 32 14 2" xfId="12716" xr:uid="{00000000-0005-0000-0000-000013330000}"/>
    <cellStyle name="Normal 32 15" xfId="12717" xr:uid="{00000000-0005-0000-0000-000014330000}"/>
    <cellStyle name="Normal 32 15 2" xfId="12718" xr:uid="{00000000-0005-0000-0000-000015330000}"/>
    <cellStyle name="Normal 32 16" xfId="12719" xr:uid="{00000000-0005-0000-0000-000016330000}"/>
    <cellStyle name="Normal 32 16 2" xfId="12720" xr:uid="{00000000-0005-0000-0000-000017330000}"/>
    <cellStyle name="Normal 32 17" xfId="12721" xr:uid="{00000000-0005-0000-0000-000018330000}"/>
    <cellStyle name="Normal 32 17 2" xfId="12722" xr:uid="{00000000-0005-0000-0000-000019330000}"/>
    <cellStyle name="Normal 32 18" xfId="12723" xr:uid="{00000000-0005-0000-0000-00001A330000}"/>
    <cellStyle name="Normal 32 18 2" xfId="12724" xr:uid="{00000000-0005-0000-0000-00001B330000}"/>
    <cellStyle name="Normal 32 19" xfId="12725" xr:uid="{00000000-0005-0000-0000-00001C330000}"/>
    <cellStyle name="Normal 32 19 2" xfId="12726" xr:uid="{00000000-0005-0000-0000-00001D330000}"/>
    <cellStyle name="Normal 32 2" xfId="12727" xr:uid="{00000000-0005-0000-0000-00001E330000}"/>
    <cellStyle name="Normal 32 2 2" xfId="12728" xr:uid="{00000000-0005-0000-0000-00001F330000}"/>
    <cellStyle name="Normal 32 20" xfId="12729" xr:uid="{00000000-0005-0000-0000-000020330000}"/>
    <cellStyle name="Normal 32 20 2" xfId="12730" xr:uid="{00000000-0005-0000-0000-000021330000}"/>
    <cellStyle name="Normal 32 21" xfId="12731" xr:uid="{00000000-0005-0000-0000-000022330000}"/>
    <cellStyle name="Normal 32 21 2" xfId="12732" xr:uid="{00000000-0005-0000-0000-000023330000}"/>
    <cellStyle name="Normal 32 22" xfId="12733" xr:uid="{00000000-0005-0000-0000-000024330000}"/>
    <cellStyle name="Normal 32 22 2" xfId="12734" xr:uid="{00000000-0005-0000-0000-000025330000}"/>
    <cellStyle name="Normal 32 23" xfId="12735" xr:uid="{00000000-0005-0000-0000-000026330000}"/>
    <cellStyle name="Normal 32 24" xfId="12736" xr:uid="{00000000-0005-0000-0000-000027330000}"/>
    <cellStyle name="Normal 32 25" xfId="12737" xr:uid="{00000000-0005-0000-0000-000028330000}"/>
    <cellStyle name="Normal 32 26" xfId="12738" xr:uid="{00000000-0005-0000-0000-000029330000}"/>
    <cellStyle name="Normal 32 27" xfId="12739" xr:uid="{00000000-0005-0000-0000-00002A330000}"/>
    <cellStyle name="Normal 32 28" xfId="12740" xr:uid="{00000000-0005-0000-0000-00002B330000}"/>
    <cellStyle name="Normal 32 29" xfId="12741" xr:uid="{00000000-0005-0000-0000-00002C330000}"/>
    <cellStyle name="Normal 32 3" xfId="12742" xr:uid="{00000000-0005-0000-0000-00002D330000}"/>
    <cellStyle name="Normal 32 3 2" xfId="12743" xr:uid="{00000000-0005-0000-0000-00002E330000}"/>
    <cellStyle name="Normal 32 30" xfId="12744" xr:uid="{00000000-0005-0000-0000-00002F330000}"/>
    <cellStyle name="Normal 32 31" xfId="12745" xr:uid="{00000000-0005-0000-0000-000030330000}"/>
    <cellStyle name="Normal 32 32" xfId="12746" xr:uid="{00000000-0005-0000-0000-000031330000}"/>
    <cellStyle name="Normal 32 33" xfId="12747" xr:uid="{00000000-0005-0000-0000-000032330000}"/>
    <cellStyle name="Normal 32 34" xfId="12748" xr:uid="{00000000-0005-0000-0000-000033330000}"/>
    <cellStyle name="Normal 32 35" xfId="12749" xr:uid="{00000000-0005-0000-0000-000034330000}"/>
    <cellStyle name="Normal 32 36" xfId="12750" xr:uid="{00000000-0005-0000-0000-000035330000}"/>
    <cellStyle name="Normal 32 37" xfId="12751" xr:uid="{00000000-0005-0000-0000-000036330000}"/>
    <cellStyle name="Normal 32 38" xfId="12752" xr:uid="{00000000-0005-0000-0000-000037330000}"/>
    <cellStyle name="Normal 32 39" xfId="12753" xr:uid="{00000000-0005-0000-0000-000038330000}"/>
    <cellStyle name="Normal 32 4" xfId="12754" xr:uid="{00000000-0005-0000-0000-000039330000}"/>
    <cellStyle name="Normal 32 4 2" xfId="12755" xr:uid="{00000000-0005-0000-0000-00003A330000}"/>
    <cellStyle name="Normal 32 40" xfId="12756" xr:uid="{00000000-0005-0000-0000-00003B330000}"/>
    <cellStyle name="Normal 32 41" xfId="12757" xr:uid="{00000000-0005-0000-0000-00003C330000}"/>
    <cellStyle name="Normal 32 42" xfId="12758" xr:uid="{00000000-0005-0000-0000-00003D330000}"/>
    <cellStyle name="Normal 32 43" xfId="12759" xr:uid="{00000000-0005-0000-0000-00003E330000}"/>
    <cellStyle name="Normal 32 44" xfId="12760" xr:uid="{00000000-0005-0000-0000-00003F330000}"/>
    <cellStyle name="Normal 32 45" xfId="12761" xr:uid="{00000000-0005-0000-0000-000040330000}"/>
    <cellStyle name="Normal 32 46" xfId="12762" xr:uid="{00000000-0005-0000-0000-000041330000}"/>
    <cellStyle name="Normal 32 47" xfId="12763" xr:uid="{00000000-0005-0000-0000-000042330000}"/>
    <cellStyle name="Normal 32 48" xfId="12764" xr:uid="{00000000-0005-0000-0000-000043330000}"/>
    <cellStyle name="Normal 32 49" xfId="12765" xr:uid="{00000000-0005-0000-0000-000044330000}"/>
    <cellStyle name="Normal 32 5" xfId="12766" xr:uid="{00000000-0005-0000-0000-000045330000}"/>
    <cellStyle name="Normal 32 5 2" xfId="12767" xr:uid="{00000000-0005-0000-0000-000046330000}"/>
    <cellStyle name="Normal 32 50" xfId="12768" xr:uid="{00000000-0005-0000-0000-000047330000}"/>
    <cellStyle name="Normal 32 51" xfId="12769" xr:uid="{00000000-0005-0000-0000-000048330000}"/>
    <cellStyle name="Normal 32 52" xfId="12770" xr:uid="{00000000-0005-0000-0000-000049330000}"/>
    <cellStyle name="Normal 32 53" xfId="12771" xr:uid="{00000000-0005-0000-0000-00004A330000}"/>
    <cellStyle name="Normal 32 54" xfId="12772" xr:uid="{00000000-0005-0000-0000-00004B330000}"/>
    <cellStyle name="Normal 32 55" xfId="12773" xr:uid="{00000000-0005-0000-0000-00004C330000}"/>
    <cellStyle name="Normal 32 56" xfId="12774" xr:uid="{00000000-0005-0000-0000-00004D330000}"/>
    <cellStyle name="Normal 32 57" xfId="12775" xr:uid="{00000000-0005-0000-0000-00004E330000}"/>
    <cellStyle name="Normal 32 58" xfId="12776" xr:uid="{00000000-0005-0000-0000-00004F330000}"/>
    <cellStyle name="Normal 32 59" xfId="12777" xr:uid="{00000000-0005-0000-0000-000050330000}"/>
    <cellStyle name="Normal 32 6" xfId="12778" xr:uid="{00000000-0005-0000-0000-000051330000}"/>
    <cellStyle name="Normal 32 6 2" xfId="12779" xr:uid="{00000000-0005-0000-0000-000052330000}"/>
    <cellStyle name="Normal 32 60" xfId="12780" xr:uid="{00000000-0005-0000-0000-000053330000}"/>
    <cellStyle name="Normal 32 61" xfId="12781" xr:uid="{00000000-0005-0000-0000-000054330000}"/>
    <cellStyle name="Normal 32 62" xfId="12782" xr:uid="{00000000-0005-0000-0000-000055330000}"/>
    <cellStyle name="Normal 32 63" xfId="12783" xr:uid="{00000000-0005-0000-0000-000056330000}"/>
    <cellStyle name="Normal 32 64" xfId="12784" xr:uid="{00000000-0005-0000-0000-000057330000}"/>
    <cellStyle name="Normal 32 65" xfId="12785" xr:uid="{00000000-0005-0000-0000-000058330000}"/>
    <cellStyle name="Normal 32 66" xfId="12786" xr:uid="{00000000-0005-0000-0000-000059330000}"/>
    <cellStyle name="Normal 32 67" xfId="12787" xr:uid="{00000000-0005-0000-0000-00005A330000}"/>
    <cellStyle name="Normal 32 68" xfId="12788" xr:uid="{00000000-0005-0000-0000-00005B330000}"/>
    <cellStyle name="Normal 32 69" xfId="12789" xr:uid="{00000000-0005-0000-0000-00005C330000}"/>
    <cellStyle name="Normal 32 7" xfId="12790" xr:uid="{00000000-0005-0000-0000-00005D330000}"/>
    <cellStyle name="Normal 32 7 2" xfId="12791" xr:uid="{00000000-0005-0000-0000-00005E330000}"/>
    <cellStyle name="Normal 32 70" xfId="12792" xr:uid="{00000000-0005-0000-0000-00005F330000}"/>
    <cellStyle name="Normal 32 8" xfId="12793" xr:uid="{00000000-0005-0000-0000-000060330000}"/>
    <cellStyle name="Normal 32 8 2" xfId="12794" xr:uid="{00000000-0005-0000-0000-000061330000}"/>
    <cellStyle name="Normal 32 9" xfId="12795" xr:uid="{00000000-0005-0000-0000-000062330000}"/>
    <cellStyle name="Normal 32 9 2" xfId="12796" xr:uid="{00000000-0005-0000-0000-000063330000}"/>
    <cellStyle name="Normal 33" xfId="12797" xr:uid="{00000000-0005-0000-0000-000064330000}"/>
    <cellStyle name="Normal 33 10" xfId="12798" xr:uid="{00000000-0005-0000-0000-000065330000}"/>
    <cellStyle name="Normal 33 10 2" xfId="12799" xr:uid="{00000000-0005-0000-0000-000066330000}"/>
    <cellStyle name="Normal 33 11" xfId="12800" xr:uid="{00000000-0005-0000-0000-000067330000}"/>
    <cellStyle name="Normal 33 11 2" xfId="12801" xr:uid="{00000000-0005-0000-0000-000068330000}"/>
    <cellStyle name="Normal 33 12" xfId="12802" xr:uid="{00000000-0005-0000-0000-000069330000}"/>
    <cellStyle name="Normal 33 12 2" xfId="12803" xr:uid="{00000000-0005-0000-0000-00006A330000}"/>
    <cellStyle name="Normal 33 13" xfId="12804" xr:uid="{00000000-0005-0000-0000-00006B330000}"/>
    <cellStyle name="Normal 33 13 2" xfId="12805" xr:uid="{00000000-0005-0000-0000-00006C330000}"/>
    <cellStyle name="Normal 33 14" xfId="12806" xr:uid="{00000000-0005-0000-0000-00006D330000}"/>
    <cellStyle name="Normal 33 14 2" xfId="12807" xr:uid="{00000000-0005-0000-0000-00006E330000}"/>
    <cellStyle name="Normal 33 15" xfId="12808" xr:uid="{00000000-0005-0000-0000-00006F330000}"/>
    <cellStyle name="Normal 33 15 2" xfId="12809" xr:uid="{00000000-0005-0000-0000-000070330000}"/>
    <cellStyle name="Normal 33 16" xfId="12810" xr:uid="{00000000-0005-0000-0000-000071330000}"/>
    <cellStyle name="Normal 33 16 2" xfId="12811" xr:uid="{00000000-0005-0000-0000-000072330000}"/>
    <cellStyle name="Normal 33 17" xfId="12812" xr:uid="{00000000-0005-0000-0000-000073330000}"/>
    <cellStyle name="Normal 33 17 2" xfId="12813" xr:uid="{00000000-0005-0000-0000-000074330000}"/>
    <cellStyle name="Normal 33 18" xfId="12814" xr:uid="{00000000-0005-0000-0000-000075330000}"/>
    <cellStyle name="Normal 33 18 2" xfId="12815" xr:uid="{00000000-0005-0000-0000-000076330000}"/>
    <cellStyle name="Normal 33 19" xfId="12816" xr:uid="{00000000-0005-0000-0000-000077330000}"/>
    <cellStyle name="Normal 33 19 2" xfId="12817" xr:uid="{00000000-0005-0000-0000-000078330000}"/>
    <cellStyle name="Normal 33 2" xfId="12818" xr:uid="{00000000-0005-0000-0000-000079330000}"/>
    <cellStyle name="Normal 33 2 2" xfId="12819" xr:uid="{00000000-0005-0000-0000-00007A330000}"/>
    <cellStyle name="Normal 33 20" xfId="12820" xr:uid="{00000000-0005-0000-0000-00007B330000}"/>
    <cellStyle name="Normal 33 20 2" xfId="12821" xr:uid="{00000000-0005-0000-0000-00007C330000}"/>
    <cellStyle name="Normal 33 21" xfId="12822" xr:uid="{00000000-0005-0000-0000-00007D330000}"/>
    <cellStyle name="Normal 33 21 2" xfId="12823" xr:uid="{00000000-0005-0000-0000-00007E330000}"/>
    <cellStyle name="Normal 33 22" xfId="12824" xr:uid="{00000000-0005-0000-0000-00007F330000}"/>
    <cellStyle name="Normal 33 22 2" xfId="12825" xr:uid="{00000000-0005-0000-0000-000080330000}"/>
    <cellStyle name="Normal 33 23" xfId="12826" xr:uid="{00000000-0005-0000-0000-000081330000}"/>
    <cellStyle name="Normal 33 24" xfId="12827" xr:uid="{00000000-0005-0000-0000-000082330000}"/>
    <cellStyle name="Normal 33 25" xfId="12828" xr:uid="{00000000-0005-0000-0000-000083330000}"/>
    <cellStyle name="Normal 33 26" xfId="12829" xr:uid="{00000000-0005-0000-0000-000084330000}"/>
    <cellStyle name="Normal 33 27" xfId="12830" xr:uid="{00000000-0005-0000-0000-000085330000}"/>
    <cellStyle name="Normal 33 28" xfId="12831" xr:uid="{00000000-0005-0000-0000-000086330000}"/>
    <cellStyle name="Normal 33 29" xfId="12832" xr:uid="{00000000-0005-0000-0000-000087330000}"/>
    <cellStyle name="Normal 33 3" xfId="12833" xr:uid="{00000000-0005-0000-0000-000088330000}"/>
    <cellStyle name="Normal 33 3 2" xfId="12834" xr:uid="{00000000-0005-0000-0000-000089330000}"/>
    <cellStyle name="Normal 33 30" xfId="12835" xr:uid="{00000000-0005-0000-0000-00008A330000}"/>
    <cellStyle name="Normal 33 31" xfId="12836" xr:uid="{00000000-0005-0000-0000-00008B330000}"/>
    <cellStyle name="Normal 33 32" xfId="12837" xr:uid="{00000000-0005-0000-0000-00008C330000}"/>
    <cellStyle name="Normal 33 33" xfId="12838" xr:uid="{00000000-0005-0000-0000-00008D330000}"/>
    <cellStyle name="Normal 33 34" xfId="12839" xr:uid="{00000000-0005-0000-0000-00008E330000}"/>
    <cellStyle name="Normal 33 35" xfId="12840" xr:uid="{00000000-0005-0000-0000-00008F330000}"/>
    <cellStyle name="Normal 33 36" xfId="12841" xr:uid="{00000000-0005-0000-0000-000090330000}"/>
    <cellStyle name="Normal 33 37" xfId="12842" xr:uid="{00000000-0005-0000-0000-000091330000}"/>
    <cellStyle name="Normal 33 38" xfId="12843" xr:uid="{00000000-0005-0000-0000-000092330000}"/>
    <cellStyle name="Normal 33 39" xfId="12844" xr:uid="{00000000-0005-0000-0000-000093330000}"/>
    <cellStyle name="Normal 33 4" xfId="12845" xr:uid="{00000000-0005-0000-0000-000094330000}"/>
    <cellStyle name="Normal 33 4 2" xfId="12846" xr:uid="{00000000-0005-0000-0000-000095330000}"/>
    <cellStyle name="Normal 33 40" xfId="12847" xr:uid="{00000000-0005-0000-0000-000096330000}"/>
    <cellStyle name="Normal 33 41" xfId="12848" xr:uid="{00000000-0005-0000-0000-000097330000}"/>
    <cellStyle name="Normal 33 42" xfId="12849" xr:uid="{00000000-0005-0000-0000-000098330000}"/>
    <cellStyle name="Normal 33 43" xfId="12850" xr:uid="{00000000-0005-0000-0000-000099330000}"/>
    <cellStyle name="Normal 33 44" xfId="12851" xr:uid="{00000000-0005-0000-0000-00009A330000}"/>
    <cellStyle name="Normal 33 45" xfId="12852" xr:uid="{00000000-0005-0000-0000-00009B330000}"/>
    <cellStyle name="Normal 33 46" xfId="12853" xr:uid="{00000000-0005-0000-0000-00009C330000}"/>
    <cellStyle name="Normal 33 47" xfId="12854" xr:uid="{00000000-0005-0000-0000-00009D330000}"/>
    <cellStyle name="Normal 33 48" xfId="12855" xr:uid="{00000000-0005-0000-0000-00009E330000}"/>
    <cellStyle name="Normal 33 49" xfId="12856" xr:uid="{00000000-0005-0000-0000-00009F330000}"/>
    <cellStyle name="Normal 33 5" xfId="12857" xr:uid="{00000000-0005-0000-0000-0000A0330000}"/>
    <cellStyle name="Normal 33 5 2" xfId="12858" xr:uid="{00000000-0005-0000-0000-0000A1330000}"/>
    <cellStyle name="Normal 33 50" xfId="12859" xr:uid="{00000000-0005-0000-0000-0000A2330000}"/>
    <cellStyle name="Normal 33 51" xfId="12860" xr:uid="{00000000-0005-0000-0000-0000A3330000}"/>
    <cellStyle name="Normal 33 52" xfId="12861" xr:uid="{00000000-0005-0000-0000-0000A4330000}"/>
    <cellStyle name="Normal 33 53" xfId="12862" xr:uid="{00000000-0005-0000-0000-0000A5330000}"/>
    <cellStyle name="Normal 33 54" xfId="12863" xr:uid="{00000000-0005-0000-0000-0000A6330000}"/>
    <cellStyle name="Normal 33 55" xfId="12864" xr:uid="{00000000-0005-0000-0000-0000A7330000}"/>
    <cellStyle name="Normal 33 56" xfId="12865" xr:uid="{00000000-0005-0000-0000-0000A8330000}"/>
    <cellStyle name="Normal 33 57" xfId="12866" xr:uid="{00000000-0005-0000-0000-0000A9330000}"/>
    <cellStyle name="Normal 33 58" xfId="12867" xr:uid="{00000000-0005-0000-0000-0000AA330000}"/>
    <cellStyle name="Normal 33 59" xfId="12868" xr:uid="{00000000-0005-0000-0000-0000AB330000}"/>
    <cellStyle name="Normal 33 6" xfId="12869" xr:uid="{00000000-0005-0000-0000-0000AC330000}"/>
    <cellStyle name="Normal 33 6 2" xfId="12870" xr:uid="{00000000-0005-0000-0000-0000AD330000}"/>
    <cellStyle name="Normal 33 60" xfId="12871" xr:uid="{00000000-0005-0000-0000-0000AE330000}"/>
    <cellStyle name="Normal 33 61" xfId="12872" xr:uid="{00000000-0005-0000-0000-0000AF330000}"/>
    <cellStyle name="Normal 33 62" xfId="12873" xr:uid="{00000000-0005-0000-0000-0000B0330000}"/>
    <cellStyle name="Normal 33 63" xfId="12874" xr:uid="{00000000-0005-0000-0000-0000B1330000}"/>
    <cellStyle name="Normal 33 64" xfId="12875" xr:uid="{00000000-0005-0000-0000-0000B2330000}"/>
    <cellStyle name="Normal 33 65" xfId="12876" xr:uid="{00000000-0005-0000-0000-0000B3330000}"/>
    <cellStyle name="Normal 33 66" xfId="12877" xr:uid="{00000000-0005-0000-0000-0000B4330000}"/>
    <cellStyle name="Normal 33 67" xfId="12878" xr:uid="{00000000-0005-0000-0000-0000B5330000}"/>
    <cellStyle name="Normal 33 68" xfId="12879" xr:uid="{00000000-0005-0000-0000-0000B6330000}"/>
    <cellStyle name="Normal 33 69" xfId="12880" xr:uid="{00000000-0005-0000-0000-0000B7330000}"/>
    <cellStyle name="Normal 33 7" xfId="12881" xr:uid="{00000000-0005-0000-0000-0000B8330000}"/>
    <cellStyle name="Normal 33 7 2" xfId="12882" xr:uid="{00000000-0005-0000-0000-0000B9330000}"/>
    <cellStyle name="Normal 33 70" xfId="12883" xr:uid="{00000000-0005-0000-0000-0000BA330000}"/>
    <cellStyle name="Normal 33 8" xfId="12884" xr:uid="{00000000-0005-0000-0000-0000BB330000}"/>
    <cellStyle name="Normal 33 8 2" xfId="12885" xr:uid="{00000000-0005-0000-0000-0000BC330000}"/>
    <cellStyle name="Normal 33 9" xfId="12886" xr:uid="{00000000-0005-0000-0000-0000BD330000}"/>
    <cellStyle name="Normal 33 9 2" xfId="12887" xr:uid="{00000000-0005-0000-0000-0000BE330000}"/>
    <cellStyle name="Normal 34" xfId="12888" xr:uid="{00000000-0005-0000-0000-0000BF330000}"/>
    <cellStyle name="Normal 34 10" xfId="12889" xr:uid="{00000000-0005-0000-0000-0000C0330000}"/>
    <cellStyle name="Normal 34 10 2" xfId="12890" xr:uid="{00000000-0005-0000-0000-0000C1330000}"/>
    <cellStyle name="Normal 34 11" xfId="12891" xr:uid="{00000000-0005-0000-0000-0000C2330000}"/>
    <cellStyle name="Normal 34 11 2" xfId="12892" xr:uid="{00000000-0005-0000-0000-0000C3330000}"/>
    <cellStyle name="Normal 34 12" xfId="12893" xr:uid="{00000000-0005-0000-0000-0000C4330000}"/>
    <cellStyle name="Normal 34 12 2" xfId="12894" xr:uid="{00000000-0005-0000-0000-0000C5330000}"/>
    <cellStyle name="Normal 34 13" xfId="12895" xr:uid="{00000000-0005-0000-0000-0000C6330000}"/>
    <cellStyle name="Normal 34 13 2" xfId="12896" xr:uid="{00000000-0005-0000-0000-0000C7330000}"/>
    <cellStyle name="Normal 34 14" xfId="12897" xr:uid="{00000000-0005-0000-0000-0000C8330000}"/>
    <cellStyle name="Normal 34 14 2" xfId="12898" xr:uid="{00000000-0005-0000-0000-0000C9330000}"/>
    <cellStyle name="Normal 34 15" xfId="12899" xr:uid="{00000000-0005-0000-0000-0000CA330000}"/>
    <cellStyle name="Normal 34 15 2" xfId="12900" xr:uid="{00000000-0005-0000-0000-0000CB330000}"/>
    <cellStyle name="Normal 34 16" xfId="12901" xr:uid="{00000000-0005-0000-0000-0000CC330000}"/>
    <cellStyle name="Normal 34 16 2" xfId="12902" xr:uid="{00000000-0005-0000-0000-0000CD330000}"/>
    <cellStyle name="Normal 34 17" xfId="12903" xr:uid="{00000000-0005-0000-0000-0000CE330000}"/>
    <cellStyle name="Normal 34 17 2" xfId="12904" xr:uid="{00000000-0005-0000-0000-0000CF330000}"/>
    <cellStyle name="Normal 34 18" xfId="12905" xr:uid="{00000000-0005-0000-0000-0000D0330000}"/>
    <cellStyle name="Normal 34 18 2" xfId="12906" xr:uid="{00000000-0005-0000-0000-0000D1330000}"/>
    <cellStyle name="Normal 34 19" xfId="12907" xr:uid="{00000000-0005-0000-0000-0000D2330000}"/>
    <cellStyle name="Normal 34 19 2" xfId="12908" xr:uid="{00000000-0005-0000-0000-0000D3330000}"/>
    <cellStyle name="Normal 34 2" xfId="12909" xr:uid="{00000000-0005-0000-0000-0000D4330000}"/>
    <cellStyle name="Normal 34 2 2" xfId="12910" xr:uid="{00000000-0005-0000-0000-0000D5330000}"/>
    <cellStyle name="Normal 34 20" xfId="12911" xr:uid="{00000000-0005-0000-0000-0000D6330000}"/>
    <cellStyle name="Normal 34 20 2" xfId="12912" xr:uid="{00000000-0005-0000-0000-0000D7330000}"/>
    <cellStyle name="Normal 34 21" xfId="12913" xr:uid="{00000000-0005-0000-0000-0000D8330000}"/>
    <cellStyle name="Normal 34 21 2" xfId="12914" xr:uid="{00000000-0005-0000-0000-0000D9330000}"/>
    <cellStyle name="Normal 34 22" xfId="12915" xr:uid="{00000000-0005-0000-0000-0000DA330000}"/>
    <cellStyle name="Normal 34 22 2" xfId="12916" xr:uid="{00000000-0005-0000-0000-0000DB330000}"/>
    <cellStyle name="Normal 34 23" xfId="12917" xr:uid="{00000000-0005-0000-0000-0000DC330000}"/>
    <cellStyle name="Normal 34 24" xfId="12918" xr:uid="{00000000-0005-0000-0000-0000DD330000}"/>
    <cellStyle name="Normal 34 25" xfId="12919" xr:uid="{00000000-0005-0000-0000-0000DE330000}"/>
    <cellStyle name="Normal 34 26" xfId="12920" xr:uid="{00000000-0005-0000-0000-0000DF330000}"/>
    <cellStyle name="Normal 34 27" xfId="12921" xr:uid="{00000000-0005-0000-0000-0000E0330000}"/>
    <cellStyle name="Normal 34 28" xfId="12922" xr:uid="{00000000-0005-0000-0000-0000E1330000}"/>
    <cellStyle name="Normal 34 29" xfId="12923" xr:uid="{00000000-0005-0000-0000-0000E2330000}"/>
    <cellStyle name="Normal 34 3" xfId="12924" xr:uid="{00000000-0005-0000-0000-0000E3330000}"/>
    <cellStyle name="Normal 34 3 2" xfId="12925" xr:uid="{00000000-0005-0000-0000-0000E4330000}"/>
    <cellStyle name="Normal 34 30" xfId="12926" xr:uid="{00000000-0005-0000-0000-0000E5330000}"/>
    <cellStyle name="Normal 34 31" xfId="12927" xr:uid="{00000000-0005-0000-0000-0000E6330000}"/>
    <cellStyle name="Normal 34 32" xfId="12928" xr:uid="{00000000-0005-0000-0000-0000E7330000}"/>
    <cellStyle name="Normal 34 33" xfId="12929" xr:uid="{00000000-0005-0000-0000-0000E8330000}"/>
    <cellStyle name="Normal 34 34" xfId="12930" xr:uid="{00000000-0005-0000-0000-0000E9330000}"/>
    <cellStyle name="Normal 34 35" xfId="12931" xr:uid="{00000000-0005-0000-0000-0000EA330000}"/>
    <cellStyle name="Normal 34 36" xfId="12932" xr:uid="{00000000-0005-0000-0000-0000EB330000}"/>
    <cellStyle name="Normal 34 37" xfId="12933" xr:uid="{00000000-0005-0000-0000-0000EC330000}"/>
    <cellStyle name="Normal 34 38" xfId="12934" xr:uid="{00000000-0005-0000-0000-0000ED330000}"/>
    <cellStyle name="Normal 34 39" xfId="12935" xr:uid="{00000000-0005-0000-0000-0000EE330000}"/>
    <cellStyle name="Normal 34 4" xfId="12936" xr:uid="{00000000-0005-0000-0000-0000EF330000}"/>
    <cellStyle name="Normal 34 4 2" xfId="12937" xr:uid="{00000000-0005-0000-0000-0000F0330000}"/>
    <cellStyle name="Normal 34 40" xfId="12938" xr:uid="{00000000-0005-0000-0000-0000F1330000}"/>
    <cellStyle name="Normal 34 41" xfId="12939" xr:uid="{00000000-0005-0000-0000-0000F2330000}"/>
    <cellStyle name="Normal 34 42" xfId="12940" xr:uid="{00000000-0005-0000-0000-0000F3330000}"/>
    <cellStyle name="Normal 34 43" xfId="12941" xr:uid="{00000000-0005-0000-0000-0000F4330000}"/>
    <cellStyle name="Normal 34 44" xfId="12942" xr:uid="{00000000-0005-0000-0000-0000F5330000}"/>
    <cellStyle name="Normal 34 45" xfId="12943" xr:uid="{00000000-0005-0000-0000-0000F6330000}"/>
    <cellStyle name="Normal 34 46" xfId="12944" xr:uid="{00000000-0005-0000-0000-0000F7330000}"/>
    <cellStyle name="Normal 34 47" xfId="12945" xr:uid="{00000000-0005-0000-0000-0000F8330000}"/>
    <cellStyle name="Normal 34 48" xfId="12946" xr:uid="{00000000-0005-0000-0000-0000F9330000}"/>
    <cellStyle name="Normal 34 49" xfId="12947" xr:uid="{00000000-0005-0000-0000-0000FA330000}"/>
    <cellStyle name="Normal 34 5" xfId="12948" xr:uid="{00000000-0005-0000-0000-0000FB330000}"/>
    <cellStyle name="Normal 34 5 2" xfId="12949" xr:uid="{00000000-0005-0000-0000-0000FC330000}"/>
    <cellStyle name="Normal 34 50" xfId="12950" xr:uid="{00000000-0005-0000-0000-0000FD330000}"/>
    <cellStyle name="Normal 34 51" xfId="12951" xr:uid="{00000000-0005-0000-0000-0000FE330000}"/>
    <cellStyle name="Normal 34 52" xfId="12952" xr:uid="{00000000-0005-0000-0000-0000FF330000}"/>
    <cellStyle name="Normal 34 53" xfId="12953" xr:uid="{00000000-0005-0000-0000-000000340000}"/>
    <cellStyle name="Normal 34 54" xfId="12954" xr:uid="{00000000-0005-0000-0000-000001340000}"/>
    <cellStyle name="Normal 34 55" xfId="12955" xr:uid="{00000000-0005-0000-0000-000002340000}"/>
    <cellStyle name="Normal 34 56" xfId="12956" xr:uid="{00000000-0005-0000-0000-000003340000}"/>
    <cellStyle name="Normal 34 57" xfId="12957" xr:uid="{00000000-0005-0000-0000-000004340000}"/>
    <cellStyle name="Normal 34 58" xfId="12958" xr:uid="{00000000-0005-0000-0000-000005340000}"/>
    <cellStyle name="Normal 34 59" xfId="12959" xr:uid="{00000000-0005-0000-0000-000006340000}"/>
    <cellStyle name="Normal 34 6" xfId="12960" xr:uid="{00000000-0005-0000-0000-000007340000}"/>
    <cellStyle name="Normal 34 6 2" xfId="12961" xr:uid="{00000000-0005-0000-0000-000008340000}"/>
    <cellStyle name="Normal 34 60" xfId="12962" xr:uid="{00000000-0005-0000-0000-000009340000}"/>
    <cellStyle name="Normal 34 61" xfId="12963" xr:uid="{00000000-0005-0000-0000-00000A340000}"/>
    <cellStyle name="Normal 34 62" xfId="12964" xr:uid="{00000000-0005-0000-0000-00000B340000}"/>
    <cellStyle name="Normal 34 63" xfId="12965" xr:uid="{00000000-0005-0000-0000-00000C340000}"/>
    <cellStyle name="Normal 34 64" xfId="12966" xr:uid="{00000000-0005-0000-0000-00000D340000}"/>
    <cellStyle name="Normal 34 65" xfId="12967" xr:uid="{00000000-0005-0000-0000-00000E340000}"/>
    <cellStyle name="Normal 34 66" xfId="12968" xr:uid="{00000000-0005-0000-0000-00000F340000}"/>
    <cellStyle name="Normal 34 67" xfId="12969" xr:uid="{00000000-0005-0000-0000-000010340000}"/>
    <cellStyle name="Normal 34 68" xfId="12970" xr:uid="{00000000-0005-0000-0000-000011340000}"/>
    <cellStyle name="Normal 34 69" xfId="12971" xr:uid="{00000000-0005-0000-0000-000012340000}"/>
    <cellStyle name="Normal 34 7" xfId="12972" xr:uid="{00000000-0005-0000-0000-000013340000}"/>
    <cellStyle name="Normal 34 7 2" xfId="12973" xr:uid="{00000000-0005-0000-0000-000014340000}"/>
    <cellStyle name="Normal 34 70" xfId="12974" xr:uid="{00000000-0005-0000-0000-000015340000}"/>
    <cellStyle name="Normal 34 8" xfId="12975" xr:uid="{00000000-0005-0000-0000-000016340000}"/>
    <cellStyle name="Normal 34 8 2" xfId="12976" xr:uid="{00000000-0005-0000-0000-000017340000}"/>
    <cellStyle name="Normal 34 9" xfId="12977" xr:uid="{00000000-0005-0000-0000-000018340000}"/>
    <cellStyle name="Normal 34 9 2" xfId="12978" xr:uid="{00000000-0005-0000-0000-000019340000}"/>
    <cellStyle name="Normal 35" xfId="12979" xr:uid="{00000000-0005-0000-0000-00001A340000}"/>
    <cellStyle name="Normal 35 10" xfId="12980" xr:uid="{00000000-0005-0000-0000-00001B340000}"/>
    <cellStyle name="Normal 35 10 2" xfId="12981" xr:uid="{00000000-0005-0000-0000-00001C340000}"/>
    <cellStyle name="Normal 35 11" xfId="12982" xr:uid="{00000000-0005-0000-0000-00001D340000}"/>
    <cellStyle name="Normal 35 11 2" xfId="12983" xr:uid="{00000000-0005-0000-0000-00001E340000}"/>
    <cellStyle name="Normal 35 12" xfId="12984" xr:uid="{00000000-0005-0000-0000-00001F340000}"/>
    <cellStyle name="Normal 35 12 2" xfId="12985" xr:uid="{00000000-0005-0000-0000-000020340000}"/>
    <cellStyle name="Normal 35 13" xfId="12986" xr:uid="{00000000-0005-0000-0000-000021340000}"/>
    <cellStyle name="Normal 35 13 2" xfId="12987" xr:uid="{00000000-0005-0000-0000-000022340000}"/>
    <cellStyle name="Normal 35 14" xfId="12988" xr:uid="{00000000-0005-0000-0000-000023340000}"/>
    <cellStyle name="Normal 35 14 2" xfId="12989" xr:uid="{00000000-0005-0000-0000-000024340000}"/>
    <cellStyle name="Normal 35 15" xfId="12990" xr:uid="{00000000-0005-0000-0000-000025340000}"/>
    <cellStyle name="Normal 35 15 2" xfId="12991" xr:uid="{00000000-0005-0000-0000-000026340000}"/>
    <cellStyle name="Normal 35 16" xfId="12992" xr:uid="{00000000-0005-0000-0000-000027340000}"/>
    <cellStyle name="Normal 35 16 2" xfId="12993" xr:uid="{00000000-0005-0000-0000-000028340000}"/>
    <cellStyle name="Normal 35 17" xfId="12994" xr:uid="{00000000-0005-0000-0000-000029340000}"/>
    <cellStyle name="Normal 35 17 2" xfId="12995" xr:uid="{00000000-0005-0000-0000-00002A340000}"/>
    <cellStyle name="Normal 35 18" xfId="12996" xr:uid="{00000000-0005-0000-0000-00002B340000}"/>
    <cellStyle name="Normal 35 18 2" xfId="12997" xr:uid="{00000000-0005-0000-0000-00002C340000}"/>
    <cellStyle name="Normal 35 19" xfId="12998" xr:uid="{00000000-0005-0000-0000-00002D340000}"/>
    <cellStyle name="Normal 35 19 2" xfId="12999" xr:uid="{00000000-0005-0000-0000-00002E340000}"/>
    <cellStyle name="Normal 35 2" xfId="13000" xr:uid="{00000000-0005-0000-0000-00002F340000}"/>
    <cellStyle name="Normal 35 2 2" xfId="13001" xr:uid="{00000000-0005-0000-0000-000030340000}"/>
    <cellStyle name="Normal 35 20" xfId="13002" xr:uid="{00000000-0005-0000-0000-000031340000}"/>
    <cellStyle name="Normal 35 20 2" xfId="13003" xr:uid="{00000000-0005-0000-0000-000032340000}"/>
    <cellStyle name="Normal 35 21" xfId="13004" xr:uid="{00000000-0005-0000-0000-000033340000}"/>
    <cellStyle name="Normal 35 21 2" xfId="13005" xr:uid="{00000000-0005-0000-0000-000034340000}"/>
    <cellStyle name="Normal 35 22" xfId="13006" xr:uid="{00000000-0005-0000-0000-000035340000}"/>
    <cellStyle name="Normal 35 22 2" xfId="13007" xr:uid="{00000000-0005-0000-0000-000036340000}"/>
    <cellStyle name="Normal 35 23" xfId="13008" xr:uid="{00000000-0005-0000-0000-000037340000}"/>
    <cellStyle name="Normal 35 24" xfId="13009" xr:uid="{00000000-0005-0000-0000-000038340000}"/>
    <cellStyle name="Normal 35 25" xfId="13010" xr:uid="{00000000-0005-0000-0000-000039340000}"/>
    <cellStyle name="Normal 35 26" xfId="13011" xr:uid="{00000000-0005-0000-0000-00003A340000}"/>
    <cellStyle name="Normal 35 27" xfId="13012" xr:uid="{00000000-0005-0000-0000-00003B340000}"/>
    <cellStyle name="Normal 35 28" xfId="13013" xr:uid="{00000000-0005-0000-0000-00003C340000}"/>
    <cellStyle name="Normal 35 29" xfId="13014" xr:uid="{00000000-0005-0000-0000-00003D340000}"/>
    <cellStyle name="Normal 35 3" xfId="13015" xr:uid="{00000000-0005-0000-0000-00003E340000}"/>
    <cellStyle name="Normal 35 3 2" xfId="13016" xr:uid="{00000000-0005-0000-0000-00003F340000}"/>
    <cellStyle name="Normal 35 30" xfId="13017" xr:uid="{00000000-0005-0000-0000-000040340000}"/>
    <cellStyle name="Normal 35 31" xfId="13018" xr:uid="{00000000-0005-0000-0000-000041340000}"/>
    <cellStyle name="Normal 35 32" xfId="13019" xr:uid="{00000000-0005-0000-0000-000042340000}"/>
    <cellStyle name="Normal 35 33" xfId="13020" xr:uid="{00000000-0005-0000-0000-000043340000}"/>
    <cellStyle name="Normal 35 34" xfId="13021" xr:uid="{00000000-0005-0000-0000-000044340000}"/>
    <cellStyle name="Normal 35 35" xfId="13022" xr:uid="{00000000-0005-0000-0000-000045340000}"/>
    <cellStyle name="Normal 35 36" xfId="13023" xr:uid="{00000000-0005-0000-0000-000046340000}"/>
    <cellStyle name="Normal 35 37" xfId="13024" xr:uid="{00000000-0005-0000-0000-000047340000}"/>
    <cellStyle name="Normal 35 38" xfId="13025" xr:uid="{00000000-0005-0000-0000-000048340000}"/>
    <cellStyle name="Normal 35 39" xfId="13026" xr:uid="{00000000-0005-0000-0000-000049340000}"/>
    <cellStyle name="Normal 35 4" xfId="13027" xr:uid="{00000000-0005-0000-0000-00004A340000}"/>
    <cellStyle name="Normal 35 4 2" xfId="13028" xr:uid="{00000000-0005-0000-0000-00004B340000}"/>
    <cellStyle name="Normal 35 40" xfId="13029" xr:uid="{00000000-0005-0000-0000-00004C340000}"/>
    <cellStyle name="Normal 35 41" xfId="13030" xr:uid="{00000000-0005-0000-0000-00004D340000}"/>
    <cellStyle name="Normal 35 42" xfId="13031" xr:uid="{00000000-0005-0000-0000-00004E340000}"/>
    <cellStyle name="Normal 35 43" xfId="13032" xr:uid="{00000000-0005-0000-0000-00004F340000}"/>
    <cellStyle name="Normal 35 44" xfId="13033" xr:uid="{00000000-0005-0000-0000-000050340000}"/>
    <cellStyle name="Normal 35 45" xfId="13034" xr:uid="{00000000-0005-0000-0000-000051340000}"/>
    <cellStyle name="Normal 35 46" xfId="13035" xr:uid="{00000000-0005-0000-0000-000052340000}"/>
    <cellStyle name="Normal 35 47" xfId="13036" xr:uid="{00000000-0005-0000-0000-000053340000}"/>
    <cellStyle name="Normal 35 48" xfId="13037" xr:uid="{00000000-0005-0000-0000-000054340000}"/>
    <cellStyle name="Normal 35 49" xfId="13038" xr:uid="{00000000-0005-0000-0000-000055340000}"/>
    <cellStyle name="Normal 35 5" xfId="13039" xr:uid="{00000000-0005-0000-0000-000056340000}"/>
    <cellStyle name="Normal 35 5 2" xfId="13040" xr:uid="{00000000-0005-0000-0000-000057340000}"/>
    <cellStyle name="Normal 35 50" xfId="13041" xr:uid="{00000000-0005-0000-0000-000058340000}"/>
    <cellStyle name="Normal 35 51" xfId="13042" xr:uid="{00000000-0005-0000-0000-000059340000}"/>
    <cellStyle name="Normal 35 52" xfId="13043" xr:uid="{00000000-0005-0000-0000-00005A340000}"/>
    <cellStyle name="Normal 35 53" xfId="13044" xr:uid="{00000000-0005-0000-0000-00005B340000}"/>
    <cellStyle name="Normal 35 54" xfId="13045" xr:uid="{00000000-0005-0000-0000-00005C340000}"/>
    <cellStyle name="Normal 35 55" xfId="13046" xr:uid="{00000000-0005-0000-0000-00005D340000}"/>
    <cellStyle name="Normal 35 56" xfId="13047" xr:uid="{00000000-0005-0000-0000-00005E340000}"/>
    <cellStyle name="Normal 35 57" xfId="13048" xr:uid="{00000000-0005-0000-0000-00005F340000}"/>
    <cellStyle name="Normal 35 58" xfId="13049" xr:uid="{00000000-0005-0000-0000-000060340000}"/>
    <cellStyle name="Normal 35 59" xfId="13050" xr:uid="{00000000-0005-0000-0000-000061340000}"/>
    <cellStyle name="Normal 35 6" xfId="13051" xr:uid="{00000000-0005-0000-0000-000062340000}"/>
    <cellStyle name="Normal 35 6 2" xfId="13052" xr:uid="{00000000-0005-0000-0000-000063340000}"/>
    <cellStyle name="Normal 35 60" xfId="13053" xr:uid="{00000000-0005-0000-0000-000064340000}"/>
    <cellStyle name="Normal 35 61" xfId="13054" xr:uid="{00000000-0005-0000-0000-000065340000}"/>
    <cellStyle name="Normal 35 62" xfId="13055" xr:uid="{00000000-0005-0000-0000-000066340000}"/>
    <cellStyle name="Normal 35 63" xfId="13056" xr:uid="{00000000-0005-0000-0000-000067340000}"/>
    <cellStyle name="Normal 35 64" xfId="13057" xr:uid="{00000000-0005-0000-0000-000068340000}"/>
    <cellStyle name="Normal 35 65" xfId="13058" xr:uid="{00000000-0005-0000-0000-000069340000}"/>
    <cellStyle name="Normal 35 66" xfId="13059" xr:uid="{00000000-0005-0000-0000-00006A340000}"/>
    <cellStyle name="Normal 35 67" xfId="13060" xr:uid="{00000000-0005-0000-0000-00006B340000}"/>
    <cellStyle name="Normal 35 68" xfId="13061" xr:uid="{00000000-0005-0000-0000-00006C340000}"/>
    <cellStyle name="Normal 35 69" xfId="13062" xr:uid="{00000000-0005-0000-0000-00006D340000}"/>
    <cellStyle name="Normal 35 7" xfId="13063" xr:uid="{00000000-0005-0000-0000-00006E340000}"/>
    <cellStyle name="Normal 35 7 2" xfId="13064" xr:uid="{00000000-0005-0000-0000-00006F340000}"/>
    <cellStyle name="Normal 35 70" xfId="13065" xr:uid="{00000000-0005-0000-0000-000070340000}"/>
    <cellStyle name="Normal 35 8" xfId="13066" xr:uid="{00000000-0005-0000-0000-000071340000}"/>
    <cellStyle name="Normal 35 8 2" xfId="13067" xr:uid="{00000000-0005-0000-0000-000072340000}"/>
    <cellStyle name="Normal 35 9" xfId="13068" xr:uid="{00000000-0005-0000-0000-000073340000}"/>
    <cellStyle name="Normal 35 9 2" xfId="13069" xr:uid="{00000000-0005-0000-0000-000074340000}"/>
    <cellStyle name="Normal 36" xfId="13070" xr:uid="{00000000-0005-0000-0000-000075340000}"/>
    <cellStyle name="Normal 36 10" xfId="13071" xr:uid="{00000000-0005-0000-0000-000076340000}"/>
    <cellStyle name="Normal 36 10 2" xfId="13072" xr:uid="{00000000-0005-0000-0000-000077340000}"/>
    <cellStyle name="Normal 36 11" xfId="13073" xr:uid="{00000000-0005-0000-0000-000078340000}"/>
    <cellStyle name="Normal 36 11 2" xfId="13074" xr:uid="{00000000-0005-0000-0000-000079340000}"/>
    <cellStyle name="Normal 36 12" xfId="13075" xr:uid="{00000000-0005-0000-0000-00007A340000}"/>
    <cellStyle name="Normal 36 12 2" xfId="13076" xr:uid="{00000000-0005-0000-0000-00007B340000}"/>
    <cellStyle name="Normal 36 13" xfId="13077" xr:uid="{00000000-0005-0000-0000-00007C340000}"/>
    <cellStyle name="Normal 36 13 2" xfId="13078" xr:uid="{00000000-0005-0000-0000-00007D340000}"/>
    <cellStyle name="Normal 36 14" xfId="13079" xr:uid="{00000000-0005-0000-0000-00007E340000}"/>
    <cellStyle name="Normal 36 14 2" xfId="13080" xr:uid="{00000000-0005-0000-0000-00007F340000}"/>
    <cellStyle name="Normal 36 15" xfId="13081" xr:uid="{00000000-0005-0000-0000-000080340000}"/>
    <cellStyle name="Normal 36 15 2" xfId="13082" xr:uid="{00000000-0005-0000-0000-000081340000}"/>
    <cellStyle name="Normal 36 16" xfId="13083" xr:uid="{00000000-0005-0000-0000-000082340000}"/>
    <cellStyle name="Normal 36 16 2" xfId="13084" xr:uid="{00000000-0005-0000-0000-000083340000}"/>
    <cellStyle name="Normal 36 17" xfId="13085" xr:uid="{00000000-0005-0000-0000-000084340000}"/>
    <cellStyle name="Normal 36 17 2" xfId="13086" xr:uid="{00000000-0005-0000-0000-000085340000}"/>
    <cellStyle name="Normal 36 18" xfId="13087" xr:uid="{00000000-0005-0000-0000-000086340000}"/>
    <cellStyle name="Normal 36 18 2" xfId="13088" xr:uid="{00000000-0005-0000-0000-000087340000}"/>
    <cellStyle name="Normal 36 19" xfId="13089" xr:uid="{00000000-0005-0000-0000-000088340000}"/>
    <cellStyle name="Normal 36 19 2" xfId="13090" xr:uid="{00000000-0005-0000-0000-000089340000}"/>
    <cellStyle name="Normal 36 2" xfId="13091" xr:uid="{00000000-0005-0000-0000-00008A340000}"/>
    <cellStyle name="Normal 36 2 2" xfId="13092" xr:uid="{00000000-0005-0000-0000-00008B340000}"/>
    <cellStyle name="Normal 36 20" xfId="13093" xr:uid="{00000000-0005-0000-0000-00008C340000}"/>
    <cellStyle name="Normal 36 20 2" xfId="13094" xr:uid="{00000000-0005-0000-0000-00008D340000}"/>
    <cellStyle name="Normal 36 21" xfId="13095" xr:uid="{00000000-0005-0000-0000-00008E340000}"/>
    <cellStyle name="Normal 36 21 2" xfId="13096" xr:uid="{00000000-0005-0000-0000-00008F340000}"/>
    <cellStyle name="Normal 36 22" xfId="13097" xr:uid="{00000000-0005-0000-0000-000090340000}"/>
    <cellStyle name="Normal 36 22 2" xfId="13098" xr:uid="{00000000-0005-0000-0000-000091340000}"/>
    <cellStyle name="Normal 36 23" xfId="13099" xr:uid="{00000000-0005-0000-0000-000092340000}"/>
    <cellStyle name="Normal 36 24" xfId="13100" xr:uid="{00000000-0005-0000-0000-000093340000}"/>
    <cellStyle name="Normal 36 25" xfId="13101" xr:uid="{00000000-0005-0000-0000-000094340000}"/>
    <cellStyle name="Normal 36 26" xfId="13102" xr:uid="{00000000-0005-0000-0000-000095340000}"/>
    <cellStyle name="Normal 36 27" xfId="13103" xr:uid="{00000000-0005-0000-0000-000096340000}"/>
    <cellStyle name="Normal 36 28" xfId="13104" xr:uid="{00000000-0005-0000-0000-000097340000}"/>
    <cellStyle name="Normal 36 29" xfId="13105" xr:uid="{00000000-0005-0000-0000-000098340000}"/>
    <cellStyle name="Normal 36 3" xfId="13106" xr:uid="{00000000-0005-0000-0000-000099340000}"/>
    <cellStyle name="Normal 36 3 2" xfId="13107" xr:uid="{00000000-0005-0000-0000-00009A340000}"/>
    <cellStyle name="Normal 36 30" xfId="13108" xr:uid="{00000000-0005-0000-0000-00009B340000}"/>
    <cellStyle name="Normal 36 31" xfId="13109" xr:uid="{00000000-0005-0000-0000-00009C340000}"/>
    <cellStyle name="Normal 36 32" xfId="13110" xr:uid="{00000000-0005-0000-0000-00009D340000}"/>
    <cellStyle name="Normal 36 33" xfId="13111" xr:uid="{00000000-0005-0000-0000-00009E340000}"/>
    <cellStyle name="Normal 36 34" xfId="13112" xr:uid="{00000000-0005-0000-0000-00009F340000}"/>
    <cellStyle name="Normal 36 35" xfId="13113" xr:uid="{00000000-0005-0000-0000-0000A0340000}"/>
    <cellStyle name="Normal 36 36" xfId="13114" xr:uid="{00000000-0005-0000-0000-0000A1340000}"/>
    <cellStyle name="Normal 36 37" xfId="13115" xr:uid="{00000000-0005-0000-0000-0000A2340000}"/>
    <cellStyle name="Normal 36 38" xfId="13116" xr:uid="{00000000-0005-0000-0000-0000A3340000}"/>
    <cellStyle name="Normal 36 39" xfId="13117" xr:uid="{00000000-0005-0000-0000-0000A4340000}"/>
    <cellStyle name="Normal 36 4" xfId="13118" xr:uid="{00000000-0005-0000-0000-0000A5340000}"/>
    <cellStyle name="Normal 36 4 2" xfId="13119" xr:uid="{00000000-0005-0000-0000-0000A6340000}"/>
    <cellStyle name="Normal 36 40" xfId="13120" xr:uid="{00000000-0005-0000-0000-0000A7340000}"/>
    <cellStyle name="Normal 36 41" xfId="13121" xr:uid="{00000000-0005-0000-0000-0000A8340000}"/>
    <cellStyle name="Normal 36 42" xfId="13122" xr:uid="{00000000-0005-0000-0000-0000A9340000}"/>
    <cellStyle name="Normal 36 43" xfId="13123" xr:uid="{00000000-0005-0000-0000-0000AA340000}"/>
    <cellStyle name="Normal 36 44" xfId="13124" xr:uid="{00000000-0005-0000-0000-0000AB340000}"/>
    <cellStyle name="Normal 36 45" xfId="13125" xr:uid="{00000000-0005-0000-0000-0000AC340000}"/>
    <cellStyle name="Normal 36 46" xfId="13126" xr:uid="{00000000-0005-0000-0000-0000AD340000}"/>
    <cellStyle name="Normal 36 47" xfId="13127" xr:uid="{00000000-0005-0000-0000-0000AE340000}"/>
    <cellStyle name="Normal 36 48" xfId="13128" xr:uid="{00000000-0005-0000-0000-0000AF340000}"/>
    <cellStyle name="Normal 36 49" xfId="13129" xr:uid="{00000000-0005-0000-0000-0000B0340000}"/>
    <cellStyle name="Normal 36 5" xfId="13130" xr:uid="{00000000-0005-0000-0000-0000B1340000}"/>
    <cellStyle name="Normal 36 5 2" xfId="13131" xr:uid="{00000000-0005-0000-0000-0000B2340000}"/>
    <cellStyle name="Normal 36 50" xfId="13132" xr:uid="{00000000-0005-0000-0000-0000B3340000}"/>
    <cellStyle name="Normal 36 51" xfId="13133" xr:uid="{00000000-0005-0000-0000-0000B4340000}"/>
    <cellStyle name="Normal 36 52" xfId="13134" xr:uid="{00000000-0005-0000-0000-0000B5340000}"/>
    <cellStyle name="Normal 36 53" xfId="13135" xr:uid="{00000000-0005-0000-0000-0000B6340000}"/>
    <cellStyle name="Normal 36 54" xfId="13136" xr:uid="{00000000-0005-0000-0000-0000B7340000}"/>
    <cellStyle name="Normal 36 55" xfId="13137" xr:uid="{00000000-0005-0000-0000-0000B8340000}"/>
    <cellStyle name="Normal 36 56" xfId="13138" xr:uid="{00000000-0005-0000-0000-0000B9340000}"/>
    <cellStyle name="Normal 36 57" xfId="13139" xr:uid="{00000000-0005-0000-0000-0000BA340000}"/>
    <cellStyle name="Normal 36 58" xfId="13140" xr:uid="{00000000-0005-0000-0000-0000BB340000}"/>
    <cellStyle name="Normal 36 59" xfId="13141" xr:uid="{00000000-0005-0000-0000-0000BC340000}"/>
    <cellStyle name="Normal 36 6" xfId="13142" xr:uid="{00000000-0005-0000-0000-0000BD340000}"/>
    <cellStyle name="Normal 36 6 2" xfId="13143" xr:uid="{00000000-0005-0000-0000-0000BE340000}"/>
    <cellStyle name="Normal 36 60" xfId="13144" xr:uid="{00000000-0005-0000-0000-0000BF340000}"/>
    <cellStyle name="Normal 36 61" xfId="13145" xr:uid="{00000000-0005-0000-0000-0000C0340000}"/>
    <cellStyle name="Normal 36 62" xfId="13146" xr:uid="{00000000-0005-0000-0000-0000C1340000}"/>
    <cellStyle name="Normal 36 63" xfId="13147" xr:uid="{00000000-0005-0000-0000-0000C2340000}"/>
    <cellStyle name="Normal 36 64" xfId="13148" xr:uid="{00000000-0005-0000-0000-0000C3340000}"/>
    <cellStyle name="Normal 36 65" xfId="13149" xr:uid="{00000000-0005-0000-0000-0000C4340000}"/>
    <cellStyle name="Normal 36 66" xfId="13150" xr:uid="{00000000-0005-0000-0000-0000C5340000}"/>
    <cellStyle name="Normal 36 67" xfId="13151" xr:uid="{00000000-0005-0000-0000-0000C6340000}"/>
    <cellStyle name="Normal 36 68" xfId="13152" xr:uid="{00000000-0005-0000-0000-0000C7340000}"/>
    <cellStyle name="Normal 36 69" xfId="13153" xr:uid="{00000000-0005-0000-0000-0000C8340000}"/>
    <cellStyle name="Normal 36 7" xfId="13154" xr:uid="{00000000-0005-0000-0000-0000C9340000}"/>
    <cellStyle name="Normal 36 7 2" xfId="13155" xr:uid="{00000000-0005-0000-0000-0000CA340000}"/>
    <cellStyle name="Normal 36 70" xfId="13156" xr:uid="{00000000-0005-0000-0000-0000CB340000}"/>
    <cellStyle name="Normal 36 8" xfId="13157" xr:uid="{00000000-0005-0000-0000-0000CC340000}"/>
    <cellStyle name="Normal 36 8 2" xfId="13158" xr:uid="{00000000-0005-0000-0000-0000CD340000}"/>
    <cellStyle name="Normal 36 9" xfId="13159" xr:uid="{00000000-0005-0000-0000-0000CE340000}"/>
    <cellStyle name="Normal 36 9 2" xfId="13160" xr:uid="{00000000-0005-0000-0000-0000CF340000}"/>
    <cellStyle name="Normal 37" xfId="13161" xr:uid="{00000000-0005-0000-0000-0000D0340000}"/>
    <cellStyle name="Normal 37 10" xfId="13162" xr:uid="{00000000-0005-0000-0000-0000D1340000}"/>
    <cellStyle name="Normal 37 10 2" xfId="13163" xr:uid="{00000000-0005-0000-0000-0000D2340000}"/>
    <cellStyle name="Normal 37 11" xfId="13164" xr:uid="{00000000-0005-0000-0000-0000D3340000}"/>
    <cellStyle name="Normal 37 11 2" xfId="13165" xr:uid="{00000000-0005-0000-0000-0000D4340000}"/>
    <cellStyle name="Normal 37 12" xfId="13166" xr:uid="{00000000-0005-0000-0000-0000D5340000}"/>
    <cellStyle name="Normal 37 12 2" xfId="13167" xr:uid="{00000000-0005-0000-0000-0000D6340000}"/>
    <cellStyle name="Normal 37 13" xfId="13168" xr:uid="{00000000-0005-0000-0000-0000D7340000}"/>
    <cellStyle name="Normal 37 13 2" xfId="13169" xr:uid="{00000000-0005-0000-0000-0000D8340000}"/>
    <cellStyle name="Normal 37 14" xfId="13170" xr:uid="{00000000-0005-0000-0000-0000D9340000}"/>
    <cellStyle name="Normal 37 14 2" xfId="13171" xr:uid="{00000000-0005-0000-0000-0000DA340000}"/>
    <cellStyle name="Normal 37 15" xfId="13172" xr:uid="{00000000-0005-0000-0000-0000DB340000}"/>
    <cellStyle name="Normal 37 15 2" xfId="13173" xr:uid="{00000000-0005-0000-0000-0000DC340000}"/>
    <cellStyle name="Normal 37 16" xfId="13174" xr:uid="{00000000-0005-0000-0000-0000DD340000}"/>
    <cellStyle name="Normal 37 16 2" xfId="13175" xr:uid="{00000000-0005-0000-0000-0000DE340000}"/>
    <cellStyle name="Normal 37 17" xfId="13176" xr:uid="{00000000-0005-0000-0000-0000DF340000}"/>
    <cellStyle name="Normal 37 17 2" xfId="13177" xr:uid="{00000000-0005-0000-0000-0000E0340000}"/>
    <cellStyle name="Normal 37 18" xfId="13178" xr:uid="{00000000-0005-0000-0000-0000E1340000}"/>
    <cellStyle name="Normal 37 18 2" xfId="13179" xr:uid="{00000000-0005-0000-0000-0000E2340000}"/>
    <cellStyle name="Normal 37 19" xfId="13180" xr:uid="{00000000-0005-0000-0000-0000E3340000}"/>
    <cellStyle name="Normal 37 19 2" xfId="13181" xr:uid="{00000000-0005-0000-0000-0000E4340000}"/>
    <cellStyle name="Normal 37 2" xfId="13182" xr:uid="{00000000-0005-0000-0000-0000E5340000}"/>
    <cellStyle name="Normal 37 2 2" xfId="13183" xr:uid="{00000000-0005-0000-0000-0000E6340000}"/>
    <cellStyle name="Normal 37 20" xfId="13184" xr:uid="{00000000-0005-0000-0000-0000E7340000}"/>
    <cellStyle name="Normal 37 20 2" xfId="13185" xr:uid="{00000000-0005-0000-0000-0000E8340000}"/>
    <cellStyle name="Normal 37 21" xfId="13186" xr:uid="{00000000-0005-0000-0000-0000E9340000}"/>
    <cellStyle name="Normal 37 21 2" xfId="13187" xr:uid="{00000000-0005-0000-0000-0000EA340000}"/>
    <cellStyle name="Normal 37 22" xfId="13188" xr:uid="{00000000-0005-0000-0000-0000EB340000}"/>
    <cellStyle name="Normal 37 22 2" xfId="13189" xr:uid="{00000000-0005-0000-0000-0000EC340000}"/>
    <cellStyle name="Normal 37 23" xfId="13190" xr:uid="{00000000-0005-0000-0000-0000ED340000}"/>
    <cellStyle name="Normal 37 24" xfId="13191" xr:uid="{00000000-0005-0000-0000-0000EE340000}"/>
    <cellStyle name="Normal 37 25" xfId="13192" xr:uid="{00000000-0005-0000-0000-0000EF340000}"/>
    <cellStyle name="Normal 37 26" xfId="13193" xr:uid="{00000000-0005-0000-0000-0000F0340000}"/>
    <cellStyle name="Normal 37 27" xfId="13194" xr:uid="{00000000-0005-0000-0000-0000F1340000}"/>
    <cellStyle name="Normal 37 28" xfId="13195" xr:uid="{00000000-0005-0000-0000-0000F2340000}"/>
    <cellStyle name="Normal 37 29" xfId="13196" xr:uid="{00000000-0005-0000-0000-0000F3340000}"/>
    <cellStyle name="Normal 37 3" xfId="13197" xr:uid="{00000000-0005-0000-0000-0000F4340000}"/>
    <cellStyle name="Normal 37 3 2" xfId="13198" xr:uid="{00000000-0005-0000-0000-0000F5340000}"/>
    <cellStyle name="Normal 37 30" xfId="13199" xr:uid="{00000000-0005-0000-0000-0000F6340000}"/>
    <cellStyle name="Normal 37 31" xfId="13200" xr:uid="{00000000-0005-0000-0000-0000F7340000}"/>
    <cellStyle name="Normal 37 32" xfId="13201" xr:uid="{00000000-0005-0000-0000-0000F8340000}"/>
    <cellStyle name="Normal 37 33" xfId="13202" xr:uid="{00000000-0005-0000-0000-0000F9340000}"/>
    <cellStyle name="Normal 37 34" xfId="13203" xr:uid="{00000000-0005-0000-0000-0000FA340000}"/>
    <cellStyle name="Normal 37 35" xfId="13204" xr:uid="{00000000-0005-0000-0000-0000FB340000}"/>
    <cellStyle name="Normal 37 36" xfId="13205" xr:uid="{00000000-0005-0000-0000-0000FC340000}"/>
    <cellStyle name="Normal 37 37" xfId="13206" xr:uid="{00000000-0005-0000-0000-0000FD340000}"/>
    <cellStyle name="Normal 37 38" xfId="13207" xr:uid="{00000000-0005-0000-0000-0000FE340000}"/>
    <cellStyle name="Normal 37 39" xfId="13208" xr:uid="{00000000-0005-0000-0000-0000FF340000}"/>
    <cellStyle name="Normal 37 4" xfId="13209" xr:uid="{00000000-0005-0000-0000-000000350000}"/>
    <cellStyle name="Normal 37 4 2" xfId="13210" xr:uid="{00000000-0005-0000-0000-000001350000}"/>
    <cellStyle name="Normal 37 40" xfId="13211" xr:uid="{00000000-0005-0000-0000-000002350000}"/>
    <cellStyle name="Normal 37 41" xfId="13212" xr:uid="{00000000-0005-0000-0000-000003350000}"/>
    <cellStyle name="Normal 37 42" xfId="13213" xr:uid="{00000000-0005-0000-0000-000004350000}"/>
    <cellStyle name="Normal 37 43" xfId="13214" xr:uid="{00000000-0005-0000-0000-000005350000}"/>
    <cellStyle name="Normal 37 44" xfId="13215" xr:uid="{00000000-0005-0000-0000-000006350000}"/>
    <cellStyle name="Normal 37 45" xfId="13216" xr:uid="{00000000-0005-0000-0000-000007350000}"/>
    <cellStyle name="Normal 37 46" xfId="13217" xr:uid="{00000000-0005-0000-0000-000008350000}"/>
    <cellStyle name="Normal 37 47" xfId="13218" xr:uid="{00000000-0005-0000-0000-000009350000}"/>
    <cellStyle name="Normal 37 48" xfId="13219" xr:uid="{00000000-0005-0000-0000-00000A350000}"/>
    <cellStyle name="Normal 37 49" xfId="13220" xr:uid="{00000000-0005-0000-0000-00000B350000}"/>
    <cellStyle name="Normal 37 5" xfId="13221" xr:uid="{00000000-0005-0000-0000-00000C350000}"/>
    <cellStyle name="Normal 37 5 2" xfId="13222" xr:uid="{00000000-0005-0000-0000-00000D350000}"/>
    <cellStyle name="Normal 37 50" xfId="13223" xr:uid="{00000000-0005-0000-0000-00000E350000}"/>
    <cellStyle name="Normal 37 51" xfId="13224" xr:uid="{00000000-0005-0000-0000-00000F350000}"/>
    <cellStyle name="Normal 37 52" xfId="13225" xr:uid="{00000000-0005-0000-0000-000010350000}"/>
    <cellStyle name="Normal 37 53" xfId="13226" xr:uid="{00000000-0005-0000-0000-000011350000}"/>
    <cellStyle name="Normal 37 54" xfId="13227" xr:uid="{00000000-0005-0000-0000-000012350000}"/>
    <cellStyle name="Normal 37 55" xfId="13228" xr:uid="{00000000-0005-0000-0000-000013350000}"/>
    <cellStyle name="Normal 37 56" xfId="13229" xr:uid="{00000000-0005-0000-0000-000014350000}"/>
    <cellStyle name="Normal 37 57" xfId="13230" xr:uid="{00000000-0005-0000-0000-000015350000}"/>
    <cellStyle name="Normal 37 58" xfId="13231" xr:uid="{00000000-0005-0000-0000-000016350000}"/>
    <cellStyle name="Normal 37 59" xfId="13232" xr:uid="{00000000-0005-0000-0000-000017350000}"/>
    <cellStyle name="Normal 37 6" xfId="13233" xr:uid="{00000000-0005-0000-0000-000018350000}"/>
    <cellStyle name="Normal 37 6 2" xfId="13234" xr:uid="{00000000-0005-0000-0000-000019350000}"/>
    <cellStyle name="Normal 37 60" xfId="13235" xr:uid="{00000000-0005-0000-0000-00001A350000}"/>
    <cellStyle name="Normal 37 61" xfId="13236" xr:uid="{00000000-0005-0000-0000-00001B350000}"/>
    <cellStyle name="Normal 37 62" xfId="13237" xr:uid="{00000000-0005-0000-0000-00001C350000}"/>
    <cellStyle name="Normal 37 63" xfId="13238" xr:uid="{00000000-0005-0000-0000-00001D350000}"/>
    <cellStyle name="Normal 37 64" xfId="13239" xr:uid="{00000000-0005-0000-0000-00001E350000}"/>
    <cellStyle name="Normal 37 65" xfId="13240" xr:uid="{00000000-0005-0000-0000-00001F350000}"/>
    <cellStyle name="Normal 37 66" xfId="13241" xr:uid="{00000000-0005-0000-0000-000020350000}"/>
    <cellStyle name="Normal 37 67" xfId="13242" xr:uid="{00000000-0005-0000-0000-000021350000}"/>
    <cellStyle name="Normal 37 68" xfId="13243" xr:uid="{00000000-0005-0000-0000-000022350000}"/>
    <cellStyle name="Normal 37 69" xfId="13244" xr:uid="{00000000-0005-0000-0000-000023350000}"/>
    <cellStyle name="Normal 37 7" xfId="13245" xr:uid="{00000000-0005-0000-0000-000024350000}"/>
    <cellStyle name="Normal 37 7 2" xfId="13246" xr:uid="{00000000-0005-0000-0000-000025350000}"/>
    <cellStyle name="Normal 37 70" xfId="13247" xr:uid="{00000000-0005-0000-0000-000026350000}"/>
    <cellStyle name="Normal 37 8" xfId="13248" xr:uid="{00000000-0005-0000-0000-000027350000}"/>
    <cellStyle name="Normal 37 8 2" xfId="13249" xr:uid="{00000000-0005-0000-0000-000028350000}"/>
    <cellStyle name="Normal 37 9" xfId="13250" xr:uid="{00000000-0005-0000-0000-000029350000}"/>
    <cellStyle name="Normal 37 9 2" xfId="13251" xr:uid="{00000000-0005-0000-0000-00002A350000}"/>
    <cellStyle name="Normal 38" xfId="13252" xr:uid="{00000000-0005-0000-0000-00002B350000}"/>
    <cellStyle name="Normal 38 10" xfId="13253" xr:uid="{00000000-0005-0000-0000-00002C350000}"/>
    <cellStyle name="Normal 38 10 2" xfId="13254" xr:uid="{00000000-0005-0000-0000-00002D350000}"/>
    <cellStyle name="Normal 38 11" xfId="13255" xr:uid="{00000000-0005-0000-0000-00002E350000}"/>
    <cellStyle name="Normal 38 11 2" xfId="13256" xr:uid="{00000000-0005-0000-0000-00002F350000}"/>
    <cellStyle name="Normal 38 12" xfId="13257" xr:uid="{00000000-0005-0000-0000-000030350000}"/>
    <cellStyle name="Normal 38 12 2" xfId="13258" xr:uid="{00000000-0005-0000-0000-000031350000}"/>
    <cellStyle name="Normal 38 13" xfId="13259" xr:uid="{00000000-0005-0000-0000-000032350000}"/>
    <cellStyle name="Normal 38 13 2" xfId="13260" xr:uid="{00000000-0005-0000-0000-000033350000}"/>
    <cellStyle name="Normal 38 14" xfId="13261" xr:uid="{00000000-0005-0000-0000-000034350000}"/>
    <cellStyle name="Normal 38 14 2" xfId="13262" xr:uid="{00000000-0005-0000-0000-000035350000}"/>
    <cellStyle name="Normal 38 15" xfId="13263" xr:uid="{00000000-0005-0000-0000-000036350000}"/>
    <cellStyle name="Normal 38 15 2" xfId="13264" xr:uid="{00000000-0005-0000-0000-000037350000}"/>
    <cellStyle name="Normal 38 16" xfId="13265" xr:uid="{00000000-0005-0000-0000-000038350000}"/>
    <cellStyle name="Normal 38 16 2" xfId="13266" xr:uid="{00000000-0005-0000-0000-000039350000}"/>
    <cellStyle name="Normal 38 17" xfId="13267" xr:uid="{00000000-0005-0000-0000-00003A350000}"/>
    <cellStyle name="Normal 38 17 2" xfId="13268" xr:uid="{00000000-0005-0000-0000-00003B350000}"/>
    <cellStyle name="Normal 38 18" xfId="13269" xr:uid="{00000000-0005-0000-0000-00003C350000}"/>
    <cellStyle name="Normal 38 18 2" xfId="13270" xr:uid="{00000000-0005-0000-0000-00003D350000}"/>
    <cellStyle name="Normal 38 19" xfId="13271" xr:uid="{00000000-0005-0000-0000-00003E350000}"/>
    <cellStyle name="Normal 38 19 2" xfId="13272" xr:uid="{00000000-0005-0000-0000-00003F350000}"/>
    <cellStyle name="Normal 38 2" xfId="13273" xr:uid="{00000000-0005-0000-0000-000040350000}"/>
    <cellStyle name="Normal 38 2 2" xfId="13274" xr:uid="{00000000-0005-0000-0000-000041350000}"/>
    <cellStyle name="Normal 38 20" xfId="13275" xr:uid="{00000000-0005-0000-0000-000042350000}"/>
    <cellStyle name="Normal 38 20 2" xfId="13276" xr:uid="{00000000-0005-0000-0000-000043350000}"/>
    <cellStyle name="Normal 38 21" xfId="13277" xr:uid="{00000000-0005-0000-0000-000044350000}"/>
    <cellStyle name="Normal 38 21 2" xfId="13278" xr:uid="{00000000-0005-0000-0000-000045350000}"/>
    <cellStyle name="Normal 38 22" xfId="13279" xr:uid="{00000000-0005-0000-0000-000046350000}"/>
    <cellStyle name="Normal 38 22 2" xfId="13280" xr:uid="{00000000-0005-0000-0000-000047350000}"/>
    <cellStyle name="Normal 38 23" xfId="13281" xr:uid="{00000000-0005-0000-0000-000048350000}"/>
    <cellStyle name="Normal 38 24" xfId="13282" xr:uid="{00000000-0005-0000-0000-000049350000}"/>
    <cellStyle name="Normal 38 25" xfId="13283" xr:uid="{00000000-0005-0000-0000-00004A350000}"/>
    <cellStyle name="Normal 38 26" xfId="13284" xr:uid="{00000000-0005-0000-0000-00004B350000}"/>
    <cellStyle name="Normal 38 27" xfId="13285" xr:uid="{00000000-0005-0000-0000-00004C350000}"/>
    <cellStyle name="Normal 38 28" xfId="13286" xr:uid="{00000000-0005-0000-0000-00004D350000}"/>
    <cellStyle name="Normal 38 29" xfId="13287" xr:uid="{00000000-0005-0000-0000-00004E350000}"/>
    <cellStyle name="Normal 38 3" xfId="13288" xr:uid="{00000000-0005-0000-0000-00004F350000}"/>
    <cellStyle name="Normal 38 3 2" xfId="13289" xr:uid="{00000000-0005-0000-0000-000050350000}"/>
    <cellStyle name="Normal 38 30" xfId="13290" xr:uid="{00000000-0005-0000-0000-000051350000}"/>
    <cellStyle name="Normal 38 31" xfId="13291" xr:uid="{00000000-0005-0000-0000-000052350000}"/>
    <cellStyle name="Normal 38 32" xfId="13292" xr:uid="{00000000-0005-0000-0000-000053350000}"/>
    <cellStyle name="Normal 38 33" xfId="13293" xr:uid="{00000000-0005-0000-0000-000054350000}"/>
    <cellStyle name="Normal 38 34" xfId="13294" xr:uid="{00000000-0005-0000-0000-000055350000}"/>
    <cellStyle name="Normal 38 35" xfId="13295" xr:uid="{00000000-0005-0000-0000-000056350000}"/>
    <cellStyle name="Normal 38 36" xfId="13296" xr:uid="{00000000-0005-0000-0000-000057350000}"/>
    <cellStyle name="Normal 38 37" xfId="13297" xr:uid="{00000000-0005-0000-0000-000058350000}"/>
    <cellStyle name="Normal 38 38" xfId="13298" xr:uid="{00000000-0005-0000-0000-000059350000}"/>
    <cellStyle name="Normal 38 39" xfId="13299" xr:uid="{00000000-0005-0000-0000-00005A350000}"/>
    <cellStyle name="Normal 38 4" xfId="13300" xr:uid="{00000000-0005-0000-0000-00005B350000}"/>
    <cellStyle name="Normal 38 4 2" xfId="13301" xr:uid="{00000000-0005-0000-0000-00005C350000}"/>
    <cellStyle name="Normal 38 40" xfId="13302" xr:uid="{00000000-0005-0000-0000-00005D350000}"/>
    <cellStyle name="Normal 38 41" xfId="13303" xr:uid="{00000000-0005-0000-0000-00005E350000}"/>
    <cellStyle name="Normal 38 42" xfId="13304" xr:uid="{00000000-0005-0000-0000-00005F350000}"/>
    <cellStyle name="Normal 38 43" xfId="13305" xr:uid="{00000000-0005-0000-0000-000060350000}"/>
    <cellStyle name="Normal 38 44" xfId="13306" xr:uid="{00000000-0005-0000-0000-000061350000}"/>
    <cellStyle name="Normal 38 45" xfId="13307" xr:uid="{00000000-0005-0000-0000-000062350000}"/>
    <cellStyle name="Normal 38 46" xfId="13308" xr:uid="{00000000-0005-0000-0000-000063350000}"/>
    <cellStyle name="Normal 38 47" xfId="13309" xr:uid="{00000000-0005-0000-0000-000064350000}"/>
    <cellStyle name="Normal 38 48" xfId="13310" xr:uid="{00000000-0005-0000-0000-000065350000}"/>
    <cellStyle name="Normal 38 49" xfId="13311" xr:uid="{00000000-0005-0000-0000-000066350000}"/>
    <cellStyle name="Normal 38 5" xfId="13312" xr:uid="{00000000-0005-0000-0000-000067350000}"/>
    <cellStyle name="Normal 38 5 2" xfId="13313" xr:uid="{00000000-0005-0000-0000-000068350000}"/>
    <cellStyle name="Normal 38 50" xfId="13314" xr:uid="{00000000-0005-0000-0000-000069350000}"/>
    <cellStyle name="Normal 38 51" xfId="13315" xr:uid="{00000000-0005-0000-0000-00006A350000}"/>
    <cellStyle name="Normal 38 52" xfId="13316" xr:uid="{00000000-0005-0000-0000-00006B350000}"/>
    <cellStyle name="Normal 38 53" xfId="13317" xr:uid="{00000000-0005-0000-0000-00006C350000}"/>
    <cellStyle name="Normal 38 54" xfId="13318" xr:uid="{00000000-0005-0000-0000-00006D350000}"/>
    <cellStyle name="Normal 38 55" xfId="13319" xr:uid="{00000000-0005-0000-0000-00006E350000}"/>
    <cellStyle name="Normal 38 56" xfId="13320" xr:uid="{00000000-0005-0000-0000-00006F350000}"/>
    <cellStyle name="Normal 38 57" xfId="13321" xr:uid="{00000000-0005-0000-0000-000070350000}"/>
    <cellStyle name="Normal 38 58" xfId="13322" xr:uid="{00000000-0005-0000-0000-000071350000}"/>
    <cellStyle name="Normal 38 59" xfId="13323" xr:uid="{00000000-0005-0000-0000-000072350000}"/>
    <cellStyle name="Normal 38 6" xfId="13324" xr:uid="{00000000-0005-0000-0000-000073350000}"/>
    <cellStyle name="Normal 38 6 2" xfId="13325" xr:uid="{00000000-0005-0000-0000-000074350000}"/>
    <cellStyle name="Normal 38 60" xfId="13326" xr:uid="{00000000-0005-0000-0000-000075350000}"/>
    <cellStyle name="Normal 38 61" xfId="13327" xr:uid="{00000000-0005-0000-0000-000076350000}"/>
    <cellStyle name="Normal 38 62" xfId="13328" xr:uid="{00000000-0005-0000-0000-000077350000}"/>
    <cellStyle name="Normal 38 63" xfId="13329" xr:uid="{00000000-0005-0000-0000-000078350000}"/>
    <cellStyle name="Normal 38 64" xfId="13330" xr:uid="{00000000-0005-0000-0000-000079350000}"/>
    <cellStyle name="Normal 38 65" xfId="13331" xr:uid="{00000000-0005-0000-0000-00007A350000}"/>
    <cellStyle name="Normal 38 66" xfId="13332" xr:uid="{00000000-0005-0000-0000-00007B350000}"/>
    <cellStyle name="Normal 38 67" xfId="13333" xr:uid="{00000000-0005-0000-0000-00007C350000}"/>
    <cellStyle name="Normal 38 68" xfId="13334" xr:uid="{00000000-0005-0000-0000-00007D350000}"/>
    <cellStyle name="Normal 38 69" xfId="13335" xr:uid="{00000000-0005-0000-0000-00007E350000}"/>
    <cellStyle name="Normal 38 7" xfId="13336" xr:uid="{00000000-0005-0000-0000-00007F350000}"/>
    <cellStyle name="Normal 38 7 2" xfId="13337" xr:uid="{00000000-0005-0000-0000-000080350000}"/>
    <cellStyle name="Normal 38 70" xfId="13338" xr:uid="{00000000-0005-0000-0000-000081350000}"/>
    <cellStyle name="Normal 38 8" xfId="13339" xr:uid="{00000000-0005-0000-0000-000082350000}"/>
    <cellStyle name="Normal 38 8 2" xfId="13340" xr:uid="{00000000-0005-0000-0000-000083350000}"/>
    <cellStyle name="Normal 38 9" xfId="13341" xr:uid="{00000000-0005-0000-0000-000084350000}"/>
    <cellStyle name="Normal 38 9 2" xfId="13342" xr:uid="{00000000-0005-0000-0000-000085350000}"/>
    <cellStyle name="Normal 39" xfId="13343" xr:uid="{00000000-0005-0000-0000-000086350000}"/>
    <cellStyle name="Normal 39 10" xfId="13344" xr:uid="{00000000-0005-0000-0000-000087350000}"/>
    <cellStyle name="Normal 39 10 2" xfId="13345" xr:uid="{00000000-0005-0000-0000-000088350000}"/>
    <cellStyle name="Normal 39 11" xfId="13346" xr:uid="{00000000-0005-0000-0000-000089350000}"/>
    <cellStyle name="Normal 39 11 2" xfId="13347" xr:uid="{00000000-0005-0000-0000-00008A350000}"/>
    <cellStyle name="Normal 39 12" xfId="13348" xr:uid="{00000000-0005-0000-0000-00008B350000}"/>
    <cellStyle name="Normal 39 12 2" xfId="13349" xr:uid="{00000000-0005-0000-0000-00008C350000}"/>
    <cellStyle name="Normal 39 13" xfId="13350" xr:uid="{00000000-0005-0000-0000-00008D350000}"/>
    <cellStyle name="Normal 39 13 2" xfId="13351" xr:uid="{00000000-0005-0000-0000-00008E350000}"/>
    <cellStyle name="Normal 39 14" xfId="13352" xr:uid="{00000000-0005-0000-0000-00008F350000}"/>
    <cellStyle name="Normal 39 14 2" xfId="13353" xr:uid="{00000000-0005-0000-0000-000090350000}"/>
    <cellStyle name="Normal 39 15" xfId="13354" xr:uid="{00000000-0005-0000-0000-000091350000}"/>
    <cellStyle name="Normal 39 15 2" xfId="13355" xr:uid="{00000000-0005-0000-0000-000092350000}"/>
    <cellStyle name="Normal 39 16" xfId="13356" xr:uid="{00000000-0005-0000-0000-000093350000}"/>
    <cellStyle name="Normal 39 16 2" xfId="13357" xr:uid="{00000000-0005-0000-0000-000094350000}"/>
    <cellStyle name="Normal 39 17" xfId="13358" xr:uid="{00000000-0005-0000-0000-000095350000}"/>
    <cellStyle name="Normal 39 17 2" xfId="13359" xr:uid="{00000000-0005-0000-0000-000096350000}"/>
    <cellStyle name="Normal 39 18" xfId="13360" xr:uid="{00000000-0005-0000-0000-000097350000}"/>
    <cellStyle name="Normal 39 18 2" xfId="13361" xr:uid="{00000000-0005-0000-0000-000098350000}"/>
    <cellStyle name="Normal 39 19" xfId="13362" xr:uid="{00000000-0005-0000-0000-000099350000}"/>
    <cellStyle name="Normal 39 19 2" xfId="13363" xr:uid="{00000000-0005-0000-0000-00009A350000}"/>
    <cellStyle name="Normal 39 2" xfId="13364" xr:uid="{00000000-0005-0000-0000-00009B350000}"/>
    <cellStyle name="Normal 39 2 2" xfId="13365" xr:uid="{00000000-0005-0000-0000-00009C350000}"/>
    <cellStyle name="Normal 39 20" xfId="13366" xr:uid="{00000000-0005-0000-0000-00009D350000}"/>
    <cellStyle name="Normal 39 20 2" xfId="13367" xr:uid="{00000000-0005-0000-0000-00009E350000}"/>
    <cellStyle name="Normal 39 21" xfId="13368" xr:uid="{00000000-0005-0000-0000-00009F350000}"/>
    <cellStyle name="Normal 39 21 2" xfId="13369" xr:uid="{00000000-0005-0000-0000-0000A0350000}"/>
    <cellStyle name="Normal 39 22" xfId="13370" xr:uid="{00000000-0005-0000-0000-0000A1350000}"/>
    <cellStyle name="Normal 39 22 2" xfId="13371" xr:uid="{00000000-0005-0000-0000-0000A2350000}"/>
    <cellStyle name="Normal 39 23" xfId="13372" xr:uid="{00000000-0005-0000-0000-0000A3350000}"/>
    <cellStyle name="Normal 39 24" xfId="13373" xr:uid="{00000000-0005-0000-0000-0000A4350000}"/>
    <cellStyle name="Normal 39 25" xfId="13374" xr:uid="{00000000-0005-0000-0000-0000A5350000}"/>
    <cellStyle name="Normal 39 26" xfId="13375" xr:uid="{00000000-0005-0000-0000-0000A6350000}"/>
    <cellStyle name="Normal 39 27" xfId="13376" xr:uid="{00000000-0005-0000-0000-0000A7350000}"/>
    <cellStyle name="Normal 39 28" xfId="13377" xr:uid="{00000000-0005-0000-0000-0000A8350000}"/>
    <cellStyle name="Normal 39 29" xfId="13378" xr:uid="{00000000-0005-0000-0000-0000A9350000}"/>
    <cellStyle name="Normal 39 3" xfId="13379" xr:uid="{00000000-0005-0000-0000-0000AA350000}"/>
    <cellStyle name="Normal 39 3 2" xfId="13380" xr:uid="{00000000-0005-0000-0000-0000AB350000}"/>
    <cellStyle name="Normal 39 30" xfId="13381" xr:uid="{00000000-0005-0000-0000-0000AC350000}"/>
    <cellStyle name="Normal 39 31" xfId="13382" xr:uid="{00000000-0005-0000-0000-0000AD350000}"/>
    <cellStyle name="Normal 39 32" xfId="13383" xr:uid="{00000000-0005-0000-0000-0000AE350000}"/>
    <cellStyle name="Normal 39 33" xfId="13384" xr:uid="{00000000-0005-0000-0000-0000AF350000}"/>
    <cellStyle name="Normal 39 34" xfId="13385" xr:uid="{00000000-0005-0000-0000-0000B0350000}"/>
    <cellStyle name="Normal 39 35" xfId="13386" xr:uid="{00000000-0005-0000-0000-0000B1350000}"/>
    <cellStyle name="Normal 39 36" xfId="13387" xr:uid="{00000000-0005-0000-0000-0000B2350000}"/>
    <cellStyle name="Normal 39 37" xfId="13388" xr:uid="{00000000-0005-0000-0000-0000B3350000}"/>
    <cellStyle name="Normal 39 38" xfId="13389" xr:uid="{00000000-0005-0000-0000-0000B4350000}"/>
    <cellStyle name="Normal 39 39" xfId="13390" xr:uid="{00000000-0005-0000-0000-0000B5350000}"/>
    <cellStyle name="Normal 39 4" xfId="13391" xr:uid="{00000000-0005-0000-0000-0000B6350000}"/>
    <cellStyle name="Normal 39 4 2" xfId="13392" xr:uid="{00000000-0005-0000-0000-0000B7350000}"/>
    <cellStyle name="Normal 39 40" xfId="13393" xr:uid="{00000000-0005-0000-0000-0000B8350000}"/>
    <cellStyle name="Normal 39 41" xfId="13394" xr:uid="{00000000-0005-0000-0000-0000B9350000}"/>
    <cellStyle name="Normal 39 42" xfId="13395" xr:uid="{00000000-0005-0000-0000-0000BA350000}"/>
    <cellStyle name="Normal 39 43" xfId="13396" xr:uid="{00000000-0005-0000-0000-0000BB350000}"/>
    <cellStyle name="Normal 39 44" xfId="13397" xr:uid="{00000000-0005-0000-0000-0000BC350000}"/>
    <cellStyle name="Normal 39 45" xfId="13398" xr:uid="{00000000-0005-0000-0000-0000BD350000}"/>
    <cellStyle name="Normal 39 46" xfId="13399" xr:uid="{00000000-0005-0000-0000-0000BE350000}"/>
    <cellStyle name="Normal 39 47" xfId="13400" xr:uid="{00000000-0005-0000-0000-0000BF350000}"/>
    <cellStyle name="Normal 39 48" xfId="13401" xr:uid="{00000000-0005-0000-0000-0000C0350000}"/>
    <cellStyle name="Normal 39 49" xfId="13402" xr:uid="{00000000-0005-0000-0000-0000C1350000}"/>
    <cellStyle name="Normal 39 5" xfId="13403" xr:uid="{00000000-0005-0000-0000-0000C2350000}"/>
    <cellStyle name="Normal 39 5 2" xfId="13404" xr:uid="{00000000-0005-0000-0000-0000C3350000}"/>
    <cellStyle name="Normal 39 50" xfId="13405" xr:uid="{00000000-0005-0000-0000-0000C4350000}"/>
    <cellStyle name="Normal 39 51" xfId="13406" xr:uid="{00000000-0005-0000-0000-0000C5350000}"/>
    <cellStyle name="Normal 39 52" xfId="13407" xr:uid="{00000000-0005-0000-0000-0000C6350000}"/>
    <cellStyle name="Normal 39 53" xfId="13408" xr:uid="{00000000-0005-0000-0000-0000C7350000}"/>
    <cellStyle name="Normal 39 54" xfId="13409" xr:uid="{00000000-0005-0000-0000-0000C8350000}"/>
    <cellStyle name="Normal 39 55" xfId="13410" xr:uid="{00000000-0005-0000-0000-0000C9350000}"/>
    <cellStyle name="Normal 39 56" xfId="13411" xr:uid="{00000000-0005-0000-0000-0000CA350000}"/>
    <cellStyle name="Normal 39 57" xfId="13412" xr:uid="{00000000-0005-0000-0000-0000CB350000}"/>
    <cellStyle name="Normal 39 58" xfId="13413" xr:uid="{00000000-0005-0000-0000-0000CC350000}"/>
    <cellStyle name="Normal 39 59" xfId="13414" xr:uid="{00000000-0005-0000-0000-0000CD350000}"/>
    <cellStyle name="Normal 39 6" xfId="13415" xr:uid="{00000000-0005-0000-0000-0000CE350000}"/>
    <cellStyle name="Normal 39 6 2" xfId="13416" xr:uid="{00000000-0005-0000-0000-0000CF350000}"/>
    <cellStyle name="Normal 39 60" xfId="13417" xr:uid="{00000000-0005-0000-0000-0000D0350000}"/>
    <cellStyle name="Normal 39 61" xfId="13418" xr:uid="{00000000-0005-0000-0000-0000D1350000}"/>
    <cellStyle name="Normal 39 62" xfId="13419" xr:uid="{00000000-0005-0000-0000-0000D2350000}"/>
    <cellStyle name="Normal 39 63" xfId="13420" xr:uid="{00000000-0005-0000-0000-0000D3350000}"/>
    <cellStyle name="Normal 39 64" xfId="13421" xr:uid="{00000000-0005-0000-0000-0000D4350000}"/>
    <cellStyle name="Normal 39 65" xfId="13422" xr:uid="{00000000-0005-0000-0000-0000D5350000}"/>
    <cellStyle name="Normal 39 66" xfId="13423" xr:uid="{00000000-0005-0000-0000-0000D6350000}"/>
    <cellStyle name="Normal 39 67" xfId="13424" xr:uid="{00000000-0005-0000-0000-0000D7350000}"/>
    <cellStyle name="Normal 39 68" xfId="13425" xr:uid="{00000000-0005-0000-0000-0000D8350000}"/>
    <cellStyle name="Normal 39 69" xfId="13426" xr:uid="{00000000-0005-0000-0000-0000D9350000}"/>
    <cellStyle name="Normal 39 7" xfId="13427" xr:uid="{00000000-0005-0000-0000-0000DA350000}"/>
    <cellStyle name="Normal 39 7 2" xfId="13428" xr:uid="{00000000-0005-0000-0000-0000DB350000}"/>
    <cellStyle name="Normal 39 70" xfId="13429" xr:uid="{00000000-0005-0000-0000-0000DC350000}"/>
    <cellStyle name="Normal 39 8" xfId="13430" xr:uid="{00000000-0005-0000-0000-0000DD350000}"/>
    <cellStyle name="Normal 39 8 2" xfId="13431" xr:uid="{00000000-0005-0000-0000-0000DE350000}"/>
    <cellStyle name="Normal 39 9" xfId="13432" xr:uid="{00000000-0005-0000-0000-0000DF350000}"/>
    <cellStyle name="Normal 39 9 2" xfId="13433" xr:uid="{00000000-0005-0000-0000-0000E0350000}"/>
    <cellStyle name="Normal 4" xfId="13434" xr:uid="{00000000-0005-0000-0000-0000E1350000}"/>
    <cellStyle name="Normal 4 10" xfId="13435" xr:uid="{00000000-0005-0000-0000-0000E2350000}"/>
    <cellStyle name="Normal 4 11" xfId="13436" xr:uid="{00000000-0005-0000-0000-0000E3350000}"/>
    <cellStyle name="Normal 4 12" xfId="13437" xr:uid="{00000000-0005-0000-0000-0000E4350000}"/>
    <cellStyle name="Normal 4 13" xfId="13438" xr:uid="{00000000-0005-0000-0000-0000E5350000}"/>
    <cellStyle name="Normal 4 14" xfId="13439" xr:uid="{00000000-0005-0000-0000-0000E6350000}"/>
    <cellStyle name="Normal 4 15" xfId="13440" xr:uid="{00000000-0005-0000-0000-0000E7350000}"/>
    <cellStyle name="Normal 4 16" xfId="13441" xr:uid="{00000000-0005-0000-0000-0000E8350000}"/>
    <cellStyle name="Normal 4 17" xfId="13442" xr:uid="{00000000-0005-0000-0000-0000E9350000}"/>
    <cellStyle name="Normal 4 18" xfId="13443" xr:uid="{00000000-0005-0000-0000-0000EA350000}"/>
    <cellStyle name="Normal 4 19" xfId="13444" xr:uid="{00000000-0005-0000-0000-0000EB350000}"/>
    <cellStyle name="Normal 4 2" xfId="13445" xr:uid="{00000000-0005-0000-0000-0000EC350000}"/>
    <cellStyle name="Normal 4 2 10" xfId="13446" xr:uid="{00000000-0005-0000-0000-0000ED350000}"/>
    <cellStyle name="Normal 4 2 11" xfId="13447" xr:uid="{00000000-0005-0000-0000-0000EE350000}"/>
    <cellStyle name="Normal 4 2 12" xfId="13448" xr:uid="{00000000-0005-0000-0000-0000EF350000}"/>
    <cellStyle name="Normal 4 2 13" xfId="13449" xr:uid="{00000000-0005-0000-0000-0000F0350000}"/>
    <cellStyle name="Normal 4 2 14" xfId="13450" xr:uid="{00000000-0005-0000-0000-0000F1350000}"/>
    <cellStyle name="Normal 4 2 15" xfId="13451" xr:uid="{00000000-0005-0000-0000-0000F2350000}"/>
    <cellStyle name="Normal 4 2 16" xfId="13452" xr:uid="{00000000-0005-0000-0000-0000F3350000}"/>
    <cellStyle name="Normal 4 2 17" xfId="13453" xr:uid="{00000000-0005-0000-0000-0000F4350000}"/>
    <cellStyle name="Normal 4 2 18" xfId="13454" xr:uid="{00000000-0005-0000-0000-0000F5350000}"/>
    <cellStyle name="Normal 4 2 19" xfId="13455" xr:uid="{00000000-0005-0000-0000-0000F6350000}"/>
    <cellStyle name="Normal 4 2 2" xfId="13456" xr:uid="{00000000-0005-0000-0000-0000F7350000}"/>
    <cellStyle name="Normal 4 2 2 10" xfId="13457" xr:uid="{00000000-0005-0000-0000-0000F8350000}"/>
    <cellStyle name="Normal 4 2 2 11" xfId="13458" xr:uid="{00000000-0005-0000-0000-0000F9350000}"/>
    <cellStyle name="Normal 4 2 2 12" xfId="13459" xr:uid="{00000000-0005-0000-0000-0000FA350000}"/>
    <cellStyle name="Normal 4 2 2 13" xfId="13460" xr:uid="{00000000-0005-0000-0000-0000FB350000}"/>
    <cellStyle name="Normal 4 2 2 14" xfId="13461" xr:uid="{00000000-0005-0000-0000-0000FC350000}"/>
    <cellStyle name="Normal 4 2 2 15" xfId="13462" xr:uid="{00000000-0005-0000-0000-0000FD350000}"/>
    <cellStyle name="Normal 4 2 2 16" xfId="13463" xr:uid="{00000000-0005-0000-0000-0000FE350000}"/>
    <cellStyle name="Normal 4 2 2 17" xfId="13464" xr:uid="{00000000-0005-0000-0000-0000FF350000}"/>
    <cellStyle name="Normal 4 2 2 18" xfId="13465" xr:uid="{00000000-0005-0000-0000-000000360000}"/>
    <cellStyle name="Normal 4 2 2 19" xfId="13466" xr:uid="{00000000-0005-0000-0000-000001360000}"/>
    <cellStyle name="Normal 4 2 2 2" xfId="13467" xr:uid="{00000000-0005-0000-0000-000002360000}"/>
    <cellStyle name="Normal 4 2 2 2 10" xfId="13468" xr:uid="{00000000-0005-0000-0000-000003360000}"/>
    <cellStyle name="Normal 4 2 2 2 11" xfId="13469" xr:uid="{00000000-0005-0000-0000-000004360000}"/>
    <cellStyle name="Normal 4 2 2 2 12" xfId="13470" xr:uid="{00000000-0005-0000-0000-000005360000}"/>
    <cellStyle name="Normal 4 2 2 2 13" xfId="13471" xr:uid="{00000000-0005-0000-0000-000006360000}"/>
    <cellStyle name="Normal 4 2 2 2 14" xfId="13472" xr:uid="{00000000-0005-0000-0000-000007360000}"/>
    <cellStyle name="Normal 4 2 2 2 15" xfId="13473" xr:uid="{00000000-0005-0000-0000-000008360000}"/>
    <cellStyle name="Normal 4 2 2 2 16" xfId="13474" xr:uid="{00000000-0005-0000-0000-000009360000}"/>
    <cellStyle name="Normal 4 2 2 2 17" xfId="13475" xr:uid="{00000000-0005-0000-0000-00000A360000}"/>
    <cellStyle name="Normal 4 2 2 2 18" xfId="13476" xr:uid="{00000000-0005-0000-0000-00000B360000}"/>
    <cellStyle name="Normal 4 2 2 2 19" xfId="13477" xr:uid="{00000000-0005-0000-0000-00000C360000}"/>
    <cellStyle name="Normal 4 2 2 2 2" xfId="13478" xr:uid="{00000000-0005-0000-0000-00000D360000}"/>
    <cellStyle name="Normal 4 2 2 2 2 10" xfId="13479" xr:uid="{00000000-0005-0000-0000-00000E360000}"/>
    <cellStyle name="Normal 4 2 2 2 2 11" xfId="13480" xr:uid="{00000000-0005-0000-0000-00000F360000}"/>
    <cellStyle name="Normal 4 2 2 2 2 12" xfId="13481" xr:uid="{00000000-0005-0000-0000-000010360000}"/>
    <cellStyle name="Normal 4 2 2 2 2 13" xfId="13482" xr:uid="{00000000-0005-0000-0000-000011360000}"/>
    <cellStyle name="Normal 4 2 2 2 2 14" xfId="13483" xr:uid="{00000000-0005-0000-0000-000012360000}"/>
    <cellStyle name="Normal 4 2 2 2 2 15" xfId="13484" xr:uid="{00000000-0005-0000-0000-000013360000}"/>
    <cellStyle name="Normal 4 2 2 2 2 16" xfId="13485" xr:uid="{00000000-0005-0000-0000-000014360000}"/>
    <cellStyle name="Normal 4 2 2 2 2 17" xfId="13486" xr:uid="{00000000-0005-0000-0000-000015360000}"/>
    <cellStyle name="Normal 4 2 2 2 2 18" xfId="13487" xr:uid="{00000000-0005-0000-0000-000016360000}"/>
    <cellStyle name="Normal 4 2 2 2 2 19" xfId="13488" xr:uid="{00000000-0005-0000-0000-000017360000}"/>
    <cellStyle name="Normal 4 2 2 2 2 2" xfId="13489" xr:uid="{00000000-0005-0000-0000-000018360000}"/>
    <cellStyle name="Normal 4 2 2 2 2 2 10" xfId="13490" xr:uid="{00000000-0005-0000-0000-000019360000}"/>
    <cellStyle name="Normal 4 2 2 2 2 2 11" xfId="13491" xr:uid="{00000000-0005-0000-0000-00001A360000}"/>
    <cellStyle name="Normal 4 2 2 2 2 2 12" xfId="13492" xr:uid="{00000000-0005-0000-0000-00001B360000}"/>
    <cellStyle name="Normal 4 2 2 2 2 2 13" xfId="13493" xr:uid="{00000000-0005-0000-0000-00001C360000}"/>
    <cellStyle name="Normal 4 2 2 2 2 2 14" xfId="13494" xr:uid="{00000000-0005-0000-0000-00001D360000}"/>
    <cellStyle name="Normal 4 2 2 2 2 2 15" xfId="13495" xr:uid="{00000000-0005-0000-0000-00001E360000}"/>
    <cellStyle name="Normal 4 2 2 2 2 2 16" xfId="13496" xr:uid="{00000000-0005-0000-0000-00001F360000}"/>
    <cellStyle name="Normal 4 2 2 2 2 2 17" xfId="13497" xr:uid="{00000000-0005-0000-0000-000020360000}"/>
    <cellStyle name="Normal 4 2 2 2 2 2 18" xfId="13498" xr:uid="{00000000-0005-0000-0000-000021360000}"/>
    <cellStyle name="Normal 4 2 2 2 2 2 2" xfId="13499" xr:uid="{00000000-0005-0000-0000-000022360000}"/>
    <cellStyle name="Normal 4 2 2 2 2 2 3" xfId="13500" xr:uid="{00000000-0005-0000-0000-000023360000}"/>
    <cellStyle name="Normal 4 2 2 2 2 2 4" xfId="13501" xr:uid="{00000000-0005-0000-0000-000024360000}"/>
    <cellStyle name="Normal 4 2 2 2 2 2 5" xfId="13502" xr:uid="{00000000-0005-0000-0000-000025360000}"/>
    <cellStyle name="Normal 4 2 2 2 2 2 6" xfId="13503" xr:uid="{00000000-0005-0000-0000-000026360000}"/>
    <cellStyle name="Normal 4 2 2 2 2 2 7" xfId="13504" xr:uid="{00000000-0005-0000-0000-000027360000}"/>
    <cellStyle name="Normal 4 2 2 2 2 2 8" xfId="13505" xr:uid="{00000000-0005-0000-0000-000028360000}"/>
    <cellStyle name="Normal 4 2 2 2 2 2 9" xfId="13506" xr:uid="{00000000-0005-0000-0000-000029360000}"/>
    <cellStyle name="Normal 4 2 2 2 2 3" xfId="13507" xr:uid="{00000000-0005-0000-0000-00002A360000}"/>
    <cellStyle name="Normal 4 2 2 2 2 4" xfId="13508" xr:uid="{00000000-0005-0000-0000-00002B360000}"/>
    <cellStyle name="Normal 4 2 2 2 2 5" xfId="13509" xr:uid="{00000000-0005-0000-0000-00002C360000}"/>
    <cellStyle name="Normal 4 2 2 2 2 6" xfId="13510" xr:uid="{00000000-0005-0000-0000-00002D360000}"/>
    <cellStyle name="Normal 4 2 2 2 2 7" xfId="13511" xr:uid="{00000000-0005-0000-0000-00002E360000}"/>
    <cellStyle name="Normal 4 2 2 2 2 8" xfId="13512" xr:uid="{00000000-0005-0000-0000-00002F360000}"/>
    <cellStyle name="Normal 4 2 2 2 2 9" xfId="13513" xr:uid="{00000000-0005-0000-0000-000030360000}"/>
    <cellStyle name="Normal 4 2 2 2 2_ELEC SAP FCST UPLOAD" xfId="13514" xr:uid="{00000000-0005-0000-0000-000031360000}"/>
    <cellStyle name="Normal 4 2 2 2 20" xfId="13515" xr:uid="{00000000-0005-0000-0000-000032360000}"/>
    <cellStyle name="Normal 4 2 2 2 21" xfId="13516" xr:uid="{00000000-0005-0000-0000-000033360000}"/>
    <cellStyle name="Normal 4 2 2 2 22" xfId="13517" xr:uid="{00000000-0005-0000-0000-000034360000}"/>
    <cellStyle name="Normal 4 2 2 2 3" xfId="13518" xr:uid="{00000000-0005-0000-0000-000035360000}"/>
    <cellStyle name="Normal 4 2 2 2 4" xfId="13519" xr:uid="{00000000-0005-0000-0000-000036360000}"/>
    <cellStyle name="Normal 4 2 2 2 5" xfId="13520" xr:uid="{00000000-0005-0000-0000-000037360000}"/>
    <cellStyle name="Normal 4 2 2 2 6" xfId="13521" xr:uid="{00000000-0005-0000-0000-000038360000}"/>
    <cellStyle name="Normal 4 2 2 2 7" xfId="13522" xr:uid="{00000000-0005-0000-0000-000039360000}"/>
    <cellStyle name="Normal 4 2 2 2 8" xfId="13523" xr:uid="{00000000-0005-0000-0000-00003A360000}"/>
    <cellStyle name="Normal 4 2 2 2 9" xfId="13524" xr:uid="{00000000-0005-0000-0000-00003B360000}"/>
    <cellStyle name="Normal 4 2 2 2_ELEC SAP FCST UPLOAD" xfId="13525" xr:uid="{00000000-0005-0000-0000-00003C360000}"/>
    <cellStyle name="Normal 4 2 2 20" xfId="13526" xr:uid="{00000000-0005-0000-0000-00003D360000}"/>
    <cellStyle name="Normal 4 2 2 21" xfId="13527" xr:uid="{00000000-0005-0000-0000-00003E360000}"/>
    <cellStyle name="Normal 4 2 2 22" xfId="13528" xr:uid="{00000000-0005-0000-0000-00003F360000}"/>
    <cellStyle name="Normal 4 2 2 3" xfId="13529" xr:uid="{00000000-0005-0000-0000-000040360000}"/>
    <cellStyle name="Normal 4 2 2 3 2" xfId="13530" xr:uid="{00000000-0005-0000-0000-000041360000}"/>
    <cellStyle name="Normal 4 2 2 3 3" xfId="13531" xr:uid="{00000000-0005-0000-0000-000042360000}"/>
    <cellStyle name="Normal 4 2 2 3_ELEC SAP FCST UPLOAD" xfId="13532" xr:uid="{00000000-0005-0000-0000-000043360000}"/>
    <cellStyle name="Normal 4 2 2 4" xfId="13533" xr:uid="{00000000-0005-0000-0000-000044360000}"/>
    <cellStyle name="Normal 4 2 2 5" xfId="13534" xr:uid="{00000000-0005-0000-0000-000045360000}"/>
    <cellStyle name="Normal 4 2 2 6" xfId="13535" xr:uid="{00000000-0005-0000-0000-000046360000}"/>
    <cellStyle name="Normal 4 2 2 7" xfId="13536" xr:uid="{00000000-0005-0000-0000-000047360000}"/>
    <cellStyle name="Normal 4 2 2 8" xfId="13537" xr:uid="{00000000-0005-0000-0000-000048360000}"/>
    <cellStyle name="Normal 4 2 2 9" xfId="13538" xr:uid="{00000000-0005-0000-0000-000049360000}"/>
    <cellStyle name="Normal 4 2 2_ELEC SAP FCST UPLOAD" xfId="13539" xr:uid="{00000000-0005-0000-0000-00004A360000}"/>
    <cellStyle name="Normal 4 2 20" xfId="13540" xr:uid="{00000000-0005-0000-0000-00004B360000}"/>
    <cellStyle name="Normal 4 2 21" xfId="13541" xr:uid="{00000000-0005-0000-0000-00004C360000}"/>
    <cellStyle name="Normal 4 2 22" xfId="13542" xr:uid="{00000000-0005-0000-0000-00004D360000}"/>
    <cellStyle name="Normal 4 2 23" xfId="13543" xr:uid="{00000000-0005-0000-0000-00004E360000}"/>
    <cellStyle name="Normal 4 2 3" xfId="13544" xr:uid="{00000000-0005-0000-0000-00004F360000}"/>
    <cellStyle name="Normal 4 2 3 2" xfId="13545" xr:uid="{00000000-0005-0000-0000-000050360000}"/>
    <cellStyle name="Normal 4 2 3 3" xfId="13546" xr:uid="{00000000-0005-0000-0000-000051360000}"/>
    <cellStyle name="Normal 4 2 3 4" xfId="42527" xr:uid="{8C3A498E-0A20-4B2E-9AE4-E1400F3A08F0}"/>
    <cellStyle name="Normal 4 2 3 5" xfId="42535" xr:uid="{39B34EDE-0025-4339-AB77-EC4851CD42CB}"/>
    <cellStyle name="Normal 4 2 3_ELEC SAP FCST UPLOAD" xfId="13547" xr:uid="{00000000-0005-0000-0000-000052360000}"/>
    <cellStyle name="Normal 4 2 4" xfId="13548" xr:uid="{00000000-0005-0000-0000-000053360000}"/>
    <cellStyle name="Normal 4 2 5" xfId="13549" xr:uid="{00000000-0005-0000-0000-000054360000}"/>
    <cellStyle name="Normal 4 2 6" xfId="13550" xr:uid="{00000000-0005-0000-0000-000055360000}"/>
    <cellStyle name="Normal 4 2 7" xfId="13551" xr:uid="{00000000-0005-0000-0000-000056360000}"/>
    <cellStyle name="Normal 4 2 8" xfId="13552" xr:uid="{00000000-0005-0000-0000-000057360000}"/>
    <cellStyle name="Normal 4 2 9" xfId="13553" xr:uid="{00000000-0005-0000-0000-000058360000}"/>
    <cellStyle name="Normal 4 2_ELEC SAP FCST UPLOAD" xfId="13554" xr:uid="{00000000-0005-0000-0000-000059360000}"/>
    <cellStyle name="Normal 4 20" xfId="13555" xr:uid="{00000000-0005-0000-0000-00005A360000}"/>
    <cellStyle name="Normal 4 21" xfId="13556" xr:uid="{00000000-0005-0000-0000-00005B360000}"/>
    <cellStyle name="Normal 4 22" xfId="13557" xr:uid="{00000000-0005-0000-0000-00005C360000}"/>
    <cellStyle name="Normal 4 23" xfId="13558" xr:uid="{00000000-0005-0000-0000-00005D360000}"/>
    <cellStyle name="Normal 4 24" xfId="13559" xr:uid="{00000000-0005-0000-0000-00005E360000}"/>
    <cellStyle name="Normal 4 25" xfId="13560" xr:uid="{00000000-0005-0000-0000-00005F360000}"/>
    <cellStyle name="Normal 4 26" xfId="13561" xr:uid="{00000000-0005-0000-0000-000060360000}"/>
    <cellStyle name="Normal 4 27" xfId="13562" xr:uid="{00000000-0005-0000-0000-000061360000}"/>
    <cellStyle name="Normal 4 28" xfId="13563" xr:uid="{00000000-0005-0000-0000-000062360000}"/>
    <cellStyle name="Normal 4 29" xfId="13564" xr:uid="{00000000-0005-0000-0000-000063360000}"/>
    <cellStyle name="Normal 4 3" xfId="13565" xr:uid="{00000000-0005-0000-0000-000064360000}"/>
    <cellStyle name="Normal 4 3 2" xfId="13566" xr:uid="{00000000-0005-0000-0000-000065360000}"/>
    <cellStyle name="Normal 4 3 2 2" xfId="13567" xr:uid="{00000000-0005-0000-0000-000066360000}"/>
    <cellStyle name="Normal 4 3 2 3" xfId="13568" xr:uid="{00000000-0005-0000-0000-000067360000}"/>
    <cellStyle name="Normal 4 3 2_ELEC SAP FCST UPLOAD" xfId="13569" xr:uid="{00000000-0005-0000-0000-000068360000}"/>
    <cellStyle name="Normal 4 3 3" xfId="13570" xr:uid="{00000000-0005-0000-0000-000069360000}"/>
    <cellStyle name="Normal 4 3 4" xfId="13571" xr:uid="{00000000-0005-0000-0000-00006A360000}"/>
    <cellStyle name="Normal 4 3 5" xfId="13572" xr:uid="{00000000-0005-0000-0000-00006B360000}"/>
    <cellStyle name="Normal 4 3 6" xfId="13573" xr:uid="{00000000-0005-0000-0000-00006C360000}"/>
    <cellStyle name="Normal 4 3_ELEC SAP FCST UPLOAD" xfId="13574" xr:uid="{00000000-0005-0000-0000-00006D360000}"/>
    <cellStyle name="Normal 4 30" xfId="13575" xr:uid="{00000000-0005-0000-0000-00006E360000}"/>
    <cellStyle name="Normal 4 31" xfId="13576" xr:uid="{00000000-0005-0000-0000-00006F360000}"/>
    <cellStyle name="Normal 4 32" xfId="13577" xr:uid="{00000000-0005-0000-0000-000070360000}"/>
    <cellStyle name="Normal 4 33" xfId="13578" xr:uid="{00000000-0005-0000-0000-000071360000}"/>
    <cellStyle name="Normal 4 34" xfId="13579" xr:uid="{00000000-0005-0000-0000-000072360000}"/>
    <cellStyle name="Normal 4 35" xfId="13580" xr:uid="{00000000-0005-0000-0000-000073360000}"/>
    <cellStyle name="Normal 4 36" xfId="13581" xr:uid="{00000000-0005-0000-0000-000074360000}"/>
    <cellStyle name="Normal 4 37" xfId="13582" xr:uid="{00000000-0005-0000-0000-000075360000}"/>
    <cellStyle name="Normal 4 38" xfId="13583" xr:uid="{00000000-0005-0000-0000-000076360000}"/>
    <cellStyle name="Normal 4 39" xfId="13584" xr:uid="{00000000-0005-0000-0000-000077360000}"/>
    <cellStyle name="Normal 4 4" xfId="13585" xr:uid="{00000000-0005-0000-0000-000078360000}"/>
    <cellStyle name="Normal 4 40" xfId="13586" xr:uid="{00000000-0005-0000-0000-000079360000}"/>
    <cellStyle name="Normal 4 41" xfId="13587" xr:uid="{00000000-0005-0000-0000-00007A360000}"/>
    <cellStyle name="Normal 4 42" xfId="13588" xr:uid="{00000000-0005-0000-0000-00007B360000}"/>
    <cellStyle name="Normal 4 43" xfId="13589" xr:uid="{00000000-0005-0000-0000-00007C360000}"/>
    <cellStyle name="Normal 4 44" xfId="13590" xr:uid="{00000000-0005-0000-0000-00007D360000}"/>
    <cellStyle name="Normal 4 45" xfId="13591" xr:uid="{00000000-0005-0000-0000-00007E360000}"/>
    <cellStyle name="Normal 4 46" xfId="13592" xr:uid="{00000000-0005-0000-0000-00007F360000}"/>
    <cellStyle name="Normal 4 47" xfId="13593" xr:uid="{00000000-0005-0000-0000-000080360000}"/>
    <cellStyle name="Normal 4 48" xfId="13594" xr:uid="{00000000-0005-0000-0000-000081360000}"/>
    <cellStyle name="Normal 4 49" xfId="13595" xr:uid="{00000000-0005-0000-0000-000082360000}"/>
    <cellStyle name="Normal 4 5" xfId="13596" xr:uid="{00000000-0005-0000-0000-000083360000}"/>
    <cellStyle name="Normal 4 50" xfId="13597" xr:uid="{00000000-0005-0000-0000-000084360000}"/>
    <cellStyle name="Normal 4 51" xfId="13598" xr:uid="{00000000-0005-0000-0000-000085360000}"/>
    <cellStyle name="Normal 4 52" xfId="13599" xr:uid="{00000000-0005-0000-0000-000086360000}"/>
    <cellStyle name="Normal 4 53" xfId="13600" xr:uid="{00000000-0005-0000-0000-000087360000}"/>
    <cellStyle name="Normal 4 54" xfId="13601" xr:uid="{00000000-0005-0000-0000-000088360000}"/>
    <cellStyle name="Normal 4 55" xfId="13602" xr:uid="{00000000-0005-0000-0000-000089360000}"/>
    <cellStyle name="Normal 4 56" xfId="13603" xr:uid="{00000000-0005-0000-0000-00008A360000}"/>
    <cellStyle name="Normal 4 57" xfId="13604" xr:uid="{00000000-0005-0000-0000-00008B360000}"/>
    <cellStyle name="Normal 4 58" xfId="13605" xr:uid="{00000000-0005-0000-0000-00008C360000}"/>
    <cellStyle name="Normal 4 59" xfId="13606" xr:uid="{00000000-0005-0000-0000-00008D360000}"/>
    <cellStyle name="Normal 4 6" xfId="13607" xr:uid="{00000000-0005-0000-0000-00008E360000}"/>
    <cellStyle name="Normal 4 60" xfId="13608" xr:uid="{00000000-0005-0000-0000-00008F360000}"/>
    <cellStyle name="Normal 4 61" xfId="13609" xr:uid="{00000000-0005-0000-0000-000090360000}"/>
    <cellStyle name="Normal 4 62" xfId="13610" xr:uid="{00000000-0005-0000-0000-000091360000}"/>
    <cellStyle name="Normal 4 63" xfId="13611" xr:uid="{00000000-0005-0000-0000-000092360000}"/>
    <cellStyle name="Normal 4 64" xfId="13612" xr:uid="{00000000-0005-0000-0000-000093360000}"/>
    <cellStyle name="Normal 4 65" xfId="13613" xr:uid="{00000000-0005-0000-0000-000094360000}"/>
    <cellStyle name="Normal 4 66" xfId="13614" xr:uid="{00000000-0005-0000-0000-000095360000}"/>
    <cellStyle name="Normal 4 67" xfId="13615" xr:uid="{00000000-0005-0000-0000-000096360000}"/>
    <cellStyle name="Normal 4 68" xfId="13616" xr:uid="{00000000-0005-0000-0000-000097360000}"/>
    <cellStyle name="Normal 4 69" xfId="13617" xr:uid="{00000000-0005-0000-0000-000098360000}"/>
    <cellStyle name="Normal 4 7" xfId="13618" xr:uid="{00000000-0005-0000-0000-000099360000}"/>
    <cellStyle name="Normal 4 7 10" xfId="13619" xr:uid="{00000000-0005-0000-0000-00009A360000}"/>
    <cellStyle name="Normal 4 7 11" xfId="13620" xr:uid="{00000000-0005-0000-0000-00009B360000}"/>
    <cellStyle name="Normal 4 7 12" xfId="13621" xr:uid="{00000000-0005-0000-0000-00009C360000}"/>
    <cellStyle name="Normal 4 7 13" xfId="13622" xr:uid="{00000000-0005-0000-0000-00009D360000}"/>
    <cellStyle name="Normal 4 7 14" xfId="13623" xr:uid="{00000000-0005-0000-0000-00009E360000}"/>
    <cellStyle name="Normal 4 7 15" xfId="13624" xr:uid="{00000000-0005-0000-0000-00009F360000}"/>
    <cellStyle name="Normal 4 7 16" xfId="13625" xr:uid="{00000000-0005-0000-0000-0000A0360000}"/>
    <cellStyle name="Normal 4 7 17" xfId="13626" xr:uid="{00000000-0005-0000-0000-0000A1360000}"/>
    <cellStyle name="Normal 4 7 2" xfId="13627" xr:uid="{00000000-0005-0000-0000-0000A2360000}"/>
    <cellStyle name="Normal 4 7 3" xfId="13628" xr:uid="{00000000-0005-0000-0000-0000A3360000}"/>
    <cellStyle name="Normal 4 7 4" xfId="13629" xr:uid="{00000000-0005-0000-0000-0000A4360000}"/>
    <cellStyle name="Normal 4 7 5" xfId="13630" xr:uid="{00000000-0005-0000-0000-0000A5360000}"/>
    <cellStyle name="Normal 4 7 6" xfId="13631" xr:uid="{00000000-0005-0000-0000-0000A6360000}"/>
    <cellStyle name="Normal 4 7 7" xfId="13632" xr:uid="{00000000-0005-0000-0000-0000A7360000}"/>
    <cellStyle name="Normal 4 7 8" xfId="13633" xr:uid="{00000000-0005-0000-0000-0000A8360000}"/>
    <cellStyle name="Normal 4 7 9" xfId="13634" xr:uid="{00000000-0005-0000-0000-0000A9360000}"/>
    <cellStyle name="Normal 4 70" xfId="13635" xr:uid="{00000000-0005-0000-0000-0000AA360000}"/>
    <cellStyle name="Normal 4 71" xfId="13636" xr:uid="{00000000-0005-0000-0000-0000AB360000}"/>
    <cellStyle name="Normal 4 72" xfId="13637" xr:uid="{00000000-0005-0000-0000-0000AC360000}"/>
    <cellStyle name="Normal 4 73" xfId="13638" xr:uid="{00000000-0005-0000-0000-0000AD360000}"/>
    <cellStyle name="Normal 4 74" xfId="13639" xr:uid="{00000000-0005-0000-0000-0000AE360000}"/>
    <cellStyle name="Normal 4 75" xfId="13640" xr:uid="{00000000-0005-0000-0000-0000AF360000}"/>
    <cellStyle name="Normal 4 76" xfId="13641" xr:uid="{00000000-0005-0000-0000-0000B0360000}"/>
    <cellStyle name="Normal 4 77" xfId="13642" xr:uid="{00000000-0005-0000-0000-0000B1360000}"/>
    <cellStyle name="Normal 4 78" xfId="13643" xr:uid="{00000000-0005-0000-0000-0000B2360000}"/>
    <cellStyle name="Normal 4 79" xfId="13644" xr:uid="{00000000-0005-0000-0000-0000B3360000}"/>
    <cellStyle name="Normal 4 8" xfId="13645" xr:uid="{00000000-0005-0000-0000-0000B4360000}"/>
    <cellStyle name="Normal 4 80" xfId="13646" xr:uid="{00000000-0005-0000-0000-0000B5360000}"/>
    <cellStyle name="Normal 4 81" xfId="13647" xr:uid="{00000000-0005-0000-0000-0000B6360000}"/>
    <cellStyle name="Normal 4 82" xfId="13648" xr:uid="{00000000-0005-0000-0000-0000B7360000}"/>
    <cellStyle name="Normal 4 83" xfId="13649" xr:uid="{00000000-0005-0000-0000-0000B8360000}"/>
    <cellStyle name="Normal 4 84" xfId="13650" xr:uid="{00000000-0005-0000-0000-0000B9360000}"/>
    <cellStyle name="Normal 4 85" xfId="13651" xr:uid="{00000000-0005-0000-0000-0000BA360000}"/>
    <cellStyle name="Normal 4 86" xfId="42524" xr:uid="{35414E68-AA0A-4949-80D3-11C4DF57710D}"/>
    <cellStyle name="Normal 4 87" xfId="42528" xr:uid="{33DFF136-B557-4ADB-971E-75CAA9017845}"/>
    <cellStyle name="Normal 4 88" xfId="42532" xr:uid="{BA094CEC-36A1-4CA6-8139-E07FB3F2F56A}"/>
    <cellStyle name="Normal 4 89" xfId="42536" xr:uid="{10B14737-FAD7-4945-97D8-D6064E35C186}"/>
    <cellStyle name="Normal 4 9" xfId="13652" xr:uid="{00000000-0005-0000-0000-0000BB360000}"/>
    <cellStyle name="Normal 4 9 2" xfId="13653" xr:uid="{00000000-0005-0000-0000-0000BC360000}"/>
    <cellStyle name="Normal 4 90" xfId="42533" xr:uid="{7F4D89A0-17DA-426C-86DE-78C70BB858A7}"/>
    <cellStyle name="Normal 4 91" xfId="42539" xr:uid="{796799B6-2B8A-4128-8872-E396E1193A10}"/>
    <cellStyle name="Normal 4 92" xfId="42541" xr:uid="{A071DB1E-991F-4135-9136-46170FA6F6C9}"/>
    <cellStyle name="Normal 4_Book1" xfId="13654" xr:uid="{00000000-0005-0000-0000-0000BD360000}"/>
    <cellStyle name="Normal 40" xfId="13655" xr:uid="{00000000-0005-0000-0000-0000BE360000}"/>
    <cellStyle name="Normal 40 10" xfId="13656" xr:uid="{00000000-0005-0000-0000-0000BF360000}"/>
    <cellStyle name="Normal 40 10 2" xfId="13657" xr:uid="{00000000-0005-0000-0000-0000C0360000}"/>
    <cellStyle name="Normal 40 11" xfId="13658" xr:uid="{00000000-0005-0000-0000-0000C1360000}"/>
    <cellStyle name="Normal 40 11 2" xfId="13659" xr:uid="{00000000-0005-0000-0000-0000C2360000}"/>
    <cellStyle name="Normal 40 12" xfId="13660" xr:uid="{00000000-0005-0000-0000-0000C3360000}"/>
    <cellStyle name="Normal 40 12 2" xfId="13661" xr:uid="{00000000-0005-0000-0000-0000C4360000}"/>
    <cellStyle name="Normal 40 13" xfId="13662" xr:uid="{00000000-0005-0000-0000-0000C5360000}"/>
    <cellStyle name="Normal 40 13 2" xfId="13663" xr:uid="{00000000-0005-0000-0000-0000C6360000}"/>
    <cellStyle name="Normal 40 14" xfId="13664" xr:uid="{00000000-0005-0000-0000-0000C7360000}"/>
    <cellStyle name="Normal 40 14 2" xfId="13665" xr:uid="{00000000-0005-0000-0000-0000C8360000}"/>
    <cellStyle name="Normal 40 15" xfId="13666" xr:uid="{00000000-0005-0000-0000-0000C9360000}"/>
    <cellStyle name="Normal 40 15 2" xfId="13667" xr:uid="{00000000-0005-0000-0000-0000CA360000}"/>
    <cellStyle name="Normal 40 16" xfId="13668" xr:uid="{00000000-0005-0000-0000-0000CB360000}"/>
    <cellStyle name="Normal 40 16 2" xfId="13669" xr:uid="{00000000-0005-0000-0000-0000CC360000}"/>
    <cellStyle name="Normal 40 17" xfId="13670" xr:uid="{00000000-0005-0000-0000-0000CD360000}"/>
    <cellStyle name="Normal 40 17 2" xfId="13671" xr:uid="{00000000-0005-0000-0000-0000CE360000}"/>
    <cellStyle name="Normal 40 18" xfId="13672" xr:uid="{00000000-0005-0000-0000-0000CF360000}"/>
    <cellStyle name="Normal 40 18 2" xfId="13673" xr:uid="{00000000-0005-0000-0000-0000D0360000}"/>
    <cellStyle name="Normal 40 19" xfId="13674" xr:uid="{00000000-0005-0000-0000-0000D1360000}"/>
    <cellStyle name="Normal 40 19 2" xfId="13675" xr:uid="{00000000-0005-0000-0000-0000D2360000}"/>
    <cellStyle name="Normal 40 2" xfId="13676" xr:uid="{00000000-0005-0000-0000-0000D3360000}"/>
    <cellStyle name="Normal 40 2 2" xfId="13677" xr:uid="{00000000-0005-0000-0000-0000D4360000}"/>
    <cellStyle name="Normal 40 20" xfId="13678" xr:uid="{00000000-0005-0000-0000-0000D5360000}"/>
    <cellStyle name="Normal 40 20 2" xfId="13679" xr:uid="{00000000-0005-0000-0000-0000D6360000}"/>
    <cellStyle name="Normal 40 21" xfId="13680" xr:uid="{00000000-0005-0000-0000-0000D7360000}"/>
    <cellStyle name="Normal 40 21 2" xfId="13681" xr:uid="{00000000-0005-0000-0000-0000D8360000}"/>
    <cellStyle name="Normal 40 22" xfId="13682" xr:uid="{00000000-0005-0000-0000-0000D9360000}"/>
    <cellStyle name="Normal 40 22 2" xfId="13683" xr:uid="{00000000-0005-0000-0000-0000DA360000}"/>
    <cellStyle name="Normal 40 23" xfId="13684" xr:uid="{00000000-0005-0000-0000-0000DB360000}"/>
    <cellStyle name="Normal 40 24" xfId="13685" xr:uid="{00000000-0005-0000-0000-0000DC360000}"/>
    <cellStyle name="Normal 40 25" xfId="13686" xr:uid="{00000000-0005-0000-0000-0000DD360000}"/>
    <cellStyle name="Normal 40 26" xfId="13687" xr:uid="{00000000-0005-0000-0000-0000DE360000}"/>
    <cellStyle name="Normal 40 27" xfId="13688" xr:uid="{00000000-0005-0000-0000-0000DF360000}"/>
    <cellStyle name="Normal 40 28" xfId="13689" xr:uid="{00000000-0005-0000-0000-0000E0360000}"/>
    <cellStyle name="Normal 40 29" xfId="13690" xr:uid="{00000000-0005-0000-0000-0000E1360000}"/>
    <cellStyle name="Normal 40 3" xfId="13691" xr:uid="{00000000-0005-0000-0000-0000E2360000}"/>
    <cellStyle name="Normal 40 3 2" xfId="13692" xr:uid="{00000000-0005-0000-0000-0000E3360000}"/>
    <cellStyle name="Normal 40 30" xfId="13693" xr:uid="{00000000-0005-0000-0000-0000E4360000}"/>
    <cellStyle name="Normal 40 31" xfId="13694" xr:uid="{00000000-0005-0000-0000-0000E5360000}"/>
    <cellStyle name="Normal 40 32" xfId="13695" xr:uid="{00000000-0005-0000-0000-0000E6360000}"/>
    <cellStyle name="Normal 40 33" xfId="13696" xr:uid="{00000000-0005-0000-0000-0000E7360000}"/>
    <cellStyle name="Normal 40 34" xfId="13697" xr:uid="{00000000-0005-0000-0000-0000E8360000}"/>
    <cellStyle name="Normal 40 35" xfId="13698" xr:uid="{00000000-0005-0000-0000-0000E9360000}"/>
    <cellStyle name="Normal 40 36" xfId="13699" xr:uid="{00000000-0005-0000-0000-0000EA360000}"/>
    <cellStyle name="Normal 40 37" xfId="13700" xr:uid="{00000000-0005-0000-0000-0000EB360000}"/>
    <cellStyle name="Normal 40 38" xfId="13701" xr:uid="{00000000-0005-0000-0000-0000EC360000}"/>
    <cellStyle name="Normal 40 39" xfId="13702" xr:uid="{00000000-0005-0000-0000-0000ED360000}"/>
    <cellStyle name="Normal 40 4" xfId="13703" xr:uid="{00000000-0005-0000-0000-0000EE360000}"/>
    <cellStyle name="Normal 40 4 2" xfId="13704" xr:uid="{00000000-0005-0000-0000-0000EF360000}"/>
    <cellStyle name="Normal 40 40" xfId="13705" xr:uid="{00000000-0005-0000-0000-0000F0360000}"/>
    <cellStyle name="Normal 40 41" xfId="13706" xr:uid="{00000000-0005-0000-0000-0000F1360000}"/>
    <cellStyle name="Normal 40 42" xfId="13707" xr:uid="{00000000-0005-0000-0000-0000F2360000}"/>
    <cellStyle name="Normal 40 43" xfId="13708" xr:uid="{00000000-0005-0000-0000-0000F3360000}"/>
    <cellStyle name="Normal 40 44" xfId="13709" xr:uid="{00000000-0005-0000-0000-0000F4360000}"/>
    <cellStyle name="Normal 40 45" xfId="13710" xr:uid="{00000000-0005-0000-0000-0000F5360000}"/>
    <cellStyle name="Normal 40 46" xfId="13711" xr:uid="{00000000-0005-0000-0000-0000F6360000}"/>
    <cellStyle name="Normal 40 47" xfId="13712" xr:uid="{00000000-0005-0000-0000-0000F7360000}"/>
    <cellStyle name="Normal 40 48" xfId="13713" xr:uid="{00000000-0005-0000-0000-0000F8360000}"/>
    <cellStyle name="Normal 40 49" xfId="13714" xr:uid="{00000000-0005-0000-0000-0000F9360000}"/>
    <cellStyle name="Normal 40 5" xfId="13715" xr:uid="{00000000-0005-0000-0000-0000FA360000}"/>
    <cellStyle name="Normal 40 5 2" xfId="13716" xr:uid="{00000000-0005-0000-0000-0000FB360000}"/>
    <cellStyle name="Normal 40 50" xfId="13717" xr:uid="{00000000-0005-0000-0000-0000FC360000}"/>
    <cellStyle name="Normal 40 51" xfId="13718" xr:uid="{00000000-0005-0000-0000-0000FD360000}"/>
    <cellStyle name="Normal 40 52" xfId="13719" xr:uid="{00000000-0005-0000-0000-0000FE360000}"/>
    <cellStyle name="Normal 40 53" xfId="13720" xr:uid="{00000000-0005-0000-0000-0000FF360000}"/>
    <cellStyle name="Normal 40 54" xfId="13721" xr:uid="{00000000-0005-0000-0000-000000370000}"/>
    <cellStyle name="Normal 40 55" xfId="13722" xr:uid="{00000000-0005-0000-0000-000001370000}"/>
    <cellStyle name="Normal 40 56" xfId="13723" xr:uid="{00000000-0005-0000-0000-000002370000}"/>
    <cellStyle name="Normal 40 57" xfId="13724" xr:uid="{00000000-0005-0000-0000-000003370000}"/>
    <cellStyle name="Normal 40 58" xfId="13725" xr:uid="{00000000-0005-0000-0000-000004370000}"/>
    <cellStyle name="Normal 40 59" xfId="13726" xr:uid="{00000000-0005-0000-0000-000005370000}"/>
    <cellStyle name="Normal 40 6" xfId="13727" xr:uid="{00000000-0005-0000-0000-000006370000}"/>
    <cellStyle name="Normal 40 6 2" xfId="13728" xr:uid="{00000000-0005-0000-0000-000007370000}"/>
    <cellStyle name="Normal 40 60" xfId="13729" xr:uid="{00000000-0005-0000-0000-000008370000}"/>
    <cellStyle name="Normal 40 61" xfId="13730" xr:uid="{00000000-0005-0000-0000-000009370000}"/>
    <cellStyle name="Normal 40 62" xfId="13731" xr:uid="{00000000-0005-0000-0000-00000A370000}"/>
    <cellStyle name="Normal 40 63" xfId="13732" xr:uid="{00000000-0005-0000-0000-00000B370000}"/>
    <cellStyle name="Normal 40 64" xfId="13733" xr:uid="{00000000-0005-0000-0000-00000C370000}"/>
    <cellStyle name="Normal 40 65" xfId="13734" xr:uid="{00000000-0005-0000-0000-00000D370000}"/>
    <cellStyle name="Normal 40 66" xfId="13735" xr:uid="{00000000-0005-0000-0000-00000E370000}"/>
    <cellStyle name="Normal 40 67" xfId="13736" xr:uid="{00000000-0005-0000-0000-00000F370000}"/>
    <cellStyle name="Normal 40 68" xfId="13737" xr:uid="{00000000-0005-0000-0000-000010370000}"/>
    <cellStyle name="Normal 40 69" xfId="13738" xr:uid="{00000000-0005-0000-0000-000011370000}"/>
    <cellStyle name="Normal 40 7" xfId="13739" xr:uid="{00000000-0005-0000-0000-000012370000}"/>
    <cellStyle name="Normal 40 7 2" xfId="13740" xr:uid="{00000000-0005-0000-0000-000013370000}"/>
    <cellStyle name="Normal 40 70" xfId="13741" xr:uid="{00000000-0005-0000-0000-000014370000}"/>
    <cellStyle name="Normal 40 8" xfId="13742" xr:uid="{00000000-0005-0000-0000-000015370000}"/>
    <cellStyle name="Normal 40 8 2" xfId="13743" xr:uid="{00000000-0005-0000-0000-000016370000}"/>
    <cellStyle name="Normal 40 9" xfId="13744" xr:uid="{00000000-0005-0000-0000-000017370000}"/>
    <cellStyle name="Normal 40 9 2" xfId="13745" xr:uid="{00000000-0005-0000-0000-000018370000}"/>
    <cellStyle name="Normal 41" xfId="13746" xr:uid="{00000000-0005-0000-0000-000019370000}"/>
    <cellStyle name="Normal 41 10" xfId="13747" xr:uid="{00000000-0005-0000-0000-00001A370000}"/>
    <cellStyle name="Normal 41 10 2" xfId="13748" xr:uid="{00000000-0005-0000-0000-00001B370000}"/>
    <cellStyle name="Normal 41 11" xfId="13749" xr:uid="{00000000-0005-0000-0000-00001C370000}"/>
    <cellStyle name="Normal 41 11 2" xfId="13750" xr:uid="{00000000-0005-0000-0000-00001D370000}"/>
    <cellStyle name="Normal 41 12" xfId="13751" xr:uid="{00000000-0005-0000-0000-00001E370000}"/>
    <cellStyle name="Normal 41 12 2" xfId="13752" xr:uid="{00000000-0005-0000-0000-00001F370000}"/>
    <cellStyle name="Normal 41 13" xfId="13753" xr:uid="{00000000-0005-0000-0000-000020370000}"/>
    <cellStyle name="Normal 41 13 2" xfId="13754" xr:uid="{00000000-0005-0000-0000-000021370000}"/>
    <cellStyle name="Normal 41 14" xfId="13755" xr:uid="{00000000-0005-0000-0000-000022370000}"/>
    <cellStyle name="Normal 41 14 2" xfId="13756" xr:uid="{00000000-0005-0000-0000-000023370000}"/>
    <cellStyle name="Normal 41 15" xfId="13757" xr:uid="{00000000-0005-0000-0000-000024370000}"/>
    <cellStyle name="Normal 41 15 2" xfId="13758" xr:uid="{00000000-0005-0000-0000-000025370000}"/>
    <cellStyle name="Normal 41 16" xfId="13759" xr:uid="{00000000-0005-0000-0000-000026370000}"/>
    <cellStyle name="Normal 41 16 2" xfId="13760" xr:uid="{00000000-0005-0000-0000-000027370000}"/>
    <cellStyle name="Normal 41 17" xfId="13761" xr:uid="{00000000-0005-0000-0000-000028370000}"/>
    <cellStyle name="Normal 41 17 2" xfId="13762" xr:uid="{00000000-0005-0000-0000-000029370000}"/>
    <cellStyle name="Normal 41 18" xfId="13763" xr:uid="{00000000-0005-0000-0000-00002A370000}"/>
    <cellStyle name="Normal 41 18 2" xfId="13764" xr:uid="{00000000-0005-0000-0000-00002B370000}"/>
    <cellStyle name="Normal 41 19" xfId="13765" xr:uid="{00000000-0005-0000-0000-00002C370000}"/>
    <cellStyle name="Normal 41 19 2" xfId="13766" xr:uid="{00000000-0005-0000-0000-00002D370000}"/>
    <cellStyle name="Normal 41 2" xfId="13767" xr:uid="{00000000-0005-0000-0000-00002E370000}"/>
    <cellStyle name="Normal 41 2 2" xfId="13768" xr:uid="{00000000-0005-0000-0000-00002F370000}"/>
    <cellStyle name="Normal 41 20" xfId="13769" xr:uid="{00000000-0005-0000-0000-000030370000}"/>
    <cellStyle name="Normal 41 20 2" xfId="13770" xr:uid="{00000000-0005-0000-0000-000031370000}"/>
    <cellStyle name="Normal 41 21" xfId="13771" xr:uid="{00000000-0005-0000-0000-000032370000}"/>
    <cellStyle name="Normal 41 21 2" xfId="13772" xr:uid="{00000000-0005-0000-0000-000033370000}"/>
    <cellStyle name="Normal 41 22" xfId="13773" xr:uid="{00000000-0005-0000-0000-000034370000}"/>
    <cellStyle name="Normal 41 22 2" xfId="13774" xr:uid="{00000000-0005-0000-0000-000035370000}"/>
    <cellStyle name="Normal 41 23" xfId="13775" xr:uid="{00000000-0005-0000-0000-000036370000}"/>
    <cellStyle name="Normal 41 24" xfId="13776" xr:uid="{00000000-0005-0000-0000-000037370000}"/>
    <cellStyle name="Normal 41 25" xfId="13777" xr:uid="{00000000-0005-0000-0000-000038370000}"/>
    <cellStyle name="Normal 41 26" xfId="13778" xr:uid="{00000000-0005-0000-0000-000039370000}"/>
    <cellStyle name="Normal 41 27" xfId="13779" xr:uid="{00000000-0005-0000-0000-00003A370000}"/>
    <cellStyle name="Normal 41 28" xfId="13780" xr:uid="{00000000-0005-0000-0000-00003B370000}"/>
    <cellStyle name="Normal 41 29" xfId="13781" xr:uid="{00000000-0005-0000-0000-00003C370000}"/>
    <cellStyle name="Normal 41 3" xfId="13782" xr:uid="{00000000-0005-0000-0000-00003D370000}"/>
    <cellStyle name="Normal 41 3 2" xfId="13783" xr:uid="{00000000-0005-0000-0000-00003E370000}"/>
    <cellStyle name="Normal 41 30" xfId="13784" xr:uid="{00000000-0005-0000-0000-00003F370000}"/>
    <cellStyle name="Normal 41 31" xfId="13785" xr:uid="{00000000-0005-0000-0000-000040370000}"/>
    <cellStyle name="Normal 41 32" xfId="13786" xr:uid="{00000000-0005-0000-0000-000041370000}"/>
    <cellStyle name="Normal 41 33" xfId="13787" xr:uid="{00000000-0005-0000-0000-000042370000}"/>
    <cellStyle name="Normal 41 34" xfId="13788" xr:uid="{00000000-0005-0000-0000-000043370000}"/>
    <cellStyle name="Normal 41 35" xfId="13789" xr:uid="{00000000-0005-0000-0000-000044370000}"/>
    <cellStyle name="Normal 41 36" xfId="13790" xr:uid="{00000000-0005-0000-0000-000045370000}"/>
    <cellStyle name="Normal 41 37" xfId="13791" xr:uid="{00000000-0005-0000-0000-000046370000}"/>
    <cellStyle name="Normal 41 38" xfId="13792" xr:uid="{00000000-0005-0000-0000-000047370000}"/>
    <cellStyle name="Normal 41 39" xfId="13793" xr:uid="{00000000-0005-0000-0000-000048370000}"/>
    <cellStyle name="Normal 41 4" xfId="13794" xr:uid="{00000000-0005-0000-0000-000049370000}"/>
    <cellStyle name="Normal 41 4 2" xfId="13795" xr:uid="{00000000-0005-0000-0000-00004A370000}"/>
    <cellStyle name="Normal 41 40" xfId="13796" xr:uid="{00000000-0005-0000-0000-00004B370000}"/>
    <cellStyle name="Normal 41 41" xfId="13797" xr:uid="{00000000-0005-0000-0000-00004C370000}"/>
    <cellStyle name="Normal 41 42" xfId="13798" xr:uid="{00000000-0005-0000-0000-00004D370000}"/>
    <cellStyle name="Normal 41 43" xfId="13799" xr:uid="{00000000-0005-0000-0000-00004E370000}"/>
    <cellStyle name="Normal 41 44" xfId="13800" xr:uid="{00000000-0005-0000-0000-00004F370000}"/>
    <cellStyle name="Normal 41 45" xfId="13801" xr:uid="{00000000-0005-0000-0000-000050370000}"/>
    <cellStyle name="Normal 41 46" xfId="13802" xr:uid="{00000000-0005-0000-0000-000051370000}"/>
    <cellStyle name="Normal 41 47" xfId="13803" xr:uid="{00000000-0005-0000-0000-000052370000}"/>
    <cellStyle name="Normal 41 48" xfId="13804" xr:uid="{00000000-0005-0000-0000-000053370000}"/>
    <cellStyle name="Normal 41 49" xfId="13805" xr:uid="{00000000-0005-0000-0000-000054370000}"/>
    <cellStyle name="Normal 41 5" xfId="13806" xr:uid="{00000000-0005-0000-0000-000055370000}"/>
    <cellStyle name="Normal 41 5 2" xfId="13807" xr:uid="{00000000-0005-0000-0000-000056370000}"/>
    <cellStyle name="Normal 41 50" xfId="13808" xr:uid="{00000000-0005-0000-0000-000057370000}"/>
    <cellStyle name="Normal 41 51" xfId="13809" xr:uid="{00000000-0005-0000-0000-000058370000}"/>
    <cellStyle name="Normal 41 52" xfId="13810" xr:uid="{00000000-0005-0000-0000-000059370000}"/>
    <cellStyle name="Normal 41 53" xfId="13811" xr:uid="{00000000-0005-0000-0000-00005A370000}"/>
    <cellStyle name="Normal 41 54" xfId="13812" xr:uid="{00000000-0005-0000-0000-00005B370000}"/>
    <cellStyle name="Normal 41 55" xfId="13813" xr:uid="{00000000-0005-0000-0000-00005C370000}"/>
    <cellStyle name="Normal 41 56" xfId="13814" xr:uid="{00000000-0005-0000-0000-00005D370000}"/>
    <cellStyle name="Normal 41 57" xfId="13815" xr:uid="{00000000-0005-0000-0000-00005E370000}"/>
    <cellStyle name="Normal 41 58" xfId="13816" xr:uid="{00000000-0005-0000-0000-00005F370000}"/>
    <cellStyle name="Normal 41 59" xfId="13817" xr:uid="{00000000-0005-0000-0000-000060370000}"/>
    <cellStyle name="Normal 41 6" xfId="13818" xr:uid="{00000000-0005-0000-0000-000061370000}"/>
    <cellStyle name="Normal 41 6 2" xfId="13819" xr:uid="{00000000-0005-0000-0000-000062370000}"/>
    <cellStyle name="Normal 41 60" xfId="13820" xr:uid="{00000000-0005-0000-0000-000063370000}"/>
    <cellStyle name="Normal 41 61" xfId="13821" xr:uid="{00000000-0005-0000-0000-000064370000}"/>
    <cellStyle name="Normal 41 62" xfId="13822" xr:uid="{00000000-0005-0000-0000-000065370000}"/>
    <cellStyle name="Normal 41 63" xfId="13823" xr:uid="{00000000-0005-0000-0000-000066370000}"/>
    <cellStyle name="Normal 41 64" xfId="13824" xr:uid="{00000000-0005-0000-0000-000067370000}"/>
    <cellStyle name="Normal 41 65" xfId="13825" xr:uid="{00000000-0005-0000-0000-000068370000}"/>
    <cellStyle name="Normal 41 66" xfId="13826" xr:uid="{00000000-0005-0000-0000-000069370000}"/>
    <cellStyle name="Normal 41 67" xfId="13827" xr:uid="{00000000-0005-0000-0000-00006A370000}"/>
    <cellStyle name="Normal 41 68" xfId="13828" xr:uid="{00000000-0005-0000-0000-00006B370000}"/>
    <cellStyle name="Normal 41 69" xfId="13829" xr:uid="{00000000-0005-0000-0000-00006C370000}"/>
    <cellStyle name="Normal 41 7" xfId="13830" xr:uid="{00000000-0005-0000-0000-00006D370000}"/>
    <cellStyle name="Normal 41 7 2" xfId="13831" xr:uid="{00000000-0005-0000-0000-00006E370000}"/>
    <cellStyle name="Normal 41 70" xfId="13832" xr:uid="{00000000-0005-0000-0000-00006F370000}"/>
    <cellStyle name="Normal 41 8" xfId="13833" xr:uid="{00000000-0005-0000-0000-000070370000}"/>
    <cellStyle name="Normal 41 8 2" xfId="13834" xr:uid="{00000000-0005-0000-0000-000071370000}"/>
    <cellStyle name="Normal 41 9" xfId="13835" xr:uid="{00000000-0005-0000-0000-000072370000}"/>
    <cellStyle name="Normal 41 9 2" xfId="13836" xr:uid="{00000000-0005-0000-0000-000073370000}"/>
    <cellStyle name="Normal 42" xfId="13837" xr:uid="{00000000-0005-0000-0000-000074370000}"/>
    <cellStyle name="Normal 42 10" xfId="13838" xr:uid="{00000000-0005-0000-0000-000075370000}"/>
    <cellStyle name="Normal 42 10 2" xfId="13839" xr:uid="{00000000-0005-0000-0000-000076370000}"/>
    <cellStyle name="Normal 42 11" xfId="13840" xr:uid="{00000000-0005-0000-0000-000077370000}"/>
    <cellStyle name="Normal 42 11 2" xfId="13841" xr:uid="{00000000-0005-0000-0000-000078370000}"/>
    <cellStyle name="Normal 42 12" xfId="13842" xr:uid="{00000000-0005-0000-0000-000079370000}"/>
    <cellStyle name="Normal 42 12 2" xfId="13843" xr:uid="{00000000-0005-0000-0000-00007A370000}"/>
    <cellStyle name="Normal 42 13" xfId="13844" xr:uid="{00000000-0005-0000-0000-00007B370000}"/>
    <cellStyle name="Normal 42 13 2" xfId="13845" xr:uid="{00000000-0005-0000-0000-00007C370000}"/>
    <cellStyle name="Normal 42 14" xfId="13846" xr:uid="{00000000-0005-0000-0000-00007D370000}"/>
    <cellStyle name="Normal 42 14 2" xfId="13847" xr:uid="{00000000-0005-0000-0000-00007E370000}"/>
    <cellStyle name="Normal 42 15" xfId="13848" xr:uid="{00000000-0005-0000-0000-00007F370000}"/>
    <cellStyle name="Normal 42 15 2" xfId="13849" xr:uid="{00000000-0005-0000-0000-000080370000}"/>
    <cellStyle name="Normal 42 16" xfId="13850" xr:uid="{00000000-0005-0000-0000-000081370000}"/>
    <cellStyle name="Normal 42 16 2" xfId="13851" xr:uid="{00000000-0005-0000-0000-000082370000}"/>
    <cellStyle name="Normal 42 17" xfId="13852" xr:uid="{00000000-0005-0000-0000-000083370000}"/>
    <cellStyle name="Normal 42 17 2" xfId="13853" xr:uid="{00000000-0005-0000-0000-000084370000}"/>
    <cellStyle name="Normal 42 18" xfId="13854" xr:uid="{00000000-0005-0000-0000-000085370000}"/>
    <cellStyle name="Normal 42 18 2" xfId="13855" xr:uid="{00000000-0005-0000-0000-000086370000}"/>
    <cellStyle name="Normal 42 19" xfId="13856" xr:uid="{00000000-0005-0000-0000-000087370000}"/>
    <cellStyle name="Normal 42 19 2" xfId="13857" xr:uid="{00000000-0005-0000-0000-000088370000}"/>
    <cellStyle name="Normal 42 2" xfId="13858" xr:uid="{00000000-0005-0000-0000-000089370000}"/>
    <cellStyle name="Normal 42 2 2" xfId="13859" xr:uid="{00000000-0005-0000-0000-00008A370000}"/>
    <cellStyle name="Normal 42 20" xfId="13860" xr:uid="{00000000-0005-0000-0000-00008B370000}"/>
    <cellStyle name="Normal 42 20 2" xfId="13861" xr:uid="{00000000-0005-0000-0000-00008C370000}"/>
    <cellStyle name="Normal 42 21" xfId="13862" xr:uid="{00000000-0005-0000-0000-00008D370000}"/>
    <cellStyle name="Normal 42 21 2" xfId="13863" xr:uid="{00000000-0005-0000-0000-00008E370000}"/>
    <cellStyle name="Normal 42 22" xfId="13864" xr:uid="{00000000-0005-0000-0000-00008F370000}"/>
    <cellStyle name="Normal 42 22 2" xfId="13865" xr:uid="{00000000-0005-0000-0000-000090370000}"/>
    <cellStyle name="Normal 42 23" xfId="13866" xr:uid="{00000000-0005-0000-0000-000091370000}"/>
    <cellStyle name="Normal 42 24" xfId="13867" xr:uid="{00000000-0005-0000-0000-000092370000}"/>
    <cellStyle name="Normal 42 25" xfId="13868" xr:uid="{00000000-0005-0000-0000-000093370000}"/>
    <cellStyle name="Normal 42 26" xfId="13869" xr:uid="{00000000-0005-0000-0000-000094370000}"/>
    <cellStyle name="Normal 42 27" xfId="13870" xr:uid="{00000000-0005-0000-0000-000095370000}"/>
    <cellStyle name="Normal 42 28" xfId="13871" xr:uid="{00000000-0005-0000-0000-000096370000}"/>
    <cellStyle name="Normal 42 29" xfId="13872" xr:uid="{00000000-0005-0000-0000-000097370000}"/>
    <cellStyle name="Normal 42 3" xfId="13873" xr:uid="{00000000-0005-0000-0000-000098370000}"/>
    <cellStyle name="Normal 42 3 2" xfId="13874" xr:uid="{00000000-0005-0000-0000-000099370000}"/>
    <cellStyle name="Normal 42 30" xfId="13875" xr:uid="{00000000-0005-0000-0000-00009A370000}"/>
    <cellStyle name="Normal 42 31" xfId="13876" xr:uid="{00000000-0005-0000-0000-00009B370000}"/>
    <cellStyle name="Normal 42 32" xfId="13877" xr:uid="{00000000-0005-0000-0000-00009C370000}"/>
    <cellStyle name="Normal 42 33" xfId="13878" xr:uid="{00000000-0005-0000-0000-00009D370000}"/>
    <cellStyle name="Normal 42 34" xfId="13879" xr:uid="{00000000-0005-0000-0000-00009E370000}"/>
    <cellStyle name="Normal 42 35" xfId="13880" xr:uid="{00000000-0005-0000-0000-00009F370000}"/>
    <cellStyle name="Normal 42 36" xfId="13881" xr:uid="{00000000-0005-0000-0000-0000A0370000}"/>
    <cellStyle name="Normal 42 37" xfId="13882" xr:uid="{00000000-0005-0000-0000-0000A1370000}"/>
    <cellStyle name="Normal 42 38" xfId="13883" xr:uid="{00000000-0005-0000-0000-0000A2370000}"/>
    <cellStyle name="Normal 42 39" xfId="13884" xr:uid="{00000000-0005-0000-0000-0000A3370000}"/>
    <cellStyle name="Normal 42 4" xfId="13885" xr:uid="{00000000-0005-0000-0000-0000A4370000}"/>
    <cellStyle name="Normal 42 4 2" xfId="13886" xr:uid="{00000000-0005-0000-0000-0000A5370000}"/>
    <cellStyle name="Normal 42 40" xfId="13887" xr:uid="{00000000-0005-0000-0000-0000A6370000}"/>
    <cellStyle name="Normal 42 41" xfId="13888" xr:uid="{00000000-0005-0000-0000-0000A7370000}"/>
    <cellStyle name="Normal 42 42" xfId="13889" xr:uid="{00000000-0005-0000-0000-0000A8370000}"/>
    <cellStyle name="Normal 42 43" xfId="13890" xr:uid="{00000000-0005-0000-0000-0000A9370000}"/>
    <cellStyle name="Normal 42 44" xfId="13891" xr:uid="{00000000-0005-0000-0000-0000AA370000}"/>
    <cellStyle name="Normal 42 45" xfId="13892" xr:uid="{00000000-0005-0000-0000-0000AB370000}"/>
    <cellStyle name="Normal 42 46" xfId="13893" xr:uid="{00000000-0005-0000-0000-0000AC370000}"/>
    <cellStyle name="Normal 42 47" xfId="13894" xr:uid="{00000000-0005-0000-0000-0000AD370000}"/>
    <cellStyle name="Normal 42 48" xfId="13895" xr:uid="{00000000-0005-0000-0000-0000AE370000}"/>
    <cellStyle name="Normal 42 49" xfId="13896" xr:uid="{00000000-0005-0000-0000-0000AF370000}"/>
    <cellStyle name="Normal 42 5" xfId="13897" xr:uid="{00000000-0005-0000-0000-0000B0370000}"/>
    <cellStyle name="Normal 42 5 2" xfId="13898" xr:uid="{00000000-0005-0000-0000-0000B1370000}"/>
    <cellStyle name="Normal 42 50" xfId="13899" xr:uid="{00000000-0005-0000-0000-0000B2370000}"/>
    <cellStyle name="Normal 42 51" xfId="13900" xr:uid="{00000000-0005-0000-0000-0000B3370000}"/>
    <cellStyle name="Normal 42 52" xfId="13901" xr:uid="{00000000-0005-0000-0000-0000B4370000}"/>
    <cellStyle name="Normal 42 53" xfId="13902" xr:uid="{00000000-0005-0000-0000-0000B5370000}"/>
    <cellStyle name="Normal 42 54" xfId="13903" xr:uid="{00000000-0005-0000-0000-0000B6370000}"/>
    <cellStyle name="Normal 42 55" xfId="13904" xr:uid="{00000000-0005-0000-0000-0000B7370000}"/>
    <cellStyle name="Normal 42 56" xfId="13905" xr:uid="{00000000-0005-0000-0000-0000B8370000}"/>
    <cellStyle name="Normal 42 57" xfId="13906" xr:uid="{00000000-0005-0000-0000-0000B9370000}"/>
    <cellStyle name="Normal 42 58" xfId="13907" xr:uid="{00000000-0005-0000-0000-0000BA370000}"/>
    <cellStyle name="Normal 42 59" xfId="13908" xr:uid="{00000000-0005-0000-0000-0000BB370000}"/>
    <cellStyle name="Normal 42 6" xfId="13909" xr:uid="{00000000-0005-0000-0000-0000BC370000}"/>
    <cellStyle name="Normal 42 6 2" xfId="13910" xr:uid="{00000000-0005-0000-0000-0000BD370000}"/>
    <cellStyle name="Normal 42 60" xfId="13911" xr:uid="{00000000-0005-0000-0000-0000BE370000}"/>
    <cellStyle name="Normal 42 61" xfId="13912" xr:uid="{00000000-0005-0000-0000-0000BF370000}"/>
    <cellStyle name="Normal 42 62" xfId="13913" xr:uid="{00000000-0005-0000-0000-0000C0370000}"/>
    <cellStyle name="Normal 42 63" xfId="13914" xr:uid="{00000000-0005-0000-0000-0000C1370000}"/>
    <cellStyle name="Normal 42 64" xfId="13915" xr:uid="{00000000-0005-0000-0000-0000C2370000}"/>
    <cellStyle name="Normal 42 65" xfId="13916" xr:uid="{00000000-0005-0000-0000-0000C3370000}"/>
    <cellStyle name="Normal 42 66" xfId="13917" xr:uid="{00000000-0005-0000-0000-0000C4370000}"/>
    <cellStyle name="Normal 42 67" xfId="13918" xr:uid="{00000000-0005-0000-0000-0000C5370000}"/>
    <cellStyle name="Normal 42 68" xfId="13919" xr:uid="{00000000-0005-0000-0000-0000C6370000}"/>
    <cellStyle name="Normal 42 69" xfId="13920" xr:uid="{00000000-0005-0000-0000-0000C7370000}"/>
    <cellStyle name="Normal 42 7" xfId="13921" xr:uid="{00000000-0005-0000-0000-0000C8370000}"/>
    <cellStyle name="Normal 42 7 2" xfId="13922" xr:uid="{00000000-0005-0000-0000-0000C9370000}"/>
    <cellStyle name="Normal 42 70" xfId="13923" xr:uid="{00000000-0005-0000-0000-0000CA370000}"/>
    <cellStyle name="Normal 42 8" xfId="13924" xr:uid="{00000000-0005-0000-0000-0000CB370000}"/>
    <cellStyle name="Normal 42 8 2" xfId="13925" xr:uid="{00000000-0005-0000-0000-0000CC370000}"/>
    <cellStyle name="Normal 42 9" xfId="13926" xr:uid="{00000000-0005-0000-0000-0000CD370000}"/>
    <cellStyle name="Normal 42 9 2" xfId="13927" xr:uid="{00000000-0005-0000-0000-0000CE370000}"/>
    <cellStyle name="Normal 43" xfId="13928" xr:uid="{00000000-0005-0000-0000-0000CF370000}"/>
    <cellStyle name="Normal 43 10" xfId="13929" xr:uid="{00000000-0005-0000-0000-0000D0370000}"/>
    <cellStyle name="Normal 43 10 2" xfId="13930" xr:uid="{00000000-0005-0000-0000-0000D1370000}"/>
    <cellStyle name="Normal 43 11" xfId="13931" xr:uid="{00000000-0005-0000-0000-0000D2370000}"/>
    <cellStyle name="Normal 43 11 2" xfId="13932" xr:uid="{00000000-0005-0000-0000-0000D3370000}"/>
    <cellStyle name="Normal 43 12" xfId="13933" xr:uid="{00000000-0005-0000-0000-0000D4370000}"/>
    <cellStyle name="Normal 43 12 2" xfId="13934" xr:uid="{00000000-0005-0000-0000-0000D5370000}"/>
    <cellStyle name="Normal 43 13" xfId="13935" xr:uid="{00000000-0005-0000-0000-0000D6370000}"/>
    <cellStyle name="Normal 43 13 2" xfId="13936" xr:uid="{00000000-0005-0000-0000-0000D7370000}"/>
    <cellStyle name="Normal 43 14" xfId="13937" xr:uid="{00000000-0005-0000-0000-0000D8370000}"/>
    <cellStyle name="Normal 43 14 2" xfId="13938" xr:uid="{00000000-0005-0000-0000-0000D9370000}"/>
    <cellStyle name="Normal 43 15" xfId="13939" xr:uid="{00000000-0005-0000-0000-0000DA370000}"/>
    <cellStyle name="Normal 43 15 2" xfId="13940" xr:uid="{00000000-0005-0000-0000-0000DB370000}"/>
    <cellStyle name="Normal 43 16" xfId="13941" xr:uid="{00000000-0005-0000-0000-0000DC370000}"/>
    <cellStyle name="Normal 43 16 2" xfId="13942" xr:uid="{00000000-0005-0000-0000-0000DD370000}"/>
    <cellStyle name="Normal 43 17" xfId="13943" xr:uid="{00000000-0005-0000-0000-0000DE370000}"/>
    <cellStyle name="Normal 43 17 2" xfId="13944" xr:uid="{00000000-0005-0000-0000-0000DF370000}"/>
    <cellStyle name="Normal 43 18" xfId="13945" xr:uid="{00000000-0005-0000-0000-0000E0370000}"/>
    <cellStyle name="Normal 43 18 2" xfId="13946" xr:uid="{00000000-0005-0000-0000-0000E1370000}"/>
    <cellStyle name="Normal 43 19" xfId="13947" xr:uid="{00000000-0005-0000-0000-0000E2370000}"/>
    <cellStyle name="Normal 43 19 2" xfId="13948" xr:uid="{00000000-0005-0000-0000-0000E3370000}"/>
    <cellStyle name="Normal 43 2" xfId="13949" xr:uid="{00000000-0005-0000-0000-0000E4370000}"/>
    <cellStyle name="Normal 43 2 2" xfId="13950" xr:uid="{00000000-0005-0000-0000-0000E5370000}"/>
    <cellStyle name="Normal 43 20" xfId="13951" xr:uid="{00000000-0005-0000-0000-0000E6370000}"/>
    <cellStyle name="Normal 43 20 2" xfId="13952" xr:uid="{00000000-0005-0000-0000-0000E7370000}"/>
    <cellStyle name="Normal 43 21" xfId="13953" xr:uid="{00000000-0005-0000-0000-0000E8370000}"/>
    <cellStyle name="Normal 43 21 2" xfId="13954" xr:uid="{00000000-0005-0000-0000-0000E9370000}"/>
    <cellStyle name="Normal 43 22" xfId="13955" xr:uid="{00000000-0005-0000-0000-0000EA370000}"/>
    <cellStyle name="Normal 43 22 2" xfId="13956" xr:uid="{00000000-0005-0000-0000-0000EB370000}"/>
    <cellStyle name="Normal 43 23" xfId="13957" xr:uid="{00000000-0005-0000-0000-0000EC370000}"/>
    <cellStyle name="Normal 43 24" xfId="13958" xr:uid="{00000000-0005-0000-0000-0000ED370000}"/>
    <cellStyle name="Normal 43 25" xfId="13959" xr:uid="{00000000-0005-0000-0000-0000EE370000}"/>
    <cellStyle name="Normal 43 26" xfId="13960" xr:uid="{00000000-0005-0000-0000-0000EF370000}"/>
    <cellStyle name="Normal 43 27" xfId="13961" xr:uid="{00000000-0005-0000-0000-0000F0370000}"/>
    <cellStyle name="Normal 43 28" xfId="13962" xr:uid="{00000000-0005-0000-0000-0000F1370000}"/>
    <cellStyle name="Normal 43 29" xfId="13963" xr:uid="{00000000-0005-0000-0000-0000F2370000}"/>
    <cellStyle name="Normal 43 3" xfId="13964" xr:uid="{00000000-0005-0000-0000-0000F3370000}"/>
    <cellStyle name="Normal 43 3 2" xfId="13965" xr:uid="{00000000-0005-0000-0000-0000F4370000}"/>
    <cellStyle name="Normal 43 30" xfId="13966" xr:uid="{00000000-0005-0000-0000-0000F5370000}"/>
    <cellStyle name="Normal 43 31" xfId="13967" xr:uid="{00000000-0005-0000-0000-0000F6370000}"/>
    <cellStyle name="Normal 43 32" xfId="13968" xr:uid="{00000000-0005-0000-0000-0000F7370000}"/>
    <cellStyle name="Normal 43 33" xfId="13969" xr:uid="{00000000-0005-0000-0000-0000F8370000}"/>
    <cellStyle name="Normal 43 34" xfId="13970" xr:uid="{00000000-0005-0000-0000-0000F9370000}"/>
    <cellStyle name="Normal 43 35" xfId="13971" xr:uid="{00000000-0005-0000-0000-0000FA370000}"/>
    <cellStyle name="Normal 43 36" xfId="13972" xr:uid="{00000000-0005-0000-0000-0000FB370000}"/>
    <cellStyle name="Normal 43 37" xfId="13973" xr:uid="{00000000-0005-0000-0000-0000FC370000}"/>
    <cellStyle name="Normal 43 38" xfId="13974" xr:uid="{00000000-0005-0000-0000-0000FD370000}"/>
    <cellStyle name="Normal 43 39" xfId="13975" xr:uid="{00000000-0005-0000-0000-0000FE370000}"/>
    <cellStyle name="Normal 43 4" xfId="13976" xr:uid="{00000000-0005-0000-0000-0000FF370000}"/>
    <cellStyle name="Normal 43 4 2" xfId="13977" xr:uid="{00000000-0005-0000-0000-000000380000}"/>
    <cellStyle name="Normal 43 40" xfId="13978" xr:uid="{00000000-0005-0000-0000-000001380000}"/>
    <cellStyle name="Normal 43 41" xfId="13979" xr:uid="{00000000-0005-0000-0000-000002380000}"/>
    <cellStyle name="Normal 43 42" xfId="13980" xr:uid="{00000000-0005-0000-0000-000003380000}"/>
    <cellStyle name="Normal 43 43" xfId="13981" xr:uid="{00000000-0005-0000-0000-000004380000}"/>
    <cellStyle name="Normal 43 44" xfId="13982" xr:uid="{00000000-0005-0000-0000-000005380000}"/>
    <cellStyle name="Normal 43 45" xfId="13983" xr:uid="{00000000-0005-0000-0000-000006380000}"/>
    <cellStyle name="Normal 43 46" xfId="13984" xr:uid="{00000000-0005-0000-0000-000007380000}"/>
    <cellStyle name="Normal 43 47" xfId="13985" xr:uid="{00000000-0005-0000-0000-000008380000}"/>
    <cellStyle name="Normal 43 48" xfId="13986" xr:uid="{00000000-0005-0000-0000-000009380000}"/>
    <cellStyle name="Normal 43 49" xfId="13987" xr:uid="{00000000-0005-0000-0000-00000A380000}"/>
    <cellStyle name="Normal 43 5" xfId="13988" xr:uid="{00000000-0005-0000-0000-00000B380000}"/>
    <cellStyle name="Normal 43 5 2" xfId="13989" xr:uid="{00000000-0005-0000-0000-00000C380000}"/>
    <cellStyle name="Normal 43 50" xfId="13990" xr:uid="{00000000-0005-0000-0000-00000D380000}"/>
    <cellStyle name="Normal 43 51" xfId="13991" xr:uid="{00000000-0005-0000-0000-00000E380000}"/>
    <cellStyle name="Normal 43 52" xfId="13992" xr:uid="{00000000-0005-0000-0000-00000F380000}"/>
    <cellStyle name="Normal 43 53" xfId="13993" xr:uid="{00000000-0005-0000-0000-000010380000}"/>
    <cellStyle name="Normal 43 54" xfId="13994" xr:uid="{00000000-0005-0000-0000-000011380000}"/>
    <cellStyle name="Normal 43 55" xfId="13995" xr:uid="{00000000-0005-0000-0000-000012380000}"/>
    <cellStyle name="Normal 43 56" xfId="13996" xr:uid="{00000000-0005-0000-0000-000013380000}"/>
    <cellStyle name="Normal 43 57" xfId="13997" xr:uid="{00000000-0005-0000-0000-000014380000}"/>
    <cellStyle name="Normal 43 58" xfId="13998" xr:uid="{00000000-0005-0000-0000-000015380000}"/>
    <cellStyle name="Normal 43 59" xfId="13999" xr:uid="{00000000-0005-0000-0000-000016380000}"/>
    <cellStyle name="Normal 43 6" xfId="14000" xr:uid="{00000000-0005-0000-0000-000017380000}"/>
    <cellStyle name="Normal 43 6 2" xfId="14001" xr:uid="{00000000-0005-0000-0000-000018380000}"/>
    <cellStyle name="Normal 43 60" xfId="14002" xr:uid="{00000000-0005-0000-0000-000019380000}"/>
    <cellStyle name="Normal 43 61" xfId="14003" xr:uid="{00000000-0005-0000-0000-00001A380000}"/>
    <cellStyle name="Normal 43 62" xfId="14004" xr:uid="{00000000-0005-0000-0000-00001B380000}"/>
    <cellStyle name="Normal 43 63" xfId="14005" xr:uid="{00000000-0005-0000-0000-00001C380000}"/>
    <cellStyle name="Normal 43 64" xfId="14006" xr:uid="{00000000-0005-0000-0000-00001D380000}"/>
    <cellStyle name="Normal 43 65" xfId="14007" xr:uid="{00000000-0005-0000-0000-00001E380000}"/>
    <cellStyle name="Normal 43 66" xfId="14008" xr:uid="{00000000-0005-0000-0000-00001F380000}"/>
    <cellStyle name="Normal 43 67" xfId="14009" xr:uid="{00000000-0005-0000-0000-000020380000}"/>
    <cellStyle name="Normal 43 68" xfId="14010" xr:uid="{00000000-0005-0000-0000-000021380000}"/>
    <cellStyle name="Normal 43 69" xfId="14011" xr:uid="{00000000-0005-0000-0000-000022380000}"/>
    <cellStyle name="Normal 43 7" xfId="14012" xr:uid="{00000000-0005-0000-0000-000023380000}"/>
    <cellStyle name="Normal 43 7 2" xfId="14013" xr:uid="{00000000-0005-0000-0000-000024380000}"/>
    <cellStyle name="Normal 43 70" xfId="14014" xr:uid="{00000000-0005-0000-0000-000025380000}"/>
    <cellStyle name="Normal 43 8" xfId="14015" xr:uid="{00000000-0005-0000-0000-000026380000}"/>
    <cellStyle name="Normal 43 8 2" xfId="14016" xr:uid="{00000000-0005-0000-0000-000027380000}"/>
    <cellStyle name="Normal 43 9" xfId="14017" xr:uid="{00000000-0005-0000-0000-000028380000}"/>
    <cellStyle name="Normal 43 9 2" xfId="14018" xr:uid="{00000000-0005-0000-0000-000029380000}"/>
    <cellStyle name="Normal 44" xfId="14019" xr:uid="{00000000-0005-0000-0000-00002A380000}"/>
    <cellStyle name="Normal 44 10" xfId="14020" xr:uid="{00000000-0005-0000-0000-00002B380000}"/>
    <cellStyle name="Normal 44 10 2" xfId="14021" xr:uid="{00000000-0005-0000-0000-00002C380000}"/>
    <cellStyle name="Normal 44 11" xfId="14022" xr:uid="{00000000-0005-0000-0000-00002D380000}"/>
    <cellStyle name="Normal 44 11 2" xfId="14023" xr:uid="{00000000-0005-0000-0000-00002E380000}"/>
    <cellStyle name="Normal 44 12" xfId="14024" xr:uid="{00000000-0005-0000-0000-00002F380000}"/>
    <cellStyle name="Normal 44 12 2" xfId="14025" xr:uid="{00000000-0005-0000-0000-000030380000}"/>
    <cellStyle name="Normal 44 13" xfId="14026" xr:uid="{00000000-0005-0000-0000-000031380000}"/>
    <cellStyle name="Normal 44 13 2" xfId="14027" xr:uid="{00000000-0005-0000-0000-000032380000}"/>
    <cellStyle name="Normal 44 14" xfId="14028" xr:uid="{00000000-0005-0000-0000-000033380000}"/>
    <cellStyle name="Normal 44 14 2" xfId="14029" xr:uid="{00000000-0005-0000-0000-000034380000}"/>
    <cellStyle name="Normal 44 15" xfId="14030" xr:uid="{00000000-0005-0000-0000-000035380000}"/>
    <cellStyle name="Normal 44 15 2" xfId="14031" xr:uid="{00000000-0005-0000-0000-000036380000}"/>
    <cellStyle name="Normal 44 16" xfId="14032" xr:uid="{00000000-0005-0000-0000-000037380000}"/>
    <cellStyle name="Normal 44 16 2" xfId="14033" xr:uid="{00000000-0005-0000-0000-000038380000}"/>
    <cellStyle name="Normal 44 17" xfId="14034" xr:uid="{00000000-0005-0000-0000-000039380000}"/>
    <cellStyle name="Normal 44 17 2" xfId="14035" xr:uid="{00000000-0005-0000-0000-00003A380000}"/>
    <cellStyle name="Normal 44 18" xfId="14036" xr:uid="{00000000-0005-0000-0000-00003B380000}"/>
    <cellStyle name="Normal 44 18 2" xfId="14037" xr:uid="{00000000-0005-0000-0000-00003C380000}"/>
    <cellStyle name="Normal 44 19" xfId="14038" xr:uid="{00000000-0005-0000-0000-00003D380000}"/>
    <cellStyle name="Normal 44 19 2" xfId="14039" xr:uid="{00000000-0005-0000-0000-00003E380000}"/>
    <cellStyle name="Normal 44 2" xfId="14040" xr:uid="{00000000-0005-0000-0000-00003F380000}"/>
    <cellStyle name="Normal 44 2 2" xfId="14041" xr:uid="{00000000-0005-0000-0000-000040380000}"/>
    <cellStyle name="Normal 44 20" xfId="14042" xr:uid="{00000000-0005-0000-0000-000041380000}"/>
    <cellStyle name="Normal 44 20 2" xfId="14043" xr:uid="{00000000-0005-0000-0000-000042380000}"/>
    <cellStyle name="Normal 44 21" xfId="14044" xr:uid="{00000000-0005-0000-0000-000043380000}"/>
    <cellStyle name="Normal 44 21 2" xfId="14045" xr:uid="{00000000-0005-0000-0000-000044380000}"/>
    <cellStyle name="Normal 44 22" xfId="14046" xr:uid="{00000000-0005-0000-0000-000045380000}"/>
    <cellStyle name="Normal 44 22 2" xfId="14047" xr:uid="{00000000-0005-0000-0000-000046380000}"/>
    <cellStyle name="Normal 44 23" xfId="14048" xr:uid="{00000000-0005-0000-0000-000047380000}"/>
    <cellStyle name="Normal 44 24" xfId="14049" xr:uid="{00000000-0005-0000-0000-000048380000}"/>
    <cellStyle name="Normal 44 25" xfId="14050" xr:uid="{00000000-0005-0000-0000-000049380000}"/>
    <cellStyle name="Normal 44 26" xfId="14051" xr:uid="{00000000-0005-0000-0000-00004A380000}"/>
    <cellStyle name="Normal 44 27" xfId="14052" xr:uid="{00000000-0005-0000-0000-00004B380000}"/>
    <cellStyle name="Normal 44 28" xfId="14053" xr:uid="{00000000-0005-0000-0000-00004C380000}"/>
    <cellStyle name="Normal 44 29" xfId="14054" xr:uid="{00000000-0005-0000-0000-00004D380000}"/>
    <cellStyle name="Normal 44 3" xfId="14055" xr:uid="{00000000-0005-0000-0000-00004E380000}"/>
    <cellStyle name="Normal 44 3 2" xfId="14056" xr:uid="{00000000-0005-0000-0000-00004F380000}"/>
    <cellStyle name="Normal 44 30" xfId="14057" xr:uid="{00000000-0005-0000-0000-000050380000}"/>
    <cellStyle name="Normal 44 31" xfId="14058" xr:uid="{00000000-0005-0000-0000-000051380000}"/>
    <cellStyle name="Normal 44 32" xfId="14059" xr:uid="{00000000-0005-0000-0000-000052380000}"/>
    <cellStyle name="Normal 44 33" xfId="14060" xr:uid="{00000000-0005-0000-0000-000053380000}"/>
    <cellStyle name="Normal 44 34" xfId="14061" xr:uid="{00000000-0005-0000-0000-000054380000}"/>
    <cellStyle name="Normal 44 35" xfId="14062" xr:uid="{00000000-0005-0000-0000-000055380000}"/>
    <cellStyle name="Normal 44 36" xfId="14063" xr:uid="{00000000-0005-0000-0000-000056380000}"/>
    <cellStyle name="Normal 44 37" xfId="14064" xr:uid="{00000000-0005-0000-0000-000057380000}"/>
    <cellStyle name="Normal 44 38" xfId="14065" xr:uid="{00000000-0005-0000-0000-000058380000}"/>
    <cellStyle name="Normal 44 39" xfId="14066" xr:uid="{00000000-0005-0000-0000-000059380000}"/>
    <cellStyle name="Normal 44 4" xfId="14067" xr:uid="{00000000-0005-0000-0000-00005A380000}"/>
    <cellStyle name="Normal 44 4 2" xfId="14068" xr:uid="{00000000-0005-0000-0000-00005B380000}"/>
    <cellStyle name="Normal 44 40" xfId="14069" xr:uid="{00000000-0005-0000-0000-00005C380000}"/>
    <cellStyle name="Normal 44 41" xfId="14070" xr:uid="{00000000-0005-0000-0000-00005D380000}"/>
    <cellStyle name="Normal 44 42" xfId="14071" xr:uid="{00000000-0005-0000-0000-00005E380000}"/>
    <cellStyle name="Normal 44 43" xfId="14072" xr:uid="{00000000-0005-0000-0000-00005F380000}"/>
    <cellStyle name="Normal 44 44" xfId="14073" xr:uid="{00000000-0005-0000-0000-000060380000}"/>
    <cellStyle name="Normal 44 45" xfId="14074" xr:uid="{00000000-0005-0000-0000-000061380000}"/>
    <cellStyle name="Normal 44 46" xfId="14075" xr:uid="{00000000-0005-0000-0000-000062380000}"/>
    <cellStyle name="Normal 44 47" xfId="14076" xr:uid="{00000000-0005-0000-0000-000063380000}"/>
    <cellStyle name="Normal 44 48" xfId="14077" xr:uid="{00000000-0005-0000-0000-000064380000}"/>
    <cellStyle name="Normal 44 49" xfId="14078" xr:uid="{00000000-0005-0000-0000-000065380000}"/>
    <cellStyle name="Normal 44 5" xfId="14079" xr:uid="{00000000-0005-0000-0000-000066380000}"/>
    <cellStyle name="Normal 44 5 2" xfId="14080" xr:uid="{00000000-0005-0000-0000-000067380000}"/>
    <cellStyle name="Normal 44 50" xfId="14081" xr:uid="{00000000-0005-0000-0000-000068380000}"/>
    <cellStyle name="Normal 44 51" xfId="14082" xr:uid="{00000000-0005-0000-0000-000069380000}"/>
    <cellStyle name="Normal 44 52" xfId="14083" xr:uid="{00000000-0005-0000-0000-00006A380000}"/>
    <cellStyle name="Normal 44 53" xfId="14084" xr:uid="{00000000-0005-0000-0000-00006B380000}"/>
    <cellStyle name="Normal 44 54" xfId="14085" xr:uid="{00000000-0005-0000-0000-00006C380000}"/>
    <cellStyle name="Normal 44 55" xfId="14086" xr:uid="{00000000-0005-0000-0000-00006D380000}"/>
    <cellStyle name="Normal 44 56" xfId="14087" xr:uid="{00000000-0005-0000-0000-00006E380000}"/>
    <cellStyle name="Normal 44 57" xfId="14088" xr:uid="{00000000-0005-0000-0000-00006F380000}"/>
    <cellStyle name="Normal 44 58" xfId="14089" xr:uid="{00000000-0005-0000-0000-000070380000}"/>
    <cellStyle name="Normal 44 59" xfId="14090" xr:uid="{00000000-0005-0000-0000-000071380000}"/>
    <cellStyle name="Normal 44 6" xfId="14091" xr:uid="{00000000-0005-0000-0000-000072380000}"/>
    <cellStyle name="Normal 44 6 2" xfId="14092" xr:uid="{00000000-0005-0000-0000-000073380000}"/>
    <cellStyle name="Normal 44 60" xfId="14093" xr:uid="{00000000-0005-0000-0000-000074380000}"/>
    <cellStyle name="Normal 44 61" xfId="14094" xr:uid="{00000000-0005-0000-0000-000075380000}"/>
    <cellStyle name="Normal 44 62" xfId="14095" xr:uid="{00000000-0005-0000-0000-000076380000}"/>
    <cellStyle name="Normal 44 63" xfId="14096" xr:uid="{00000000-0005-0000-0000-000077380000}"/>
    <cellStyle name="Normal 44 64" xfId="14097" xr:uid="{00000000-0005-0000-0000-000078380000}"/>
    <cellStyle name="Normal 44 65" xfId="14098" xr:uid="{00000000-0005-0000-0000-000079380000}"/>
    <cellStyle name="Normal 44 66" xfId="14099" xr:uid="{00000000-0005-0000-0000-00007A380000}"/>
    <cellStyle name="Normal 44 67" xfId="14100" xr:uid="{00000000-0005-0000-0000-00007B380000}"/>
    <cellStyle name="Normal 44 68" xfId="14101" xr:uid="{00000000-0005-0000-0000-00007C380000}"/>
    <cellStyle name="Normal 44 69" xfId="14102" xr:uid="{00000000-0005-0000-0000-00007D380000}"/>
    <cellStyle name="Normal 44 7" xfId="14103" xr:uid="{00000000-0005-0000-0000-00007E380000}"/>
    <cellStyle name="Normal 44 7 2" xfId="14104" xr:uid="{00000000-0005-0000-0000-00007F380000}"/>
    <cellStyle name="Normal 44 70" xfId="14105" xr:uid="{00000000-0005-0000-0000-000080380000}"/>
    <cellStyle name="Normal 44 8" xfId="14106" xr:uid="{00000000-0005-0000-0000-000081380000}"/>
    <cellStyle name="Normal 44 8 2" xfId="14107" xr:uid="{00000000-0005-0000-0000-000082380000}"/>
    <cellStyle name="Normal 44 9" xfId="14108" xr:uid="{00000000-0005-0000-0000-000083380000}"/>
    <cellStyle name="Normal 44 9 2" xfId="14109" xr:uid="{00000000-0005-0000-0000-000084380000}"/>
    <cellStyle name="Normal 45" xfId="14110" xr:uid="{00000000-0005-0000-0000-000085380000}"/>
    <cellStyle name="Normal 45 10" xfId="14111" xr:uid="{00000000-0005-0000-0000-000086380000}"/>
    <cellStyle name="Normal 45 10 2" xfId="14112" xr:uid="{00000000-0005-0000-0000-000087380000}"/>
    <cellStyle name="Normal 45 11" xfId="14113" xr:uid="{00000000-0005-0000-0000-000088380000}"/>
    <cellStyle name="Normal 45 11 2" xfId="14114" xr:uid="{00000000-0005-0000-0000-000089380000}"/>
    <cellStyle name="Normal 45 12" xfId="14115" xr:uid="{00000000-0005-0000-0000-00008A380000}"/>
    <cellStyle name="Normal 45 12 2" xfId="14116" xr:uid="{00000000-0005-0000-0000-00008B380000}"/>
    <cellStyle name="Normal 45 13" xfId="14117" xr:uid="{00000000-0005-0000-0000-00008C380000}"/>
    <cellStyle name="Normal 45 13 2" xfId="14118" xr:uid="{00000000-0005-0000-0000-00008D380000}"/>
    <cellStyle name="Normal 45 14" xfId="14119" xr:uid="{00000000-0005-0000-0000-00008E380000}"/>
    <cellStyle name="Normal 45 14 2" xfId="14120" xr:uid="{00000000-0005-0000-0000-00008F380000}"/>
    <cellStyle name="Normal 45 15" xfId="14121" xr:uid="{00000000-0005-0000-0000-000090380000}"/>
    <cellStyle name="Normal 45 15 2" xfId="14122" xr:uid="{00000000-0005-0000-0000-000091380000}"/>
    <cellStyle name="Normal 45 16" xfId="14123" xr:uid="{00000000-0005-0000-0000-000092380000}"/>
    <cellStyle name="Normal 45 16 2" xfId="14124" xr:uid="{00000000-0005-0000-0000-000093380000}"/>
    <cellStyle name="Normal 45 17" xfId="14125" xr:uid="{00000000-0005-0000-0000-000094380000}"/>
    <cellStyle name="Normal 45 17 2" xfId="14126" xr:uid="{00000000-0005-0000-0000-000095380000}"/>
    <cellStyle name="Normal 45 18" xfId="14127" xr:uid="{00000000-0005-0000-0000-000096380000}"/>
    <cellStyle name="Normal 45 18 2" xfId="14128" xr:uid="{00000000-0005-0000-0000-000097380000}"/>
    <cellStyle name="Normal 45 19" xfId="14129" xr:uid="{00000000-0005-0000-0000-000098380000}"/>
    <cellStyle name="Normal 45 19 2" xfId="14130" xr:uid="{00000000-0005-0000-0000-000099380000}"/>
    <cellStyle name="Normal 45 2" xfId="14131" xr:uid="{00000000-0005-0000-0000-00009A380000}"/>
    <cellStyle name="Normal 45 2 2" xfId="14132" xr:uid="{00000000-0005-0000-0000-00009B380000}"/>
    <cellStyle name="Normal 45 20" xfId="14133" xr:uid="{00000000-0005-0000-0000-00009C380000}"/>
    <cellStyle name="Normal 45 20 2" xfId="14134" xr:uid="{00000000-0005-0000-0000-00009D380000}"/>
    <cellStyle name="Normal 45 21" xfId="14135" xr:uid="{00000000-0005-0000-0000-00009E380000}"/>
    <cellStyle name="Normal 45 21 2" xfId="14136" xr:uid="{00000000-0005-0000-0000-00009F380000}"/>
    <cellStyle name="Normal 45 22" xfId="14137" xr:uid="{00000000-0005-0000-0000-0000A0380000}"/>
    <cellStyle name="Normal 45 22 2" xfId="14138" xr:uid="{00000000-0005-0000-0000-0000A1380000}"/>
    <cellStyle name="Normal 45 23" xfId="14139" xr:uid="{00000000-0005-0000-0000-0000A2380000}"/>
    <cellStyle name="Normal 45 24" xfId="14140" xr:uid="{00000000-0005-0000-0000-0000A3380000}"/>
    <cellStyle name="Normal 45 25" xfId="14141" xr:uid="{00000000-0005-0000-0000-0000A4380000}"/>
    <cellStyle name="Normal 45 26" xfId="14142" xr:uid="{00000000-0005-0000-0000-0000A5380000}"/>
    <cellStyle name="Normal 45 27" xfId="14143" xr:uid="{00000000-0005-0000-0000-0000A6380000}"/>
    <cellStyle name="Normal 45 28" xfId="14144" xr:uid="{00000000-0005-0000-0000-0000A7380000}"/>
    <cellStyle name="Normal 45 29" xfId="14145" xr:uid="{00000000-0005-0000-0000-0000A8380000}"/>
    <cellStyle name="Normal 45 3" xfId="14146" xr:uid="{00000000-0005-0000-0000-0000A9380000}"/>
    <cellStyle name="Normal 45 3 2" xfId="14147" xr:uid="{00000000-0005-0000-0000-0000AA380000}"/>
    <cellStyle name="Normal 45 30" xfId="14148" xr:uid="{00000000-0005-0000-0000-0000AB380000}"/>
    <cellStyle name="Normal 45 31" xfId="14149" xr:uid="{00000000-0005-0000-0000-0000AC380000}"/>
    <cellStyle name="Normal 45 32" xfId="14150" xr:uid="{00000000-0005-0000-0000-0000AD380000}"/>
    <cellStyle name="Normal 45 33" xfId="14151" xr:uid="{00000000-0005-0000-0000-0000AE380000}"/>
    <cellStyle name="Normal 45 34" xfId="14152" xr:uid="{00000000-0005-0000-0000-0000AF380000}"/>
    <cellStyle name="Normal 45 35" xfId="14153" xr:uid="{00000000-0005-0000-0000-0000B0380000}"/>
    <cellStyle name="Normal 45 36" xfId="14154" xr:uid="{00000000-0005-0000-0000-0000B1380000}"/>
    <cellStyle name="Normal 45 37" xfId="14155" xr:uid="{00000000-0005-0000-0000-0000B2380000}"/>
    <cellStyle name="Normal 45 38" xfId="14156" xr:uid="{00000000-0005-0000-0000-0000B3380000}"/>
    <cellStyle name="Normal 45 39" xfId="14157" xr:uid="{00000000-0005-0000-0000-0000B4380000}"/>
    <cellStyle name="Normal 45 4" xfId="14158" xr:uid="{00000000-0005-0000-0000-0000B5380000}"/>
    <cellStyle name="Normal 45 4 2" xfId="14159" xr:uid="{00000000-0005-0000-0000-0000B6380000}"/>
    <cellStyle name="Normal 45 40" xfId="14160" xr:uid="{00000000-0005-0000-0000-0000B7380000}"/>
    <cellStyle name="Normal 45 41" xfId="14161" xr:uid="{00000000-0005-0000-0000-0000B8380000}"/>
    <cellStyle name="Normal 45 42" xfId="14162" xr:uid="{00000000-0005-0000-0000-0000B9380000}"/>
    <cellStyle name="Normal 45 43" xfId="14163" xr:uid="{00000000-0005-0000-0000-0000BA380000}"/>
    <cellStyle name="Normal 45 44" xfId="14164" xr:uid="{00000000-0005-0000-0000-0000BB380000}"/>
    <cellStyle name="Normal 45 45" xfId="14165" xr:uid="{00000000-0005-0000-0000-0000BC380000}"/>
    <cellStyle name="Normal 45 46" xfId="14166" xr:uid="{00000000-0005-0000-0000-0000BD380000}"/>
    <cellStyle name="Normal 45 47" xfId="14167" xr:uid="{00000000-0005-0000-0000-0000BE380000}"/>
    <cellStyle name="Normal 45 48" xfId="14168" xr:uid="{00000000-0005-0000-0000-0000BF380000}"/>
    <cellStyle name="Normal 45 49" xfId="14169" xr:uid="{00000000-0005-0000-0000-0000C0380000}"/>
    <cellStyle name="Normal 45 5" xfId="14170" xr:uid="{00000000-0005-0000-0000-0000C1380000}"/>
    <cellStyle name="Normal 45 5 2" xfId="14171" xr:uid="{00000000-0005-0000-0000-0000C2380000}"/>
    <cellStyle name="Normal 45 50" xfId="14172" xr:uid="{00000000-0005-0000-0000-0000C3380000}"/>
    <cellStyle name="Normal 45 51" xfId="14173" xr:uid="{00000000-0005-0000-0000-0000C4380000}"/>
    <cellStyle name="Normal 45 52" xfId="14174" xr:uid="{00000000-0005-0000-0000-0000C5380000}"/>
    <cellStyle name="Normal 45 53" xfId="14175" xr:uid="{00000000-0005-0000-0000-0000C6380000}"/>
    <cellStyle name="Normal 45 54" xfId="14176" xr:uid="{00000000-0005-0000-0000-0000C7380000}"/>
    <cellStyle name="Normal 45 55" xfId="14177" xr:uid="{00000000-0005-0000-0000-0000C8380000}"/>
    <cellStyle name="Normal 45 56" xfId="14178" xr:uid="{00000000-0005-0000-0000-0000C9380000}"/>
    <cellStyle name="Normal 45 57" xfId="14179" xr:uid="{00000000-0005-0000-0000-0000CA380000}"/>
    <cellStyle name="Normal 45 58" xfId="14180" xr:uid="{00000000-0005-0000-0000-0000CB380000}"/>
    <cellStyle name="Normal 45 59" xfId="14181" xr:uid="{00000000-0005-0000-0000-0000CC380000}"/>
    <cellStyle name="Normal 45 6" xfId="14182" xr:uid="{00000000-0005-0000-0000-0000CD380000}"/>
    <cellStyle name="Normal 45 6 2" xfId="14183" xr:uid="{00000000-0005-0000-0000-0000CE380000}"/>
    <cellStyle name="Normal 45 60" xfId="14184" xr:uid="{00000000-0005-0000-0000-0000CF380000}"/>
    <cellStyle name="Normal 45 61" xfId="14185" xr:uid="{00000000-0005-0000-0000-0000D0380000}"/>
    <cellStyle name="Normal 45 62" xfId="14186" xr:uid="{00000000-0005-0000-0000-0000D1380000}"/>
    <cellStyle name="Normal 45 63" xfId="14187" xr:uid="{00000000-0005-0000-0000-0000D2380000}"/>
    <cellStyle name="Normal 45 64" xfId="14188" xr:uid="{00000000-0005-0000-0000-0000D3380000}"/>
    <cellStyle name="Normal 45 65" xfId="14189" xr:uid="{00000000-0005-0000-0000-0000D4380000}"/>
    <cellStyle name="Normal 45 66" xfId="14190" xr:uid="{00000000-0005-0000-0000-0000D5380000}"/>
    <cellStyle name="Normal 45 67" xfId="14191" xr:uid="{00000000-0005-0000-0000-0000D6380000}"/>
    <cellStyle name="Normal 45 68" xfId="14192" xr:uid="{00000000-0005-0000-0000-0000D7380000}"/>
    <cellStyle name="Normal 45 69" xfId="14193" xr:uid="{00000000-0005-0000-0000-0000D8380000}"/>
    <cellStyle name="Normal 45 7" xfId="14194" xr:uid="{00000000-0005-0000-0000-0000D9380000}"/>
    <cellStyle name="Normal 45 7 2" xfId="14195" xr:uid="{00000000-0005-0000-0000-0000DA380000}"/>
    <cellStyle name="Normal 45 70" xfId="14196" xr:uid="{00000000-0005-0000-0000-0000DB380000}"/>
    <cellStyle name="Normal 45 8" xfId="14197" xr:uid="{00000000-0005-0000-0000-0000DC380000}"/>
    <cellStyle name="Normal 45 8 2" xfId="14198" xr:uid="{00000000-0005-0000-0000-0000DD380000}"/>
    <cellStyle name="Normal 45 9" xfId="14199" xr:uid="{00000000-0005-0000-0000-0000DE380000}"/>
    <cellStyle name="Normal 45 9 2" xfId="14200" xr:uid="{00000000-0005-0000-0000-0000DF380000}"/>
    <cellStyle name="Normal 46" xfId="14201" xr:uid="{00000000-0005-0000-0000-0000E0380000}"/>
    <cellStyle name="Normal 46 10" xfId="14202" xr:uid="{00000000-0005-0000-0000-0000E1380000}"/>
    <cellStyle name="Normal 46 10 2" xfId="14203" xr:uid="{00000000-0005-0000-0000-0000E2380000}"/>
    <cellStyle name="Normal 46 11" xfId="14204" xr:uid="{00000000-0005-0000-0000-0000E3380000}"/>
    <cellStyle name="Normal 46 11 2" xfId="14205" xr:uid="{00000000-0005-0000-0000-0000E4380000}"/>
    <cellStyle name="Normal 46 12" xfId="14206" xr:uid="{00000000-0005-0000-0000-0000E5380000}"/>
    <cellStyle name="Normal 46 12 2" xfId="14207" xr:uid="{00000000-0005-0000-0000-0000E6380000}"/>
    <cellStyle name="Normal 46 13" xfId="14208" xr:uid="{00000000-0005-0000-0000-0000E7380000}"/>
    <cellStyle name="Normal 46 13 2" xfId="14209" xr:uid="{00000000-0005-0000-0000-0000E8380000}"/>
    <cellStyle name="Normal 46 14" xfId="14210" xr:uid="{00000000-0005-0000-0000-0000E9380000}"/>
    <cellStyle name="Normal 46 14 2" xfId="14211" xr:uid="{00000000-0005-0000-0000-0000EA380000}"/>
    <cellStyle name="Normal 46 15" xfId="14212" xr:uid="{00000000-0005-0000-0000-0000EB380000}"/>
    <cellStyle name="Normal 46 15 2" xfId="14213" xr:uid="{00000000-0005-0000-0000-0000EC380000}"/>
    <cellStyle name="Normal 46 16" xfId="14214" xr:uid="{00000000-0005-0000-0000-0000ED380000}"/>
    <cellStyle name="Normal 46 16 2" xfId="14215" xr:uid="{00000000-0005-0000-0000-0000EE380000}"/>
    <cellStyle name="Normal 46 17" xfId="14216" xr:uid="{00000000-0005-0000-0000-0000EF380000}"/>
    <cellStyle name="Normal 46 17 2" xfId="14217" xr:uid="{00000000-0005-0000-0000-0000F0380000}"/>
    <cellStyle name="Normal 46 18" xfId="14218" xr:uid="{00000000-0005-0000-0000-0000F1380000}"/>
    <cellStyle name="Normal 46 18 2" xfId="14219" xr:uid="{00000000-0005-0000-0000-0000F2380000}"/>
    <cellStyle name="Normal 46 19" xfId="14220" xr:uid="{00000000-0005-0000-0000-0000F3380000}"/>
    <cellStyle name="Normal 46 19 2" xfId="14221" xr:uid="{00000000-0005-0000-0000-0000F4380000}"/>
    <cellStyle name="Normal 46 2" xfId="14222" xr:uid="{00000000-0005-0000-0000-0000F5380000}"/>
    <cellStyle name="Normal 46 2 2" xfId="14223" xr:uid="{00000000-0005-0000-0000-0000F6380000}"/>
    <cellStyle name="Normal 46 20" xfId="14224" xr:uid="{00000000-0005-0000-0000-0000F7380000}"/>
    <cellStyle name="Normal 46 20 2" xfId="14225" xr:uid="{00000000-0005-0000-0000-0000F8380000}"/>
    <cellStyle name="Normal 46 21" xfId="14226" xr:uid="{00000000-0005-0000-0000-0000F9380000}"/>
    <cellStyle name="Normal 46 21 2" xfId="14227" xr:uid="{00000000-0005-0000-0000-0000FA380000}"/>
    <cellStyle name="Normal 46 22" xfId="14228" xr:uid="{00000000-0005-0000-0000-0000FB380000}"/>
    <cellStyle name="Normal 46 22 2" xfId="14229" xr:uid="{00000000-0005-0000-0000-0000FC380000}"/>
    <cellStyle name="Normal 46 23" xfId="14230" xr:uid="{00000000-0005-0000-0000-0000FD380000}"/>
    <cellStyle name="Normal 46 24" xfId="14231" xr:uid="{00000000-0005-0000-0000-0000FE380000}"/>
    <cellStyle name="Normal 46 25" xfId="14232" xr:uid="{00000000-0005-0000-0000-0000FF380000}"/>
    <cellStyle name="Normal 46 26" xfId="14233" xr:uid="{00000000-0005-0000-0000-000000390000}"/>
    <cellStyle name="Normal 46 27" xfId="14234" xr:uid="{00000000-0005-0000-0000-000001390000}"/>
    <cellStyle name="Normal 46 28" xfId="14235" xr:uid="{00000000-0005-0000-0000-000002390000}"/>
    <cellStyle name="Normal 46 29" xfId="14236" xr:uid="{00000000-0005-0000-0000-000003390000}"/>
    <cellStyle name="Normal 46 3" xfId="14237" xr:uid="{00000000-0005-0000-0000-000004390000}"/>
    <cellStyle name="Normal 46 3 2" xfId="14238" xr:uid="{00000000-0005-0000-0000-000005390000}"/>
    <cellStyle name="Normal 46 30" xfId="14239" xr:uid="{00000000-0005-0000-0000-000006390000}"/>
    <cellStyle name="Normal 46 31" xfId="14240" xr:uid="{00000000-0005-0000-0000-000007390000}"/>
    <cellStyle name="Normal 46 32" xfId="14241" xr:uid="{00000000-0005-0000-0000-000008390000}"/>
    <cellStyle name="Normal 46 33" xfId="14242" xr:uid="{00000000-0005-0000-0000-000009390000}"/>
    <cellStyle name="Normal 46 34" xfId="14243" xr:uid="{00000000-0005-0000-0000-00000A390000}"/>
    <cellStyle name="Normal 46 35" xfId="14244" xr:uid="{00000000-0005-0000-0000-00000B390000}"/>
    <cellStyle name="Normal 46 36" xfId="14245" xr:uid="{00000000-0005-0000-0000-00000C390000}"/>
    <cellStyle name="Normal 46 37" xfId="14246" xr:uid="{00000000-0005-0000-0000-00000D390000}"/>
    <cellStyle name="Normal 46 38" xfId="14247" xr:uid="{00000000-0005-0000-0000-00000E390000}"/>
    <cellStyle name="Normal 46 39" xfId="14248" xr:uid="{00000000-0005-0000-0000-00000F390000}"/>
    <cellStyle name="Normal 46 4" xfId="14249" xr:uid="{00000000-0005-0000-0000-000010390000}"/>
    <cellStyle name="Normal 46 4 2" xfId="14250" xr:uid="{00000000-0005-0000-0000-000011390000}"/>
    <cellStyle name="Normal 46 40" xfId="14251" xr:uid="{00000000-0005-0000-0000-000012390000}"/>
    <cellStyle name="Normal 46 41" xfId="14252" xr:uid="{00000000-0005-0000-0000-000013390000}"/>
    <cellStyle name="Normal 46 42" xfId="14253" xr:uid="{00000000-0005-0000-0000-000014390000}"/>
    <cellStyle name="Normal 46 43" xfId="14254" xr:uid="{00000000-0005-0000-0000-000015390000}"/>
    <cellStyle name="Normal 46 44" xfId="14255" xr:uid="{00000000-0005-0000-0000-000016390000}"/>
    <cellStyle name="Normal 46 45" xfId="14256" xr:uid="{00000000-0005-0000-0000-000017390000}"/>
    <cellStyle name="Normal 46 46" xfId="14257" xr:uid="{00000000-0005-0000-0000-000018390000}"/>
    <cellStyle name="Normal 46 47" xfId="14258" xr:uid="{00000000-0005-0000-0000-000019390000}"/>
    <cellStyle name="Normal 46 48" xfId="14259" xr:uid="{00000000-0005-0000-0000-00001A390000}"/>
    <cellStyle name="Normal 46 49" xfId="14260" xr:uid="{00000000-0005-0000-0000-00001B390000}"/>
    <cellStyle name="Normal 46 5" xfId="14261" xr:uid="{00000000-0005-0000-0000-00001C390000}"/>
    <cellStyle name="Normal 46 5 2" xfId="14262" xr:uid="{00000000-0005-0000-0000-00001D390000}"/>
    <cellStyle name="Normal 46 50" xfId="14263" xr:uid="{00000000-0005-0000-0000-00001E390000}"/>
    <cellStyle name="Normal 46 51" xfId="14264" xr:uid="{00000000-0005-0000-0000-00001F390000}"/>
    <cellStyle name="Normal 46 52" xfId="14265" xr:uid="{00000000-0005-0000-0000-000020390000}"/>
    <cellStyle name="Normal 46 53" xfId="14266" xr:uid="{00000000-0005-0000-0000-000021390000}"/>
    <cellStyle name="Normal 46 54" xfId="14267" xr:uid="{00000000-0005-0000-0000-000022390000}"/>
    <cellStyle name="Normal 46 55" xfId="14268" xr:uid="{00000000-0005-0000-0000-000023390000}"/>
    <cellStyle name="Normal 46 56" xfId="14269" xr:uid="{00000000-0005-0000-0000-000024390000}"/>
    <cellStyle name="Normal 46 57" xfId="14270" xr:uid="{00000000-0005-0000-0000-000025390000}"/>
    <cellStyle name="Normal 46 58" xfId="14271" xr:uid="{00000000-0005-0000-0000-000026390000}"/>
    <cellStyle name="Normal 46 59" xfId="14272" xr:uid="{00000000-0005-0000-0000-000027390000}"/>
    <cellStyle name="Normal 46 6" xfId="14273" xr:uid="{00000000-0005-0000-0000-000028390000}"/>
    <cellStyle name="Normal 46 6 2" xfId="14274" xr:uid="{00000000-0005-0000-0000-000029390000}"/>
    <cellStyle name="Normal 46 60" xfId="14275" xr:uid="{00000000-0005-0000-0000-00002A390000}"/>
    <cellStyle name="Normal 46 61" xfId="14276" xr:uid="{00000000-0005-0000-0000-00002B390000}"/>
    <cellStyle name="Normal 46 62" xfId="14277" xr:uid="{00000000-0005-0000-0000-00002C390000}"/>
    <cellStyle name="Normal 46 63" xfId="14278" xr:uid="{00000000-0005-0000-0000-00002D390000}"/>
    <cellStyle name="Normal 46 64" xfId="14279" xr:uid="{00000000-0005-0000-0000-00002E390000}"/>
    <cellStyle name="Normal 46 65" xfId="14280" xr:uid="{00000000-0005-0000-0000-00002F390000}"/>
    <cellStyle name="Normal 46 66" xfId="14281" xr:uid="{00000000-0005-0000-0000-000030390000}"/>
    <cellStyle name="Normal 46 67" xfId="14282" xr:uid="{00000000-0005-0000-0000-000031390000}"/>
    <cellStyle name="Normal 46 68" xfId="14283" xr:uid="{00000000-0005-0000-0000-000032390000}"/>
    <cellStyle name="Normal 46 69" xfId="14284" xr:uid="{00000000-0005-0000-0000-000033390000}"/>
    <cellStyle name="Normal 46 7" xfId="14285" xr:uid="{00000000-0005-0000-0000-000034390000}"/>
    <cellStyle name="Normal 46 7 2" xfId="14286" xr:uid="{00000000-0005-0000-0000-000035390000}"/>
    <cellStyle name="Normal 46 70" xfId="14287" xr:uid="{00000000-0005-0000-0000-000036390000}"/>
    <cellStyle name="Normal 46 8" xfId="14288" xr:uid="{00000000-0005-0000-0000-000037390000}"/>
    <cellStyle name="Normal 46 8 2" xfId="14289" xr:uid="{00000000-0005-0000-0000-000038390000}"/>
    <cellStyle name="Normal 46 9" xfId="14290" xr:uid="{00000000-0005-0000-0000-000039390000}"/>
    <cellStyle name="Normal 46 9 2" xfId="14291" xr:uid="{00000000-0005-0000-0000-00003A390000}"/>
    <cellStyle name="Normal 47" xfId="14292" xr:uid="{00000000-0005-0000-0000-00003B390000}"/>
    <cellStyle name="Normal 47 10" xfId="14293" xr:uid="{00000000-0005-0000-0000-00003C390000}"/>
    <cellStyle name="Normal 47 10 2" xfId="14294" xr:uid="{00000000-0005-0000-0000-00003D390000}"/>
    <cellStyle name="Normal 47 11" xfId="14295" xr:uid="{00000000-0005-0000-0000-00003E390000}"/>
    <cellStyle name="Normal 47 11 2" xfId="14296" xr:uid="{00000000-0005-0000-0000-00003F390000}"/>
    <cellStyle name="Normal 47 12" xfId="14297" xr:uid="{00000000-0005-0000-0000-000040390000}"/>
    <cellStyle name="Normal 47 12 2" xfId="14298" xr:uid="{00000000-0005-0000-0000-000041390000}"/>
    <cellStyle name="Normal 47 13" xfId="14299" xr:uid="{00000000-0005-0000-0000-000042390000}"/>
    <cellStyle name="Normal 47 13 2" xfId="14300" xr:uid="{00000000-0005-0000-0000-000043390000}"/>
    <cellStyle name="Normal 47 14" xfId="14301" xr:uid="{00000000-0005-0000-0000-000044390000}"/>
    <cellStyle name="Normal 47 14 2" xfId="14302" xr:uid="{00000000-0005-0000-0000-000045390000}"/>
    <cellStyle name="Normal 47 15" xfId="14303" xr:uid="{00000000-0005-0000-0000-000046390000}"/>
    <cellStyle name="Normal 47 15 2" xfId="14304" xr:uid="{00000000-0005-0000-0000-000047390000}"/>
    <cellStyle name="Normal 47 16" xfId="14305" xr:uid="{00000000-0005-0000-0000-000048390000}"/>
    <cellStyle name="Normal 47 16 2" xfId="14306" xr:uid="{00000000-0005-0000-0000-000049390000}"/>
    <cellStyle name="Normal 47 17" xfId="14307" xr:uid="{00000000-0005-0000-0000-00004A390000}"/>
    <cellStyle name="Normal 47 17 2" xfId="14308" xr:uid="{00000000-0005-0000-0000-00004B390000}"/>
    <cellStyle name="Normal 47 18" xfId="14309" xr:uid="{00000000-0005-0000-0000-00004C390000}"/>
    <cellStyle name="Normal 47 18 2" xfId="14310" xr:uid="{00000000-0005-0000-0000-00004D390000}"/>
    <cellStyle name="Normal 47 19" xfId="14311" xr:uid="{00000000-0005-0000-0000-00004E390000}"/>
    <cellStyle name="Normal 47 19 2" xfId="14312" xr:uid="{00000000-0005-0000-0000-00004F390000}"/>
    <cellStyle name="Normal 47 2" xfId="14313" xr:uid="{00000000-0005-0000-0000-000050390000}"/>
    <cellStyle name="Normal 47 2 2" xfId="14314" xr:uid="{00000000-0005-0000-0000-000051390000}"/>
    <cellStyle name="Normal 47 20" xfId="14315" xr:uid="{00000000-0005-0000-0000-000052390000}"/>
    <cellStyle name="Normal 47 20 2" xfId="14316" xr:uid="{00000000-0005-0000-0000-000053390000}"/>
    <cellStyle name="Normal 47 21" xfId="14317" xr:uid="{00000000-0005-0000-0000-000054390000}"/>
    <cellStyle name="Normal 47 21 2" xfId="14318" xr:uid="{00000000-0005-0000-0000-000055390000}"/>
    <cellStyle name="Normal 47 22" xfId="14319" xr:uid="{00000000-0005-0000-0000-000056390000}"/>
    <cellStyle name="Normal 47 22 2" xfId="14320" xr:uid="{00000000-0005-0000-0000-000057390000}"/>
    <cellStyle name="Normal 47 23" xfId="14321" xr:uid="{00000000-0005-0000-0000-000058390000}"/>
    <cellStyle name="Normal 47 24" xfId="14322" xr:uid="{00000000-0005-0000-0000-000059390000}"/>
    <cellStyle name="Normal 47 25" xfId="14323" xr:uid="{00000000-0005-0000-0000-00005A390000}"/>
    <cellStyle name="Normal 47 26" xfId="14324" xr:uid="{00000000-0005-0000-0000-00005B390000}"/>
    <cellStyle name="Normal 47 27" xfId="14325" xr:uid="{00000000-0005-0000-0000-00005C390000}"/>
    <cellStyle name="Normal 47 28" xfId="14326" xr:uid="{00000000-0005-0000-0000-00005D390000}"/>
    <cellStyle name="Normal 47 29" xfId="14327" xr:uid="{00000000-0005-0000-0000-00005E390000}"/>
    <cellStyle name="Normal 47 3" xfId="14328" xr:uid="{00000000-0005-0000-0000-00005F390000}"/>
    <cellStyle name="Normal 47 3 2" xfId="14329" xr:uid="{00000000-0005-0000-0000-000060390000}"/>
    <cellStyle name="Normal 47 30" xfId="14330" xr:uid="{00000000-0005-0000-0000-000061390000}"/>
    <cellStyle name="Normal 47 31" xfId="14331" xr:uid="{00000000-0005-0000-0000-000062390000}"/>
    <cellStyle name="Normal 47 32" xfId="14332" xr:uid="{00000000-0005-0000-0000-000063390000}"/>
    <cellStyle name="Normal 47 33" xfId="14333" xr:uid="{00000000-0005-0000-0000-000064390000}"/>
    <cellStyle name="Normal 47 34" xfId="14334" xr:uid="{00000000-0005-0000-0000-000065390000}"/>
    <cellStyle name="Normal 47 35" xfId="14335" xr:uid="{00000000-0005-0000-0000-000066390000}"/>
    <cellStyle name="Normal 47 36" xfId="14336" xr:uid="{00000000-0005-0000-0000-000067390000}"/>
    <cellStyle name="Normal 47 37" xfId="14337" xr:uid="{00000000-0005-0000-0000-000068390000}"/>
    <cellStyle name="Normal 47 38" xfId="14338" xr:uid="{00000000-0005-0000-0000-000069390000}"/>
    <cellStyle name="Normal 47 39" xfId="14339" xr:uid="{00000000-0005-0000-0000-00006A390000}"/>
    <cellStyle name="Normal 47 4" xfId="14340" xr:uid="{00000000-0005-0000-0000-00006B390000}"/>
    <cellStyle name="Normal 47 4 2" xfId="14341" xr:uid="{00000000-0005-0000-0000-00006C390000}"/>
    <cellStyle name="Normal 47 40" xfId="14342" xr:uid="{00000000-0005-0000-0000-00006D390000}"/>
    <cellStyle name="Normal 47 41" xfId="14343" xr:uid="{00000000-0005-0000-0000-00006E390000}"/>
    <cellStyle name="Normal 47 42" xfId="14344" xr:uid="{00000000-0005-0000-0000-00006F390000}"/>
    <cellStyle name="Normal 47 43" xfId="14345" xr:uid="{00000000-0005-0000-0000-000070390000}"/>
    <cellStyle name="Normal 47 44" xfId="14346" xr:uid="{00000000-0005-0000-0000-000071390000}"/>
    <cellStyle name="Normal 47 45" xfId="14347" xr:uid="{00000000-0005-0000-0000-000072390000}"/>
    <cellStyle name="Normal 47 46" xfId="14348" xr:uid="{00000000-0005-0000-0000-000073390000}"/>
    <cellStyle name="Normal 47 47" xfId="14349" xr:uid="{00000000-0005-0000-0000-000074390000}"/>
    <cellStyle name="Normal 47 48" xfId="14350" xr:uid="{00000000-0005-0000-0000-000075390000}"/>
    <cellStyle name="Normal 47 49" xfId="14351" xr:uid="{00000000-0005-0000-0000-000076390000}"/>
    <cellStyle name="Normal 47 5" xfId="14352" xr:uid="{00000000-0005-0000-0000-000077390000}"/>
    <cellStyle name="Normal 47 5 2" xfId="14353" xr:uid="{00000000-0005-0000-0000-000078390000}"/>
    <cellStyle name="Normal 47 50" xfId="14354" xr:uid="{00000000-0005-0000-0000-000079390000}"/>
    <cellStyle name="Normal 47 51" xfId="14355" xr:uid="{00000000-0005-0000-0000-00007A390000}"/>
    <cellStyle name="Normal 47 52" xfId="14356" xr:uid="{00000000-0005-0000-0000-00007B390000}"/>
    <cellStyle name="Normal 47 53" xfId="14357" xr:uid="{00000000-0005-0000-0000-00007C390000}"/>
    <cellStyle name="Normal 47 54" xfId="14358" xr:uid="{00000000-0005-0000-0000-00007D390000}"/>
    <cellStyle name="Normal 47 55" xfId="14359" xr:uid="{00000000-0005-0000-0000-00007E390000}"/>
    <cellStyle name="Normal 47 56" xfId="14360" xr:uid="{00000000-0005-0000-0000-00007F390000}"/>
    <cellStyle name="Normal 47 57" xfId="14361" xr:uid="{00000000-0005-0000-0000-000080390000}"/>
    <cellStyle name="Normal 47 58" xfId="14362" xr:uid="{00000000-0005-0000-0000-000081390000}"/>
    <cellStyle name="Normal 47 59" xfId="14363" xr:uid="{00000000-0005-0000-0000-000082390000}"/>
    <cellStyle name="Normal 47 6" xfId="14364" xr:uid="{00000000-0005-0000-0000-000083390000}"/>
    <cellStyle name="Normal 47 6 2" xfId="14365" xr:uid="{00000000-0005-0000-0000-000084390000}"/>
    <cellStyle name="Normal 47 60" xfId="14366" xr:uid="{00000000-0005-0000-0000-000085390000}"/>
    <cellStyle name="Normal 47 61" xfId="14367" xr:uid="{00000000-0005-0000-0000-000086390000}"/>
    <cellStyle name="Normal 47 62" xfId="14368" xr:uid="{00000000-0005-0000-0000-000087390000}"/>
    <cellStyle name="Normal 47 63" xfId="14369" xr:uid="{00000000-0005-0000-0000-000088390000}"/>
    <cellStyle name="Normal 47 64" xfId="14370" xr:uid="{00000000-0005-0000-0000-000089390000}"/>
    <cellStyle name="Normal 47 65" xfId="14371" xr:uid="{00000000-0005-0000-0000-00008A390000}"/>
    <cellStyle name="Normal 47 66" xfId="14372" xr:uid="{00000000-0005-0000-0000-00008B390000}"/>
    <cellStyle name="Normal 47 67" xfId="14373" xr:uid="{00000000-0005-0000-0000-00008C390000}"/>
    <cellStyle name="Normal 47 68" xfId="14374" xr:uid="{00000000-0005-0000-0000-00008D390000}"/>
    <cellStyle name="Normal 47 69" xfId="14375" xr:uid="{00000000-0005-0000-0000-00008E390000}"/>
    <cellStyle name="Normal 47 7" xfId="14376" xr:uid="{00000000-0005-0000-0000-00008F390000}"/>
    <cellStyle name="Normal 47 7 2" xfId="14377" xr:uid="{00000000-0005-0000-0000-000090390000}"/>
    <cellStyle name="Normal 47 70" xfId="14378" xr:uid="{00000000-0005-0000-0000-000091390000}"/>
    <cellStyle name="Normal 47 8" xfId="14379" xr:uid="{00000000-0005-0000-0000-000092390000}"/>
    <cellStyle name="Normal 47 8 2" xfId="14380" xr:uid="{00000000-0005-0000-0000-000093390000}"/>
    <cellStyle name="Normal 47 9" xfId="14381" xr:uid="{00000000-0005-0000-0000-000094390000}"/>
    <cellStyle name="Normal 47 9 2" xfId="14382" xr:uid="{00000000-0005-0000-0000-000095390000}"/>
    <cellStyle name="Normal 48" xfId="14383" xr:uid="{00000000-0005-0000-0000-000096390000}"/>
    <cellStyle name="Normal 48 10" xfId="14384" xr:uid="{00000000-0005-0000-0000-000097390000}"/>
    <cellStyle name="Normal 48 10 2" xfId="14385" xr:uid="{00000000-0005-0000-0000-000098390000}"/>
    <cellStyle name="Normal 48 11" xfId="14386" xr:uid="{00000000-0005-0000-0000-000099390000}"/>
    <cellStyle name="Normal 48 11 2" xfId="14387" xr:uid="{00000000-0005-0000-0000-00009A390000}"/>
    <cellStyle name="Normal 48 12" xfId="14388" xr:uid="{00000000-0005-0000-0000-00009B390000}"/>
    <cellStyle name="Normal 48 12 2" xfId="14389" xr:uid="{00000000-0005-0000-0000-00009C390000}"/>
    <cellStyle name="Normal 48 13" xfId="14390" xr:uid="{00000000-0005-0000-0000-00009D390000}"/>
    <cellStyle name="Normal 48 13 2" xfId="14391" xr:uid="{00000000-0005-0000-0000-00009E390000}"/>
    <cellStyle name="Normal 48 14" xfId="14392" xr:uid="{00000000-0005-0000-0000-00009F390000}"/>
    <cellStyle name="Normal 48 14 2" xfId="14393" xr:uid="{00000000-0005-0000-0000-0000A0390000}"/>
    <cellStyle name="Normal 48 15" xfId="14394" xr:uid="{00000000-0005-0000-0000-0000A1390000}"/>
    <cellStyle name="Normal 48 15 2" xfId="14395" xr:uid="{00000000-0005-0000-0000-0000A2390000}"/>
    <cellStyle name="Normal 48 16" xfId="14396" xr:uid="{00000000-0005-0000-0000-0000A3390000}"/>
    <cellStyle name="Normal 48 16 2" xfId="14397" xr:uid="{00000000-0005-0000-0000-0000A4390000}"/>
    <cellStyle name="Normal 48 17" xfId="14398" xr:uid="{00000000-0005-0000-0000-0000A5390000}"/>
    <cellStyle name="Normal 48 17 2" xfId="14399" xr:uid="{00000000-0005-0000-0000-0000A6390000}"/>
    <cellStyle name="Normal 48 18" xfId="14400" xr:uid="{00000000-0005-0000-0000-0000A7390000}"/>
    <cellStyle name="Normal 48 18 2" xfId="14401" xr:uid="{00000000-0005-0000-0000-0000A8390000}"/>
    <cellStyle name="Normal 48 19" xfId="14402" xr:uid="{00000000-0005-0000-0000-0000A9390000}"/>
    <cellStyle name="Normal 48 19 2" xfId="14403" xr:uid="{00000000-0005-0000-0000-0000AA390000}"/>
    <cellStyle name="Normal 48 2" xfId="14404" xr:uid="{00000000-0005-0000-0000-0000AB390000}"/>
    <cellStyle name="Normal 48 2 2" xfId="14405" xr:uid="{00000000-0005-0000-0000-0000AC390000}"/>
    <cellStyle name="Normal 48 20" xfId="14406" xr:uid="{00000000-0005-0000-0000-0000AD390000}"/>
    <cellStyle name="Normal 48 20 2" xfId="14407" xr:uid="{00000000-0005-0000-0000-0000AE390000}"/>
    <cellStyle name="Normal 48 21" xfId="14408" xr:uid="{00000000-0005-0000-0000-0000AF390000}"/>
    <cellStyle name="Normal 48 21 2" xfId="14409" xr:uid="{00000000-0005-0000-0000-0000B0390000}"/>
    <cellStyle name="Normal 48 22" xfId="14410" xr:uid="{00000000-0005-0000-0000-0000B1390000}"/>
    <cellStyle name="Normal 48 22 2" xfId="14411" xr:uid="{00000000-0005-0000-0000-0000B2390000}"/>
    <cellStyle name="Normal 48 23" xfId="14412" xr:uid="{00000000-0005-0000-0000-0000B3390000}"/>
    <cellStyle name="Normal 48 24" xfId="14413" xr:uid="{00000000-0005-0000-0000-0000B4390000}"/>
    <cellStyle name="Normal 48 25" xfId="14414" xr:uid="{00000000-0005-0000-0000-0000B5390000}"/>
    <cellStyle name="Normal 48 26" xfId="14415" xr:uid="{00000000-0005-0000-0000-0000B6390000}"/>
    <cellStyle name="Normal 48 27" xfId="14416" xr:uid="{00000000-0005-0000-0000-0000B7390000}"/>
    <cellStyle name="Normal 48 28" xfId="14417" xr:uid="{00000000-0005-0000-0000-0000B8390000}"/>
    <cellStyle name="Normal 48 29" xfId="14418" xr:uid="{00000000-0005-0000-0000-0000B9390000}"/>
    <cellStyle name="Normal 48 3" xfId="14419" xr:uid="{00000000-0005-0000-0000-0000BA390000}"/>
    <cellStyle name="Normal 48 3 2" xfId="14420" xr:uid="{00000000-0005-0000-0000-0000BB390000}"/>
    <cellStyle name="Normal 48 30" xfId="14421" xr:uid="{00000000-0005-0000-0000-0000BC390000}"/>
    <cellStyle name="Normal 48 31" xfId="14422" xr:uid="{00000000-0005-0000-0000-0000BD390000}"/>
    <cellStyle name="Normal 48 32" xfId="14423" xr:uid="{00000000-0005-0000-0000-0000BE390000}"/>
    <cellStyle name="Normal 48 33" xfId="14424" xr:uid="{00000000-0005-0000-0000-0000BF390000}"/>
    <cellStyle name="Normal 48 34" xfId="14425" xr:uid="{00000000-0005-0000-0000-0000C0390000}"/>
    <cellStyle name="Normal 48 35" xfId="14426" xr:uid="{00000000-0005-0000-0000-0000C1390000}"/>
    <cellStyle name="Normal 48 36" xfId="14427" xr:uid="{00000000-0005-0000-0000-0000C2390000}"/>
    <cellStyle name="Normal 48 37" xfId="14428" xr:uid="{00000000-0005-0000-0000-0000C3390000}"/>
    <cellStyle name="Normal 48 38" xfId="14429" xr:uid="{00000000-0005-0000-0000-0000C4390000}"/>
    <cellStyle name="Normal 48 39" xfId="14430" xr:uid="{00000000-0005-0000-0000-0000C5390000}"/>
    <cellStyle name="Normal 48 4" xfId="14431" xr:uid="{00000000-0005-0000-0000-0000C6390000}"/>
    <cellStyle name="Normal 48 4 2" xfId="14432" xr:uid="{00000000-0005-0000-0000-0000C7390000}"/>
    <cellStyle name="Normal 48 40" xfId="14433" xr:uid="{00000000-0005-0000-0000-0000C8390000}"/>
    <cellStyle name="Normal 48 41" xfId="14434" xr:uid="{00000000-0005-0000-0000-0000C9390000}"/>
    <cellStyle name="Normal 48 42" xfId="14435" xr:uid="{00000000-0005-0000-0000-0000CA390000}"/>
    <cellStyle name="Normal 48 43" xfId="14436" xr:uid="{00000000-0005-0000-0000-0000CB390000}"/>
    <cellStyle name="Normal 48 44" xfId="14437" xr:uid="{00000000-0005-0000-0000-0000CC390000}"/>
    <cellStyle name="Normal 48 45" xfId="14438" xr:uid="{00000000-0005-0000-0000-0000CD390000}"/>
    <cellStyle name="Normal 48 46" xfId="14439" xr:uid="{00000000-0005-0000-0000-0000CE390000}"/>
    <cellStyle name="Normal 48 47" xfId="14440" xr:uid="{00000000-0005-0000-0000-0000CF390000}"/>
    <cellStyle name="Normal 48 48" xfId="14441" xr:uid="{00000000-0005-0000-0000-0000D0390000}"/>
    <cellStyle name="Normal 48 49" xfId="14442" xr:uid="{00000000-0005-0000-0000-0000D1390000}"/>
    <cellStyle name="Normal 48 5" xfId="14443" xr:uid="{00000000-0005-0000-0000-0000D2390000}"/>
    <cellStyle name="Normal 48 5 2" xfId="14444" xr:uid="{00000000-0005-0000-0000-0000D3390000}"/>
    <cellStyle name="Normal 48 50" xfId="14445" xr:uid="{00000000-0005-0000-0000-0000D4390000}"/>
    <cellStyle name="Normal 48 51" xfId="14446" xr:uid="{00000000-0005-0000-0000-0000D5390000}"/>
    <cellStyle name="Normal 48 52" xfId="14447" xr:uid="{00000000-0005-0000-0000-0000D6390000}"/>
    <cellStyle name="Normal 48 53" xfId="14448" xr:uid="{00000000-0005-0000-0000-0000D7390000}"/>
    <cellStyle name="Normal 48 54" xfId="14449" xr:uid="{00000000-0005-0000-0000-0000D8390000}"/>
    <cellStyle name="Normal 48 55" xfId="14450" xr:uid="{00000000-0005-0000-0000-0000D9390000}"/>
    <cellStyle name="Normal 48 56" xfId="14451" xr:uid="{00000000-0005-0000-0000-0000DA390000}"/>
    <cellStyle name="Normal 48 57" xfId="14452" xr:uid="{00000000-0005-0000-0000-0000DB390000}"/>
    <cellStyle name="Normal 48 58" xfId="14453" xr:uid="{00000000-0005-0000-0000-0000DC390000}"/>
    <cellStyle name="Normal 48 59" xfId="14454" xr:uid="{00000000-0005-0000-0000-0000DD390000}"/>
    <cellStyle name="Normal 48 6" xfId="14455" xr:uid="{00000000-0005-0000-0000-0000DE390000}"/>
    <cellStyle name="Normal 48 6 2" xfId="14456" xr:uid="{00000000-0005-0000-0000-0000DF390000}"/>
    <cellStyle name="Normal 48 60" xfId="14457" xr:uid="{00000000-0005-0000-0000-0000E0390000}"/>
    <cellStyle name="Normal 48 61" xfId="14458" xr:uid="{00000000-0005-0000-0000-0000E1390000}"/>
    <cellStyle name="Normal 48 62" xfId="14459" xr:uid="{00000000-0005-0000-0000-0000E2390000}"/>
    <cellStyle name="Normal 48 63" xfId="14460" xr:uid="{00000000-0005-0000-0000-0000E3390000}"/>
    <cellStyle name="Normal 48 64" xfId="14461" xr:uid="{00000000-0005-0000-0000-0000E4390000}"/>
    <cellStyle name="Normal 48 65" xfId="14462" xr:uid="{00000000-0005-0000-0000-0000E5390000}"/>
    <cellStyle name="Normal 48 66" xfId="14463" xr:uid="{00000000-0005-0000-0000-0000E6390000}"/>
    <cellStyle name="Normal 48 67" xfId="14464" xr:uid="{00000000-0005-0000-0000-0000E7390000}"/>
    <cellStyle name="Normal 48 68" xfId="14465" xr:uid="{00000000-0005-0000-0000-0000E8390000}"/>
    <cellStyle name="Normal 48 69" xfId="14466" xr:uid="{00000000-0005-0000-0000-0000E9390000}"/>
    <cellStyle name="Normal 48 7" xfId="14467" xr:uid="{00000000-0005-0000-0000-0000EA390000}"/>
    <cellStyle name="Normal 48 7 2" xfId="14468" xr:uid="{00000000-0005-0000-0000-0000EB390000}"/>
    <cellStyle name="Normal 48 70" xfId="14469" xr:uid="{00000000-0005-0000-0000-0000EC390000}"/>
    <cellStyle name="Normal 48 8" xfId="14470" xr:uid="{00000000-0005-0000-0000-0000ED390000}"/>
    <cellStyle name="Normal 48 8 2" xfId="14471" xr:uid="{00000000-0005-0000-0000-0000EE390000}"/>
    <cellStyle name="Normal 48 9" xfId="14472" xr:uid="{00000000-0005-0000-0000-0000EF390000}"/>
    <cellStyle name="Normal 48 9 2" xfId="14473" xr:uid="{00000000-0005-0000-0000-0000F0390000}"/>
    <cellStyle name="Normal 49" xfId="14474" xr:uid="{00000000-0005-0000-0000-0000F1390000}"/>
    <cellStyle name="Normal 49 10" xfId="14475" xr:uid="{00000000-0005-0000-0000-0000F2390000}"/>
    <cellStyle name="Normal 49 10 2" xfId="14476" xr:uid="{00000000-0005-0000-0000-0000F3390000}"/>
    <cellStyle name="Normal 49 11" xfId="14477" xr:uid="{00000000-0005-0000-0000-0000F4390000}"/>
    <cellStyle name="Normal 49 11 2" xfId="14478" xr:uid="{00000000-0005-0000-0000-0000F5390000}"/>
    <cellStyle name="Normal 49 12" xfId="14479" xr:uid="{00000000-0005-0000-0000-0000F6390000}"/>
    <cellStyle name="Normal 49 12 2" xfId="14480" xr:uid="{00000000-0005-0000-0000-0000F7390000}"/>
    <cellStyle name="Normal 49 13" xfId="14481" xr:uid="{00000000-0005-0000-0000-0000F8390000}"/>
    <cellStyle name="Normal 49 13 2" xfId="14482" xr:uid="{00000000-0005-0000-0000-0000F9390000}"/>
    <cellStyle name="Normal 49 14" xfId="14483" xr:uid="{00000000-0005-0000-0000-0000FA390000}"/>
    <cellStyle name="Normal 49 14 2" xfId="14484" xr:uid="{00000000-0005-0000-0000-0000FB390000}"/>
    <cellStyle name="Normal 49 15" xfId="14485" xr:uid="{00000000-0005-0000-0000-0000FC390000}"/>
    <cellStyle name="Normal 49 15 2" xfId="14486" xr:uid="{00000000-0005-0000-0000-0000FD390000}"/>
    <cellStyle name="Normal 49 16" xfId="14487" xr:uid="{00000000-0005-0000-0000-0000FE390000}"/>
    <cellStyle name="Normal 49 16 2" xfId="14488" xr:uid="{00000000-0005-0000-0000-0000FF390000}"/>
    <cellStyle name="Normal 49 17" xfId="14489" xr:uid="{00000000-0005-0000-0000-0000003A0000}"/>
    <cellStyle name="Normal 49 17 2" xfId="14490" xr:uid="{00000000-0005-0000-0000-0000013A0000}"/>
    <cellStyle name="Normal 49 18" xfId="14491" xr:uid="{00000000-0005-0000-0000-0000023A0000}"/>
    <cellStyle name="Normal 49 18 2" xfId="14492" xr:uid="{00000000-0005-0000-0000-0000033A0000}"/>
    <cellStyle name="Normal 49 19" xfId="14493" xr:uid="{00000000-0005-0000-0000-0000043A0000}"/>
    <cellStyle name="Normal 49 19 2" xfId="14494" xr:uid="{00000000-0005-0000-0000-0000053A0000}"/>
    <cellStyle name="Normal 49 2" xfId="14495" xr:uid="{00000000-0005-0000-0000-0000063A0000}"/>
    <cellStyle name="Normal 49 2 2" xfId="14496" xr:uid="{00000000-0005-0000-0000-0000073A0000}"/>
    <cellStyle name="Normal 49 20" xfId="14497" xr:uid="{00000000-0005-0000-0000-0000083A0000}"/>
    <cellStyle name="Normal 49 20 2" xfId="14498" xr:uid="{00000000-0005-0000-0000-0000093A0000}"/>
    <cellStyle name="Normal 49 21" xfId="14499" xr:uid="{00000000-0005-0000-0000-00000A3A0000}"/>
    <cellStyle name="Normal 49 21 2" xfId="14500" xr:uid="{00000000-0005-0000-0000-00000B3A0000}"/>
    <cellStyle name="Normal 49 22" xfId="14501" xr:uid="{00000000-0005-0000-0000-00000C3A0000}"/>
    <cellStyle name="Normal 49 22 2" xfId="14502" xr:uid="{00000000-0005-0000-0000-00000D3A0000}"/>
    <cellStyle name="Normal 49 23" xfId="14503" xr:uid="{00000000-0005-0000-0000-00000E3A0000}"/>
    <cellStyle name="Normal 49 24" xfId="14504" xr:uid="{00000000-0005-0000-0000-00000F3A0000}"/>
    <cellStyle name="Normal 49 25" xfId="14505" xr:uid="{00000000-0005-0000-0000-0000103A0000}"/>
    <cellStyle name="Normal 49 26" xfId="14506" xr:uid="{00000000-0005-0000-0000-0000113A0000}"/>
    <cellStyle name="Normal 49 27" xfId="14507" xr:uid="{00000000-0005-0000-0000-0000123A0000}"/>
    <cellStyle name="Normal 49 28" xfId="14508" xr:uid="{00000000-0005-0000-0000-0000133A0000}"/>
    <cellStyle name="Normal 49 29" xfId="14509" xr:uid="{00000000-0005-0000-0000-0000143A0000}"/>
    <cellStyle name="Normal 49 3" xfId="14510" xr:uid="{00000000-0005-0000-0000-0000153A0000}"/>
    <cellStyle name="Normal 49 3 2" xfId="14511" xr:uid="{00000000-0005-0000-0000-0000163A0000}"/>
    <cellStyle name="Normal 49 30" xfId="14512" xr:uid="{00000000-0005-0000-0000-0000173A0000}"/>
    <cellStyle name="Normal 49 31" xfId="14513" xr:uid="{00000000-0005-0000-0000-0000183A0000}"/>
    <cellStyle name="Normal 49 32" xfId="14514" xr:uid="{00000000-0005-0000-0000-0000193A0000}"/>
    <cellStyle name="Normal 49 33" xfId="14515" xr:uid="{00000000-0005-0000-0000-00001A3A0000}"/>
    <cellStyle name="Normal 49 34" xfId="14516" xr:uid="{00000000-0005-0000-0000-00001B3A0000}"/>
    <cellStyle name="Normal 49 35" xfId="14517" xr:uid="{00000000-0005-0000-0000-00001C3A0000}"/>
    <cellStyle name="Normal 49 36" xfId="14518" xr:uid="{00000000-0005-0000-0000-00001D3A0000}"/>
    <cellStyle name="Normal 49 37" xfId="14519" xr:uid="{00000000-0005-0000-0000-00001E3A0000}"/>
    <cellStyle name="Normal 49 38" xfId="14520" xr:uid="{00000000-0005-0000-0000-00001F3A0000}"/>
    <cellStyle name="Normal 49 39" xfId="14521" xr:uid="{00000000-0005-0000-0000-0000203A0000}"/>
    <cellStyle name="Normal 49 4" xfId="14522" xr:uid="{00000000-0005-0000-0000-0000213A0000}"/>
    <cellStyle name="Normal 49 4 2" xfId="14523" xr:uid="{00000000-0005-0000-0000-0000223A0000}"/>
    <cellStyle name="Normal 49 40" xfId="14524" xr:uid="{00000000-0005-0000-0000-0000233A0000}"/>
    <cellStyle name="Normal 49 41" xfId="14525" xr:uid="{00000000-0005-0000-0000-0000243A0000}"/>
    <cellStyle name="Normal 49 42" xfId="14526" xr:uid="{00000000-0005-0000-0000-0000253A0000}"/>
    <cellStyle name="Normal 49 43" xfId="14527" xr:uid="{00000000-0005-0000-0000-0000263A0000}"/>
    <cellStyle name="Normal 49 44" xfId="14528" xr:uid="{00000000-0005-0000-0000-0000273A0000}"/>
    <cellStyle name="Normal 49 45" xfId="14529" xr:uid="{00000000-0005-0000-0000-0000283A0000}"/>
    <cellStyle name="Normal 49 46" xfId="14530" xr:uid="{00000000-0005-0000-0000-0000293A0000}"/>
    <cellStyle name="Normal 49 47" xfId="14531" xr:uid="{00000000-0005-0000-0000-00002A3A0000}"/>
    <cellStyle name="Normal 49 48" xfId="14532" xr:uid="{00000000-0005-0000-0000-00002B3A0000}"/>
    <cellStyle name="Normal 49 49" xfId="14533" xr:uid="{00000000-0005-0000-0000-00002C3A0000}"/>
    <cellStyle name="Normal 49 5" xfId="14534" xr:uid="{00000000-0005-0000-0000-00002D3A0000}"/>
    <cellStyle name="Normal 49 5 2" xfId="14535" xr:uid="{00000000-0005-0000-0000-00002E3A0000}"/>
    <cellStyle name="Normal 49 50" xfId="14536" xr:uid="{00000000-0005-0000-0000-00002F3A0000}"/>
    <cellStyle name="Normal 49 51" xfId="14537" xr:uid="{00000000-0005-0000-0000-0000303A0000}"/>
    <cellStyle name="Normal 49 52" xfId="14538" xr:uid="{00000000-0005-0000-0000-0000313A0000}"/>
    <cellStyle name="Normal 49 53" xfId="14539" xr:uid="{00000000-0005-0000-0000-0000323A0000}"/>
    <cellStyle name="Normal 49 54" xfId="14540" xr:uid="{00000000-0005-0000-0000-0000333A0000}"/>
    <cellStyle name="Normal 49 55" xfId="14541" xr:uid="{00000000-0005-0000-0000-0000343A0000}"/>
    <cellStyle name="Normal 49 56" xfId="14542" xr:uid="{00000000-0005-0000-0000-0000353A0000}"/>
    <cellStyle name="Normal 49 57" xfId="14543" xr:uid="{00000000-0005-0000-0000-0000363A0000}"/>
    <cellStyle name="Normal 49 58" xfId="14544" xr:uid="{00000000-0005-0000-0000-0000373A0000}"/>
    <cellStyle name="Normal 49 59" xfId="14545" xr:uid="{00000000-0005-0000-0000-0000383A0000}"/>
    <cellStyle name="Normal 49 6" xfId="14546" xr:uid="{00000000-0005-0000-0000-0000393A0000}"/>
    <cellStyle name="Normal 49 6 2" xfId="14547" xr:uid="{00000000-0005-0000-0000-00003A3A0000}"/>
    <cellStyle name="Normal 49 60" xfId="14548" xr:uid="{00000000-0005-0000-0000-00003B3A0000}"/>
    <cellStyle name="Normal 49 61" xfId="14549" xr:uid="{00000000-0005-0000-0000-00003C3A0000}"/>
    <cellStyle name="Normal 49 62" xfId="14550" xr:uid="{00000000-0005-0000-0000-00003D3A0000}"/>
    <cellStyle name="Normal 49 63" xfId="14551" xr:uid="{00000000-0005-0000-0000-00003E3A0000}"/>
    <cellStyle name="Normal 49 64" xfId="14552" xr:uid="{00000000-0005-0000-0000-00003F3A0000}"/>
    <cellStyle name="Normal 49 65" xfId="14553" xr:uid="{00000000-0005-0000-0000-0000403A0000}"/>
    <cellStyle name="Normal 49 66" xfId="14554" xr:uid="{00000000-0005-0000-0000-0000413A0000}"/>
    <cellStyle name="Normal 49 67" xfId="14555" xr:uid="{00000000-0005-0000-0000-0000423A0000}"/>
    <cellStyle name="Normal 49 68" xfId="14556" xr:uid="{00000000-0005-0000-0000-0000433A0000}"/>
    <cellStyle name="Normal 49 69" xfId="14557" xr:uid="{00000000-0005-0000-0000-0000443A0000}"/>
    <cellStyle name="Normal 49 7" xfId="14558" xr:uid="{00000000-0005-0000-0000-0000453A0000}"/>
    <cellStyle name="Normal 49 7 2" xfId="14559" xr:uid="{00000000-0005-0000-0000-0000463A0000}"/>
    <cellStyle name="Normal 49 70" xfId="14560" xr:uid="{00000000-0005-0000-0000-0000473A0000}"/>
    <cellStyle name="Normal 49 8" xfId="14561" xr:uid="{00000000-0005-0000-0000-0000483A0000}"/>
    <cellStyle name="Normal 49 8 2" xfId="14562" xr:uid="{00000000-0005-0000-0000-0000493A0000}"/>
    <cellStyle name="Normal 49 9" xfId="14563" xr:uid="{00000000-0005-0000-0000-00004A3A0000}"/>
    <cellStyle name="Normal 49 9 2" xfId="14564" xr:uid="{00000000-0005-0000-0000-00004B3A0000}"/>
    <cellStyle name="Normal 5" xfId="14565" xr:uid="{00000000-0005-0000-0000-00004C3A0000}"/>
    <cellStyle name="Normal 5 10" xfId="14566" xr:uid="{00000000-0005-0000-0000-00004D3A0000}"/>
    <cellStyle name="Normal 5 11" xfId="14567" xr:uid="{00000000-0005-0000-0000-00004E3A0000}"/>
    <cellStyle name="Normal 5 11 2" xfId="14568" xr:uid="{00000000-0005-0000-0000-00004F3A0000}"/>
    <cellStyle name="Normal 5 12" xfId="14569" xr:uid="{00000000-0005-0000-0000-0000503A0000}"/>
    <cellStyle name="Normal 5 13" xfId="14570" xr:uid="{00000000-0005-0000-0000-0000513A0000}"/>
    <cellStyle name="Normal 5 14" xfId="14571" xr:uid="{00000000-0005-0000-0000-0000523A0000}"/>
    <cellStyle name="Normal 5 15" xfId="14572" xr:uid="{00000000-0005-0000-0000-0000533A0000}"/>
    <cellStyle name="Normal 5 16" xfId="14573" xr:uid="{00000000-0005-0000-0000-0000543A0000}"/>
    <cellStyle name="Normal 5 17" xfId="14574" xr:uid="{00000000-0005-0000-0000-0000553A0000}"/>
    <cellStyle name="Normal 5 18" xfId="14575" xr:uid="{00000000-0005-0000-0000-0000563A0000}"/>
    <cellStyle name="Normal 5 19" xfId="14576" xr:uid="{00000000-0005-0000-0000-0000573A0000}"/>
    <cellStyle name="Normal 5 2" xfId="14577" xr:uid="{00000000-0005-0000-0000-0000583A0000}"/>
    <cellStyle name="Normal 5 2 10" xfId="14578" xr:uid="{00000000-0005-0000-0000-0000593A0000}"/>
    <cellStyle name="Normal 5 2 11" xfId="14579" xr:uid="{00000000-0005-0000-0000-00005A3A0000}"/>
    <cellStyle name="Normal 5 2 12" xfId="14580" xr:uid="{00000000-0005-0000-0000-00005B3A0000}"/>
    <cellStyle name="Normal 5 2 13" xfId="14581" xr:uid="{00000000-0005-0000-0000-00005C3A0000}"/>
    <cellStyle name="Normal 5 2 14" xfId="14582" xr:uid="{00000000-0005-0000-0000-00005D3A0000}"/>
    <cellStyle name="Normal 5 2 15" xfId="14583" xr:uid="{00000000-0005-0000-0000-00005E3A0000}"/>
    <cellStyle name="Normal 5 2 16" xfId="14584" xr:uid="{00000000-0005-0000-0000-00005F3A0000}"/>
    <cellStyle name="Normal 5 2 17" xfId="14585" xr:uid="{00000000-0005-0000-0000-0000603A0000}"/>
    <cellStyle name="Normal 5 2 18" xfId="14586" xr:uid="{00000000-0005-0000-0000-0000613A0000}"/>
    <cellStyle name="Normal 5 2 19" xfId="14587" xr:uid="{00000000-0005-0000-0000-0000623A0000}"/>
    <cellStyle name="Normal 5 2 2" xfId="14588" xr:uid="{00000000-0005-0000-0000-0000633A0000}"/>
    <cellStyle name="Normal 5 2 2 10" xfId="14589" xr:uid="{00000000-0005-0000-0000-0000643A0000}"/>
    <cellStyle name="Normal 5 2 2 11" xfId="14590" xr:uid="{00000000-0005-0000-0000-0000653A0000}"/>
    <cellStyle name="Normal 5 2 2 12" xfId="14591" xr:uid="{00000000-0005-0000-0000-0000663A0000}"/>
    <cellStyle name="Normal 5 2 2 13" xfId="14592" xr:uid="{00000000-0005-0000-0000-0000673A0000}"/>
    <cellStyle name="Normal 5 2 2 14" xfId="14593" xr:uid="{00000000-0005-0000-0000-0000683A0000}"/>
    <cellStyle name="Normal 5 2 2 15" xfId="14594" xr:uid="{00000000-0005-0000-0000-0000693A0000}"/>
    <cellStyle name="Normal 5 2 2 16" xfId="14595" xr:uid="{00000000-0005-0000-0000-00006A3A0000}"/>
    <cellStyle name="Normal 5 2 2 17" xfId="14596" xr:uid="{00000000-0005-0000-0000-00006B3A0000}"/>
    <cellStyle name="Normal 5 2 2 18" xfId="14597" xr:uid="{00000000-0005-0000-0000-00006C3A0000}"/>
    <cellStyle name="Normal 5 2 2 19" xfId="14598" xr:uid="{00000000-0005-0000-0000-00006D3A0000}"/>
    <cellStyle name="Normal 5 2 2 2" xfId="14599" xr:uid="{00000000-0005-0000-0000-00006E3A0000}"/>
    <cellStyle name="Normal 5 2 2 2 10" xfId="14600" xr:uid="{00000000-0005-0000-0000-00006F3A0000}"/>
    <cellStyle name="Normal 5 2 2 2 11" xfId="14601" xr:uid="{00000000-0005-0000-0000-0000703A0000}"/>
    <cellStyle name="Normal 5 2 2 2 12" xfId="14602" xr:uid="{00000000-0005-0000-0000-0000713A0000}"/>
    <cellStyle name="Normal 5 2 2 2 13" xfId="14603" xr:uid="{00000000-0005-0000-0000-0000723A0000}"/>
    <cellStyle name="Normal 5 2 2 2 14" xfId="14604" xr:uid="{00000000-0005-0000-0000-0000733A0000}"/>
    <cellStyle name="Normal 5 2 2 2 15" xfId="14605" xr:uid="{00000000-0005-0000-0000-0000743A0000}"/>
    <cellStyle name="Normal 5 2 2 2 16" xfId="14606" xr:uid="{00000000-0005-0000-0000-0000753A0000}"/>
    <cellStyle name="Normal 5 2 2 2 17" xfId="14607" xr:uid="{00000000-0005-0000-0000-0000763A0000}"/>
    <cellStyle name="Normal 5 2 2 2 18" xfId="14608" xr:uid="{00000000-0005-0000-0000-0000773A0000}"/>
    <cellStyle name="Normal 5 2 2 2 2" xfId="14609" xr:uid="{00000000-0005-0000-0000-0000783A0000}"/>
    <cellStyle name="Normal 5 2 2 2 3" xfId="14610" xr:uid="{00000000-0005-0000-0000-0000793A0000}"/>
    <cellStyle name="Normal 5 2 2 2 4" xfId="14611" xr:uid="{00000000-0005-0000-0000-00007A3A0000}"/>
    <cellStyle name="Normal 5 2 2 2 5" xfId="14612" xr:uid="{00000000-0005-0000-0000-00007B3A0000}"/>
    <cellStyle name="Normal 5 2 2 2 6" xfId="14613" xr:uid="{00000000-0005-0000-0000-00007C3A0000}"/>
    <cellStyle name="Normal 5 2 2 2 7" xfId="14614" xr:uid="{00000000-0005-0000-0000-00007D3A0000}"/>
    <cellStyle name="Normal 5 2 2 2 8" xfId="14615" xr:uid="{00000000-0005-0000-0000-00007E3A0000}"/>
    <cellStyle name="Normal 5 2 2 2 9" xfId="14616" xr:uid="{00000000-0005-0000-0000-00007F3A0000}"/>
    <cellStyle name="Normal 5 2 2 3" xfId="14617" xr:uid="{00000000-0005-0000-0000-0000803A0000}"/>
    <cellStyle name="Normal 5 2 2 4" xfId="14618" xr:uid="{00000000-0005-0000-0000-0000813A0000}"/>
    <cellStyle name="Normal 5 2 2 5" xfId="14619" xr:uid="{00000000-0005-0000-0000-0000823A0000}"/>
    <cellStyle name="Normal 5 2 2 6" xfId="14620" xr:uid="{00000000-0005-0000-0000-0000833A0000}"/>
    <cellStyle name="Normal 5 2 2 7" xfId="14621" xr:uid="{00000000-0005-0000-0000-0000843A0000}"/>
    <cellStyle name="Normal 5 2 2 8" xfId="14622" xr:uid="{00000000-0005-0000-0000-0000853A0000}"/>
    <cellStyle name="Normal 5 2 2 9" xfId="14623" xr:uid="{00000000-0005-0000-0000-0000863A0000}"/>
    <cellStyle name="Normal 5 2 2_ELEC SAP FCST UPLOAD" xfId="14624" xr:uid="{00000000-0005-0000-0000-0000873A0000}"/>
    <cellStyle name="Normal 5 2 20" xfId="14625" xr:uid="{00000000-0005-0000-0000-0000883A0000}"/>
    <cellStyle name="Normal 5 2 21" xfId="14626" xr:uid="{00000000-0005-0000-0000-0000893A0000}"/>
    <cellStyle name="Normal 5 2 22" xfId="14627" xr:uid="{00000000-0005-0000-0000-00008A3A0000}"/>
    <cellStyle name="Normal 5 2 3" xfId="14628" xr:uid="{00000000-0005-0000-0000-00008B3A0000}"/>
    <cellStyle name="Normal 5 2 4" xfId="14629" xr:uid="{00000000-0005-0000-0000-00008C3A0000}"/>
    <cellStyle name="Normal 5 2 5" xfId="14630" xr:uid="{00000000-0005-0000-0000-00008D3A0000}"/>
    <cellStyle name="Normal 5 2 6" xfId="14631" xr:uid="{00000000-0005-0000-0000-00008E3A0000}"/>
    <cellStyle name="Normal 5 2 7" xfId="14632" xr:uid="{00000000-0005-0000-0000-00008F3A0000}"/>
    <cellStyle name="Normal 5 2 8" xfId="14633" xr:uid="{00000000-0005-0000-0000-0000903A0000}"/>
    <cellStyle name="Normal 5 2 9" xfId="14634" xr:uid="{00000000-0005-0000-0000-0000913A0000}"/>
    <cellStyle name="Normal 5 2_ELEC SAP FCST UPLOAD" xfId="14635" xr:uid="{00000000-0005-0000-0000-0000923A0000}"/>
    <cellStyle name="Normal 5 20" xfId="14636" xr:uid="{00000000-0005-0000-0000-0000933A0000}"/>
    <cellStyle name="Normal 5 21" xfId="14637" xr:uid="{00000000-0005-0000-0000-0000943A0000}"/>
    <cellStyle name="Normal 5 22" xfId="14638" xr:uid="{00000000-0005-0000-0000-0000953A0000}"/>
    <cellStyle name="Normal 5 23" xfId="14639" xr:uid="{00000000-0005-0000-0000-0000963A0000}"/>
    <cellStyle name="Normal 5 24" xfId="14640" xr:uid="{00000000-0005-0000-0000-0000973A0000}"/>
    <cellStyle name="Normal 5 25" xfId="14641" xr:uid="{00000000-0005-0000-0000-0000983A0000}"/>
    <cellStyle name="Normal 5 26" xfId="14642" xr:uid="{00000000-0005-0000-0000-0000993A0000}"/>
    <cellStyle name="Normal 5 27" xfId="14643" xr:uid="{00000000-0005-0000-0000-00009A3A0000}"/>
    <cellStyle name="Normal 5 28" xfId="14644" xr:uid="{00000000-0005-0000-0000-00009B3A0000}"/>
    <cellStyle name="Normal 5 29" xfId="14645" xr:uid="{00000000-0005-0000-0000-00009C3A0000}"/>
    <cellStyle name="Normal 5 3" xfId="14646" xr:uid="{00000000-0005-0000-0000-00009D3A0000}"/>
    <cellStyle name="Normal 5 30" xfId="14647" xr:uid="{00000000-0005-0000-0000-00009E3A0000}"/>
    <cellStyle name="Normal 5 31" xfId="14648" xr:uid="{00000000-0005-0000-0000-00009F3A0000}"/>
    <cellStyle name="Normal 5 32" xfId="14649" xr:uid="{00000000-0005-0000-0000-0000A03A0000}"/>
    <cellStyle name="Normal 5 33" xfId="14650" xr:uid="{00000000-0005-0000-0000-0000A13A0000}"/>
    <cellStyle name="Normal 5 34" xfId="14651" xr:uid="{00000000-0005-0000-0000-0000A23A0000}"/>
    <cellStyle name="Normal 5 35" xfId="14652" xr:uid="{00000000-0005-0000-0000-0000A33A0000}"/>
    <cellStyle name="Normal 5 36" xfId="14653" xr:uid="{00000000-0005-0000-0000-0000A43A0000}"/>
    <cellStyle name="Normal 5 37" xfId="14654" xr:uid="{00000000-0005-0000-0000-0000A53A0000}"/>
    <cellStyle name="Normal 5 38" xfId="14655" xr:uid="{00000000-0005-0000-0000-0000A63A0000}"/>
    <cellStyle name="Normal 5 39" xfId="14656" xr:uid="{00000000-0005-0000-0000-0000A73A0000}"/>
    <cellStyle name="Normal 5 4" xfId="14657" xr:uid="{00000000-0005-0000-0000-0000A83A0000}"/>
    <cellStyle name="Normal 5 40" xfId="14658" xr:uid="{00000000-0005-0000-0000-0000A93A0000}"/>
    <cellStyle name="Normal 5 41" xfId="14659" xr:uid="{00000000-0005-0000-0000-0000AA3A0000}"/>
    <cellStyle name="Normal 5 42" xfId="14660" xr:uid="{00000000-0005-0000-0000-0000AB3A0000}"/>
    <cellStyle name="Normal 5 43" xfId="14661" xr:uid="{00000000-0005-0000-0000-0000AC3A0000}"/>
    <cellStyle name="Normal 5 44" xfId="14662" xr:uid="{00000000-0005-0000-0000-0000AD3A0000}"/>
    <cellStyle name="Normal 5 45" xfId="14663" xr:uid="{00000000-0005-0000-0000-0000AE3A0000}"/>
    <cellStyle name="Normal 5 46" xfId="14664" xr:uid="{00000000-0005-0000-0000-0000AF3A0000}"/>
    <cellStyle name="Normal 5 47" xfId="14665" xr:uid="{00000000-0005-0000-0000-0000B03A0000}"/>
    <cellStyle name="Normal 5 48" xfId="14666" xr:uid="{00000000-0005-0000-0000-0000B13A0000}"/>
    <cellStyle name="Normal 5 49" xfId="14667" xr:uid="{00000000-0005-0000-0000-0000B23A0000}"/>
    <cellStyle name="Normal 5 5" xfId="14668" xr:uid="{00000000-0005-0000-0000-0000B33A0000}"/>
    <cellStyle name="Normal 5 50" xfId="14669" xr:uid="{00000000-0005-0000-0000-0000B43A0000}"/>
    <cellStyle name="Normal 5 51" xfId="14670" xr:uid="{00000000-0005-0000-0000-0000B53A0000}"/>
    <cellStyle name="Normal 5 52" xfId="14671" xr:uid="{00000000-0005-0000-0000-0000B63A0000}"/>
    <cellStyle name="Normal 5 53" xfId="14672" xr:uid="{00000000-0005-0000-0000-0000B73A0000}"/>
    <cellStyle name="Normal 5 54" xfId="14673" xr:uid="{00000000-0005-0000-0000-0000B83A0000}"/>
    <cellStyle name="Normal 5 55" xfId="14674" xr:uid="{00000000-0005-0000-0000-0000B93A0000}"/>
    <cellStyle name="Normal 5 56" xfId="14675" xr:uid="{00000000-0005-0000-0000-0000BA3A0000}"/>
    <cellStyle name="Normal 5 57" xfId="14676" xr:uid="{00000000-0005-0000-0000-0000BB3A0000}"/>
    <cellStyle name="Normal 5 58" xfId="14677" xr:uid="{00000000-0005-0000-0000-0000BC3A0000}"/>
    <cellStyle name="Normal 5 59" xfId="14678" xr:uid="{00000000-0005-0000-0000-0000BD3A0000}"/>
    <cellStyle name="Normal 5 6" xfId="14679" xr:uid="{00000000-0005-0000-0000-0000BE3A0000}"/>
    <cellStyle name="Normal 5 6 10" xfId="14680" xr:uid="{00000000-0005-0000-0000-0000BF3A0000}"/>
    <cellStyle name="Normal 5 6 11" xfId="14681" xr:uid="{00000000-0005-0000-0000-0000C03A0000}"/>
    <cellStyle name="Normal 5 6 12" xfId="14682" xr:uid="{00000000-0005-0000-0000-0000C13A0000}"/>
    <cellStyle name="Normal 5 6 13" xfId="14683" xr:uid="{00000000-0005-0000-0000-0000C23A0000}"/>
    <cellStyle name="Normal 5 6 14" xfId="14684" xr:uid="{00000000-0005-0000-0000-0000C33A0000}"/>
    <cellStyle name="Normal 5 6 15" xfId="14685" xr:uid="{00000000-0005-0000-0000-0000C43A0000}"/>
    <cellStyle name="Normal 5 6 16" xfId="14686" xr:uid="{00000000-0005-0000-0000-0000C53A0000}"/>
    <cellStyle name="Normal 5 6 17" xfId="14687" xr:uid="{00000000-0005-0000-0000-0000C63A0000}"/>
    <cellStyle name="Normal 5 6 2" xfId="14688" xr:uid="{00000000-0005-0000-0000-0000C73A0000}"/>
    <cellStyle name="Normal 5 6 3" xfId="14689" xr:uid="{00000000-0005-0000-0000-0000C83A0000}"/>
    <cellStyle name="Normal 5 6 4" xfId="14690" xr:uid="{00000000-0005-0000-0000-0000C93A0000}"/>
    <cellStyle name="Normal 5 6 5" xfId="14691" xr:uid="{00000000-0005-0000-0000-0000CA3A0000}"/>
    <cellStyle name="Normal 5 6 6" xfId="14692" xr:uid="{00000000-0005-0000-0000-0000CB3A0000}"/>
    <cellStyle name="Normal 5 6 7" xfId="14693" xr:uid="{00000000-0005-0000-0000-0000CC3A0000}"/>
    <cellStyle name="Normal 5 6 8" xfId="14694" xr:uid="{00000000-0005-0000-0000-0000CD3A0000}"/>
    <cellStyle name="Normal 5 6 9" xfId="14695" xr:uid="{00000000-0005-0000-0000-0000CE3A0000}"/>
    <cellStyle name="Normal 5 60" xfId="14696" xr:uid="{00000000-0005-0000-0000-0000CF3A0000}"/>
    <cellStyle name="Normal 5 61" xfId="14697" xr:uid="{00000000-0005-0000-0000-0000D03A0000}"/>
    <cellStyle name="Normal 5 62" xfId="14698" xr:uid="{00000000-0005-0000-0000-0000D13A0000}"/>
    <cellStyle name="Normal 5 63" xfId="14699" xr:uid="{00000000-0005-0000-0000-0000D23A0000}"/>
    <cellStyle name="Normal 5 64" xfId="14700" xr:uid="{00000000-0005-0000-0000-0000D33A0000}"/>
    <cellStyle name="Normal 5 65" xfId="14701" xr:uid="{00000000-0005-0000-0000-0000D43A0000}"/>
    <cellStyle name="Normal 5 66" xfId="14702" xr:uid="{00000000-0005-0000-0000-0000D53A0000}"/>
    <cellStyle name="Normal 5 67" xfId="14703" xr:uid="{00000000-0005-0000-0000-0000D63A0000}"/>
    <cellStyle name="Normal 5 68" xfId="14704" xr:uid="{00000000-0005-0000-0000-0000D73A0000}"/>
    <cellStyle name="Normal 5 69" xfId="14705" xr:uid="{00000000-0005-0000-0000-0000D83A0000}"/>
    <cellStyle name="Normal 5 7" xfId="14706" xr:uid="{00000000-0005-0000-0000-0000D93A0000}"/>
    <cellStyle name="Normal 5 70" xfId="14707" xr:uid="{00000000-0005-0000-0000-0000DA3A0000}"/>
    <cellStyle name="Normal 5 71" xfId="14708" xr:uid="{00000000-0005-0000-0000-0000DB3A0000}"/>
    <cellStyle name="Normal 5 72" xfId="14709" xr:uid="{00000000-0005-0000-0000-0000DC3A0000}"/>
    <cellStyle name="Normal 5 73" xfId="14710" xr:uid="{00000000-0005-0000-0000-0000DD3A0000}"/>
    <cellStyle name="Normal 5 74" xfId="14711" xr:uid="{00000000-0005-0000-0000-0000DE3A0000}"/>
    <cellStyle name="Normal 5 75" xfId="14712" xr:uid="{00000000-0005-0000-0000-0000DF3A0000}"/>
    <cellStyle name="Normal 5 76" xfId="14713" xr:uid="{00000000-0005-0000-0000-0000E03A0000}"/>
    <cellStyle name="Normal 5 77" xfId="14714" xr:uid="{00000000-0005-0000-0000-0000E13A0000}"/>
    <cellStyle name="Normal 5 78" xfId="14715" xr:uid="{00000000-0005-0000-0000-0000E23A0000}"/>
    <cellStyle name="Normal 5 79" xfId="14716" xr:uid="{00000000-0005-0000-0000-0000E33A0000}"/>
    <cellStyle name="Normal 5 8" xfId="14717" xr:uid="{00000000-0005-0000-0000-0000E43A0000}"/>
    <cellStyle name="Normal 5 80" xfId="14718" xr:uid="{00000000-0005-0000-0000-0000E53A0000}"/>
    <cellStyle name="Normal 5 81" xfId="14719" xr:uid="{00000000-0005-0000-0000-0000E63A0000}"/>
    <cellStyle name="Normal 5 82" xfId="14720" xr:uid="{00000000-0005-0000-0000-0000E73A0000}"/>
    <cellStyle name="Normal 5 83" xfId="14721" xr:uid="{00000000-0005-0000-0000-0000E83A0000}"/>
    <cellStyle name="Normal 5 9" xfId="14722" xr:uid="{00000000-0005-0000-0000-0000E93A0000}"/>
    <cellStyle name="Normal 5_Customer Operations Business Plan Input Reqs (3)" xfId="14723" xr:uid="{00000000-0005-0000-0000-0000EA3A0000}"/>
    <cellStyle name="Normal 50" xfId="14724" xr:uid="{00000000-0005-0000-0000-0000EB3A0000}"/>
    <cellStyle name="Normal 50 10" xfId="14725" xr:uid="{00000000-0005-0000-0000-0000EC3A0000}"/>
    <cellStyle name="Normal 50 10 2" xfId="14726" xr:uid="{00000000-0005-0000-0000-0000ED3A0000}"/>
    <cellStyle name="Normal 50 11" xfId="14727" xr:uid="{00000000-0005-0000-0000-0000EE3A0000}"/>
    <cellStyle name="Normal 50 11 2" xfId="14728" xr:uid="{00000000-0005-0000-0000-0000EF3A0000}"/>
    <cellStyle name="Normal 50 12" xfId="14729" xr:uid="{00000000-0005-0000-0000-0000F03A0000}"/>
    <cellStyle name="Normal 50 12 2" xfId="14730" xr:uid="{00000000-0005-0000-0000-0000F13A0000}"/>
    <cellStyle name="Normal 50 13" xfId="14731" xr:uid="{00000000-0005-0000-0000-0000F23A0000}"/>
    <cellStyle name="Normal 50 13 2" xfId="14732" xr:uid="{00000000-0005-0000-0000-0000F33A0000}"/>
    <cellStyle name="Normal 50 14" xfId="14733" xr:uid="{00000000-0005-0000-0000-0000F43A0000}"/>
    <cellStyle name="Normal 50 14 2" xfId="14734" xr:uid="{00000000-0005-0000-0000-0000F53A0000}"/>
    <cellStyle name="Normal 50 15" xfId="14735" xr:uid="{00000000-0005-0000-0000-0000F63A0000}"/>
    <cellStyle name="Normal 50 15 2" xfId="14736" xr:uid="{00000000-0005-0000-0000-0000F73A0000}"/>
    <cellStyle name="Normal 50 16" xfId="14737" xr:uid="{00000000-0005-0000-0000-0000F83A0000}"/>
    <cellStyle name="Normal 50 16 2" xfId="14738" xr:uid="{00000000-0005-0000-0000-0000F93A0000}"/>
    <cellStyle name="Normal 50 17" xfId="14739" xr:uid="{00000000-0005-0000-0000-0000FA3A0000}"/>
    <cellStyle name="Normal 50 17 2" xfId="14740" xr:uid="{00000000-0005-0000-0000-0000FB3A0000}"/>
    <cellStyle name="Normal 50 18" xfId="14741" xr:uid="{00000000-0005-0000-0000-0000FC3A0000}"/>
    <cellStyle name="Normal 50 18 2" xfId="14742" xr:uid="{00000000-0005-0000-0000-0000FD3A0000}"/>
    <cellStyle name="Normal 50 19" xfId="14743" xr:uid="{00000000-0005-0000-0000-0000FE3A0000}"/>
    <cellStyle name="Normal 50 19 2" xfId="14744" xr:uid="{00000000-0005-0000-0000-0000FF3A0000}"/>
    <cellStyle name="Normal 50 2" xfId="14745" xr:uid="{00000000-0005-0000-0000-0000003B0000}"/>
    <cellStyle name="Normal 50 2 2" xfId="14746" xr:uid="{00000000-0005-0000-0000-0000013B0000}"/>
    <cellStyle name="Normal 50 20" xfId="14747" xr:uid="{00000000-0005-0000-0000-0000023B0000}"/>
    <cellStyle name="Normal 50 20 2" xfId="14748" xr:uid="{00000000-0005-0000-0000-0000033B0000}"/>
    <cellStyle name="Normal 50 21" xfId="14749" xr:uid="{00000000-0005-0000-0000-0000043B0000}"/>
    <cellStyle name="Normal 50 21 2" xfId="14750" xr:uid="{00000000-0005-0000-0000-0000053B0000}"/>
    <cellStyle name="Normal 50 22" xfId="14751" xr:uid="{00000000-0005-0000-0000-0000063B0000}"/>
    <cellStyle name="Normal 50 22 2" xfId="14752" xr:uid="{00000000-0005-0000-0000-0000073B0000}"/>
    <cellStyle name="Normal 50 23" xfId="14753" xr:uid="{00000000-0005-0000-0000-0000083B0000}"/>
    <cellStyle name="Normal 50 24" xfId="14754" xr:uid="{00000000-0005-0000-0000-0000093B0000}"/>
    <cellStyle name="Normal 50 25" xfId="14755" xr:uid="{00000000-0005-0000-0000-00000A3B0000}"/>
    <cellStyle name="Normal 50 26" xfId="14756" xr:uid="{00000000-0005-0000-0000-00000B3B0000}"/>
    <cellStyle name="Normal 50 27" xfId="14757" xr:uid="{00000000-0005-0000-0000-00000C3B0000}"/>
    <cellStyle name="Normal 50 28" xfId="14758" xr:uid="{00000000-0005-0000-0000-00000D3B0000}"/>
    <cellStyle name="Normal 50 29" xfId="14759" xr:uid="{00000000-0005-0000-0000-00000E3B0000}"/>
    <cellStyle name="Normal 50 3" xfId="14760" xr:uid="{00000000-0005-0000-0000-00000F3B0000}"/>
    <cellStyle name="Normal 50 3 2" xfId="14761" xr:uid="{00000000-0005-0000-0000-0000103B0000}"/>
    <cellStyle name="Normal 50 30" xfId="14762" xr:uid="{00000000-0005-0000-0000-0000113B0000}"/>
    <cellStyle name="Normal 50 31" xfId="14763" xr:uid="{00000000-0005-0000-0000-0000123B0000}"/>
    <cellStyle name="Normal 50 32" xfId="14764" xr:uid="{00000000-0005-0000-0000-0000133B0000}"/>
    <cellStyle name="Normal 50 33" xfId="14765" xr:uid="{00000000-0005-0000-0000-0000143B0000}"/>
    <cellStyle name="Normal 50 34" xfId="14766" xr:uid="{00000000-0005-0000-0000-0000153B0000}"/>
    <cellStyle name="Normal 50 35" xfId="14767" xr:uid="{00000000-0005-0000-0000-0000163B0000}"/>
    <cellStyle name="Normal 50 36" xfId="14768" xr:uid="{00000000-0005-0000-0000-0000173B0000}"/>
    <cellStyle name="Normal 50 37" xfId="14769" xr:uid="{00000000-0005-0000-0000-0000183B0000}"/>
    <cellStyle name="Normal 50 38" xfId="14770" xr:uid="{00000000-0005-0000-0000-0000193B0000}"/>
    <cellStyle name="Normal 50 39" xfId="14771" xr:uid="{00000000-0005-0000-0000-00001A3B0000}"/>
    <cellStyle name="Normal 50 4" xfId="14772" xr:uid="{00000000-0005-0000-0000-00001B3B0000}"/>
    <cellStyle name="Normal 50 4 2" xfId="14773" xr:uid="{00000000-0005-0000-0000-00001C3B0000}"/>
    <cellStyle name="Normal 50 40" xfId="14774" xr:uid="{00000000-0005-0000-0000-00001D3B0000}"/>
    <cellStyle name="Normal 50 41" xfId="14775" xr:uid="{00000000-0005-0000-0000-00001E3B0000}"/>
    <cellStyle name="Normal 50 42" xfId="14776" xr:uid="{00000000-0005-0000-0000-00001F3B0000}"/>
    <cellStyle name="Normal 50 43" xfId="14777" xr:uid="{00000000-0005-0000-0000-0000203B0000}"/>
    <cellStyle name="Normal 50 44" xfId="14778" xr:uid="{00000000-0005-0000-0000-0000213B0000}"/>
    <cellStyle name="Normal 50 45" xfId="14779" xr:uid="{00000000-0005-0000-0000-0000223B0000}"/>
    <cellStyle name="Normal 50 46" xfId="14780" xr:uid="{00000000-0005-0000-0000-0000233B0000}"/>
    <cellStyle name="Normal 50 47" xfId="14781" xr:uid="{00000000-0005-0000-0000-0000243B0000}"/>
    <cellStyle name="Normal 50 48" xfId="14782" xr:uid="{00000000-0005-0000-0000-0000253B0000}"/>
    <cellStyle name="Normal 50 49" xfId="14783" xr:uid="{00000000-0005-0000-0000-0000263B0000}"/>
    <cellStyle name="Normal 50 5" xfId="14784" xr:uid="{00000000-0005-0000-0000-0000273B0000}"/>
    <cellStyle name="Normal 50 5 2" xfId="14785" xr:uid="{00000000-0005-0000-0000-0000283B0000}"/>
    <cellStyle name="Normal 50 50" xfId="14786" xr:uid="{00000000-0005-0000-0000-0000293B0000}"/>
    <cellStyle name="Normal 50 51" xfId="14787" xr:uid="{00000000-0005-0000-0000-00002A3B0000}"/>
    <cellStyle name="Normal 50 52" xfId="14788" xr:uid="{00000000-0005-0000-0000-00002B3B0000}"/>
    <cellStyle name="Normal 50 53" xfId="14789" xr:uid="{00000000-0005-0000-0000-00002C3B0000}"/>
    <cellStyle name="Normal 50 54" xfId="14790" xr:uid="{00000000-0005-0000-0000-00002D3B0000}"/>
    <cellStyle name="Normal 50 55" xfId="14791" xr:uid="{00000000-0005-0000-0000-00002E3B0000}"/>
    <cellStyle name="Normal 50 56" xfId="14792" xr:uid="{00000000-0005-0000-0000-00002F3B0000}"/>
    <cellStyle name="Normal 50 57" xfId="14793" xr:uid="{00000000-0005-0000-0000-0000303B0000}"/>
    <cellStyle name="Normal 50 58" xfId="14794" xr:uid="{00000000-0005-0000-0000-0000313B0000}"/>
    <cellStyle name="Normal 50 59" xfId="14795" xr:uid="{00000000-0005-0000-0000-0000323B0000}"/>
    <cellStyle name="Normal 50 6" xfId="14796" xr:uid="{00000000-0005-0000-0000-0000333B0000}"/>
    <cellStyle name="Normal 50 6 2" xfId="14797" xr:uid="{00000000-0005-0000-0000-0000343B0000}"/>
    <cellStyle name="Normal 50 60" xfId="14798" xr:uid="{00000000-0005-0000-0000-0000353B0000}"/>
    <cellStyle name="Normal 50 61" xfId="14799" xr:uid="{00000000-0005-0000-0000-0000363B0000}"/>
    <cellStyle name="Normal 50 62" xfId="14800" xr:uid="{00000000-0005-0000-0000-0000373B0000}"/>
    <cellStyle name="Normal 50 63" xfId="14801" xr:uid="{00000000-0005-0000-0000-0000383B0000}"/>
    <cellStyle name="Normal 50 64" xfId="14802" xr:uid="{00000000-0005-0000-0000-0000393B0000}"/>
    <cellStyle name="Normal 50 65" xfId="14803" xr:uid="{00000000-0005-0000-0000-00003A3B0000}"/>
    <cellStyle name="Normal 50 66" xfId="14804" xr:uid="{00000000-0005-0000-0000-00003B3B0000}"/>
    <cellStyle name="Normal 50 67" xfId="14805" xr:uid="{00000000-0005-0000-0000-00003C3B0000}"/>
    <cellStyle name="Normal 50 68" xfId="14806" xr:uid="{00000000-0005-0000-0000-00003D3B0000}"/>
    <cellStyle name="Normal 50 69" xfId="14807" xr:uid="{00000000-0005-0000-0000-00003E3B0000}"/>
    <cellStyle name="Normal 50 7" xfId="14808" xr:uid="{00000000-0005-0000-0000-00003F3B0000}"/>
    <cellStyle name="Normal 50 7 2" xfId="14809" xr:uid="{00000000-0005-0000-0000-0000403B0000}"/>
    <cellStyle name="Normal 50 70" xfId="14810" xr:uid="{00000000-0005-0000-0000-0000413B0000}"/>
    <cellStyle name="Normal 50 8" xfId="14811" xr:uid="{00000000-0005-0000-0000-0000423B0000}"/>
    <cellStyle name="Normal 50 8 2" xfId="14812" xr:uid="{00000000-0005-0000-0000-0000433B0000}"/>
    <cellStyle name="Normal 50 9" xfId="14813" xr:uid="{00000000-0005-0000-0000-0000443B0000}"/>
    <cellStyle name="Normal 50 9 2" xfId="14814" xr:uid="{00000000-0005-0000-0000-0000453B0000}"/>
    <cellStyle name="Normal 51" xfId="14815" xr:uid="{00000000-0005-0000-0000-0000463B0000}"/>
    <cellStyle name="Normal 51 10" xfId="14816" xr:uid="{00000000-0005-0000-0000-0000473B0000}"/>
    <cellStyle name="Normal 51 11" xfId="14817" xr:uid="{00000000-0005-0000-0000-0000483B0000}"/>
    <cellStyle name="Normal 51 12" xfId="14818" xr:uid="{00000000-0005-0000-0000-0000493B0000}"/>
    <cellStyle name="Normal 51 13" xfId="14819" xr:uid="{00000000-0005-0000-0000-00004A3B0000}"/>
    <cellStyle name="Normal 51 14" xfId="14820" xr:uid="{00000000-0005-0000-0000-00004B3B0000}"/>
    <cellStyle name="Normal 51 15" xfId="14821" xr:uid="{00000000-0005-0000-0000-00004C3B0000}"/>
    <cellStyle name="Normal 51 16" xfId="14822" xr:uid="{00000000-0005-0000-0000-00004D3B0000}"/>
    <cellStyle name="Normal 51 17" xfId="14823" xr:uid="{00000000-0005-0000-0000-00004E3B0000}"/>
    <cellStyle name="Normal 51 2" xfId="14824" xr:uid="{00000000-0005-0000-0000-00004F3B0000}"/>
    <cellStyle name="Normal 51 3" xfId="14825" xr:uid="{00000000-0005-0000-0000-0000503B0000}"/>
    <cellStyle name="Normal 51 4" xfId="14826" xr:uid="{00000000-0005-0000-0000-0000513B0000}"/>
    <cellStyle name="Normal 51 5" xfId="14827" xr:uid="{00000000-0005-0000-0000-0000523B0000}"/>
    <cellStyle name="Normal 51 6" xfId="14828" xr:uid="{00000000-0005-0000-0000-0000533B0000}"/>
    <cellStyle name="Normal 51 7" xfId="14829" xr:uid="{00000000-0005-0000-0000-0000543B0000}"/>
    <cellStyle name="Normal 51 8" xfId="14830" xr:uid="{00000000-0005-0000-0000-0000553B0000}"/>
    <cellStyle name="Normal 51 9" xfId="14831" xr:uid="{00000000-0005-0000-0000-0000563B0000}"/>
    <cellStyle name="Normal 52" xfId="14832" xr:uid="{00000000-0005-0000-0000-0000573B0000}"/>
    <cellStyle name="Normal 52 10" xfId="14833" xr:uid="{00000000-0005-0000-0000-0000583B0000}"/>
    <cellStyle name="Normal 52 10 2" xfId="14834" xr:uid="{00000000-0005-0000-0000-0000593B0000}"/>
    <cellStyle name="Normal 52 11" xfId="14835" xr:uid="{00000000-0005-0000-0000-00005A3B0000}"/>
    <cellStyle name="Normal 52 11 2" xfId="14836" xr:uid="{00000000-0005-0000-0000-00005B3B0000}"/>
    <cellStyle name="Normal 52 12" xfId="14837" xr:uid="{00000000-0005-0000-0000-00005C3B0000}"/>
    <cellStyle name="Normal 52 12 2" xfId="14838" xr:uid="{00000000-0005-0000-0000-00005D3B0000}"/>
    <cellStyle name="Normal 52 13" xfId="14839" xr:uid="{00000000-0005-0000-0000-00005E3B0000}"/>
    <cellStyle name="Normal 52 13 2" xfId="14840" xr:uid="{00000000-0005-0000-0000-00005F3B0000}"/>
    <cellStyle name="Normal 52 14" xfId="14841" xr:uid="{00000000-0005-0000-0000-0000603B0000}"/>
    <cellStyle name="Normal 52 14 2" xfId="14842" xr:uid="{00000000-0005-0000-0000-0000613B0000}"/>
    <cellStyle name="Normal 52 15" xfId="14843" xr:uid="{00000000-0005-0000-0000-0000623B0000}"/>
    <cellStyle name="Normal 52 15 2" xfId="14844" xr:uid="{00000000-0005-0000-0000-0000633B0000}"/>
    <cellStyle name="Normal 52 16" xfId="14845" xr:uid="{00000000-0005-0000-0000-0000643B0000}"/>
    <cellStyle name="Normal 52 16 2" xfId="14846" xr:uid="{00000000-0005-0000-0000-0000653B0000}"/>
    <cellStyle name="Normal 52 17" xfId="14847" xr:uid="{00000000-0005-0000-0000-0000663B0000}"/>
    <cellStyle name="Normal 52 17 2" xfId="14848" xr:uid="{00000000-0005-0000-0000-0000673B0000}"/>
    <cellStyle name="Normal 52 18" xfId="14849" xr:uid="{00000000-0005-0000-0000-0000683B0000}"/>
    <cellStyle name="Normal 52 18 2" xfId="14850" xr:uid="{00000000-0005-0000-0000-0000693B0000}"/>
    <cellStyle name="Normal 52 19" xfId="14851" xr:uid="{00000000-0005-0000-0000-00006A3B0000}"/>
    <cellStyle name="Normal 52 19 2" xfId="14852" xr:uid="{00000000-0005-0000-0000-00006B3B0000}"/>
    <cellStyle name="Normal 52 2" xfId="14853" xr:uid="{00000000-0005-0000-0000-00006C3B0000}"/>
    <cellStyle name="Normal 52 2 2" xfId="14854" xr:uid="{00000000-0005-0000-0000-00006D3B0000}"/>
    <cellStyle name="Normal 52 20" xfId="14855" xr:uid="{00000000-0005-0000-0000-00006E3B0000}"/>
    <cellStyle name="Normal 52 20 2" xfId="14856" xr:uid="{00000000-0005-0000-0000-00006F3B0000}"/>
    <cellStyle name="Normal 52 21" xfId="14857" xr:uid="{00000000-0005-0000-0000-0000703B0000}"/>
    <cellStyle name="Normal 52 21 2" xfId="14858" xr:uid="{00000000-0005-0000-0000-0000713B0000}"/>
    <cellStyle name="Normal 52 22" xfId="14859" xr:uid="{00000000-0005-0000-0000-0000723B0000}"/>
    <cellStyle name="Normal 52 22 2" xfId="14860" xr:uid="{00000000-0005-0000-0000-0000733B0000}"/>
    <cellStyle name="Normal 52 23" xfId="14861" xr:uid="{00000000-0005-0000-0000-0000743B0000}"/>
    <cellStyle name="Normal 52 24" xfId="14862" xr:uid="{00000000-0005-0000-0000-0000753B0000}"/>
    <cellStyle name="Normal 52 25" xfId="14863" xr:uid="{00000000-0005-0000-0000-0000763B0000}"/>
    <cellStyle name="Normal 52 26" xfId="14864" xr:uid="{00000000-0005-0000-0000-0000773B0000}"/>
    <cellStyle name="Normal 52 27" xfId="14865" xr:uid="{00000000-0005-0000-0000-0000783B0000}"/>
    <cellStyle name="Normal 52 28" xfId="14866" xr:uid="{00000000-0005-0000-0000-0000793B0000}"/>
    <cellStyle name="Normal 52 29" xfId="14867" xr:uid="{00000000-0005-0000-0000-00007A3B0000}"/>
    <cellStyle name="Normal 52 3" xfId="14868" xr:uid="{00000000-0005-0000-0000-00007B3B0000}"/>
    <cellStyle name="Normal 52 3 2" xfId="14869" xr:uid="{00000000-0005-0000-0000-00007C3B0000}"/>
    <cellStyle name="Normal 52 30" xfId="14870" xr:uid="{00000000-0005-0000-0000-00007D3B0000}"/>
    <cellStyle name="Normal 52 31" xfId="14871" xr:uid="{00000000-0005-0000-0000-00007E3B0000}"/>
    <cellStyle name="Normal 52 32" xfId="14872" xr:uid="{00000000-0005-0000-0000-00007F3B0000}"/>
    <cellStyle name="Normal 52 33" xfId="14873" xr:uid="{00000000-0005-0000-0000-0000803B0000}"/>
    <cellStyle name="Normal 52 34" xfId="14874" xr:uid="{00000000-0005-0000-0000-0000813B0000}"/>
    <cellStyle name="Normal 52 35" xfId="14875" xr:uid="{00000000-0005-0000-0000-0000823B0000}"/>
    <cellStyle name="Normal 52 36" xfId="14876" xr:uid="{00000000-0005-0000-0000-0000833B0000}"/>
    <cellStyle name="Normal 52 37" xfId="14877" xr:uid="{00000000-0005-0000-0000-0000843B0000}"/>
    <cellStyle name="Normal 52 38" xfId="14878" xr:uid="{00000000-0005-0000-0000-0000853B0000}"/>
    <cellStyle name="Normal 52 39" xfId="14879" xr:uid="{00000000-0005-0000-0000-0000863B0000}"/>
    <cellStyle name="Normal 52 4" xfId="14880" xr:uid="{00000000-0005-0000-0000-0000873B0000}"/>
    <cellStyle name="Normal 52 4 2" xfId="14881" xr:uid="{00000000-0005-0000-0000-0000883B0000}"/>
    <cellStyle name="Normal 52 40" xfId="14882" xr:uid="{00000000-0005-0000-0000-0000893B0000}"/>
    <cellStyle name="Normal 52 41" xfId="14883" xr:uid="{00000000-0005-0000-0000-00008A3B0000}"/>
    <cellStyle name="Normal 52 42" xfId="14884" xr:uid="{00000000-0005-0000-0000-00008B3B0000}"/>
    <cellStyle name="Normal 52 43" xfId="14885" xr:uid="{00000000-0005-0000-0000-00008C3B0000}"/>
    <cellStyle name="Normal 52 44" xfId="14886" xr:uid="{00000000-0005-0000-0000-00008D3B0000}"/>
    <cellStyle name="Normal 52 45" xfId="14887" xr:uid="{00000000-0005-0000-0000-00008E3B0000}"/>
    <cellStyle name="Normal 52 46" xfId="14888" xr:uid="{00000000-0005-0000-0000-00008F3B0000}"/>
    <cellStyle name="Normal 52 47" xfId="14889" xr:uid="{00000000-0005-0000-0000-0000903B0000}"/>
    <cellStyle name="Normal 52 48" xfId="14890" xr:uid="{00000000-0005-0000-0000-0000913B0000}"/>
    <cellStyle name="Normal 52 49" xfId="14891" xr:uid="{00000000-0005-0000-0000-0000923B0000}"/>
    <cellStyle name="Normal 52 5" xfId="14892" xr:uid="{00000000-0005-0000-0000-0000933B0000}"/>
    <cellStyle name="Normal 52 5 2" xfId="14893" xr:uid="{00000000-0005-0000-0000-0000943B0000}"/>
    <cellStyle name="Normal 52 50" xfId="14894" xr:uid="{00000000-0005-0000-0000-0000953B0000}"/>
    <cellStyle name="Normal 52 51" xfId="14895" xr:uid="{00000000-0005-0000-0000-0000963B0000}"/>
    <cellStyle name="Normal 52 52" xfId="14896" xr:uid="{00000000-0005-0000-0000-0000973B0000}"/>
    <cellStyle name="Normal 52 53" xfId="14897" xr:uid="{00000000-0005-0000-0000-0000983B0000}"/>
    <cellStyle name="Normal 52 54" xfId="14898" xr:uid="{00000000-0005-0000-0000-0000993B0000}"/>
    <cellStyle name="Normal 52 55" xfId="14899" xr:uid="{00000000-0005-0000-0000-00009A3B0000}"/>
    <cellStyle name="Normal 52 56" xfId="14900" xr:uid="{00000000-0005-0000-0000-00009B3B0000}"/>
    <cellStyle name="Normal 52 57" xfId="14901" xr:uid="{00000000-0005-0000-0000-00009C3B0000}"/>
    <cellStyle name="Normal 52 58" xfId="14902" xr:uid="{00000000-0005-0000-0000-00009D3B0000}"/>
    <cellStyle name="Normal 52 59" xfId="14903" xr:uid="{00000000-0005-0000-0000-00009E3B0000}"/>
    <cellStyle name="Normal 52 6" xfId="14904" xr:uid="{00000000-0005-0000-0000-00009F3B0000}"/>
    <cellStyle name="Normal 52 6 2" xfId="14905" xr:uid="{00000000-0005-0000-0000-0000A03B0000}"/>
    <cellStyle name="Normal 52 60" xfId="14906" xr:uid="{00000000-0005-0000-0000-0000A13B0000}"/>
    <cellStyle name="Normal 52 61" xfId="14907" xr:uid="{00000000-0005-0000-0000-0000A23B0000}"/>
    <cellStyle name="Normal 52 62" xfId="14908" xr:uid="{00000000-0005-0000-0000-0000A33B0000}"/>
    <cellStyle name="Normal 52 63" xfId="14909" xr:uid="{00000000-0005-0000-0000-0000A43B0000}"/>
    <cellStyle name="Normal 52 64" xfId="14910" xr:uid="{00000000-0005-0000-0000-0000A53B0000}"/>
    <cellStyle name="Normal 52 65" xfId="14911" xr:uid="{00000000-0005-0000-0000-0000A63B0000}"/>
    <cellStyle name="Normal 52 66" xfId="14912" xr:uid="{00000000-0005-0000-0000-0000A73B0000}"/>
    <cellStyle name="Normal 52 67" xfId="14913" xr:uid="{00000000-0005-0000-0000-0000A83B0000}"/>
    <cellStyle name="Normal 52 68" xfId="14914" xr:uid="{00000000-0005-0000-0000-0000A93B0000}"/>
    <cellStyle name="Normal 52 69" xfId="14915" xr:uid="{00000000-0005-0000-0000-0000AA3B0000}"/>
    <cellStyle name="Normal 52 7" xfId="14916" xr:uid="{00000000-0005-0000-0000-0000AB3B0000}"/>
    <cellStyle name="Normal 52 7 2" xfId="14917" xr:uid="{00000000-0005-0000-0000-0000AC3B0000}"/>
    <cellStyle name="Normal 52 70" xfId="14918" xr:uid="{00000000-0005-0000-0000-0000AD3B0000}"/>
    <cellStyle name="Normal 52 8" xfId="14919" xr:uid="{00000000-0005-0000-0000-0000AE3B0000}"/>
    <cellStyle name="Normal 52 8 2" xfId="14920" xr:uid="{00000000-0005-0000-0000-0000AF3B0000}"/>
    <cellStyle name="Normal 52 9" xfId="14921" xr:uid="{00000000-0005-0000-0000-0000B03B0000}"/>
    <cellStyle name="Normal 52 9 2" xfId="14922" xr:uid="{00000000-0005-0000-0000-0000B13B0000}"/>
    <cellStyle name="Normal 53" xfId="14923" xr:uid="{00000000-0005-0000-0000-0000B23B0000}"/>
    <cellStyle name="Normal 53 10" xfId="14924" xr:uid="{00000000-0005-0000-0000-0000B33B0000}"/>
    <cellStyle name="Normal 53 10 2" xfId="14925" xr:uid="{00000000-0005-0000-0000-0000B43B0000}"/>
    <cellStyle name="Normal 53 11" xfId="14926" xr:uid="{00000000-0005-0000-0000-0000B53B0000}"/>
    <cellStyle name="Normal 53 11 2" xfId="14927" xr:uid="{00000000-0005-0000-0000-0000B63B0000}"/>
    <cellStyle name="Normal 53 12" xfId="14928" xr:uid="{00000000-0005-0000-0000-0000B73B0000}"/>
    <cellStyle name="Normal 53 12 2" xfId="14929" xr:uid="{00000000-0005-0000-0000-0000B83B0000}"/>
    <cellStyle name="Normal 53 13" xfId="14930" xr:uid="{00000000-0005-0000-0000-0000B93B0000}"/>
    <cellStyle name="Normal 53 13 2" xfId="14931" xr:uid="{00000000-0005-0000-0000-0000BA3B0000}"/>
    <cellStyle name="Normal 53 14" xfId="14932" xr:uid="{00000000-0005-0000-0000-0000BB3B0000}"/>
    <cellStyle name="Normal 53 14 2" xfId="14933" xr:uid="{00000000-0005-0000-0000-0000BC3B0000}"/>
    <cellStyle name="Normal 53 15" xfId="14934" xr:uid="{00000000-0005-0000-0000-0000BD3B0000}"/>
    <cellStyle name="Normal 53 15 2" xfId="14935" xr:uid="{00000000-0005-0000-0000-0000BE3B0000}"/>
    <cellStyle name="Normal 53 16" xfId="14936" xr:uid="{00000000-0005-0000-0000-0000BF3B0000}"/>
    <cellStyle name="Normal 53 16 2" xfId="14937" xr:uid="{00000000-0005-0000-0000-0000C03B0000}"/>
    <cellStyle name="Normal 53 17" xfId="14938" xr:uid="{00000000-0005-0000-0000-0000C13B0000}"/>
    <cellStyle name="Normal 53 17 2" xfId="14939" xr:uid="{00000000-0005-0000-0000-0000C23B0000}"/>
    <cellStyle name="Normal 53 18" xfId="14940" xr:uid="{00000000-0005-0000-0000-0000C33B0000}"/>
    <cellStyle name="Normal 53 18 2" xfId="14941" xr:uid="{00000000-0005-0000-0000-0000C43B0000}"/>
    <cellStyle name="Normal 53 19" xfId="14942" xr:uid="{00000000-0005-0000-0000-0000C53B0000}"/>
    <cellStyle name="Normal 53 19 2" xfId="14943" xr:uid="{00000000-0005-0000-0000-0000C63B0000}"/>
    <cellStyle name="Normal 53 2" xfId="14944" xr:uid="{00000000-0005-0000-0000-0000C73B0000}"/>
    <cellStyle name="Normal 53 2 2" xfId="14945" xr:uid="{00000000-0005-0000-0000-0000C83B0000}"/>
    <cellStyle name="Normal 53 20" xfId="14946" xr:uid="{00000000-0005-0000-0000-0000C93B0000}"/>
    <cellStyle name="Normal 53 20 2" xfId="14947" xr:uid="{00000000-0005-0000-0000-0000CA3B0000}"/>
    <cellStyle name="Normal 53 21" xfId="14948" xr:uid="{00000000-0005-0000-0000-0000CB3B0000}"/>
    <cellStyle name="Normal 53 21 2" xfId="14949" xr:uid="{00000000-0005-0000-0000-0000CC3B0000}"/>
    <cellStyle name="Normal 53 22" xfId="14950" xr:uid="{00000000-0005-0000-0000-0000CD3B0000}"/>
    <cellStyle name="Normal 53 22 2" xfId="14951" xr:uid="{00000000-0005-0000-0000-0000CE3B0000}"/>
    <cellStyle name="Normal 53 23" xfId="14952" xr:uid="{00000000-0005-0000-0000-0000CF3B0000}"/>
    <cellStyle name="Normal 53 24" xfId="14953" xr:uid="{00000000-0005-0000-0000-0000D03B0000}"/>
    <cellStyle name="Normal 53 25" xfId="14954" xr:uid="{00000000-0005-0000-0000-0000D13B0000}"/>
    <cellStyle name="Normal 53 26" xfId="14955" xr:uid="{00000000-0005-0000-0000-0000D23B0000}"/>
    <cellStyle name="Normal 53 27" xfId="14956" xr:uid="{00000000-0005-0000-0000-0000D33B0000}"/>
    <cellStyle name="Normal 53 28" xfId="14957" xr:uid="{00000000-0005-0000-0000-0000D43B0000}"/>
    <cellStyle name="Normal 53 29" xfId="14958" xr:uid="{00000000-0005-0000-0000-0000D53B0000}"/>
    <cellStyle name="Normal 53 3" xfId="14959" xr:uid="{00000000-0005-0000-0000-0000D63B0000}"/>
    <cellStyle name="Normal 53 3 2" xfId="14960" xr:uid="{00000000-0005-0000-0000-0000D73B0000}"/>
    <cellStyle name="Normal 53 30" xfId="14961" xr:uid="{00000000-0005-0000-0000-0000D83B0000}"/>
    <cellStyle name="Normal 53 31" xfId="14962" xr:uid="{00000000-0005-0000-0000-0000D93B0000}"/>
    <cellStyle name="Normal 53 32" xfId="14963" xr:uid="{00000000-0005-0000-0000-0000DA3B0000}"/>
    <cellStyle name="Normal 53 33" xfId="14964" xr:uid="{00000000-0005-0000-0000-0000DB3B0000}"/>
    <cellStyle name="Normal 53 34" xfId="14965" xr:uid="{00000000-0005-0000-0000-0000DC3B0000}"/>
    <cellStyle name="Normal 53 35" xfId="14966" xr:uid="{00000000-0005-0000-0000-0000DD3B0000}"/>
    <cellStyle name="Normal 53 36" xfId="14967" xr:uid="{00000000-0005-0000-0000-0000DE3B0000}"/>
    <cellStyle name="Normal 53 37" xfId="14968" xr:uid="{00000000-0005-0000-0000-0000DF3B0000}"/>
    <cellStyle name="Normal 53 38" xfId="14969" xr:uid="{00000000-0005-0000-0000-0000E03B0000}"/>
    <cellStyle name="Normal 53 39" xfId="14970" xr:uid="{00000000-0005-0000-0000-0000E13B0000}"/>
    <cellStyle name="Normal 53 4" xfId="14971" xr:uid="{00000000-0005-0000-0000-0000E23B0000}"/>
    <cellStyle name="Normal 53 4 2" xfId="14972" xr:uid="{00000000-0005-0000-0000-0000E33B0000}"/>
    <cellStyle name="Normal 53 40" xfId="14973" xr:uid="{00000000-0005-0000-0000-0000E43B0000}"/>
    <cellStyle name="Normal 53 41" xfId="14974" xr:uid="{00000000-0005-0000-0000-0000E53B0000}"/>
    <cellStyle name="Normal 53 42" xfId="14975" xr:uid="{00000000-0005-0000-0000-0000E63B0000}"/>
    <cellStyle name="Normal 53 43" xfId="14976" xr:uid="{00000000-0005-0000-0000-0000E73B0000}"/>
    <cellStyle name="Normal 53 44" xfId="14977" xr:uid="{00000000-0005-0000-0000-0000E83B0000}"/>
    <cellStyle name="Normal 53 45" xfId="14978" xr:uid="{00000000-0005-0000-0000-0000E93B0000}"/>
    <cellStyle name="Normal 53 46" xfId="14979" xr:uid="{00000000-0005-0000-0000-0000EA3B0000}"/>
    <cellStyle name="Normal 53 47" xfId="14980" xr:uid="{00000000-0005-0000-0000-0000EB3B0000}"/>
    <cellStyle name="Normal 53 48" xfId="14981" xr:uid="{00000000-0005-0000-0000-0000EC3B0000}"/>
    <cellStyle name="Normal 53 49" xfId="14982" xr:uid="{00000000-0005-0000-0000-0000ED3B0000}"/>
    <cellStyle name="Normal 53 5" xfId="14983" xr:uid="{00000000-0005-0000-0000-0000EE3B0000}"/>
    <cellStyle name="Normal 53 5 2" xfId="14984" xr:uid="{00000000-0005-0000-0000-0000EF3B0000}"/>
    <cellStyle name="Normal 53 50" xfId="14985" xr:uid="{00000000-0005-0000-0000-0000F03B0000}"/>
    <cellStyle name="Normal 53 51" xfId="14986" xr:uid="{00000000-0005-0000-0000-0000F13B0000}"/>
    <cellStyle name="Normal 53 52" xfId="14987" xr:uid="{00000000-0005-0000-0000-0000F23B0000}"/>
    <cellStyle name="Normal 53 53" xfId="14988" xr:uid="{00000000-0005-0000-0000-0000F33B0000}"/>
    <cellStyle name="Normal 53 54" xfId="14989" xr:uid="{00000000-0005-0000-0000-0000F43B0000}"/>
    <cellStyle name="Normal 53 55" xfId="14990" xr:uid="{00000000-0005-0000-0000-0000F53B0000}"/>
    <cellStyle name="Normal 53 56" xfId="14991" xr:uid="{00000000-0005-0000-0000-0000F63B0000}"/>
    <cellStyle name="Normal 53 57" xfId="14992" xr:uid="{00000000-0005-0000-0000-0000F73B0000}"/>
    <cellStyle name="Normal 53 58" xfId="14993" xr:uid="{00000000-0005-0000-0000-0000F83B0000}"/>
    <cellStyle name="Normal 53 59" xfId="14994" xr:uid="{00000000-0005-0000-0000-0000F93B0000}"/>
    <cellStyle name="Normal 53 6" xfId="14995" xr:uid="{00000000-0005-0000-0000-0000FA3B0000}"/>
    <cellStyle name="Normal 53 6 2" xfId="14996" xr:uid="{00000000-0005-0000-0000-0000FB3B0000}"/>
    <cellStyle name="Normal 53 60" xfId="14997" xr:uid="{00000000-0005-0000-0000-0000FC3B0000}"/>
    <cellStyle name="Normal 53 61" xfId="14998" xr:uid="{00000000-0005-0000-0000-0000FD3B0000}"/>
    <cellStyle name="Normal 53 62" xfId="14999" xr:uid="{00000000-0005-0000-0000-0000FE3B0000}"/>
    <cellStyle name="Normal 53 63" xfId="15000" xr:uid="{00000000-0005-0000-0000-0000FF3B0000}"/>
    <cellStyle name="Normal 53 64" xfId="15001" xr:uid="{00000000-0005-0000-0000-0000003C0000}"/>
    <cellStyle name="Normal 53 65" xfId="15002" xr:uid="{00000000-0005-0000-0000-0000013C0000}"/>
    <cellStyle name="Normal 53 66" xfId="15003" xr:uid="{00000000-0005-0000-0000-0000023C0000}"/>
    <cellStyle name="Normal 53 67" xfId="15004" xr:uid="{00000000-0005-0000-0000-0000033C0000}"/>
    <cellStyle name="Normal 53 68" xfId="15005" xr:uid="{00000000-0005-0000-0000-0000043C0000}"/>
    <cellStyle name="Normal 53 69" xfId="15006" xr:uid="{00000000-0005-0000-0000-0000053C0000}"/>
    <cellStyle name="Normal 53 7" xfId="15007" xr:uid="{00000000-0005-0000-0000-0000063C0000}"/>
    <cellStyle name="Normal 53 7 2" xfId="15008" xr:uid="{00000000-0005-0000-0000-0000073C0000}"/>
    <cellStyle name="Normal 53 70" xfId="15009" xr:uid="{00000000-0005-0000-0000-0000083C0000}"/>
    <cellStyle name="Normal 53 8" xfId="15010" xr:uid="{00000000-0005-0000-0000-0000093C0000}"/>
    <cellStyle name="Normal 53 8 2" xfId="15011" xr:uid="{00000000-0005-0000-0000-00000A3C0000}"/>
    <cellStyle name="Normal 53 9" xfId="15012" xr:uid="{00000000-0005-0000-0000-00000B3C0000}"/>
    <cellStyle name="Normal 53 9 2" xfId="15013" xr:uid="{00000000-0005-0000-0000-00000C3C0000}"/>
    <cellStyle name="Normal 54" xfId="15014" xr:uid="{00000000-0005-0000-0000-00000D3C0000}"/>
    <cellStyle name="Normal 54 10" xfId="15015" xr:uid="{00000000-0005-0000-0000-00000E3C0000}"/>
    <cellStyle name="Normal 54 11" xfId="15016" xr:uid="{00000000-0005-0000-0000-00000F3C0000}"/>
    <cellStyle name="Normal 54 12" xfId="15017" xr:uid="{00000000-0005-0000-0000-0000103C0000}"/>
    <cellStyle name="Normal 54 13" xfId="15018" xr:uid="{00000000-0005-0000-0000-0000113C0000}"/>
    <cellStyle name="Normal 54 14" xfId="15019" xr:uid="{00000000-0005-0000-0000-0000123C0000}"/>
    <cellStyle name="Normal 54 15" xfId="15020" xr:uid="{00000000-0005-0000-0000-0000133C0000}"/>
    <cellStyle name="Normal 54 16" xfId="15021" xr:uid="{00000000-0005-0000-0000-0000143C0000}"/>
    <cellStyle name="Normal 54 17" xfId="15022" xr:uid="{00000000-0005-0000-0000-0000153C0000}"/>
    <cellStyle name="Normal 54 18" xfId="15023" xr:uid="{00000000-0005-0000-0000-0000163C0000}"/>
    <cellStyle name="Normal 54 19" xfId="15024" xr:uid="{00000000-0005-0000-0000-0000173C0000}"/>
    <cellStyle name="Normal 54 2" xfId="15025" xr:uid="{00000000-0005-0000-0000-0000183C0000}"/>
    <cellStyle name="Normal 54 2 10" xfId="15026" xr:uid="{00000000-0005-0000-0000-0000193C0000}"/>
    <cellStyle name="Normal 54 2 11" xfId="15027" xr:uid="{00000000-0005-0000-0000-00001A3C0000}"/>
    <cellStyle name="Normal 54 2 12" xfId="15028" xr:uid="{00000000-0005-0000-0000-00001B3C0000}"/>
    <cellStyle name="Normal 54 2 13" xfId="15029" xr:uid="{00000000-0005-0000-0000-00001C3C0000}"/>
    <cellStyle name="Normal 54 2 2" xfId="15030" xr:uid="{00000000-0005-0000-0000-00001D3C0000}"/>
    <cellStyle name="Normal 54 2 3" xfId="15031" xr:uid="{00000000-0005-0000-0000-00001E3C0000}"/>
    <cellStyle name="Normal 54 2 4" xfId="15032" xr:uid="{00000000-0005-0000-0000-00001F3C0000}"/>
    <cellStyle name="Normal 54 2 5" xfId="15033" xr:uid="{00000000-0005-0000-0000-0000203C0000}"/>
    <cellStyle name="Normal 54 2 6" xfId="15034" xr:uid="{00000000-0005-0000-0000-0000213C0000}"/>
    <cellStyle name="Normal 54 2 7" xfId="15035" xr:uid="{00000000-0005-0000-0000-0000223C0000}"/>
    <cellStyle name="Normal 54 2 8" xfId="15036" xr:uid="{00000000-0005-0000-0000-0000233C0000}"/>
    <cellStyle name="Normal 54 2 9" xfId="15037" xr:uid="{00000000-0005-0000-0000-0000243C0000}"/>
    <cellStyle name="Normal 54 20" xfId="15038" xr:uid="{00000000-0005-0000-0000-0000253C0000}"/>
    <cellStyle name="Normal 54 21" xfId="15039" xr:uid="{00000000-0005-0000-0000-0000263C0000}"/>
    <cellStyle name="Normal 54 3" xfId="15040" xr:uid="{00000000-0005-0000-0000-0000273C0000}"/>
    <cellStyle name="Normal 54 4" xfId="15041" xr:uid="{00000000-0005-0000-0000-0000283C0000}"/>
    <cellStyle name="Normal 54 5" xfId="15042" xr:uid="{00000000-0005-0000-0000-0000293C0000}"/>
    <cellStyle name="Normal 54 6" xfId="15043" xr:uid="{00000000-0005-0000-0000-00002A3C0000}"/>
    <cellStyle name="Normal 54 7" xfId="15044" xr:uid="{00000000-0005-0000-0000-00002B3C0000}"/>
    <cellStyle name="Normal 54 8" xfId="15045" xr:uid="{00000000-0005-0000-0000-00002C3C0000}"/>
    <cellStyle name="Normal 54 9" xfId="15046" xr:uid="{00000000-0005-0000-0000-00002D3C0000}"/>
    <cellStyle name="Normal 55" xfId="15047" xr:uid="{00000000-0005-0000-0000-00002E3C0000}"/>
    <cellStyle name="Normal 55 10" xfId="15048" xr:uid="{00000000-0005-0000-0000-00002F3C0000}"/>
    <cellStyle name="Normal 55 11" xfId="15049" xr:uid="{00000000-0005-0000-0000-0000303C0000}"/>
    <cellStyle name="Normal 55 12" xfId="15050" xr:uid="{00000000-0005-0000-0000-0000313C0000}"/>
    <cellStyle name="Normal 55 13" xfId="15051" xr:uid="{00000000-0005-0000-0000-0000323C0000}"/>
    <cellStyle name="Normal 55 14" xfId="15052" xr:uid="{00000000-0005-0000-0000-0000333C0000}"/>
    <cellStyle name="Normal 55 2" xfId="15053" xr:uid="{00000000-0005-0000-0000-0000343C0000}"/>
    <cellStyle name="Normal 55 2 10" xfId="15054" xr:uid="{00000000-0005-0000-0000-0000353C0000}"/>
    <cellStyle name="Normal 55 2 11" xfId="15055" xr:uid="{00000000-0005-0000-0000-0000363C0000}"/>
    <cellStyle name="Normal 55 2 12" xfId="15056" xr:uid="{00000000-0005-0000-0000-0000373C0000}"/>
    <cellStyle name="Normal 55 2 13" xfId="15057" xr:uid="{00000000-0005-0000-0000-0000383C0000}"/>
    <cellStyle name="Normal 55 2 2" xfId="15058" xr:uid="{00000000-0005-0000-0000-0000393C0000}"/>
    <cellStyle name="Normal 55 2 3" xfId="15059" xr:uid="{00000000-0005-0000-0000-00003A3C0000}"/>
    <cellStyle name="Normal 55 2 4" xfId="15060" xr:uid="{00000000-0005-0000-0000-00003B3C0000}"/>
    <cellStyle name="Normal 55 2 5" xfId="15061" xr:uid="{00000000-0005-0000-0000-00003C3C0000}"/>
    <cellStyle name="Normal 55 2 6" xfId="15062" xr:uid="{00000000-0005-0000-0000-00003D3C0000}"/>
    <cellStyle name="Normal 55 2 7" xfId="15063" xr:uid="{00000000-0005-0000-0000-00003E3C0000}"/>
    <cellStyle name="Normal 55 2 8" xfId="15064" xr:uid="{00000000-0005-0000-0000-00003F3C0000}"/>
    <cellStyle name="Normal 55 2 9" xfId="15065" xr:uid="{00000000-0005-0000-0000-0000403C0000}"/>
    <cellStyle name="Normal 55 3" xfId="15066" xr:uid="{00000000-0005-0000-0000-0000413C0000}"/>
    <cellStyle name="Normal 55 4" xfId="15067" xr:uid="{00000000-0005-0000-0000-0000423C0000}"/>
    <cellStyle name="Normal 55 5" xfId="15068" xr:uid="{00000000-0005-0000-0000-0000433C0000}"/>
    <cellStyle name="Normal 55 6" xfId="15069" xr:uid="{00000000-0005-0000-0000-0000443C0000}"/>
    <cellStyle name="Normal 55 7" xfId="15070" xr:uid="{00000000-0005-0000-0000-0000453C0000}"/>
    <cellStyle name="Normal 55 8" xfId="15071" xr:uid="{00000000-0005-0000-0000-0000463C0000}"/>
    <cellStyle name="Normal 55 9" xfId="15072" xr:uid="{00000000-0005-0000-0000-0000473C0000}"/>
    <cellStyle name="Normal 56" xfId="15073" xr:uid="{00000000-0005-0000-0000-0000483C0000}"/>
    <cellStyle name="Normal 56 10" xfId="15074" xr:uid="{00000000-0005-0000-0000-0000493C0000}"/>
    <cellStyle name="Normal 56 11" xfId="15075" xr:uid="{00000000-0005-0000-0000-00004A3C0000}"/>
    <cellStyle name="Normal 56 12" xfId="15076" xr:uid="{00000000-0005-0000-0000-00004B3C0000}"/>
    <cellStyle name="Normal 56 13" xfId="15077" xr:uid="{00000000-0005-0000-0000-00004C3C0000}"/>
    <cellStyle name="Normal 56 14" xfId="15078" xr:uid="{00000000-0005-0000-0000-00004D3C0000}"/>
    <cellStyle name="Normal 56 15" xfId="15079" xr:uid="{00000000-0005-0000-0000-00004E3C0000}"/>
    <cellStyle name="Normal 56 16" xfId="15080" xr:uid="{00000000-0005-0000-0000-00004F3C0000}"/>
    <cellStyle name="Normal 56 17" xfId="15081" xr:uid="{00000000-0005-0000-0000-0000503C0000}"/>
    <cellStyle name="Normal 56 18" xfId="42046" xr:uid="{00000000-0005-0000-0000-0000513C0000}"/>
    <cellStyle name="Normal 56 2" xfId="15082" xr:uid="{00000000-0005-0000-0000-0000523C0000}"/>
    <cellStyle name="Normal 56 3" xfId="15083" xr:uid="{00000000-0005-0000-0000-0000533C0000}"/>
    <cellStyle name="Normal 56 4" xfId="15084" xr:uid="{00000000-0005-0000-0000-0000543C0000}"/>
    <cellStyle name="Normal 56 5" xfId="15085" xr:uid="{00000000-0005-0000-0000-0000553C0000}"/>
    <cellStyle name="Normal 56 6" xfId="15086" xr:uid="{00000000-0005-0000-0000-0000563C0000}"/>
    <cellStyle name="Normal 56 7" xfId="15087" xr:uid="{00000000-0005-0000-0000-0000573C0000}"/>
    <cellStyle name="Normal 56 8" xfId="15088" xr:uid="{00000000-0005-0000-0000-0000583C0000}"/>
    <cellStyle name="Normal 56 9" xfId="15089" xr:uid="{00000000-0005-0000-0000-0000593C0000}"/>
    <cellStyle name="Normal 57" xfId="15090" xr:uid="{00000000-0005-0000-0000-00005A3C0000}"/>
    <cellStyle name="Normal 57 2" xfId="15091" xr:uid="{00000000-0005-0000-0000-00005B3C0000}"/>
    <cellStyle name="Normal 58" xfId="15092" xr:uid="{00000000-0005-0000-0000-00005C3C0000}"/>
    <cellStyle name="Normal 58 2" xfId="15093" xr:uid="{00000000-0005-0000-0000-00005D3C0000}"/>
    <cellStyle name="Normal 58 3" xfId="15094" xr:uid="{00000000-0005-0000-0000-00005E3C0000}"/>
    <cellStyle name="Normal 58 3 2" xfId="15095" xr:uid="{00000000-0005-0000-0000-00005F3C0000}"/>
    <cellStyle name="Normal 58 3 2 2" xfId="15096" xr:uid="{00000000-0005-0000-0000-0000603C0000}"/>
    <cellStyle name="Normal 58 3 2 2 2" xfId="15097" xr:uid="{00000000-0005-0000-0000-0000613C0000}"/>
    <cellStyle name="Normal 58 3 2 2 3" xfId="15098" xr:uid="{00000000-0005-0000-0000-0000623C0000}"/>
    <cellStyle name="Normal 58 3 2 3" xfId="15099" xr:uid="{00000000-0005-0000-0000-0000633C0000}"/>
    <cellStyle name="Normal 58 3 2 3 2" xfId="15100" xr:uid="{00000000-0005-0000-0000-0000643C0000}"/>
    <cellStyle name="Normal 58 3 2 3 3" xfId="15101" xr:uid="{00000000-0005-0000-0000-0000653C0000}"/>
    <cellStyle name="Normal 58 4" xfId="15102" xr:uid="{00000000-0005-0000-0000-0000663C0000}"/>
    <cellStyle name="Normal 58 4 2" xfId="15103" xr:uid="{00000000-0005-0000-0000-0000673C0000}"/>
    <cellStyle name="Normal 58 4 3" xfId="15104" xr:uid="{00000000-0005-0000-0000-0000683C0000}"/>
    <cellStyle name="Normal 58 4 3 2" xfId="15105" xr:uid="{00000000-0005-0000-0000-0000693C0000}"/>
    <cellStyle name="Normal 58 4 3 3" xfId="15106" xr:uid="{00000000-0005-0000-0000-00006A3C0000}"/>
    <cellStyle name="Normal 58 5" xfId="15107" xr:uid="{00000000-0005-0000-0000-00006B3C0000}"/>
    <cellStyle name="Normal 58 5 2" xfId="15108" xr:uid="{00000000-0005-0000-0000-00006C3C0000}"/>
    <cellStyle name="Normal 58 5 2 2" xfId="15109" xr:uid="{00000000-0005-0000-0000-00006D3C0000}"/>
    <cellStyle name="Normal 58 5 2 2 2" xfId="15110" xr:uid="{00000000-0005-0000-0000-00006E3C0000}"/>
    <cellStyle name="Normal 58 5 2 2 2 2" xfId="15111" xr:uid="{00000000-0005-0000-0000-00006F3C0000}"/>
    <cellStyle name="Normal 58 5 2 2 2 3" xfId="15112" xr:uid="{00000000-0005-0000-0000-0000703C0000}"/>
    <cellStyle name="Normal 58 5 3" xfId="15113" xr:uid="{00000000-0005-0000-0000-0000713C0000}"/>
    <cellStyle name="Normal 58 5 3 2" xfId="15114" xr:uid="{00000000-0005-0000-0000-0000723C0000}"/>
    <cellStyle name="Normal 58_2.10 Streetworks version 2 - RW Update" xfId="15115" xr:uid="{00000000-0005-0000-0000-0000733C0000}"/>
    <cellStyle name="Normal 59" xfId="15116" xr:uid="{00000000-0005-0000-0000-0000743C0000}"/>
    <cellStyle name="Normal 59 2" xfId="15117" xr:uid="{00000000-0005-0000-0000-0000753C0000}"/>
    <cellStyle name="Normal 6" xfId="15118" xr:uid="{00000000-0005-0000-0000-0000763C0000}"/>
    <cellStyle name="Normal 6 10" xfId="15119" xr:uid="{00000000-0005-0000-0000-0000773C0000}"/>
    <cellStyle name="Normal 6 11" xfId="15120" xr:uid="{00000000-0005-0000-0000-0000783C0000}"/>
    <cellStyle name="Normal 6 12" xfId="15121" xr:uid="{00000000-0005-0000-0000-0000793C0000}"/>
    <cellStyle name="Normal 6 13" xfId="15122" xr:uid="{00000000-0005-0000-0000-00007A3C0000}"/>
    <cellStyle name="Normal 6 14" xfId="15123" xr:uid="{00000000-0005-0000-0000-00007B3C0000}"/>
    <cellStyle name="Normal 6 15" xfId="15124" xr:uid="{00000000-0005-0000-0000-00007C3C0000}"/>
    <cellStyle name="Normal 6 16" xfId="15125" xr:uid="{00000000-0005-0000-0000-00007D3C0000}"/>
    <cellStyle name="Normal 6 17" xfId="15126" xr:uid="{00000000-0005-0000-0000-00007E3C0000}"/>
    <cellStyle name="Normal 6 18" xfId="15127" xr:uid="{00000000-0005-0000-0000-00007F3C0000}"/>
    <cellStyle name="Normal 6 19" xfId="15128" xr:uid="{00000000-0005-0000-0000-0000803C0000}"/>
    <cellStyle name="Normal 6 2" xfId="15129" xr:uid="{00000000-0005-0000-0000-0000813C0000}"/>
    <cellStyle name="Normal 6 2 10" xfId="15130" xr:uid="{00000000-0005-0000-0000-0000823C0000}"/>
    <cellStyle name="Normal 6 2 11" xfId="15131" xr:uid="{00000000-0005-0000-0000-0000833C0000}"/>
    <cellStyle name="Normal 6 2 12" xfId="15132" xr:uid="{00000000-0005-0000-0000-0000843C0000}"/>
    <cellStyle name="Normal 6 2 13" xfId="15133" xr:uid="{00000000-0005-0000-0000-0000853C0000}"/>
    <cellStyle name="Normal 6 2 14" xfId="15134" xr:uid="{00000000-0005-0000-0000-0000863C0000}"/>
    <cellStyle name="Normal 6 2 15" xfId="15135" xr:uid="{00000000-0005-0000-0000-0000873C0000}"/>
    <cellStyle name="Normal 6 2 16" xfId="15136" xr:uid="{00000000-0005-0000-0000-0000883C0000}"/>
    <cellStyle name="Normal 6 2 17" xfId="15137" xr:uid="{00000000-0005-0000-0000-0000893C0000}"/>
    <cellStyle name="Normal 6 2 2" xfId="15138" xr:uid="{00000000-0005-0000-0000-00008A3C0000}"/>
    <cellStyle name="Normal 6 2 3" xfId="15139" xr:uid="{00000000-0005-0000-0000-00008B3C0000}"/>
    <cellStyle name="Normal 6 2 4" xfId="15140" xr:uid="{00000000-0005-0000-0000-00008C3C0000}"/>
    <cellStyle name="Normal 6 2 5" xfId="15141" xr:uid="{00000000-0005-0000-0000-00008D3C0000}"/>
    <cellStyle name="Normal 6 2 6" xfId="15142" xr:uid="{00000000-0005-0000-0000-00008E3C0000}"/>
    <cellStyle name="Normal 6 2 7" xfId="15143" xr:uid="{00000000-0005-0000-0000-00008F3C0000}"/>
    <cellStyle name="Normal 6 2 8" xfId="15144" xr:uid="{00000000-0005-0000-0000-0000903C0000}"/>
    <cellStyle name="Normal 6 2 9" xfId="15145" xr:uid="{00000000-0005-0000-0000-0000913C0000}"/>
    <cellStyle name="Normal 6 20" xfId="15146" xr:uid="{00000000-0005-0000-0000-0000923C0000}"/>
    <cellStyle name="Normal 6 21" xfId="15147" xr:uid="{00000000-0005-0000-0000-0000933C0000}"/>
    <cellStyle name="Normal 6 22" xfId="15148" xr:uid="{00000000-0005-0000-0000-0000943C0000}"/>
    <cellStyle name="Normal 6 23" xfId="15149" xr:uid="{00000000-0005-0000-0000-0000953C0000}"/>
    <cellStyle name="Normal 6 24" xfId="15150" xr:uid="{00000000-0005-0000-0000-0000963C0000}"/>
    <cellStyle name="Normal 6 25" xfId="15151" xr:uid="{00000000-0005-0000-0000-0000973C0000}"/>
    <cellStyle name="Normal 6 26" xfId="15152" xr:uid="{00000000-0005-0000-0000-0000983C0000}"/>
    <cellStyle name="Normal 6 27" xfId="15153" xr:uid="{00000000-0005-0000-0000-0000993C0000}"/>
    <cellStyle name="Normal 6 28" xfId="15154" xr:uid="{00000000-0005-0000-0000-00009A3C0000}"/>
    <cellStyle name="Normal 6 29" xfId="15155" xr:uid="{00000000-0005-0000-0000-00009B3C0000}"/>
    <cellStyle name="Normal 6 3" xfId="15156" xr:uid="{00000000-0005-0000-0000-00009C3C0000}"/>
    <cellStyle name="Normal 6 3 10" xfId="15157" xr:uid="{00000000-0005-0000-0000-00009D3C0000}"/>
    <cellStyle name="Normal 6 3 11" xfId="15158" xr:uid="{00000000-0005-0000-0000-00009E3C0000}"/>
    <cellStyle name="Normal 6 3 12" xfId="15159" xr:uid="{00000000-0005-0000-0000-00009F3C0000}"/>
    <cellStyle name="Normal 6 3 13" xfId="15160" xr:uid="{00000000-0005-0000-0000-0000A03C0000}"/>
    <cellStyle name="Normal 6 3 14" xfId="15161" xr:uid="{00000000-0005-0000-0000-0000A13C0000}"/>
    <cellStyle name="Normal 6 3 15" xfId="15162" xr:uid="{00000000-0005-0000-0000-0000A23C0000}"/>
    <cellStyle name="Normal 6 3 16" xfId="15163" xr:uid="{00000000-0005-0000-0000-0000A33C0000}"/>
    <cellStyle name="Normal 6 3 17" xfId="15164" xr:uid="{00000000-0005-0000-0000-0000A43C0000}"/>
    <cellStyle name="Normal 6 3 2" xfId="15165" xr:uid="{00000000-0005-0000-0000-0000A53C0000}"/>
    <cellStyle name="Normal 6 3 3" xfId="15166" xr:uid="{00000000-0005-0000-0000-0000A63C0000}"/>
    <cellStyle name="Normal 6 3 4" xfId="15167" xr:uid="{00000000-0005-0000-0000-0000A73C0000}"/>
    <cellStyle name="Normal 6 3 5" xfId="15168" xr:uid="{00000000-0005-0000-0000-0000A83C0000}"/>
    <cellStyle name="Normal 6 3 6" xfId="15169" xr:uid="{00000000-0005-0000-0000-0000A93C0000}"/>
    <cellStyle name="Normal 6 3 7" xfId="15170" xr:uid="{00000000-0005-0000-0000-0000AA3C0000}"/>
    <cellStyle name="Normal 6 3 8" xfId="15171" xr:uid="{00000000-0005-0000-0000-0000AB3C0000}"/>
    <cellStyle name="Normal 6 3 9" xfId="15172" xr:uid="{00000000-0005-0000-0000-0000AC3C0000}"/>
    <cellStyle name="Normal 6 30" xfId="15173" xr:uid="{00000000-0005-0000-0000-0000AD3C0000}"/>
    <cellStyle name="Normal 6 31" xfId="15174" xr:uid="{00000000-0005-0000-0000-0000AE3C0000}"/>
    <cellStyle name="Normal 6 32" xfId="15175" xr:uid="{00000000-0005-0000-0000-0000AF3C0000}"/>
    <cellStyle name="Normal 6 33" xfId="15176" xr:uid="{00000000-0005-0000-0000-0000B03C0000}"/>
    <cellStyle name="Normal 6 34" xfId="15177" xr:uid="{00000000-0005-0000-0000-0000B13C0000}"/>
    <cellStyle name="Normal 6 35" xfId="15178" xr:uid="{00000000-0005-0000-0000-0000B23C0000}"/>
    <cellStyle name="Normal 6 36" xfId="15179" xr:uid="{00000000-0005-0000-0000-0000B33C0000}"/>
    <cellStyle name="Normal 6 37" xfId="15180" xr:uid="{00000000-0005-0000-0000-0000B43C0000}"/>
    <cellStyle name="Normal 6 38" xfId="15181" xr:uid="{00000000-0005-0000-0000-0000B53C0000}"/>
    <cellStyle name="Normal 6 39" xfId="15182" xr:uid="{00000000-0005-0000-0000-0000B63C0000}"/>
    <cellStyle name="Normal 6 4" xfId="15183" xr:uid="{00000000-0005-0000-0000-0000B73C0000}"/>
    <cellStyle name="Normal 6 40" xfId="15184" xr:uid="{00000000-0005-0000-0000-0000B83C0000}"/>
    <cellStyle name="Normal 6 41" xfId="15185" xr:uid="{00000000-0005-0000-0000-0000B93C0000}"/>
    <cellStyle name="Normal 6 42" xfId="15186" xr:uid="{00000000-0005-0000-0000-0000BA3C0000}"/>
    <cellStyle name="Normal 6 43" xfId="15187" xr:uid="{00000000-0005-0000-0000-0000BB3C0000}"/>
    <cellStyle name="Normal 6 44" xfId="15188" xr:uid="{00000000-0005-0000-0000-0000BC3C0000}"/>
    <cellStyle name="Normal 6 45" xfId="15189" xr:uid="{00000000-0005-0000-0000-0000BD3C0000}"/>
    <cellStyle name="Normal 6 46" xfId="15190" xr:uid="{00000000-0005-0000-0000-0000BE3C0000}"/>
    <cellStyle name="Normal 6 47" xfId="15191" xr:uid="{00000000-0005-0000-0000-0000BF3C0000}"/>
    <cellStyle name="Normal 6 48" xfId="15192" xr:uid="{00000000-0005-0000-0000-0000C03C0000}"/>
    <cellStyle name="Normal 6 49" xfId="15193" xr:uid="{00000000-0005-0000-0000-0000C13C0000}"/>
    <cellStyle name="Normal 6 5" xfId="15194" xr:uid="{00000000-0005-0000-0000-0000C23C0000}"/>
    <cellStyle name="Normal 6 50" xfId="15195" xr:uid="{00000000-0005-0000-0000-0000C33C0000}"/>
    <cellStyle name="Normal 6 51" xfId="15196" xr:uid="{00000000-0005-0000-0000-0000C43C0000}"/>
    <cellStyle name="Normal 6 52" xfId="15197" xr:uid="{00000000-0005-0000-0000-0000C53C0000}"/>
    <cellStyle name="Normal 6 53" xfId="15198" xr:uid="{00000000-0005-0000-0000-0000C63C0000}"/>
    <cellStyle name="Normal 6 54" xfId="15199" xr:uid="{00000000-0005-0000-0000-0000C73C0000}"/>
    <cellStyle name="Normal 6 55" xfId="15200" xr:uid="{00000000-0005-0000-0000-0000C83C0000}"/>
    <cellStyle name="Normal 6 56" xfId="15201" xr:uid="{00000000-0005-0000-0000-0000C93C0000}"/>
    <cellStyle name="Normal 6 57" xfId="15202" xr:uid="{00000000-0005-0000-0000-0000CA3C0000}"/>
    <cellStyle name="Normal 6 58" xfId="15203" xr:uid="{00000000-0005-0000-0000-0000CB3C0000}"/>
    <cellStyle name="Normal 6 59" xfId="15204" xr:uid="{00000000-0005-0000-0000-0000CC3C0000}"/>
    <cellStyle name="Normal 6 6" xfId="15205" xr:uid="{00000000-0005-0000-0000-0000CD3C0000}"/>
    <cellStyle name="Normal 6 60" xfId="15206" xr:uid="{00000000-0005-0000-0000-0000CE3C0000}"/>
    <cellStyle name="Normal 6 61" xfId="15207" xr:uid="{00000000-0005-0000-0000-0000CF3C0000}"/>
    <cellStyle name="Normal 6 62" xfId="15208" xr:uid="{00000000-0005-0000-0000-0000D03C0000}"/>
    <cellStyle name="Normal 6 63" xfId="15209" xr:uid="{00000000-0005-0000-0000-0000D13C0000}"/>
    <cellStyle name="Normal 6 64" xfId="15210" xr:uid="{00000000-0005-0000-0000-0000D23C0000}"/>
    <cellStyle name="Normal 6 65" xfId="15211" xr:uid="{00000000-0005-0000-0000-0000D33C0000}"/>
    <cellStyle name="Normal 6 66" xfId="15212" xr:uid="{00000000-0005-0000-0000-0000D43C0000}"/>
    <cellStyle name="Normal 6 67" xfId="15213" xr:uid="{00000000-0005-0000-0000-0000D53C0000}"/>
    <cellStyle name="Normal 6 68" xfId="15214" xr:uid="{00000000-0005-0000-0000-0000D63C0000}"/>
    <cellStyle name="Normal 6 69" xfId="15215" xr:uid="{00000000-0005-0000-0000-0000D73C0000}"/>
    <cellStyle name="Normal 6 7" xfId="15216" xr:uid="{00000000-0005-0000-0000-0000D83C0000}"/>
    <cellStyle name="Normal 6 70" xfId="15217" xr:uid="{00000000-0005-0000-0000-0000D93C0000}"/>
    <cellStyle name="Normal 6 71" xfId="15218" xr:uid="{00000000-0005-0000-0000-0000DA3C0000}"/>
    <cellStyle name="Normal 6 72" xfId="15219" xr:uid="{00000000-0005-0000-0000-0000DB3C0000}"/>
    <cellStyle name="Normal 6 73" xfId="15220" xr:uid="{00000000-0005-0000-0000-0000DC3C0000}"/>
    <cellStyle name="Normal 6 74" xfId="15221" xr:uid="{00000000-0005-0000-0000-0000DD3C0000}"/>
    <cellStyle name="Normal 6 75" xfId="15222" xr:uid="{00000000-0005-0000-0000-0000DE3C0000}"/>
    <cellStyle name="Normal 6 76" xfId="15223" xr:uid="{00000000-0005-0000-0000-0000DF3C0000}"/>
    <cellStyle name="Normal 6 77" xfId="15224" xr:uid="{00000000-0005-0000-0000-0000E03C0000}"/>
    <cellStyle name="Normal 6 78" xfId="15225" xr:uid="{00000000-0005-0000-0000-0000E13C0000}"/>
    <cellStyle name="Normal 6 79" xfId="15226" xr:uid="{00000000-0005-0000-0000-0000E23C0000}"/>
    <cellStyle name="Normal 6 8" xfId="15227" xr:uid="{00000000-0005-0000-0000-0000E33C0000}"/>
    <cellStyle name="Normal 6 80" xfId="15228" xr:uid="{00000000-0005-0000-0000-0000E43C0000}"/>
    <cellStyle name="Normal 6 81" xfId="15229" xr:uid="{00000000-0005-0000-0000-0000E53C0000}"/>
    <cellStyle name="Normal 6 82" xfId="15230" xr:uid="{00000000-0005-0000-0000-0000E63C0000}"/>
    <cellStyle name="Normal 6 83" xfId="15231" xr:uid="{00000000-0005-0000-0000-0000E73C0000}"/>
    <cellStyle name="Normal 6 9" xfId="15232" xr:uid="{00000000-0005-0000-0000-0000E83C0000}"/>
    <cellStyle name="Normal 60" xfId="15233" xr:uid="{00000000-0005-0000-0000-0000E93C0000}"/>
    <cellStyle name="Normal 61" xfId="15234" xr:uid="{00000000-0005-0000-0000-0000EA3C0000}"/>
    <cellStyle name="Normal 61 2" xfId="15235" xr:uid="{00000000-0005-0000-0000-0000EB3C0000}"/>
    <cellStyle name="Normal 61 2 2" xfId="15236" xr:uid="{00000000-0005-0000-0000-0000EC3C0000}"/>
    <cellStyle name="Normal 61 2 3" xfId="15237" xr:uid="{00000000-0005-0000-0000-0000ED3C0000}"/>
    <cellStyle name="Normal 61 2 4" xfId="15238" xr:uid="{00000000-0005-0000-0000-0000EE3C0000}"/>
    <cellStyle name="Normal 61 2 5" xfId="15239" xr:uid="{00000000-0005-0000-0000-0000EF3C0000}"/>
    <cellStyle name="Normal 61 2 6" xfId="15240" xr:uid="{00000000-0005-0000-0000-0000F03C0000}"/>
    <cellStyle name="Normal 61 2 7" xfId="15241" xr:uid="{00000000-0005-0000-0000-0000F13C0000}"/>
    <cellStyle name="Normal 61 2 8" xfId="15242" xr:uid="{00000000-0005-0000-0000-0000F23C0000}"/>
    <cellStyle name="Normal 62" xfId="15243" xr:uid="{00000000-0005-0000-0000-0000F33C0000}"/>
    <cellStyle name="Normal 63" xfId="15244" xr:uid="{00000000-0005-0000-0000-0000F43C0000}"/>
    <cellStyle name="Normal 63 2" xfId="15245" xr:uid="{00000000-0005-0000-0000-0000F53C0000}"/>
    <cellStyle name="Normal 63 2 2" xfId="15246" xr:uid="{00000000-0005-0000-0000-0000F63C0000}"/>
    <cellStyle name="Normal 63 2 3" xfId="15247" xr:uid="{00000000-0005-0000-0000-0000F73C0000}"/>
    <cellStyle name="Normal 63 2 3 2" xfId="15248" xr:uid="{00000000-0005-0000-0000-0000F83C0000}"/>
    <cellStyle name="Normal 63 2 3 2 2" xfId="15249" xr:uid="{00000000-0005-0000-0000-0000F93C0000}"/>
    <cellStyle name="Normal 63 2 4" xfId="15250" xr:uid="{00000000-0005-0000-0000-0000FA3C0000}"/>
    <cellStyle name="Normal 63 2 4 2" xfId="15251" xr:uid="{00000000-0005-0000-0000-0000FB3C0000}"/>
    <cellStyle name="Normal 63 2 4 2 2" xfId="15252" xr:uid="{00000000-0005-0000-0000-0000FC3C0000}"/>
    <cellStyle name="Normal 63 2 4 2 2 2" xfId="15253" xr:uid="{00000000-0005-0000-0000-0000FD3C0000}"/>
    <cellStyle name="Normal 63 2 4 2 2 3" xfId="15254" xr:uid="{00000000-0005-0000-0000-0000FE3C0000}"/>
    <cellStyle name="Normal 63 3" xfId="15255" xr:uid="{00000000-0005-0000-0000-0000FF3C0000}"/>
    <cellStyle name="Normal 63 3 2" xfId="15256" xr:uid="{00000000-0005-0000-0000-0000003D0000}"/>
    <cellStyle name="Normal 63 3 3" xfId="15257" xr:uid="{00000000-0005-0000-0000-0000013D0000}"/>
    <cellStyle name="Normal 63 3 3 2" xfId="15258" xr:uid="{00000000-0005-0000-0000-0000023D0000}"/>
    <cellStyle name="Normal 63 3 3 3" xfId="15259" xr:uid="{00000000-0005-0000-0000-0000033D0000}"/>
    <cellStyle name="Normal 63 4" xfId="15260" xr:uid="{00000000-0005-0000-0000-0000043D0000}"/>
    <cellStyle name="Normal 63 5" xfId="15261" xr:uid="{00000000-0005-0000-0000-0000053D0000}"/>
    <cellStyle name="Normal 64" xfId="15262" xr:uid="{00000000-0005-0000-0000-0000063D0000}"/>
    <cellStyle name="Normal 64 2" xfId="15263" xr:uid="{00000000-0005-0000-0000-0000073D0000}"/>
    <cellStyle name="Normal 64 3" xfId="15264" xr:uid="{00000000-0005-0000-0000-0000083D0000}"/>
    <cellStyle name="Normal 64 3 2" xfId="15265" xr:uid="{00000000-0005-0000-0000-0000093D0000}"/>
    <cellStyle name="Normal 64 3 2 2" xfId="15266" xr:uid="{00000000-0005-0000-0000-00000A3D0000}"/>
    <cellStyle name="Normal 64 3 2 2 2" xfId="15267" xr:uid="{00000000-0005-0000-0000-00000B3D0000}"/>
    <cellStyle name="Normal 64 3 2 2 3" xfId="15268" xr:uid="{00000000-0005-0000-0000-00000C3D0000}"/>
    <cellStyle name="Normal 64 3 2 2 3 2" xfId="15269" xr:uid="{00000000-0005-0000-0000-00000D3D0000}"/>
    <cellStyle name="Normal 64 3 2 2 3 3" xfId="15270" xr:uid="{00000000-0005-0000-0000-00000E3D0000}"/>
    <cellStyle name="Normal 64 4" xfId="15271" xr:uid="{00000000-0005-0000-0000-00000F3D0000}"/>
    <cellStyle name="Normal 65" xfId="15272" xr:uid="{00000000-0005-0000-0000-0000103D0000}"/>
    <cellStyle name="Normal 66" xfId="15273" xr:uid="{00000000-0005-0000-0000-0000113D0000}"/>
    <cellStyle name="Normal 66 2" xfId="15274" xr:uid="{00000000-0005-0000-0000-0000123D0000}"/>
    <cellStyle name="Normal 66 2 2" xfId="15275" xr:uid="{00000000-0005-0000-0000-0000133D0000}"/>
    <cellStyle name="Normal 66 2 3" xfId="15276" xr:uid="{00000000-0005-0000-0000-0000143D0000}"/>
    <cellStyle name="Normal 66 2 4" xfId="15277" xr:uid="{00000000-0005-0000-0000-0000153D0000}"/>
    <cellStyle name="Normal 66 3" xfId="15278" xr:uid="{00000000-0005-0000-0000-0000163D0000}"/>
    <cellStyle name="Normal 67" xfId="15279" xr:uid="{00000000-0005-0000-0000-0000173D0000}"/>
    <cellStyle name="Normal 67 2" xfId="15280" xr:uid="{00000000-0005-0000-0000-0000183D0000}"/>
    <cellStyle name="Normal 67 3" xfId="15281" xr:uid="{00000000-0005-0000-0000-0000193D0000}"/>
    <cellStyle name="Normal 67 4" xfId="15282" xr:uid="{00000000-0005-0000-0000-00001A3D0000}"/>
    <cellStyle name="Normal 68" xfId="15283" xr:uid="{00000000-0005-0000-0000-00001B3D0000}"/>
    <cellStyle name="Normal 68 2" xfId="15284" xr:uid="{00000000-0005-0000-0000-00001C3D0000}"/>
    <cellStyle name="Normal 68 2 2" xfId="15285" xr:uid="{00000000-0005-0000-0000-00001D3D0000}"/>
    <cellStyle name="Normal 68 2 3" xfId="15286" xr:uid="{00000000-0005-0000-0000-00001E3D0000}"/>
    <cellStyle name="Normal 69" xfId="15287" xr:uid="{00000000-0005-0000-0000-00001F3D0000}"/>
    <cellStyle name="Normal 7" xfId="15288" xr:uid="{00000000-0005-0000-0000-0000203D0000}"/>
    <cellStyle name="Normal 7 10" xfId="15289" xr:uid="{00000000-0005-0000-0000-0000213D0000}"/>
    <cellStyle name="Normal 7 11" xfId="15290" xr:uid="{00000000-0005-0000-0000-0000223D0000}"/>
    <cellStyle name="Normal 7 12" xfId="15291" xr:uid="{00000000-0005-0000-0000-0000233D0000}"/>
    <cellStyle name="Normal 7 13" xfId="15292" xr:uid="{00000000-0005-0000-0000-0000243D0000}"/>
    <cellStyle name="Normal 7 14" xfId="15293" xr:uid="{00000000-0005-0000-0000-0000253D0000}"/>
    <cellStyle name="Normal 7 15" xfId="15294" xr:uid="{00000000-0005-0000-0000-0000263D0000}"/>
    <cellStyle name="Normal 7 16" xfId="15295" xr:uid="{00000000-0005-0000-0000-0000273D0000}"/>
    <cellStyle name="Normal 7 17" xfId="15296" xr:uid="{00000000-0005-0000-0000-0000283D0000}"/>
    <cellStyle name="Normal 7 18" xfId="15297" xr:uid="{00000000-0005-0000-0000-0000293D0000}"/>
    <cellStyle name="Normal 7 19" xfId="15298" xr:uid="{00000000-0005-0000-0000-00002A3D0000}"/>
    <cellStyle name="Normal 7 2" xfId="15299" xr:uid="{00000000-0005-0000-0000-00002B3D0000}"/>
    <cellStyle name="Normal 7 2 10" xfId="15300" xr:uid="{00000000-0005-0000-0000-00002C3D0000}"/>
    <cellStyle name="Normal 7 2 11" xfId="15301" xr:uid="{00000000-0005-0000-0000-00002D3D0000}"/>
    <cellStyle name="Normal 7 2 12" xfId="15302" xr:uid="{00000000-0005-0000-0000-00002E3D0000}"/>
    <cellStyle name="Normal 7 2 13" xfId="15303" xr:uid="{00000000-0005-0000-0000-00002F3D0000}"/>
    <cellStyle name="Normal 7 2 14" xfId="15304" xr:uid="{00000000-0005-0000-0000-0000303D0000}"/>
    <cellStyle name="Normal 7 2 15" xfId="15305" xr:uid="{00000000-0005-0000-0000-0000313D0000}"/>
    <cellStyle name="Normal 7 2 16" xfId="15306" xr:uid="{00000000-0005-0000-0000-0000323D0000}"/>
    <cellStyle name="Normal 7 2 17" xfId="15307" xr:uid="{00000000-0005-0000-0000-0000333D0000}"/>
    <cellStyle name="Normal 7 2 18" xfId="15308" xr:uid="{00000000-0005-0000-0000-0000343D0000}"/>
    <cellStyle name="Normal 7 2 19" xfId="15309" xr:uid="{00000000-0005-0000-0000-0000353D0000}"/>
    <cellStyle name="Normal 7 2 2" xfId="15310" xr:uid="{00000000-0005-0000-0000-0000363D0000}"/>
    <cellStyle name="Normal 7 2 20" xfId="15311" xr:uid="{00000000-0005-0000-0000-0000373D0000}"/>
    <cellStyle name="Normal 7 2 21" xfId="15312" xr:uid="{00000000-0005-0000-0000-0000383D0000}"/>
    <cellStyle name="Normal 7 2 22" xfId="15313" xr:uid="{00000000-0005-0000-0000-0000393D0000}"/>
    <cellStyle name="Normal 7 2 23" xfId="15314" xr:uid="{00000000-0005-0000-0000-00003A3D0000}"/>
    <cellStyle name="Normal 7 2 24" xfId="15315" xr:uid="{00000000-0005-0000-0000-00003B3D0000}"/>
    <cellStyle name="Normal 7 2 25" xfId="15316" xr:uid="{00000000-0005-0000-0000-00003C3D0000}"/>
    <cellStyle name="Normal 7 2 26" xfId="15317" xr:uid="{00000000-0005-0000-0000-00003D3D0000}"/>
    <cellStyle name="Normal 7 2 27" xfId="15318" xr:uid="{00000000-0005-0000-0000-00003E3D0000}"/>
    <cellStyle name="Normal 7 2 28" xfId="15319" xr:uid="{00000000-0005-0000-0000-00003F3D0000}"/>
    <cellStyle name="Normal 7 2 29" xfId="15320" xr:uid="{00000000-0005-0000-0000-0000403D0000}"/>
    <cellStyle name="Normal 7 2 3" xfId="15321" xr:uid="{00000000-0005-0000-0000-0000413D0000}"/>
    <cellStyle name="Normal 7 2 30" xfId="15322" xr:uid="{00000000-0005-0000-0000-0000423D0000}"/>
    <cellStyle name="Normal 7 2 31" xfId="15323" xr:uid="{00000000-0005-0000-0000-0000433D0000}"/>
    <cellStyle name="Normal 7 2 32" xfId="15324" xr:uid="{00000000-0005-0000-0000-0000443D0000}"/>
    <cellStyle name="Normal 7 2 33" xfId="15325" xr:uid="{00000000-0005-0000-0000-0000453D0000}"/>
    <cellStyle name="Normal 7 2 34" xfId="15326" xr:uid="{00000000-0005-0000-0000-0000463D0000}"/>
    <cellStyle name="Normal 7 2 35" xfId="15327" xr:uid="{00000000-0005-0000-0000-0000473D0000}"/>
    <cellStyle name="Normal 7 2 36" xfId="15328" xr:uid="{00000000-0005-0000-0000-0000483D0000}"/>
    <cellStyle name="Normal 7 2 37" xfId="15329" xr:uid="{00000000-0005-0000-0000-0000493D0000}"/>
    <cellStyle name="Normal 7 2 38" xfId="15330" xr:uid="{00000000-0005-0000-0000-00004A3D0000}"/>
    <cellStyle name="Normal 7 2 39" xfId="15331" xr:uid="{00000000-0005-0000-0000-00004B3D0000}"/>
    <cellStyle name="Normal 7 2 4" xfId="15332" xr:uid="{00000000-0005-0000-0000-00004C3D0000}"/>
    <cellStyle name="Normal 7 2 40" xfId="15333" xr:uid="{00000000-0005-0000-0000-00004D3D0000}"/>
    <cellStyle name="Normal 7 2 41" xfId="15334" xr:uid="{00000000-0005-0000-0000-00004E3D0000}"/>
    <cellStyle name="Normal 7 2 42" xfId="15335" xr:uid="{00000000-0005-0000-0000-00004F3D0000}"/>
    <cellStyle name="Normal 7 2 43" xfId="15336" xr:uid="{00000000-0005-0000-0000-0000503D0000}"/>
    <cellStyle name="Normal 7 2 44" xfId="15337" xr:uid="{00000000-0005-0000-0000-0000513D0000}"/>
    <cellStyle name="Normal 7 2 45" xfId="15338" xr:uid="{00000000-0005-0000-0000-0000523D0000}"/>
    <cellStyle name="Normal 7 2 46" xfId="15339" xr:uid="{00000000-0005-0000-0000-0000533D0000}"/>
    <cellStyle name="Normal 7 2 47" xfId="15340" xr:uid="{00000000-0005-0000-0000-0000543D0000}"/>
    <cellStyle name="Normal 7 2 48" xfId="15341" xr:uid="{00000000-0005-0000-0000-0000553D0000}"/>
    <cellStyle name="Normal 7 2 49" xfId="15342" xr:uid="{00000000-0005-0000-0000-0000563D0000}"/>
    <cellStyle name="Normal 7 2 5" xfId="15343" xr:uid="{00000000-0005-0000-0000-0000573D0000}"/>
    <cellStyle name="Normal 7 2 50" xfId="15344" xr:uid="{00000000-0005-0000-0000-0000583D0000}"/>
    <cellStyle name="Normal 7 2 51" xfId="15345" xr:uid="{00000000-0005-0000-0000-0000593D0000}"/>
    <cellStyle name="Normal 7 2 52" xfId="15346" xr:uid="{00000000-0005-0000-0000-00005A3D0000}"/>
    <cellStyle name="Normal 7 2 53" xfId="15347" xr:uid="{00000000-0005-0000-0000-00005B3D0000}"/>
    <cellStyle name="Normal 7 2 54" xfId="15348" xr:uid="{00000000-0005-0000-0000-00005C3D0000}"/>
    <cellStyle name="Normal 7 2 55" xfId="15349" xr:uid="{00000000-0005-0000-0000-00005D3D0000}"/>
    <cellStyle name="Normal 7 2 56" xfId="15350" xr:uid="{00000000-0005-0000-0000-00005E3D0000}"/>
    <cellStyle name="Normal 7 2 57" xfId="15351" xr:uid="{00000000-0005-0000-0000-00005F3D0000}"/>
    <cellStyle name="Normal 7 2 58" xfId="15352" xr:uid="{00000000-0005-0000-0000-0000603D0000}"/>
    <cellStyle name="Normal 7 2 59" xfId="15353" xr:uid="{00000000-0005-0000-0000-0000613D0000}"/>
    <cellStyle name="Normal 7 2 6" xfId="15354" xr:uid="{00000000-0005-0000-0000-0000623D0000}"/>
    <cellStyle name="Normal 7 2 60" xfId="15355" xr:uid="{00000000-0005-0000-0000-0000633D0000}"/>
    <cellStyle name="Normal 7 2 61" xfId="15356" xr:uid="{00000000-0005-0000-0000-0000643D0000}"/>
    <cellStyle name="Normal 7 2 62" xfId="15357" xr:uid="{00000000-0005-0000-0000-0000653D0000}"/>
    <cellStyle name="Normal 7 2 63" xfId="15358" xr:uid="{00000000-0005-0000-0000-0000663D0000}"/>
    <cellStyle name="Normal 7 2 64" xfId="15359" xr:uid="{00000000-0005-0000-0000-0000673D0000}"/>
    <cellStyle name="Normal 7 2 65" xfId="15360" xr:uid="{00000000-0005-0000-0000-0000683D0000}"/>
    <cellStyle name="Normal 7 2 66" xfId="15361" xr:uid="{00000000-0005-0000-0000-0000693D0000}"/>
    <cellStyle name="Normal 7 2 67" xfId="15362" xr:uid="{00000000-0005-0000-0000-00006A3D0000}"/>
    <cellStyle name="Normal 7 2 68" xfId="15363" xr:uid="{00000000-0005-0000-0000-00006B3D0000}"/>
    <cellStyle name="Normal 7 2 69" xfId="15364" xr:uid="{00000000-0005-0000-0000-00006C3D0000}"/>
    <cellStyle name="Normal 7 2 7" xfId="15365" xr:uid="{00000000-0005-0000-0000-00006D3D0000}"/>
    <cellStyle name="Normal 7 2 70" xfId="15366" xr:uid="{00000000-0005-0000-0000-00006E3D0000}"/>
    <cellStyle name="Normal 7 2 71" xfId="15367" xr:uid="{00000000-0005-0000-0000-00006F3D0000}"/>
    <cellStyle name="Normal 7 2 72" xfId="15368" xr:uid="{00000000-0005-0000-0000-0000703D0000}"/>
    <cellStyle name="Normal 7 2 73" xfId="15369" xr:uid="{00000000-0005-0000-0000-0000713D0000}"/>
    <cellStyle name="Normal 7 2 74" xfId="15370" xr:uid="{00000000-0005-0000-0000-0000723D0000}"/>
    <cellStyle name="Normal 7 2 75" xfId="15371" xr:uid="{00000000-0005-0000-0000-0000733D0000}"/>
    <cellStyle name="Normal 7 2 76" xfId="15372" xr:uid="{00000000-0005-0000-0000-0000743D0000}"/>
    <cellStyle name="Normal 7 2 77" xfId="15373" xr:uid="{00000000-0005-0000-0000-0000753D0000}"/>
    <cellStyle name="Normal 7 2 78" xfId="15374" xr:uid="{00000000-0005-0000-0000-0000763D0000}"/>
    <cellStyle name="Normal 7 2 8" xfId="15375" xr:uid="{00000000-0005-0000-0000-0000773D0000}"/>
    <cellStyle name="Normal 7 2 9" xfId="15376" xr:uid="{00000000-0005-0000-0000-0000783D0000}"/>
    <cellStyle name="Normal 7 20" xfId="15377" xr:uid="{00000000-0005-0000-0000-0000793D0000}"/>
    <cellStyle name="Normal 7 21" xfId="15378" xr:uid="{00000000-0005-0000-0000-00007A3D0000}"/>
    <cellStyle name="Normal 7 22" xfId="15379" xr:uid="{00000000-0005-0000-0000-00007B3D0000}"/>
    <cellStyle name="Normal 7 23" xfId="15380" xr:uid="{00000000-0005-0000-0000-00007C3D0000}"/>
    <cellStyle name="Normal 7 24" xfId="15381" xr:uid="{00000000-0005-0000-0000-00007D3D0000}"/>
    <cellStyle name="Normal 7 25" xfId="15382" xr:uid="{00000000-0005-0000-0000-00007E3D0000}"/>
    <cellStyle name="Normal 7 26" xfId="15383" xr:uid="{00000000-0005-0000-0000-00007F3D0000}"/>
    <cellStyle name="Normal 7 27" xfId="15384" xr:uid="{00000000-0005-0000-0000-0000803D0000}"/>
    <cellStyle name="Normal 7 28" xfId="15385" xr:uid="{00000000-0005-0000-0000-0000813D0000}"/>
    <cellStyle name="Normal 7 29" xfId="15386" xr:uid="{00000000-0005-0000-0000-0000823D0000}"/>
    <cellStyle name="Normal 7 3" xfId="15387" xr:uid="{00000000-0005-0000-0000-0000833D0000}"/>
    <cellStyle name="Normal 7 3 10" xfId="15388" xr:uid="{00000000-0005-0000-0000-0000843D0000}"/>
    <cellStyle name="Normal 7 3 11" xfId="15389" xr:uid="{00000000-0005-0000-0000-0000853D0000}"/>
    <cellStyle name="Normal 7 3 12" xfId="15390" xr:uid="{00000000-0005-0000-0000-0000863D0000}"/>
    <cellStyle name="Normal 7 3 13" xfId="15391" xr:uid="{00000000-0005-0000-0000-0000873D0000}"/>
    <cellStyle name="Normal 7 3 14" xfId="15392" xr:uid="{00000000-0005-0000-0000-0000883D0000}"/>
    <cellStyle name="Normal 7 3 15" xfId="15393" xr:uid="{00000000-0005-0000-0000-0000893D0000}"/>
    <cellStyle name="Normal 7 3 16" xfId="15394" xr:uid="{00000000-0005-0000-0000-00008A3D0000}"/>
    <cellStyle name="Normal 7 3 17" xfId="15395" xr:uid="{00000000-0005-0000-0000-00008B3D0000}"/>
    <cellStyle name="Normal 7 3 2" xfId="15396" xr:uid="{00000000-0005-0000-0000-00008C3D0000}"/>
    <cellStyle name="Normal 7 3 3" xfId="15397" xr:uid="{00000000-0005-0000-0000-00008D3D0000}"/>
    <cellStyle name="Normal 7 3 4" xfId="15398" xr:uid="{00000000-0005-0000-0000-00008E3D0000}"/>
    <cellStyle name="Normal 7 3 5" xfId="15399" xr:uid="{00000000-0005-0000-0000-00008F3D0000}"/>
    <cellStyle name="Normal 7 3 6" xfId="15400" xr:uid="{00000000-0005-0000-0000-0000903D0000}"/>
    <cellStyle name="Normal 7 3 7" xfId="15401" xr:uid="{00000000-0005-0000-0000-0000913D0000}"/>
    <cellStyle name="Normal 7 3 8" xfId="15402" xr:uid="{00000000-0005-0000-0000-0000923D0000}"/>
    <cellStyle name="Normal 7 3 9" xfId="15403" xr:uid="{00000000-0005-0000-0000-0000933D0000}"/>
    <cellStyle name="Normal 7 30" xfId="15404" xr:uid="{00000000-0005-0000-0000-0000943D0000}"/>
    <cellStyle name="Normal 7 31" xfId="15405" xr:uid="{00000000-0005-0000-0000-0000953D0000}"/>
    <cellStyle name="Normal 7 32" xfId="15406" xr:uid="{00000000-0005-0000-0000-0000963D0000}"/>
    <cellStyle name="Normal 7 33" xfId="15407" xr:uid="{00000000-0005-0000-0000-0000973D0000}"/>
    <cellStyle name="Normal 7 34" xfId="15408" xr:uid="{00000000-0005-0000-0000-0000983D0000}"/>
    <cellStyle name="Normal 7 35" xfId="15409" xr:uid="{00000000-0005-0000-0000-0000993D0000}"/>
    <cellStyle name="Normal 7 36" xfId="15410" xr:uid="{00000000-0005-0000-0000-00009A3D0000}"/>
    <cellStyle name="Normal 7 37" xfId="15411" xr:uid="{00000000-0005-0000-0000-00009B3D0000}"/>
    <cellStyle name="Normal 7 38" xfId="15412" xr:uid="{00000000-0005-0000-0000-00009C3D0000}"/>
    <cellStyle name="Normal 7 39" xfId="15413" xr:uid="{00000000-0005-0000-0000-00009D3D0000}"/>
    <cellStyle name="Normal 7 4" xfId="15414" xr:uid="{00000000-0005-0000-0000-00009E3D0000}"/>
    <cellStyle name="Normal 7 4 10" xfId="15415" xr:uid="{00000000-0005-0000-0000-00009F3D0000}"/>
    <cellStyle name="Normal 7 4 11" xfId="15416" xr:uid="{00000000-0005-0000-0000-0000A03D0000}"/>
    <cellStyle name="Normal 7 4 12" xfId="15417" xr:uid="{00000000-0005-0000-0000-0000A13D0000}"/>
    <cellStyle name="Normal 7 4 13" xfId="15418" xr:uid="{00000000-0005-0000-0000-0000A23D0000}"/>
    <cellStyle name="Normal 7 4 14" xfId="15419" xr:uid="{00000000-0005-0000-0000-0000A33D0000}"/>
    <cellStyle name="Normal 7 4 15" xfId="15420" xr:uid="{00000000-0005-0000-0000-0000A43D0000}"/>
    <cellStyle name="Normal 7 4 16" xfId="15421" xr:uid="{00000000-0005-0000-0000-0000A53D0000}"/>
    <cellStyle name="Normal 7 4 17" xfId="15422" xr:uid="{00000000-0005-0000-0000-0000A63D0000}"/>
    <cellStyle name="Normal 7 4 2" xfId="15423" xr:uid="{00000000-0005-0000-0000-0000A73D0000}"/>
    <cellStyle name="Normal 7 4 3" xfId="15424" xr:uid="{00000000-0005-0000-0000-0000A83D0000}"/>
    <cellStyle name="Normal 7 4 4" xfId="15425" xr:uid="{00000000-0005-0000-0000-0000A93D0000}"/>
    <cellStyle name="Normal 7 4 5" xfId="15426" xr:uid="{00000000-0005-0000-0000-0000AA3D0000}"/>
    <cellStyle name="Normal 7 4 6" xfId="15427" xr:uid="{00000000-0005-0000-0000-0000AB3D0000}"/>
    <cellStyle name="Normal 7 4 7" xfId="15428" xr:uid="{00000000-0005-0000-0000-0000AC3D0000}"/>
    <cellStyle name="Normal 7 4 8" xfId="15429" xr:uid="{00000000-0005-0000-0000-0000AD3D0000}"/>
    <cellStyle name="Normal 7 4 9" xfId="15430" xr:uid="{00000000-0005-0000-0000-0000AE3D0000}"/>
    <cellStyle name="Normal 7 40" xfId="15431" xr:uid="{00000000-0005-0000-0000-0000AF3D0000}"/>
    <cellStyle name="Normal 7 41" xfId="15432" xr:uid="{00000000-0005-0000-0000-0000B03D0000}"/>
    <cellStyle name="Normal 7 42" xfId="15433" xr:uid="{00000000-0005-0000-0000-0000B13D0000}"/>
    <cellStyle name="Normal 7 43" xfId="15434" xr:uid="{00000000-0005-0000-0000-0000B23D0000}"/>
    <cellStyle name="Normal 7 44" xfId="15435" xr:uid="{00000000-0005-0000-0000-0000B33D0000}"/>
    <cellStyle name="Normal 7 45" xfId="15436" xr:uid="{00000000-0005-0000-0000-0000B43D0000}"/>
    <cellStyle name="Normal 7 46" xfId="15437" xr:uid="{00000000-0005-0000-0000-0000B53D0000}"/>
    <cellStyle name="Normal 7 47" xfId="15438" xr:uid="{00000000-0005-0000-0000-0000B63D0000}"/>
    <cellStyle name="Normal 7 48" xfId="15439" xr:uid="{00000000-0005-0000-0000-0000B73D0000}"/>
    <cellStyle name="Normal 7 49" xfId="15440" xr:uid="{00000000-0005-0000-0000-0000B83D0000}"/>
    <cellStyle name="Normal 7 5" xfId="15441" xr:uid="{00000000-0005-0000-0000-0000B93D0000}"/>
    <cellStyle name="Normal 7 5 2" xfId="15442" xr:uid="{00000000-0005-0000-0000-0000BA3D0000}"/>
    <cellStyle name="Normal 7 50" xfId="15443" xr:uid="{00000000-0005-0000-0000-0000BB3D0000}"/>
    <cellStyle name="Normal 7 51" xfId="15444" xr:uid="{00000000-0005-0000-0000-0000BC3D0000}"/>
    <cellStyle name="Normal 7 52" xfId="15445" xr:uid="{00000000-0005-0000-0000-0000BD3D0000}"/>
    <cellStyle name="Normal 7 53" xfId="15446" xr:uid="{00000000-0005-0000-0000-0000BE3D0000}"/>
    <cellStyle name="Normal 7 54" xfId="15447" xr:uid="{00000000-0005-0000-0000-0000BF3D0000}"/>
    <cellStyle name="Normal 7 55" xfId="15448" xr:uid="{00000000-0005-0000-0000-0000C03D0000}"/>
    <cellStyle name="Normal 7 56" xfId="15449" xr:uid="{00000000-0005-0000-0000-0000C13D0000}"/>
    <cellStyle name="Normal 7 57" xfId="15450" xr:uid="{00000000-0005-0000-0000-0000C23D0000}"/>
    <cellStyle name="Normal 7 58" xfId="15451" xr:uid="{00000000-0005-0000-0000-0000C33D0000}"/>
    <cellStyle name="Normal 7 59" xfId="15452" xr:uid="{00000000-0005-0000-0000-0000C43D0000}"/>
    <cellStyle name="Normal 7 6" xfId="15453" xr:uid="{00000000-0005-0000-0000-0000C53D0000}"/>
    <cellStyle name="Normal 7 60" xfId="15454" xr:uid="{00000000-0005-0000-0000-0000C63D0000}"/>
    <cellStyle name="Normal 7 61" xfId="15455" xr:uid="{00000000-0005-0000-0000-0000C73D0000}"/>
    <cellStyle name="Normal 7 62" xfId="15456" xr:uid="{00000000-0005-0000-0000-0000C83D0000}"/>
    <cellStyle name="Normal 7 63" xfId="15457" xr:uid="{00000000-0005-0000-0000-0000C93D0000}"/>
    <cellStyle name="Normal 7 64" xfId="15458" xr:uid="{00000000-0005-0000-0000-0000CA3D0000}"/>
    <cellStyle name="Normal 7 65" xfId="15459" xr:uid="{00000000-0005-0000-0000-0000CB3D0000}"/>
    <cellStyle name="Normal 7 66" xfId="15460" xr:uid="{00000000-0005-0000-0000-0000CC3D0000}"/>
    <cellStyle name="Normal 7 67" xfId="15461" xr:uid="{00000000-0005-0000-0000-0000CD3D0000}"/>
    <cellStyle name="Normal 7 68" xfId="15462" xr:uid="{00000000-0005-0000-0000-0000CE3D0000}"/>
    <cellStyle name="Normal 7 69" xfId="15463" xr:uid="{00000000-0005-0000-0000-0000CF3D0000}"/>
    <cellStyle name="Normal 7 7" xfId="15464" xr:uid="{00000000-0005-0000-0000-0000D03D0000}"/>
    <cellStyle name="Normal 7 70" xfId="15465" xr:uid="{00000000-0005-0000-0000-0000D13D0000}"/>
    <cellStyle name="Normal 7 71" xfId="15466" xr:uid="{00000000-0005-0000-0000-0000D23D0000}"/>
    <cellStyle name="Normal 7 72" xfId="15467" xr:uid="{00000000-0005-0000-0000-0000D33D0000}"/>
    <cellStyle name="Normal 7 73" xfId="15468" xr:uid="{00000000-0005-0000-0000-0000D43D0000}"/>
    <cellStyle name="Normal 7 74" xfId="15469" xr:uid="{00000000-0005-0000-0000-0000D53D0000}"/>
    <cellStyle name="Normal 7 75" xfId="15470" xr:uid="{00000000-0005-0000-0000-0000D63D0000}"/>
    <cellStyle name="Normal 7 76" xfId="15471" xr:uid="{00000000-0005-0000-0000-0000D73D0000}"/>
    <cellStyle name="Normal 7 77" xfId="15472" xr:uid="{00000000-0005-0000-0000-0000D83D0000}"/>
    <cellStyle name="Normal 7 78" xfId="15473" xr:uid="{00000000-0005-0000-0000-0000D93D0000}"/>
    <cellStyle name="Normal 7 79" xfId="42051" xr:uid="{00000000-0005-0000-0000-0000DA3D0000}"/>
    <cellStyle name="Normal 7 79 2" xfId="42543" xr:uid="{CECFCAC5-2A74-48B4-8F1C-4ED969E6E1B7}"/>
    <cellStyle name="Normal 7 8" xfId="15474" xr:uid="{00000000-0005-0000-0000-0000DB3D0000}"/>
    <cellStyle name="Normal 7 80" xfId="15475" xr:uid="{00000000-0005-0000-0000-0000DC3D0000}"/>
    <cellStyle name="Normal 7 9" xfId="15476" xr:uid="{00000000-0005-0000-0000-0000DD3D0000}"/>
    <cellStyle name="Normal 70" xfId="15477" xr:uid="{00000000-0005-0000-0000-0000DE3D0000}"/>
    <cellStyle name="Normal 70 2" xfId="15478" xr:uid="{00000000-0005-0000-0000-0000DF3D0000}"/>
    <cellStyle name="Normal 71" xfId="15479" xr:uid="{00000000-0005-0000-0000-0000E03D0000}"/>
    <cellStyle name="Normal 71 2" xfId="15480" xr:uid="{00000000-0005-0000-0000-0000E13D0000}"/>
    <cellStyle name="Normal 72" xfId="15481" xr:uid="{00000000-0005-0000-0000-0000E23D0000}"/>
    <cellStyle name="Normal 72 2" xfId="15482" xr:uid="{00000000-0005-0000-0000-0000E33D0000}"/>
    <cellStyle name="Normal 72 2 2" xfId="15483" xr:uid="{00000000-0005-0000-0000-0000E43D0000}"/>
    <cellStyle name="Normal 73" xfId="15484" xr:uid="{00000000-0005-0000-0000-0000E53D0000}"/>
    <cellStyle name="Normal 73 2" xfId="15485" xr:uid="{00000000-0005-0000-0000-0000E63D0000}"/>
    <cellStyle name="Normal 74" xfId="15486" xr:uid="{00000000-0005-0000-0000-0000E73D0000}"/>
    <cellStyle name="Normal 74 2" xfId="15487" xr:uid="{00000000-0005-0000-0000-0000E83D0000}"/>
    <cellStyle name="Normal 75" xfId="15488" xr:uid="{00000000-0005-0000-0000-0000E93D0000}"/>
    <cellStyle name="Normal 76" xfId="15489" xr:uid="{00000000-0005-0000-0000-0000EA3D0000}"/>
    <cellStyle name="Normal 77" xfId="15490" xr:uid="{00000000-0005-0000-0000-0000EB3D0000}"/>
    <cellStyle name="Normal 78" xfId="15491" xr:uid="{00000000-0005-0000-0000-0000EC3D0000}"/>
    <cellStyle name="Normal 79" xfId="15492" xr:uid="{00000000-0005-0000-0000-0000ED3D0000}"/>
    <cellStyle name="Normal 8" xfId="15493" xr:uid="{00000000-0005-0000-0000-0000EE3D0000}"/>
    <cellStyle name="Normal 8 10" xfId="15494" xr:uid="{00000000-0005-0000-0000-0000EF3D0000}"/>
    <cellStyle name="Normal 8 11" xfId="15495" xr:uid="{00000000-0005-0000-0000-0000F03D0000}"/>
    <cellStyle name="Normal 8 12" xfId="15496" xr:uid="{00000000-0005-0000-0000-0000F13D0000}"/>
    <cellStyle name="Normal 8 13" xfId="15497" xr:uid="{00000000-0005-0000-0000-0000F23D0000}"/>
    <cellStyle name="Normal 8 14" xfId="15498" xr:uid="{00000000-0005-0000-0000-0000F33D0000}"/>
    <cellStyle name="Normal 8 15" xfId="15499" xr:uid="{00000000-0005-0000-0000-0000F43D0000}"/>
    <cellStyle name="Normal 8 16" xfId="15500" xr:uid="{00000000-0005-0000-0000-0000F53D0000}"/>
    <cellStyle name="Normal 8 17" xfId="15501" xr:uid="{00000000-0005-0000-0000-0000F63D0000}"/>
    <cellStyle name="Normal 8 18" xfId="15502" xr:uid="{00000000-0005-0000-0000-0000F73D0000}"/>
    <cellStyle name="Normal 8 19" xfId="15503" xr:uid="{00000000-0005-0000-0000-0000F83D0000}"/>
    <cellStyle name="Normal 8 2" xfId="15504" xr:uid="{00000000-0005-0000-0000-0000F93D0000}"/>
    <cellStyle name="Normal 8 2 10" xfId="15505" xr:uid="{00000000-0005-0000-0000-0000FA3D0000}"/>
    <cellStyle name="Normal 8 2 11" xfId="15506" xr:uid="{00000000-0005-0000-0000-0000FB3D0000}"/>
    <cellStyle name="Normal 8 2 12" xfId="15507" xr:uid="{00000000-0005-0000-0000-0000FC3D0000}"/>
    <cellStyle name="Normal 8 2 13" xfId="15508" xr:uid="{00000000-0005-0000-0000-0000FD3D0000}"/>
    <cellStyle name="Normal 8 2 14" xfId="15509" xr:uid="{00000000-0005-0000-0000-0000FE3D0000}"/>
    <cellStyle name="Normal 8 2 15" xfId="15510" xr:uid="{00000000-0005-0000-0000-0000FF3D0000}"/>
    <cellStyle name="Normal 8 2 16" xfId="15511" xr:uid="{00000000-0005-0000-0000-0000003E0000}"/>
    <cellStyle name="Normal 8 2 17" xfId="15512" xr:uid="{00000000-0005-0000-0000-0000013E0000}"/>
    <cellStyle name="Normal 8 2 2" xfId="15513" xr:uid="{00000000-0005-0000-0000-0000023E0000}"/>
    <cellStyle name="Normal 8 2 3" xfId="15514" xr:uid="{00000000-0005-0000-0000-0000033E0000}"/>
    <cellStyle name="Normal 8 2 4" xfId="15515" xr:uid="{00000000-0005-0000-0000-0000043E0000}"/>
    <cellStyle name="Normal 8 2 5" xfId="15516" xr:uid="{00000000-0005-0000-0000-0000053E0000}"/>
    <cellStyle name="Normal 8 2 6" xfId="15517" xr:uid="{00000000-0005-0000-0000-0000063E0000}"/>
    <cellStyle name="Normal 8 2 7" xfId="15518" xr:uid="{00000000-0005-0000-0000-0000073E0000}"/>
    <cellStyle name="Normal 8 2 8" xfId="15519" xr:uid="{00000000-0005-0000-0000-0000083E0000}"/>
    <cellStyle name="Normal 8 2 9" xfId="15520" xr:uid="{00000000-0005-0000-0000-0000093E0000}"/>
    <cellStyle name="Normal 8 20" xfId="15521" xr:uid="{00000000-0005-0000-0000-00000A3E0000}"/>
    <cellStyle name="Normal 8 21" xfId="15522" xr:uid="{00000000-0005-0000-0000-00000B3E0000}"/>
    <cellStyle name="Normal 8 22" xfId="15523" xr:uid="{00000000-0005-0000-0000-00000C3E0000}"/>
    <cellStyle name="Normal 8 23" xfId="15524" xr:uid="{00000000-0005-0000-0000-00000D3E0000}"/>
    <cellStyle name="Normal 8 24" xfId="15525" xr:uid="{00000000-0005-0000-0000-00000E3E0000}"/>
    <cellStyle name="Normal 8 25" xfId="15526" xr:uid="{00000000-0005-0000-0000-00000F3E0000}"/>
    <cellStyle name="Normal 8 26" xfId="15527" xr:uid="{00000000-0005-0000-0000-0000103E0000}"/>
    <cellStyle name="Normal 8 27" xfId="15528" xr:uid="{00000000-0005-0000-0000-0000113E0000}"/>
    <cellStyle name="Normal 8 28" xfId="15529" xr:uid="{00000000-0005-0000-0000-0000123E0000}"/>
    <cellStyle name="Normal 8 29" xfId="15530" xr:uid="{00000000-0005-0000-0000-0000133E0000}"/>
    <cellStyle name="Normal 8 3" xfId="15531" xr:uid="{00000000-0005-0000-0000-0000143E0000}"/>
    <cellStyle name="Normal 8 3 10" xfId="15532" xr:uid="{00000000-0005-0000-0000-0000153E0000}"/>
    <cellStyle name="Normal 8 3 11" xfId="15533" xr:uid="{00000000-0005-0000-0000-0000163E0000}"/>
    <cellStyle name="Normal 8 3 12" xfId="15534" xr:uid="{00000000-0005-0000-0000-0000173E0000}"/>
    <cellStyle name="Normal 8 3 13" xfId="15535" xr:uid="{00000000-0005-0000-0000-0000183E0000}"/>
    <cellStyle name="Normal 8 3 14" xfId="15536" xr:uid="{00000000-0005-0000-0000-0000193E0000}"/>
    <cellStyle name="Normal 8 3 15" xfId="15537" xr:uid="{00000000-0005-0000-0000-00001A3E0000}"/>
    <cellStyle name="Normal 8 3 16" xfId="15538" xr:uid="{00000000-0005-0000-0000-00001B3E0000}"/>
    <cellStyle name="Normal 8 3 17" xfId="15539" xr:uid="{00000000-0005-0000-0000-00001C3E0000}"/>
    <cellStyle name="Normal 8 3 2" xfId="15540" xr:uid="{00000000-0005-0000-0000-00001D3E0000}"/>
    <cellStyle name="Normal 8 3 3" xfId="15541" xr:uid="{00000000-0005-0000-0000-00001E3E0000}"/>
    <cellStyle name="Normal 8 3 4" xfId="15542" xr:uid="{00000000-0005-0000-0000-00001F3E0000}"/>
    <cellStyle name="Normal 8 3 5" xfId="15543" xr:uid="{00000000-0005-0000-0000-0000203E0000}"/>
    <cellStyle name="Normal 8 3 6" xfId="15544" xr:uid="{00000000-0005-0000-0000-0000213E0000}"/>
    <cellStyle name="Normal 8 3 7" xfId="15545" xr:uid="{00000000-0005-0000-0000-0000223E0000}"/>
    <cellStyle name="Normal 8 3 8" xfId="15546" xr:uid="{00000000-0005-0000-0000-0000233E0000}"/>
    <cellStyle name="Normal 8 3 9" xfId="15547" xr:uid="{00000000-0005-0000-0000-0000243E0000}"/>
    <cellStyle name="Normal 8 30" xfId="15548" xr:uid="{00000000-0005-0000-0000-0000253E0000}"/>
    <cellStyle name="Normal 8 31" xfId="15549" xr:uid="{00000000-0005-0000-0000-0000263E0000}"/>
    <cellStyle name="Normal 8 32" xfId="15550" xr:uid="{00000000-0005-0000-0000-0000273E0000}"/>
    <cellStyle name="Normal 8 33" xfId="15551" xr:uid="{00000000-0005-0000-0000-0000283E0000}"/>
    <cellStyle name="Normal 8 34" xfId="15552" xr:uid="{00000000-0005-0000-0000-0000293E0000}"/>
    <cellStyle name="Normal 8 35" xfId="15553" xr:uid="{00000000-0005-0000-0000-00002A3E0000}"/>
    <cellStyle name="Normal 8 36" xfId="15554" xr:uid="{00000000-0005-0000-0000-00002B3E0000}"/>
    <cellStyle name="Normal 8 37" xfId="15555" xr:uid="{00000000-0005-0000-0000-00002C3E0000}"/>
    <cellStyle name="Normal 8 38" xfId="15556" xr:uid="{00000000-0005-0000-0000-00002D3E0000}"/>
    <cellStyle name="Normal 8 39" xfId="15557" xr:uid="{00000000-0005-0000-0000-00002E3E0000}"/>
    <cellStyle name="Normal 8 4" xfId="15558" xr:uid="{00000000-0005-0000-0000-00002F3E0000}"/>
    <cellStyle name="Normal 8 4 10" xfId="15559" xr:uid="{00000000-0005-0000-0000-0000303E0000}"/>
    <cellStyle name="Normal 8 4 11" xfId="15560" xr:uid="{00000000-0005-0000-0000-0000313E0000}"/>
    <cellStyle name="Normal 8 4 12" xfId="15561" xr:uid="{00000000-0005-0000-0000-0000323E0000}"/>
    <cellStyle name="Normal 8 4 13" xfId="15562" xr:uid="{00000000-0005-0000-0000-0000333E0000}"/>
    <cellStyle name="Normal 8 4 14" xfId="15563" xr:uid="{00000000-0005-0000-0000-0000343E0000}"/>
    <cellStyle name="Normal 8 4 15" xfId="15564" xr:uid="{00000000-0005-0000-0000-0000353E0000}"/>
    <cellStyle name="Normal 8 4 16" xfId="15565" xr:uid="{00000000-0005-0000-0000-0000363E0000}"/>
    <cellStyle name="Normal 8 4 17" xfId="15566" xr:uid="{00000000-0005-0000-0000-0000373E0000}"/>
    <cellStyle name="Normal 8 4 18" xfId="15567" xr:uid="{00000000-0005-0000-0000-0000383E0000}"/>
    <cellStyle name="Normal 8 4 19" xfId="15568" xr:uid="{00000000-0005-0000-0000-0000393E0000}"/>
    <cellStyle name="Normal 8 4 19 2" xfId="15569" xr:uid="{00000000-0005-0000-0000-00003A3E0000}"/>
    <cellStyle name="Normal 8 4 2" xfId="15570" xr:uid="{00000000-0005-0000-0000-00003B3E0000}"/>
    <cellStyle name="Normal 8 4 3" xfId="15571" xr:uid="{00000000-0005-0000-0000-00003C3E0000}"/>
    <cellStyle name="Normal 8 4 4" xfId="15572" xr:uid="{00000000-0005-0000-0000-00003D3E0000}"/>
    <cellStyle name="Normal 8 4 5" xfId="15573" xr:uid="{00000000-0005-0000-0000-00003E3E0000}"/>
    <cellStyle name="Normal 8 4 6" xfId="15574" xr:uid="{00000000-0005-0000-0000-00003F3E0000}"/>
    <cellStyle name="Normal 8 4 7" xfId="15575" xr:uid="{00000000-0005-0000-0000-0000403E0000}"/>
    <cellStyle name="Normal 8 4 8" xfId="15576" xr:uid="{00000000-0005-0000-0000-0000413E0000}"/>
    <cellStyle name="Normal 8 4 9" xfId="15577" xr:uid="{00000000-0005-0000-0000-0000423E0000}"/>
    <cellStyle name="Normal 8 40" xfId="15578" xr:uid="{00000000-0005-0000-0000-0000433E0000}"/>
    <cellStyle name="Normal 8 41" xfId="15579" xr:uid="{00000000-0005-0000-0000-0000443E0000}"/>
    <cellStyle name="Normal 8 42" xfId="15580" xr:uid="{00000000-0005-0000-0000-0000453E0000}"/>
    <cellStyle name="Normal 8 43" xfId="15581" xr:uid="{00000000-0005-0000-0000-0000463E0000}"/>
    <cellStyle name="Normal 8 44" xfId="15582" xr:uid="{00000000-0005-0000-0000-0000473E0000}"/>
    <cellStyle name="Normal 8 45" xfId="15583" xr:uid="{00000000-0005-0000-0000-0000483E0000}"/>
    <cellStyle name="Normal 8 46" xfId="15584" xr:uid="{00000000-0005-0000-0000-0000493E0000}"/>
    <cellStyle name="Normal 8 47" xfId="15585" xr:uid="{00000000-0005-0000-0000-00004A3E0000}"/>
    <cellStyle name="Normal 8 48" xfId="15586" xr:uid="{00000000-0005-0000-0000-00004B3E0000}"/>
    <cellStyle name="Normal 8 49" xfId="15587" xr:uid="{00000000-0005-0000-0000-00004C3E0000}"/>
    <cellStyle name="Normal 8 5" xfId="15588" xr:uid="{00000000-0005-0000-0000-00004D3E0000}"/>
    <cellStyle name="Normal 8 50" xfId="15589" xr:uid="{00000000-0005-0000-0000-00004E3E0000}"/>
    <cellStyle name="Normal 8 51" xfId="15590" xr:uid="{00000000-0005-0000-0000-00004F3E0000}"/>
    <cellStyle name="Normal 8 52" xfId="15591" xr:uid="{00000000-0005-0000-0000-0000503E0000}"/>
    <cellStyle name="Normal 8 53" xfId="15592" xr:uid="{00000000-0005-0000-0000-0000513E0000}"/>
    <cellStyle name="Normal 8 54" xfId="15593" xr:uid="{00000000-0005-0000-0000-0000523E0000}"/>
    <cellStyle name="Normal 8 55" xfId="15594" xr:uid="{00000000-0005-0000-0000-0000533E0000}"/>
    <cellStyle name="Normal 8 56" xfId="15595" xr:uid="{00000000-0005-0000-0000-0000543E0000}"/>
    <cellStyle name="Normal 8 57" xfId="15596" xr:uid="{00000000-0005-0000-0000-0000553E0000}"/>
    <cellStyle name="Normal 8 58" xfId="15597" xr:uid="{00000000-0005-0000-0000-0000563E0000}"/>
    <cellStyle name="Normal 8 59" xfId="15598" xr:uid="{00000000-0005-0000-0000-0000573E0000}"/>
    <cellStyle name="Normal 8 6" xfId="15599" xr:uid="{00000000-0005-0000-0000-0000583E0000}"/>
    <cellStyle name="Normal 8 60" xfId="15600" xr:uid="{00000000-0005-0000-0000-0000593E0000}"/>
    <cellStyle name="Normal 8 61" xfId="15601" xr:uid="{00000000-0005-0000-0000-00005A3E0000}"/>
    <cellStyle name="Normal 8 62" xfId="15602" xr:uid="{00000000-0005-0000-0000-00005B3E0000}"/>
    <cellStyle name="Normal 8 63" xfId="15603" xr:uid="{00000000-0005-0000-0000-00005C3E0000}"/>
    <cellStyle name="Normal 8 64" xfId="15604" xr:uid="{00000000-0005-0000-0000-00005D3E0000}"/>
    <cellStyle name="Normal 8 65" xfId="15605" xr:uid="{00000000-0005-0000-0000-00005E3E0000}"/>
    <cellStyle name="Normal 8 66" xfId="15606" xr:uid="{00000000-0005-0000-0000-00005F3E0000}"/>
    <cellStyle name="Normal 8 67" xfId="15607" xr:uid="{00000000-0005-0000-0000-0000603E0000}"/>
    <cellStyle name="Normal 8 68" xfId="15608" xr:uid="{00000000-0005-0000-0000-0000613E0000}"/>
    <cellStyle name="Normal 8 69" xfId="15609" xr:uid="{00000000-0005-0000-0000-0000623E0000}"/>
    <cellStyle name="Normal 8 7" xfId="15610" xr:uid="{00000000-0005-0000-0000-0000633E0000}"/>
    <cellStyle name="Normal 8 70" xfId="15611" xr:uid="{00000000-0005-0000-0000-0000643E0000}"/>
    <cellStyle name="Normal 8 71" xfId="15612" xr:uid="{00000000-0005-0000-0000-0000653E0000}"/>
    <cellStyle name="Normal 8 72" xfId="15613" xr:uid="{00000000-0005-0000-0000-0000663E0000}"/>
    <cellStyle name="Normal 8 73" xfId="15614" xr:uid="{00000000-0005-0000-0000-0000673E0000}"/>
    <cellStyle name="Normal 8 74" xfId="15615" xr:uid="{00000000-0005-0000-0000-0000683E0000}"/>
    <cellStyle name="Normal 8 75" xfId="15616" xr:uid="{00000000-0005-0000-0000-0000693E0000}"/>
    <cellStyle name="Normal 8 76" xfId="15617" xr:uid="{00000000-0005-0000-0000-00006A3E0000}"/>
    <cellStyle name="Normal 8 77" xfId="15618" xr:uid="{00000000-0005-0000-0000-00006B3E0000}"/>
    <cellStyle name="Normal 8 78" xfId="15619" xr:uid="{00000000-0005-0000-0000-00006C3E0000}"/>
    <cellStyle name="Normal 8 8" xfId="15620" xr:uid="{00000000-0005-0000-0000-00006D3E0000}"/>
    <cellStyle name="Normal 8 9" xfId="15621" xr:uid="{00000000-0005-0000-0000-00006E3E0000}"/>
    <cellStyle name="Normal 80" xfId="15622" xr:uid="{00000000-0005-0000-0000-00006F3E0000}"/>
    <cellStyle name="Normal 81" xfId="15623" xr:uid="{00000000-0005-0000-0000-0000703E0000}"/>
    <cellStyle name="Normal 82" xfId="15624" xr:uid="{00000000-0005-0000-0000-0000713E0000}"/>
    <cellStyle name="Normal 82 2" xfId="42040" xr:uid="{00000000-0005-0000-0000-0000723E0000}"/>
    <cellStyle name="Normal 83" xfId="15625" xr:uid="{00000000-0005-0000-0000-0000733E0000}"/>
    <cellStyle name="Normal 84" xfId="15626" xr:uid="{00000000-0005-0000-0000-0000743E0000}"/>
    <cellStyle name="Normal 85" xfId="15627" xr:uid="{00000000-0005-0000-0000-0000753E0000}"/>
    <cellStyle name="Normal 86" xfId="15628" xr:uid="{00000000-0005-0000-0000-0000763E0000}"/>
    <cellStyle name="Normal 87" xfId="15629" xr:uid="{00000000-0005-0000-0000-0000773E0000}"/>
    <cellStyle name="Normal 88" xfId="15630" xr:uid="{00000000-0005-0000-0000-0000783E0000}"/>
    <cellStyle name="Normal 89" xfId="15631" xr:uid="{00000000-0005-0000-0000-0000793E0000}"/>
    <cellStyle name="Normal 9" xfId="15632" xr:uid="{00000000-0005-0000-0000-00007A3E0000}"/>
    <cellStyle name="Normal 9 10" xfId="15633" xr:uid="{00000000-0005-0000-0000-00007B3E0000}"/>
    <cellStyle name="Normal 9 10 10" xfId="15634" xr:uid="{00000000-0005-0000-0000-00007C3E0000}"/>
    <cellStyle name="Normal 9 10 11" xfId="15635" xr:uid="{00000000-0005-0000-0000-00007D3E0000}"/>
    <cellStyle name="Normal 9 10 12" xfId="15636" xr:uid="{00000000-0005-0000-0000-00007E3E0000}"/>
    <cellStyle name="Normal 9 10 13" xfId="15637" xr:uid="{00000000-0005-0000-0000-00007F3E0000}"/>
    <cellStyle name="Normal 9 10 14" xfId="15638" xr:uid="{00000000-0005-0000-0000-0000803E0000}"/>
    <cellStyle name="Normal 9 10 15" xfId="15639" xr:uid="{00000000-0005-0000-0000-0000813E0000}"/>
    <cellStyle name="Normal 9 10 16" xfId="15640" xr:uid="{00000000-0005-0000-0000-0000823E0000}"/>
    <cellStyle name="Normal 9 10 17" xfId="15641" xr:uid="{00000000-0005-0000-0000-0000833E0000}"/>
    <cellStyle name="Normal 9 10 2" xfId="15642" xr:uid="{00000000-0005-0000-0000-0000843E0000}"/>
    <cellStyle name="Normal 9 10 3" xfId="15643" xr:uid="{00000000-0005-0000-0000-0000853E0000}"/>
    <cellStyle name="Normal 9 10 4" xfId="15644" xr:uid="{00000000-0005-0000-0000-0000863E0000}"/>
    <cellStyle name="Normal 9 10 5" xfId="15645" xr:uid="{00000000-0005-0000-0000-0000873E0000}"/>
    <cellStyle name="Normal 9 10 6" xfId="15646" xr:uid="{00000000-0005-0000-0000-0000883E0000}"/>
    <cellStyle name="Normal 9 10 7" xfId="15647" xr:uid="{00000000-0005-0000-0000-0000893E0000}"/>
    <cellStyle name="Normal 9 10 8" xfId="15648" xr:uid="{00000000-0005-0000-0000-00008A3E0000}"/>
    <cellStyle name="Normal 9 10 9" xfId="15649" xr:uid="{00000000-0005-0000-0000-00008B3E0000}"/>
    <cellStyle name="Normal 9 100" xfId="15650" xr:uid="{00000000-0005-0000-0000-00008C3E0000}"/>
    <cellStyle name="Normal 9 101" xfId="15651" xr:uid="{00000000-0005-0000-0000-00008D3E0000}"/>
    <cellStyle name="Normal 9 102" xfId="15652" xr:uid="{00000000-0005-0000-0000-00008E3E0000}"/>
    <cellStyle name="Normal 9 103" xfId="15653" xr:uid="{00000000-0005-0000-0000-00008F3E0000}"/>
    <cellStyle name="Normal 9 104" xfId="15654" xr:uid="{00000000-0005-0000-0000-0000903E0000}"/>
    <cellStyle name="Normal 9 105" xfId="15655" xr:uid="{00000000-0005-0000-0000-0000913E0000}"/>
    <cellStyle name="Normal 9 106" xfId="15656" xr:uid="{00000000-0005-0000-0000-0000923E0000}"/>
    <cellStyle name="Normal 9 107" xfId="15657" xr:uid="{00000000-0005-0000-0000-0000933E0000}"/>
    <cellStyle name="Normal 9 108" xfId="15658" xr:uid="{00000000-0005-0000-0000-0000943E0000}"/>
    <cellStyle name="Normal 9 109" xfId="15659" xr:uid="{00000000-0005-0000-0000-0000953E0000}"/>
    <cellStyle name="Normal 9 11" xfId="15660" xr:uid="{00000000-0005-0000-0000-0000963E0000}"/>
    <cellStyle name="Normal 9 11 10" xfId="15661" xr:uid="{00000000-0005-0000-0000-0000973E0000}"/>
    <cellStyle name="Normal 9 11 11" xfId="15662" xr:uid="{00000000-0005-0000-0000-0000983E0000}"/>
    <cellStyle name="Normal 9 11 12" xfId="15663" xr:uid="{00000000-0005-0000-0000-0000993E0000}"/>
    <cellStyle name="Normal 9 11 13" xfId="15664" xr:uid="{00000000-0005-0000-0000-00009A3E0000}"/>
    <cellStyle name="Normal 9 11 14" xfId="15665" xr:uid="{00000000-0005-0000-0000-00009B3E0000}"/>
    <cellStyle name="Normal 9 11 15" xfId="15666" xr:uid="{00000000-0005-0000-0000-00009C3E0000}"/>
    <cellStyle name="Normal 9 11 16" xfId="15667" xr:uid="{00000000-0005-0000-0000-00009D3E0000}"/>
    <cellStyle name="Normal 9 11 17" xfId="15668" xr:uid="{00000000-0005-0000-0000-00009E3E0000}"/>
    <cellStyle name="Normal 9 11 2" xfId="15669" xr:uid="{00000000-0005-0000-0000-00009F3E0000}"/>
    <cellStyle name="Normal 9 11 3" xfId="15670" xr:uid="{00000000-0005-0000-0000-0000A03E0000}"/>
    <cellStyle name="Normal 9 11 4" xfId="15671" xr:uid="{00000000-0005-0000-0000-0000A13E0000}"/>
    <cellStyle name="Normal 9 11 5" xfId="15672" xr:uid="{00000000-0005-0000-0000-0000A23E0000}"/>
    <cellStyle name="Normal 9 11 6" xfId="15673" xr:uid="{00000000-0005-0000-0000-0000A33E0000}"/>
    <cellStyle name="Normal 9 11 7" xfId="15674" xr:uid="{00000000-0005-0000-0000-0000A43E0000}"/>
    <cellStyle name="Normal 9 11 8" xfId="15675" xr:uid="{00000000-0005-0000-0000-0000A53E0000}"/>
    <cellStyle name="Normal 9 11 9" xfId="15676" xr:uid="{00000000-0005-0000-0000-0000A63E0000}"/>
    <cellStyle name="Normal 9 110" xfId="15677" xr:uid="{00000000-0005-0000-0000-0000A73E0000}"/>
    <cellStyle name="Normal 9 111" xfId="15678" xr:uid="{00000000-0005-0000-0000-0000A83E0000}"/>
    <cellStyle name="Normal 9 112" xfId="15679" xr:uid="{00000000-0005-0000-0000-0000A93E0000}"/>
    <cellStyle name="Normal 9 113" xfId="15680" xr:uid="{00000000-0005-0000-0000-0000AA3E0000}"/>
    <cellStyle name="Normal 9 114" xfId="15681" xr:uid="{00000000-0005-0000-0000-0000AB3E0000}"/>
    <cellStyle name="Normal 9 115" xfId="15682" xr:uid="{00000000-0005-0000-0000-0000AC3E0000}"/>
    <cellStyle name="Normal 9 116" xfId="15683" xr:uid="{00000000-0005-0000-0000-0000AD3E0000}"/>
    <cellStyle name="Normal 9 117" xfId="15684" xr:uid="{00000000-0005-0000-0000-0000AE3E0000}"/>
    <cellStyle name="Normal 9 118" xfId="15685" xr:uid="{00000000-0005-0000-0000-0000AF3E0000}"/>
    <cellStyle name="Normal 9 119" xfId="15686" xr:uid="{00000000-0005-0000-0000-0000B03E0000}"/>
    <cellStyle name="Normal 9 12" xfId="15687" xr:uid="{00000000-0005-0000-0000-0000B13E0000}"/>
    <cellStyle name="Normal 9 12 10" xfId="15688" xr:uid="{00000000-0005-0000-0000-0000B23E0000}"/>
    <cellStyle name="Normal 9 12 11" xfId="15689" xr:uid="{00000000-0005-0000-0000-0000B33E0000}"/>
    <cellStyle name="Normal 9 12 12" xfId="15690" xr:uid="{00000000-0005-0000-0000-0000B43E0000}"/>
    <cellStyle name="Normal 9 12 13" xfId="15691" xr:uid="{00000000-0005-0000-0000-0000B53E0000}"/>
    <cellStyle name="Normal 9 12 14" xfId="15692" xr:uid="{00000000-0005-0000-0000-0000B63E0000}"/>
    <cellStyle name="Normal 9 12 15" xfId="15693" xr:uid="{00000000-0005-0000-0000-0000B73E0000}"/>
    <cellStyle name="Normal 9 12 16" xfId="15694" xr:uid="{00000000-0005-0000-0000-0000B83E0000}"/>
    <cellStyle name="Normal 9 12 17" xfId="15695" xr:uid="{00000000-0005-0000-0000-0000B93E0000}"/>
    <cellStyle name="Normal 9 12 2" xfId="15696" xr:uid="{00000000-0005-0000-0000-0000BA3E0000}"/>
    <cellStyle name="Normal 9 12 3" xfId="15697" xr:uid="{00000000-0005-0000-0000-0000BB3E0000}"/>
    <cellStyle name="Normal 9 12 4" xfId="15698" xr:uid="{00000000-0005-0000-0000-0000BC3E0000}"/>
    <cellStyle name="Normal 9 12 5" xfId="15699" xr:uid="{00000000-0005-0000-0000-0000BD3E0000}"/>
    <cellStyle name="Normal 9 12 6" xfId="15700" xr:uid="{00000000-0005-0000-0000-0000BE3E0000}"/>
    <cellStyle name="Normal 9 12 7" xfId="15701" xr:uid="{00000000-0005-0000-0000-0000BF3E0000}"/>
    <cellStyle name="Normal 9 12 8" xfId="15702" xr:uid="{00000000-0005-0000-0000-0000C03E0000}"/>
    <cellStyle name="Normal 9 12 9" xfId="15703" xr:uid="{00000000-0005-0000-0000-0000C13E0000}"/>
    <cellStyle name="Normal 9 120" xfId="15704" xr:uid="{00000000-0005-0000-0000-0000C23E0000}"/>
    <cellStyle name="Normal 9 121" xfId="15705" xr:uid="{00000000-0005-0000-0000-0000C33E0000}"/>
    <cellStyle name="Normal 9 122" xfId="15706" xr:uid="{00000000-0005-0000-0000-0000C43E0000}"/>
    <cellStyle name="Normal 9 123" xfId="15707" xr:uid="{00000000-0005-0000-0000-0000C53E0000}"/>
    <cellStyle name="Normal 9 124" xfId="15708" xr:uid="{00000000-0005-0000-0000-0000C63E0000}"/>
    <cellStyle name="Normal 9 13" xfId="15709" xr:uid="{00000000-0005-0000-0000-0000C73E0000}"/>
    <cellStyle name="Normal 9 13 10" xfId="15710" xr:uid="{00000000-0005-0000-0000-0000C83E0000}"/>
    <cellStyle name="Normal 9 13 11" xfId="15711" xr:uid="{00000000-0005-0000-0000-0000C93E0000}"/>
    <cellStyle name="Normal 9 13 12" xfId="15712" xr:uid="{00000000-0005-0000-0000-0000CA3E0000}"/>
    <cellStyle name="Normal 9 13 13" xfId="15713" xr:uid="{00000000-0005-0000-0000-0000CB3E0000}"/>
    <cellStyle name="Normal 9 13 14" xfId="15714" xr:uid="{00000000-0005-0000-0000-0000CC3E0000}"/>
    <cellStyle name="Normal 9 13 15" xfId="15715" xr:uid="{00000000-0005-0000-0000-0000CD3E0000}"/>
    <cellStyle name="Normal 9 13 16" xfId="15716" xr:uid="{00000000-0005-0000-0000-0000CE3E0000}"/>
    <cellStyle name="Normal 9 13 17" xfId="15717" xr:uid="{00000000-0005-0000-0000-0000CF3E0000}"/>
    <cellStyle name="Normal 9 13 2" xfId="15718" xr:uid="{00000000-0005-0000-0000-0000D03E0000}"/>
    <cellStyle name="Normal 9 13 3" xfId="15719" xr:uid="{00000000-0005-0000-0000-0000D13E0000}"/>
    <cellStyle name="Normal 9 13 4" xfId="15720" xr:uid="{00000000-0005-0000-0000-0000D23E0000}"/>
    <cellStyle name="Normal 9 13 5" xfId="15721" xr:uid="{00000000-0005-0000-0000-0000D33E0000}"/>
    <cellStyle name="Normal 9 13 6" xfId="15722" xr:uid="{00000000-0005-0000-0000-0000D43E0000}"/>
    <cellStyle name="Normal 9 13 7" xfId="15723" xr:uid="{00000000-0005-0000-0000-0000D53E0000}"/>
    <cellStyle name="Normal 9 13 8" xfId="15724" xr:uid="{00000000-0005-0000-0000-0000D63E0000}"/>
    <cellStyle name="Normal 9 13 9" xfId="15725" xr:uid="{00000000-0005-0000-0000-0000D73E0000}"/>
    <cellStyle name="Normal 9 14" xfId="15726" xr:uid="{00000000-0005-0000-0000-0000D83E0000}"/>
    <cellStyle name="Normal 9 14 10" xfId="15727" xr:uid="{00000000-0005-0000-0000-0000D93E0000}"/>
    <cellStyle name="Normal 9 14 11" xfId="15728" xr:uid="{00000000-0005-0000-0000-0000DA3E0000}"/>
    <cellStyle name="Normal 9 14 12" xfId="15729" xr:uid="{00000000-0005-0000-0000-0000DB3E0000}"/>
    <cellStyle name="Normal 9 14 13" xfId="15730" xr:uid="{00000000-0005-0000-0000-0000DC3E0000}"/>
    <cellStyle name="Normal 9 14 14" xfId="15731" xr:uid="{00000000-0005-0000-0000-0000DD3E0000}"/>
    <cellStyle name="Normal 9 14 15" xfId="15732" xr:uid="{00000000-0005-0000-0000-0000DE3E0000}"/>
    <cellStyle name="Normal 9 14 16" xfId="15733" xr:uid="{00000000-0005-0000-0000-0000DF3E0000}"/>
    <cellStyle name="Normal 9 14 17" xfId="15734" xr:uid="{00000000-0005-0000-0000-0000E03E0000}"/>
    <cellStyle name="Normal 9 14 2" xfId="15735" xr:uid="{00000000-0005-0000-0000-0000E13E0000}"/>
    <cellStyle name="Normal 9 14 3" xfId="15736" xr:uid="{00000000-0005-0000-0000-0000E23E0000}"/>
    <cellStyle name="Normal 9 14 4" xfId="15737" xr:uid="{00000000-0005-0000-0000-0000E33E0000}"/>
    <cellStyle name="Normal 9 14 5" xfId="15738" xr:uid="{00000000-0005-0000-0000-0000E43E0000}"/>
    <cellStyle name="Normal 9 14 6" xfId="15739" xr:uid="{00000000-0005-0000-0000-0000E53E0000}"/>
    <cellStyle name="Normal 9 14 7" xfId="15740" xr:uid="{00000000-0005-0000-0000-0000E63E0000}"/>
    <cellStyle name="Normal 9 14 8" xfId="15741" xr:uid="{00000000-0005-0000-0000-0000E73E0000}"/>
    <cellStyle name="Normal 9 14 9" xfId="15742" xr:uid="{00000000-0005-0000-0000-0000E83E0000}"/>
    <cellStyle name="Normal 9 15" xfId="15743" xr:uid="{00000000-0005-0000-0000-0000E93E0000}"/>
    <cellStyle name="Normal 9 15 10" xfId="15744" xr:uid="{00000000-0005-0000-0000-0000EA3E0000}"/>
    <cellStyle name="Normal 9 15 11" xfId="15745" xr:uid="{00000000-0005-0000-0000-0000EB3E0000}"/>
    <cellStyle name="Normal 9 15 12" xfId="15746" xr:uid="{00000000-0005-0000-0000-0000EC3E0000}"/>
    <cellStyle name="Normal 9 15 13" xfId="15747" xr:uid="{00000000-0005-0000-0000-0000ED3E0000}"/>
    <cellStyle name="Normal 9 15 14" xfId="15748" xr:uid="{00000000-0005-0000-0000-0000EE3E0000}"/>
    <cellStyle name="Normal 9 15 15" xfId="15749" xr:uid="{00000000-0005-0000-0000-0000EF3E0000}"/>
    <cellStyle name="Normal 9 15 16" xfId="15750" xr:uid="{00000000-0005-0000-0000-0000F03E0000}"/>
    <cellStyle name="Normal 9 15 17" xfId="15751" xr:uid="{00000000-0005-0000-0000-0000F13E0000}"/>
    <cellStyle name="Normal 9 15 2" xfId="15752" xr:uid="{00000000-0005-0000-0000-0000F23E0000}"/>
    <cellStyle name="Normal 9 15 3" xfId="15753" xr:uid="{00000000-0005-0000-0000-0000F33E0000}"/>
    <cellStyle name="Normal 9 15 4" xfId="15754" xr:uid="{00000000-0005-0000-0000-0000F43E0000}"/>
    <cellStyle name="Normal 9 15 5" xfId="15755" xr:uid="{00000000-0005-0000-0000-0000F53E0000}"/>
    <cellStyle name="Normal 9 15 6" xfId="15756" xr:uid="{00000000-0005-0000-0000-0000F63E0000}"/>
    <cellStyle name="Normal 9 15 7" xfId="15757" xr:uid="{00000000-0005-0000-0000-0000F73E0000}"/>
    <cellStyle name="Normal 9 15 8" xfId="15758" xr:uid="{00000000-0005-0000-0000-0000F83E0000}"/>
    <cellStyle name="Normal 9 15 9" xfId="15759" xr:uid="{00000000-0005-0000-0000-0000F93E0000}"/>
    <cellStyle name="Normal 9 16" xfId="15760" xr:uid="{00000000-0005-0000-0000-0000FA3E0000}"/>
    <cellStyle name="Normal 9 16 10" xfId="15761" xr:uid="{00000000-0005-0000-0000-0000FB3E0000}"/>
    <cellStyle name="Normal 9 16 11" xfId="15762" xr:uid="{00000000-0005-0000-0000-0000FC3E0000}"/>
    <cellStyle name="Normal 9 16 12" xfId="15763" xr:uid="{00000000-0005-0000-0000-0000FD3E0000}"/>
    <cellStyle name="Normal 9 16 13" xfId="15764" xr:uid="{00000000-0005-0000-0000-0000FE3E0000}"/>
    <cellStyle name="Normal 9 16 14" xfId="15765" xr:uid="{00000000-0005-0000-0000-0000FF3E0000}"/>
    <cellStyle name="Normal 9 16 15" xfId="15766" xr:uid="{00000000-0005-0000-0000-0000003F0000}"/>
    <cellStyle name="Normal 9 16 16" xfId="15767" xr:uid="{00000000-0005-0000-0000-0000013F0000}"/>
    <cellStyle name="Normal 9 16 17" xfId="15768" xr:uid="{00000000-0005-0000-0000-0000023F0000}"/>
    <cellStyle name="Normal 9 16 2" xfId="15769" xr:uid="{00000000-0005-0000-0000-0000033F0000}"/>
    <cellStyle name="Normal 9 16 3" xfId="15770" xr:uid="{00000000-0005-0000-0000-0000043F0000}"/>
    <cellStyle name="Normal 9 16 4" xfId="15771" xr:uid="{00000000-0005-0000-0000-0000053F0000}"/>
    <cellStyle name="Normal 9 16 5" xfId="15772" xr:uid="{00000000-0005-0000-0000-0000063F0000}"/>
    <cellStyle name="Normal 9 16 6" xfId="15773" xr:uid="{00000000-0005-0000-0000-0000073F0000}"/>
    <cellStyle name="Normal 9 16 7" xfId="15774" xr:uid="{00000000-0005-0000-0000-0000083F0000}"/>
    <cellStyle name="Normal 9 16 8" xfId="15775" xr:uid="{00000000-0005-0000-0000-0000093F0000}"/>
    <cellStyle name="Normal 9 16 9" xfId="15776" xr:uid="{00000000-0005-0000-0000-00000A3F0000}"/>
    <cellStyle name="Normal 9 17" xfId="15777" xr:uid="{00000000-0005-0000-0000-00000B3F0000}"/>
    <cellStyle name="Normal 9 17 10" xfId="15778" xr:uid="{00000000-0005-0000-0000-00000C3F0000}"/>
    <cellStyle name="Normal 9 17 11" xfId="15779" xr:uid="{00000000-0005-0000-0000-00000D3F0000}"/>
    <cellStyle name="Normal 9 17 12" xfId="15780" xr:uid="{00000000-0005-0000-0000-00000E3F0000}"/>
    <cellStyle name="Normal 9 17 13" xfId="15781" xr:uid="{00000000-0005-0000-0000-00000F3F0000}"/>
    <cellStyle name="Normal 9 17 14" xfId="15782" xr:uid="{00000000-0005-0000-0000-0000103F0000}"/>
    <cellStyle name="Normal 9 17 15" xfId="15783" xr:uid="{00000000-0005-0000-0000-0000113F0000}"/>
    <cellStyle name="Normal 9 17 16" xfId="15784" xr:uid="{00000000-0005-0000-0000-0000123F0000}"/>
    <cellStyle name="Normal 9 17 17" xfId="15785" xr:uid="{00000000-0005-0000-0000-0000133F0000}"/>
    <cellStyle name="Normal 9 17 2" xfId="15786" xr:uid="{00000000-0005-0000-0000-0000143F0000}"/>
    <cellStyle name="Normal 9 17 3" xfId="15787" xr:uid="{00000000-0005-0000-0000-0000153F0000}"/>
    <cellStyle name="Normal 9 17 4" xfId="15788" xr:uid="{00000000-0005-0000-0000-0000163F0000}"/>
    <cellStyle name="Normal 9 17 5" xfId="15789" xr:uid="{00000000-0005-0000-0000-0000173F0000}"/>
    <cellStyle name="Normal 9 17 6" xfId="15790" xr:uid="{00000000-0005-0000-0000-0000183F0000}"/>
    <cellStyle name="Normal 9 17 7" xfId="15791" xr:uid="{00000000-0005-0000-0000-0000193F0000}"/>
    <cellStyle name="Normal 9 17 8" xfId="15792" xr:uid="{00000000-0005-0000-0000-00001A3F0000}"/>
    <cellStyle name="Normal 9 17 9" xfId="15793" xr:uid="{00000000-0005-0000-0000-00001B3F0000}"/>
    <cellStyle name="Normal 9 18" xfId="15794" xr:uid="{00000000-0005-0000-0000-00001C3F0000}"/>
    <cellStyle name="Normal 9 18 10" xfId="15795" xr:uid="{00000000-0005-0000-0000-00001D3F0000}"/>
    <cellStyle name="Normal 9 18 11" xfId="15796" xr:uid="{00000000-0005-0000-0000-00001E3F0000}"/>
    <cellStyle name="Normal 9 18 12" xfId="15797" xr:uid="{00000000-0005-0000-0000-00001F3F0000}"/>
    <cellStyle name="Normal 9 18 13" xfId="15798" xr:uid="{00000000-0005-0000-0000-0000203F0000}"/>
    <cellStyle name="Normal 9 18 14" xfId="15799" xr:uid="{00000000-0005-0000-0000-0000213F0000}"/>
    <cellStyle name="Normal 9 18 15" xfId="15800" xr:uid="{00000000-0005-0000-0000-0000223F0000}"/>
    <cellStyle name="Normal 9 18 16" xfId="15801" xr:uid="{00000000-0005-0000-0000-0000233F0000}"/>
    <cellStyle name="Normal 9 18 17" xfId="15802" xr:uid="{00000000-0005-0000-0000-0000243F0000}"/>
    <cellStyle name="Normal 9 18 2" xfId="15803" xr:uid="{00000000-0005-0000-0000-0000253F0000}"/>
    <cellStyle name="Normal 9 18 3" xfId="15804" xr:uid="{00000000-0005-0000-0000-0000263F0000}"/>
    <cellStyle name="Normal 9 18 4" xfId="15805" xr:uid="{00000000-0005-0000-0000-0000273F0000}"/>
    <cellStyle name="Normal 9 18 5" xfId="15806" xr:uid="{00000000-0005-0000-0000-0000283F0000}"/>
    <cellStyle name="Normal 9 18 6" xfId="15807" xr:uid="{00000000-0005-0000-0000-0000293F0000}"/>
    <cellStyle name="Normal 9 18 7" xfId="15808" xr:uid="{00000000-0005-0000-0000-00002A3F0000}"/>
    <cellStyle name="Normal 9 18 8" xfId="15809" xr:uid="{00000000-0005-0000-0000-00002B3F0000}"/>
    <cellStyle name="Normal 9 18 9" xfId="15810" xr:uid="{00000000-0005-0000-0000-00002C3F0000}"/>
    <cellStyle name="Normal 9 19" xfId="15811" xr:uid="{00000000-0005-0000-0000-00002D3F0000}"/>
    <cellStyle name="Normal 9 19 10" xfId="15812" xr:uid="{00000000-0005-0000-0000-00002E3F0000}"/>
    <cellStyle name="Normal 9 19 11" xfId="15813" xr:uid="{00000000-0005-0000-0000-00002F3F0000}"/>
    <cellStyle name="Normal 9 19 12" xfId="15814" xr:uid="{00000000-0005-0000-0000-0000303F0000}"/>
    <cellStyle name="Normal 9 19 13" xfId="15815" xr:uid="{00000000-0005-0000-0000-0000313F0000}"/>
    <cellStyle name="Normal 9 19 14" xfId="15816" xr:uid="{00000000-0005-0000-0000-0000323F0000}"/>
    <cellStyle name="Normal 9 19 15" xfId="15817" xr:uid="{00000000-0005-0000-0000-0000333F0000}"/>
    <cellStyle name="Normal 9 19 16" xfId="15818" xr:uid="{00000000-0005-0000-0000-0000343F0000}"/>
    <cellStyle name="Normal 9 19 17" xfId="15819" xr:uid="{00000000-0005-0000-0000-0000353F0000}"/>
    <cellStyle name="Normal 9 19 2" xfId="15820" xr:uid="{00000000-0005-0000-0000-0000363F0000}"/>
    <cellStyle name="Normal 9 19 3" xfId="15821" xr:uid="{00000000-0005-0000-0000-0000373F0000}"/>
    <cellStyle name="Normal 9 19 4" xfId="15822" xr:uid="{00000000-0005-0000-0000-0000383F0000}"/>
    <cellStyle name="Normal 9 19 5" xfId="15823" xr:uid="{00000000-0005-0000-0000-0000393F0000}"/>
    <cellStyle name="Normal 9 19 6" xfId="15824" xr:uid="{00000000-0005-0000-0000-00003A3F0000}"/>
    <cellStyle name="Normal 9 19 7" xfId="15825" xr:uid="{00000000-0005-0000-0000-00003B3F0000}"/>
    <cellStyle name="Normal 9 19 8" xfId="15826" xr:uid="{00000000-0005-0000-0000-00003C3F0000}"/>
    <cellStyle name="Normal 9 19 9" xfId="15827" xr:uid="{00000000-0005-0000-0000-00003D3F0000}"/>
    <cellStyle name="Normal 9 2" xfId="15828" xr:uid="{00000000-0005-0000-0000-00003E3F0000}"/>
    <cellStyle name="Normal 9 2 2" xfId="15829" xr:uid="{00000000-0005-0000-0000-00003F3F0000}"/>
    <cellStyle name="Normal 9 2 2 10" xfId="15830" xr:uid="{00000000-0005-0000-0000-0000403F0000}"/>
    <cellStyle name="Normal 9 2 2 11" xfId="15831" xr:uid="{00000000-0005-0000-0000-0000413F0000}"/>
    <cellStyle name="Normal 9 2 2 12" xfId="15832" xr:uid="{00000000-0005-0000-0000-0000423F0000}"/>
    <cellStyle name="Normal 9 2 2 13" xfId="15833" xr:uid="{00000000-0005-0000-0000-0000433F0000}"/>
    <cellStyle name="Normal 9 2 2 14" xfId="15834" xr:uid="{00000000-0005-0000-0000-0000443F0000}"/>
    <cellStyle name="Normal 9 2 2 15" xfId="15835" xr:uid="{00000000-0005-0000-0000-0000453F0000}"/>
    <cellStyle name="Normal 9 2 2 16" xfId="15836" xr:uid="{00000000-0005-0000-0000-0000463F0000}"/>
    <cellStyle name="Normal 9 2 2 17" xfId="15837" xr:uid="{00000000-0005-0000-0000-0000473F0000}"/>
    <cellStyle name="Normal 9 2 2 2" xfId="15838" xr:uid="{00000000-0005-0000-0000-0000483F0000}"/>
    <cellStyle name="Normal 9 2 2 3" xfId="15839" xr:uid="{00000000-0005-0000-0000-0000493F0000}"/>
    <cellStyle name="Normal 9 2 2 4" xfId="15840" xr:uid="{00000000-0005-0000-0000-00004A3F0000}"/>
    <cellStyle name="Normal 9 2 2 5" xfId="15841" xr:uid="{00000000-0005-0000-0000-00004B3F0000}"/>
    <cellStyle name="Normal 9 2 2 6" xfId="15842" xr:uid="{00000000-0005-0000-0000-00004C3F0000}"/>
    <cellStyle name="Normal 9 2 2 7" xfId="15843" xr:uid="{00000000-0005-0000-0000-00004D3F0000}"/>
    <cellStyle name="Normal 9 2 2 8" xfId="15844" xr:uid="{00000000-0005-0000-0000-00004E3F0000}"/>
    <cellStyle name="Normal 9 2 2 9" xfId="15845" xr:uid="{00000000-0005-0000-0000-00004F3F0000}"/>
    <cellStyle name="Normal 9 20" xfId="15846" xr:uid="{00000000-0005-0000-0000-0000503F0000}"/>
    <cellStyle name="Normal 9 20 10" xfId="15847" xr:uid="{00000000-0005-0000-0000-0000513F0000}"/>
    <cellStyle name="Normal 9 20 11" xfId="15848" xr:uid="{00000000-0005-0000-0000-0000523F0000}"/>
    <cellStyle name="Normal 9 20 12" xfId="15849" xr:uid="{00000000-0005-0000-0000-0000533F0000}"/>
    <cellStyle name="Normal 9 20 13" xfId="15850" xr:uid="{00000000-0005-0000-0000-0000543F0000}"/>
    <cellStyle name="Normal 9 20 14" xfId="15851" xr:uid="{00000000-0005-0000-0000-0000553F0000}"/>
    <cellStyle name="Normal 9 20 15" xfId="15852" xr:uid="{00000000-0005-0000-0000-0000563F0000}"/>
    <cellStyle name="Normal 9 20 16" xfId="15853" xr:uid="{00000000-0005-0000-0000-0000573F0000}"/>
    <cellStyle name="Normal 9 20 17" xfId="15854" xr:uid="{00000000-0005-0000-0000-0000583F0000}"/>
    <cellStyle name="Normal 9 20 2" xfId="15855" xr:uid="{00000000-0005-0000-0000-0000593F0000}"/>
    <cellStyle name="Normal 9 20 3" xfId="15856" xr:uid="{00000000-0005-0000-0000-00005A3F0000}"/>
    <cellStyle name="Normal 9 20 4" xfId="15857" xr:uid="{00000000-0005-0000-0000-00005B3F0000}"/>
    <cellStyle name="Normal 9 20 5" xfId="15858" xr:uid="{00000000-0005-0000-0000-00005C3F0000}"/>
    <cellStyle name="Normal 9 20 6" xfId="15859" xr:uid="{00000000-0005-0000-0000-00005D3F0000}"/>
    <cellStyle name="Normal 9 20 7" xfId="15860" xr:uid="{00000000-0005-0000-0000-00005E3F0000}"/>
    <cellStyle name="Normal 9 20 8" xfId="15861" xr:uid="{00000000-0005-0000-0000-00005F3F0000}"/>
    <cellStyle name="Normal 9 20 9" xfId="15862" xr:uid="{00000000-0005-0000-0000-0000603F0000}"/>
    <cellStyle name="Normal 9 21" xfId="15863" xr:uid="{00000000-0005-0000-0000-0000613F0000}"/>
    <cellStyle name="Normal 9 21 10" xfId="15864" xr:uid="{00000000-0005-0000-0000-0000623F0000}"/>
    <cellStyle name="Normal 9 21 11" xfId="15865" xr:uid="{00000000-0005-0000-0000-0000633F0000}"/>
    <cellStyle name="Normal 9 21 12" xfId="15866" xr:uid="{00000000-0005-0000-0000-0000643F0000}"/>
    <cellStyle name="Normal 9 21 13" xfId="15867" xr:uid="{00000000-0005-0000-0000-0000653F0000}"/>
    <cellStyle name="Normal 9 21 14" xfId="15868" xr:uid="{00000000-0005-0000-0000-0000663F0000}"/>
    <cellStyle name="Normal 9 21 15" xfId="15869" xr:uid="{00000000-0005-0000-0000-0000673F0000}"/>
    <cellStyle name="Normal 9 21 16" xfId="15870" xr:uid="{00000000-0005-0000-0000-0000683F0000}"/>
    <cellStyle name="Normal 9 21 17" xfId="15871" xr:uid="{00000000-0005-0000-0000-0000693F0000}"/>
    <cellStyle name="Normal 9 21 2" xfId="15872" xr:uid="{00000000-0005-0000-0000-00006A3F0000}"/>
    <cellStyle name="Normal 9 21 3" xfId="15873" xr:uid="{00000000-0005-0000-0000-00006B3F0000}"/>
    <cellStyle name="Normal 9 21 4" xfId="15874" xr:uid="{00000000-0005-0000-0000-00006C3F0000}"/>
    <cellStyle name="Normal 9 21 5" xfId="15875" xr:uid="{00000000-0005-0000-0000-00006D3F0000}"/>
    <cellStyle name="Normal 9 21 6" xfId="15876" xr:uid="{00000000-0005-0000-0000-00006E3F0000}"/>
    <cellStyle name="Normal 9 21 7" xfId="15877" xr:uid="{00000000-0005-0000-0000-00006F3F0000}"/>
    <cellStyle name="Normal 9 21 8" xfId="15878" xr:uid="{00000000-0005-0000-0000-0000703F0000}"/>
    <cellStyle name="Normal 9 21 9" xfId="15879" xr:uid="{00000000-0005-0000-0000-0000713F0000}"/>
    <cellStyle name="Normal 9 22" xfId="15880" xr:uid="{00000000-0005-0000-0000-0000723F0000}"/>
    <cellStyle name="Normal 9 22 10" xfId="15881" xr:uid="{00000000-0005-0000-0000-0000733F0000}"/>
    <cellStyle name="Normal 9 22 11" xfId="15882" xr:uid="{00000000-0005-0000-0000-0000743F0000}"/>
    <cellStyle name="Normal 9 22 12" xfId="15883" xr:uid="{00000000-0005-0000-0000-0000753F0000}"/>
    <cellStyle name="Normal 9 22 13" xfId="15884" xr:uid="{00000000-0005-0000-0000-0000763F0000}"/>
    <cellStyle name="Normal 9 22 14" xfId="15885" xr:uid="{00000000-0005-0000-0000-0000773F0000}"/>
    <cellStyle name="Normal 9 22 15" xfId="15886" xr:uid="{00000000-0005-0000-0000-0000783F0000}"/>
    <cellStyle name="Normal 9 22 16" xfId="15887" xr:uid="{00000000-0005-0000-0000-0000793F0000}"/>
    <cellStyle name="Normal 9 22 17" xfId="15888" xr:uid="{00000000-0005-0000-0000-00007A3F0000}"/>
    <cellStyle name="Normal 9 22 2" xfId="15889" xr:uid="{00000000-0005-0000-0000-00007B3F0000}"/>
    <cellStyle name="Normal 9 22 3" xfId="15890" xr:uid="{00000000-0005-0000-0000-00007C3F0000}"/>
    <cellStyle name="Normal 9 22 4" xfId="15891" xr:uid="{00000000-0005-0000-0000-00007D3F0000}"/>
    <cellStyle name="Normal 9 22 5" xfId="15892" xr:uid="{00000000-0005-0000-0000-00007E3F0000}"/>
    <cellStyle name="Normal 9 22 6" xfId="15893" xr:uid="{00000000-0005-0000-0000-00007F3F0000}"/>
    <cellStyle name="Normal 9 22 7" xfId="15894" xr:uid="{00000000-0005-0000-0000-0000803F0000}"/>
    <cellStyle name="Normal 9 22 8" xfId="15895" xr:uid="{00000000-0005-0000-0000-0000813F0000}"/>
    <cellStyle name="Normal 9 22 9" xfId="15896" xr:uid="{00000000-0005-0000-0000-0000823F0000}"/>
    <cellStyle name="Normal 9 23" xfId="15897" xr:uid="{00000000-0005-0000-0000-0000833F0000}"/>
    <cellStyle name="Normal 9 23 10" xfId="15898" xr:uid="{00000000-0005-0000-0000-0000843F0000}"/>
    <cellStyle name="Normal 9 23 11" xfId="15899" xr:uid="{00000000-0005-0000-0000-0000853F0000}"/>
    <cellStyle name="Normal 9 23 12" xfId="15900" xr:uid="{00000000-0005-0000-0000-0000863F0000}"/>
    <cellStyle name="Normal 9 23 13" xfId="15901" xr:uid="{00000000-0005-0000-0000-0000873F0000}"/>
    <cellStyle name="Normal 9 23 14" xfId="15902" xr:uid="{00000000-0005-0000-0000-0000883F0000}"/>
    <cellStyle name="Normal 9 23 15" xfId="15903" xr:uid="{00000000-0005-0000-0000-0000893F0000}"/>
    <cellStyle name="Normal 9 23 16" xfId="15904" xr:uid="{00000000-0005-0000-0000-00008A3F0000}"/>
    <cellStyle name="Normal 9 23 17" xfId="15905" xr:uid="{00000000-0005-0000-0000-00008B3F0000}"/>
    <cellStyle name="Normal 9 23 2" xfId="15906" xr:uid="{00000000-0005-0000-0000-00008C3F0000}"/>
    <cellStyle name="Normal 9 23 3" xfId="15907" xr:uid="{00000000-0005-0000-0000-00008D3F0000}"/>
    <cellStyle name="Normal 9 23 4" xfId="15908" xr:uid="{00000000-0005-0000-0000-00008E3F0000}"/>
    <cellStyle name="Normal 9 23 5" xfId="15909" xr:uid="{00000000-0005-0000-0000-00008F3F0000}"/>
    <cellStyle name="Normal 9 23 6" xfId="15910" xr:uid="{00000000-0005-0000-0000-0000903F0000}"/>
    <cellStyle name="Normal 9 23 7" xfId="15911" xr:uid="{00000000-0005-0000-0000-0000913F0000}"/>
    <cellStyle name="Normal 9 23 8" xfId="15912" xr:uid="{00000000-0005-0000-0000-0000923F0000}"/>
    <cellStyle name="Normal 9 23 9" xfId="15913" xr:uid="{00000000-0005-0000-0000-0000933F0000}"/>
    <cellStyle name="Normal 9 24" xfId="15914" xr:uid="{00000000-0005-0000-0000-0000943F0000}"/>
    <cellStyle name="Normal 9 24 10" xfId="15915" xr:uid="{00000000-0005-0000-0000-0000953F0000}"/>
    <cellStyle name="Normal 9 24 11" xfId="15916" xr:uid="{00000000-0005-0000-0000-0000963F0000}"/>
    <cellStyle name="Normal 9 24 12" xfId="15917" xr:uid="{00000000-0005-0000-0000-0000973F0000}"/>
    <cellStyle name="Normal 9 24 13" xfId="15918" xr:uid="{00000000-0005-0000-0000-0000983F0000}"/>
    <cellStyle name="Normal 9 24 14" xfId="15919" xr:uid="{00000000-0005-0000-0000-0000993F0000}"/>
    <cellStyle name="Normal 9 24 15" xfId="15920" xr:uid="{00000000-0005-0000-0000-00009A3F0000}"/>
    <cellStyle name="Normal 9 24 16" xfId="15921" xr:uid="{00000000-0005-0000-0000-00009B3F0000}"/>
    <cellStyle name="Normal 9 24 17" xfId="15922" xr:uid="{00000000-0005-0000-0000-00009C3F0000}"/>
    <cellStyle name="Normal 9 24 2" xfId="15923" xr:uid="{00000000-0005-0000-0000-00009D3F0000}"/>
    <cellStyle name="Normal 9 24 3" xfId="15924" xr:uid="{00000000-0005-0000-0000-00009E3F0000}"/>
    <cellStyle name="Normal 9 24 4" xfId="15925" xr:uid="{00000000-0005-0000-0000-00009F3F0000}"/>
    <cellStyle name="Normal 9 24 5" xfId="15926" xr:uid="{00000000-0005-0000-0000-0000A03F0000}"/>
    <cellStyle name="Normal 9 24 6" xfId="15927" xr:uid="{00000000-0005-0000-0000-0000A13F0000}"/>
    <cellStyle name="Normal 9 24 7" xfId="15928" xr:uid="{00000000-0005-0000-0000-0000A23F0000}"/>
    <cellStyle name="Normal 9 24 8" xfId="15929" xr:uid="{00000000-0005-0000-0000-0000A33F0000}"/>
    <cellStyle name="Normal 9 24 9" xfId="15930" xr:uid="{00000000-0005-0000-0000-0000A43F0000}"/>
    <cellStyle name="Normal 9 25" xfId="15931" xr:uid="{00000000-0005-0000-0000-0000A53F0000}"/>
    <cellStyle name="Normal 9 25 10" xfId="15932" xr:uid="{00000000-0005-0000-0000-0000A63F0000}"/>
    <cellStyle name="Normal 9 25 11" xfId="15933" xr:uid="{00000000-0005-0000-0000-0000A73F0000}"/>
    <cellStyle name="Normal 9 25 12" xfId="15934" xr:uid="{00000000-0005-0000-0000-0000A83F0000}"/>
    <cellStyle name="Normal 9 25 13" xfId="15935" xr:uid="{00000000-0005-0000-0000-0000A93F0000}"/>
    <cellStyle name="Normal 9 25 14" xfId="15936" xr:uid="{00000000-0005-0000-0000-0000AA3F0000}"/>
    <cellStyle name="Normal 9 25 15" xfId="15937" xr:uid="{00000000-0005-0000-0000-0000AB3F0000}"/>
    <cellStyle name="Normal 9 25 16" xfId="15938" xr:uid="{00000000-0005-0000-0000-0000AC3F0000}"/>
    <cellStyle name="Normal 9 25 17" xfId="15939" xr:uid="{00000000-0005-0000-0000-0000AD3F0000}"/>
    <cellStyle name="Normal 9 25 2" xfId="15940" xr:uid="{00000000-0005-0000-0000-0000AE3F0000}"/>
    <cellStyle name="Normal 9 25 3" xfId="15941" xr:uid="{00000000-0005-0000-0000-0000AF3F0000}"/>
    <cellStyle name="Normal 9 25 4" xfId="15942" xr:uid="{00000000-0005-0000-0000-0000B03F0000}"/>
    <cellStyle name="Normal 9 25 5" xfId="15943" xr:uid="{00000000-0005-0000-0000-0000B13F0000}"/>
    <cellStyle name="Normal 9 25 6" xfId="15944" xr:uid="{00000000-0005-0000-0000-0000B23F0000}"/>
    <cellStyle name="Normal 9 25 7" xfId="15945" xr:uid="{00000000-0005-0000-0000-0000B33F0000}"/>
    <cellStyle name="Normal 9 25 8" xfId="15946" xr:uid="{00000000-0005-0000-0000-0000B43F0000}"/>
    <cellStyle name="Normal 9 25 9" xfId="15947" xr:uid="{00000000-0005-0000-0000-0000B53F0000}"/>
    <cellStyle name="Normal 9 26" xfId="15948" xr:uid="{00000000-0005-0000-0000-0000B63F0000}"/>
    <cellStyle name="Normal 9 26 10" xfId="15949" xr:uid="{00000000-0005-0000-0000-0000B73F0000}"/>
    <cellStyle name="Normal 9 26 11" xfId="15950" xr:uid="{00000000-0005-0000-0000-0000B83F0000}"/>
    <cellStyle name="Normal 9 26 12" xfId="15951" xr:uid="{00000000-0005-0000-0000-0000B93F0000}"/>
    <cellStyle name="Normal 9 26 13" xfId="15952" xr:uid="{00000000-0005-0000-0000-0000BA3F0000}"/>
    <cellStyle name="Normal 9 26 14" xfId="15953" xr:uid="{00000000-0005-0000-0000-0000BB3F0000}"/>
    <cellStyle name="Normal 9 26 15" xfId="15954" xr:uid="{00000000-0005-0000-0000-0000BC3F0000}"/>
    <cellStyle name="Normal 9 26 16" xfId="15955" xr:uid="{00000000-0005-0000-0000-0000BD3F0000}"/>
    <cellStyle name="Normal 9 26 17" xfId="15956" xr:uid="{00000000-0005-0000-0000-0000BE3F0000}"/>
    <cellStyle name="Normal 9 26 2" xfId="15957" xr:uid="{00000000-0005-0000-0000-0000BF3F0000}"/>
    <cellStyle name="Normal 9 26 3" xfId="15958" xr:uid="{00000000-0005-0000-0000-0000C03F0000}"/>
    <cellStyle name="Normal 9 26 4" xfId="15959" xr:uid="{00000000-0005-0000-0000-0000C13F0000}"/>
    <cellStyle name="Normal 9 26 5" xfId="15960" xr:uid="{00000000-0005-0000-0000-0000C23F0000}"/>
    <cellStyle name="Normal 9 26 6" xfId="15961" xr:uid="{00000000-0005-0000-0000-0000C33F0000}"/>
    <cellStyle name="Normal 9 26 7" xfId="15962" xr:uid="{00000000-0005-0000-0000-0000C43F0000}"/>
    <cellStyle name="Normal 9 26 8" xfId="15963" xr:uid="{00000000-0005-0000-0000-0000C53F0000}"/>
    <cellStyle name="Normal 9 26 9" xfId="15964" xr:uid="{00000000-0005-0000-0000-0000C63F0000}"/>
    <cellStyle name="Normal 9 27" xfId="15965" xr:uid="{00000000-0005-0000-0000-0000C73F0000}"/>
    <cellStyle name="Normal 9 27 10" xfId="15966" xr:uid="{00000000-0005-0000-0000-0000C83F0000}"/>
    <cellStyle name="Normal 9 27 11" xfId="15967" xr:uid="{00000000-0005-0000-0000-0000C93F0000}"/>
    <cellStyle name="Normal 9 27 12" xfId="15968" xr:uid="{00000000-0005-0000-0000-0000CA3F0000}"/>
    <cellStyle name="Normal 9 27 13" xfId="15969" xr:uid="{00000000-0005-0000-0000-0000CB3F0000}"/>
    <cellStyle name="Normal 9 27 14" xfId="15970" xr:uid="{00000000-0005-0000-0000-0000CC3F0000}"/>
    <cellStyle name="Normal 9 27 15" xfId="15971" xr:uid="{00000000-0005-0000-0000-0000CD3F0000}"/>
    <cellStyle name="Normal 9 27 16" xfId="15972" xr:uid="{00000000-0005-0000-0000-0000CE3F0000}"/>
    <cellStyle name="Normal 9 27 17" xfId="15973" xr:uid="{00000000-0005-0000-0000-0000CF3F0000}"/>
    <cellStyle name="Normal 9 27 2" xfId="15974" xr:uid="{00000000-0005-0000-0000-0000D03F0000}"/>
    <cellStyle name="Normal 9 27 3" xfId="15975" xr:uid="{00000000-0005-0000-0000-0000D13F0000}"/>
    <cellStyle name="Normal 9 27 4" xfId="15976" xr:uid="{00000000-0005-0000-0000-0000D23F0000}"/>
    <cellStyle name="Normal 9 27 5" xfId="15977" xr:uid="{00000000-0005-0000-0000-0000D33F0000}"/>
    <cellStyle name="Normal 9 27 6" xfId="15978" xr:uid="{00000000-0005-0000-0000-0000D43F0000}"/>
    <cellStyle name="Normal 9 27 7" xfId="15979" xr:uid="{00000000-0005-0000-0000-0000D53F0000}"/>
    <cellStyle name="Normal 9 27 8" xfId="15980" xr:uid="{00000000-0005-0000-0000-0000D63F0000}"/>
    <cellStyle name="Normal 9 27 9" xfId="15981" xr:uid="{00000000-0005-0000-0000-0000D73F0000}"/>
    <cellStyle name="Normal 9 28" xfId="15982" xr:uid="{00000000-0005-0000-0000-0000D83F0000}"/>
    <cellStyle name="Normal 9 28 10" xfId="15983" xr:uid="{00000000-0005-0000-0000-0000D93F0000}"/>
    <cellStyle name="Normal 9 28 11" xfId="15984" xr:uid="{00000000-0005-0000-0000-0000DA3F0000}"/>
    <cellStyle name="Normal 9 28 12" xfId="15985" xr:uid="{00000000-0005-0000-0000-0000DB3F0000}"/>
    <cellStyle name="Normal 9 28 13" xfId="15986" xr:uid="{00000000-0005-0000-0000-0000DC3F0000}"/>
    <cellStyle name="Normal 9 28 14" xfId="15987" xr:uid="{00000000-0005-0000-0000-0000DD3F0000}"/>
    <cellStyle name="Normal 9 28 15" xfId="15988" xr:uid="{00000000-0005-0000-0000-0000DE3F0000}"/>
    <cellStyle name="Normal 9 28 16" xfId="15989" xr:uid="{00000000-0005-0000-0000-0000DF3F0000}"/>
    <cellStyle name="Normal 9 28 17" xfId="15990" xr:uid="{00000000-0005-0000-0000-0000E03F0000}"/>
    <cellStyle name="Normal 9 28 2" xfId="15991" xr:uid="{00000000-0005-0000-0000-0000E13F0000}"/>
    <cellStyle name="Normal 9 28 3" xfId="15992" xr:uid="{00000000-0005-0000-0000-0000E23F0000}"/>
    <cellStyle name="Normal 9 28 4" xfId="15993" xr:uid="{00000000-0005-0000-0000-0000E33F0000}"/>
    <cellStyle name="Normal 9 28 5" xfId="15994" xr:uid="{00000000-0005-0000-0000-0000E43F0000}"/>
    <cellStyle name="Normal 9 28 6" xfId="15995" xr:uid="{00000000-0005-0000-0000-0000E53F0000}"/>
    <cellStyle name="Normal 9 28 7" xfId="15996" xr:uid="{00000000-0005-0000-0000-0000E63F0000}"/>
    <cellStyle name="Normal 9 28 8" xfId="15997" xr:uid="{00000000-0005-0000-0000-0000E73F0000}"/>
    <cellStyle name="Normal 9 28 9" xfId="15998" xr:uid="{00000000-0005-0000-0000-0000E83F0000}"/>
    <cellStyle name="Normal 9 29" xfId="15999" xr:uid="{00000000-0005-0000-0000-0000E93F0000}"/>
    <cellStyle name="Normal 9 29 10" xfId="16000" xr:uid="{00000000-0005-0000-0000-0000EA3F0000}"/>
    <cellStyle name="Normal 9 29 11" xfId="16001" xr:uid="{00000000-0005-0000-0000-0000EB3F0000}"/>
    <cellStyle name="Normal 9 29 12" xfId="16002" xr:uid="{00000000-0005-0000-0000-0000EC3F0000}"/>
    <cellStyle name="Normal 9 29 13" xfId="16003" xr:uid="{00000000-0005-0000-0000-0000ED3F0000}"/>
    <cellStyle name="Normal 9 29 14" xfId="16004" xr:uid="{00000000-0005-0000-0000-0000EE3F0000}"/>
    <cellStyle name="Normal 9 29 15" xfId="16005" xr:uid="{00000000-0005-0000-0000-0000EF3F0000}"/>
    <cellStyle name="Normal 9 29 16" xfId="16006" xr:uid="{00000000-0005-0000-0000-0000F03F0000}"/>
    <cellStyle name="Normal 9 29 17" xfId="16007" xr:uid="{00000000-0005-0000-0000-0000F13F0000}"/>
    <cellStyle name="Normal 9 29 2" xfId="16008" xr:uid="{00000000-0005-0000-0000-0000F23F0000}"/>
    <cellStyle name="Normal 9 29 3" xfId="16009" xr:uid="{00000000-0005-0000-0000-0000F33F0000}"/>
    <cellStyle name="Normal 9 29 4" xfId="16010" xr:uid="{00000000-0005-0000-0000-0000F43F0000}"/>
    <cellStyle name="Normal 9 29 5" xfId="16011" xr:uid="{00000000-0005-0000-0000-0000F53F0000}"/>
    <cellStyle name="Normal 9 29 6" xfId="16012" xr:uid="{00000000-0005-0000-0000-0000F63F0000}"/>
    <cellStyle name="Normal 9 29 7" xfId="16013" xr:uid="{00000000-0005-0000-0000-0000F73F0000}"/>
    <cellStyle name="Normal 9 29 8" xfId="16014" xr:uid="{00000000-0005-0000-0000-0000F83F0000}"/>
    <cellStyle name="Normal 9 29 9" xfId="16015" xr:uid="{00000000-0005-0000-0000-0000F93F0000}"/>
    <cellStyle name="Normal 9 3" xfId="16016" xr:uid="{00000000-0005-0000-0000-0000FA3F0000}"/>
    <cellStyle name="Normal 9 3 10" xfId="16017" xr:uid="{00000000-0005-0000-0000-0000FB3F0000}"/>
    <cellStyle name="Normal 9 3 11" xfId="16018" xr:uid="{00000000-0005-0000-0000-0000FC3F0000}"/>
    <cellStyle name="Normal 9 3 12" xfId="16019" xr:uid="{00000000-0005-0000-0000-0000FD3F0000}"/>
    <cellStyle name="Normal 9 3 13" xfId="16020" xr:uid="{00000000-0005-0000-0000-0000FE3F0000}"/>
    <cellStyle name="Normal 9 3 14" xfId="16021" xr:uid="{00000000-0005-0000-0000-0000FF3F0000}"/>
    <cellStyle name="Normal 9 3 15" xfId="16022" xr:uid="{00000000-0005-0000-0000-000000400000}"/>
    <cellStyle name="Normal 9 3 16" xfId="16023" xr:uid="{00000000-0005-0000-0000-000001400000}"/>
    <cellStyle name="Normal 9 3 17" xfId="16024" xr:uid="{00000000-0005-0000-0000-000002400000}"/>
    <cellStyle name="Normal 9 3 18" xfId="16025" xr:uid="{00000000-0005-0000-0000-000003400000}"/>
    <cellStyle name="Normal 9 3 19" xfId="16026" xr:uid="{00000000-0005-0000-0000-000004400000}"/>
    <cellStyle name="Normal 9 3 2" xfId="16027" xr:uid="{00000000-0005-0000-0000-000005400000}"/>
    <cellStyle name="Normal 9 3 20" xfId="16028" xr:uid="{00000000-0005-0000-0000-000006400000}"/>
    <cellStyle name="Normal 9 3 21" xfId="16029" xr:uid="{00000000-0005-0000-0000-000007400000}"/>
    <cellStyle name="Normal 9 3 22" xfId="16030" xr:uid="{00000000-0005-0000-0000-000008400000}"/>
    <cellStyle name="Normal 9 3 23" xfId="16031" xr:uid="{00000000-0005-0000-0000-000009400000}"/>
    <cellStyle name="Normal 9 3 24" xfId="16032" xr:uid="{00000000-0005-0000-0000-00000A400000}"/>
    <cellStyle name="Normal 9 3 25" xfId="16033" xr:uid="{00000000-0005-0000-0000-00000B400000}"/>
    <cellStyle name="Normal 9 3 26" xfId="16034" xr:uid="{00000000-0005-0000-0000-00000C400000}"/>
    <cellStyle name="Normal 9 3 27" xfId="16035" xr:uid="{00000000-0005-0000-0000-00000D400000}"/>
    <cellStyle name="Normal 9 3 28" xfId="16036" xr:uid="{00000000-0005-0000-0000-00000E400000}"/>
    <cellStyle name="Normal 9 3 29" xfId="16037" xr:uid="{00000000-0005-0000-0000-00000F400000}"/>
    <cellStyle name="Normal 9 3 3" xfId="16038" xr:uid="{00000000-0005-0000-0000-000010400000}"/>
    <cellStyle name="Normal 9 3 30" xfId="16039" xr:uid="{00000000-0005-0000-0000-000011400000}"/>
    <cellStyle name="Normal 9 3 31" xfId="16040" xr:uid="{00000000-0005-0000-0000-000012400000}"/>
    <cellStyle name="Normal 9 3 32" xfId="16041" xr:uid="{00000000-0005-0000-0000-000013400000}"/>
    <cellStyle name="Normal 9 3 33" xfId="16042" xr:uid="{00000000-0005-0000-0000-000014400000}"/>
    <cellStyle name="Normal 9 3 34" xfId="16043" xr:uid="{00000000-0005-0000-0000-000015400000}"/>
    <cellStyle name="Normal 9 3 35" xfId="16044" xr:uid="{00000000-0005-0000-0000-000016400000}"/>
    <cellStyle name="Normal 9 3 36" xfId="16045" xr:uid="{00000000-0005-0000-0000-000017400000}"/>
    <cellStyle name="Normal 9 3 37" xfId="16046" xr:uid="{00000000-0005-0000-0000-000018400000}"/>
    <cellStyle name="Normal 9 3 38" xfId="16047" xr:uid="{00000000-0005-0000-0000-000019400000}"/>
    <cellStyle name="Normal 9 3 39" xfId="16048" xr:uid="{00000000-0005-0000-0000-00001A400000}"/>
    <cellStyle name="Normal 9 3 4" xfId="16049" xr:uid="{00000000-0005-0000-0000-00001B400000}"/>
    <cellStyle name="Normal 9 3 40" xfId="16050" xr:uid="{00000000-0005-0000-0000-00001C400000}"/>
    <cellStyle name="Normal 9 3 41" xfId="16051" xr:uid="{00000000-0005-0000-0000-00001D400000}"/>
    <cellStyle name="Normal 9 3 42" xfId="16052" xr:uid="{00000000-0005-0000-0000-00001E400000}"/>
    <cellStyle name="Normal 9 3 43" xfId="16053" xr:uid="{00000000-0005-0000-0000-00001F400000}"/>
    <cellStyle name="Normal 9 3 44" xfId="16054" xr:uid="{00000000-0005-0000-0000-000020400000}"/>
    <cellStyle name="Normal 9 3 45" xfId="16055" xr:uid="{00000000-0005-0000-0000-000021400000}"/>
    <cellStyle name="Normal 9 3 46" xfId="16056" xr:uid="{00000000-0005-0000-0000-000022400000}"/>
    <cellStyle name="Normal 9 3 47" xfId="16057" xr:uid="{00000000-0005-0000-0000-000023400000}"/>
    <cellStyle name="Normal 9 3 48" xfId="16058" xr:uid="{00000000-0005-0000-0000-000024400000}"/>
    <cellStyle name="Normal 9 3 49" xfId="16059" xr:uid="{00000000-0005-0000-0000-000025400000}"/>
    <cellStyle name="Normal 9 3 5" xfId="16060" xr:uid="{00000000-0005-0000-0000-000026400000}"/>
    <cellStyle name="Normal 9 3 50" xfId="16061" xr:uid="{00000000-0005-0000-0000-000027400000}"/>
    <cellStyle name="Normal 9 3 51" xfId="16062" xr:uid="{00000000-0005-0000-0000-000028400000}"/>
    <cellStyle name="Normal 9 3 52" xfId="16063" xr:uid="{00000000-0005-0000-0000-000029400000}"/>
    <cellStyle name="Normal 9 3 53" xfId="16064" xr:uid="{00000000-0005-0000-0000-00002A400000}"/>
    <cellStyle name="Normal 9 3 54" xfId="16065" xr:uid="{00000000-0005-0000-0000-00002B400000}"/>
    <cellStyle name="Normal 9 3 55" xfId="16066" xr:uid="{00000000-0005-0000-0000-00002C400000}"/>
    <cellStyle name="Normal 9 3 56" xfId="16067" xr:uid="{00000000-0005-0000-0000-00002D400000}"/>
    <cellStyle name="Normal 9 3 57" xfId="16068" xr:uid="{00000000-0005-0000-0000-00002E400000}"/>
    <cellStyle name="Normal 9 3 58" xfId="16069" xr:uid="{00000000-0005-0000-0000-00002F400000}"/>
    <cellStyle name="Normal 9 3 59" xfId="16070" xr:uid="{00000000-0005-0000-0000-000030400000}"/>
    <cellStyle name="Normal 9 3 6" xfId="16071" xr:uid="{00000000-0005-0000-0000-000031400000}"/>
    <cellStyle name="Normal 9 3 60" xfId="16072" xr:uid="{00000000-0005-0000-0000-000032400000}"/>
    <cellStyle name="Normal 9 3 61" xfId="16073" xr:uid="{00000000-0005-0000-0000-000033400000}"/>
    <cellStyle name="Normal 9 3 62" xfId="16074" xr:uid="{00000000-0005-0000-0000-000034400000}"/>
    <cellStyle name="Normal 9 3 63" xfId="16075" xr:uid="{00000000-0005-0000-0000-000035400000}"/>
    <cellStyle name="Normal 9 3 64" xfId="16076" xr:uid="{00000000-0005-0000-0000-000036400000}"/>
    <cellStyle name="Normal 9 3 65" xfId="16077" xr:uid="{00000000-0005-0000-0000-000037400000}"/>
    <cellStyle name="Normal 9 3 66" xfId="16078" xr:uid="{00000000-0005-0000-0000-000038400000}"/>
    <cellStyle name="Normal 9 3 67" xfId="16079" xr:uid="{00000000-0005-0000-0000-000039400000}"/>
    <cellStyle name="Normal 9 3 68" xfId="16080" xr:uid="{00000000-0005-0000-0000-00003A400000}"/>
    <cellStyle name="Normal 9 3 69" xfId="16081" xr:uid="{00000000-0005-0000-0000-00003B400000}"/>
    <cellStyle name="Normal 9 3 7" xfId="16082" xr:uid="{00000000-0005-0000-0000-00003C400000}"/>
    <cellStyle name="Normal 9 3 70" xfId="16083" xr:uid="{00000000-0005-0000-0000-00003D400000}"/>
    <cellStyle name="Normal 9 3 71" xfId="16084" xr:uid="{00000000-0005-0000-0000-00003E400000}"/>
    <cellStyle name="Normal 9 3 72" xfId="16085" xr:uid="{00000000-0005-0000-0000-00003F400000}"/>
    <cellStyle name="Normal 9 3 73" xfId="16086" xr:uid="{00000000-0005-0000-0000-000040400000}"/>
    <cellStyle name="Normal 9 3 74" xfId="16087" xr:uid="{00000000-0005-0000-0000-000041400000}"/>
    <cellStyle name="Normal 9 3 75" xfId="16088" xr:uid="{00000000-0005-0000-0000-000042400000}"/>
    <cellStyle name="Normal 9 3 76" xfId="16089" xr:uid="{00000000-0005-0000-0000-000043400000}"/>
    <cellStyle name="Normal 9 3 77" xfId="16090" xr:uid="{00000000-0005-0000-0000-000044400000}"/>
    <cellStyle name="Normal 9 3 78" xfId="16091" xr:uid="{00000000-0005-0000-0000-000045400000}"/>
    <cellStyle name="Normal 9 3 8" xfId="16092" xr:uid="{00000000-0005-0000-0000-000046400000}"/>
    <cellStyle name="Normal 9 3 9" xfId="16093" xr:uid="{00000000-0005-0000-0000-000047400000}"/>
    <cellStyle name="Normal 9 30" xfId="16094" xr:uid="{00000000-0005-0000-0000-000048400000}"/>
    <cellStyle name="Normal 9 30 10" xfId="16095" xr:uid="{00000000-0005-0000-0000-000049400000}"/>
    <cellStyle name="Normal 9 30 11" xfId="16096" xr:uid="{00000000-0005-0000-0000-00004A400000}"/>
    <cellStyle name="Normal 9 30 12" xfId="16097" xr:uid="{00000000-0005-0000-0000-00004B400000}"/>
    <cellStyle name="Normal 9 30 13" xfId="16098" xr:uid="{00000000-0005-0000-0000-00004C400000}"/>
    <cellStyle name="Normal 9 30 14" xfId="16099" xr:uid="{00000000-0005-0000-0000-00004D400000}"/>
    <cellStyle name="Normal 9 30 15" xfId="16100" xr:uid="{00000000-0005-0000-0000-00004E400000}"/>
    <cellStyle name="Normal 9 30 16" xfId="16101" xr:uid="{00000000-0005-0000-0000-00004F400000}"/>
    <cellStyle name="Normal 9 30 17" xfId="16102" xr:uid="{00000000-0005-0000-0000-000050400000}"/>
    <cellStyle name="Normal 9 30 2" xfId="16103" xr:uid="{00000000-0005-0000-0000-000051400000}"/>
    <cellStyle name="Normal 9 30 3" xfId="16104" xr:uid="{00000000-0005-0000-0000-000052400000}"/>
    <cellStyle name="Normal 9 30 4" xfId="16105" xr:uid="{00000000-0005-0000-0000-000053400000}"/>
    <cellStyle name="Normal 9 30 5" xfId="16106" xr:uid="{00000000-0005-0000-0000-000054400000}"/>
    <cellStyle name="Normal 9 30 6" xfId="16107" xr:uid="{00000000-0005-0000-0000-000055400000}"/>
    <cellStyle name="Normal 9 30 7" xfId="16108" xr:uid="{00000000-0005-0000-0000-000056400000}"/>
    <cellStyle name="Normal 9 30 8" xfId="16109" xr:uid="{00000000-0005-0000-0000-000057400000}"/>
    <cellStyle name="Normal 9 30 9" xfId="16110" xr:uid="{00000000-0005-0000-0000-000058400000}"/>
    <cellStyle name="Normal 9 31" xfId="16111" xr:uid="{00000000-0005-0000-0000-000059400000}"/>
    <cellStyle name="Normal 9 31 10" xfId="16112" xr:uid="{00000000-0005-0000-0000-00005A400000}"/>
    <cellStyle name="Normal 9 31 11" xfId="16113" xr:uid="{00000000-0005-0000-0000-00005B400000}"/>
    <cellStyle name="Normal 9 31 12" xfId="16114" xr:uid="{00000000-0005-0000-0000-00005C400000}"/>
    <cellStyle name="Normal 9 31 13" xfId="16115" xr:uid="{00000000-0005-0000-0000-00005D400000}"/>
    <cellStyle name="Normal 9 31 14" xfId="16116" xr:uid="{00000000-0005-0000-0000-00005E400000}"/>
    <cellStyle name="Normal 9 31 15" xfId="16117" xr:uid="{00000000-0005-0000-0000-00005F400000}"/>
    <cellStyle name="Normal 9 31 16" xfId="16118" xr:uid="{00000000-0005-0000-0000-000060400000}"/>
    <cellStyle name="Normal 9 31 17" xfId="16119" xr:uid="{00000000-0005-0000-0000-000061400000}"/>
    <cellStyle name="Normal 9 31 2" xfId="16120" xr:uid="{00000000-0005-0000-0000-000062400000}"/>
    <cellStyle name="Normal 9 31 3" xfId="16121" xr:uid="{00000000-0005-0000-0000-000063400000}"/>
    <cellStyle name="Normal 9 31 4" xfId="16122" xr:uid="{00000000-0005-0000-0000-000064400000}"/>
    <cellStyle name="Normal 9 31 5" xfId="16123" xr:uid="{00000000-0005-0000-0000-000065400000}"/>
    <cellStyle name="Normal 9 31 6" xfId="16124" xr:uid="{00000000-0005-0000-0000-000066400000}"/>
    <cellStyle name="Normal 9 31 7" xfId="16125" xr:uid="{00000000-0005-0000-0000-000067400000}"/>
    <cellStyle name="Normal 9 31 8" xfId="16126" xr:uid="{00000000-0005-0000-0000-000068400000}"/>
    <cellStyle name="Normal 9 31 9" xfId="16127" xr:uid="{00000000-0005-0000-0000-000069400000}"/>
    <cellStyle name="Normal 9 32" xfId="16128" xr:uid="{00000000-0005-0000-0000-00006A400000}"/>
    <cellStyle name="Normal 9 32 10" xfId="16129" xr:uid="{00000000-0005-0000-0000-00006B400000}"/>
    <cellStyle name="Normal 9 32 11" xfId="16130" xr:uid="{00000000-0005-0000-0000-00006C400000}"/>
    <cellStyle name="Normal 9 32 12" xfId="16131" xr:uid="{00000000-0005-0000-0000-00006D400000}"/>
    <cellStyle name="Normal 9 32 13" xfId="16132" xr:uid="{00000000-0005-0000-0000-00006E400000}"/>
    <cellStyle name="Normal 9 32 14" xfId="16133" xr:uid="{00000000-0005-0000-0000-00006F400000}"/>
    <cellStyle name="Normal 9 32 15" xfId="16134" xr:uid="{00000000-0005-0000-0000-000070400000}"/>
    <cellStyle name="Normal 9 32 16" xfId="16135" xr:uid="{00000000-0005-0000-0000-000071400000}"/>
    <cellStyle name="Normal 9 32 17" xfId="16136" xr:uid="{00000000-0005-0000-0000-000072400000}"/>
    <cellStyle name="Normal 9 32 2" xfId="16137" xr:uid="{00000000-0005-0000-0000-000073400000}"/>
    <cellStyle name="Normal 9 32 3" xfId="16138" xr:uid="{00000000-0005-0000-0000-000074400000}"/>
    <cellStyle name="Normal 9 32 4" xfId="16139" xr:uid="{00000000-0005-0000-0000-000075400000}"/>
    <cellStyle name="Normal 9 32 5" xfId="16140" xr:uid="{00000000-0005-0000-0000-000076400000}"/>
    <cellStyle name="Normal 9 32 6" xfId="16141" xr:uid="{00000000-0005-0000-0000-000077400000}"/>
    <cellStyle name="Normal 9 32 7" xfId="16142" xr:uid="{00000000-0005-0000-0000-000078400000}"/>
    <cellStyle name="Normal 9 32 8" xfId="16143" xr:uid="{00000000-0005-0000-0000-000079400000}"/>
    <cellStyle name="Normal 9 32 9" xfId="16144" xr:uid="{00000000-0005-0000-0000-00007A400000}"/>
    <cellStyle name="Normal 9 33" xfId="16145" xr:uid="{00000000-0005-0000-0000-00007B400000}"/>
    <cellStyle name="Normal 9 33 10" xfId="16146" xr:uid="{00000000-0005-0000-0000-00007C400000}"/>
    <cellStyle name="Normal 9 33 11" xfId="16147" xr:uid="{00000000-0005-0000-0000-00007D400000}"/>
    <cellStyle name="Normal 9 33 12" xfId="16148" xr:uid="{00000000-0005-0000-0000-00007E400000}"/>
    <cellStyle name="Normal 9 33 13" xfId="16149" xr:uid="{00000000-0005-0000-0000-00007F400000}"/>
    <cellStyle name="Normal 9 33 14" xfId="16150" xr:uid="{00000000-0005-0000-0000-000080400000}"/>
    <cellStyle name="Normal 9 33 15" xfId="16151" xr:uid="{00000000-0005-0000-0000-000081400000}"/>
    <cellStyle name="Normal 9 33 16" xfId="16152" xr:uid="{00000000-0005-0000-0000-000082400000}"/>
    <cellStyle name="Normal 9 33 17" xfId="16153" xr:uid="{00000000-0005-0000-0000-000083400000}"/>
    <cellStyle name="Normal 9 33 2" xfId="16154" xr:uid="{00000000-0005-0000-0000-000084400000}"/>
    <cellStyle name="Normal 9 33 3" xfId="16155" xr:uid="{00000000-0005-0000-0000-000085400000}"/>
    <cellStyle name="Normal 9 33 4" xfId="16156" xr:uid="{00000000-0005-0000-0000-000086400000}"/>
    <cellStyle name="Normal 9 33 5" xfId="16157" xr:uid="{00000000-0005-0000-0000-000087400000}"/>
    <cellStyle name="Normal 9 33 6" xfId="16158" xr:uid="{00000000-0005-0000-0000-000088400000}"/>
    <cellStyle name="Normal 9 33 7" xfId="16159" xr:uid="{00000000-0005-0000-0000-000089400000}"/>
    <cellStyle name="Normal 9 33 8" xfId="16160" xr:uid="{00000000-0005-0000-0000-00008A400000}"/>
    <cellStyle name="Normal 9 33 9" xfId="16161" xr:uid="{00000000-0005-0000-0000-00008B400000}"/>
    <cellStyle name="Normal 9 34" xfId="16162" xr:uid="{00000000-0005-0000-0000-00008C400000}"/>
    <cellStyle name="Normal 9 34 10" xfId="16163" xr:uid="{00000000-0005-0000-0000-00008D400000}"/>
    <cellStyle name="Normal 9 34 11" xfId="16164" xr:uid="{00000000-0005-0000-0000-00008E400000}"/>
    <cellStyle name="Normal 9 34 12" xfId="16165" xr:uid="{00000000-0005-0000-0000-00008F400000}"/>
    <cellStyle name="Normal 9 34 13" xfId="16166" xr:uid="{00000000-0005-0000-0000-000090400000}"/>
    <cellStyle name="Normal 9 34 14" xfId="16167" xr:uid="{00000000-0005-0000-0000-000091400000}"/>
    <cellStyle name="Normal 9 34 15" xfId="16168" xr:uid="{00000000-0005-0000-0000-000092400000}"/>
    <cellStyle name="Normal 9 34 16" xfId="16169" xr:uid="{00000000-0005-0000-0000-000093400000}"/>
    <cellStyle name="Normal 9 34 17" xfId="16170" xr:uid="{00000000-0005-0000-0000-000094400000}"/>
    <cellStyle name="Normal 9 34 2" xfId="16171" xr:uid="{00000000-0005-0000-0000-000095400000}"/>
    <cellStyle name="Normal 9 34 3" xfId="16172" xr:uid="{00000000-0005-0000-0000-000096400000}"/>
    <cellStyle name="Normal 9 34 4" xfId="16173" xr:uid="{00000000-0005-0000-0000-000097400000}"/>
    <cellStyle name="Normal 9 34 5" xfId="16174" xr:uid="{00000000-0005-0000-0000-000098400000}"/>
    <cellStyle name="Normal 9 34 6" xfId="16175" xr:uid="{00000000-0005-0000-0000-000099400000}"/>
    <cellStyle name="Normal 9 34 7" xfId="16176" xr:uid="{00000000-0005-0000-0000-00009A400000}"/>
    <cellStyle name="Normal 9 34 8" xfId="16177" xr:uid="{00000000-0005-0000-0000-00009B400000}"/>
    <cellStyle name="Normal 9 34 9" xfId="16178" xr:uid="{00000000-0005-0000-0000-00009C400000}"/>
    <cellStyle name="Normal 9 35" xfId="16179" xr:uid="{00000000-0005-0000-0000-00009D400000}"/>
    <cellStyle name="Normal 9 35 10" xfId="16180" xr:uid="{00000000-0005-0000-0000-00009E400000}"/>
    <cellStyle name="Normal 9 35 11" xfId="16181" xr:uid="{00000000-0005-0000-0000-00009F400000}"/>
    <cellStyle name="Normal 9 35 12" xfId="16182" xr:uid="{00000000-0005-0000-0000-0000A0400000}"/>
    <cellStyle name="Normal 9 35 13" xfId="16183" xr:uid="{00000000-0005-0000-0000-0000A1400000}"/>
    <cellStyle name="Normal 9 35 14" xfId="16184" xr:uid="{00000000-0005-0000-0000-0000A2400000}"/>
    <cellStyle name="Normal 9 35 15" xfId="16185" xr:uid="{00000000-0005-0000-0000-0000A3400000}"/>
    <cellStyle name="Normal 9 35 16" xfId="16186" xr:uid="{00000000-0005-0000-0000-0000A4400000}"/>
    <cellStyle name="Normal 9 35 17" xfId="16187" xr:uid="{00000000-0005-0000-0000-0000A5400000}"/>
    <cellStyle name="Normal 9 35 2" xfId="16188" xr:uid="{00000000-0005-0000-0000-0000A6400000}"/>
    <cellStyle name="Normal 9 35 3" xfId="16189" xr:uid="{00000000-0005-0000-0000-0000A7400000}"/>
    <cellStyle name="Normal 9 35 4" xfId="16190" xr:uid="{00000000-0005-0000-0000-0000A8400000}"/>
    <cellStyle name="Normal 9 35 5" xfId="16191" xr:uid="{00000000-0005-0000-0000-0000A9400000}"/>
    <cellStyle name="Normal 9 35 6" xfId="16192" xr:uid="{00000000-0005-0000-0000-0000AA400000}"/>
    <cellStyle name="Normal 9 35 7" xfId="16193" xr:uid="{00000000-0005-0000-0000-0000AB400000}"/>
    <cellStyle name="Normal 9 35 8" xfId="16194" xr:uid="{00000000-0005-0000-0000-0000AC400000}"/>
    <cellStyle name="Normal 9 35 9" xfId="16195" xr:uid="{00000000-0005-0000-0000-0000AD400000}"/>
    <cellStyle name="Normal 9 36" xfId="16196" xr:uid="{00000000-0005-0000-0000-0000AE400000}"/>
    <cellStyle name="Normal 9 36 10" xfId="16197" xr:uid="{00000000-0005-0000-0000-0000AF400000}"/>
    <cellStyle name="Normal 9 36 11" xfId="16198" xr:uid="{00000000-0005-0000-0000-0000B0400000}"/>
    <cellStyle name="Normal 9 36 12" xfId="16199" xr:uid="{00000000-0005-0000-0000-0000B1400000}"/>
    <cellStyle name="Normal 9 36 13" xfId="16200" xr:uid="{00000000-0005-0000-0000-0000B2400000}"/>
    <cellStyle name="Normal 9 36 14" xfId="16201" xr:uid="{00000000-0005-0000-0000-0000B3400000}"/>
    <cellStyle name="Normal 9 36 15" xfId="16202" xr:uid="{00000000-0005-0000-0000-0000B4400000}"/>
    <cellStyle name="Normal 9 36 16" xfId="16203" xr:uid="{00000000-0005-0000-0000-0000B5400000}"/>
    <cellStyle name="Normal 9 36 17" xfId="16204" xr:uid="{00000000-0005-0000-0000-0000B6400000}"/>
    <cellStyle name="Normal 9 36 2" xfId="16205" xr:uid="{00000000-0005-0000-0000-0000B7400000}"/>
    <cellStyle name="Normal 9 36 3" xfId="16206" xr:uid="{00000000-0005-0000-0000-0000B8400000}"/>
    <cellStyle name="Normal 9 36 4" xfId="16207" xr:uid="{00000000-0005-0000-0000-0000B9400000}"/>
    <cellStyle name="Normal 9 36 5" xfId="16208" xr:uid="{00000000-0005-0000-0000-0000BA400000}"/>
    <cellStyle name="Normal 9 36 6" xfId="16209" xr:uid="{00000000-0005-0000-0000-0000BB400000}"/>
    <cellStyle name="Normal 9 36 7" xfId="16210" xr:uid="{00000000-0005-0000-0000-0000BC400000}"/>
    <cellStyle name="Normal 9 36 8" xfId="16211" xr:uid="{00000000-0005-0000-0000-0000BD400000}"/>
    <cellStyle name="Normal 9 36 9" xfId="16212" xr:uid="{00000000-0005-0000-0000-0000BE400000}"/>
    <cellStyle name="Normal 9 37" xfId="16213" xr:uid="{00000000-0005-0000-0000-0000BF400000}"/>
    <cellStyle name="Normal 9 37 10" xfId="16214" xr:uid="{00000000-0005-0000-0000-0000C0400000}"/>
    <cellStyle name="Normal 9 37 11" xfId="16215" xr:uid="{00000000-0005-0000-0000-0000C1400000}"/>
    <cellStyle name="Normal 9 37 12" xfId="16216" xr:uid="{00000000-0005-0000-0000-0000C2400000}"/>
    <cellStyle name="Normal 9 37 13" xfId="16217" xr:uid="{00000000-0005-0000-0000-0000C3400000}"/>
    <cellStyle name="Normal 9 37 14" xfId="16218" xr:uid="{00000000-0005-0000-0000-0000C4400000}"/>
    <cellStyle name="Normal 9 37 15" xfId="16219" xr:uid="{00000000-0005-0000-0000-0000C5400000}"/>
    <cellStyle name="Normal 9 37 16" xfId="16220" xr:uid="{00000000-0005-0000-0000-0000C6400000}"/>
    <cellStyle name="Normal 9 37 17" xfId="16221" xr:uid="{00000000-0005-0000-0000-0000C7400000}"/>
    <cellStyle name="Normal 9 37 2" xfId="16222" xr:uid="{00000000-0005-0000-0000-0000C8400000}"/>
    <cellStyle name="Normal 9 37 3" xfId="16223" xr:uid="{00000000-0005-0000-0000-0000C9400000}"/>
    <cellStyle name="Normal 9 37 4" xfId="16224" xr:uid="{00000000-0005-0000-0000-0000CA400000}"/>
    <cellStyle name="Normal 9 37 5" xfId="16225" xr:uid="{00000000-0005-0000-0000-0000CB400000}"/>
    <cellStyle name="Normal 9 37 6" xfId="16226" xr:uid="{00000000-0005-0000-0000-0000CC400000}"/>
    <cellStyle name="Normal 9 37 7" xfId="16227" xr:uid="{00000000-0005-0000-0000-0000CD400000}"/>
    <cellStyle name="Normal 9 37 8" xfId="16228" xr:uid="{00000000-0005-0000-0000-0000CE400000}"/>
    <cellStyle name="Normal 9 37 9" xfId="16229" xr:uid="{00000000-0005-0000-0000-0000CF400000}"/>
    <cellStyle name="Normal 9 38" xfId="16230" xr:uid="{00000000-0005-0000-0000-0000D0400000}"/>
    <cellStyle name="Normal 9 38 10" xfId="16231" xr:uid="{00000000-0005-0000-0000-0000D1400000}"/>
    <cellStyle name="Normal 9 38 11" xfId="16232" xr:uid="{00000000-0005-0000-0000-0000D2400000}"/>
    <cellStyle name="Normal 9 38 12" xfId="16233" xr:uid="{00000000-0005-0000-0000-0000D3400000}"/>
    <cellStyle name="Normal 9 38 13" xfId="16234" xr:uid="{00000000-0005-0000-0000-0000D4400000}"/>
    <cellStyle name="Normal 9 38 14" xfId="16235" xr:uid="{00000000-0005-0000-0000-0000D5400000}"/>
    <cellStyle name="Normal 9 38 15" xfId="16236" xr:uid="{00000000-0005-0000-0000-0000D6400000}"/>
    <cellStyle name="Normal 9 38 16" xfId="16237" xr:uid="{00000000-0005-0000-0000-0000D7400000}"/>
    <cellStyle name="Normal 9 38 17" xfId="16238" xr:uid="{00000000-0005-0000-0000-0000D8400000}"/>
    <cellStyle name="Normal 9 38 2" xfId="16239" xr:uid="{00000000-0005-0000-0000-0000D9400000}"/>
    <cellStyle name="Normal 9 38 3" xfId="16240" xr:uid="{00000000-0005-0000-0000-0000DA400000}"/>
    <cellStyle name="Normal 9 38 4" xfId="16241" xr:uid="{00000000-0005-0000-0000-0000DB400000}"/>
    <cellStyle name="Normal 9 38 5" xfId="16242" xr:uid="{00000000-0005-0000-0000-0000DC400000}"/>
    <cellStyle name="Normal 9 38 6" xfId="16243" xr:uid="{00000000-0005-0000-0000-0000DD400000}"/>
    <cellStyle name="Normal 9 38 7" xfId="16244" xr:uid="{00000000-0005-0000-0000-0000DE400000}"/>
    <cellStyle name="Normal 9 38 8" xfId="16245" xr:uid="{00000000-0005-0000-0000-0000DF400000}"/>
    <cellStyle name="Normal 9 38 9" xfId="16246" xr:uid="{00000000-0005-0000-0000-0000E0400000}"/>
    <cellStyle name="Normal 9 39" xfId="16247" xr:uid="{00000000-0005-0000-0000-0000E1400000}"/>
    <cellStyle name="Normal 9 39 10" xfId="16248" xr:uid="{00000000-0005-0000-0000-0000E2400000}"/>
    <cellStyle name="Normal 9 39 11" xfId="16249" xr:uid="{00000000-0005-0000-0000-0000E3400000}"/>
    <cellStyle name="Normal 9 39 12" xfId="16250" xr:uid="{00000000-0005-0000-0000-0000E4400000}"/>
    <cellStyle name="Normal 9 39 13" xfId="16251" xr:uid="{00000000-0005-0000-0000-0000E5400000}"/>
    <cellStyle name="Normal 9 39 14" xfId="16252" xr:uid="{00000000-0005-0000-0000-0000E6400000}"/>
    <cellStyle name="Normal 9 39 15" xfId="16253" xr:uid="{00000000-0005-0000-0000-0000E7400000}"/>
    <cellStyle name="Normal 9 39 16" xfId="16254" xr:uid="{00000000-0005-0000-0000-0000E8400000}"/>
    <cellStyle name="Normal 9 39 17" xfId="16255" xr:uid="{00000000-0005-0000-0000-0000E9400000}"/>
    <cellStyle name="Normal 9 39 2" xfId="16256" xr:uid="{00000000-0005-0000-0000-0000EA400000}"/>
    <cellStyle name="Normal 9 39 3" xfId="16257" xr:uid="{00000000-0005-0000-0000-0000EB400000}"/>
    <cellStyle name="Normal 9 39 4" xfId="16258" xr:uid="{00000000-0005-0000-0000-0000EC400000}"/>
    <cellStyle name="Normal 9 39 5" xfId="16259" xr:uid="{00000000-0005-0000-0000-0000ED400000}"/>
    <cellStyle name="Normal 9 39 6" xfId="16260" xr:uid="{00000000-0005-0000-0000-0000EE400000}"/>
    <cellStyle name="Normal 9 39 7" xfId="16261" xr:uid="{00000000-0005-0000-0000-0000EF400000}"/>
    <cellStyle name="Normal 9 39 8" xfId="16262" xr:uid="{00000000-0005-0000-0000-0000F0400000}"/>
    <cellStyle name="Normal 9 39 9" xfId="16263" xr:uid="{00000000-0005-0000-0000-0000F1400000}"/>
    <cellStyle name="Normal 9 4" xfId="16264" xr:uid="{00000000-0005-0000-0000-0000F2400000}"/>
    <cellStyle name="Normal 9 4 10" xfId="16265" xr:uid="{00000000-0005-0000-0000-0000F3400000}"/>
    <cellStyle name="Normal 9 4 11" xfId="16266" xr:uid="{00000000-0005-0000-0000-0000F4400000}"/>
    <cellStyle name="Normal 9 4 12" xfId="16267" xr:uid="{00000000-0005-0000-0000-0000F5400000}"/>
    <cellStyle name="Normal 9 4 13" xfId="16268" xr:uid="{00000000-0005-0000-0000-0000F6400000}"/>
    <cellStyle name="Normal 9 4 14" xfId="16269" xr:uid="{00000000-0005-0000-0000-0000F7400000}"/>
    <cellStyle name="Normal 9 4 15" xfId="16270" xr:uid="{00000000-0005-0000-0000-0000F8400000}"/>
    <cellStyle name="Normal 9 4 16" xfId="16271" xr:uid="{00000000-0005-0000-0000-0000F9400000}"/>
    <cellStyle name="Normal 9 4 17" xfId="16272" xr:uid="{00000000-0005-0000-0000-0000FA400000}"/>
    <cellStyle name="Normal 9 4 2" xfId="16273" xr:uid="{00000000-0005-0000-0000-0000FB400000}"/>
    <cellStyle name="Normal 9 4 3" xfId="16274" xr:uid="{00000000-0005-0000-0000-0000FC400000}"/>
    <cellStyle name="Normal 9 4 4" xfId="16275" xr:uid="{00000000-0005-0000-0000-0000FD400000}"/>
    <cellStyle name="Normal 9 4 5" xfId="16276" xr:uid="{00000000-0005-0000-0000-0000FE400000}"/>
    <cellStyle name="Normal 9 4 6" xfId="16277" xr:uid="{00000000-0005-0000-0000-0000FF400000}"/>
    <cellStyle name="Normal 9 4 7" xfId="16278" xr:uid="{00000000-0005-0000-0000-000000410000}"/>
    <cellStyle name="Normal 9 4 8" xfId="16279" xr:uid="{00000000-0005-0000-0000-000001410000}"/>
    <cellStyle name="Normal 9 4 9" xfId="16280" xr:uid="{00000000-0005-0000-0000-000002410000}"/>
    <cellStyle name="Normal 9 40" xfId="16281" xr:uid="{00000000-0005-0000-0000-000003410000}"/>
    <cellStyle name="Normal 9 40 10" xfId="16282" xr:uid="{00000000-0005-0000-0000-000004410000}"/>
    <cellStyle name="Normal 9 40 11" xfId="16283" xr:uid="{00000000-0005-0000-0000-000005410000}"/>
    <cellStyle name="Normal 9 40 12" xfId="16284" xr:uid="{00000000-0005-0000-0000-000006410000}"/>
    <cellStyle name="Normal 9 40 13" xfId="16285" xr:uid="{00000000-0005-0000-0000-000007410000}"/>
    <cellStyle name="Normal 9 40 14" xfId="16286" xr:uid="{00000000-0005-0000-0000-000008410000}"/>
    <cellStyle name="Normal 9 40 15" xfId="16287" xr:uid="{00000000-0005-0000-0000-000009410000}"/>
    <cellStyle name="Normal 9 40 16" xfId="16288" xr:uid="{00000000-0005-0000-0000-00000A410000}"/>
    <cellStyle name="Normal 9 40 17" xfId="16289" xr:uid="{00000000-0005-0000-0000-00000B410000}"/>
    <cellStyle name="Normal 9 40 2" xfId="16290" xr:uid="{00000000-0005-0000-0000-00000C410000}"/>
    <cellStyle name="Normal 9 40 3" xfId="16291" xr:uid="{00000000-0005-0000-0000-00000D410000}"/>
    <cellStyle name="Normal 9 40 4" xfId="16292" xr:uid="{00000000-0005-0000-0000-00000E410000}"/>
    <cellStyle name="Normal 9 40 5" xfId="16293" xr:uid="{00000000-0005-0000-0000-00000F410000}"/>
    <cellStyle name="Normal 9 40 6" xfId="16294" xr:uid="{00000000-0005-0000-0000-000010410000}"/>
    <cellStyle name="Normal 9 40 7" xfId="16295" xr:uid="{00000000-0005-0000-0000-000011410000}"/>
    <cellStyle name="Normal 9 40 8" xfId="16296" xr:uid="{00000000-0005-0000-0000-000012410000}"/>
    <cellStyle name="Normal 9 40 9" xfId="16297" xr:uid="{00000000-0005-0000-0000-000013410000}"/>
    <cellStyle name="Normal 9 41" xfId="16298" xr:uid="{00000000-0005-0000-0000-000014410000}"/>
    <cellStyle name="Normal 9 41 10" xfId="16299" xr:uid="{00000000-0005-0000-0000-000015410000}"/>
    <cellStyle name="Normal 9 41 11" xfId="16300" xr:uid="{00000000-0005-0000-0000-000016410000}"/>
    <cellStyle name="Normal 9 41 12" xfId="16301" xr:uid="{00000000-0005-0000-0000-000017410000}"/>
    <cellStyle name="Normal 9 41 13" xfId="16302" xr:uid="{00000000-0005-0000-0000-000018410000}"/>
    <cellStyle name="Normal 9 41 14" xfId="16303" xr:uid="{00000000-0005-0000-0000-000019410000}"/>
    <cellStyle name="Normal 9 41 15" xfId="16304" xr:uid="{00000000-0005-0000-0000-00001A410000}"/>
    <cellStyle name="Normal 9 41 16" xfId="16305" xr:uid="{00000000-0005-0000-0000-00001B410000}"/>
    <cellStyle name="Normal 9 41 17" xfId="16306" xr:uid="{00000000-0005-0000-0000-00001C410000}"/>
    <cellStyle name="Normal 9 41 2" xfId="16307" xr:uid="{00000000-0005-0000-0000-00001D410000}"/>
    <cellStyle name="Normal 9 41 3" xfId="16308" xr:uid="{00000000-0005-0000-0000-00001E410000}"/>
    <cellStyle name="Normal 9 41 4" xfId="16309" xr:uid="{00000000-0005-0000-0000-00001F410000}"/>
    <cellStyle name="Normal 9 41 5" xfId="16310" xr:uid="{00000000-0005-0000-0000-000020410000}"/>
    <cellStyle name="Normal 9 41 6" xfId="16311" xr:uid="{00000000-0005-0000-0000-000021410000}"/>
    <cellStyle name="Normal 9 41 7" xfId="16312" xr:uid="{00000000-0005-0000-0000-000022410000}"/>
    <cellStyle name="Normal 9 41 8" xfId="16313" xr:uid="{00000000-0005-0000-0000-000023410000}"/>
    <cellStyle name="Normal 9 41 9" xfId="16314" xr:uid="{00000000-0005-0000-0000-000024410000}"/>
    <cellStyle name="Normal 9 42" xfId="16315" xr:uid="{00000000-0005-0000-0000-000025410000}"/>
    <cellStyle name="Normal 9 42 10" xfId="16316" xr:uid="{00000000-0005-0000-0000-000026410000}"/>
    <cellStyle name="Normal 9 42 11" xfId="16317" xr:uid="{00000000-0005-0000-0000-000027410000}"/>
    <cellStyle name="Normal 9 42 12" xfId="16318" xr:uid="{00000000-0005-0000-0000-000028410000}"/>
    <cellStyle name="Normal 9 42 13" xfId="16319" xr:uid="{00000000-0005-0000-0000-000029410000}"/>
    <cellStyle name="Normal 9 42 14" xfId="16320" xr:uid="{00000000-0005-0000-0000-00002A410000}"/>
    <cellStyle name="Normal 9 42 15" xfId="16321" xr:uid="{00000000-0005-0000-0000-00002B410000}"/>
    <cellStyle name="Normal 9 42 16" xfId="16322" xr:uid="{00000000-0005-0000-0000-00002C410000}"/>
    <cellStyle name="Normal 9 42 17" xfId="16323" xr:uid="{00000000-0005-0000-0000-00002D410000}"/>
    <cellStyle name="Normal 9 42 2" xfId="16324" xr:uid="{00000000-0005-0000-0000-00002E410000}"/>
    <cellStyle name="Normal 9 42 3" xfId="16325" xr:uid="{00000000-0005-0000-0000-00002F410000}"/>
    <cellStyle name="Normal 9 42 4" xfId="16326" xr:uid="{00000000-0005-0000-0000-000030410000}"/>
    <cellStyle name="Normal 9 42 5" xfId="16327" xr:uid="{00000000-0005-0000-0000-000031410000}"/>
    <cellStyle name="Normal 9 42 6" xfId="16328" xr:uid="{00000000-0005-0000-0000-000032410000}"/>
    <cellStyle name="Normal 9 42 7" xfId="16329" xr:uid="{00000000-0005-0000-0000-000033410000}"/>
    <cellStyle name="Normal 9 42 8" xfId="16330" xr:uid="{00000000-0005-0000-0000-000034410000}"/>
    <cellStyle name="Normal 9 42 9" xfId="16331" xr:uid="{00000000-0005-0000-0000-000035410000}"/>
    <cellStyle name="Normal 9 43" xfId="16332" xr:uid="{00000000-0005-0000-0000-000036410000}"/>
    <cellStyle name="Normal 9 43 10" xfId="16333" xr:uid="{00000000-0005-0000-0000-000037410000}"/>
    <cellStyle name="Normal 9 43 11" xfId="16334" xr:uid="{00000000-0005-0000-0000-000038410000}"/>
    <cellStyle name="Normal 9 43 12" xfId="16335" xr:uid="{00000000-0005-0000-0000-000039410000}"/>
    <cellStyle name="Normal 9 43 13" xfId="16336" xr:uid="{00000000-0005-0000-0000-00003A410000}"/>
    <cellStyle name="Normal 9 43 14" xfId="16337" xr:uid="{00000000-0005-0000-0000-00003B410000}"/>
    <cellStyle name="Normal 9 43 15" xfId="16338" xr:uid="{00000000-0005-0000-0000-00003C410000}"/>
    <cellStyle name="Normal 9 43 16" xfId="16339" xr:uid="{00000000-0005-0000-0000-00003D410000}"/>
    <cellStyle name="Normal 9 43 17" xfId="16340" xr:uid="{00000000-0005-0000-0000-00003E410000}"/>
    <cellStyle name="Normal 9 43 2" xfId="16341" xr:uid="{00000000-0005-0000-0000-00003F410000}"/>
    <cellStyle name="Normal 9 43 3" xfId="16342" xr:uid="{00000000-0005-0000-0000-000040410000}"/>
    <cellStyle name="Normal 9 43 4" xfId="16343" xr:uid="{00000000-0005-0000-0000-000041410000}"/>
    <cellStyle name="Normal 9 43 5" xfId="16344" xr:uid="{00000000-0005-0000-0000-000042410000}"/>
    <cellStyle name="Normal 9 43 6" xfId="16345" xr:uid="{00000000-0005-0000-0000-000043410000}"/>
    <cellStyle name="Normal 9 43 7" xfId="16346" xr:uid="{00000000-0005-0000-0000-000044410000}"/>
    <cellStyle name="Normal 9 43 8" xfId="16347" xr:uid="{00000000-0005-0000-0000-000045410000}"/>
    <cellStyle name="Normal 9 43 9" xfId="16348" xr:uid="{00000000-0005-0000-0000-000046410000}"/>
    <cellStyle name="Normal 9 44" xfId="16349" xr:uid="{00000000-0005-0000-0000-000047410000}"/>
    <cellStyle name="Normal 9 44 10" xfId="16350" xr:uid="{00000000-0005-0000-0000-000048410000}"/>
    <cellStyle name="Normal 9 44 11" xfId="16351" xr:uid="{00000000-0005-0000-0000-000049410000}"/>
    <cellStyle name="Normal 9 44 12" xfId="16352" xr:uid="{00000000-0005-0000-0000-00004A410000}"/>
    <cellStyle name="Normal 9 44 13" xfId="16353" xr:uid="{00000000-0005-0000-0000-00004B410000}"/>
    <cellStyle name="Normal 9 44 14" xfId="16354" xr:uid="{00000000-0005-0000-0000-00004C410000}"/>
    <cellStyle name="Normal 9 44 15" xfId="16355" xr:uid="{00000000-0005-0000-0000-00004D410000}"/>
    <cellStyle name="Normal 9 44 16" xfId="16356" xr:uid="{00000000-0005-0000-0000-00004E410000}"/>
    <cellStyle name="Normal 9 44 17" xfId="16357" xr:uid="{00000000-0005-0000-0000-00004F410000}"/>
    <cellStyle name="Normal 9 44 2" xfId="16358" xr:uid="{00000000-0005-0000-0000-000050410000}"/>
    <cellStyle name="Normal 9 44 3" xfId="16359" xr:uid="{00000000-0005-0000-0000-000051410000}"/>
    <cellStyle name="Normal 9 44 4" xfId="16360" xr:uid="{00000000-0005-0000-0000-000052410000}"/>
    <cellStyle name="Normal 9 44 5" xfId="16361" xr:uid="{00000000-0005-0000-0000-000053410000}"/>
    <cellStyle name="Normal 9 44 6" xfId="16362" xr:uid="{00000000-0005-0000-0000-000054410000}"/>
    <cellStyle name="Normal 9 44 7" xfId="16363" xr:uid="{00000000-0005-0000-0000-000055410000}"/>
    <cellStyle name="Normal 9 44 8" xfId="16364" xr:uid="{00000000-0005-0000-0000-000056410000}"/>
    <cellStyle name="Normal 9 44 9" xfId="16365" xr:uid="{00000000-0005-0000-0000-000057410000}"/>
    <cellStyle name="Normal 9 45" xfId="16366" xr:uid="{00000000-0005-0000-0000-000058410000}"/>
    <cellStyle name="Normal 9 45 10" xfId="16367" xr:uid="{00000000-0005-0000-0000-000059410000}"/>
    <cellStyle name="Normal 9 45 11" xfId="16368" xr:uid="{00000000-0005-0000-0000-00005A410000}"/>
    <cellStyle name="Normal 9 45 12" xfId="16369" xr:uid="{00000000-0005-0000-0000-00005B410000}"/>
    <cellStyle name="Normal 9 45 13" xfId="16370" xr:uid="{00000000-0005-0000-0000-00005C410000}"/>
    <cellStyle name="Normal 9 45 14" xfId="16371" xr:uid="{00000000-0005-0000-0000-00005D410000}"/>
    <cellStyle name="Normal 9 45 15" xfId="16372" xr:uid="{00000000-0005-0000-0000-00005E410000}"/>
    <cellStyle name="Normal 9 45 16" xfId="16373" xr:uid="{00000000-0005-0000-0000-00005F410000}"/>
    <cellStyle name="Normal 9 45 17" xfId="16374" xr:uid="{00000000-0005-0000-0000-000060410000}"/>
    <cellStyle name="Normal 9 45 2" xfId="16375" xr:uid="{00000000-0005-0000-0000-000061410000}"/>
    <cellStyle name="Normal 9 45 3" xfId="16376" xr:uid="{00000000-0005-0000-0000-000062410000}"/>
    <cellStyle name="Normal 9 45 4" xfId="16377" xr:uid="{00000000-0005-0000-0000-000063410000}"/>
    <cellStyle name="Normal 9 45 5" xfId="16378" xr:uid="{00000000-0005-0000-0000-000064410000}"/>
    <cellStyle name="Normal 9 45 6" xfId="16379" xr:uid="{00000000-0005-0000-0000-000065410000}"/>
    <cellStyle name="Normal 9 45 7" xfId="16380" xr:uid="{00000000-0005-0000-0000-000066410000}"/>
    <cellStyle name="Normal 9 45 8" xfId="16381" xr:uid="{00000000-0005-0000-0000-000067410000}"/>
    <cellStyle name="Normal 9 45 9" xfId="16382" xr:uid="{00000000-0005-0000-0000-000068410000}"/>
    <cellStyle name="Normal 9 46" xfId="16383" xr:uid="{00000000-0005-0000-0000-000069410000}"/>
    <cellStyle name="Normal 9 46 10" xfId="16384" xr:uid="{00000000-0005-0000-0000-00006A410000}"/>
    <cellStyle name="Normal 9 46 11" xfId="16385" xr:uid="{00000000-0005-0000-0000-00006B410000}"/>
    <cellStyle name="Normal 9 46 12" xfId="16386" xr:uid="{00000000-0005-0000-0000-00006C410000}"/>
    <cellStyle name="Normal 9 46 13" xfId="16387" xr:uid="{00000000-0005-0000-0000-00006D410000}"/>
    <cellStyle name="Normal 9 46 14" xfId="16388" xr:uid="{00000000-0005-0000-0000-00006E410000}"/>
    <cellStyle name="Normal 9 46 15" xfId="16389" xr:uid="{00000000-0005-0000-0000-00006F410000}"/>
    <cellStyle name="Normal 9 46 16" xfId="16390" xr:uid="{00000000-0005-0000-0000-000070410000}"/>
    <cellStyle name="Normal 9 46 17" xfId="16391" xr:uid="{00000000-0005-0000-0000-000071410000}"/>
    <cellStyle name="Normal 9 46 2" xfId="16392" xr:uid="{00000000-0005-0000-0000-000072410000}"/>
    <cellStyle name="Normal 9 46 3" xfId="16393" xr:uid="{00000000-0005-0000-0000-000073410000}"/>
    <cellStyle name="Normal 9 46 4" xfId="16394" xr:uid="{00000000-0005-0000-0000-000074410000}"/>
    <cellStyle name="Normal 9 46 5" xfId="16395" xr:uid="{00000000-0005-0000-0000-000075410000}"/>
    <cellStyle name="Normal 9 46 6" xfId="16396" xr:uid="{00000000-0005-0000-0000-000076410000}"/>
    <cellStyle name="Normal 9 46 7" xfId="16397" xr:uid="{00000000-0005-0000-0000-000077410000}"/>
    <cellStyle name="Normal 9 46 8" xfId="16398" xr:uid="{00000000-0005-0000-0000-000078410000}"/>
    <cellStyle name="Normal 9 46 9" xfId="16399" xr:uid="{00000000-0005-0000-0000-000079410000}"/>
    <cellStyle name="Normal 9 47" xfId="16400" xr:uid="{00000000-0005-0000-0000-00007A410000}"/>
    <cellStyle name="Normal 9 47 10" xfId="16401" xr:uid="{00000000-0005-0000-0000-00007B410000}"/>
    <cellStyle name="Normal 9 47 11" xfId="16402" xr:uid="{00000000-0005-0000-0000-00007C410000}"/>
    <cellStyle name="Normal 9 47 12" xfId="16403" xr:uid="{00000000-0005-0000-0000-00007D410000}"/>
    <cellStyle name="Normal 9 47 13" xfId="16404" xr:uid="{00000000-0005-0000-0000-00007E410000}"/>
    <cellStyle name="Normal 9 47 14" xfId="16405" xr:uid="{00000000-0005-0000-0000-00007F410000}"/>
    <cellStyle name="Normal 9 47 15" xfId="16406" xr:uid="{00000000-0005-0000-0000-000080410000}"/>
    <cellStyle name="Normal 9 47 16" xfId="16407" xr:uid="{00000000-0005-0000-0000-000081410000}"/>
    <cellStyle name="Normal 9 47 17" xfId="16408" xr:uid="{00000000-0005-0000-0000-000082410000}"/>
    <cellStyle name="Normal 9 47 2" xfId="16409" xr:uid="{00000000-0005-0000-0000-000083410000}"/>
    <cellStyle name="Normal 9 47 3" xfId="16410" xr:uid="{00000000-0005-0000-0000-000084410000}"/>
    <cellStyle name="Normal 9 47 4" xfId="16411" xr:uid="{00000000-0005-0000-0000-000085410000}"/>
    <cellStyle name="Normal 9 47 5" xfId="16412" xr:uid="{00000000-0005-0000-0000-000086410000}"/>
    <cellStyle name="Normal 9 47 6" xfId="16413" xr:uid="{00000000-0005-0000-0000-000087410000}"/>
    <cellStyle name="Normal 9 47 7" xfId="16414" xr:uid="{00000000-0005-0000-0000-000088410000}"/>
    <cellStyle name="Normal 9 47 8" xfId="16415" xr:uid="{00000000-0005-0000-0000-000089410000}"/>
    <cellStyle name="Normal 9 47 9" xfId="16416" xr:uid="{00000000-0005-0000-0000-00008A410000}"/>
    <cellStyle name="Normal 9 48" xfId="16417" xr:uid="{00000000-0005-0000-0000-00008B410000}"/>
    <cellStyle name="Normal 9 48 10" xfId="16418" xr:uid="{00000000-0005-0000-0000-00008C410000}"/>
    <cellStyle name="Normal 9 48 11" xfId="16419" xr:uid="{00000000-0005-0000-0000-00008D410000}"/>
    <cellStyle name="Normal 9 48 12" xfId="16420" xr:uid="{00000000-0005-0000-0000-00008E410000}"/>
    <cellStyle name="Normal 9 48 13" xfId="16421" xr:uid="{00000000-0005-0000-0000-00008F410000}"/>
    <cellStyle name="Normal 9 48 14" xfId="16422" xr:uid="{00000000-0005-0000-0000-000090410000}"/>
    <cellStyle name="Normal 9 48 15" xfId="16423" xr:uid="{00000000-0005-0000-0000-000091410000}"/>
    <cellStyle name="Normal 9 48 16" xfId="16424" xr:uid="{00000000-0005-0000-0000-000092410000}"/>
    <cellStyle name="Normal 9 48 17" xfId="16425" xr:uid="{00000000-0005-0000-0000-000093410000}"/>
    <cellStyle name="Normal 9 48 2" xfId="16426" xr:uid="{00000000-0005-0000-0000-000094410000}"/>
    <cellStyle name="Normal 9 48 3" xfId="16427" xr:uid="{00000000-0005-0000-0000-000095410000}"/>
    <cellStyle name="Normal 9 48 4" xfId="16428" xr:uid="{00000000-0005-0000-0000-000096410000}"/>
    <cellStyle name="Normal 9 48 5" xfId="16429" xr:uid="{00000000-0005-0000-0000-000097410000}"/>
    <cellStyle name="Normal 9 48 6" xfId="16430" xr:uid="{00000000-0005-0000-0000-000098410000}"/>
    <cellStyle name="Normal 9 48 7" xfId="16431" xr:uid="{00000000-0005-0000-0000-000099410000}"/>
    <cellStyle name="Normal 9 48 8" xfId="16432" xr:uid="{00000000-0005-0000-0000-00009A410000}"/>
    <cellStyle name="Normal 9 48 9" xfId="16433" xr:uid="{00000000-0005-0000-0000-00009B410000}"/>
    <cellStyle name="Normal 9 49" xfId="16434" xr:uid="{00000000-0005-0000-0000-00009C410000}"/>
    <cellStyle name="Normal 9 49 10" xfId="16435" xr:uid="{00000000-0005-0000-0000-00009D410000}"/>
    <cellStyle name="Normal 9 49 11" xfId="16436" xr:uid="{00000000-0005-0000-0000-00009E410000}"/>
    <cellStyle name="Normal 9 49 12" xfId="16437" xr:uid="{00000000-0005-0000-0000-00009F410000}"/>
    <cellStyle name="Normal 9 49 13" xfId="16438" xr:uid="{00000000-0005-0000-0000-0000A0410000}"/>
    <cellStyle name="Normal 9 49 14" xfId="16439" xr:uid="{00000000-0005-0000-0000-0000A1410000}"/>
    <cellStyle name="Normal 9 49 15" xfId="16440" xr:uid="{00000000-0005-0000-0000-0000A2410000}"/>
    <cellStyle name="Normal 9 49 16" xfId="16441" xr:uid="{00000000-0005-0000-0000-0000A3410000}"/>
    <cellStyle name="Normal 9 49 17" xfId="16442" xr:uid="{00000000-0005-0000-0000-0000A4410000}"/>
    <cellStyle name="Normal 9 49 2" xfId="16443" xr:uid="{00000000-0005-0000-0000-0000A5410000}"/>
    <cellStyle name="Normal 9 49 3" xfId="16444" xr:uid="{00000000-0005-0000-0000-0000A6410000}"/>
    <cellStyle name="Normal 9 49 4" xfId="16445" xr:uid="{00000000-0005-0000-0000-0000A7410000}"/>
    <cellStyle name="Normal 9 49 5" xfId="16446" xr:uid="{00000000-0005-0000-0000-0000A8410000}"/>
    <cellStyle name="Normal 9 49 6" xfId="16447" xr:uid="{00000000-0005-0000-0000-0000A9410000}"/>
    <cellStyle name="Normal 9 49 7" xfId="16448" xr:uid="{00000000-0005-0000-0000-0000AA410000}"/>
    <cellStyle name="Normal 9 49 8" xfId="16449" xr:uid="{00000000-0005-0000-0000-0000AB410000}"/>
    <cellStyle name="Normal 9 49 9" xfId="16450" xr:uid="{00000000-0005-0000-0000-0000AC410000}"/>
    <cellStyle name="Normal 9 5" xfId="16451" xr:uid="{00000000-0005-0000-0000-0000AD410000}"/>
    <cellStyle name="Normal 9 5 10" xfId="16452" xr:uid="{00000000-0005-0000-0000-0000AE410000}"/>
    <cellStyle name="Normal 9 5 11" xfId="16453" xr:uid="{00000000-0005-0000-0000-0000AF410000}"/>
    <cellStyle name="Normal 9 5 12" xfId="16454" xr:uid="{00000000-0005-0000-0000-0000B0410000}"/>
    <cellStyle name="Normal 9 5 13" xfId="16455" xr:uid="{00000000-0005-0000-0000-0000B1410000}"/>
    <cellStyle name="Normal 9 5 14" xfId="16456" xr:uid="{00000000-0005-0000-0000-0000B2410000}"/>
    <cellStyle name="Normal 9 5 15" xfId="16457" xr:uid="{00000000-0005-0000-0000-0000B3410000}"/>
    <cellStyle name="Normal 9 5 16" xfId="16458" xr:uid="{00000000-0005-0000-0000-0000B4410000}"/>
    <cellStyle name="Normal 9 5 17" xfId="16459" xr:uid="{00000000-0005-0000-0000-0000B5410000}"/>
    <cellStyle name="Normal 9 5 2" xfId="16460" xr:uid="{00000000-0005-0000-0000-0000B6410000}"/>
    <cellStyle name="Normal 9 5 3" xfId="16461" xr:uid="{00000000-0005-0000-0000-0000B7410000}"/>
    <cellStyle name="Normal 9 5 4" xfId="16462" xr:uid="{00000000-0005-0000-0000-0000B8410000}"/>
    <cellStyle name="Normal 9 5 5" xfId="16463" xr:uid="{00000000-0005-0000-0000-0000B9410000}"/>
    <cellStyle name="Normal 9 5 6" xfId="16464" xr:uid="{00000000-0005-0000-0000-0000BA410000}"/>
    <cellStyle name="Normal 9 5 7" xfId="16465" xr:uid="{00000000-0005-0000-0000-0000BB410000}"/>
    <cellStyle name="Normal 9 5 8" xfId="16466" xr:uid="{00000000-0005-0000-0000-0000BC410000}"/>
    <cellStyle name="Normal 9 5 9" xfId="16467" xr:uid="{00000000-0005-0000-0000-0000BD410000}"/>
    <cellStyle name="Normal 9 50" xfId="16468" xr:uid="{00000000-0005-0000-0000-0000BE410000}"/>
    <cellStyle name="Normal 9 50 10" xfId="16469" xr:uid="{00000000-0005-0000-0000-0000BF410000}"/>
    <cellStyle name="Normal 9 50 11" xfId="16470" xr:uid="{00000000-0005-0000-0000-0000C0410000}"/>
    <cellStyle name="Normal 9 50 12" xfId="16471" xr:uid="{00000000-0005-0000-0000-0000C1410000}"/>
    <cellStyle name="Normal 9 50 13" xfId="16472" xr:uid="{00000000-0005-0000-0000-0000C2410000}"/>
    <cellStyle name="Normal 9 50 14" xfId="16473" xr:uid="{00000000-0005-0000-0000-0000C3410000}"/>
    <cellStyle name="Normal 9 50 15" xfId="16474" xr:uid="{00000000-0005-0000-0000-0000C4410000}"/>
    <cellStyle name="Normal 9 50 16" xfId="16475" xr:uid="{00000000-0005-0000-0000-0000C5410000}"/>
    <cellStyle name="Normal 9 50 17" xfId="16476" xr:uid="{00000000-0005-0000-0000-0000C6410000}"/>
    <cellStyle name="Normal 9 50 2" xfId="16477" xr:uid="{00000000-0005-0000-0000-0000C7410000}"/>
    <cellStyle name="Normal 9 50 3" xfId="16478" xr:uid="{00000000-0005-0000-0000-0000C8410000}"/>
    <cellStyle name="Normal 9 50 4" xfId="16479" xr:uid="{00000000-0005-0000-0000-0000C9410000}"/>
    <cellStyle name="Normal 9 50 5" xfId="16480" xr:uid="{00000000-0005-0000-0000-0000CA410000}"/>
    <cellStyle name="Normal 9 50 6" xfId="16481" xr:uid="{00000000-0005-0000-0000-0000CB410000}"/>
    <cellStyle name="Normal 9 50 7" xfId="16482" xr:uid="{00000000-0005-0000-0000-0000CC410000}"/>
    <cellStyle name="Normal 9 50 8" xfId="16483" xr:uid="{00000000-0005-0000-0000-0000CD410000}"/>
    <cellStyle name="Normal 9 50 9" xfId="16484" xr:uid="{00000000-0005-0000-0000-0000CE410000}"/>
    <cellStyle name="Normal 9 51" xfId="16485" xr:uid="{00000000-0005-0000-0000-0000CF410000}"/>
    <cellStyle name="Normal 9 52" xfId="16486" xr:uid="{00000000-0005-0000-0000-0000D0410000}"/>
    <cellStyle name="Normal 9 53" xfId="16487" xr:uid="{00000000-0005-0000-0000-0000D1410000}"/>
    <cellStyle name="Normal 9 54" xfId="16488" xr:uid="{00000000-0005-0000-0000-0000D2410000}"/>
    <cellStyle name="Normal 9 55" xfId="16489" xr:uid="{00000000-0005-0000-0000-0000D3410000}"/>
    <cellStyle name="Normal 9 56" xfId="16490" xr:uid="{00000000-0005-0000-0000-0000D4410000}"/>
    <cellStyle name="Normal 9 57" xfId="16491" xr:uid="{00000000-0005-0000-0000-0000D5410000}"/>
    <cellStyle name="Normal 9 58" xfId="16492" xr:uid="{00000000-0005-0000-0000-0000D6410000}"/>
    <cellStyle name="Normal 9 59" xfId="16493" xr:uid="{00000000-0005-0000-0000-0000D7410000}"/>
    <cellStyle name="Normal 9 6" xfId="16494" xr:uid="{00000000-0005-0000-0000-0000D8410000}"/>
    <cellStyle name="Normal 9 6 10" xfId="16495" xr:uid="{00000000-0005-0000-0000-0000D9410000}"/>
    <cellStyle name="Normal 9 6 11" xfId="16496" xr:uid="{00000000-0005-0000-0000-0000DA410000}"/>
    <cellStyle name="Normal 9 6 12" xfId="16497" xr:uid="{00000000-0005-0000-0000-0000DB410000}"/>
    <cellStyle name="Normal 9 6 13" xfId="16498" xr:uid="{00000000-0005-0000-0000-0000DC410000}"/>
    <cellStyle name="Normal 9 6 14" xfId="16499" xr:uid="{00000000-0005-0000-0000-0000DD410000}"/>
    <cellStyle name="Normal 9 6 15" xfId="16500" xr:uid="{00000000-0005-0000-0000-0000DE410000}"/>
    <cellStyle name="Normal 9 6 16" xfId="16501" xr:uid="{00000000-0005-0000-0000-0000DF410000}"/>
    <cellStyle name="Normal 9 6 17" xfId="16502" xr:uid="{00000000-0005-0000-0000-0000E0410000}"/>
    <cellStyle name="Normal 9 6 2" xfId="16503" xr:uid="{00000000-0005-0000-0000-0000E1410000}"/>
    <cellStyle name="Normal 9 6 3" xfId="16504" xr:uid="{00000000-0005-0000-0000-0000E2410000}"/>
    <cellStyle name="Normal 9 6 4" xfId="16505" xr:uid="{00000000-0005-0000-0000-0000E3410000}"/>
    <cellStyle name="Normal 9 6 5" xfId="16506" xr:uid="{00000000-0005-0000-0000-0000E4410000}"/>
    <cellStyle name="Normal 9 6 6" xfId="16507" xr:uid="{00000000-0005-0000-0000-0000E5410000}"/>
    <cellStyle name="Normal 9 6 7" xfId="16508" xr:uid="{00000000-0005-0000-0000-0000E6410000}"/>
    <cellStyle name="Normal 9 6 8" xfId="16509" xr:uid="{00000000-0005-0000-0000-0000E7410000}"/>
    <cellStyle name="Normal 9 6 9" xfId="16510" xr:uid="{00000000-0005-0000-0000-0000E8410000}"/>
    <cellStyle name="Normal 9 60" xfId="16511" xr:uid="{00000000-0005-0000-0000-0000E9410000}"/>
    <cellStyle name="Normal 9 61" xfId="16512" xr:uid="{00000000-0005-0000-0000-0000EA410000}"/>
    <cellStyle name="Normal 9 62" xfId="16513" xr:uid="{00000000-0005-0000-0000-0000EB410000}"/>
    <cellStyle name="Normal 9 63" xfId="16514" xr:uid="{00000000-0005-0000-0000-0000EC410000}"/>
    <cellStyle name="Normal 9 64" xfId="16515" xr:uid="{00000000-0005-0000-0000-0000ED410000}"/>
    <cellStyle name="Normal 9 65" xfId="16516" xr:uid="{00000000-0005-0000-0000-0000EE410000}"/>
    <cellStyle name="Normal 9 66" xfId="16517" xr:uid="{00000000-0005-0000-0000-0000EF410000}"/>
    <cellStyle name="Normal 9 67" xfId="16518" xr:uid="{00000000-0005-0000-0000-0000F0410000}"/>
    <cellStyle name="Normal 9 68" xfId="16519" xr:uid="{00000000-0005-0000-0000-0000F1410000}"/>
    <cellStyle name="Normal 9 69" xfId="16520" xr:uid="{00000000-0005-0000-0000-0000F2410000}"/>
    <cellStyle name="Normal 9 7" xfId="16521" xr:uid="{00000000-0005-0000-0000-0000F3410000}"/>
    <cellStyle name="Normal 9 7 10" xfId="16522" xr:uid="{00000000-0005-0000-0000-0000F4410000}"/>
    <cellStyle name="Normal 9 7 11" xfId="16523" xr:uid="{00000000-0005-0000-0000-0000F5410000}"/>
    <cellStyle name="Normal 9 7 12" xfId="16524" xr:uid="{00000000-0005-0000-0000-0000F6410000}"/>
    <cellStyle name="Normal 9 7 13" xfId="16525" xr:uid="{00000000-0005-0000-0000-0000F7410000}"/>
    <cellStyle name="Normal 9 7 14" xfId="16526" xr:uid="{00000000-0005-0000-0000-0000F8410000}"/>
    <cellStyle name="Normal 9 7 15" xfId="16527" xr:uid="{00000000-0005-0000-0000-0000F9410000}"/>
    <cellStyle name="Normal 9 7 16" xfId="16528" xr:uid="{00000000-0005-0000-0000-0000FA410000}"/>
    <cellStyle name="Normal 9 7 17" xfId="16529" xr:uid="{00000000-0005-0000-0000-0000FB410000}"/>
    <cellStyle name="Normal 9 7 2" xfId="16530" xr:uid="{00000000-0005-0000-0000-0000FC410000}"/>
    <cellStyle name="Normal 9 7 3" xfId="16531" xr:uid="{00000000-0005-0000-0000-0000FD410000}"/>
    <cellStyle name="Normal 9 7 4" xfId="16532" xr:uid="{00000000-0005-0000-0000-0000FE410000}"/>
    <cellStyle name="Normal 9 7 5" xfId="16533" xr:uid="{00000000-0005-0000-0000-0000FF410000}"/>
    <cellStyle name="Normal 9 7 6" xfId="16534" xr:uid="{00000000-0005-0000-0000-000000420000}"/>
    <cellStyle name="Normal 9 7 7" xfId="16535" xr:uid="{00000000-0005-0000-0000-000001420000}"/>
    <cellStyle name="Normal 9 7 8" xfId="16536" xr:uid="{00000000-0005-0000-0000-000002420000}"/>
    <cellStyle name="Normal 9 7 9" xfId="16537" xr:uid="{00000000-0005-0000-0000-000003420000}"/>
    <cellStyle name="Normal 9 70" xfId="16538" xr:uid="{00000000-0005-0000-0000-000004420000}"/>
    <cellStyle name="Normal 9 71" xfId="16539" xr:uid="{00000000-0005-0000-0000-000005420000}"/>
    <cellStyle name="Normal 9 72" xfId="16540" xr:uid="{00000000-0005-0000-0000-000006420000}"/>
    <cellStyle name="Normal 9 73" xfId="16541" xr:uid="{00000000-0005-0000-0000-000007420000}"/>
    <cellStyle name="Normal 9 74" xfId="16542" xr:uid="{00000000-0005-0000-0000-000008420000}"/>
    <cellStyle name="Normal 9 75" xfId="16543" xr:uid="{00000000-0005-0000-0000-000009420000}"/>
    <cellStyle name="Normal 9 76" xfId="16544" xr:uid="{00000000-0005-0000-0000-00000A420000}"/>
    <cellStyle name="Normal 9 77" xfId="16545" xr:uid="{00000000-0005-0000-0000-00000B420000}"/>
    <cellStyle name="Normal 9 78" xfId="16546" xr:uid="{00000000-0005-0000-0000-00000C420000}"/>
    <cellStyle name="Normal 9 79" xfId="16547" xr:uid="{00000000-0005-0000-0000-00000D420000}"/>
    <cellStyle name="Normal 9 8" xfId="16548" xr:uid="{00000000-0005-0000-0000-00000E420000}"/>
    <cellStyle name="Normal 9 8 10" xfId="16549" xr:uid="{00000000-0005-0000-0000-00000F420000}"/>
    <cellStyle name="Normal 9 8 11" xfId="16550" xr:uid="{00000000-0005-0000-0000-000010420000}"/>
    <cellStyle name="Normal 9 8 12" xfId="16551" xr:uid="{00000000-0005-0000-0000-000011420000}"/>
    <cellStyle name="Normal 9 8 13" xfId="16552" xr:uid="{00000000-0005-0000-0000-000012420000}"/>
    <cellStyle name="Normal 9 8 14" xfId="16553" xr:uid="{00000000-0005-0000-0000-000013420000}"/>
    <cellStyle name="Normal 9 8 15" xfId="16554" xr:uid="{00000000-0005-0000-0000-000014420000}"/>
    <cellStyle name="Normal 9 8 16" xfId="16555" xr:uid="{00000000-0005-0000-0000-000015420000}"/>
    <cellStyle name="Normal 9 8 17" xfId="16556" xr:uid="{00000000-0005-0000-0000-000016420000}"/>
    <cellStyle name="Normal 9 8 2" xfId="16557" xr:uid="{00000000-0005-0000-0000-000017420000}"/>
    <cellStyle name="Normal 9 8 3" xfId="16558" xr:uid="{00000000-0005-0000-0000-000018420000}"/>
    <cellStyle name="Normal 9 8 4" xfId="16559" xr:uid="{00000000-0005-0000-0000-000019420000}"/>
    <cellStyle name="Normal 9 8 5" xfId="16560" xr:uid="{00000000-0005-0000-0000-00001A420000}"/>
    <cellStyle name="Normal 9 8 6" xfId="16561" xr:uid="{00000000-0005-0000-0000-00001B420000}"/>
    <cellStyle name="Normal 9 8 7" xfId="16562" xr:uid="{00000000-0005-0000-0000-00001C420000}"/>
    <cellStyle name="Normal 9 8 8" xfId="16563" xr:uid="{00000000-0005-0000-0000-00001D420000}"/>
    <cellStyle name="Normal 9 8 9" xfId="16564" xr:uid="{00000000-0005-0000-0000-00001E420000}"/>
    <cellStyle name="Normal 9 80" xfId="16565" xr:uid="{00000000-0005-0000-0000-00001F420000}"/>
    <cellStyle name="Normal 9 81" xfId="16566" xr:uid="{00000000-0005-0000-0000-000020420000}"/>
    <cellStyle name="Normal 9 82" xfId="16567" xr:uid="{00000000-0005-0000-0000-000021420000}"/>
    <cellStyle name="Normal 9 83" xfId="16568" xr:uid="{00000000-0005-0000-0000-000022420000}"/>
    <cellStyle name="Normal 9 84" xfId="16569" xr:uid="{00000000-0005-0000-0000-000023420000}"/>
    <cellStyle name="Normal 9 85" xfId="16570" xr:uid="{00000000-0005-0000-0000-000024420000}"/>
    <cellStyle name="Normal 9 86" xfId="16571" xr:uid="{00000000-0005-0000-0000-000025420000}"/>
    <cellStyle name="Normal 9 87" xfId="16572" xr:uid="{00000000-0005-0000-0000-000026420000}"/>
    <cellStyle name="Normal 9 88" xfId="16573" xr:uid="{00000000-0005-0000-0000-000027420000}"/>
    <cellStyle name="Normal 9 89" xfId="16574" xr:uid="{00000000-0005-0000-0000-000028420000}"/>
    <cellStyle name="Normal 9 9" xfId="16575" xr:uid="{00000000-0005-0000-0000-000029420000}"/>
    <cellStyle name="Normal 9 9 10" xfId="16576" xr:uid="{00000000-0005-0000-0000-00002A420000}"/>
    <cellStyle name="Normal 9 9 11" xfId="16577" xr:uid="{00000000-0005-0000-0000-00002B420000}"/>
    <cellStyle name="Normal 9 9 12" xfId="16578" xr:uid="{00000000-0005-0000-0000-00002C420000}"/>
    <cellStyle name="Normal 9 9 13" xfId="16579" xr:uid="{00000000-0005-0000-0000-00002D420000}"/>
    <cellStyle name="Normal 9 9 14" xfId="16580" xr:uid="{00000000-0005-0000-0000-00002E420000}"/>
    <cellStyle name="Normal 9 9 15" xfId="16581" xr:uid="{00000000-0005-0000-0000-00002F420000}"/>
    <cellStyle name="Normal 9 9 16" xfId="16582" xr:uid="{00000000-0005-0000-0000-000030420000}"/>
    <cellStyle name="Normal 9 9 17" xfId="16583" xr:uid="{00000000-0005-0000-0000-000031420000}"/>
    <cellStyle name="Normal 9 9 2" xfId="16584" xr:uid="{00000000-0005-0000-0000-000032420000}"/>
    <cellStyle name="Normal 9 9 3" xfId="16585" xr:uid="{00000000-0005-0000-0000-000033420000}"/>
    <cellStyle name="Normal 9 9 4" xfId="16586" xr:uid="{00000000-0005-0000-0000-000034420000}"/>
    <cellStyle name="Normal 9 9 5" xfId="16587" xr:uid="{00000000-0005-0000-0000-000035420000}"/>
    <cellStyle name="Normal 9 9 6" xfId="16588" xr:uid="{00000000-0005-0000-0000-000036420000}"/>
    <cellStyle name="Normal 9 9 7" xfId="16589" xr:uid="{00000000-0005-0000-0000-000037420000}"/>
    <cellStyle name="Normal 9 9 8" xfId="16590" xr:uid="{00000000-0005-0000-0000-000038420000}"/>
    <cellStyle name="Normal 9 9 9" xfId="16591" xr:uid="{00000000-0005-0000-0000-000039420000}"/>
    <cellStyle name="Normal 9 90" xfId="16592" xr:uid="{00000000-0005-0000-0000-00003A420000}"/>
    <cellStyle name="Normal 9 91" xfId="16593" xr:uid="{00000000-0005-0000-0000-00003B420000}"/>
    <cellStyle name="Normal 9 92" xfId="16594" xr:uid="{00000000-0005-0000-0000-00003C420000}"/>
    <cellStyle name="Normal 9 93" xfId="16595" xr:uid="{00000000-0005-0000-0000-00003D420000}"/>
    <cellStyle name="Normal 9 94" xfId="16596" xr:uid="{00000000-0005-0000-0000-00003E420000}"/>
    <cellStyle name="Normal 9 95" xfId="16597" xr:uid="{00000000-0005-0000-0000-00003F420000}"/>
    <cellStyle name="Normal 9 96" xfId="16598" xr:uid="{00000000-0005-0000-0000-000040420000}"/>
    <cellStyle name="Normal 9 97" xfId="16599" xr:uid="{00000000-0005-0000-0000-000041420000}"/>
    <cellStyle name="Normal 9 98" xfId="16600" xr:uid="{00000000-0005-0000-0000-000042420000}"/>
    <cellStyle name="Normal 9 99" xfId="16601" xr:uid="{00000000-0005-0000-0000-000043420000}"/>
    <cellStyle name="Normal 9_1.3s Accounting C Costs Scots" xfId="16602" xr:uid="{00000000-0005-0000-0000-000044420000}"/>
    <cellStyle name="Normal 90" xfId="16603" xr:uid="{00000000-0005-0000-0000-000045420000}"/>
    <cellStyle name="Normal 91" xfId="16604" xr:uid="{00000000-0005-0000-0000-000046420000}"/>
    <cellStyle name="Normal 92" xfId="16605" xr:uid="{00000000-0005-0000-0000-000047420000}"/>
    <cellStyle name="Normal 93" xfId="16606" xr:uid="{00000000-0005-0000-0000-000048420000}"/>
    <cellStyle name="Normal 94" xfId="42035" xr:uid="{00000000-0005-0000-0000-000049420000}"/>
    <cellStyle name="Normal 95" xfId="42511" xr:uid="{00000000-0005-0000-0000-00004A420000}"/>
    <cellStyle name="Normal 96" xfId="42513" xr:uid="{00000000-0005-0000-0000-00004B420000}"/>
    <cellStyle name="Normal 97" xfId="42514" xr:uid="{5AB54203-3230-41DA-A031-11280D024EF7}"/>
    <cellStyle name="Normal 98" xfId="42517" xr:uid="{0C9FA5E7-C402-4334-812B-51FA19D366F9}"/>
    <cellStyle name="Normal 99" xfId="42523" xr:uid="{0D3270CB-67CB-49BA-89DB-D8F14C37057A}"/>
    <cellStyle name="Normal dotted under" xfId="16607" xr:uid="{00000000-0005-0000-0000-00004C420000}"/>
    <cellStyle name="Normal U" xfId="16608" xr:uid="{00000000-0005-0000-0000-00004D420000}"/>
    <cellStyle name="Normál_Cost_Baseline v1.1" xfId="16609" xr:uid="{00000000-0005-0000-0000-00004E420000}"/>
    <cellStyle name="Normal1" xfId="16610" xr:uid="{00000000-0005-0000-0000-00004F420000}"/>
    <cellStyle name="NormalGB" xfId="16611" xr:uid="{00000000-0005-0000-0000-000050420000}"/>
    <cellStyle name="normální_Rozvaha - aktiva" xfId="16612" xr:uid="{00000000-0005-0000-0000-000051420000}"/>
    <cellStyle name="Normalny_0" xfId="16613" xr:uid="{00000000-0005-0000-0000-000052420000}"/>
    <cellStyle name="normбlnм_laroux" xfId="16614" xr:uid="{00000000-0005-0000-0000-000053420000}"/>
    <cellStyle name="nos13" xfId="16615" xr:uid="{00000000-0005-0000-0000-000054420000}"/>
    <cellStyle name="Note 2" xfId="16616" xr:uid="{00000000-0005-0000-0000-000055420000}"/>
    <cellStyle name="Note 2 10" xfId="16617" xr:uid="{00000000-0005-0000-0000-000056420000}"/>
    <cellStyle name="Note 2 11" xfId="16618" xr:uid="{00000000-0005-0000-0000-000057420000}"/>
    <cellStyle name="Note 2 12" xfId="16619" xr:uid="{00000000-0005-0000-0000-000058420000}"/>
    <cellStyle name="Note 2 13" xfId="16620" xr:uid="{00000000-0005-0000-0000-000059420000}"/>
    <cellStyle name="Note 2 14" xfId="16621" xr:uid="{00000000-0005-0000-0000-00005A420000}"/>
    <cellStyle name="Note 2 15" xfId="16622" xr:uid="{00000000-0005-0000-0000-00005B420000}"/>
    <cellStyle name="Note 2 16" xfId="16623" xr:uid="{00000000-0005-0000-0000-00005C420000}"/>
    <cellStyle name="Note 2 17" xfId="16624" xr:uid="{00000000-0005-0000-0000-00005D420000}"/>
    <cellStyle name="Note 2 18" xfId="16625" xr:uid="{00000000-0005-0000-0000-00005E420000}"/>
    <cellStyle name="Note 2 19" xfId="16626" xr:uid="{00000000-0005-0000-0000-00005F420000}"/>
    <cellStyle name="Note 2 2" xfId="16627" xr:uid="{00000000-0005-0000-0000-000060420000}"/>
    <cellStyle name="Note 2 2 2" xfId="16628" xr:uid="{00000000-0005-0000-0000-000061420000}"/>
    <cellStyle name="Note 2 20" xfId="16629" xr:uid="{00000000-0005-0000-0000-000062420000}"/>
    <cellStyle name="Note 2 21" xfId="16630" xr:uid="{00000000-0005-0000-0000-000063420000}"/>
    <cellStyle name="Note 2 22" xfId="16631" xr:uid="{00000000-0005-0000-0000-000064420000}"/>
    <cellStyle name="Note 2 23" xfId="16632" xr:uid="{00000000-0005-0000-0000-000065420000}"/>
    <cellStyle name="Note 2 24" xfId="16633" xr:uid="{00000000-0005-0000-0000-000066420000}"/>
    <cellStyle name="Note 2 25" xfId="16634" xr:uid="{00000000-0005-0000-0000-000067420000}"/>
    <cellStyle name="Note 2 26" xfId="16635" xr:uid="{00000000-0005-0000-0000-000068420000}"/>
    <cellStyle name="Note 2 27" xfId="16636" xr:uid="{00000000-0005-0000-0000-000069420000}"/>
    <cellStyle name="Note 2 28" xfId="16637" xr:uid="{00000000-0005-0000-0000-00006A420000}"/>
    <cellStyle name="Note 2 29" xfId="16638" xr:uid="{00000000-0005-0000-0000-00006B420000}"/>
    <cellStyle name="Note 2 3" xfId="16639" xr:uid="{00000000-0005-0000-0000-00006C420000}"/>
    <cellStyle name="Note 2 30" xfId="16640" xr:uid="{00000000-0005-0000-0000-00006D420000}"/>
    <cellStyle name="Note 2 31" xfId="16641" xr:uid="{00000000-0005-0000-0000-00006E420000}"/>
    <cellStyle name="Note 2 32" xfId="16642" xr:uid="{00000000-0005-0000-0000-00006F420000}"/>
    <cellStyle name="Note 2 33" xfId="16643" xr:uid="{00000000-0005-0000-0000-000070420000}"/>
    <cellStyle name="Note 2 34" xfId="16644" xr:uid="{00000000-0005-0000-0000-000071420000}"/>
    <cellStyle name="Note 2 35" xfId="16645" xr:uid="{00000000-0005-0000-0000-000072420000}"/>
    <cellStyle name="Note 2 36" xfId="16646" xr:uid="{00000000-0005-0000-0000-000073420000}"/>
    <cellStyle name="Note 2 37" xfId="16647" xr:uid="{00000000-0005-0000-0000-000074420000}"/>
    <cellStyle name="Note 2 38" xfId="16648" xr:uid="{00000000-0005-0000-0000-000075420000}"/>
    <cellStyle name="Note 2 39" xfId="16649" xr:uid="{00000000-0005-0000-0000-000076420000}"/>
    <cellStyle name="Note 2 4" xfId="16650" xr:uid="{00000000-0005-0000-0000-000077420000}"/>
    <cellStyle name="Note 2 40" xfId="16651" xr:uid="{00000000-0005-0000-0000-000078420000}"/>
    <cellStyle name="Note 2 41" xfId="16652" xr:uid="{00000000-0005-0000-0000-000079420000}"/>
    <cellStyle name="Note 2 42" xfId="16653" xr:uid="{00000000-0005-0000-0000-00007A420000}"/>
    <cellStyle name="Note 2 43" xfId="16654" xr:uid="{00000000-0005-0000-0000-00007B420000}"/>
    <cellStyle name="Note 2 44" xfId="16655" xr:uid="{00000000-0005-0000-0000-00007C420000}"/>
    <cellStyle name="Note 2 45" xfId="16656" xr:uid="{00000000-0005-0000-0000-00007D420000}"/>
    <cellStyle name="Note 2 46" xfId="16657" xr:uid="{00000000-0005-0000-0000-00007E420000}"/>
    <cellStyle name="Note 2 47" xfId="16658" xr:uid="{00000000-0005-0000-0000-00007F420000}"/>
    <cellStyle name="Note 2 48" xfId="16659" xr:uid="{00000000-0005-0000-0000-000080420000}"/>
    <cellStyle name="Note 2 49" xfId="16660" xr:uid="{00000000-0005-0000-0000-000081420000}"/>
    <cellStyle name="Note 2 5" xfId="16661" xr:uid="{00000000-0005-0000-0000-000082420000}"/>
    <cellStyle name="Note 2 50" xfId="16662" xr:uid="{00000000-0005-0000-0000-000083420000}"/>
    <cellStyle name="Note 2 51" xfId="16663" xr:uid="{00000000-0005-0000-0000-000084420000}"/>
    <cellStyle name="Note 2 52" xfId="16664" xr:uid="{00000000-0005-0000-0000-000085420000}"/>
    <cellStyle name="Note 2 53" xfId="16665" xr:uid="{00000000-0005-0000-0000-000086420000}"/>
    <cellStyle name="Note 2 54" xfId="16666" xr:uid="{00000000-0005-0000-0000-000087420000}"/>
    <cellStyle name="Note 2 55" xfId="16667" xr:uid="{00000000-0005-0000-0000-000088420000}"/>
    <cellStyle name="Note 2 56" xfId="16668" xr:uid="{00000000-0005-0000-0000-000089420000}"/>
    <cellStyle name="Note 2 57" xfId="16669" xr:uid="{00000000-0005-0000-0000-00008A420000}"/>
    <cellStyle name="Note 2 58" xfId="16670" xr:uid="{00000000-0005-0000-0000-00008B420000}"/>
    <cellStyle name="Note 2 59" xfId="16671" xr:uid="{00000000-0005-0000-0000-00008C420000}"/>
    <cellStyle name="Note 2 6" xfId="16672" xr:uid="{00000000-0005-0000-0000-00008D420000}"/>
    <cellStyle name="Note 2 60" xfId="16673" xr:uid="{00000000-0005-0000-0000-00008E420000}"/>
    <cellStyle name="Note 2 61" xfId="16674" xr:uid="{00000000-0005-0000-0000-00008F420000}"/>
    <cellStyle name="Note 2 62" xfId="16675" xr:uid="{00000000-0005-0000-0000-000090420000}"/>
    <cellStyle name="Note 2 63" xfId="16676" xr:uid="{00000000-0005-0000-0000-000091420000}"/>
    <cellStyle name="Note 2 64" xfId="16677" xr:uid="{00000000-0005-0000-0000-000092420000}"/>
    <cellStyle name="Note 2 65" xfId="16678" xr:uid="{00000000-0005-0000-0000-000093420000}"/>
    <cellStyle name="Note 2 66" xfId="16679" xr:uid="{00000000-0005-0000-0000-000094420000}"/>
    <cellStyle name="Note 2 67" xfId="16680" xr:uid="{00000000-0005-0000-0000-000095420000}"/>
    <cellStyle name="Note 2 68" xfId="16681" xr:uid="{00000000-0005-0000-0000-000096420000}"/>
    <cellStyle name="Note 2 69" xfId="16682" xr:uid="{00000000-0005-0000-0000-000097420000}"/>
    <cellStyle name="Note 2 7" xfId="16683" xr:uid="{00000000-0005-0000-0000-000098420000}"/>
    <cellStyle name="Note 2 70" xfId="16684" xr:uid="{00000000-0005-0000-0000-000099420000}"/>
    <cellStyle name="Note 2 71" xfId="16685" xr:uid="{00000000-0005-0000-0000-00009A420000}"/>
    <cellStyle name="Note 2 72" xfId="16686" xr:uid="{00000000-0005-0000-0000-00009B420000}"/>
    <cellStyle name="Note 2 73" xfId="16687" xr:uid="{00000000-0005-0000-0000-00009C420000}"/>
    <cellStyle name="Note 2 74" xfId="16688" xr:uid="{00000000-0005-0000-0000-00009D420000}"/>
    <cellStyle name="Note 2 75" xfId="16689" xr:uid="{00000000-0005-0000-0000-00009E420000}"/>
    <cellStyle name="Note 2 76" xfId="16690" xr:uid="{00000000-0005-0000-0000-00009F420000}"/>
    <cellStyle name="Note 2 77" xfId="16691" xr:uid="{00000000-0005-0000-0000-0000A0420000}"/>
    <cellStyle name="Note 2 78" xfId="16692" xr:uid="{00000000-0005-0000-0000-0000A1420000}"/>
    <cellStyle name="Note 2 79" xfId="16693" xr:uid="{00000000-0005-0000-0000-0000A2420000}"/>
    <cellStyle name="Note 2 8" xfId="16694" xr:uid="{00000000-0005-0000-0000-0000A3420000}"/>
    <cellStyle name="Note 2 80" xfId="16695" xr:uid="{00000000-0005-0000-0000-0000A4420000}"/>
    <cellStyle name="Note 2 81" xfId="16696" xr:uid="{00000000-0005-0000-0000-0000A5420000}"/>
    <cellStyle name="Note 2 82" xfId="16697" xr:uid="{00000000-0005-0000-0000-0000A6420000}"/>
    <cellStyle name="Note 2 83" xfId="16698" xr:uid="{00000000-0005-0000-0000-0000A7420000}"/>
    <cellStyle name="Note 2 84" xfId="16699" xr:uid="{00000000-0005-0000-0000-0000A8420000}"/>
    <cellStyle name="Note 2 85" xfId="16700" xr:uid="{00000000-0005-0000-0000-0000A9420000}"/>
    <cellStyle name="Note 2 86" xfId="16701" xr:uid="{00000000-0005-0000-0000-0000AA420000}"/>
    <cellStyle name="Note 2 87" xfId="16702" xr:uid="{00000000-0005-0000-0000-0000AB420000}"/>
    <cellStyle name="Note 2 88" xfId="16703" xr:uid="{00000000-0005-0000-0000-0000AC420000}"/>
    <cellStyle name="Note 2 89" xfId="16704" xr:uid="{00000000-0005-0000-0000-0000AD420000}"/>
    <cellStyle name="Note 2 9" xfId="16705" xr:uid="{00000000-0005-0000-0000-0000AE420000}"/>
    <cellStyle name="Note 2 90" xfId="16706" xr:uid="{00000000-0005-0000-0000-0000AF420000}"/>
    <cellStyle name="Note 2 91" xfId="16707" xr:uid="{00000000-0005-0000-0000-0000B0420000}"/>
    <cellStyle name="Note 2 92" xfId="16708" xr:uid="{00000000-0005-0000-0000-0000B1420000}"/>
    <cellStyle name="Note 2 93" xfId="16709" xr:uid="{00000000-0005-0000-0000-0000B2420000}"/>
    <cellStyle name="Note 2 94" xfId="16710" xr:uid="{00000000-0005-0000-0000-0000B3420000}"/>
    <cellStyle name="Note 3" xfId="16711" xr:uid="{00000000-0005-0000-0000-0000B4420000}"/>
    <cellStyle name="Note 3 2" xfId="42395" xr:uid="{00000000-0005-0000-0000-0000B5420000}"/>
    <cellStyle name="Note 3 2 2" xfId="42459" xr:uid="{00000000-0005-0000-0000-0000B6420000}"/>
    <cellStyle name="Note 3 3" xfId="42396" xr:uid="{00000000-0005-0000-0000-0000B7420000}"/>
    <cellStyle name="Note 3 3 2" xfId="42460" xr:uid="{00000000-0005-0000-0000-0000B8420000}"/>
    <cellStyle name="Note 3 4" xfId="42397" xr:uid="{00000000-0005-0000-0000-0000B9420000}"/>
    <cellStyle name="Note 3 4 2" xfId="42461" xr:uid="{00000000-0005-0000-0000-0000BA420000}"/>
    <cellStyle name="Note 3 5" xfId="42398" xr:uid="{00000000-0005-0000-0000-0000BB420000}"/>
    <cellStyle name="Note 3 5 2" xfId="42462" xr:uid="{00000000-0005-0000-0000-0000BC420000}"/>
    <cellStyle name="Note 3 6" xfId="42399" xr:uid="{00000000-0005-0000-0000-0000BD420000}"/>
    <cellStyle name="Note 3 6 2" xfId="42463" xr:uid="{00000000-0005-0000-0000-0000BE420000}"/>
    <cellStyle name="Note 3 7" xfId="42400" xr:uid="{00000000-0005-0000-0000-0000BF420000}"/>
    <cellStyle name="Note 3 7 2" xfId="42464" xr:uid="{00000000-0005-0000-0000-0000C0420000}"/>
    <cellStyle name="Note 3 8" xfId="42401" xr:uid="{00000000-0005-0000-0000-0000C1420000}"/>
    <cellStyle name="Note 3 8 2" xfId="42465" xr:uid="{00000000-0005-0000-0000-0000C2420000}"/>
    <cellStyle name="Note 3 9" xfId="42466" xr:uid="{00000000-0005-0000-0000-0000C3420000}"/>
    <cellStyle name="NPV_rate" xfId="16712" xr:uid="{00000000-0005-0000-0000-0000C4420000}"/>
    <cellStyle name="Number" xfId="16713" xr:uid="{00000000-0005-0000-0000-0000C5420000}"/>
    <cellStyle name="NUMBER BOX" xfId="16714" xr:uid="{00000000-0005-0000-0000-0000C6420000}"/>
    <cellStyle name="NumberFormat" xfId="16715" xr:uid="{00000000-0005-0000-0000-0000C7420000}"/>
    <cellStyle name="Œ…‹æØ‚è [0.00]_Area" xfId="16716" xr:uid="{00000000-0005-0000-0000-0000C8420000}"/>
    <cellStyle name="Œ…‹æØ‚è_Area" xfId="16717" xr:uid="{00000000-0005-0000-0000-0000C9420000}"/>
    <cellStyle name="Œ…‹æǘ‚è_Area" xfId="16718" xr:uid="{00000000-0005-0000-0000-0000CA420000}"/>
    <cellStyle name="OHnplode" xfId="16719" xr:uid="{00000000-0005-0000-0000-0000CB420000}"/>
    <cellStyle name="OptionPricerGreyed" xfId="16720" xr:uid="{00000000-0005-0000-0000-0000CC420000}"/>
    <cellStyle name="OptionPricerVisible" xfId="16721" xr:uid="{00000000-0005-0000-0000-0000CD420000}"/>
    <cellStyle name="orange text cell" xfId="16722" xr:uid="{00000000-0005-0000-0000-0000CE420000}"/>
    <cellStyle name="OTHER (TEXT BOX)" xfId="16723" xr:uid="{00000000-0005-0000-0000-0000CF420000}"/>
    <cellStyle name="Output 2" xfId="16724" xr:uid="{00000000-0005-0000-0000-0000D0420000}"/>
    <cellStyle name="Output 2 10" xfId="16725" xr:uid="{00000000-0005-0000-0000-0000D1420000}"/>
    <cellStyle name="Output 2 11" xfId="16726" xr:uid="{00000000-0005-0000-0000-0000D2420000}"/>
    <cellStyle name="Output 2 12" xfId="16727" xr:uid="{00000000-0005-0000-0000-0000D3420000}"/>
    <cellStyle name="Output 2 13" xfId="16728" xr:uid="{00000000-0005-0000-0000-0000D4420000}"/>
    <cellStyle name="Output 2 14" xfId="16729" xr:uid="{00000000-0005-0000-0000-0000D5420000}"/>
    <cellStyle name="Output 2 15" xfId="16730" xr:uid="{00000000-0005-0000-0000-0000D6420000}"/>
    <cellStyle name="Output 2 16" xfId="16731" xr:uid="{00000000-0005-0000-0000-0000D7420000}"/>
    <cellStyle name="Output 2 17" xfId="16732" xr:uid="{00000000-0005-0000-0000-0000D8420000}"/>
    <cellStyle name="Output 2 18" xfId="16733" xr:uid="{00000000-0005-0000-0000-0000D9420000}"/>
    <cellStyle name="Output 2 19" xfId="16734" xr:uid="{00000000-0005-0000-0000-0000DA420000}"/>
    <cellStyle name="Output 2 2" xfId="16735" xr:uid="{00000000-0005-0000-0000-0000DB420000}"/>
    <cellStyle name="Output 2 20" xfId="16736" xr:uid="{00000000-0005-0000-0000-0000DC420000}"/>
    <cellStyle name="Output 2 21" xfId="16737" xr:uid="{00000000-0005-0000-0000-0000DD420000}"/>
    <cellStyle name="Output 2 22" xfId="16738" xr:uid="{00000000-0005-0000-0000-0000DE420000}"/>
    <cellStyle name="Output 2 23" xfId="16739" xr:uid="{00000000-0005-0000-0000-0000DF420000}"/>
    <cellStyle name="Output 2 24" xfId="16740" xr:uid="{00000000-0005-0000-0000-0000E0420000}"/>
    <cellStyle name="Output 2 25" xfId="16741" xr:uid="{00000000-0005-0000-0000-0000E1420000}"/>
    <cellStyle name="Output 2 26" xfId="16742" xr:uid="{00000000-0005-0000-0000-0000E2420000}"/>
    <cellStyle name="Output 2 27" xfId="16743" xr:uid="{00000000-0005-0000-0000-0000E3420000}"/>
    <cellStyle name="Output 2 28" xfId="16744" xr:uid="{00000000-0005-0000-0000-0000E4420000}"/>
    <cellStyle name="Output 2 29" xfId="16745" xr:uid="{00000000-0005-0000-0000-0000E5420000}"/>
    <cellStyle name="Output 2 3" xfId="16746" xr:uid="{00000000-0005-0000-0000-0000E6420000}"/>
    <cellStyle name="Output 2 30" xfId="16747" xr:uid="{00000000-0005-0000-0000-0000E7420000}"/>
    <cellStyle name="Output 2 31" xfId="16748" xr:uid="{00000000-0005-0000-0000-0000E8420000}"/>
    <cellStyle name="Output 2 32" xfId="16749" xr:uid="{00000000-0005-0000-0000-0000E9420000}"/>
    <cellStyle name="Output 2 33" xfId="16750" xr:uid="{00000000-0005-0000-0000-0000EA420000}"/>
    <cellStyle name="Output 2 34" xfId="16751" xr:uid="{00000000-0005-0000-0000-0000EB420000}"/>
    <cellStyle name="Output 2 35" xfId="16752" xr:uid="{00000000-0005-0000-0000-0000EC420000}"/>
    <cellStyle name="Output 2 36" xfId="16753" xr:uid="{00000000-0005-0000-0000-0000ED420000}"/>
    <cellStyle name="Output 2 37" xfId="16754" xr:uid="{00000000-0005-0000-0000-0000EE420000}"/>
    <cellStyle name="Output 2 38" xfId="16755" xr:uid="{00000000-0005-0000-0000-0000EF420000}"/>
    <cellStyle name="Output 2 39" xfId="16756" xr:uid="{00000000-0005-0000-0000-0000F0420000}"/>
    <cellStyle name="Output 2 4" xfId="16757" xr:uid="{00000000-0005-0000-0000-0000F1420000}"/>
    <cellStyle name="Output 2 40" xfId="16758" xr:uid="{00000000-0005-0000-0000-0000F2420000}"/>
    <cellStyle name="Output 2 41" xfId="16759" xr:uid="{00000000-0005-0000-0000-0000F3420000}"/>
    <cellStyle name="Output 2 42" xfId="16760" xr:uid="{00000000-0005-0000-0000-0000F4420000}"/>
    <cellStyle name="Output 2 43" xfId="16761" xr:uid="{00000000-0005-0000-0000-0000F5420000}"/>
    <cellStyle name="Output 2 44" xfId="16762" xr:uid="{00000000-0005-0000-0000-0000F6420000}"/>
    <cellStyle name="Output 2 45" xfId="16763" xr:uid="{00000000-0005-0000-0000-0000F7420000}"/>
    <cellStyle name="Output 2 46" xfId="16764" xr:uid="{00000000-0005-0000-0000-0000F8420000}"/>
    <cellStyle name="Output 2 47" xfId="16765" xr:uid="{00000000-0005-0000-0000-0000F9420000}"/>
    <cellStyle name="Output 2 48" xfId="16766" xr:uid="{00000000-0005-0000-0000-0000FA420000}"/>
    <cellStyle name="Output 2 5" xfId="16767" xr:uid="{00000000-0005-0000-0000-0000FB420000}"/>
    <cellStyle name="Output 2 6" xfId="16768" xr:uid="{00000000-0005-0000-0000-0000FC420000}"/>
    <cellStyle name="Output 2 7" xfId="16769" xr:uid="{00000000-0005-0000-0000-0000FD420000}"/>
    <cellStyle name="Output 2 8" xfId="16770" xr:uid="{00000000-0005-0000-0000-0000FE420000}"/>
    <cellStyle name="Output 2 9" xfId="16771" xr:uid="{00000000-0005-0000-0000-0000FF420000}"/>
    <cellStyle name="Output 3" xfId="16772" xr:uid="{00000000-0005-0000-0000-000000430000}"/>
    <cellStyle name="Output 3 2" xfId="42467" xr:uid="{00000000-0005-0000-0000-000001430000}"/>
    <cellStyle name="Output Amounts" xfId="16773" xr:uid="{00000000-0005-0000-0000-000002430000}"/>
    <cellStyle name="Output Column Headings" xfId="16774" xr:uid="{00000000-0005-0000-0000-000003430000}"/>
    <cellStyle name="Output Line Items" xfId="16775" xr:uid="{00000000-0005-0000-0000-000004430000}"/>
    <cellStyle name="Output Report Heading" xfId="16776" xr:uid="{00000000-0005-0000-0000-000005430000}"/>
    <cellStyle name="Output Report Title" xfId="16777" xr:uid="{00000000-0005-0000-0000-000006430000}"/>
    <cellStyle name="Output1_Back" xfId="16778" xr:uid="{00000000-0005-0000-0000-000007430000}"/>
    <cellStyle name="Page Number" xfId="16779" xr:uid="{00000000-0005-0000-0000-000008430000}"/>
    <cellStyle name="PAGE6" xfId="16780" xr:uid="{00000000-0005-0000-0000-000009430000}"/>
    <cellStyle name="pe" xfId="16781" xr:uid="{00000000-0005-0000-0000-00000A430000}"/>
    <cellStyle name="PEG" xfId="16782" xr:uid="{00000000-0005-0000-0000-00000B430000}"/>
    <cellStyle name="Pénznem [0]_Munka1" xfId="16783" xr:uid="{00000000-0005-0000-0000-00000C430000}"/>
    <cellStyle name="Pénznem_Munka1" xfId="16784" xr:uid="{00000000-0005-0000-0000-00000D430000}"/>
    <cellStyle name="Percent" xfId="42456" builtinId="5"/>
    <cellStyle name="Percent (1)" xfId="16785" xr:uid="{00000000-0005-0000-0000-00000F430000}"/>
    <cellStyle name="Percent (2)" xfId="16786" xr:uid="{00000000-0005-0000-0000-000010430000}"/>
    <cellStyle name="Percent [2]" xfId="16787" xr:uid="{00000000-0005-0000-0000-000011430000}"/>
    <cellStyle name="Percent 10" xfId="16788" xr:uid="{00000000-0005-0000-0000-000012430000}"/>
    <cellStyle name="Percent 10 10" xfId="16789" xr:uid="{00000000-0005-0000-0000-000013430000}"/>
    <cellStyle name="Percent 10 10 10" xfId="16790" xr:uid="{00000000-0005-0000-0000-000014430000}"/>
    <cellStyle name="Percent 10 10 11" xfId="16791" xr:uid="{00000000-0005-0000-0000-000015430000}"/>
    <cellStyle name="Percent 10 10 12" xfId="16792" xr:uid="{00000000-0005-0000-0000-000016430000}"/>
    <cellStyle name="Percent 10 10 13" xfId="16793" xr:uid="{00000000-0005-0000-0000-000017430000}"/>
    <cellStyle name="Percent 10 10 14" xfId="16794" xr:uid="{00000000-0005-0000-0000-000018430000}"/>
    <cellStyle name="Percent 10 10 15" xfId="16795" xr:uid="{00000000-0005-0000-0000-000019430000}"/>
    <cellStyle name="Percent 10 10 16" xfId="16796" xr:uid="{00000000-0005-0000-0000-00001A430000}"/>
    <cellStyle name="Percent 10 10 17" xfId="16797" xr:uid="{00000000-0005-0000-0000-00001B430000}"/>
    <cellStyle name="Percent 10 10 2" xfId="16798" xr:uid="{00000000-0005-0000-0000-00001C430000}"/>
    <cellStyle name="Percent 10 10 3" xfId="16799" xr:uid="{00000000-0005-0000-0000-00001D430000}"/>
    <cellStyle name="Percent 10 10 4" xfId="16800" xr:uid="{00000000-0005-0000-0000-00001E430000}"/>
    <cellStyle name="Percent 10 10 5" xfId="16801" xr:uid="{00000000-0005-0000-0000-00001F430000}"/>
    <cellStyle name="Percent 10 10 6" xfId="16802" xr:uid="{00000000-0005-0000-0000-000020430000}"/>
    <cellStyle name="Percent 10 10 7" xfId="16803" xr:uid="{00000000-0005-0000-0000-000021430000}"/>
    <cellStyle name="Percent 10 10 8" xfId="16804" xr:uid="{00000000-0005-0000-0000-000022430000}"/>
    <cellStyle name="Percent 10 10 9" xfId="16805" xr:uid="{00000000-0005-0000-0000-000023430000}"/>
    <cellStyle name="Percent 10 11" xfId="16806" xr:uid="{00000000-0005-0000-0000-000024430000}"/>
    <cellStyle name="Percent 10 11 10" xfId="16807" xr:uid="{00000000-0005-0000-0000-000025430000}"/>
    <cellStyle name="Percent 10 11 11" xfId="16808" xr:uid="{00000000-0005-0000-0000-000026430000}"/>
    <cellStyle name="Percent 10 11 12" xfId="16809" xr:uid="{00000000-0005-0000-0000-000027430000}"/>
    <cellStyle name="Percent 10 11 13" xfId="16810" xr:uid="{00000000-0005-0000-0000-000028430000}"/>
    <cellStyle name="Percent 10 11 14" xfId="16811" xr:uid="{00000000-0005-0000-0000-000029430000}"/>
    <cellStyle name="Percent 10 11 15" xfId="16812" xr:uid="{00000000-0005-0000-0000-00002A430000}"/>
    <cellStyle name="Percent 10 11 16" xfId="16813" xr:uid="{00000000-0005-0000-0000-00002B430000}"/>
    <cellStyle name="Percent 10 11 17" xfId="16814" xr:uid="{00000000-0005-0000-0000-00002C430000}"/>
    <cellStyle name="Percent 10 11 2" xfId="16815" xr:uid="{00000000-0005-0000-0000-00002D430000}"/>
    <cellStyle name="Percent 10 11 3" xfId="16816" xr:uid="{00000000-0005-0000-0000-00002E430000}"/>
    <cellStyle name="Percent 10 11 4" xfId="16817" xr:uid="{00000000-0005-0000-0000-00002F430000}"/>
    <cellStyle name="Percent 10 11 5" xfId="16818" xr:uid="{00000000-0005-0000-0000-000030430000}"/>
    <cellStyle name="Percent 10 11 6" xfId="16819" xr:uid="{00000000-0005-0000-0000-000031430000}"/>
    <cellStyle name="Percent 10 11 7" xfId="16820" xr:uid="{00000000-0005-0000-0000-000032430000}"/>
    <cellStyle name="Percent 10 11 8" xfId="16821" xr:uid="{00000000-0005-0000-0000-000033430000}"/>
    <cellStyle name="Percent 10 11 9" xfId="16822" xr:uid="{00000000-0005-0000-0000-000034430000}"/>
    <cellStyle name="Percent 10 12" xfId="16823" xr:uid="{00000000-0005-0000-0000-000035430000}"/>
    <cellStyle name="Percent 10 12 10" xfId="16824" xr:uid="{00000000-0005-0000-0000-000036430000}"/>
    <cellStyle name="Percent 10 12 11" xfId="16825" xr:uid="{00000000-0005-0000-0000-000037430000}"/>
    <cellStyle name="Percent 10 12 12" xfId="16826" xr:uid="{00000000-0005-0000-0000-000038430000}"/>
    <cellStyle name="Percent 10 12 13" xfId="16827" xr:uid="{00000000-0005-0000-0000-000039430000}"/>
    <cellStyle name="Percent 10 12 14" xfId="16828" xr:uid="{00000000-0005-0000-0000-00003A430000}"/>
    <cellStyle name="Percent 10 12 15" xfId="16829" xr:uid="{00000000-0005-0000-0000-00003B430000}"/>
    <cellStyle name="Percent 10 12 16" xfId="16830" xr:uid="{00000000-0005-0000-0000-00003C430000}"/>
    <cellStyle name="Percent 10 12 17" xfId="16831" xr:uid="{00000000-0005-0000-0000-00003D430000}"/>
    <cellStyle name="Percent 10 12 2" xfId="16832" xr:uid="{00000000-0005-0000-0000-00003E430000}"/>
    <cellStyle name="Percent 10 12 3" xfId="16833" xr:uid="{00000000-0005-0000-0000-00003F430000}"/>
    <cellStyle name="Percent 10 12 4" xfId="16834" xr:uid="{00000000-0005-0000-0000-000040430000}"/>
    <cellStyle name="Percent 10 12 5" xfId="16835" xr:uid="{00000000-0005-0000-0000-000041430000}"/>
    <cellStyle name="Percent 10 12 6" xfId="16836" xr:uid="{00000000-0005-0000-0000-000042430000}"/>
    <cellStyle name="Percent 10 12 7" xfId="16837" xr:uid="{00000000-0005-0000-0000-000043430000}"/>
    <cellStyle name="Percent 10 12 8" xfId="16838" xr:uid="{00000000-0005-0000-0000-000044430000}"/>
    <cellStyle name="Percent 10 12 9" xfId="16839" xr:uid="{00000000-0005-0000-0000-000045430000}"/>
    <cellStyle name="Percent 10 13" xfId="16840" xr:uid="{00000000-0005-0000-0000-000046430000}"/>
    <cellStyle name="Percent 10 13 10" xfId="16841" xr:uid="{00000000-0005-0000-0000-000047430000}"/>
    <cellStyle name="Percent 10 13 11" xfId="16842" xr:uid="{00000000-0005-0000-0000-000048430000}"/>
    <cellStyle name="Percent 10 13 12" xfId="16843" xr:uid="{00000000-0005-0000-0000-000049430000}"/>
    <cellStyle name="Percent 10 13 13" xfId="16844" xr:uid="{00000000-0005-0000-0000-00004A430000}"/>
    <cellStyle name="Percent 10 13 14" xfId="16845" xr:uid="{00000000-0005-0000-0000-00004B430000}"/>
    <cellStyle name="Percent 10 13 15" xfId="16846" xr:uid="{00000000-0005-0000-0000-00004C430000}"/>
    <cellStyle name="Percent 10 13 16" xfId="16847" xr:uid="{00000000-0005-0000-0000-00004D430000}"/>
    <cellStyle name="Percent 10 13 17" xfId="16848" xr:uid="{00000000-0005-0000-0000-00004E430000}"/>
    <cellStyle name="Percent 10 13 2" xfId="16849" xr:uid="{00000000-0005-0000-0000-00004F430000}"/>
    <cellStyle name="Percent 10 13 3" xfId="16850" xr:uid="{00000000-0005-0000-0000-000050430000}"/>
    <cellStyle name="Percent 10 13 4" xfId="16851" xr:uid="{00000000-0005-0000-0000-000051430000}"/>
    <cellStyle name="Percent 10 13 5" xfId="16852" xr:uid="{00000000-0005-0000-0000-000052430000}"/>
    <cellStyle name="Percent 10 13 6" xfId="16853" xr:uid="{00000000-0005-0000-0000-000053430000}"/>
    <cellStyle name="Percent 10 13 7" xfId="16854" xr:uid="{00000000-0005-0000-0000-000054430000}"/>
    <cellStyle name="Percent 10 13 8" xfId="16855" xr:uid="{00000000-0005-0000-0000-000055430000}"/>
    <cellStyle name="Percent 10 13 9" xfId="16856" xr:uid="{00000000-0005-0000-0000-000056430000}"/>
    <cellStyle name="Percent 10 14" xfId="16857" xr:uid="{00000000-0005-0000-0000-000057430000}"/>
    <cellStyle name="Percent 10 14 10" xfId="16858" xr:uid="{00000000-0005-0000-0000-000058430000}"/>
    <cellStyle name="Percent 10 14 11" xfId="16859" xr:uid="{00000000-0005-0000-0000-000059430000}"/>
    <cellStyle name="Percent 10 14 12" xfId="16860" xr:uid="{00000000-0005-0000-0000-00005A430000}"/>
    <cellStyle name="Percent 10 14 13" xfId="16861" xr:uid="{00000000-0005-0000-0000-00005B430000}"/>
    <cellStyle name="Percent 10 14 14" xfId="16862" xr:uid="{00000000-0005-0000-0000-00005C430000}"/>
    <cellStyle name="Percent 10 14 15" xfId="16863" xr:uid="{00000000-0005-0000-0000-00005D430000}"/>
    <cellStyle name="Percent 10 14 16" xfId="16864" xr:uid="{00000000-0005-0000-0000-00005E430000}"/>
    <cellStyle name="Percent 10 14 17" xfId="16865" xr:uid="{00000000-0005-0000-0000-00005F430000}"/>
    <cellStyle name="Percent 10 14 2" xfId="16866" xr:uid="{00000000-0005-0000-0000-000060430000}"/>
    <cellStyle name="Percent 10 14 3" xfId="16867" xr:uid="{00000000-0005-0000-0000-000061430000}"/>
    <cellStyle name="Percent 10 14 4" xfId="16868" xr:uid="{00000000-0005-0000-0000-000062430000}"/>
    <cellStyle name="Percent 10 14 5" xfId="16869" xr:uid="{00000000-0005-0000-0000-000063430000}"/>
    <cellStyle name="Percent 10 14 6" xfId="16870" xr:uid="{00000000-0005-0000-0000-000064430000}"/>
    <cellStyle name="Percent 10 14 7" xfId="16871" xr:uid="{00000000-0005-0000-0000-000065430000}"/>
    <cellStyle name="Percent 10 14 8" xfId="16872" xr:uid="{00000000-0005-0000-0000-000066430000}"/>
    <cellStyle name="Percent 10 14 9" xfId="16873" xr:uid="{00000000-0005-0000-0000-000067430000}"/>
    <cellStyle name="Percent 10 15" xfId="16874" xr:uid="{00000000-0005-0000-0000-000068430000}"/>
    <cellStyle name="Percent 10 15 10" xfId="16875" xr:uid="{00000000-0005-0000-0000-000069430000}"/>
    <cellStyle name="Percent 10 15 11" xfId="16876" xr:uid="{00000000-0005-0000-0000-00006A430000}"/>
    <cellStyle name="Percent 10 15 12" xfId="16877" xr:uid="{00000000-0005-0000-0000-00006B430000}"/>
    <cellStyle name="Percent 10 15 13" xfId="16878" xr:uid="{00000000-0005-0000-0000-00006C430000}"/>
    <cellStyle name="Percent 10 15 14" xfId="16879" xr:uid="{00000000-0005-0000-0000-00006D430000}"/>
    <cellStyle name="Percent 10 15 15" xfId="16880" xr:uid="{00000000-0005-0000-0000-00006E430000}"/>
    <cellStyle name="Percent 10 15 16" xfId="16881" xr:uid="{00000000-0005-0000-0000-00006F430000}"/>
    <cellStyle name="Percent 10 15 17" xfId="16882" xr:uid="{00000000-0005-0000-0000-000070430000}"/>
    <cellStyle name="Percent 10 15 2" xfId="16883" xr:uid="{00000000-0005-0000-0000-000071430000}"/>
    <cellStyle name="Percent 10 15 3" xfId="16884" xr:uid="{00000000-0005-0000-0000-000072430000}"/>
    <cellStyle name="Percent 10 15 4" xfId="16885" xr:uid="{00000000-0005-0000-0000-000073430000}"/>
    <cellStyle name="Percent 10 15 5" xfId="16886" xr:uid="{00000000-0005-0000-0000-000074430000}"/>
    <cellStyle name="Percent 10 15 6" xfId="16887" xr:uid="{00000000-0005-0000-0000-000075430000}"/>
    <cellStyle name="Percent 10 15 7" xfId="16888" xr:uid="{00000000-0005-0000-0000-000076430000}"/>
    <cellStyle name="Percent 10 15 8" xfId="16889" xr:uid="{00000000-0005-0000-0000-000077430000}"/>
    <cellStyle name="Percent 10 15 9" xfId="16890" xr:uid="{00000000-0005-0000-0000-000078430000}"/>
    <cellStyle name="Percent 10 16" xfId="16891" xr:uid="{00000000-0005-0000-0000-000079430000}"/>
    <cellStyle name="Percent 10 16 10" xfId="16892" xr:uid="{00000000-0005-0000-0000-00007A430000}"/>
    <cellStyle name="Percent 10 16 11" xfId="16893" xr:uid="{00000000-0005-0000-0000-00007B430000}"/>
    <cellStyle name="Percent 10 16 12" xfId="16894" xr:uid="{00000000-0005-0000-0000-00007C430000}"/>
    <cellStyle name="Percent 10 16 13" xfId="16895" xr:uid="{00000000-0005-0000-0000-00007D430000}"/>
    <cellStyle name="Percent 10 16 14" xfId="16896" xr:uid="{00000000-0005-0000-0000-00007E430000}"/>
    <cellStyle name="Percent 10 16 15" xfId="16897" xr:uid="{00000000-0005-0000-0000-00007F430000}"/>
    <cellStyle name="Percent 10 16 16" xfId="16898" xr:uid="{00000000-0005-0000-0000-000080430000}"/>
    <cellStyle name="Percent 10 16 17" xfId="16899" xr:uid="{00000000-0005-0000-0000-000081430000}"/>
    <cellStyle name="Percent 10 16 2" xfId="16900" xr:uid="{00000000-0005-0000-0000-000082430000}"/>
    <cellStyle name="Percent 10 16 3" xfId="16901" xr:uid="{00000000-0005-0000-0000-000083430000}"/>
    <cellStyle name="Percent 10 16 4" xfId="16902" xr:uid="{00000000-0005-0000-0000-000084430000}"/>
    <cellStyle name="Percent 10 16 5" xfId="16903" xr:uid="{00000000-0005-0000-0000-000085430000}"/>
    <cellStyle name="Percent 10 16 6" xfId="16904" xr:uid="{00000000-0005-0000-0000-000086430000}"/>
    <cellStyle name="Percent 10 16 7" xfId="16905" xr:uid="{00000000-0005-0000-0000-000087430000}"/>
    <cellStyle name="Percent 10 16 8" xfId="16906" xr:uid="{00000000-0005-0000-0000-000088430000}"/>
    <cellStyle name="Percent 10 16 9" xfId="16907" xr:uid="{00000000-0005-0000-0000-000089430000}"/>
    <cellStyle name="Percent 10 17" xfId="16908" xr:uid="{00000000-0005-0000-0000-00008A430000}"/>
    <cellStyle name="Percent 10 17 10" xfId="16909" xr:uid="{00000000-0005-0000-0000-00008B430000}"/>
    <cellStyle name="Percent 10 17 11" xfId="16910" xr:uid="{00000000-0005-0000-0000-00008C430000}"/>
    <cellStyle name="Percent 10 17 12" xfId="16911" xr:uid="{00000000-0005-0000-0000-00008D430000}"/>
    <cellStyle name="Percent 10 17 13" xfId="16912" xr:uid="{00000000-0005-0000-0000-00008E430000}"/>
    <cellStyle name="Percent 10 17 14" xfId="16913" xr:uid="{00000000-0005-0000-0000-00008F430000}"/>
    <cellStyle name="Percent 10 17 15" xfId="16914" xr:uid="{00000000-0005-0000-0000-000090430000}"/>
    <cellStyle name="Percent 10 17 16" xfId="16915" xr:uid="{00000000-0005-0000-0000-000091430000}"/>
    <cellStyle name="Percent 10 17 17" xfId="16916" xr:uid="{00000000-0005-0000-0000-000092430000}"/>
    <cellStyle name="Percent 10 17 2" xfId="16917" xr:uid="{00000000-0005-0000-0000-000093430000}"/>
    <cellStyle name="Percent 10 17 3" xfId="16918" xr:uid="{00000000-0005-0000-0000-000094430000}"/>
    <cellStyle name="Percent 10 17 4" xfId="16919" xr:uid="{00000000-0005-0000-0000-000095430000}"/>
    <cellStyle name="Percent 10 17 5" xfId="16920" xr:uid="{00000000-0005-0000-0000-000096430000}"/>
    <cellStyle name="Percent 10 17 6" xfId="16921" xr:uid="{00000000-0005-0000-0000-000097430000}"/>
    <cellStyle name="Percent 10 17 7" xfId="16922" xr:uid="{00000000-0005-0000-0000-000098430000}"/>
    <cellStyle name="Percent 10 17 8" xfId="16923" xr:uid="{00000000-0005-0000-0000-000099430000}"/>
    <cellStyle name="Percent 10 17 9" xfId="16924" xr:uid="{00000000-0005-0000-0000-00009A430000}"/>
    <cellStyle name="Percent 10 18" xfId="16925" xr:uid="{00000000-0005-0000-0000-00009B430000}"/>
    <cellStyle name="Percent 10 18 10" xfId="16926" xr:uid="{00000000-0005-0000-0000-00009C430000}"/>
    <cellStyle name="Percent 10 18 11" xfId="16927" xr:uid="{00000000-0005-0000-0000-00009D430000}"/>
    <cellStyle name="Percent 10 18 12" xfId="16928" xr:uid="{00000000-0005-0000-0000-00009E430000}"/>
    <cellStyle name="Percent 10 18 13" xfId="16929" xr:uid="{00000000-0005-0000-0000-00009F430000}"/>
    <cellStyle name="Percent 10 18 14" xfId="16930" xr:uid="{00000000-0005-0000-0000-0000A0430000}"/>
    <cellStyle name="Percent 10 18 15" xfId="16931" xr:uid="{00000000-0005-0000-0000-0000A1430000}"/>
    <cellStyle name="Percent 10 18 16" xfId="16932" xr:uid="{00000000-0005-0000-0000-0000A2430000}"/>
    <cellStyle name="Percent 10 18 17" xfId="16933" xr:uid="{00000000-0005-0000-0000-0000A3430000}"/>
    <cellStyle name="Percent 10 18 2" xfId="16934" xr:uid="{00000000-0005-0000-0000-0000A4430000}"/>
    <cellStyle name="Percent 10 18 3" xfId="16935" xr:uid="{00000000-0005-0000-0000-0000A5430000}"/>
    <cellStyle name="Percent 10 18 4" xfId="16936" xr:uid="{00000000-0005-0000-0000-0000A6430000}"/>
    <cellStyle name="Percent 10 18 5" xfId="16937" xr:uid="{00000000-0005-0000-0000-0000A7430000}"/>
    <cellStyle name="Percent 10 18 6" xfId="16938" xr:uid="{00000000-0005-0000-0000-0000A8430000}"/>
    <cellStyle name="Percent 10 18 7" xfId="16939" xr:uid="{00000000-0005-0000-0000-0000A9430000}"/>
    <cellStyle name="Percent 10 18 8" xfId="16940" xr:uid="{00000000-0005-0000-0000-0000AA430000}"/>
    <cellStyle name="Percent 10 18 9" xfId="16941" xr:uid="{00000000-0005-0000-0000-0000AB430000}"/>
    <cellStyle name="Percent 10 19" xfId="16942" xr:uid="{00000000-0005-0000-0000-0000AC430000}"/>
    <cellStyle name="Percent 10 19 10" xfId="16943" xr:uid="{00000000-0005-0000-0000-0000AD430000}"/>
    <cellStyle name="Percent 10 19 11" xfId="16944" xr:uid="{00000000-0005-0000-0000-0000AE430000}"/>
    <cellStyle name="Percent 10 19 12" xfId="16945" xr:uid="{00000000-0005-0000-0000-0000AF430000}"/>
    <cellStyle name="Percent 10 19 13" xfId="16946" xr:uid="{00000000-0005-0000-0000-0000B0430000}"/>
    <cellStyle name="Percent 10 19 14" xfId="16947" xr:uid="{00000000-0005-0000-0000-0000B1430000}"/>
    <cellStyle name="Percent 10 19 15" xfId="16948" xr:uid="{00000000-0005-0000-0000-0000B2430000}"/>
    <cellStyle name="Percent 10 19 16" xfId="16949" xr:uid="{00000000-0005-0000-0000-0000B3430000}"/>
    <cellStyle name="Percent 10 19 17" xfId="16950" xr:uid="{00000000-0005-0000-0000-0000B4430000}"/>
    <cellStyle name="Percent 10 19 2" xfId="16951" xr:uid="{00000000-0005-0000-0000-0000B5430000}"/>
    <cellStyle name="Percent 10 19 3" xfId="16952" xr:uid="{00000000-0005-0000-0000-0000B6430000}"/>
    <cellStyle name="Percent 10 19 4" xfId="16953" xr:uid="{00000000-0005-0000-0000-0000B7430000}"/>
    <cellStyle name="Percent 10 19 5" xfId="16954" xr:uid="{00000000-0005-0000-0000-0000B8430000}"/>
    <cellStyle name="Percent 10 19 6" xfId="16955" xr:uid="{00000000-0005-0000-0000-0000B9430000}"/>
    <cellStyle name="Percent 10 19 7" xfId="16956" xr:uid="{00000000-0005-0000-0000-0000BA430000}"/>
    <cellStyle name="Percent 10 19 8" xfId="16957" xr:uid="{00000000-0005-0000-0000-0000BB430000}"/>
    <cellStyle name="Percent 10 19 9" xfId="16958" xr:uid="{00000000-0005-0000-0000-0000BC430000}"/>
    <cellStyle name="Percent 10 2" xfId="16959" xr:uid="{00000000-0005-0000-0000-0000BD430000}"/>
    <cellStyle name="Percent 10 2 10" xfId="16960" xr:uid="{00000000-0005-0000-0000-0000BE430000}"/>
    <cellStyle name="Percent 10 2 11" xfId="16961" xr:uid="{00000000-0005-0000-0000-0000BF430000}"/>
    <cellStyle name="Percent 10 2 12" xfId="16962" xr:uid="{00000000-0005-0000-0000-0000C0430000}"/>
    <cellStyle name="Percent 10 2 13" xfId="16963" xr:uid="{00000000-0005-0000-0000-0000C1430000}"/>
    <cellStyle name="Percent 10 2 14" xfId="16964" xr:uid="{00000000-0005-0000-0000-0000C2430000}"/>
    <cellStyle name="Percent 10 2 15" xfId="16965" xr:uid="{00000000-0005-0000-0000-0000C3430000}"/>
    <cellStyle name="Percent 10 2 16" xfId="16966" xr:uid="{00000000-0005-0000-0000-0000C4430000}"/>
    <cellStyle name="Percent 10 2 17" xfId="16967" xr:uid="{00000000-0005-0000-0000-0000C5430000}"/>
    <cellStyle name="Percent 10 2 2" xfId="16968" xr:uid="{00000000-0005-0000-0000-0000C6430000}"/>
    <cellStyle name="Percent 10 2 2 10" xfId="16969" xr:uid="{00000000-0005-0000-0000-0000C7430000}"/>
    <cellStyle name="Percent 10 2 2 11" xfId="16970" xr:uid="{00000000-0005-0000-0000-0000C8430000}"/>
    <cellStyle name="Percent 10 2 2 12" xfId="16971" xr:uid="{00000000-0005-0000-0000-0000C9430000}"/>
    <cellStyle name="Percent 10 2 2 13" xfId="16972" xr:uid="{00000000-0005-0000-0000-0000CA430000}"/>
    <cellStyle name="Percent 10 2 2 14" xfId="16973" xr:uid="{00000000-0005-0000-0000-0000CB430000}"/>
    <cellStyle name="Percent 10 2 2 15" xfId="16974" xr:uid="{00000000-0005-0000-0000-0000CC430000}"/>
    <cellStyle name="Percent 10 2 2 16" xfId="16975" xr:uid="{00000000-0005-0000-0000-0000CD430000}"/>
    <cellStyle name="Percent 10 2 2 2" xfId="16976" xr:uid="{00000000-0005-0000-0000-0000CE430000}"/>
    <cellStyle name="Percent 10 2 2 2 10" xfId="16977" xr:uid="{00000000-0005-0000-0000-0000CF430000}"/>
    <cellStyle name="Percent 10 2 2 2 11" xfId="16978" xr:uid="{00000000-0005-0000-0000-0000D0430000}"/>
    <cellStyle name="Percent 10 2 2 2 12" xfId="16979" xr:uid="{00000000-0005-0000-0000-0000D1430000}"/>
    <cellStyle name="Percent 10 2 2 2 13" xfId="16980" xr:uid="{00000000-0005-0000-0000-0000D2430000}"/>
    <cellStyle name="Percent 10 2 2 2 2" xfId="16981" xr:uid="{00000000-0005-0000-0000-0000D3430000}"/>
    <cellStyle name="Percent 10 2 2 2 3" xfId="16982" xr:uid="{00000000-0005-0000-0000-0000D4430000}"/>
    <cellStyle name="Percent 10 2 2 2 4" xfId="16983" xr:uid="{00000000-0005-0000-0000-0000D5430000}"/>
    <cellStyle name="Percent 10 2 2 2 5" xfId="16984" xr:uid="{00000000-0005-0000-0000-0000D6430000}"/>
    <cellStyle name="Percent 10 2 2 2 6" xfId="16985" xr:uid="{00000000-0005-0000-0000-0000D7430000}"/>
    <cellStyle name="Percent 10 2 2 2 7" xfId="16986" xr:uid="{00000000-0005-0000-0000-0000D8430000}"/>
    <cellStyle name="Percent 10 2 2 2 8" xfId="16987" xr:uid="{00000000-0005-0000-0000-0000D9430000}"/>
    <cellStyle name="Percent 10 2 2 2 9" xfId="16988" xr:uid="{00000000-0005-0000-0000-0000DA430000}"/>
    <cellStyle name="Percent 10 2 2 3" xfId="16989" xr:uid="{00000000-0005-0000-0000-0000DB430000}"/>
    <cellStyle name="Percent 10 2 2 3 10" xfId="16990" xr:uid="{00000000-0005-0000-0000-0000DC430000}"/>
    <cellStyle name="Percent 10 2 2 3 11" xfId="16991" xr:uid="{00000000-0005-0000-0000-0000DD430000}"/>
    <cellStyle name="Percent 10 2 2 3 12" xfId="16992" xr:uid="{00000000-0005-0000-0000-0000DE430000}"/>
    <cellStyle name="Percent 10 2 2 3 13" xfId="16993" xr:uid="{00000000-0005-0000-0000-0000DF430000}"/>
    <cellStyle name="Percent 10 2 2 3 2" xfId="16994" xr:uid="{00000000-0005-0000-0000-0000E0430000}"/>
    <cellStyle name="Percent 10 2 2 3 3" xfId="16995" xr:uid="{00000000-0005-0000-0000-0000E1430000}"/>
    <cellStyle name="Percent 10 2 2 3 4" xfId="16996" xr:uid="{00000000-0005-0000-0000-0000E2430000}"/>
    <cellStyle name="Percent 10 2 2 3 5" xfId="16997" xr:uid="{00000000-0005-0000-0000-0000E3430000}"/>
    <cellStyle name="Percent 10 2 2 3 6" xfId="16998" xr:uid="{00000000-0005-0000-0000-0000E4430000}"/>
    <cellStyle name="Percent 10 2 2 3 7" xfId="16999" xr:uid="{00000000-0005-0000-0000-0000E5430000}"/>
    <cellStyle name="Percent 10 2 2 3 8" xfId="17000" xr:uid="{00000000-0005-0000-0000-0000E6430000}"/>
    <cellStyle name="Percent 10 2 2 3 9" xfId="17001" xr:uid="{00000000-0005-0000-0000-0000E7430000}"/>
    <cellStyle name="Percent 10 2 2 4" xfId="17002" xr:uid="{00000000-0005-0000-0000-0000E8430000}"/>
    <cellStyle name="Percent 10 2 2 4 10" xfId="17003" xr:uid="{00000000-0005-0000-0000-0000E9430000}"/>
    <cellStyle name="Percent 10 2 2 4 11" xfId="17004" xr:uid="{00000000-0005-0000-0000-0000EA430000}"/>
    <cellStyle name="Percent 10 2 2 4 12" xfId="17005" xr:uid="{00000000-0005-0000-0000-0000EB430000}"/>
    <cellStyle name="Percent 10 2 2 4 13" xfId="17006" xr:uid="{00000000-0005-0000-0000-0000EC430000}"/>
    <cellStyle name="Percent 10 2 2 4 14" xfId="17007" xr:uid="{00000000-0005-0000-0000-0000ED430000}"/>
    <cellStyle name="Percent 10 2 2 4 14 2" xfId="17008" xr:uid="{00000000-0005-0000-0000-0000EE430000}"/>
    <cellStyle name="Percent 10 2 2 4 14 2 2" xfId="17009" xr:uid="{00000000-0005-0000-0000-0000EF430000}"/>
    <cellStyle name="Percent 10 2 2 4 14 3" xfId="17010" xr:uid="{00000000-0005-0000-0000-0000F0430000}"/>
    <cellStyle name="Percent 10 2 2 4 2" xfId="17011" xr:uid="{00000000-0005-0000-0000-0000F1430000}"/>
    <cellStyle name="Percent 10 2 2 4 3" xfId="17012" xr:uid="{00000000-0005-0000-0000-0000F2430000}"/>
    <cellStyle name="Percent 10 2 2 4 4" xfId="17013" xr:uid="{00000000-0005-0000-0000-0000F3430000}"/>
    <cellStyle name="Percent 10 2 2 4 5" xfId="17014" xr:uid="{00000000-0005-0000-0000-0000F4430000}"/>
    <cellStyle name="Percent 10 2 2 4 6" xfId="17015" xr:uid="{00000000-0005-0000-0000-0000F5430000}"/>
    <cellStyle name="Percent 10 2 2 4 7" xfId="17016" xr:uid="{00000000-0005-0000-0000-0000F6430000}"/>
    <cellStyle name="Percent 10 2 2 4 8" xfId="17017" xr:uid="{00000000-0005-0000-0000-0000F7430000}"/>
    <cellStyle name="Percent 10 2 2 4 9" xfId="17018" xr:uid="{00000000-0005-0000-0000-0000F8430000}"/>
    <cellStyle name="Percent 10 2 2 5" xfId="17019" xr:uid="{00000000-0005-0000-0000-0000F9430000}"/>
    <cellStyle name="Percent 10 2 2 6" xfId="17020" xr:uid="{00000000-0005-0000-0000-0000FA430000}"/>
    <cellStyle name="Percent 10 2 2 7" xfId="17021" xr:uid="{00000000-0005-0000-0000-0000FB430000}"/>
    <cellStyle name="Percent 10 2 2 8" xfId="17022" xr:uid="{00000000-0005-0000-0000-0000FC430000}"/>
    <cellStyle name="Percent 10 2 2 9" xfId="17023" xr:uid="{00000000-0005-0000-0000-0000FD430000}"/>
    <cellStyle name="Percent 10 2 3" xfId="17024" xr:uid="{00000000-0005-0000-0000-0000FE430000}"/>
    <cellStyle name="Percent 10 2 3 10" xfId="17025" xr:uid="{00000000-0005-0000-0000-0000FF430000}"/>
    <cellStyle name="Percent 10 2 3 11" xfId="17026" xr:uid="{00000000-0005-0000-0000-000000440000}"/>
    <cellStyle name="Percent 10 2 3 12" xfId="17027" xr:uid="{00000000-0005-0000-0000-000001440000}"/>
    <cellStyle name="Percent 10 2 3 13" xfId="17028" xr:uid="{00000000-0005-0000-0000-000002440000}"/>
    <cellStyle name="Percent 10 2 3 2" xfId="17029" xr:uid="{00000000-0005-0000-0000-000003440000}"/>
    <cellStyle name="Percent 10 2 3 3" xfId="17030" xr:uid="{00000000-0005-0000-0000-000004440000}"/>
    <cellStyle name="Percent 10 2 3 4" xfId="17031" xr:uid="{00000000-0005-0000-0000-000005440000}"/>
    <cellStyle name="Percent 10 2 3 5" xfId="17032" xr:uid="{00000000-0005-0000-0000-000006440000}"/>
    <cellStyle name="Percent 10 2 3 6" xfId="17033" xr:uid="{00000000-0005-0000-0000-000007440000}"/>
    <cellStyle name="Percent 10 2 3 7" xfId="17034" xr:uid="{00000000-0005-0000-0000-000008440000}"/>
    <cellStyle name="Percent 10 2 3 8" xfId="17035" xr:uid="{00000000-0005-0000-0000-000009440000}"/>
    <cellStyle name="Percent 10 2 3 9" xfId="17036" xr:uid="{00000000-0005-0000-0000-00000A440000}"/>
    <cellStyle name="Percent 10 2 4" xfId="17037" xr:uid="{00000000-0005-0000-0000-00000B440000}"/>
    <cellStyle name="Percent 10 2 5" xfId="17038" xr:uid="{00000000-0005-0000-0000-00000C440000}"/>
    <cellStyle name="Percent 10 2 6" xfId="17039" xr:uid="{00000000-0005-0000-0000-00000D440000}"/>
    <cellStyle name="Percent 10 2 7" xfId="17040" xr:uid="{00000000-0005-0000-0000-00000E440000}"/>
    <cellStyle name="Percent 10 2 8" xfId="17041" xr:uid="{00000000-0005-0000-0000-00000F440000}"/>
    <cellStyle name="Percent 10 2 9" xfId="17042" xr:uid="{00000000-0005-0000-0000-000010440000}"/>
    <cellStyle name="Percent 10 20" xfId="17043" xr:uid="{00000000-0005-0000-0000-000011440000}"/>
    <cellStyle name="Percent 10 20 10" xfId="17044" xr:uid="{00000000-0005-0000-0000-000012440000}"/>
    <cellStyle name="Percent 10 20 11" xfId="17045" xr:uid="{00000000-0005-0000-0000-000013440000}"/>
    <cellStyle name="Percent 10 20 12" xfId="17046" xr:uid="{00000000-0005-0000-0000-000014440000}"/>
    <cellStyle name="Percent 10 20 13" xfId="17047" xr:uid="{00000000-0005-0000-0000-000015440000}"/>
    <cellStyle name="Percent 10 20 14" xfId="17048" xr:uid="{00000000-0005-0000-0000-000016440000}"/>
    <cellStyle name="Percent 10 20 15" xfId="17049" xr:uid="{00000000-0005-0000-0000-000017440000}"/>
    <cellStyle name="Percent 10 20 16" xfId="17050" xr:uid="{00000000-0005-0000-0000-000018440000}"/>
    <cellStyle name="Percent 10 20 17" xfId="17051" xr:uid="{00000000-0005-0000-0000-000019440000}"/>
    <cellStyle name="Percent 10 20 2" xfId="17052" xr:uid="{00000000-0005-0000-0000-00001A440000}"/>
    <cellStyle name="Percent 10 20 3" xfId="17053" xr:uid="{00000000-0005-0000-0000-00001B440000}"/>
    <cellStyle name="Percent 10 20 4" xfId="17054" xr:uid="{00000000-0005-0000-0000-00001C440000}"/>
    <cellStyle name="Percent 10 20 5" xfId="17055" xr:uid="{00000000-0005-0000-0000-00001D440000}"/>
    <cellStyle name="Percent 10 20 6" xfId="17056" xr:uid="{00000000-0005-0000-0000-00001E440000}"/>
    <cellStyle name="Percent 10 20 7" xfId="17057" xr:uid="{00000000-0005-0000-0000-00001F440000}"/>
    <cellStyle name="Percent 10 20 8" xfId="17058" xr:uid="{00000000-0005-0000-0000-000020440000}"/>
    <cellStyle name="Percent 10 20 9" xfId="17059" xr:uid="{00000000-0005-0000-0000-000021440000}"/>
    <cellStyle name="Percent 10 21" xfId="17060" xr:uid="{00000000-0005-0000-0000-000022440000}"/>
    <cellStyle name="Percent 10 21 10" xfId="17061" xr:uid="{00000000-0005-0000-0000-000023440000}"/>
    <cellStyle name="Percent 10 21 11" xfId="17062" xr:uid="{00000000-0005-0000-0000-000024440000}"/>
    <cellStyle name="Percent 10 21 12" xfId="17063" xr:uid="{00000000-0005-0000-0000-000025440000}"/>
    <cellStyle name="Percent 10 21 13" xfId="17064" xr:uid="{00000000-0005-0000-0000-000026440000}"/>
    <cellStyle name="Percent 10 21 14" xfId="17065" xr:uid="{00000000-0005-0000-0000-000027440000}"/>
    <cellStyle name="Percent 10 21 15" xfId="17066" xr:uid="{00000000-0005-0000-0000-000028440000}"/>
    <cellStyle name="Percent 10 21 16" xfId="17067" xr:uid="{00000000-0005-0000-0000-000029440000}"/>
    <cellStyle name="Percent 10 21 17" xfId="17068" xr:uid="{00000000-0005-0000-0000-00002A440000}"/>
    <cellStyle name="Percent 10 21 2" xfId="17069" xr:uid="{00000000-0005-0000-0000-00002B440000}"/>
    <cellStyle name="Percent 10 21 3" xfId="17070" xr:uid="{00000000-0005-0000-0000-00002C440000}"/>
    <cellStyle name="Percent 10 21 4" xfId="17071" xr:uid="{00000000-0005-0000-0000-00002D440000}"/>
    <cellStyle name="Percent 10 21 5" xfId="17072" xr:uid="{00000000-0005-0000-0000-00002E440000}"/>
    <cellStyle name="Percent 10 21 6" xfId="17073" xr:uid="{00000000-0005-0000-0000-00002F440000}"/>
    <cellStyle name="Percent 10 21 7" xfId="17074" xr:uid="{00000000-0005-0000-0000-000030440000}"/>
    <cellStyle name="Percent 10 21 8" xfId="17075" xr:uid="{00000000-0005-0000-0000-000031440000}"/>
    <cellStyle name="Percent 10 21 9" xfId="17076" xr:uid="{00000000-0005-0000-0000-000032440000}"/>
    <cellStyle name="Percent 10 22" xfId="17077" xr:uid="{00000000-0005-0000-0000-000033440000}"/>
    <cellStyle name="Percent 10 22 10" xfId="17078" xr:uid="{00000000-0005-0000-0000-000034440000}"/>
    <cellStyle name="Percent 10 22 11" xfId="17079" xr:uid="{00000000-0005-0000-0000-000035440000}"/>
    <cellStyle name="Percent 10 22 12" xfId="17080" xr:uid="{00000000-0005-0000-0000-000036440000}"/>
    <cellStyle name="Percent 10 22 13" xfId="17081" xr:uid="{00000000-0005-0000-0000-000037440000}"/>
    <cellStyle name="Percent 10 22 14" xfId="17082" xr:uid="{00000000-0005-0000-0000-000038440000}"/>
    <cellStyle name="Percent 10 22 15" xfId="17083" xr:uid="{00000000-0005-0000-0000-000039440000}"/>
    <cellStyle name="Percent 10 22 16" xfId="17084" xr:uid="{00000000-0005-0000-0000-00003A440000}"/>
    <cellStyle name="Percent 10 22 17" xfId="17085" xr:uid="{00000000-0005-0000-0000-00003B440000}"/>
    <cellStyle name="Percent 10 22 2" xfId="17086" xr:uid="{00000000-0005-0000-0000-00003C440000}"/>
    <cellStyle name="Percent 10 22 3" xfId="17087" xr:uid="{00000000-0005-0000-0000-00003D440000}"/>
    <cellStyle name="Percent 10 22 4" xfId="17088" xr:uid="{00000000-0005-0000-0000-00003E440000}"/>
    <cellStyle name="Percent 10 22 5" xfId="17089" xr:uid="{00000000-0005-0000-0000-00003F440000}"/>
    <cellStyle name="Percent 10 22 6" xfId="17090" xr:uid="{00000000-0005-0000-0000-000040440000}"/>
    <cellStyle name="Percent 10 22 7" xfId="17091" xr:uid="{00000000-0005-0000-0000-000041440000}"/>
    <cellStyle name="Percent 10 22 8" xfId="17092" xr:uid="{00000000-0005-0000-0000-000042440000}"/>
    <cellStyle name="Percent 10 22 9" xfId="17093" xr:uid="{00000000-0005-0000-0000-000043440000}"/>
    <cellStyle name="Percent 10 23" xfId="17094" xr:uid="{00000000-0005-0000-0000-000044440000}"/>
    <cellStyle name="Percent 10 24" xfId="17095" xr:uid="{00000000-0005-0000-0000-000045440000}"/>
    <cellStyle name="Percent 10 25" xfId="17096" xr:uid="{00000000-0005-0000-0000-000046440000}"/>
    <cellStyle name="Percent 10 26" xfId="17097" xr:uid="{00000000-0005-0000-0000-000047440000}"/>
    <cellStyle name="Percent 10 27" xfId="17098" xr:uid="{00000000-0005-0000-0000-000048440000}"/>
    <cellStyle name="Percent 10 28" xfId="17099" xr:uid="{00000000-0005-0000-0000-000049440000}"/>
    <cellStyle name="Percent 10 29" xfId="17100" xr:uid="{00000000-0005-0000-0000-00004A440000}"/>
    <cellStyle name="Percent 10 3" xfId="17101" xr:uid="{00000000-0005-0000-0000-00004B440000}"/>
    <cellStyle name="Percent 10 3 10" xfId="17102" xr:uid="{00000000-0005-0000-0000-00004C440000}"/>
    <cellStyle name="Percent 10 3 11" xfId="17103" xr:uid="{00000000-0005-0000-0000-00004D440000}"/>
    <cellStyle name="Percent 10 3 12" xfId="17104" xr:uid="{00000000-0005-0000-0000-00004E440000}"/>
    <cellStyle name="Percent 10 3 13" xfId="17105" xr:uid="{00000000-0005-0000-0000-00004F440000}"/>
    <cellStyle name="Percent 10 3 14" xfId="17106" xr:uid="{00000000-0005-0000-0000-000050440000}"/>
    <cellStyle name="Percent 10 3 15" xfId="17107" xr:uid="{00000000-0005-0000-0000-000051440000}"/>
    <cellStyle name="Percent 10 3 16" xfId="17108" xr:uid="{00000000-0005-0000-0000-000052440000}"/>
    <cellStyle name="Percent 10 3 17" xfId="17109" xr:uid="{00000000-0005-0000-0000-000053440000}"/>
    <cellStyle name="Percent 10 3 2" xfId="17110" xr:uid="{00000000-0005-0000-0000-000054440000}"/>
    <cellStyle name="Percent 10 3 3" xfId="17111" xr:uid="{00000000-0005-0000-0000-000055440000}"/>
    <cellStyle name="Percent 10 3 4" xfId="17112" xr:uid="{00000000-0005-0000-0000-000056440000}"/>
    <cellStyle name="Percent 10 3 5" xfId="17113" xr:uid="{00000000-0005-0000-0000-000057440000}"/>
    <cellStyle name="Percent 10 3 6" xfId="17114" xr:uid="{00000000-0005-0000-0000-000058440000}"/>
    <cellStyle name="Percent 10 3 7" xfId="17115" xr:uid="{00000000-0005-0000-0000-000059440000}"/>
    <cellStyle name="Percent 10 3 8" xfId="17116" xr:uid="{00000000-0005-0000-0000-00005A440000}"/>
    <cellStyle name="Percent 10 3 9" xfId="17117" xr:uid="{00000000-0005-0000-0000-00005B440000}"/>
    <cellStyle name="Percent 10 30" xfId="17118" xr:uid="{00000000-0005-0000-0000-00005C440000}"/>
    <cellStyle name="Percent 10 31" xfId="17119" xr:uid="{00000000-0005-0000-0000-00005D440000}"/>
    <cellStyle name="Percent 10 32" xfId="17120" xr:uid="{00000000-0005-0000-0000-00005E440000}"/>
    <cellStyle name="Percent 10 33" xfId="17121" xr:uid="{00000000-0005-0000-0000-00005F440000}"/>
    <cellStyle name="Percent 10 34" xfId="17122" xr:uid="{00000000-0005-0000-0000-000060440000}"/>
    <cellStyle name="Percent 10 35" xfId="17123" xr:uid="{00000000-0005-0000-0000-000061440000}"/>
    <cellStyle name="Percent 10 36" xfId="17124" xr:uid="{00000000-0005-0000-0000-000062440000}"/>
    <cellStyle name="Percent 10 37" xfId="17125" xr:uid="{00000000-0005-0000-0000-000063440000}"/>
    <cellStyle name="Percent 10 38" xfId="17126" xr:uid="{00000000-0005-0000-0000-000064440000}"/>
    <cellStyle name="Percent 10 39" xfId="17127" xr:uid="{00000000-0005-0000-0000-000065440000}"/>
    <cellStyle name="Percent 10 4" xfId="17128" xr:uid="{00000000-0005-0000-0000-000066440000}"/>
    <cellStyle name="Percent 10 4 10" xfId="17129" xr:uid="{00000000-0005-0000-0000-000067440000}"/>
    <cellStyle name="Percent 10 4 11" xfId="17130" xr:uid="{00000000-0005-0000-0000-000068440000}"/>
    <cellStyle name="Percent 10 4 12" xfId="17131" xr:uid="{00000000-0005-0000-0000-000069440000}"/>
    <cellStyle name="Percent 10 4 13" xfId="17132" xr:uid="{00000000-0005-0000-0000-00006A440000}"/>
    <cellStyle name="Percent 10 4 14" xfId="17133" xr:uid="{00000000-0005-0000-0000-00006B440000}"/>
    <cellStyle name="Percent 10 4 15" xfId="17134" xr:uid="{00000000-0005-0000-0000-00006C440000}"/>
    <cellStyle name="Percent 10 4 16" xfId="17135" xr:uid="{00000000-0005-0000-0000-00006D440000}"/>
    <cellStyle name="Percent 10 4 17" xfId="17136" xr:uid="{00000000-0005-0000-0000-00006E440000}"/>
    <cellStyle name="Percent 10 4 2" xfId="17137" xr:uid="{00000000-0005-0000-0000-00006F440000}"/>
    <cellStyle name="Percent 10 4 3" xfId="17138" xr:uid="{00000000-0005-0000-0000-000070440000}"/>
    <cellStyle name="Percent 10 4 4" xfId="17139" xr:uid="{00000000-0005-0000-0000-000071440000}"/>
    <cellStyle name="Percent 10 4 5" xfId="17140" xr:uid="{00000000-0005-0000-0000-000072440000}"/>
    <cellStyle name="Percent 10 4 6" xfId="17141" xr:uid="{00000000-0005-0000-0000-000073440000}"/>
    <cellStyle name="Percent 10 4 7" xfId="17142" xr:uid="{00000000-0005-0000-0000-000074440000}"/>
    <cellStyle name="Percent 10 4 8" xfId="17143" xr:uid="{00000000-0005-0000-0000-000075440000}"/>
    <cellStyle name="Percent 10 4 9" xfId="17144" xr:uid="{00000000-0005-0000-0000-000076440000}"/>
    <cellStyle name="Percent 10 40" xfId="17145" xr:uid="{00000000-0005-0000-0000-000077440000}"/>
    <cellStyle name="Percent 10 41" xfId="17146" xr:uid="{00000000-0005-0000-0000-000078440000}"/>
    <cellStyle name="Percent 10 42" xfId="17147" xr:uid="{00000000-0005-0000-0000-000079440000}"/>
    <cellStyle name="Percent 10 43" xfId="17148" xr:uid="{00000000-0005-0000-0000-00007A440000}"/>
    <cellStyle name="Percent 10 44" xfId="17149" xr:uid="{00000000-0005-0000-0000-00007B440000}"/>
    <cellStyle name="Percent 10 45" xfId="17150" xr:uid="{00000000-0005-0000-0000-00007C440000}"/>
    <cellStyle name="Percent 10 46" xfId="17151" xr:uid="{00000000-0005-0000-0000-00007D440000}"/>
    <cellStyle name="Percent 10 47" xfId="17152" xr:uid="{00000000-0005-0000-0000-00007E440000}"/>
    <cellStyle name="Percent 10 48" xfId="17153" xr:uid="{00000000-0005-0000-0000-00007F440000}"/>
    <cellStyle name="Percent 10 49" xfId="17154" xr:uid="{00000000-0005-0000-0000-000080440000}"/>
    <cellStyle name="Percent 10 5" xfId="17155" xr:uid="{00000000-0005-0000-0000-000081440000}"/>
    <cellStyle name="Percent 10 5 10" xfId="17156" xr:uid="{00000000-0005-0000-0000-000082440000}"/>
    <cellStyle name="Percent 10 5 11" xfId="17157" xr:uid="{00000000-0005-0000-0000-000083440000}"/>
    <cellStyle name="Percent 10 5 12" xfId="17158" xr:uid="{00000000-0005-0000-0000-000084440000}"/>
    <cellStyle name="Percent 10 5 13" xfId="17159" xr:uid="{00000000-0005-0000-0000-000085440000}"/>
    <cellStyle name="Percent 10 5 14" xfId="17160" xr:uid="{00000000-0005-0000-0000-000086440000}"/>
    <cellStyle name="Percent 10 5 15" xfId="17161" xr:uid="{00000000-0005-0000-0000-000087440000}"/>
    <cellStyle name="Percent 10 5 16" xfId="17162" xr:uid="{00000000-0005-0000-0000-000088440000}"/>
    <cellStyle name="Percent 10 5 17" xfId="17163" xr:uid="{00000000-0005-0000-0000-000089440000}"/>
    <cellStyle name="Percent 10 5 2" xfId="17164" xr:uid="{00000000-0005-0000-0000-00008A440000}"/>
    <cellStyle name="Percent 10 5 3" xfId="17165" xr:uid="{00000000-0005-0000-0000-00008B440000}"/>
    <cellStyle name="Percent 10 5 4" xfId="17166" xr:uid="{00000000-0005-0000-0000-00008C440000}"/>
    <cellStyle name="Percent 10 5 5" xfId="17167" xr:uid="{00000000-0005-0000-0000-00008D440000}"/>
    <cellStyle name="Percent 10 5 6" xfId="17168" xr:uid="{00000000-0005-0000-0000-00008E440000}"/>
    <cellStyle name="Percent 10 5 7" xfId="17169" xr:uid="{00000000-0005-0000-0000-00008F440000}"/>
    <cellStyle name="Percent 10 5 8" xfId="17170" xr:uid="{00000000-0005-0000-0000-000090440000}"/>
    <cellStyle name="Percent 10 5 9" xfId="17171" xr:uid="{00000000-0005-0000-0000-000091440000}"/>
    <cellStyle name="Percent 10 50" xfId="17172" xr:uid="{00000000-0005-0000-0000-000092440000}"/>
    <cellStyle name="Percent 10 51" xfId="17173" xr:uid="{00000000-0005-0000-0000-000093440000}"/>
    <cellStyle name="Percent 10 52" xfId="17174" xr:uid="{00000000-0005-0000-0000-000094440000}"/>
    <cellStyle name="Percent 10 53" xfId="17175" xr:uid="{00000000-0005-0000-0000-000095440000}"/>
    <cellStyle name="Percent 10 54" xfId="17176" xr:uid="{00000000-0005-0000-0000-000096440000}"/>
    <cellStyle name="Percent 10 55" xfId="17177" xr:uid="{00000000-0005-0000-0000-000097440000}"/>
    <cellStyle name="Percent 10 56" xfId="17178" xr:uid="{00000000-0005-0000-0000-000098440000}"/>
    <cellStyle name="Percent 10 57" xfId="17179" xr:uid="{00000000-0005-0000-0000-000099440000}"/>
    <cellStyle name="Percent 10 58" xfId="17180" xr:uid="{00000000-0005-0000-0000-00009A440000}"/>
    <cellStyle name="Percent 10 59" xfId="17181" xr:uid="{00000000-0005-0000-0000-00009B440000}"/>
    <cellStyle name="Percent 10 6" xfId="17182" xr:uid="{00000000-0005-0000-0000-00009C440000}"/>
    <cellStyle name="Percent 10 6 10" xfId="17183" xr:uid="{00000000-0005-0000-0000-00009D440000}"/>
    <cellStyle name="Percent 10 6 11" xfId="17184" xr:uid="{00000000-0005-0000-0000-00009E440000}"/>
    <cellStyle name="Percent 10 6 12" xfId="17185" xr:uid="{00000000-0005-0000-0000-00009F440000}"/>
    <cellStyle name="Percent 10 6 13" xfId="17186" xr:uid="{00000000-0005-0000-0000-0000A0440000}"/>
    <cellStyle name="Percent 10 6 14" xfId="17187" xr:uid="{00000000-0005-0000-0000-0000A1440000}"/>
    <cellStyle name="Percent 10 6 15" xfId="17188" xr:uid="{00000000-0005-0000-0000-0000A2440000}"/>
    <cellStyle name="Percent 10 6 16" xfId="17189" xr:uid="{00000000-0005-0000-0000-0000A3440000}"/>
    <cellStyle name="Percent 10 6 17" xfId="17190" xr:uid="{00000000-0005-0000-0000-0000A4440000}"/>
    <cellStyle name="Percent 10 6 2" xfId="17191" xr:uid="{00000000-0005-0000-0000-0000A5440000}"/>
    <cellStyle name="Percent 10 6 3" xfId="17192" xr:uid="{00000000-0005-0000-0000-0000A6440000}"/>
    <cellStyle name="Percent 10 6 4" xfId="17193" xr:uid="{00000000-0005-0000-0000-0000A7440000}"/>
    <cellStyle name="Percent 10 6 5" xfId="17194" xr:uid="{00000000-0005-0000-0000-0000A8440000}"/>
    <cellStyle name="Percent 10 6 6" xfId="17195" xr:uid="{00000000-0005-0000-0000-0000A9440000}"/>
    <cellStyle name="Percent 10 6 7" xfId="17196" xr:uid="{00000000-0005-0000-0000-0000AA440000}"/>
    <cellStyle name="Percent 10 6 8" xfId="17197" xr:uid="{00000000-0005-0000-0000-0000AB440000}"/>
    <cellStyle name="Percent 10 6 9" xfId="17198" xr:uid="{00000000-0005-0000-0000-0000AC440000}"/>
    <cellStyle name="Percent 10 60" xfId="17199" xr:uid="{00000000-0005-0000-0000-0000AD440000}"/>
    <cellStyle name="Percent 10 61" xfId="17200" xr:uid="{00000000-0005-0000-0000-0000AE440000}"/>
    <cellStyle name="Percent 10 62" xfId="17201" xr:uid="{00000000-0005-0000-0000-0000AF440000}"/>
    <cellStyle name="Percent 10 63" xfId="17202" xr:uid="{00000000-0005-0000-0000-0000B0440000}"/>
    <cellStyle name="Percent 10 64" xfId="17203" xr:uid="{00000000-0005-0000-0000-0000B1440000}"/>
    <cellStyle name="Percent 10 64 2" xfId="17204" xr:uid="{00000000-0005-0000-0000-0000B2440000}"/>
    <cellStyle name="Percent 10 65" xfId="17205" xr:uid="{00000000-0005-0000-0000-0000B3440000}"/>
    <cellStyle name="Percent 10 66" xfId="17206" xr:uid="{00000000-0005-0000-0000-0000B4440000}"/>
    <cellStyle name="Percent 10 67" xfId="17207" xr:uid="{00000000-0005-0000-0000-0000B5440000}"/>
    <cellStyle name="Percent 10 68" xfId="17208" xr:uid="{00000000-0005-0000-0000-0000B6440000}"/>
    <cellStyle name="Percent 10 69" xfId="17209" xr:uid="{00000000-0005-0000-0000-0000B7440000}"/>
    <cellStyle name="Percent 10 7" xfId="17210" xr:uid="{00000000-0005-0000-0000-0000B8440000}"/>
    <cellStyle name="Percent 10 7 10" xfId="17211" xr:uid="{00000000-0005-0000-0000-0000B9440000}"/>
    <cellStyle name="Percent 10 7 11" xfId="17212" xr:uid="{00000000-0005-0000-0000-0000BA440000}"/>
    <cellStyle name="Percent 10 7 12" xfId="17213" xr:uid="{00000000-0005-0000-0000-0000BB440000}"/>
    <cellStyle name="Percent 10 7 13" xfId="17214" xr:uid="{00000000-0005-0000-0000-0000BC440000}"/>
    <cellStyle name="Percent 10 7 14" xfId="17215" xr:uid="{00000000-0005-0000-0000-0000BD440000}"/>
    <cellStyle name="Percent 10 7 15" xfId="17216" xr:uid="{00000000-0005-0000-0000-0000BE440000}"/>
    <cellStyle name="Percent 10 7 16" xfId="17217" xr:uid="{00000000-0005-0000-0000-0000BF440000}"/>
    <cellStyle name="Percent 10 7 17" xfId="17218" xr:uid="{00000000-0005-0000-0000-0000C0440000}"/>
    <cellStyle name="Percent 10 7 2" xfId="17219" xr:uid="{00000000-0005-0000-0000-0000C1440000}"/>
    <cellStyle name="Percent 10 7 3" xfId="17220" xr:uid="{00000000-0005-0000-0000-0000C2440000}"/>
    <cellStyle name="Percent 10 7 4" xfId="17221" xr:uid="{00000000-0005-0000-0000-0000C3440000}"/>
    <cellStyle name="Percent 10 7 5" xfId="17222" xr:uid="{00000000-0005-0000-0000-0000C4440000}"/>
    <cellStyle name="Percent 10 7 6" xfId="17223" xr:uid="{00000000-0005-0000-0000-0000C5440000}"/>
    <cellStyle name="Percent 10 7 7" xfId="17224" xr:uid="{00000000-0005-0000-0000-0000C6440000}"/>
    <cellStyle name="Percent 10 7 8" xfId="17225" xr:uid="{00000000-0005-0000-0000-0000C7440000}"/>
    <cellStyle name="Percent 10 7 9" xfId="17226" xr:uid="{00000000-0005-0000-0000-0000C8440000}"/>
    <cellStyle name="Percent 10 70" xfId="17227" xr:uid="{00000000-0005-0000-0000-0000C9440000}"/>
    <cellStyle name="Percent 10 71" xfId="17228" xr:uid="{00000000-0005-0000-0000-0000CA440000}"/>
    <cellStyle name="Percent 10 72" xfId="17229" xr:uid="{00000000-0005-0000-0000-0000CB440000}"/>
    <cellStyle name="Percent 10 73" xfId="17230" xr:uid="{00000000-0005-0000-0000-0000CC440000}"/>
    <cellStyle name="Percent 10 74" xfId="17231" xr:uid="{00000000-0005-0000-0000-0000CD440000}"/>
    <cellStyle name="Percent 10 75" xfId="17232" xr:uid="{00000000-0005-0000-0000-0000CE440000}"/>
    <cellStyle name="Percent 10 76" xfId="17233" xr:uid="{00000000-0005-0000-0000-0000CF440000}"/>
    <cellStyle name="Percent 10 77" xfId="17234" xr:uid="{00000000-0005-0000-0000-0000D0440000}"/>
    <cellStyle name="Percent 10 78" xfId="17235" xr:uid="{00000000-0005-0000-0000-0000D1440000}"/>
    <cellStyle name="Percent 10 79" xfId="17236" xr:uid="{00000000-0005-0000-0000-0000D2440000}"/>
    <cellStyle name="Percent 10 8" xfId="17237" xr:uid="{00000000-0005-0000-0000-0000D3440000}"/>
    <cellStyle name="Percent 10 8 10" xfId="17238" xr:uid="{00000000-0005-0000-0000-0000D4440000}"/>
    <cellStyle name="Percent 10 8 11" xfId="17239" xr:uid="{00000000-0005-0000-0000-0000D5440000}"/>
    <cellStyle name="Percent 10 8 12" xfId="17240" xr:uid="{00000000-0005-0000-0000-0000D6440000}"/>
    <cellStyle name="Percent 10 8 13" xfId="17241" xr:uid="{00000000-0005-0000-0000-0000D7440000}"/>
    <cellStyle name="Percent 10 8 14" xfId="17242" xr:uid="{00000000-0005-0000-0000-0000D8440000}"/>
    <cellStyle name="Percent 10 8 15" xfId="17243" xr:uid="{00000000-0005-0000-0000-0000D9440000}"/>
    <cellStyle name="Percent 10 8 16" xfId="17244" xr:uid="{00000000-0005-0000-0000-0000DA440000}"/>
    <cellStyle name="Percent 10 8 17" xfId="17245" xr:uid="{00000000-0005-0000-0000-0000DB440000}"/>
    <cellStyle name="Percent 10 8 2" xfId="17246" xr:uid="{00000000-0005-0000-0000-0000DC440000}"/>
    <cellStyle name="Percent 10 8 3" xfId="17247" xr:uid="{00000000-0005-0000-0000-0000DD440000}"/>
    <cellStyle name="Percent 10 8 4" xfId="17248" xr:uid="{00000000-0005-0000-0000-0000DE440000}"/>
    <cellStyle name="Percent 10 8 5" xfId="17249" xr:uid="{00000000-0005-0000-0000-0000DF440000}"/>
    <cellStyle name="Percent 10 8 6" xfId="17250" xr:uid="{00000000-0005-0000-0000-0000E0440000}"/>
    <cellStyle name="Percent 10 8 7" xfId="17251" xr:uid="{00000000-0005-0000-0000-0000E1440000}"/>
    <cellStyle name="Percent 10 8 8" xfId="17252" xr:uid="{00000000-0005-0000-0000-0000E2440000}"/>
    <cellStyle name="Percent 10 8 9" xfId="17253" xr:uid="{00000000-0005-0000-0000-0000E3440000}"/>
    <cellStyle name="Percent 10 80" xfId="17254" xr:uid="{00000000-0005-0000-0000-0000E4440000}"/>
    <cellStyle name="Percent 10 81" xfId="17255" xr:uid="{00000000-0005-0000-0000-0000E5440000}"/>
    <cellStyle name="Percent 10 82" xfId="17256" xr:uid="{00000000-0005-0000-0000-0000E6440000}"/>
    <cellStyle name="Percent 10 83" xfId="17257" xr:uid="{00000000-0005-0000-0000-0000E7440000}"/>
    <cellStyle name="Percent 10 84" xfId="17258" xr:uid="{00000000-0005-0000-0000-0000E8440000}"/>
    <cellStyle name="Percent 10 85" xfId="17259" xr:uid="{00000000-0005-0000-0000-0000E9440000}"/>
    <cellStyle name="Percent 10 86" xfId="17260" xr:uid="{00000000-0005-0000-0000-0000EA440000}"/>
    <cellStyle name="Percent 10 87" xfId="17261" xr:uid="{00000000-0005-0000-0000-0000EB440000}"/>
    <cellStyle name="Percent 10 88" xfId="17262" xr:uid="{00000000-0005-0000-0000-0000EC440000}"/>
    <cellStyle name="Percent 10 89" xfId="17263" xr:uid="{00000000-0005-0000-0000-0000ED440000}"/>
    <cellStyle name="Percent 10 9" xfId="17264" xr:uid="{00000000-0005-0000-0000-0000EE440000}"/>
    <cellStyle name="Percent 10 9 10" xfId="17265" xr:uid="{00000000-0005-0000-0000-0000EF440000}"/>
    <cellStyle name="Percent 10 9 11" xfId="17266" xr:uid="{00000000-0005-0000-0000-0000F0440000}"/>
    <cellStyle name="Percent 10 9 12" xfId="17267" xr:uid="{00000000-0005-0000-0000-0000F1440000}"/>
    <cellStyle name="Percent 10 9 13" xfId="17268" xr:uid="{00000000-0005-0000-0000-0000F2440000}"/>
    <cellStyle name="Percent 10 9 14" xfId="17269" xr:uid="{00000000-0005-0000-0000-0000F3440000}"/>
    <cellStyle name="Percent 10 9 15" xfId="17270" xr:uid="{00000000-0005-0000-0000-0000F4440000}"/>
    <cellStyle name="Percent 10 9 16" xfId="17271" xr:uid="{00000000-0005-0000-0000-0000F5440000}"/>
    <cellStyle name="Percent 10 9 17" xfId="17272" xr:uid="{00000000-0005-0000-0000-0000F6440000}"/>
    <cellStyle name="Percent 10 9 2" xfId="17273" xr:uid="{00000000-0005-0000-0000-0000F7440000}"/>
    <cellStyle name="Percent 10 9 3" xfId="17274" xr:uid="{00000000-0005-0000-0000-0000F8440000}"/>
    <cellStyle name="Percent 10 9 4" xfId="17275" xr:uid="{00000000-0005-0000-0000-0000F9440000}"/>
    <cellStyle name="Percent 10 9 5" xfId="17276" xr:uid="{00000000-0005-0000-0000-0000FA440000}"/>
    <cellStyle name="Percent 10 9 6" xfId="17277" xr:uid="{00000000-0005-0000-0000-0000FB440000}"/>
    <cellStyle name="Percent 10 9 7" xfId="17278" xr:uid="{00000000-0005-0000-0000-0000FC440000}"/>
    <cellStyle name="Percent 10 9 8" xfId="17279" xr:uid="{00000000-0005-0000-0000-0000FD440000}"/>
    <cellStyle name="Percent 10 9 9" xfId="17280" xr:uid="{00000000-0005-0000-0000-0000FE440000}"/>
    <cellStyle name="Percent 10 90" xfId="17281" xr:uid="{00000000-0005-0000-0000-0000FF440000}"/>
    <cellStyle name="Percent 10 91" xfId="17282" xr:uid="{00000000-0005-0000-0000-000000450000}"/>
    <cellStyle name="Percent 10 92" xfId="17283" xr:uid="{00000000-0005-0000-0000-000001450000}"/>
    <cellStyle name="Percent 10 93" xfId="17284" xr:uid="{00000000-0005-0000-0000-000002450000}"/>
    <cellStyle name="Percent 10 94" xfId="17285" xr:uid="{00000000-0005-0000-0000-000003450000}"/>
    <cellStyle name="Percent 10 95" xfId="17286" xr:uid="{00000000-0005-0000-0000-000004450000}"/>
    <cellStyle name="Percent 11" xfId="17287" xr:uid="{00000000-0005-0000-0000-000005450000}"/>
    <cellStyle name="Percent 12" xfId="17288" xr:uid="{00000000-0005-0000-0000-000006450000}"/>
    <cellStyle name="Percent 12 2" xfId="17289" xr:uid="{00000000-0005-0000-0000-000007450000}"/>
    <cellStyle name="Percent 12 2 2" xfId="17290" xr:uid="{00000000-0005-0000-0000-000008450000}"/>
    <cellStyle name="Percent 13" xfId="17291" xr:uid="{00000000-0005-0000-0000-000009450000}"/>
    <cellStyle name="Percent 14" xfId="17292" xr:uid="{00000000-0005-0000-0000-00000A450000}"/>
    <cellStyle name="Percent 14 2" xfId="17293" xr:uid="{00000000-0005-0000-0000-00000B450000}"/>
    <cellStyle name="Percent 15" xfId="17294" xr:uid="{00000000-0005-0000-0000-00000C450000}"/>
    <cellStyle name="Percent 15 2" xfId="17295" xr:uid="{00000000-0005-0000-0000-00000D450000}"/>
    <cellStyle name="Percent 15 3" xfId="17296" xr:uid="{00000000-0005-0000-0000-00000E450000}"/>
    <cellStyle name="Percent 16" xfId="17297" xr:uid="{00000000-0005-0000-0000-00000F450000}"/>
    <cellStyle name="Percent 17" xfId="17298" xr:uid="{00000000-0005-0000-0000-000010450000}"/>
    <cellStyle name="Percent 17 2" xfId="17299" xr:uid="{00000000-0005-0000-0000-000011450000}"/>
    <cellStyle name="Percent 17 2 2" xfId="17300" xr:uid="{00000000-0005-0000-0000-000012450000}"/>
    <cellStyle name="Percent 18" xfId="42048" xr:uid="{00000000-0005-0000-0000-000013450000}"/>
    <cellStyle name="Percent 19" xfId="42519" xr:uid="{5E41B13C-1B2C-4E97-A7E9-77CE26C693A8}"/>
    <cellStyle name="Percent 2" xfId="17301" xr:uid="{00000000-0005-0000-0000-000014450000}"/>
    <cellStyle name="Percent 2 10" xfId="17302" xr:uid="{00000000-0005-0000-0000-000015450000}"/>
    <cellStyle name="Percent 2 10 10" xfId="17303" xr:uid="{00000000-0005-0000-0000-000016450000}"/>
    <cellStyle name="Percent 2 10 11" xfId="17304" xr:uid="{00000000-0005-0000-0000-000017450000}"/>
    <cellStyle name="Percent 2 10 12" xfId="17305" xr:uid="{00000000-0005-0000-0000-000018450000}"/>
    <cellStyle name="Percent 2 10 13" xfId="17306" xr:uid="{00000000-0005-0000-0000-000019450000}"/>
    <cellStyle name="Percent 2 10 14" xfId="17307" xr:uid="{00000000-0005-0000-0000-00001A450000}"/>
    <cellStyle name="Percent 2 10 15" xfId="17308" xr:uid="{00000000-0005-0000-0000-00001B450000}"/>
    <cellStyle name="Percent 2 10 16" xfId="17309" xr:uid="{00000000-0005-0000-0000-00001C450000}"/>
    <cellStyle name="Percent 2 10 17" xfId="17310" xr:uid="{00000000-0005-0000-0000-00001D450000}"/>
    <cellStyle name="Percent 2 10 2" xfId="17311" xr:uid="{00000000-0005-0000-0000-00001E450000}"/>
    <cellStyle name="Percent 2 10 3" xfId="17312" xr:uid="{00000000-0005-0000-0000-00001F450000}"/>
    <cellStyle name="Percent 2 10 4" xfId="17313" xr:uid="{00000000-0005-0000-0000-000020450000}"/>
    <cellStyle name="Percent 2 10 5" xfId="17314" xr:uid="{00000000-0005-0000-0000-000021450000}"/>
    <cellStyle name="Percent 2 10 6" xfId="17315" xr:uid="{00000000-0005-0000-0000-000022450000}"/>
    <cellStyle name="Percent 2 10 7" xfId="17316" xr:uid="{00000000-0005-0000-0000-000023450000}"/>
    <cellStyle name="Percent 2 10 8" xfId="17317" xr:uid="{00000000-0005-0000-0000-000024450000}"/>
    <cellStyle name="Percent 2 10 9" xfId="17318" xr:uid="{00000000-0005-0000-0000-000025450000}"/>
    <cellStyle name="Percent 2 11" xfId="17319" xr:uid="{00000000-0005-0000-0000-000026450000}"/>
    <cellStyle name="Percent 2 11 10" xfId="17320" xr:uid="{00000000-0005-0000-0000-000027450000}"/>
    <cellStyle name="Percent 2 11 11" xfId="17321" xr:uid="{00000000-0005-0000-0000-000028450000}"/>
    <cellStyle name="Percent 2 11 12" xfId="17322" xr:uid="{00000000-0005-0000-0000-000029450000}"/>
    <cellStyle name="Percent 2 11 13" xfId="17323" xr:uid="{00000000-0005-0000-0000-00002A450000}"/>
    <cellStyle name="Percent 2 11 14" xfId="17324" xr:uid="{00000000-0005-0000-0000-00002B450000}"/>
    <cellStyle name="Percent 2 11 15" xfId="17325" xr:uid="{00000000-0005-0000-0000-00002C450000}"/>
    <cellStyle name="Percent 2 11 16" xfId="17326" xr:uid="{00000000-0005-0000-0000-00002D450000}"/>
    <cellStyle name="Percent 2 11 17" xfId="17327" xr:uid="{00000000-0005-0000-0000-00002E450000}"/>
    <cellStyle name="Percent 2 11 2" xfId="17328" xr:uid="{00000000-0005-0000-0000-00002F450000}"/>
    <cellStyle name="Percent 2 11 3" xfId="17329" xr:uid="{00000000-0005-0000-0000-000030450000}"/>
    <cellStyle name="Percent 2 11 4" xfId="17330" xr:uid="{00000000-0005-0000-0000-000031450000}"/>
    <cellStyle name="Percent 2 11 5" xfId="17331" xr:uid="{00000000-0005-0000-0000-000032450000}"/>
    <cellStyle name="Percent 2 11 6" xfId="17332" xr:uid="{00000000-0005-0000-0000-000033450000}"/>
    <cellStyle name="Percent 2 11 7" xfId="17333" xr:uid="{00000000-0005-0000-0000-000034450000}"/>
    <cellStyle name="Percent 2 11 8" xfId="17334" xr:uid="{00000000-0005-0000-0000-000035450000}"/>
    <cellStyle name="Percent 2 11 9" xfId="17335" xr:uid="{00000000-0005-0000-0000-000036450000}"/>
    <cellStyle name="Percent 2 12" xfId="17336" xr:uid="{00000000-0005-0000-0000-000037450000}"/>
    <cellStyle name="Percent 2 12 10" xfId="17337" xr:uid="{00000000-0005-0000-0000-000038450000}"/>
    <cellStyle name="Percent 2 12 11" xfId="17338" xr:uid="{00000000-0005-0000-0000-000039450000}"/>
    <cellStyle name="Percent 2 12 12" xfId="17339" xr:uid="{00000000-0005-0000-0000-00003A450000}"/>
    <cellStyle name="Percent 2 12 13" xfId="17340" xr:uid="{00000000-0005-0000-0000-00003B450000}"/>
    <cellStyle name="Percent 2 12 14" xfId="17341" xr:uid="{00000000-0005-0000-0000-00003C450000}"/>
    <cellStyle name="Percent 2 12 15" xfId="17342" xr:uid="{00000000-0005-0000-0000-00003D450000}"/>
    <cellStyle name="Percent 2 12 16" xfId="17343" xr:uid="{00000000-0005-0000-0000-00003E450000}"/>
    <cellStyle name="Percent 2 12 17" xfId="17344" xr:uid="{00000000-0005-0000-0000-00003F450000}"/>
    <cellStyle name="Percent 2 12 2" xfId="17345" xr:uid="{00000000-0005-0000-0000-000040450000}"/>
    <cellStyle name="Percent 2 12 3" xfId="17346" xr:uid="{00000000-0005-0000-0000-000041450000}"/>
    <cellStyle name="Percent 2 12 4" xfId="17347" xr:uid="{00000000-0005-0000-0000-000042450000}"/>
    <cellStyle name="Percent 2 12 5" xfId="17348" xr:uid="{00000000-0005-0000-0000-000043450000}"/>
    <cellStyle name="Percent 2 12 6" xfId="17349" xr:uid="{00000000-0005-0000-0000-000044450000}"/>
    <cellStyle name="Percent 2 12 7" xfId="17350" xr:uid="{00000000-0005-0000-0000-000045450000}"/>
    <cellStyle name="Percent 2 12 8" xfId="17351" xr:uid="{00000000-0005-0000-0000-000046450000}"/>
    <cellStyle name="Percent 2 12 9" xfId="17352" xr:uid="{00000000-0005-0000-0000-000047450000}"/>
    <cellStyle name="Percent 2 13" xfId="17353" xr:uid="{00000000-0005-0000-0000-000048450000}"/>
    <cellStyle name="Percent 2 13 10" xfId="17354" xr:uid="{00000000-0005-0000-0000-000049450000}"/>
    <cellStyle name="Percent 2 13 11" xfId="17355" xr:uid="{00000000-0005-0000-0000-00004A450000}"/>
    <cellStyle name="Percent 2 13 12" xfId="17356" xr:uid="{00000000-0005-0000-0000-00004B450000}"/>
    <cellStyle name="Percent 2 13 13" xfId="17357" xr:uid="{00000000-0005-0000-0000-00004C450000}"/>
    <cellStyle name="Percent 2 13 14" xfId="17358" xr:uid="{00000000-0005-0000-0000-00004D450000}"/>
    <cellStyle name="Percent 2 13 15" xfId="17359" xr:uid="{00000000-0005-0000-0000-00004E450000}"/>
    <cellStyle name="Percent 2 13 16" xfId="17360" xr:uid="{00000000-0005-0000-0000-00004F450000}"/>
    <cellStyle name="Percent 2 13 17" xfId="17361" xr:uid="{00000000-0005-0000-0000-000050450000}"/>
    <cellStyle name="Percent 2 13 2" xfId="17362" xr:uid="{00000000-0005-0000-0000-000051450000}"/>
    <cellStyle name="Percent 2 13 3" xfId="17363" xr:uid="{00000000-0005-0000-0000-000052450000}"/>
    <cellStyle name="Percent 2 13 4" xfId="17364" xr:uid="{00000000-0005-0000-0000-000053450000}"/>
    <cellStyle name="Percent 2 13 5" xfId="17365" xr:uid="{00000000-0005-0000-0000-000054450000}"/>
    <cellStyle name="Percent 2 13 6" xfId="17366" xr:uid="{00000000-0005-0000-0000-000055450000}"/>
    <cellStyle name="Percent 2 13 7" xfId="17367" xr:uid="{00000000-0005-0000-0000-000056450000}"/>
    <cellStyle name="Percent 2 13 8" xfId="17368" xr:uid="{00000000-0005-0000-0000-000057450000}"/>
    <cellStyle name="Percent 2 13 9" xfId="17369" xr:uid="{00000000-0005-0000-0000-000058450000}"/>
    <cellStyle name="Percent 2 14" xfId="17370" xr:uid="{00000000-0005-0000-0000-000059450000}"/>
    <cellStyle name="Percent 2 14 10" xfId="17371" xr:uid="{00000000-0005-0000-0000-00005A450000}"/>
    <cellStyle name="Percent 2 14 11" xfId="17372" xr:uid="{00000000-0005-0000-0000-00005B450000}"/>
    <cellStyle name="Percent 2 14 12" xfId="17373" xr:uid="{00000000-0005-0000-0000-00005C450000}"/>
    <cellStyle name="Percent 2 14 13" xfId="17374" xr:uid="{00000000-0005-0000-0000-00005D450000}"/>
    <cellStyle name="Percent 2 14 14" xfId="17375" xr:uid="{00000000-0005-0000-0000-00005E450000}"/>
    <cellStyle name="Percent 2 14 15" xfId="17376" xr:uid="{00000000-0005-0000-0000-00005F450000}"/>
    <cellStyle name="Percent 2 14 16" xfId="17377" xr:uid="{00000000-0005-0000-0000-000060450000}"/>
    <cellStyle name="Percent 2 14 17" xfId="17378" xr:uid="{00000000-0005-0000-0000-000061450000}"/>
    <cellStyle name="Percent 2 14 2" xfId="17379" xr:uid="{00000000-0005-0000-0000-000062450000}"/>
    <cellStyle name="Percent 2 14 3" xfId="17380" xr:uid="{00000000-0005-0000-0000-000063450000}"/>
    <cellStyle name="Percent 2 14 4" xfId="17381" xr:uid="{00000000-0005-0000-0000-000064450000}"/>
    <cellStyle name="Percent 2 14 5" xfId="17382" xr:uid="{00000000-0005-0000-0000-000065450000}"/>
    <cellStyle name="Percent 2 14 6" xfId="17383" xr:uid="{00000000-0005-0000-0000-000066450000}"/>
    <cellStyle name="Percent 2 14 7" xfId="17384" xr:uid="{00000000-0005-0000-0000-000067450000}"/>
    <cellStyle name="Percent 2 14 8" xfId="17385" xr:uid="{00000000-0005-0000-0000-000068450000}"/>
    <cellStyle name="Percent 2 14 9" xfId="17386" xr:uid="{00000000-0005-0000-0000-000069450000}"/>
    <cellStyle name="Percent 2 15" xfId="17387" xr:uid="{00000000-0005-0000-0000-00006A450000}"/>
    <cellStyle name="Percent 2 15 10" xfId="17388" xr:uid="{00000000-0005-0000-0000-00006B450000}"/>
    <cellStyle name="Percent 2 15 11" xfId="17389" xr:uid="{00000000-0005-0000-0000-00006C450000}"/>
    <cellStyle name="Percent 2 15 12" xfId="17390" xr:uid="{00000000-0005-0000-0000-00006D450000}"/>
    <cellStyle name="Percent 2 15 13" xfId="17391" xr:uid="{00000000-0005-0000-0000-00006E450000}"/>
    <cellStyle name="Percent 2 15 14" xfId="17392" xr:uid="{00000000-0005-0000-0000-00006F450000}"/>
    <cellStyle name="Percent 2 15 15" xfId="17393" xr:uid="{00000000-0005-0000-0000-000070450000}"/>
    <cellStyle name="Percent 2 15 16" xfId="17394" xr:uid="{00000000-0005-0000-0000-000071450000}"/>
    <cellStyle name="Percent 2 15 17" xfId="17395" xr:uid="{00000000-0005-0000-0000-000072450000}"/>
    <cellStyle name="Percent 2 15 2" xfId="17396" xr:uid="{00000000-0005-0000-0000-000073450000}"/>
    <cellStyle name="Percent 2 15 3" xfId="17397" xr:uid="{00000000-0005-0000-0000-000074450000}"/>
    <cellStyle name="Percent 2 15 4" xfId="17398" xr:uid="{00000000-0005-0000-0000-000075450000}"/>
    <cellStyle name="Percent 2 15 5" xfId="17399" xr:uid="{00000000-0005-0000-0000-000076450000}"/>
    <cellStyle name="Percent 2 15 6" xfId="17400" xr:uid="{00000000-0005-0000-0000-000077450000}"/>
    <cellStyle name="Percent 2 15 7" xfId="17401" xr:uid="{00000000-0005-0000-0000-000078450000}"/>
    <cellStyle name="Percent 2 15 8" xfId="17402" xr:uid="{00000000-0005-0000-0000-000079450000}"/>
    <cellStyle name="Percent 2 15 9" xfId="17403" xr:uid="{00000000-0005-0000-0000-00007A450000}"/>
    <cellStyle name="Percent 2 16" xfId="17404" xr:uid="{00000000-0005-0000-0000-00007B450000}"/>
    <cellStyle name="Percent 2 16 10" xfId="17405" xr:uid="{00000000-0005-0000-0000-00007C450000}"/>
    <cellStyle name="Percent 2 16 11" xfId="17406" xr:uid="{00000000-0005-0000-0000-00007D450000}"/>
    <cellStyle name="Percent 2 16 12" xfId="17407" xr:uid="{00000000-0005-0000-0000-00007E450000}"/>
    <cellStyle name="Percent 2 16 13" xfId="17408" xr:uid="{00000000-0005-0000-0000-00007F450000}"/>
    <cellStyle name="Percent 2 16 14" xfId="17409" xr:uid="{00000000-0005-0000-0000-000080450000}"/>
    <cellStyle name="Percent 2 16 15" xfId="17410" xr:uid="{00000000-0005-0000-0000-000081450000}"/>
    <cellStyle name="Percent 2 16 16" xfId="17411" xr:uid="{00000000-0005-0000-0000-000082450000}"/>
    <cellStyle name="Percent 2 16 17" xfId="17412" xr:uid="{00000000-0005-0000-0000-000083450000}"/>
    <cellStyle name="Percent 2 16 2" xfId="17413" xr:uid="{00000000-0005-0000-0000-000084450000}"/>
    <cellStyle name="Percent 2 16 3" xfId="17414" xr:uid="{00000000-0005-0000-0000-000085450000}"/>
    <cellStyle name="Percent 2 16 4" xfId="17415" xr:uid="{00000000-0005-0000-0000-000086450000}"/>
    <cellStyle name="Percent 2 16 5" xfId="17416" xr:uid="{00000000-0005-0000-0000-000087450000}"/>
    <cellStyle name="Percent 2 16 6" xfId="17417" xr:uid="{00000000-0005-0000-0000-000088450000}"/>
    <cellStyle name="Percent 2 16 7" xfId="17418" xr:uid="{00000000-0005-0000-0000-000089450000}"/>
    <cellStyle name="Percent 2 16 8" xfId="17419" xr:uid="{00000000-0005-0000-0000-00008A450000}"/>
    <cellStyle name="Percent 2 16 9" xfId="17420" xr:uid="{00000000-0005-0000-0000-00008B450000}"/>
    <cellStyle name="Percent 2 17" xfId="17421" xr:uid="{00000000-0005-0000-0000-00008C450000}"/>
    <cellStyle name="Percent 2 17 10" xfId="17422" xr:uid="{00000000-0005-0000-0000-00008D450000}"/>
    <cellStyle name="Percent 2 17 11" xfId="17423" xr:uid="{00000000-0005-0000-0000-00008E450000}"/>
    <cellStyle name="Percent 2 17 12" xfId="17424" xr:uid="{00000000-0005-0000-0000-00008F450000}"/>
    <cellStyle name="Percent 2 17 13" xfId="17425" xr:uid="{00000000-0005-0000-0000-000090450000}"/>
    <cellStyle name="Percent 2 17 14" xfId="17426" xr:uid="{00000000-0005-0000-0000-000091450000}"/>
    <cellStyle name="Percent 2 17 15" xfId="17427" xr:uid="{00000000-0005-0000-0000-000092450000}"/>
    <cellStyle name="Percent 2 17 16" xfId="17428" xr:uid="{00000000-0005-0000-0000-000093450000}"/>
    <cellStyle name="Percent 2 17 17" xfId="17429" xr:uid="{00000000-0005-0000-0000-000094450000}"/>
    <cellStyle name="Percent 2 17 2" xfId="17430" xr:uid="{00000000-0005-0000-0000-000095450000}"/>
    <cellStyle name="Percent 2 17 3" xfId="17431" xr:uid="{00000000-0005-0000-0000-000096450000}"/>
    <cellStyle name="Percent 2 17 4" xfId="17432" xr:uid="{00000000-0005-0000-0000-000097450000}"/>
    <cellStyle name="Percent 2 17 5" xfId="17433" xr:uid="{00000000-0005-0000-0000-000098450000}"/>
    <cellStyle name="Percent 2 17 6" xfId="17434" xr:uid="{00000000-0005-0000-0000-000099450000}"/>
    <cellStyle name="Percent 2 17 7" xfId="17435" xr:uid="{00000000-0005-0000-0000-00009A450000}"/>
    <cellStyle name="Percent 2 17 8" xfId="17436" xr:uid="{00000000-0005-0000-0000-00009B450000}"/>
    <cellStyle name="Percent 2 17 9" xfId="17437" xr:uid="{00000000-0005-0000-0000-00009C450000}"/>
    <cellStyle name="Percent 2 18" xfId="17438" xr:uid="{00000000-0005-0000-0000-00009D450000}"/>
    <cellStyle name="Percent 2 18 10" xfId="17439" xr:uid="{00000000-0005-0000-0000-00009E450000}"/>
    <cellStyle name="Percent 2 18 11" xfId="17440" xr:uid="{00000000-0005-0000-0000-00009F450000}"/>
    <cellStyle name="Percent 2 18 12" xfId="17441" xr:uid="{00000000-0005-0000-0000-0000A0450000}"/>
    <cellStyle name="Percent 2 18 13" xfId="17442" xr:uid="{00000000-0005-0000-0000-0000A1450000}"/>
    <cellStyle name="Percent 2 18 14" xfId="17443" xr:uid="{00000000-0005-0000-0000-0000A2450000}"/>
    <cellStyle name="Percent 2 18 15" xfId="17444" xr:uid="{00000000-0005-0000-0000-0000A3450000}"/>
    <cellStyle name="Percent 2 18 16" xfId="17445" xr:uid="{00000000-0005-0000-0000-0000A4450000}"/>
    <cellStyle name="Percent 2 18 17" xfId="17446" xr:uid="{00000000-0005-0000-0000-0000A5450000}"/>
    <cellStyle name="Percent 2 18 2" xfId="17447" xr:uid="{00000000-0005-0000-0000-0000A6450000}"/>
    <cellStyle name="Percent 2 18 3" xfId="17448" xr:uid="{00000000-0005-0000-0000-0000A7450000}"/>
    <cellStyle name="Percent 2 18 4" xfId="17449" xr:uid="{00000000-0005-0000-0000-0000A8450000}"/>
    <cellStyle name="Percent 2 18 5" xfId="17450" xr:uid="{00000000-0005-0000-0000-0000A9450000}"/>
    <cellStyle name="Percent 2 18 6" xfId="17451" xr:uid="{00000000-0005-0000-0000-0000AA450000}"/>
    <cellStyle name="Percent 2 18 7" xfId="17452" xr:uid="{00000000-0005-0000-0000-0000AB450000}"/>
    <cellStyle name="Percent 2 18 8" xfId="17453" xr:uid="{00000000-0005-0000-0000-0000AC450000}"/>
    <cellStyle name="Percent 2 18 9" xfId="17454" xr:uid="{00000000-0005-0000-0000-0000AD450000}"/>
    <cellStyle name="Percent 2 19" xfId="17455" xr:uid="{00000000-0005-0000-0000-0000AE450000}"/>
    <cellStyle name="Percent 2 19 10" xfId="17456" xr:uid="{00000000-0005-0000-0000-0000AF450000}"/>
    <cellStyle name="Percent 2 19 11" xfId="17457" xr:uid="{00000000-0005-0000-0000-0000B0450000}"/>
    <cellStyle name="Percent 2 19 12" xfId="17458" xr:uid="{00000000-0005-0000-0000-0000B1450000}"/>
    <cellStyle name="Percent 2 19 13" xfId="17459" xr:uid="{00000000-0005-0000-0000-0000B2450000}"/>
    <cellStyle name="Percent 2 19 14" xfId="17460" xr:uid="{00000000-0005-0000-0000-0000B3450000}"/>
    <cellStyle name="Percent 2 19 15" xfId="17461" xr:uid="{00000000-0005-0000-0000-0000B4450000}"/>
    <cellStyle name="Percent 2 19 16" xfId="17462" xr:uid="{00000000-0005-0000-0000-0000B5450000}"/>
    <cellStyle name="Percent 2 19 17" xfId="17463" xr:uid="{00000000-0005-0000-0000-0000B6450000}"/>
    <cellStyle name="Percent 2 19 2" xfId="17464" xr:uid="{00000000-0005-0000-0000-0000B7450000}"/>
    <cellStyle name="Percent 2 19 3" xfId="17465" xr:uid="{00000000-0005-0000-0000-0000B8450000}"/>
    <cellStyle name="Percent 2 19 4" xfId="17466" xr:uid="{00000000-0005-0000-0000-0000B9450000}"/>
    <cellStyle name="Percent 2 19 5" xfId="17467" xr:uid="{00000000-0005-0000-0000-0000BA450000}"/>
    <cellStyle name="Percent 2 19 6" xfId="17468" xr:uid="{00000000-0005-0000-0000-0000BB450000}"/>
    <cellStyle name="Percent 2 19 7" xfId="17469" xr:uid="{00000000-0005-0000-0000-0000BC450000}"/>
    <cellStyle name="Percent 2 19 8" xfId="17470" xr:uid="{00000000-0005-0000-0000-0000BD450000}"/>
    <cellStyle name="Percent 2 19 9" xfId="17471" xr:uid="{00000000-0005-0000-0000-0000BE450000}"/>
    <cellStyle name="Percent 2 2" xfId="17472" xr:uid="{00000000-0005-0000-0000-0000BF450000}"/>
    <cellStyle name="Percent 2 2 10" xfId="17473" xr:uid="{00000000-0005-0000-0000-0000C0450000}"/>
    <cellStyle name="Percent 2 2 10 10" xfId="17474" xr:uid="{00000000-0005-0000-0000-0000C1450000}"/>
    <cellStyle name="Percent 2 2 10 11" xfId="17475" xr:uid="{00000000-0005-0000-0000-0000C2450000}"/>
    <cellStyle name="Percent 2 2 10 12" xfId="17476" xr:uid="{00000000-0005-0000-0000-0000C3450000}"/>
    <cellStyle name="Percent 2 2 10 13" xfId="17477" xr:uid="{00000000-0005-0000-0000-0000C4450000}"/>
    <cellStyle name="Percent 2 2 10 14" xfId="17478" xr:uid="{00000000-0005-0000-0000-0000C5450000}"/>
    <cellStyle name="Percent 2 2 10 15" xfId="17479" xr:uid="{00000000-0005-0000-0000-0000C6450000}"/>
    <cellStyle name="Percent 2 2 10 16" xfId="17480" xr:uid="{00000000-0005-0000-0000-0000C7450000}"/>
    <cellStyle name="Percent 2 2 10 17" xfId="17481" xr:uid="{00000000-0005-0000-0000-0000C8450000}"/>
    <cellStyle name="Percent 2 2 10 2" xfId="17482" xr:uid="{00000000-0005-0000-0000-0000C9450000}"/>
    <cellStyle name="Percent 2 2 10 3" xfId="17483" xr:uid="{00000000-0005-0000-0000-0000CA450000}"/>
    <cellStyle name="Percent 2 2 10 4" xfId="17484" xr:uid="{00000000-0005-0000-0000-0000CB450000}"/>
    <cellStyle name="Percent 2 2 10 5" xfId="17485" xr:uid="{00000000-0005-0000-0000-0000CC450000}"/>
    <cellStyle name="Percent 2 2 10 6" xfId="17486" xr:uid="{00000000-0005-0000-0000-0000CD450000}"/>
    <cellStyle name="Percent 2 2 10 7" xfId="17487" xr:uid="{00000000-0005-0000-0000-0000CE450000}"/>
    <cellStyle name="Percent 2 2 10 8" xfId="17488" xr:uid="{00000000-0005-0000-0000-0000CF450000}"/>
    <cellStyle name="Percent 2 2 10 9" xfId="17489" xr:uid="{00000000-0005-0000-0000-0000D0450000}"/>
    <cellStyle name="Percent 2 2 11" xfId="17490" xr:uid="{00000000-0005-0000-0000-0000D1450000}"/>
    <cellStyle name="Percent 2 2 11 10" xfId="17491" xr:uid="{00000000-0005-0000-0000-0000D2450000}"/>
    <cellStyle name="Percent 2 2 11 11" xfId="17492" xr:uid="{00000000-0005-0000-0000-0000D3450000}"/>
    <cellStyle name="Percent 2 2 11 12" xfId="17493" xr:uid="{00000000-0005-0000-0000-0000D4450000}"/>
    <cellStyle name="Percent 2 2 11 13" xfId="17494" xr:uid="{00000000-0005-0000-0000-0000D5450000}"/>
    <cellStyle name="Percent 2 2 11 14" xfId="17495" xr:uid="{00000000-0005-0000-0000-0000D6450000}"/>
    <cellStyle name="Percent 2 2 11 15" xfId="17496" xr:uid="{00000000-0005-0000-0000-0000D7450000}"/>
    <cellStyle name="Percent 2 2 11 16" xfId="17497" xr:uid="{00000000-0005-0000-0000-0000D8450000}"/>
    <cellStyle name="Percent 2 2 11 17" xfId="17498" xr:uid="{00000000-0005-0000-0000-0000D9450000}"/>
    <cellStyle name="Percent 2 2 11 2" xfId="17499" xr:uid="{00000000-0005-0000-0000-0000DA450000}"/>
    <cellStyle name="Percent 2 2 11 3" xfId="17500" xr:uid="{00000000-0005-0000-0000-0000DB450000}"/>
    <cellStyle name="Percent 2 2 11 4" xfId="17501" xr:uid="{00000000-0005-0000-0000-0000DC450000}"/>
    <cellStyle name="Percent 2 2 11 5" xfId="17502" xr:uid="{00000000-0005-0000-0000-0000DD450000}"/>
    <cellStyle name="Percent 2 2 11 6" xfId="17503" xr:uid="{00000000-0005-0000-0000-0000DE450000}"/>
    <cellStyle name="Percent 2 2 11 7" xfId="17504" xr:uid="{00000000-0005-0000-0000-0000DF450000}"/>
    <cellStyle name="Percent 2 2 11 8" xfId="17505" xr:uid="{00000000-0005-0000-0000-0000E0450000}"/>
    <cellStyle name="Percent 2 2 11 9" xfId="17506" xr:uid="{00000000-0005-0000-0000-0000E1450000}"/>
    <cellStyle name="Percent 2 2 12" xfId="17507" xr:uid="{00000000-0005-0000-0000-0000E2450000}"/>
    <cellStyle name="Percent 2 2 12 10" xfId="17508" xr:uid="{00000000-0005-0000-0000-0000E3450000}"/>
    <cellStyle name="Percent 2 2 12 11" xfId="17509" xr:uid="{00000000-0005-0000-0000-0000E4450000}"/>
    <cellStyle name="Percent 2 2 12 12" xfId="17510" xr:uid="{00000000-0005-0000-0000-0000E5450000}"/>
    <cellStyle name="Percent 2 2 12 13" xfId="17511" xr:uid="{00000000-0005-0000-0000-0000E6450000}"/>
    <cellStyle name="Percent 2 2 12 14" xfId="17512" xr:uid="{00000000-0005-0000-0000-0000E7450000}"/>
    <cellStyle name="Percent 2 2 12 15" xfId="17513" xr:uid="{00000000-0005-0000-0000-0000E8450000}"/>
    <cellStyle name="Percent 2 2 12 16" xfId="17514" xr:uid="{00000000-0005-0000-0000-0000E9450000}"/>
    <cellStyle name="Percent 2 2 12 17" xfId="17515" xr:uid="{00000000-0005-0000-0000-0000EA450000}"/>
    <cellStyle name="Percent 2 2 12 2" xfId="17516" xr:uid="{00000000-0005-0000-0000-0000EB450000}"/>
    <cellStyle name="Percent 2 2 12 3" xfId="17517" xr:uid="{00000000-0005-0000-0000-0000EC450000}"/>
    <cellStyle name="Percent 2 2 12 4" xfId="17518" xr:uid="{00000000-0005-0000-0000-0000ED450000}"/>
    <cellStyle name="Percent 2 2 12 5" xfId="17519" xr:uid="{00000000-0005-0000-0000-0000EE450000}"/>
    <cellStyle name="Percent 2 2 12 6" xfId="17520" xr:uid="{00000000-0005-0000-0000-0000EF450000}"/>
    <cellStyle name="Percent 2 2 12 7" xfId="17521" xr:uid="{00000000-0005-0000-0000-0000F0450000}"/>
    <cellStyle name="Percent 2 2 12 8" xfId="17522" xr:uid="{00000000-0005-0000-0000-0000F1450000}"/>
    <cellStyle name="Percent 2 2 12 9" xfId="17523" xr:uid="{00000000-0005-0000-0000-0000F2450000}"/>
    <cellStyle name="Percent 2 2 13" xfId="17524" xr:uid="{00000000-0005-0000-0000-0000F3450000}"/>
    <cellStyle name="Percent 2 2 13 10" xfId="17525" xr:uid="{00000000-0005-0000-0000-0000F4450000}"/>
    <cellStyle name="Percent 2 2 13 11" xfId="17526" xr:uid="{00000000-0005-0000-0000-0000F5450000}"/>
    <cellStyle name="Percent 2 2 13 12" xfId="17527" xr:uid="{00000000-0005-0000-0000-0000F6450000}"/>
    <cellStyle name="Percent 2 2 13 13" xfId="17528" xr:uid="{00000000-0005-0000-0000-0000F7450000}"/>
    <cellStyle name="Percent 2 2 13 14" xfId="17529" xr:uid="{00000000-0005-0000-0000-0000F8450000}"/>
    <cellStyle name="Percent 2 2 13 15" xfId="17530" xr:uid="{00000000-0005-0000-0000-0000F9450000}"/>
    <cellStyle name="Percent 2 2 13 16" xfId="17531" xr:uid="{00000000-0005-0000-0000-0000FA450000}"/>
    <cellStyle name="Percent 2 2 13 17" xfId="17532" xr:uid="{00000000-0005-0000-0000-0000FB450000}"/>
    <cellStyle name="Percent 2 2 13 2" xfId="17533" xr:uid="{00000000-0005-0000-0000-0000FC450000}"/>
    <cellStyle name="Percent 2 2 13 3" xfId="17534" xr:uid="{00000000-0005-0000-0000-0000FD450000}"/>
    <cellStyle name="Percent 2 2 13 4" xfId="17535" xr:uid="{00000000-0005-0000-0000-0000FE450000}"/>
    <cellStyle name="Percent 2 2 13 5" xfId="17536" xr:uid="{00000000-0005-0000-0000-0000FF450000}"/>
    <cellStyle name="Percent 2 2 13 6" xfId="17537" xr:uid="{00000000-0005-0000-0000-000000460000}"/>
    <cellStyle name="Percent 2 2 13 7" xfId="17538" xr:uid="{00000000-0005-0000-0000-000001460000}"/>
    <cellStyle name="Percent 2 2 13 8" xfId="17539" xr:uid="{00000000-0005-0000-0000-000002460000}"/>
    <cellStyle name="Percent 2 2 13 9" xfId="17540" xr:uid="{00000000-0005-0000-0000-000003460000}"/>
    <cellStyle name="Percent 2 2 14" xfId="17541" xr:uid="{00000000-0005-0000-0000-000004460000}"/>
    <cellStyle name="Percent 2 2 14 10" xfId="17542" xr:uid="{00000000-0005-0000-0000-000005460000}"/>
    <cellStyle name="Percent 2 2 14 11" xfId="17543" xr:uid="{00000000-0005-0000-0000-000006460000}"/>
    <cellStyle name="Percent 2 2 14 12" xfId="17544" xr:uid="{00000000-0005-0000-0000-000007460000}"/>
    <cellStyle name="Percent 2 2 14 13" xfId="17545" xr:uid="{00000000-0005-0000-0000-000008460000}"/>
    <cellStyle name="Percent 2 2 14 14" xfId="17546" xr:uid="{00000000-0005-0000-0000-000009460000}"/>
    <cellStyle name="Percent 2 2 14 15" xfId="17547" xr:uid="{00000000-0005-0000-0000-00000A460000}"/>
    <cellStyle name="Percent 2 2 14 16" xfId="17548" xr:uid="{00000000-0005-0000-0000-00000B460000}"/>
    <cellStyle name="Percent 2 2 14 17" xfId="17549" xr:uid="{00000000-0005-0000-0000-00000C460000}"/>
    <cellStyle name="Percent 2 2 14 2" xfId="17550" xr:uid="{00000000-0005-0000-0000-00000D460000}"/>
    <cellStyle name="Percent 2 2 14 3" xfId="17551" xr:uid="{00000000-0005-0000-0000-00000E460000}"/>
    <cellStyle name="Percent 2 2 14 4" xfId="17552" xr:uid="{00000000-0005-0000-0000-00000F460000}"/>
    <cellStyle name="Percent 2 2 14 5" xfId="17553" xr:uid="{00000000-0005-0000-0000-000010460000}"/>
    <cellStyle name="Percent 2 2 14 6" xfId="17554" xr:uid="{00000000-0005-0000-0000-000011460000}"/>
    <cellStyle name="Percent 2 2 14 7" xfId="17555" xr:uid="{00000000-0005-0000-0000-000012460000}"/>
    <cellStyle name="Percent 2 2 14 8" xfId="17556" xr:uid="{00000000-0005-0000-0000-000013460000}"/>
    <cellStyle name="Percent 2 2 14 9" xfId="17557" xr:uid="{00000000-0005-0000-0000-000014460000}"/>
    <cellStyle name="Percent 2 2 15" xfId="17558" xr:uid="{00000000-0005-0000-0000-000015460000}"/>
    <cellStyle name="Percent 2 2 15 10" xfId="17559" xr:uid="{00000000-0005-0000-0000-000016460000}"/>
    <cellStyle name="Percent 2 2 15 11" xfId="17560" xr:uid="{00000000-0005-0000-0000-000017460000}"/>
    <cellStyle name="Percent 2 2 15 12" xfId="17561" xr:uid="{00000000-0005-0000-0000-000018460000}"/>
    <cellStyle name="Percent 2 2 15 13" xfId="17562" xr:uid="{00000000-0005-0000-0000-000019460000}"/>
    <cellStyle name="Percent 2 2 15 14" xfId="17563" xr:uid="{00000000-0005-0000-0000-00001A460000}"/>
    <cellStyle name="Percent 2 2 15 15" xfId="17564" xr:uid="{00000000-0005-0000-0000-00001B460000}"/>
    <cellStyle name="Percent 2 2 15 16" xfId="17565" xr:uid="{00000000-0005-0000-0000-00001C460000}"/>
    <cellStyle name="Percent 2 2 15 17" xfId="17566" xr:uid="{00000000-0005-0000-0000-00001D460000}"/>
    <cellStyle name="Percent 2 2 15 2" xfId="17567" xr:uid="{00000000-0005-0000-0000-00001E460000}"/>
    <cellStyle name="Percent 2 2 15 3" xfId="17568" xr:uid="{00000000-0005-0000-0000-00001F460000}"/>
    <cellStyle name="Percent 2 2 15 4" xfId="17569" xr:uid="{00000000-0005-0000-0000-000020460000}"/>
    <cellStyle name="Percent 2 2 15 5" xfId="17570" xr:uid="{00000000-0005-0000-0000-000021460000}"/>
    <cellStyle name="Percent 2 2 15 6" xfId="17571" xr:uid="{00000000-0005-0000-0000-000022460000}"/>
    <cellStyle name="Percent 2 2 15 7" xfId="17572" xr:uid="{00000000-0005-0000-0000-000023460000}"/>
    <cellStyle name="Percent 2 2 15 8" xfId="17573" xr:uid="{00000000-0005-0000-0000-000024460000}"/>
    <cellStyle name="Percent 2 2 15 9" xfId="17574" xr:uid="{00000000-0005-0000-0000-000025460000}"/>
    <cellStyle name="Percent 2 2 16" xfId="17575" xr:uid="{00000000-0005-0000-0000-000026460000}"/>
    <cellStyle name="Percent 2 2 16 10" xfId="17576" xr:uid="{00000000-0005-0000-0000-000027460000}"/>
    <cellStyle name="Percent 2 2 16 11" xfId="17577" xr:uid="{00000000-0005-0000-0000-000028460000}"/>
    <cellStyle name="Percent 2 2 16 12" xfId="17578" xr:uid="{00000000-0005-0000-0000-000029460000}"/>
    <cellStyle name="Percent 2 2 16 13" xfId="17579" xr:uid="{00000000-0005-0000-0000-00002A460000}"/>
    <cellStyle name="Percent 2 2 16 14" xfId="17580" xr:uid="{00000000-0005-0000-0000-00002B460000}"/>
    <cellStyle name="Percent 2 2 16 15" xfId="17581" xr:uid="{00000000-0005-0000-0000-00002C460000}"/>
    <cellStyle name="Percent 2 2 16 16" xfId="17582" xr:uid="{00000000-0005-0000-0000-00002D460000}"/>
    <cellStyle name="Percent 2 2 16 17" xfId="17583" xr:uid="{00000000-0005-0000-0000-00002E460000}"/>
    <cellStyle name="Percent 2 2 16 2" xfId="17584" xr:uid="{00000000-0005-0000-0000-00002F460000}"/>
    <cellStyle name="Percent 2 2 16 3" xfId="17585" xr:uid="{00000000-0005-0000-0000-000030460000}"/>
    <cellStyle name="Percent 2 2 16 4" xfId="17586" xr:uid="{00000000-0005-0000-0000-000031460000}"/>
    <cellStyle name="Percent 2 2 16 5" xfId="17587" xr:uid="{00000000-0005-0000-0000-000032460000}"/>
    <cellStyle name="Percent 2 2 16 6" xfId="17588" xr:uid="{00000000-0005-0000-0000-000033460000}"/>
    <cellStyle name="Percent 2 2 16 7" xfId="17589" xr:uid="{00000000-0005-0000-0000-000034460000}"/>
    <cellStyle name="Percent 2 2 16 8" xfId="17590" xr:uid="{00000000-0005-0000-0000-000035460000}"/>
    <cellStyle name="Percent 2 2 16 9" xfId="17591" xr:uid="{00000000-0005-0000-0000-000036460000}"/>
    <cellStyle name="Percent 2 2 17" xfId="17592" xr:uid="{00000000-0005-0000-0000-000037460000}"/>
    <cellStyle name="Percent 2 2 17 10" xfId="17593" xr:uid="{00000000-0005-0000-0000-000038460000}"/>
    <cellStyle name="Percent 2 2 17 11" xfId="17594" xr:uid="{00000000-0005-0000-0000-000039460000}"/>
    <cellStyle name="Percent 2 2 17 12" xfId="17595" xr:uid="{00000000-0005-0000-0000-00003A460000}"/>
    <cellStyle name="Percent 2 2 17 13" xfId="17596" xr:uid="{00000000-0005-0000-0000-00003B460000}"/>
    <cellStyle name="Percent 2 2 17 14" xfId="17597" xr:uid="{00000000-0005-0000-0000-00003C460000}"/>
    <cellStyle name="Percent 2 2 17 15" xfId="17598" xr:uid="{00000000-0005-0000-0000-00003D460000}"/>
    <cellStyle name="Percent 2 2 17 16" xfId="17599" xr:uid="{00000000-0005-0000-0000-00003E460000}"/>
    <cellStyle name="Percent 2 2 17 17" xfId="17600" xr:uid="{00000000-0005-0000-0000-00003F460000}"/>
    <cellStyle name="Percent 2 2 17 2" xfId="17601" xr:uid="{00000000-0005-0000-0000-000040460000}"/>
    <cellStyle name="Percent 2 2 17 3" xfId="17602" xr:uid="{00000000-0005-0000-0000-000041460000}"/>
    <cellStyle name="Percent 2 2 17 4" xfId="17603" xr:uid="{00000000-0005-0000-0000-000042460000}"/>
    <cellStyle name="Percent 2 2 17 5" xfId="17604" xr:uid="{00000000-0005-0000-0000-000043460000}"/>
    <cellStyle name="Percent 2 2 17 6" xfId="17605" xr:uid="{00000000-0005-0000-0000-000044460000}"/>
    <cellStyle name="Percent 2 2 17 7" xfId="17606" xr:uid="{00000000-0005-0000-0000-000045460000}"/>
    <cellStyle name="Percent 2 2 17 8" xfId="17607" xr:uid="{00000000-0005-0000-0000-000046460000}"/>
    <cellStyle name="Percent 2 2 17 9" xfId="17608" xr:uid="{00000000-0005-0000-0000-000047460000}"/>
    <cellStyle name="Percent 2 2 18" xfId="17609" xr:uid="{00000000-0005-0000-0000-000048460000}"/>
    <cellStyle name="Percent 2 2 18 10" xfId="17610" xr:uid="{00000000-0005-0000-0000-000049460000}"/>
    <cellStyle name="Percent 2 2 18 11" xfId="17611" xr:uid="{00000000-0005-0000-0000-00004A460000}"/>
    <cellStyle name="Percent 2 2 18 12" xfId="17612" xr:uid="{00000000-0005-0000-0000-00004B460000}"/>
    <cellStyle name="Percent 2 2 18 13" xfId="17613" xr:uid="{00000000-0005-0000-0000-00004C460000}"/>
    <cellStyle name="Percent 2 2 18 14" xfId="17614" xr:uid="{00000000-0005-0000-0000-00004D460000}"/>
    <cellStyle name="Percent 2 2 18 15" xfId="17615" xr:uid="{00000000-0005-0000-0000-00004E460000}"/>
    <cellStyle name="Percent 2 2 18 16" xfId="17616" xr:uid="{00000000-0005-0000-0000-00004F460000}"/>
    <cellStyle name="Percent 2 2 18 17" xfId="17617" xr:uid="{00000000-0005-0000-0000-000050460000}"/>
    <cellStyle name="Percent 2 2 18 2" xfId="17618" xr:uid="{00000000-0005-0000-0000-000051460000}"/>
    <cellStyle name="Percent 2 2 18 3" xfId="17619" xr:uid="{00000000-0005-0000-0000-000052460000}"/>
    <cellStyle name="Percent 2 2 18 4" xfId="17620" xr:uid="{00000000-0005-0000-0000-000053460000}"/>
    <cellStyle name="Percent 2 2 18 5" xfId="17621" xr:uid="{00000000-0005-0000-0000-000054460000}"/>
    <cellStyle name="Percent 2 2 18 6" xfId="17622" xr:uid="{00000000-0005-0000-0000-000055460000}"/>
    <cellStyle name="Percent 2 2 18 7" xfId="17623" xr:uid="{00000000-0005-0000-0000-000056460000}"/>
    <cellStyle name="Percent 2 2 18 8" xfId="17624" xr:uid="{00000000-0005-0000-0000-000057460000}"/>
    <cellStyle name="Percent 2 2 18 9" xfId="17625" xr:uid="{00000000-0005-0000-0000-000058460000}"/>
    <cellStyle name="Percent 2 2 19" xfId="17626" xr:uid="{00000000-0005-0000-0000-000059460000}"/>
    <cellStyle name="Percent 2 2 19 10" xfId="17627" xr:uid="{00000000-0005-0000-0000-00005A460000}"/>
    <cellStyle name="Percent 2 2 19 11" xfId="17628" xr:uid="{00000000-0005-0000-0000-00005B460000}"/>
    <cellStyle name="Percent 2 2 19 12" xfId="17629" xr:uid="{00000000-0005-0000-0000-00005C460000}"/>
    <cellStyle name="Percent 2 2 19 13" xfId="17630" xr:uid="{00000000-0005-0000-0000-00005D460000}"/>
    <cellStyle name="Percent 2 2 19 14" xfId="17631" xr:uid="{00000000-0005-0000-0000-00005E460000}"/>
    <cellStyle name="Percent 2 2 19 15" xfId="17632" xr:uid="{00000000-0005-0000-0000-00005F460000}"/>
    <cellStyle name="Percent 2 2 19 16" xfId="17633" xr:uid="{00000000-0005-0000-0000-000060460000}"/>
    <cellStyle name="Percent 2 2 19 17" xfId="17634" xr:uid="{00000000-0005-0000-0000-000061460000}"/>
    <cellStyle name="Percent 2 2 19 2" xfId="17635" xr:uid="{00000000-0005-0000-0000-000062460000}"/>
    <cellStyle name="Percent 2 2 19 3" xfId="17636" xr:uid="{00000000-0005-0000-0000-000063460000}"/>
    <cellStyle name="Percent 2 2 19 4" xfId="17637" xr:uid="{00000000-0005-0000-0000-000064460000}"/>
    <cellStyle name="Percent 2 2 19 5" xfId="17638" xr:uid="{00000000-0005-0000-0000-000065460000}"/>
    <cellStyle name="Percent 2 2 19 6" xfId="17639" xr:uid="{00000000-0005-0000-0000-000066460000}"/>
    <cellStyle name="Percent 2 2 19 7" xfId="17640" xr:uid="{00000000-0005-0000-0000-000067460000}"/>
    <cellStyle name="Percent 2 2 19 8" xfId="17641" xr:uid="{00000000-0005-0000-0000-000068460000}"/>
    <cellStyle name="Percent 2 2 19 9" xfId="17642" xr:uid="{00000000-0005-0000-0000-000069460000}"/>
    <cellStyle name="Percent 2 2 2" xfId="17643" xr:uid="{00000000-0005-0000-0000-00006A460000}"/>
    <cellStyle name="Percent 2 2 2 2" xfId="17644" xr:uid="{00000000-0005-0000-0000-00006B460000}"/>
    <cellStyle name="Percent 2 2 2 2 10" xfId="17645" xr:uid="{00000000-0005-0000-0000-00006C460000}"/>
    <cellStyle name="Percent 2 2 2 2 11" xfId="17646" xr:uid="{00000000-0005-0000-0000-00006D460000}"/>
    <cellStyle name="Percent 2 2 2 2 12" xfId="17647" xr:uid="{00000000-0005-0000-0000-00006E460000}"/>
    <cellStyle name="Percent 2 2 2 2 13" xfId="17648" xr:uid="{00000000-0005-0000-0000-00006F460000}"/>
    <cellStyle name="Percent 2 2 2 2 14" xfId="17649" xr:uid="{00000000-0005-0000-0000-000070460000}"/>
    <cellStyle name="Percent 2 2 2 2 15" xfId="17650" xr:uid="{00000000-0005-0000-0000-000071460000}"/>
    <cellStyle name="Percent 2 2 2 2 16" xfId="17651" xr:uid="{00000000-0005-0000-0000-000072460000}"/>
    <cellStyle name="Percent 2 2 2 2 17" xfId="17652" xr:uid="{00000000-0005-0000-0000-000073460000}"/>
    <cellStyle name="Percent 2 2 2 2 2" xfId="17653" xr:uid="{00000000-0005-0000-0000-000074460000}"/>
    <cellStyle name="Percent 2 2 2 2 3" xfId="17654" xr:uid="{00000000-0005-0000-0000-000075460000}"/>
    <cellStyle name="Percent 2 2 2 2 4" xfId="17655" xr:uid="{00000000-0005-0000-0000-000076460000}"/>
    <cellStyle name="Percent 2 2 2 2 5" xfId="17656" xr:uid="{00000000-0005-0000-0000-000077460000}"/>
    <cellStyle name="Percent 2 2 2 2 6" xfId="17657" xr:uid="{00000000-0005-0000-0000-000078460000}"/>
    <cellStyle name="Percent 2 2 2 2 7" xfId="17658" xr:uid="{00000000-0005-0000-0000-000079460000}"/>
    <cellStyle name="Percent 2 2 2 2 8" xfId="17659" xr:uid="{00000000-0005-0000-0000-00007A460000}"/>
    <cellStyle name="Percent 2 2 2 2 9" xfId="17660" xr:uid="{00000000-0005-0000-0000-00007B460000}"/>
    <cellStyle name="Percent 2 2 2 3" xfId="17661" xr:uid="{00000000-0005-0000-0000-00007C460000}"/>
    <cellStyle name="Percent 2 2 2 3 10" xfId="17662" xr:uid="{00000000-0005-0000-0000-00007D460000}"/>
    <cellStyle name="Percent 2 2 2 3 11" xfId="17663" xr:uid="{00000000-0005-0000-0000-00007E460000}"/>
    <cellStyle name="Percent 2 2 2 3 12" xfId="17664" xr:uid="{00000000-0005-0000-0000-00007F460000}"/>
    <cellStyle name="Percent 2 2 2 3 13" xfId="17665" xr:uid="{00000000-0005-0000-0000-000080460000}"/>
    <cellStyle name="Percent 2 2 2 3 14" xfId="17666" xr:uid="{00000000-0005-0000-0000-000081460000}"/>
    <cellStyle name="Percent 2 2 2 3 15" xfId="17667" xr:uid="{00000000-0005-0000-0000-000082460000}"/>
    <cellStyle name="Percent 2 2 2 3 16" xfId="17668" xr:uid="{00000000-0005-0000-0000-000083460000}"/>
    <cellStyle name="Percent 2 2 2 3 17" xfId="17669" xr:uid="{00000000-0005-0000-0000-000084460000}"/>
    <cellStyle name="Percent 2 2 2 3 2" xfId="17670" xr:uid="{00000000-0005-0000-0000-000085460000}"/>
    <cellStyle name="Percent 2 2 2 3 3" xfId="17671" xr:uid="{00000000-0005-0000-0000-000086460000}"/>
    <cellStyle name="Percent 2 2 2 3 4" xfId="17672" xr:uid="{00000000-0005-0000-0000-000087460000}"/>
    <cellStyle name="Percent 2 2 2 3 5" xfId="17673" xr:uid="{00000000-0005-0000-0000-000088460000}"/>
    <cellStyle name="Percent 2 2 2 3 6" xfId="17674" xr:uid="{00000000-0005-0000-0000-000089460000}"/>
    <cellStyle name="Percent 2 2 2 3 7" xfId="17675" xr:uid="{00000000-0005-0000-0000-00008A460000}"/>
    <cellStyle name="Percent 2 2 2 3 8" xfId="17676" xr:uid="{00000000-0005-0000-0000-00008B460000}"/>
    <cellStyle name="Percent 2 2 2 3 9" xfId="17677" xr:uid="{00000000-0005-0000-0000-00008C460000}"/>
    <cellStyle name="Percent 2 2 20" xfId="17678" xr:uid="{00000000-0005-0000-0000-00008D460000}"/>
    <cellStyle name="Percent 2 2 20 10" xfId="17679" xr:uid="{00000000-0005-0000-0000-00008E460000}"/>
    <cellStyle name="Percent 2 2 20 11" xfId="17680" xr:uid="{00000000-0005-0000-0000-00008F460000}"/>
    <cellStyle name="Percent 2 2 20 12" xfId="17681" xr:uid="{00000000-0005-0000-0000-000090460000}"/>
    <cellStyle name="Percent 2 2 20 13" xfId="17682" xr:uid="{00000000-0005-0000-0000-000091460000}"/>
    <cellStyle name="Percent 2 2 20 14" xfId="17683" xr:uid="{00000000-0005-0000-0000-000092460000}"/>
    <cellStyle name="Percent 2 2 20 15" xfId="17684" xr:uid="{00000000-0005-0000-0000-000093460000}"/>
    <cellStyle name="Percent 2 2 20 16" xfId="17685" xr:uid="{00000000-0005-0000-0000-000094460000}"/>
    <cellStyle name="Percent 2 2 20 17" xfId="17686" xr:uid="{00000000-0005-0000-0000-000095460000}"/>
    <cellStyle name="Percent 2 2 20 2" xfId="17687" xr:uid="{00000000-0005-0000-0000-000096460000}"/>
    <cellStyle name="Percent 2 2 20 3" xfId="17688" xr:uid="{00000000-0005-0000-0000-000097460000}"/>
    <cellStyle name="Percent 2 2 20 4" xfId="17689" xr:uid="{00000000-0005-0000-0000-000098460000}"/>
    <cellStyle name="Percent 2 2 20 5" xfId="17690" xr:uid="{00000000-0005-0000-0000-000099460000}"/>
    <cellStyle name="Percent 2 2 20 6" xfId="17691" xr:uid="{00000000-0005-0000-0000-00009A460000}"/>
    <cellStyle name="Percent 2 2 20 7" xfId="17692" xr:uid="{00000000-0005-0000-0000-00009B460000}"/>
    <cellStyle name="Percent 2 2 20 8" xfId="17693" xr:uid="{00000000-0005-0000-0000-00009C460000}"/>
    <cellStyle name="Percent 2 2 20 9" xfId="17694" xr:uid="{00000000-0005-0000-0000-00009D460000}"/>
    <cellStyle name="Percent 2 2 21" xfId="17695" xr:uid="{00000000-0005-0000-0000-00009E460000}"/>
    <cellStyle name="Percent 2 2 21 10" xfId="17696" xr:uid="{00000000-0005-0000-0000-00009F460000}"/>
    <cellStyle name="Percent 2 2 21 11" xfId="17697" xr:uid="{00000000-0005-0000-0000-0000A0460000}"/>
    <cellStyle name="Percent 2 2 21 12" xfId="17698" xr:uid="{00000000-0005-0000-0000-0000A1460000}"/>
    <cellStyle name="Percent 2 2 21 13" xfId="17699" xr:uid="{00000000-0005-0000-0000-0000A2460000}"/>
    <cellStyle name="Percent 2 2 21 14" xfId="17700" xr:uid="{00000000-0005-0000-0000-0000A3460000}"/>
    <cellStyle name="Percent 2 2 21 15" xfId="17701" xr:uid="{00000000-0005-0000-0000-0000A4460000}"/>
    <cellStyle name="Percent 2 2 21 16" xfId="17702" xr:uid="{00000000-0005-0000-0000-0000A5460000}"/>
    <cellStyle name="Percent 2 2 21 17" xfId="17703" xr:uid="{00000000-0005-0000-0000-0000A6460000}"/>
    <cellStyle name="Percent 2 2 21 2" xfId="17704" xr:uid="{00000000-0005-0000-0000-0000A7460000}"/>
    <cellStyle name="Percent 2 2 21 3" xfId="17705" xr:uid="{00000000-0005-0000-0000-0000A8460000}"/>
    <cellStyle name="Percent 2 2 21 4" xfId="17706" xr:uid="{00000000-0005-0000-0000-0000A9460000}"/>
    <cellStyle name="Percent 2 2 21 5" xfId="17707" xr:uid="{00000000-0005-0000-0000-0000AA460000}"/>
    <cellStyle name="Percent 2 2 21 6" xfId="17708" xr:uid="{00000000-0005-0000-0000-0000AB460000}"/>
    <cellStyle name="Percent 2 2 21 7" xfId="17709" xr:uid="{00000000-0005-0000-0000-0000AC460000}"/>
    <cellStyle name="Percent 2 2 21 8" xfId="17710" xr:uid="{00000000-0005-0000-0000-0000AD460000}"/>
    <cellStyle name="Percent 2 2 21 9" xfId="17711" xr:uid="{00000000-0005-0000-0000-0000AE460000}"/>
    <cellStyle name="Percent 2 2 22" xfId="17712" xr:uid="{00000000-0005-0000-0000-0000AF460000}"/>
    <cellStyle name="Percent 2 2 22 10" xfId="17713" xr:uid="{00000000-0005-0000-0000-0000B0460000}"/>
    <cellStyle name="Percent 2 2 22 11" xfId="17714" xr:uid="{00000000-0005-0000-0000-0000B1460000}"/>
    <cellStyle name="Percent 2 2 22 12" xfId="17715" xr:uid="{00000000-0005-0000-0000-0000B2460000}"/>
    <cellStyle name="Percent 2 2 22 13" xfId="17716" xr:uid="{00000000-0005-0000-0000-0000B3460000}"/>
    <cellStyle name="Percent 2 2 22 14" xfId="17717" xr:uid="{00000000-0005-0000-0000-0000B4460000}"/>
    <cellStyle name="Percent 2 2 22 15" xfId="17718" xr:uid="{00000000-0005-0000-0000-0000B5460000}"/>
    <cellStyle name="Percent 2 2 22 16" xfId="17719" xr:uid="{00000000-0005-0000-0000-0000B6460000}"/>
    <cellStyle name="Percent 2 2 22 17" xfId="17720" xr:uid="{00000000-0005-0000-0000-0000B7460000}"/>
    <cellStyle name="Percent 2 2 22 2" xfId="17721" xr:uid="{00000000-0005-0000-0000-0000B8460000}"/>
    <cellStyle name="Percent 2 2 22 3" xfId="17722" xr:uid="{00000000-0005-0000-0000-0000B9460000}"/>
    <cellStyle name="Percent 2 2 22 4" xfId="17723" xr:uid="{00000000-0005-0000-0000-0000BA460000}"/>
    <cellStyle name="Percent 2 2 22 5" xfId="17724" xr:uid="{00000000-0005-0000-0000-0000BB460000}"/>
    <cellStyle name="Percent 2 2 22 6" xfId="17725" xr:uid="{00000000-0005-0000-0000-0000BC460000}"/>
    <cellStyle name="Percent 2 2 22 7" xfId="17726" xr:uid="{00000000-0005-0000-0000-0000BD460000}"/>
    <cellStyle name="Percent 2 2 22 8" xfId="17727" xr:uid="{00000000-0005-0000-0000-0000BE460000}"/>
    <cellStyle name="Percent 2 2 22 9" xfId="17728" xr:uid="{00000000-0005-0000-0000-0000BF460000}"/>
    <cellStyle name="Percent 2 2 23" xfId="17729" xr:uid="{00000000-0005-0000-0000-0000C0460000}"/>
    <cellStyle name="Percent 2 2 23 10" xfId="17730" xr:uid="{00000000-0005-0000-0000-0000C1460000}"/>
    <cellStyle name="Percent 2 2 23 11" xfId="17731" xr:uid="{00000000-0005-0000-0000-0000C2460000}"/>
    <cellStyle name="Percent 2 2 23 12" xfId="17732" xr:uid="{00000000-0005-0000-0000-0000C3460000}"/>
    <cellStyle name="Percent 2 2 23 13" xfId="17733" xr:uid="{00000000-0005-0000-0000-0000C4460000}"/>
    <cellStyle name="Percent 2 2 23 14" xfId="17734" xr:uid="{00000000-0005-0000-0000-0000C5460000}"/>
    <cellStyle name="Percent 2 2 23 15" xfId="17735" xr:uid="{00000000-0005-0000-0000-0000C6460000}"/>
    <cellStyle name="Percent 2 2 23 16" xfId="17736" xr:uid="{00000000-0005-0000-0000-0000C7460000}"/>
    <cellStyle name="Percent 2 2 23 17" xfId="17737" xr:uid="{00000000-0005-0000-0000-0000C8460000}"/>
    <cellStyle name="Percent 2 2 23 2" xfId="17738" xr:uid="{00000000-0005-0000-0000-0000C9460000}"/>
    <cellStyle name="Percent 2 2 23 3" xfId="17739" xr:uid="{00000000-0005-0000-0000-0000CA460000}"/>
    <cellStyle name="Percent 2 2 23 4" xfId="17740" xr:uid="{00000000-0005-0000-0000-0000CB460000}"/>
    <cellStyle name="Percent 2 2 23 5" xfId="17741" xr:uid="{00000000-0005-0000-0000-0000CC460000}"/>
    <cellStyle name="Percent 2 2 23 6" xfId="17742" xr:uid="{00000000-0005-0000-0000-0000CD460000}"/>
    <cellStyle name="Percent 2 2 23 7" xfId="17743" xr:uid="{00000000-0005-0000-0000-0000CE460000}"/>
    <cellStyle name="Percent 2 2 23 8" xfId="17744" xr:uid="{00000000-0005-0000-0000-0000CF460000}"/>
    <cellStyle name="Percent 2 2 23 9" xfId="17745" xr:uid="{00000000-0005-0000-0000-0000D0460000}"/>
    <cellStyle name="Percent 2 2 24" xfId="17746" xr:uid="{00000000-0005-0000-0000-0000D1460000}"/>
    <cellStyle name="Percent 2 2 24 10" xfId="17747" xr:uid="{00000000-0005-0000-0000-0000D2460000}"/>
    <cellStyle name="Percent 2 2 24 11" xfId="17748" xr:uid="{00000000-0005-0000-0000-0000D3460000}"/>
    <cellStyle name="Percent 2 2 24 12" xfId="17749" xr:uid="{00000000-0005-0000-0000-0000D4460000}"/>
    <cellStyle name="Percent 2 2 24 13" xfId="17750" xr:uid="{00000000-0005-0000-0000-0000D5460000}"/>
    <cellStyle name="Percent 2 2 24 14" xfId="17751" xr:uid="{00000000-0005-0000-0000-0000D6460000}"/>
    <cellStyle name="Percent 2 2 24 15" xfId="17752" xr:uid="{00000000-0005-0000-0000-0000D7460000}"/>
    <cellStyle name="Percent 2 2 24 16" xfId="17753" xr:uid="{00000000-0005-0000-0000-0000D8460000}"/>
    <cellStyle name="Percent 2 2 24 17" xfId="17754" xr:uid="{00000000-0005-0000-0000-0000D9460000}"/>
    <cellStyle name="Percent 2 2 24 2" xfId="17755" xr:uid="{00000000-0005-0000-0000-0000DA460000}"/>
    <cellStyle name="Percent 2 2 24 3" xfId="17756" xr:uid="{00000000-0005-0000-0000-0000DB460000}"/>
    <cellStyle name="Percent 2 2 24 4" xfId="17757" xr:uid="{00000000-0005-0000-0000-0000DC460000}"/>
    <cellStyle name="Percent 2 2 24 5" xfId="17758" xr:uid="{00000000-0005-0000-0000-0000DD460000}"/>
    <cellStyle name="Percent 2 2 24 6" xfId="17759" xr:uid="{00000000-0005-0000-0000-0000DE460000}"/>
    <cellStyle name="Percent 2 2 24 7" xfId="17760" xr:uid="{00000000-0005-0000-0000-0000DF460000}"/>
    <cellStyle name="Percent 2 2 24 8" xfId="17761" xr:uid="{00000000-0005-0000-0000-0000E0460000}"/>
    <cellStyle name="Percent 2 2 24 9" xfId="17762" xr:uid="{00000000-0005-0000-0000-0000E1460000}"/>
    <cellStyle name="Percent 2 2 25" xfId="17763" xr:uid="{00000000-0005-0000-0000-0000E2460000}"/>
    <cellStyle name="Percent 2 2 25 10" xfId="17764" xr:uid="{00000000-0005-0000-0000-0000E3460000}"/>
    <cellStyle name="Percent 2 2 25 11" xfId="17765" xr:uid="{00000000-0005-0000-0000-0000E4460000}"/>
    <cellStyle name="Percent 2 2 25 12" xfId="17766" xr:uid="{00000000-0005-0000-0000-0000E5460000}"/>
    <cellStyle name="Percent 2 2 25 13" xfId="17767" xr:uid="{00000000-0005-0000-0000-0000E6460000}"/>
    <cellStyle name="Percent 2 2 25 14" xfId="17768" xr:uid="{00000000-0005-0000-0000-0000E7460000}"/>
    <cellStyle name="Percent 2 2 25 15" xfId="17769" xr:uid="{00000000-0005-0000-0000-0000E8460000}"/>
    <cellStyle name="Percent 2 2 25 16" xfId="17770" xr:uid="{00000000-0005-0000-0000-0000E9460000}"/>
    <cellStyle name="Percent 2 2 25 17" xfId="17771" xr:uid="{00000000-0005-0000-0000-0000EA460000}"/>
    <cellStyle name="Percent 2 2 25 2" xfId="17772" xr:uid="{00000000-0005-0000-0000-0000EB460000}"/>
    <cellStyle name="Percent 2 2 25 3" xfId="17773" xr:uid="{00000000-0005-0000-0000-0000EC460000}"/>
    <cellStyle name="Percent 2 2 25 4" xfId="17774" xr:uid="{00000000-0005-0000-0000-0000ED460000}"/>
    <cellStyle name="Percent 2 2 25 5" xfId="17775" xr:uid="{00000000-0005-0000-0000-0000EE460000}"/>
    <cellStyle name="Percent 2 2 25 6" xfId="17776" xr:uid="{00000000-0005-0000-0000-0000EF460000}"/>
    <cellStyle name="Percent 2 2 25 7" xfId="17777" xr:uid="{00000000-0005-0000-0000-0000F0460000}"/>
    <cellStyle name="Percent 2 2 25 8" xfId="17778" xr:uid="{00000000-0005-0000-0000-0000F1460000}"/>
    <cellStyle name="Percent 2 2 25 9" xfId="17779" xr:uid="{00000000-0005-0000-0000-0000F2460000}"/>
    <cellStyle name="Percent 2 2 26" xfId="17780" xr:uid="{00000000-0005-0000-0000-0000F3460000}"/>
    <cellStyle name="Percent 2 2 26 10" xfId="17781" xr:uid="{00000000-0005-0000-0000-0000F4460000}"/>
    <cellStyle name="Percent 2 2 26 11" xfId="17782" xr:uid="{00000000-0005-0000-0000-0000F5460000}"/>
    <cellStyle name="Percent 2 2 26 12" xfId="17783" xr:uid="{00000000-0005-0000-0000-0000F6460000}"/>
    <cellStyle name="Percent 2 2 26 13" xfId="17784" xr:uid="{00000000-0005-0000-0000-0000F7460000}"/>
    <cellStyle name="Percent 2 2 26 14" xfId="17785" xr:uid="{00000000-0005-0000-0000-0000F8460000}"/>
    <cellStyle name="Percent 2 2 26 15" xfId="17786" xr:uid="{00000000-0005-0000-0000-0000F9460000}"/>
    <cellStyle name="Percent 2 2 26 16" xfId="17787" xr:uid="{00000000-0005-0000-0000-0000FA460000}"/>
    <cellStyle name="Percent 2 2 26 17" xfId="17788" xr:uid="{00000000-0005-0000-0000-0000FB460000}"/>
    <cellStyle name="Percent 2 2 26 2" xfId="17789" xr:uid="{00000000-0005-0000-0000-0000FC460000}"/>
    <cellStyle name="Percent 2 2 26 3" xfId="17790" xr:uid="{00000000-0005-0000-0000-0000FD460000}"/>
    <cellStyle name="Percent 2 2 26 4" xfId="17791" xr:uid="{00000000-0005-0000-0000-0000FE460000}"/>
    <cellStyle name="Percent 2 2 26 5" xfId="17792" xr:uid="{00000000-0005-0000-0000-0000FF460000}"/>
    <cellStyle name="Percent 2 2 26 6" xfId="17793" xr:uid="{00000000-0005-0000-0000-000000470000}"/>
    <cellStyle name="Percent 2 2 26 7" xfId="17794" xr:uid="{00000000-0005-0000-0000-000001470000}"/>
    <cellStyle name="Percent 2 2 26 8" xfId="17795" xr:uid="{00000000-0005-0000-0000-000002470000}"/>
    <cellStyle name="Percent 2 2 26 9" xfId="17796" xr:uid="{00000000-0005-0000-0000-000003470000}"/>
    <cellStyle name="Percent 2 2 27" xfId="17797" xr:uid="{00000000-0005-0000-0000-000004470000}"/>
    <cellStyle name="Percent 2 2 27 10" xfId="17798" xr:uid="{00000000-0005-0000-0000-000005470000}"/>
    <cellStyle name="Percent 2 2 27 11" xfId="17799" xr:uid="{00000000-0005-0000-0000-000006470000}"/>
    <cellStyle name="Percent 2 2 27 12" xfId="17800" xr:uid="{00000000-0005-0000-0000-000007470000}"/>
    <cellStyle name="Percent 2 2 27 13" xfId="17801" xr:uid="{00000000-0005-0000-0000-000008470000}"/>
    <cellStyle name="Percent 2 2 27 14" xfId="17802" xr:uid="{00000000-0005-0000-0000-000009470000}"/>
    <cellStyle name="Percent 2 2 27 15" xfId="17803" xr:uid="{00000000-0005-0000-0000-00000A470000}"/>
    <cellStyle name="Percent 2 2 27 16" xfId="17804" xr:uid="{00000000-0005-0000-0000-00000B470000}"/>
    <cellStyle name="Percent 2 2 27 17" xfId="17805" xr:uid="{00000000-0005-0000-0000-00000C470000}"/>
    <cellStyle name="Percent 2 2 27 2" xfId="17806" xr:uid="{00000000-0005-0000-0000-00000D470000}"/>
    <cellStyle name="Percent 2 2 27 3" xfId="17807" xr:uid="{00000000-0005-0000-0000-00000E470000}"/>
    <cellStyle name="Percent 2 2 27 4" xfId="17808" xr:uid="{00000000-0005-0000-0000-00000F470000}"/>
    <cellStyle name="Percent 2 2 27 5" xfId="17809" xr:uid="{00000000-0005-0000-0000-000010470000}"/>
    <cellStyle name="Percent 2 2 27 6" xfId="17810" xr:uid="{00000000-0005-0000-0000-000011470000}"/>
    <cellStyle name="Percent 2 2 27 7" xfId="17811" xr:uid="{00000000-0005-0000-0000-000012470000}"/>
    <cellStyle name="Percent 2 2 27 8" xfId="17812" xr:uid="{00000000-0005-0000-0000-000013470000}"/>
    <cellStyle name="Percent 2 2 27 9" xfId="17813" xr:uid="{00000000-0005-0000-0000-000014470000}"/>
    <cellStyle name="Percent 2 2 28" xfId="17814" xr:uid="{00000000-0005-0000-0000-000015470000}"/>
    <cellStyle name="Percent 2 2 28 10" xfId="17815" xr:uid="{00000000-0005-0000-0000-000016470000}"/>
    <cellStyle name="Percent 2 2 28 11" xfId="17816" xr:uid="{00000000-0005-0000-0000-000017470000}"/>
    <cellStyle name="Percent 2 2 28 12" xfId="17817" xr:uid="{00000000-0005-0000-0000-000018470000}"/>
    <cellStyle name="Percent 2 2 28 13" xfId="17818" xr:uid="{00000000-0005-0000-0000-000019470000}"/>
    <cellStyle name="Percent 2 2 28 14" xfId="17819" xr:uid="{00000000-0005-0000-0000-00001A470000}"/>
    <cellStyle name="Percent 2 2 28 15" xfId="17820" xr:uid="{00000000-0005-0000-0000-00001B470000}"/>
    <cellStyle name="Percent 2 2 28 16" xfId="17821" xr:uid="{00000000-0005-0000-0000-00001C470000}"/>
    <cellStyle name="Percent 2 2 28 17" xfId="17822" xr:uid="{00000000-0005-0000-0000-00001D470000}"/>
    <cellStyle name="Percent 2 2 28 2" xfId="17823" xr:uid="{00000000-0005-0000-0000-00001E470000}"/>
    <cellStyle name="Percent 2 2 28 3" xfId="17824" xr:uid="{00000000-0005-0000-0000-00001F470000}"/>
    <cellStyle name="Percent 2 2 28 4" xfId="17825" xr:uid="{00000000-0005-0000-0000-000020470000}"/>
    <cellStyle name="Percent 2 2 28 5" xfId="17826" xr:uid="{00000000-0005-0000-0000-000021470000}"/>
    <cellStyle name="Percent 2 2 28 6" xfId="17827" xr:uid="{00000000-0005-0000-0000-000022470000}"/>
    <cellStyle name="Percent 2 2 28 7" xfId="17828" xr:uid="{00000000-0005-0000-0000-000023470000}"/>
    <cellStyle name="Percent 2 2 28 8" xfId="17829" xr:uid="{00000000-0005-0000-0000-000024470000}"/>
    <cellStyle name="Percent 2 2 28 9" xfId="17830" xr:uid="{00000000-0005-0000-0000-000025470000}"/>
    <cellStyle name="Percent 2 2 29" xfId="17831" xr:uid="{00000000-0005-0000-0000-000026470000}"/>
    <cellStyle name="Percent 2 2 29 10" xfId="17832" xr:uid="{00000000-0005-0000-0000-000027470000}"/>
    <cellStyle name="Percent 2 2 29 11" xfId="17833" xr:uid="{00000000-0005-0000-0000-000028470000}"/>
    <cellStyle name="Percent 2 2 29 12" xfId="17834" xr:uid="{00000000-0005-0000-0000-000029470000}"/>
    <cellStyle name="Percent 2 2 29 13" xfId="17835" xr:uid="{00000000-0005-0000-0000-00002A470000}"/>
    <cellStyle name="Percent 2 2 29 14" xfId="17836" xr:uid="{00000000-0005-0000-0000-00002B470000}"/>
    <cellStyle name="Percent 2 2 29 15" xfId="17837" xr:uid="{00000000-0005-0000-0000-00002C470000}"/>
    <cellStyle name="Percent 2 2 29 16" xfId="17838" xr:uid="{00000000-0005-0000-0000-00002D470000}"/>
    <cellStyle name="Percent 2 2 29 17" xfId="17839" xr:uid="{00000000-0005-0000-0000-00002E470000}"/>
    <cellStyle name="Percent 2 2 29 2" xfId="17840" xr:uid="{00000000-0005-0000-0000-00002F470000}"/>
    <cellStyle name="Percent 2 2 29 3" xfId="17841" xr:uid="{00000000-0005-0000-0000-000030470000}"/>
    <cellStyle name="Percent 2 2 29 4" xfId="17842" xr:uid="{00000000-0005-0000-0000-000031470000}"/>
    <cellStyle name="Percent 2 2 29 5" xfId="17843" xr:uid="{00000000-0005-0000-0000-000032470000}"/>
    <cellStyle name="Percent 2 2 29 6" xfId="17844" xr:uid="{00000000-0005-0000-0000-000033470000}"/>
    <cellStyle name="Percent 2 2 29 7" xfId="17845" xr:uid="{00000000-0005-0000-0000-000034470000}"/>
    <cellStyle name="Percent 2 2 29 8" xfId="17846" xr:uid="{00000000-0005-0000-0000-000035470000}"/>
    <cellStyle name="Percent 2 2 29 9" xfId="17847" xr:uid="{00000000-0005-0000-0000-000036470000}"/>
    <cellStyle name="Percent 2 2 3" xfId="17848" xr:uid="{00000000-0005-0000-0000-000037470000}"/>
    <cellStyle name="Percent 2 2 3 10" xfId="17849" xr:uid="{00000000-0005-0000-0000-000038470000}"/>
    <cellStyle name="Percent 2 2 3 11" xfId="17850" xr:uid="{00000000-0005-0000-0000-000039470000}"/>
    <cellStyle name="Percent 2 2 3 12" xfId="17851" xr:uid="{00000000-0005-0000-0000-00003A470000}"/>
    <cellStyle name="Percent 2 2 3 13" xfId="17852" xr:uid="{00000000-0005-0000-0000-00003B470000}"/>
    <cellStyle name="Percent 2 2 3 14" xfId="17853" xr:uid="{00000000-0005-0000-0000-00003C470000}"/>
    <cellStyle name="Percent 2 2 3 15" xfId="17854" xr:uid="{00000000-0005-0000-0000-00003D470000}"/>
    <cellStyle name="Percent 2 2 3 16" xfId="17855" xr:uid="{00000000-0005-0000-0000-00003E470000}"/>
    <cellStyle name="Percent 2 2 3 17" xfId="17856" xr:uid="{00000000-0005-0000-0000-00003F470000}"/>
    <cellStyle name="Percent 2 2 3 2" xfId="17857" xr:uid="{00000000-0005-0000-0000-000040470000}"/>
    <cellStyle name="Percent 2 2 3 3" xfId="17858" xr:uid="{00000000-0005-0000-0000-000041470000}"/>
    <cellStyle name="Percent 2 2 3 4" xfId="17859" xr:uid="{00000000-0005-0000-0000-000042470000}"/>
    <cellStyle name="Percent 2 2 3 5" xfId="17860" xr:uid="{00000000-0005-0000-0000-000043470000}"/>
    <cellStyle name="Percent 2 2 3 6" xfId="17861" xr:uid="{00000000-0005-0000-0000-000044470000}"/>
    <cellStyle name="Percent 2 2 3 7" xfId="17862" xr:uid="{00000000-0005-0000-0000-000045470000}"/>
    <cellStyle name="Percent 2 2 3 8" xfId="17863" xr:uid="{00000000-0005-0000-0000-000046470000}"/>
    <cellStyle name="Percent 2 2 3 9" xfId="17864" xr:uid="{00000000-0005-0000-0000-000047470000}"/>
    <cellStyle name="Percent 2 2 30" xfId="17865" xr:uid="{00000000-0005-0000-0000-000048470000}"/>
    <cellStyle name="Percent 2 2 30 10" xfId="17866" xr:uid="{00000000-0005-0000-0000-000049470000}"/>
    <cellStyle name="Percent 2 2 30 11" xfId="17867" xr:uid="{00000000-0005-0000-0000-00004A470000}"/>
    <cellStyle name="Percent 2 2 30 12" xfId="17868" xr:uid="{00000000-0005-0000-0000-00004B470000}"/>
    <cellStyle name="Percent 2 2 30 13" xfId="17869" xr:uid="{00000000-0005-0000-0000-00004C470000}"/>
    <cellStyle name="Percent 2 2 30 14" xfId="17870" xr:uid="{00000000-0005-0000-0000-00004D470000}"/>
    <cellStyle name="Percent 2 2 30 15" xfId="17871" xr:uid="{00000000-0005-0000-0000-00004E470000}"/>
    <cellStyle name="Percent 2 2 30 16" xfId="17872" xr:uid="{00000000-0005-0000-0000-00004F470000}"/>
    <cellStyle name="Percent 2 2 30 17" xfId="17873" xr:uid="{00000000-0005-0000-0000-000050470000}"/>
    <cellStyle name="Percent 2 2 30 2" xfId="17874" xr:uid="{00000000-0005-0000-0000-000051470000}"/>
    <cellStyle name="Percent 2 2 30 3" xfId="17875" xr:uid="{00000000-0005-0000-0000-000052470000}"/>
    <cellStyle name="Percent 2 2 30 4" xfId="17876" xr:uid="{00000000-0005-0000-0000-000053470000}"/>
    <cellStyle name="Percent 2 2 30 5" xfId="17877" xr:uid="{00000000-0005-0000-0000-000054470000}"/>
    <cellStyle name="Percent 2 2 30 6" xfId="17878" xr:uid="{00000000-0005-0000-0000-000055470000}"/>
    <cellStyle name="Percent 2 2 30 7" xfId="17879" xr:uid="{00000000-0005-0000-0000-000056470000}"/>
    <cellStyle name="Percent 2 2 30 8" xfId="17880" xr:uid="{00000000-0005-0000-0000-000057470000}"/>
    <cellStyle name="Percent 2 2 30 9" xfId="17881" xr:uid="{00000000-0005-0000-0000-000058470000}"/>
    <cellStyle name="Percent 2 2 31" xfId="17882" xr:uid="{00000000-0005-0000-0000-000059470000}"/>
    <cellStyle name="Percent 2 2 31 10" xfId="17883" xr:uid="{00000000-0005-0000-0000-00005A470000}"/>
    <cellStyle name="Percent 2 2 31 11" xfId="17884" xr:uid="{00000000-0005-0000-0000-00005B470000}"/>
    <cellStyle name="Percent 2 2 31 12" xfId="17885" xr:uid="{00000000-0005-0000-0000-00005C470000}"/>
    <cellStyle name="Percent 2 2 31 13" xfId="17886" xr:uid="{00000000-0005-0000-0000-00005D470000}"/>
    <cellStyle name="Percent 2 2 31 14" xfId="17887" xr:uid="{00000000-0005-0000-0000-00005E470000}"/>
    <cellStyle name="Percent 2 2 31 15" xfId="17888" xr:uid="{00000000-0005-0000-0000-00005F470000}"/>
    <cellStyle name="Percent 2 2 31 16" xfId="17889" xr:uid="{00000000-0005-0000-0000-000060470000}"/>
    <cellStyle name="Percent 2 2 31 17" xfId="17890" xr:uid="{00000000-0005-0000-0000-000061470000}"/>
    <cellStyle name="Percent 2 2 31 2" xfId="17891" xr:uid="{00000000-0005-0000-0000-000062470000}"/>
    <cellStyle name="Percent 2 2 31 3" xfId="17892" xr:uid="{00000000-0005-0000-0000-000063470000}"/>
    <cellStyle name="Percent 2 2 31 4" xfId="17893" xr:uid="{00000000-0005-0000-0000-000064470000}"/>
    <cellStyle name="Percent 2 2 31 5" xfId="17894" xr:uid="{00000000-0005-0000-0000-000065470000}"/>
    <cellStyle name="Percent 2 2 31 6" xfId="17895" xr:uid="{00000000-0005-0000-0000-000066470000}"/>
    <cellStyle name="Percent 2 2 31 7" xfId="17896" xr:uid="{00000000-0005-0000-0000-000067470000}"/>
    <cellStyle name="Percent 2 2 31 8" xfId="17897" xr:uid="{00000000-0005-0000-0000-000068470000}"/>
    <cellStyle name="Percent 2 2 31 9" xfId="17898" xr:uid="{00000000-0005-0000-0000-000069470000}"/>
    <cellStyle name="Percent 2 2 32" xfId="17899" xr:uid="{00000000-0005-0000-0000-00006A470000}"/>
    <cellStyle name="Percent 2 2 32 10" xfId="17900" xr:uid="{00000000-0005-0000-0000-00006B470000}"/>
    <cellStyle name="Percent 2 2 32 11" xfId="17901" xr:uid="{00000000-0005-0000-0000-00006C470000}"/>
    <cellStyle name="Percent 2 2 32 12" xfId="17902" xr:uid="{00000000-0005-0000-0000-00006D470000}"/>
    <cellStyle name="Percent 2 2 32 13" xfId="17903" xr:uid="{00000000-0005-0000-0000-00006E470000}"/>
    <cellStyle name="Percent 2 2 32 14" xfId="17904" xr:uid="{00000000-0005-0000-0000-00006F470000}"/>
    <cellStyle name="Percent 2 2 32 15" xfId="17905" xr:uid="{00000000-0005-0000-0000-000070470000}"/>
    <cellStyle name="Percent 2 2 32 16" xfId="17906" xr:uid="{00000000-0005-0000-0000-000071470000}"/>
    <cellStyle name="Percent 2 2 32 17" xfId="17907" xr:uid="{00000000-0005-0000-0000-000072470000}"/>
    <cellStyle name="Percent 2 2 32 2" xfId="17908" xr:uid="{00000000-0005-0000-0000-000073470000}"/>
    <cellStyle name="Percent 2 2 32 3" xfId="17909" xr:uid="{00000000-0005-0000-0000-000074470000}"/>
    <cellStyle name="Percent 2 2 32 4" xfId="17910" xr:uid="{00000000-0005-0000-0000-000075470000}"/>
    <cellStyle name="Percent 2 2 32 5" xfId="17911" xr:uid="{00000000-0005-0000-0000-000076470000}"/>
    <cellStyle name="Percent 2 2 32 6" xfId="17912" xr:uid="{00000000-0005-0000-0000-000077470000}"/>
    <cellStyle name="Percent 2 2 32 7" xfId="17913" xr:uid="{00000000-0005-0000-0000-000078470000}"/>
    <cellStyle name="Percent 2 2 32 8" xfId="17914" xr:uid="{00000000-0005-0000-0000-000079470000}"/>
    <cellStyle name="Percent 2 2 32 9" xfId="17915" xr:uid="{00000000-0005-0000-0000-00007A470000}"/>
    <cellStyle name="Percent 2 2 33" xfId="17916" xr:uid="{00000000-0005-0000-0000-00007B470000}"/>
    <cellStyle name="Percent 2 2 33 10" xfId="17917" xr:uid="{00000000-0005-0000-0000-00007C470000}"/>
    <cellStyle name="Percent 2 2 33 11" xfId="17918" xr:uid="{00000000-0005-0000-0000-00007D470000}"/>
    <cellStyle name="Percent 2 2 33 12" xfId="17919" xr:uid="{00000000-0005-0000-0000-00007E470000}"/>
    <cellStyle name="Percent 2 2 33 13" xfId="17920" xr:uid="{00000000-0005-0000-0000-00007F470000}"/>
    <cellStyle name="Percent 2 2 33 14" xfId="17921" xr:uid="{00000000-0005-0000-0000-000080470000}"/>
    <cellStyle name="Percent 2 2 33 15" xfId="17922" xr:uid="{00000000-0005-0000-0000-000081470000}"/>
    <cellStyle name="Percent 2 2 33 16" xfId="17923" xr:uid="{00000000-0005-0000-0000-000082470000}"/>
    <cellStyle name="Percent 2 2 33 17" xfId="17924" xr:uid="{00000000-0005-0000-0000-000083470000}"/>
    <cellStyle name="Percent 2 2 33 2" xfId="17925" xr:uid="{00000000-0005-0000-0000-000084470000}"/>
    <cellStyle name="Percent 2 2 33 3" xfId="17926" xr:uid="{00000000-0005-0000-0000-000085470000}"/>
    <cellStyle name="Percent 2 2 33 4" xfId="17927" xr:uid="{00000000-0005-0000-0000-000086470000}"/>
    <cellStyle name="Percent 2 2 33 5" xfId="17928" xr:uid="{00000000-0005-0000-0000-000087470000}"/>
    <cellStyle name="Percent 2 2 33 6" xfId="17929" xr:uid="{00000000-0005-0000-0000-000088470000}"/>
    <cellStyle name="Percent 2 2 33 7" xfId="17930" xr:uid="{00000000-0005-0000-0000-000089470000}"/>
    <cellStyle name="Percent 2 2 33 8" xfId="17931" xr:uid="{00000000-0005-0000-0000-00008A470000}"/>
    <cellStyle name="Percent 2 2 33 9" xfId="17932" xr:uid="{00000000-0005-0000-0000-00008B470000}"/>
    <cellStyle name="Percent 2 2 34" xfId="17933" xr:uid="{00000000-0005-0000-0000-00008C470000}"/>
    <cellStyle name="Percent 2 2 34 10" xfId="17934" xr:uid="{00000000-0005-0000-0000-00008D470000}"/>
    <cellStyle name="Percent 2 2 34 11" xfId="17935" xr:uid="{00000000-0005-0000-0000-00008E470000}"/>
    <cellStyle name="Percent 2 2 34 12" xfId="17936" xr:uid="{00000000-0005-0000-0000-00008F470000}"/>
    <cellStyle name="Percent 2 2 34 13" xfId="17937" xr:uid="{00000000-0005-0000-0000-000090470000}"/>
    <cellStyle name="Percent 2 2 34 14" xfId="17938" xr:uid="{00000000-0005-0000-0000-000091470000}"/>
    <cellStyle name="Percent 2 2 34 15" xfId="17939" xr:uid="{00000000-0005-0000-0000-000092470000}"/>
    <cellStyle name="Percent 2 2 34 16" xfId="17940" xr:uid="{00000000-0005-0000-0000-000093470000}"/>
    <cellStyle name="Percent 2 2 34 17" xfId="17941" xr:uid="{00000000-0005-0000-0000-000094470000}"/>
    <cellStyle name="Percent 2 2 34 2" xfId="17942" xr:uid="{00000000-0005-0000-0000-000095470000}"/>
    <cellStyle name="Percent 2 2 34 3" xfId="17943" xr:uid="{00000000-0005-0000-0000-000096470000}"/>
    <cellStyle name="Percent 2 2 34 4" xfId="17944" xr:uid="{00000000-0005-0000-0000-000097470000}"/>
    <cellStyle name="Percent 2 2 34 5" xfId="17945" xr:uid="{00000000-0005-0000-0000-000098470000}"/>
    <cellStyle name="Percent 2 2 34 6" xfId="17946" xr:uid="{00000000-0005-0000-0000-000099470000}"/>
    <cellStyle name="Percent 2 2 34 7" xfId="17947" xr:uid="{00000000-0005-0000-0000-00009A470000}"/>
    <cellStyle name="Percent 2 2 34 8" xfId="17948" xr:uid="{00000000-0005-0000-0000-00009B470000}"/>
    <cellStyle name="Percent 2 2 34 9" xfId="17949" xr:uid="{00000000-0005-0000-0000-00009C470000}"/>
    <cellStyle name="Percent 2 2 35" xfId="17950" xr:uid="{00000000-0005-0000-0000-00009D470000}"/>
    <cellStyle name="Percent 2 2 35 10" xfId="17951" xr:uid="{00000000-0005-0000-0000-00009E470000}"/>
    <cellStyle name="Percent 2 2 35 11" xfId="17952" xr:uid="{00000000-0005-0000-0000-00009F470000}"/>
    <cellStyle name="Percent 2 2 35 12" xfId="17953" xr:uid="{00000000-0005-0000-0000-0000A0470000}"/>
    <cellStyle name="Percent 2 2 35 13" xfId="17954" xr:uid="{00000000-0005-0000-0000-0000A1470000}"/>
    <cellStyle name="Percent 2 2 35 14" xfId="17955" xr:uid="{00000000-0005-0000-0000-0000A2470000}"/>
    <cellStyle name="Percent 2 2 35 15" xfId="17956" xr:uid="{00000000-0005-0000-0000-0000A3470000}"/>
    <cellStyle name="Percent 2 2 35 16" xfId="17957" xr:uid="{00000000-0005-0000-0000-0000A4470000}"/>
    <cellStyle name="Percent 2 2 35 17" xfId="17958" xr:uid="{00000000-0005-0000-0000-0000A5470000}"/>
    <cellStyle name="Percent 2 2 35 2" xfId="17959" xr:uid="{00000000-0005-0000-0000-0000A6470000}"/>
    <cellStyle name="Percent 2 2 35 3" xfId="17960" xr:uid="{00000000-0005-0000-0000-0000A7470000}"/>
    <cellStyle name="Percent 2 2 35 4" xfId="17961" xr:uid="{00000000-0005-0000-0000-0000A8470000}"/>
    <cellStyle name="Percent 2 2 35 5" xfId="17962" xr:uid="{00000000-0005-0000-0000-0000A9470000}"/>
    <cellStyle name="Percent 2 2 35 6" xfId="17963" xr:uid="{00000000-0005-0000-0000-0000AA470000}"/>
    <cellStyle name="Percent 2 2 35 7" xfId="17964" xr:uid="{00000000-0005-0000-0000-0000AB470000}"/>
    <cellStyle name="Percent 2 2 35 8" xfId="17965" xr:uid="{00000000-0005-0000-0000-0000AC470000}"/>
    <cellStyle name="Percent 2 2 35 9" xfId="17966" xr:uid="{00000000-0005-0000-0000-0000AD470000}"/>
    <cellStyle name="Percent 2 2 36" xfId="17967" xr:uid="{00000000-0005-0000-0000-0000AE470000}"/>
    <cellStyle name="Percent 2 2 36 10" xfId="17968" xr:uid="{00000000-0005-0000-0000-0000AF470000}"/>
    <cellStyle name="Percent 2 2 36 11" xfId="17969" xr:uid="{00000000-0005-0000-0000-0000B0470000}"/>
    <cellStyle name="Percent 2 2 36 12" xfId="17970" xr:uid="{00000000-0005-0000-0000-0000B1470000}"/>
    <cellStyle name="Percent 2 2 36 13" xfId="17971" xr:uid="{00000000-0005-0000-0000-0000B2470000}"/>
    <cellStyle name="Percent 2 2 36 14" xfId="17972" xr:uid="{00000000-0005-0000-0000-0000B3470000}"/>
    <cellStyle name="Percent 2 2 36 15" xfId="17973" xr:uid="{00000000-0005-0000-0000-0000B4470000}"/>
    <cellStyle name="Percent 2 2 36 16" xfId="17974" xr:uid="{00000000-0005-0000-0000-0000B5470000}"/>
    <cellStyle name="Percent 2 2 36 17" xfId="17975" xr:uid="{00000000-0005-0000-0000-0000B6470000}"/>
    <cellStyle name="Percent 2 2 36 2" xfId="17976" xr:uid="{00000000-0005-0000-0000-0000B7470000}"/>
    <cellStyle name="Percent 2 2 36 3" xfId="17977" xr:uid="{00000000-0005-0000-0000-0000B8470000}"/>
    <cellStyle name="Percent 2 2 36 4" xfId="17978" xr:uid="{00000000-0005-0000-0000-0000B9470000}"/>
    <cellStyle name="Percent 2 2 36 5" xfId="17979" xr:uid="{00000000-0005-0000-0000-0000BA470000}"/>
    <cellStyle name="Percent 2 2 36 6" xfId="17980" xr:uid="{00000000-0005-0000-0000-0000BB470000}"/>
    <cellStyle name="Percent 2 2 36 7" xfId="17981" xr:uid="{00000000-0005-0000-0000-0000BC470000}"/>
    <cellStyle name="Percent 2 2 36 8" xfId="17982" xr:uid="{00000000-0005-0000-0000-0000BD470000}"/>
    <cellStyle name="Percent 2 2 36 9" xfId="17983" xr:uid="{00000000-0005-0000-0000-0000BE470000}"/>
    <cellStyle name="Percent 2 2 37" xfId="17984" xr:uid="{00000000-0005-0000-0000-0000BF470000}"/>
    <cellStyle name="Percent 2 2 37 10" xfId="17985" xr:uid="{00000000-0005-0000-0000-0000C0470000}"/>
    <cellStyle name="Percent 2 2 37 11" xfId="17986" xr:uid="{00000000-0005-0000-0000-0000C1470000}"/>
    <cellStyle name="Percent 2 2 37 12" xfId="17987" xr:uid="{00000000-0005-0000-0000-0000C2470000}"/>
    <cellStyle name="Percent 2 2 37 13" xfId="17988" xr:uid="{00000000-0005-0000-0000-0000C3470000}"/>
    <cellStyle name="Percent 2 2 37 14" xfId="17989" xr:uid="{00000000-0005-0000-0000-0000C4470000}"/>
    <cellStyle name="Percent 2 2 37 15" xfId="17990" xr:uid="{00000000-0005-0000-0000-0000C5470000}"/>
    <cellStyle name="Percent 2 2 37 16" xfId="17991" xr:uid="{00000000-0005-0000-0000-0000C6470000}"/>
    <cellStyle name="Percent 2 2 37 17" xfId="17992" xr:uid="{00000000-0005-0000-0000-0000C7470000}"/>
    <cellStyle name="Percent 2 2 37 2" xfId="17993" xr:uid="{00000000-0005-0000-0000-0000C8470000}"/>
    <cellStyle name="Percent 2 2 37 3" xfId="17994" xr:uid="{00000000-0005-0000-0000-0000C9470000}"/>
    <cellStyle name="Percent 2 2 37 4" xfId="17995" xr:uid="{00000000-0005-0000-0000-0000CA470000}"/>
    <cellStyle name="Percent 2 2 37 5" xfId="17996" xr:uid="{00000000-0005-0000-0000-0000CB470000}"/>
    <cellStyle name="Percent 2 2 37 6" xfId="17997" xr:uid="{00000000-0005-0000-0000-0000CC470000}"/>
    <cellStyle name="Percent 2 2 37 7" xfId="17998" xr:uid="{00000000-0005-0000-0000-0000CD470000}"/>
    <cellStyle name="Percent 2 2 37 8" xfId="17999" xr:uid="{00000000-0005-0000-0000-0000CE470000}"/>
    <cellStyle name="Percent 2 2 37 9" xfId="18000" xr:uid="{00000000-0005-0000-0000-0000CF470000}"/>
    <cellStyle name="Percent 2 2 38" xfId="18001" xr:uid="{00000000-0005-0000-0000-0000D0470000}"/>
    <cellStyle name="Percent 2 2 38 10" xfId="18002" xr:uid="{00000000-0005-0000-0000-0000D1470000}"/>
    <cellStyle name="Percent 2 2 38 11" xfId="18003" xr:uid="{00000000-0005-0000-0000-0000D2470000}"/>
    <cellStyle name="Percent 2 2 38 12" xfId="18004" xr:uid="{00000000-0005-0000-0000-0000D3470000}"/>
    <cellStyle name="Percent 2 2 38 13" xfId="18005" xr:uid="{00000000-0005-0000-0000-0000D4470000}"/>
    <cellStyle name="Percent 2 2 38 14" xfId="18006" xr:uid="{00000000-0005-0000-0000-0000D5470000}"/>
    <cellStyle name="Percent 2 2 38 15" xfId="18007" xr:uid="{00000000-0005-0000-0000-0000D6470000}"/>
    <cellStyle name="Percent 2 2 38 16" xfId="18008" xr:uid="{00000000-0005-0000-0000-0000D7470000}"/>
    <cellStyle name="Percent 2 2 38 17" xfId="18009" xr:uid="{00000000-0005-0000-0000-0000D8470000}"/>
    <cellStyle name="Percent 2 2 38 2" xfId="18010" xr:uid="{00000000-0005-0000-0000-0000D9470000}"/>
    <cellStyle name="Percent 2 2 38 3" xfId="18011" xr:uid="{00000000-0005-0000-0000-0000DA470000}"/>
    <cellStyle name="Percent 2 2 38 4" xfId="18012" xr:uid="{00000000-0005-0000-0000-0000DB470000}"/>
    <cellStyle name="Percent 2 2 38 5" xfId="18013" xr:uid="{00000000-0005-0000-0000-0000DC470000}"/>
    <cellStyle name="Percent 2 2 38 6" xfId="18014" xr:uid="{00000000-0005-0000-0000-0000DD470000}"/>
    <cellStyle name="Percent 2 2 38 7" xfId="18015" xr:uid="{00000000-0005-0000-0000-0000DE470000}"/>
    <cellStyle name="Percent 2 2 38 8" xfId="18016" xr:uid="{00000000-0005-0000-0000-0000DF470000}"/>
    <cellStyle name="Percent 2 2 38 9" xfId="18017" xr:uid="{00000000-0005-0000-0000-0000E0470000}"/>
    <cellStyle name="Percent 2 2 39" xfId="18018" xr:uid="{00000000-0005-0000-0000-0000E1470000}"/>
    <cellStyle name="Percent 2 2 39 10" xfId="18019" xr:uid="{00000000-0005-0000-0000-0000E2470000}"/>
    <cellStyle name="Percent 2 2 39 11" xfId="18020" xr:uid="{00000000-0005-0000-0000-0000E3470000}"/>
    <cellStyle name="Percent 2 2 39 12" xfId="18021" xr:uid="{00000000-0005-0000-0000-0000E4470000}"/>
    <cellStyle name="Percent 2 2 39 13" xfId="18022" xr:uid="{00000000-0005-0000-0000-0000E5470000}"/>
    <cellStyle name="Percent 2 2 39 14" xfId="18023" xr:uid="{00000000-0005-0000-0000-0000E6470000}"/>
    <cellStyle name="Percent 2 2 39 15" xfId="18024" xr:uid="{00000000-0005-0000-0000-0000E7470000}"/>
    <cellStyle name="Percent 2 2 39 16" xfId="18025" xr:uid="{00000000-0005-0000-0000-0000E8470000}"/>
    <cellStyle name="Percent 2 2 39 17" xfId="18026" xr:uid="{00000000-0005-0000-0000-0000E9470000}"/>
    <cellStyle name="Percent 2 2 39 2" xfId="18027" xr:uid="{00000000-0005-0000-0000-0000EA470000}"/>
    <cellStyle name="Percent 2 2 39 3" xfId="18028" xr:uid="{00000000-0005-0000-0000-0000EB470000}"/>
    <cellStyle name="Percent 2 2 39 4" xfId="18029" xr:uid="{00000000-0005-0000-0000-0000EC470000}"/>
    <cellStyle name="Percent 2 2 39 5" xfId="18030" xr:uid="{00000000-0005-0000-0000-0000ED470000}"/>
    <cellStyle name="Percent 2 2 39 6" xfId="18031" xr:uid="{00000000-0005-0000-0000-0000EE470000}"/>
    <cellStyle name="Percent 2 2 39 7" xfId="18032" xr:uid="{00000000-0005-0000-0000-0000EF470000}"/>
    <cellStyle name="Percent 2 2 39 8" xfId="18033" xr:uid="{00000000-0005-0000-0000-0000F0470000}"/>
    <cellStyle name="Percent 2 2 39 9" xfId="18034" xr:uid="{00000000-0005-0000-0000-0000F1470000}"/>
    <cellStyle name="Percent 2 2 4" xfId="18035" xr:uid="{00000000-0005-0000-0000-0000F2470000}"/>
    <cellStyle name="Percent 2 2 4 10" xfId="18036" xr:uid="{00000000-0005-0000-0000-0000F3470000}"/>
    <cellStyle name="Percent 2 2 4 11" xfId="18037" xr:uid="{00000000-0005-0000-0000-0000F4470000}"/>
    <cellStyle name="Percent 2 2 4 12" xfId="18038" xr:uid="{00000000-0005-0000-0000-0000F5470000}"/>
    <cellStyle name="Percent 2 2 4 13" xfId="18039" xr:uid="{00000000-0005-0000-0000-0000F6470000}"/>
    <cellStyle name="Percent 2 2 4 14" xfId="18040" xr:uid="{00000000-0005-0000-0000-0000F7470000}"/>
    <cellStyle name="Percent 2 2 4 15" xfId="18041" xr:uid="{00000000-0005-0000-0000-0000F8470000}"/>
    <cellStyle name="Percent 2 2 4 16" xfId="18042" xr:uid="{00000000-0005-0000-0000-0000F9470000}"/>
    <cellStyle name="Percent 2 2 4 17" xfId="18043" xr:uid="{00000000-0005-0000-0000-0000FA470000}"/>
    <cellStyle name="Percent 2 2 4 2" xfId="18044" xr:uid="{00000000-0005-0000-0000-0000FB470000}"/>
    <cellStyle name="Percent 2 2 4 3" xfId="18045" xr:uid="{00000000-0005-0000-0000-0000FC470000}"/>
    <cellStyle name="Percent 2 2 4 4" xfId="18046" xr:uid="{00000000-0005-0000-0000-0000FD470000}"/>
    <cellStyle name="Percent 2 2 4 5" xfId="18047" xr:uid="{00000000-0005-0000-0000-0000FE470000}"/>
    <cellStyle name="Percent 2 2 4 6" xfId="18048" xr:uid="{00000000-0005-0000-0000-0000FF470000}"/>
    <cellStyle name="Percent 2 2 4 7" xfId="18049" xr:uid="{00000000-0005-0000-0000-000000480000}"/>
    <cellStyle name="Percent 2 2 4 8" xfId="18050" xr:uid="{00000000-0005-0000-0000-000001480000}"/>
    <cellStyle name="Percent 2 2 4 9" xfId="18051" xr:uid="{00000000-0005-0000-0000-000002480000}"/>
    <cellStyle name="Percent 2 2 40" xfId="18052" xr:uid="{00000000-0005-0000-0000-000003480000}"/>
    <cellStyle name="Percent 2 2 40 10" xfId="18053" xr:uid="{00000000-0005-0000-0000-000004480000}"/>
    <cellStyle name="Percent 2 2 40 11" xfId="18054" xr:uid="{00000000-0005-0000-0000-000005480000}"/>
    <cellStyle name="Percent 2 2 40 12" xfId="18055" xr:uid="{00000000-0005-0000-0000-000006480000}"/>
    <cellStyle name="Percent 2 2 40 13" xfId="18056" xr:uid="{00000000-0005-0000-0000-000007480000}"/>
    <cellStyle name="Percent 2 2 40 14" xfId="18057" xr:uid="{00000000-0005-0000-0000-000008480000}"/>
    <cellStyle name="Percent 2 2 40 15" xfId="18058" xr:uid="{00000000-0005-0000-0000-000009480000}"/>
    <cellStyle name="Percent 2 2 40 16" xfId="18059" xr:uid="{00000000-0005-0000-0000-00000A480000}"/>
    <cellStyle name="Percent 2 2 40 17" xfId="18060" xr:uid="{00000000-0005-0000-0000-00000B480000}"/>
    <cellStyle name="Percent 2 2 40 2" xfId="18061" xr:uid="{00000000-0005-0000-0000-00000C480000}"/>
    <cellStyle name="Percent 2 2 40 3" xfId="18062" xr:uid="{00000000-0005-0000-0000-00000D480000}"/>
    <cellStyle name="Percent 2 2 40 4" xfId="18063" xr:uid="{00000000-0005-0000-0000-00000E480000}"/>
    <cellStyle name="Percent 2 2 40 5" xfId="18064" xr:uid="{00000000-0005-0000-0000-00000F480000}"/>
    <cellStyle name="Percent 2 2 40 6" xfId="18065" xr:uid="{00000000-0005-0000-0000-000010480000}"/>
    <cellStyle name="Percent 2 2 40 7" xfId="18066" xr:uid="{00000000-0005-0000-0000-000011480000}"/>
    <cellStyle name="Percent 2 2 40 8" xfId="18067" xr:uid="{00000000-0005-0000-0000-000012480000}"/>
    <cellStyle name="Percent 2 2 40 9" xfId="18068" xr:uid="{00000000-0005-0000-0000-000013480000}"/>
    <cellStyle name="Percent 2 2 41" xfId="18069" xr:uid="{00000000-0005-0000-0000-000014480000}"/>
    <cellStyle name="Percent 2 2 41 10" xfId="18070" xr:uid="{00000000-0005-0000-0000-000015480000}"/>
    <cellStyle name="Percent 2 2 41 11" xfId="18071" xr:uid="{00000000-0005-0000-0000-000016480000}"/>
    <cellStyle name="Percent 2 2 41 12" xfId="18072" xr:uid="{00000000-0005-0000-0000-000017480000}"/>
    <cellStyle name="Percent 2 2 41 13" xfId="18073" xr:uid="{00000000-0005-0000-0000-000018480000}"/>
    <cellStyle name="Percent 2 2 41 14" xfId="18074" xr:uid="{00000000-0005-0000-0000-000019480000}"/>
    <cellStyle name="Percent 2 2 41 15" xfId="18075" xr:uid="{00000000-0005-0000-0000-00001A480000}"/>
    <cellStyle name="Percent 2 2 41 16" xfId="18076" xr:uid="{00000000-0005-0000-0000-00001B480000}"/>
    <cellStyle name="Percent 2 2 41 17" xfId="18077" xr:uid="{00000000-0005-0000-0000-00001C480000}"/>
    <cellStyle name="Percent 2 2 41 2" xfId="18078" xr:uid="{00000000-0005-0000-0000-00001D480000}"/>
    <cellStyle name="Percent 2 2 41 3" xfId="18079" xr:uid="{00000000-0005-0000-0000-00001E480000}"/>
    <cellStyle name="Percent 2 2 41 4" xfId="18080" xr:uid="{00000000-0005-0000-0000-00001F480000}"/>
    <cellStyle name="Percent 2 2 41 5" xfId="18081" xr:uid="{00000000-0005-0000-0000-000020480000}"/>
    <cellStyle name="Percent 2 2 41 6" xfId="18082" xr:uid="{00000000-0005-0000-0000-000021480000}"/>
    <cellStyle name="Percent 2 2 41 7" xfId="18083" xr:uid="{00000000-0005-0000-0000-000022480000}"/>
    <cellStyle name="Percent 2 2 41 8" xfId="18084" xr:uid="{00000000-0005-0000-0000-000023480000}"/>
    <cellStyle name="Percent 2 2 41 9" xfId="18085" xr:uid="{00000000-0005-0000-0000-000024480000}"/>
    <cellStyle name="Percent 2 2 42" xfId="18086" xr:uid="{00000000-0005-0000-0000-000025480000}"/>
    <cellStyle name="Percent 2 2 42 10" xfId="18087" xr:uid="{00000000-0005-0000-0000-000026480000}"/>
    <cellStyle name="Percent 2 2 42 11" xfId="18088" xr:uid="{00000000-0005-0000-0000-000027480000}"/>
    <cellStyle name="Percent 2 2 42 12" xfId="18089" xr:uid="{00000000-0005-0000-0000-000028480000}"/>
    <cellStyle name="Percent 2 2 42 13" xfId="18090" xr:uid="{00000000-0005-0000-0000-000029480000}"/>
    <cellStyle name="Percent 2 2 42 14" xfId="18091" xr:uid="{00000000-0005-0000-0000-00002A480000}"/>
    <cellStyle name="Percent 2 2 42 15" xfId="18092" xr:uid="{00000000-0005-0000-0000-00002B480000}"/>
    <cellStyle name="Percent 2 2 42 16" xfId="18093" xr:uid="{00000000-0005-0000-0000-00002C480000}"/>
    <cellStyle name="Percent 2 2 42 17" xfId="18094" xr:uid="{00000000-0005-0000-0000-00002D480000}"/>
    <cellStyle name="Percent 2 2 42 2" xfId="18095" xr:uid="{00000000-0005-0000-0000-00002E480000}"/>
    <cellStyle name="Percent 2 2 42 3" xfId="18096" xr:uid="{00000000-0005-0000-0000-00002F480000}"/>
    <cellStyle name="Percent 2 2 42 4" xfId="18097" xr:uid="{00000000-0005-0000-0000-000030480000}"/>
    <cellStyle name="Percent 2 2 42 5" xfId="18098" xr:uid="{00000000-0005-0000-0000-000031480000}"/>
    <cellStyle name="Percent 2 2 42 6" xfId="18099" xr:uid="{00000000-0005-0000-0000-000032480000}"/>
    <cellStyle name="Percent 2 2 42 7" xfId="18100" xr:uid="{00000000-0005-0000-0000-000033480000}"/>
    <cellStyle name="Percent 2 2 42 8" xfId="18101" xr:uid="{00000000-0005-0000-0000-000034480000}"/>
    <cellStyle name="Percent 2 2 42 9" xfId="18102" xr:uid="{00000000-0005-0000-0000-000035480000}"/>
    <cellStyle name="Percent 2 2 43" xfId="18103" xr:uid="{00000000-0005-0000-0000-000036480000}"/>
    <cellStyle name="Percent 2 2 43 10" xfId="18104" xr:uid="{00000000-0005-0000-0000-000037480000}"/>
    <cellStyle name="Percent 2 2 43 11" xfId="18105" xr:uid="{00000000-0005-0000-0000-000038480000}"/>
    <cellStyle name="Percent 2 2 43 12" xfId="18106" xr:uid="{00000000-0005-0000-0000-000039480000}"/>
    <cellStyle name="Percent 2 2 43 13" xfId="18107" xr:uid="{00000000-0005-0000-0000-00003A480000}"/>
    <cellStyle name="Percent 2 2 43 14" xfId="18108" xr:uid="{00000000-0005-0000-0000-00003B480000}"/>
    <cellStyle name="Percent 2 2 43 15" xfId="18109" xr:uid="{00000000-0005-0000-0000-00003C480000}"/>
    <cellStyle name="Percent 2 2 43 16" xfId="18110" xr:uid="{00000000-0005-0000-0000-00003D480000}"/>
    <cellStyle name="Percent 2 2 43 17" xfId="18111" xr:uid="{00000000-0005-0000-0000-00003E480000}"/>
    <cellStyle name="Percent 2 2 43 2" xfId="18112" xr:uid="{00000000-0005-0000-0000-00003F480000}"/>
    <cellStyle name="Percent 2 2 43 3" xfId="18113" xr:uid="{00000000-0005-0000-0000-000040480000}"/>
    <cellStyle name="Percent 2 2 43 4" xfId="18114" xr:uid="{00000000-0005-0000-0000-000041480000}"/>
    <cellStyle name="Percent 2 2 43 5" xfId="18115" xr:uid="{00000000-0005-0000-0000-000042480000}"/>
    <cellStyle name="Percent 2 2 43 6" xfId="18116" xr:uid="{00000000-0005-0000-0000-000043480000}"/>
    <cellStyle name="Percent 2 2 43 7" xfId="18117" xr:uid="{00000000-0005-0000-0000-000044480000}"/>
    <cellStyle name="Percent 2 2 43 8" xfId="18118" xr:uid="{00000000-0005-0000-0000-000045480000}"/>
    <cellStyle name="Percent 2 2 43 9" xfId="18119" xr:uid="{00000000-0005-0000-0000-000046480000}"/>
    <cellStyle name="Percent 2 2 44" xfId="18120" xr:uid="{00000000-0005-0000-0000-000047480000}"/>
    <cellStyle name="Percent 2 2 44 10" xfId="18121" xr:uid="{00000000-0005-0000-0000-000048480000}"/>
    <cellStyle name="Percent 2 2 44 11" xfId="18122" xr:uid="{00000000-0005-0000-0000-000049480000}"/>
    <cellStyle name="Percent 2 2 44 12" xfId="18123" xr:uid="{00000000-0005-0000-0000-00004A480000}"/>
    <cellStyle name="Percent 2 2 44 13" xfId="18124" xr:uid="{00000000-0005-0000-0000-00004B480000}"/>
    <cellStyle name="Percent 2 2 44 14" xfId="18125" xr:uid="{00000000-0005-0000-0000-00004C480000}"/>
    <cellStyle name="Percent 2 2 44 15" xfId="18126" xr:uid="{00000000-0005-0000-0000-00004D480000}"/>
    <cellStyle name="Percent 2 2 44 16" xfId="18127" xr:uid="{00000000-0005-0000-0000-00004E480000}"/>
    <cellStyle name="Percent 2 2 44 17" xfId="18128" xr:uid="{00000000-0005-0000-0000-00004F480000}"/>
    <cellStyle name="Percent 2 2 44 2" xfId="18129" xr:uid="{00000000-0005-0000-0000-000050480000}"/>
    <cellStyle name="Percent 2 2 44 3" xfId="18130" xr:uid="{00000000-0005-0000-0000-000051480000}"/>
    <cellStyle name="Percent 2 2 44 4" xfId="18131" xr:uid="{00000000-0005-0000-0000-000052480000}"/>
    <cellStyle name="Percent 2 2 44 5" xfId="18132" xr:uid="{00000000-0005-0000-0000-000053480000}"/>
    <cellStyle name="Percent 2 2 44 6" xfId="18133" xr:uid="{00000000-0005-0000-0000-000054480000}"/>
    <cellStyle name="Percent 2 2 44 7" xfId="18134" xr:uid="{00000000-0005-0000-0000-000055480000}"/>
    <cellStyle name="Percent 2 2 44 8" xfId="18135" xr:uid="{00000000-0005-0000-0000-000056480000}"/>
    <cellStyle name="Percent 2 2 44 9" xfId="18136" xr:uid="{00000000-0005-0000-0000-000057480000}"/>
    <cellStyle name="Percent 2 2 45" xfId="18137" xr:uid="{00000000-0005-0000-0000-000058480000}"/>
    <cellStyle name="Percent 2 2 45 10" xfId="18138" xr:uid="{00000000-0005-0000-0000-000059480000}"/>
    <cellStyle name="Percent 2 2 45 11" xfId="18139" xr:uid="{00000000-0005-0000-0000-00005A480000}"/>
    <cellStyle name="Percent 2 2 45 12" xfId="18140" xr:uid="{00000000-0005-0000-0000-00005B480000}"/>
    <cellStyle name="Percent 2 2 45 13" xfId="18141" xr:uid="{00000000-0005-0000-0000-00005C480000}"/>
    <cellStyle name="Percent 2 2 45 14" xfId="18142" xr:uid="{00000000-0005-0000-0000-00005D480000}"/>
    <cellStyle name="Percent 2 2 45 15" xfId="18143" xr:uid="{00000000-0005-0000-0000-00005E480000}"/>
    <cellStyle name="Percent 2 2 45 16" xfId="18144" xr:uid="{00000000-0005-0000-0000-00005F480000}"/>
    <cellStyle name="Percent 2 2 45 17" xfId="18145" xr:uid="{00000000-0005-0000-0000-000060480000}"/>
    <cellStyle name="Percent 2 2 45 2" xfId="18146" xr:uid="{00000000-0005-0000-0000-000061480000}"/>
    <cellStyle name="Percent 2 2 45 3" xfId="18147" xr:uid="{00000000-0005-0000-0000-000062480000}"/>
    <cellStyle name="Percent 2 2 45 4" xfId="18148" xr:uid="{00000000-0005-0000-0000-000063480000}"/>
    <cellStyle name="Percent 2 2 45 5" xfId="18149" xr:uid="{00000000-0005-0000-0000-000064480000}"/>
    <cellStyle name="Percent 2 2 45 6" xfId="18150" xr:uid="{00000000-0005-0000-0000-000065480000}"/>
    <cellStyle name="Percent 2 2 45 7" xfId="18151" xr:uid="{00000000-0005-0000-0000-000066480000}"/>
    <cellStyle name="Percent 2 2 45 8" xfId="18152" xr:uid="{00000000-0005-0000-0000-000067480000}"/>
    <cellStyle name="Percent 2 2 45 9" xfId="18153" xr:uid="{00000000-0005-0000-0000-000068480000}"/>
    <cellStyle name="Percent 2 2 46" xfId="18154" xr:uid="{00000000-0005-0000-0000-000069480000}"/>
    <cellStyle name="Percent 2 2 46 10" xfId="18155" xr:uid="{00000000-0005-0000-0000-00006A480000}"/>
    <cellStyle name="Percent 2 2 46 11" xfId="18156" xr:uid="{00000000-0005-0000-0000-00006B480000}"/>
    <cellStyle name="Percent 2 2 46 12" xfId="18157" xr:uid="{00000000-0005-0000-0000-00006C480000}"/>
    <cellStyle name="Percent 2 2 46 13" xfId="18158" xr:uid="{00000000-0005-0000-0000-00006D480000}"/>
    <cellStyle name="Percent 2 2 46 14" xfId="18159" xr:uid="{00000000-0005-0000-0000-00006E480000}"/>
    <cellStyle name="Percent 2 2 46 15" xfId="18160" xr:uid="{00000000-0005-0000-0000-00006F480000}"/>
    <cellStyle name="Percent 2 2 46 16" xfId="18161" xr:uid="{00000000-0005-0000-0000-000070480000}"/>
    <cellStyle name="Percent 2 2 46 17" xfId="18162" xr:uid="{00000000-0005-0000-0000-000071480000}"/>
    <cellStyle name="Percent 2 2 46 2" xfId="18163" xr:uid="{00000000-0005-0000-0000-000072480000}"/>
    <cellStyle name="Percent 2 2 46 3" xfId="18164" xr:uid="{00000000-0005-0000-0000-000073480000}"/>
    <cellStyle name="Percent 2 2 46 4" xfId="18165" xr:uid="{00000000-0005-0000-0000-000074480000}"/>
    <cellStyle name="Percent 2 2 46 5" xfId="18166" xr:uid="{00000000-0005-0000-0000-000075480000}"/>
    <cellStyle name="Percent 2 2 46 6" xfId="18167" xr:uid="{00000000-0005-0000-0000-000076480000}"/>
    <cellStyle name="Percent 2 2 46 7" xfId="18168" xr:uid="{00000000-0005-0000-0000-000077480000}"/>
    <cellStyle name="Percent 2 2 46 8" xfId="18169" xr:uid="{00000000-0005-0000-0000-000078480000}"/>
    <cellStyle name="Percent 2 2 46 9" xfId="18170" xr:uid="{00000000-0005-0000-0000-000079480000}"/>
    <cellStyle name="Percent 2 2 47" xfId="18171" xr:uid="{00000000-0005-0000-0000-00007A480000}"/>
    <cellStyle name="Percent 2 2 47 10" xfId="18172" xr:uid="{00000000-0005-0000-0000-00007B480000}"/>
    <cellStyle name="Percent 2 2 47 11" xfId="18173" xr:uid="{00000000-0005-0000-0000-00007C480000}"/>
    <cellStyle name="Percent 2 2 47 12" xfId="18174" xr:uid="{00000000-0005-0000-0000-00007D480000}"/>
    <cellStyle name="Percent 2 2 47 13" xfId="18175" xr:uid="{00000000-0005-0000-0000-00007E480000}"/>
    <cellStyle name="Percent 2 2 47 14" xfId="18176" xr:uid="{00000000-0005-0000-0000-00007F480000}"/>
    <cellStyle name="Percent 2 2 47 15" xfId="18177" xr:uid="{00000000-0005-0000-0000-000080480000}"/>
    <cellStyle name="Percent 2 2 47 16" xfId="18178" xr:uid="{00000000-0005-0000-0000-000081480000}"/>
    <cellStyle name="Percent 2 2 47 17" xfId="18179" xr:uid="{00000000-0005-0000-0000-000082480000}"/>
    <cellStyle name="Percent 2 2 47 2" xfId="18180" xr:uid="{00000000-0005-0000-0000-000083480000}"/>
    <cellStyle name="Percent 2 2 47 3" xfId="18181" xr:uid="{00000000-0005-0000-0000-000084480000}"/>
    <cellStyle name="Percent 2 2 47 4" xfId="18182" xr:uid="{00000000-0005-0000-0000-000085480000}"/>
    <cellStyle name="Percent 2 2 47 5" xfId="18183" xr:uid="{00000000-0005-0000-0000-000086480000}"/>
    <cellStyle name="Percent 2 2 47 6" xfId="18184" xr:uid="{00000000-0005-0000-0000-000087480000}"/>
    <cellStyle name="Percent 2 2 47 7" xfId="18185" xr:uid="{00000000-0005-0000-0000-000088480000}"/>
    <cellStyle name="Percent 2 2 47 8" xfId="18186" xr:uid="{00000000-0005-0000-0000-000089480000}"/>
    <cellStyle name="Percent 2 2 47 9" xfId="18187" xr:uid="{00000000-0005-0000-0000-00008A480000}"/>
    <cellStyle name="Percent 2 2 48" xfId="18188" xr:uid="{00000000-0005-0000-0000-00008B480000}"/>
    <cellStyle name="Percent 2 2 48 10" xfId="18189" xr:uid="{00000000-0005-0000-0000-00008C480000}"/>
    <cellStyle name="Percent 2 2 48 11" xfId="18190" xr:uid="{00000000-0005-0000-0000-00008D480000}"/>
    <cellStyle name="Percent 2 2 48 12" xfId="18191" xr:uid="{00000000-0005-0000-0000-00008E480000}"/>
    <cellStyle name="Percent 2 2 48 13" xfId="18192" xr:uid="{00000000-0005-0000-0000-00008F480000}"/>
    <cellStyle name="Percent 2 2 48 14" xfId="18193" xr:uid="{00000000-0005-0000-0000-000090480000}"/>
    <cellStyle name="Percent 2 2 48 15" xfId="18194" xr:uid="{00000000-0005-0000-0000-000091480000}"/>
    <cellStyle name="Percent 2 2 48 16" xfId="18195" xr:uid="{00000000-0005-0000-0000-000092480000}"/>
    <cellStyle name="Percent 2 2 48 17" xfId="18196" xr:uid="{00000000-0005-0000-0000-000093480000}"/>
    <cellStyle name="Percent 2 2 48 2" xfId="18197" xr:uid="{00000000-0005-0000-0000-000094480000}"/>
    <cellStyle name="Percent 2 2 48 3" xfId="18198" xr:uid="{00000000-0005-0000-0000-000095480000}"/>
    <cellStyle name="Percent 2 2 48 4" xfId="18199" xr:uid="{00000000-0005-0000-0000-000096480000}"/>
    <cellStyle name="Percent 2 2 48 5" xfId="18200" xr:uid="{00000000-0005-0000-0000-000097480000}"/>
    <cellStyle name="Percent 2 2 48 6" xfId="18201" xr:uid="{00000000-0005-0000-0000-000098480000}"/>
    <cellStyle name="Percent 2 2 48 7" xfId="18202" xr:uid="{00000000-0005-0000-0000-000099480000}"/>
    <cellStyle name="Percent 2 2 48 8" xfId="18203" xr:uid="{00000000-0005-0000-0000-00009A480000}"/>
    <cellStyle name="Percent 2 2 48 9" xfId="18204" xr:uid="{00000000-0005-0000-0000-00009B480000}"/>
    <cellStyle name="Percent 2 2 49" xfId="18205" xr:uid="{00000000-0005-0000-0000-00009C480000}"/>
    <cellStyle name="Percent 2 2 49 10" xfId="18206" xr:uid="{00000000-0005-0000-0000-00009D480000}"/>
    <cellStyle name="Percent 2 2 49 11" xfId="18207" xr:uid="{00000000-0005-0000-0000-00009E480000}"/>
    <cellStyle name="Percent 2 2 49 12" xfId="18208" xr:uid="{00000000-0005-0000-0000-00009F480000}"/>
    <cellStyle name="Percent 2 2 49 13" xfId="18209" xr:uid="{00000000-0005-0000-0000-0000A0480000}"/>
    <cellStyle name="Percent 2 2 49 14" xfId="18210" xr:uid="{00000000-0005-0000-0000-0000A1480000}"/>
    <cellStyle name="Percent 2 2 49 15" xfId="18211" xr:uid="{00000000-0005-0000-0000-0000A2480000}"/>
    <cellStyle name="Percent 2 2 49 16" xfId="18212" xr:uid="{00000000-0005-0000-0000-0000A3480000}"/>
    <cellStyle name="Percent 2 2 49 17" xfId="18213" xr:uid="{00000000-0005-0000-0000-0000A4480000}"/>
    <cellStyle name="Percent 2 2 49 2" xfId="18214" xr:uid="{00000000-0005-0000-0000-0000A5480000}"/>
    <cellStyle name="Percent 2 2 49 3" xfId="18215" xr:uid="{00000000-0005-0000-0000-0000A6480000}"/>
    <cellStyle name="Percent 2 2 49 4" xfId="18216" xr:uid="{00000000-0005-0000-0000-0000A7480000}"/>
    <cellStyle name="Percent 2 2 49 5" xfId="18217" xr:uid="{00000000-0005-0000-0000-0000A8480000}"/>
    <cellStyle name="Percent 2 2 49 6" xfId="18218" xr:uid="{00000000-0005-0000-0000-0000A9480000}"/>
    <cellStyle name="Percent 2 2 49 7" xfId="18219" xr:uid="{00000000-0005-0000-0000-0000AA480000}"/>
    <cellStyle name="Percent 2 2 49 8" xfId="18220" xr:uid="{00000000-0005-0000-0000-0000AB480000}"/>
    <cellStyle name="Percent 2 2 49 9" xfId="18221" xr:uid="{00000000-0005-0000-0000-0000AC480000}"/>
    <cellStyle name="Percent 2 2 5" xfId="18222" xr:uid="{00000000-0005-0000-0000-0000AD480000}"/>
    <cellStyle name="Percent 2 2 5 10" xfId="18223" xr:uid="{00000000-0005-0000-0000-0000AE480000}"/>
    <cellStyle name="Percent 2 2 5 11" xfId="18224" xr:uid="{00000000-0005-0000-0000-0000AF480000}"/>
    <cellStyle name="Percent 2 2 5 12" xfId="18225" xr:uid="{00000000-0005-0000-0000-0000B0480000}"/>
    <cellStyle name="Percent 2 2 5 13" xfId="18226" xr:uid="{00000000-0005-0000-0000-0000B1480000}"/>
    <cellStyle name="Percent 2 2 5 14" xfId="18227" xr:uid="{00000000-0005-0000-0000-0000B2480000}"/>
    <cellStyle name="Percent 2 2 5 15" xfId="18228" xr:uid="{00000000-0005-0000-0000-0000B3480000}"/>
    <cellStyle name="Percent 2 2 5 16" xfId="18229" xr:uid="{00000000-0005-0000-0000-0000B4480000}"/>
    <cellStyle name="Percent 2 2 5 17" xfId="18230" xr:uid="{00000000-0005-0000-0000-0000B5480000}"/>
    <cellStyle name="Percent 2 2 5 2" xfId="18231" xr:uid="{00000000-0005-0000-0000-0000B6480000}"/>
    <cellStyle name="Percent 2 2 5 3" xfId="18232" xr:uid="{00000000-0005-0000-0000-0000B7480000}"/>
    <cellStyle name="Percent 2 2 5 4" xfId="18233" xr:uid="{00000000-0005-0000-0000-0000B8480000}"/>
    <cellStyle name="Percent 2 2 5 5" xfId="18234" xr:uid="{00000000-0005-0000-0000-0000B9480000}"/>
    <cellStyle name="Percent 2 2 5 6" xfId="18235" xr:uid="{00000000-0005-0000-0000-0000BA480000}"/>
    <cellStyle name="Percent 2 2 5 7" xfId="18236" xr:uid="{00000000-0005-0000-0000-0000BB480000}"/>
    <cellStyle name="Percent 2 2 5 8" xfId="18237" xr:uid="{00000000-0005-0000-0000-0000BC480000}"/>
    <cellStyle name="Percent 2 2 5 9" xfId="18238" xr:uid="{00000000-0005-0000-0000-0000BD480000}"/>
    <cellStyle name="Percent 2 2 50" xfId="18239" xr:uid="{00000000-0005-0000-0000-0000BE480000}"/>
    <cellStyle name="Percent 2 2 6" xfId="18240" xr:uid="{00000000-0005-0000-0000-0000BF480000}"/>
    <cellStyle name="Percent 2 2 6 10" xfId="18241" xr:uid="{00000000-0005-0000-0000-0000C0480000}"/>
    <cellStyle name="Percent 2 2 6 11" xfId="18242" xr:uid="{00000000-0005-0000-0000-0000C1480000}"/>
    <cellStyle name="Percent 2 2 6 12" xfId="18243" xr:uid="{00000000-0005-0000-0000-0000C2480000}"/>
    <cellStyle name="Percent 2 2 6 13" xfId="18244" xr:uid="{00000000-0005-0000-0000-0000C3480000}"/>
    <cellStyle name="Percent 2 2 6 14" xfId="18245" xr:uid="{00000000-0005-0000-0000-0000C4480000}"/>
    <cellStyle name="Percent 2 2 6 15" xfId="18246" xr:uid="{00000000-0005-0000-0000-0000C5480000}"/>
    <cellStyle name="Percent 2 2 6 16" xfId="18247" xr:uid="{00000000-0005-0000-0000-0000C6480000}"/>
    <cellStyle name="Percent 2 2 6 17" xfId="18248" xr:uid="{00000000-0005-0000-0000-0000C7480000}"/>
    <cellStyle name="Percent 2 2 6 2" xfId="18249" xr:uid="{00000000-0005-0000-0000-0000C8480000}"/>
    <cellStyle name="Percent 2 2 6 3" xfId="18250" xr:uid="{00000000-0005-0000-0000-0000C9480000}"/>
    <cellStyle name="Percent 2 2 6 4" xfId="18251" xr:uid="{00000000-0005-0000-0000-0000CA480000}"/>
    <cellStyle name="Percent 2 2 6 5" xfId="18252" xr:uid="{00000000-0005-0000-0000-0000CB480000}"/>
    <cellStyle name="Percent 2 2 6 6" xfId="18253" xr:uid="{00000000-0005-0000-0000-0000CC480000}"/>
    <cellStyle name="Percent 2 2 6 7" xfId="18254" xr:uid="{00000000-0005-0000-0000-0000CD480000}"/>
    <cellStyle name="Percent 2 2 6 8" xfId="18255" xr:uid="{00000000-0005-0000-0000-0000CE480000}"/>
    <cellStyle name="Percent 2 2 6 9" xfId="18256" xr:uid="{00000000-0005-0000-0000-0000CF480000}"/>
    <cellStyle name="Percent 2 2 7" xfId="18257" xr:uid="{00000000-0005-0000-0000-0000D0480000}"/>
    <cellStyle name="Percent 2 2 7 10" xfId="18258" xr:uid="{00000000-0005-0000-0000-0000D1480000}"/>
    <cellStyle name="Percent 2 2 7 11" xfId="18259" xr:uid="{00000000-0005-0000-0000-0000D2480000}"/>
    <cellStyle name="Percent 2 2 7 12" xfId="18260" xr:uid="{00000000-0005-0000-0000-0000D3480000}"/>
    <cellStyle name="Percent 2 2 7 13" xfId="18261" xr:uid="{00000000-0005-0000-0000-0000D4480000}"/>
    <cellStyle name="Percent 2 2 7 14" xfId="18262" xr:uid="{00000000-0005-0000-0000-0000D5480000}"/>
    <cellStyle name="Percent 2 2 7 15" xfId="18263" xr:uid="{00000000-0005-0000-0000-0000D6480000}"/>
    <cellStyle name="Percent 2 2 7 16" xfId="18264" xr:uid="{00000000-0005-0000-0000-0000D7480000}"/>
    <cellStyle name="Percent 2 2 7 17" xfId="18265" xr:uid="{00000000-0005-0000-0000-0000D8480000}"/>
    <cellStyle name="Percent 2 2 7 2" xfId="18266" xr:uid="{00000000-0005-0000-0000-0000D9480000}"/>
    <cellStyle name="Percent 2 2 7 3" xfId="18267" xr:uid="{00000000-0005-0000-0000-0000DA480000}"/>
    <cellStyle name="Percent 2 2 7 4" xfId="18268" xr:uid="{00000000-0005-0000-0000-0000DB480000}"/>
    <cellStyle name="Percent 2 2 7 5" xfId="18269" xr:uid="{00000000-0005-0000-0000-0000DC480000}"/>
    <cellStyle name="Percent 2 2 7 6" xfId="18270" xr:uid="{00000000-0005-0000-0000-0000DD480000}"/>
    <cellStyle name="Percent 2 2 7 7" xfId="18271" xr:uid="{00000000-0005-0000-0000-0000DE480000}"/>
    <cellStyle name="Percent 2 2 7 8" xfId="18272" xr:uid="{00000000-0005-0000-0000-0000DF480000}"/>
    <cellStyle name="Percent 2 2 7 9" xfId="18273" xr:uid="{00000000-0005-0000-0000-0000E0480000}"/>
    <cellStyle name="Percent 2 2 8" xfId="18274" xr:uid="{00000000-0005-0000-0000-0000E1480000}"/>
    <cellStyle name="Percent 2 2 8 10" xfId="18275" xr:uid="{00000000-0005-0000-0000-0000E2480000}"/>
    <cellStyle name="Percent 2 2 8 11" xfId="18276" xr:uid="{00000000-0005-0000-0000-0000E3480000}"/>
    <cellStyle name="Percent 2 2 8 12" xfId="18277" xr:uid="{00000000-0005-0000-0000-0000E4480000}"/>
    <cellStyle name="Percent 2 2 8 13" xfId="18278" xr:uid="{00000000-0005-0000-0000-0000E5480000}"/>
    <cellStyle name="Percent 2 2 8 14" xfId="18279" xr:uid="{00000000-0005-0000-0000-0000E6480000}"/>
    <cellStyle name="Percent 2 2 8 15" xfId="18280" xr:uid="{00000000-0005-0000-0000-0000E7480000}"/>
    <cellStyle name="Percent 2 2 8 16" xfId="18281" xr:uid="{00000000-0005-0000-0000-0000E8480000}"/>
    <cellStyle name="Percent 2 2 8 17" xfId="18282" xr:uid="{00000000-0005-0000-0000-0000E9480000}"/>
    <cellStyle name="Percent 2 2 8 2" xfId="18283" xr:uid="{00000000-0005-0000-0000-0000EA480000}"/>
    <cellStyle name="Percent 2 2 8 3" xfId="18284" xr:uid="{00000000-0005-0000-0000-0000EB480000}"/>
    <cellStyle name="Percent 2 2 8 4" xfId="18285" xr:uid="{00000000-0005-0000-0000-0000EC480000}"/>
    <cellStyle name="Percent 2 2 8 5" xfId="18286" xr:uid="{00000000-0005-0000-0000-0000ED480000}"/>
    <cellStyle name="Percent 2 2 8 6" xfId="18287" xr:uid="{00000000-0005-0000-0000-0000EE480000}"/>
    <cellStyle name="Percent 2 2 8 7" xfId="18288" xr:uid="{00000000-0005-0000-0000-0000EF480000}"/>
    <cellStyle name="Percent 2 2 8 8" xfId="18289" xr:uid="{00000000-0005-0000-0000-0000F0480000}"/>
    <cellStyle name="Percent 2 2 8 9" xfId="18290" xr:uid="{00000000-0005-0000-0000-0000F1480000}"/>
    <cellStyle name="Percent 2 2 9" xfId="18291" xr:uid="{00000000-0005-0000-0000-0000F2480000}"/>
    <cellStyle name="Percent 2 2 9 10" xfId="18292" xr:uid="{00000000-0005-0000-0000-0000F3480000}"/>
    <cellStyle name="Percent 2 2 9 11" xfId="18293" xr:uid="{00000000-0005-0000-0000-0000F4480000}"/>
    <cellStyle name="Percent 2 2 9 12" xfId="18294" xr:uid="{00000000-0005-0000-0000-0000F5480000}"/>
    <cellStyle name="Percent 2 2 9 13" xfId="18295" xr:uid="{00000000-0005-0000-0000-0000F6480000}"/>
    <cellStyle name="Percent 2 2 9 14" xfId="18296" xr:uid="{00000000-0005-0000-0000-0000F7480000}"/>
    <cellStyle name="Percent 2 2 9 15" xfId="18297" xr:uid="{00000000-0005-0000-0000-0000F8480000}"/>
    <cellStyle name="Percent 2 2 9 16" xfId="18298" xr:uid="{00000000-0005-0000-0000-0000F9480000}"/>
    <cellStyle name="Percent 2 2 9 17" xfId="18299" xr:uid="{00000000-0005-0000-0000-0000FA480000}"/>
    <cellStyle name="Percent 2 2 9 2" xfId="18300" xr:uid="{00000000-0005-0000-0000-0000FB480000}"/>
    <cellStyle name="Percent 2 2 9 3" xfId="18301" xr:uid="{00000000-0005-0000-0000-0000FC480000}"/>
    <cellStyle name="Percent 2 2 9 4" xfId="18302" xr:uid="{00000000-0005-0000-0000-0000FD480000}"/>
    <cellStyle name="Percent 2 2 9 5" xfId="18303" xr:uid="{00000000-0005-0000-0000-0000FE480000}"/>
    <cellStyle name="Percent 2 2 9 6" xfId="18304" xr:uid="{00000000-0005-0000-0000-0000FF480000}"/>
    <cellStyle name="Percent 2 2 9 7" xfId="18305" xr:uid="{00000000-0005-0000-0000-000000490000}"/>
    <cellStyle name="Percent 2 2 9 8" xfId="18306" xr:uid="{00000000-0005-0000-0000-000001490000}"/>
    <cellStyle name="Percent 2 2 9 9" xfId="18307" xr:uid="{00000000-0005-0000-0000-000002490000}"/>
    <cellStyle name="Percent 2 20" xfId="18308" xr:uid="{00000000-0005-0000-0000-000003490000}"/>
    <cellStyle name="Percent 2 20 10" xfId="18309" xr:uid="{00000000-0005-0000-0000-000004490000}"/>
    <cellStyle name="Percent 2 20 11" xfId="18310" xr:uid="{00000000-0005-0000-0000-000005490000}"/>
    <cellStyle name="Percent 2 20 12" xfId="18311" xr:uid="{00000000-0005-0000-0000-000006490000}"/>
    <cellStyle name="Percent 2 20 13" xfId="18312" xr:uid="{00000000-0005-0000-0000-000007490000}"/>
    <cellStyle name="Percent 2 20 14" xfId="18313" xr:uid="{00000000-0005-0000-0000-000008490000}"/>
    <cellStyle name="Percent 2 20 15" xfId="18314" xr:uid="{00000000-0005-0000-0000-000009490000}"/>
    <cellStyle name="Percent 2 20 16" xfId="18315" xr:uid="{00000000-0005-0000-0000-00000A490000}"/>
    <cellStyle name="Percent 2 20 17" xfId="18316" xr:uid="{00000000-0005-0000-0000-00000B490000}"/>
    <cellStyle name="Percent 2 20 2" xfId="18317" xr:uid="{00000000-0005-0000-0000-00000C490000}"/>
    <cellStyle name="Percent 2 20 3" xfId="18318" xr:uid="{00000000-0005-0000-0000-00000D490000}"/>
    <cellStyle name="Percent 2 20 4" xfId="18319" xr:uid="{00000000-0005-0000-0000-00000E490000}"/>
    <cellStyle name="Percent 2 20 5" xfId="18320" xr:uid="{00000000-0005-0000-0000-00000F490000}"/>
    <cellStyle name="Percent 2 20 6" xfId="18321" xr:uid="{00000000-0005-0000-0000-000010490000}"/>
    <cellStyle name="Percent 2 20 7" xfId="18322" xr:uid="{00000000-0005-0000-0000-000011490000}"/>
    <cellStyle name="Percent 2 20 8" xfId="18323" xr:uid="{00000000-0005-0000-0000-000012490000}"/>
    <cellStyle name="Percent 2 20 9" xfId="18324" xr:uid="{00000000-0005-0000-0000-000013490000}"/>
    <cellStyle name="Percent 2 21" xfId="18325" xr:uid="{00000000-0005-0000-0000-000014490000}"/>
    <cellStyle name="Percent 2 21 10" xfId="18326" xr:uid="{00000000-0005-0000-0000-000015490000}"/>
    <cellStyle name="Percent 2 21 11" xfId="18327" xr:uid="{00000000-0005-0000-0000-000016490000}"/>
    <cellStyle name="Percent 2 21 12" xfId="18328" xr:uid="{00000000-0005-0000-0000-000017490000}"/>
    <cellStyle name="Percent 2 21 13" xfId="18329" xr:uid="{00000000-0005-0000-0000-000018490000}"/>
    <cellStyle name="Percent 2 21 14" xfId="18330" xr:uid="{00000000-0005-0000-0000-000019490000}"/>
    <cellStyle name="Percent 2 21 15" xfId="18331" xr:uid="{00000000-0005-0000-0000-00001A490000}"/>
    <cellStyle name="Percent 2 21 16" xfId="18332" xr:uid="{00000000-0005-0000-0000-00001B490000}"/>
    <cellStyle name="Percent 2 21 17" xfId="18333" xr:uid="{00000000-0005-0000-0000-00001C490000}"/>
    <cellStyle name="Percent 2 21 2" xfId="18334" xr:uid="{00000000-0005-0000-0000-00001D490000}"/>
    <cellStyle name="Percent 2 21 3" xfId="18335" xr:uid="{00000000-0005-0000-0000-00001E490000}"/>
    <cellStyle name="Percent 2 21 4" xfId="18336" xr:uid="{00000000-0005-0000-0000-00001F490000}"/>
    <cellStyle name="Percent 2 21 5" xfId="18337" xr:uid="{00000000-0005-0000-0000-000020490000}"/>
    <cellStyle name="Percent 2 21 6" xfId="18338" xr:uid="{00000000-0005-0000-0000-000021490000}"/>
    <cellStyle name="Percent 2 21 7" xfId="18339" xr:uid="{00000000-0005-0000-0000-000022490000}"/>
    <cellStyle name="Percent 2 21 8" xfId="18340" xr:uid="{00000000-0005-0000-0000-000023490000}"/>
    <cellStyle name="Percent 2 21 9" xfId="18341" xr:uid="{00000000-0005-0000-0000-000024490000}"/>
    <cellStyle name="Percent 2 22" xfId="18342" xr:uid="{00000000-0005-0000-0000-000025490000}"/>
    <cellStyle name="Percent 2 22 10" xfId="18343" xr:uid="{00000000-0005-0000-0000-000026490000}"/>
    <cellStyle name="Percent 2 22 11" xfId="18344" xr:uid="{00000000-0005-0000-0000-000027490000}"/>
    <cellStyle name="Percent 2 22 12" xfId="18345" xr:uid="{00000000-0005-0000-0000-000028490000}"/>
    <cellStyle name="Percent 2 22 13" xfId="18346" xr:uid="{00000000-0005-0000-0000-000029490000}"/>
    <cellStyle name="Percent 2 22 14" xfId="18347" xr:uid="{00000000-0005-0000-0000-00002A490000}"/>
    <cellStyle name="Percent 2 22 15" xfId="18348" xr:uid="{00000000-0005-0000-0000-00002B490000}"/>
    <cellStyle name="Percent 2 22 16" xfId="18349" xr:uid="{00000000-0005-0000-0000-00002C490000}"/>
    <cellStyle name="Percent 2 22 17" xfId="18350" xr:uid="{00000000-0005-0000-0000-00002D490000}"/>
    <cellStyle name="Percent 2 22 2" xfId="18351" xr:uid="{00000000-0005-0000-0000-00002E490000}"/>
    <cellStyle name="Percent 2 22 3" xfId="18352" xr:uid="{00000000-0005-0000-0000-00002F490000}"/>
    <cellStyle name="Percent 2 22 4" xfId="18353" xr:uid="{00000000-0005-0000-0000-000030490000}"/>
    <cellStyle name="Percent 2 22 5" xfId="18354" xr:uid="{00000000-0005-0000-0000-000031490000}"/>
    <cellStyle name="Percent 2 22 6" xfId="18355" xr:uid="{00000000-0005-0000-0000-000032490000}"/>
    <cellStyle name="Percent 2 22 7" xfId="18356" xr:uid="{00000000-0005-0000-0000-000033490000}"/>
    <cellStyle name="Percent 2 22 8" xfId="18357" xr:uid="{00000000-0005-0000-0000-000034490000}"/>
    <cellStyle name="Percent 2 22 9" xfId="18358" xr:uid="{00000000-0005-0000-0000-000035490000}"/>
    <cellStyle name="Percent 2 23" xfId="18359" xr:uid="{00000000-0005-0000-0000-000036490000}"/>
    <cellStyle name="Percent 2 23 10" xfId="18360" xr:uid="{00000000-0005-0000-0000-000037490000}"/>
    <cellStyle name="Percent 2 23 11" xfId="18361" xr:uid="{00000000-0005-0000-0000-000038490000}"/>
    <cellStyle name="Percent 2 23 12" xfId="18362" xr:uid="{00000000-0005-0000-0000-000039490000}"/>
    <cellStyle name="Percent 2 23 13" xfId="18363" xr:uid="{00000000-0005-0000-0000-00003A490000}"/>
    <cellStyle name="Percent 2 23 14" xfId="18364" xr:uid="{00000000-0005-0000-0000-00003B490000}"/>
    <cellStyle name="Percent 2 23 15" xfId="18365" xr:uid="{00000000-0005-0000-0000-00003C490000}"/>
    <cellStyle name="Percent 2 23 16" xfId="18366" xr:uid="{00000000-0005-0000-0000-00003D490000}"/>
    <cellStyle name="Percent 2 23 17" xfId="18367" xr:uid="{00000000-0005-0000-0000-00003E490000}"/>
    <cellStyle name="Percent 2 23 2" xfId="18368" xr:uid="{00000000-0005-0000-0000-00003F490000}"/>
    <cellStyle name="Percent 2 23 3" xfId="18369" xr:uid="{00000000-0005-0000-0000-000040490000}"/>
    <cellStyle name="Percent 2 23 4" xfId="18370" xr:uid="{00000000-0005-0000-0000-000041490000}"/>
    <cellStyle name="Percent 2 23 5" xfId="18371" xr:uid="{00000000-0005-0000-0000-000042490000}"/>
    <cellStyle name="Percent 2 23 6" xfId="18372" xr:uid="{00000000-0005-0000-0000-000043490000}"/>
    <cellStyle name="Percent 2 23 7" xfId="18373" xr:uid="{00000000-0005-0000-0000-000044490000}"/>
    <cellStyle name="Percent 2 23 8" xfId="18374" xr:uid="{00000000-0005-0000-0000-000045490000}"/>
    <cellStyle name="Percent 2 23 9" xfId="18375" xr:uid="{00000000-0005-0000-0000-000046490000}"/>
    <cellStyle name="Percent 2 24" xfId="18376" xr:uid="{00000000-0005-0000-0000-000047490000}"/>
    <cellStyle name="Percent 2 24 10" xfId="18377" xr:uid="{00000000-0005-0000-0000-000048490000}"/>
    <cellStyle name="Percent 2 24 11" xfId="18378" xr:uid="{00000000-0005-0000-0000-000049490000}"/>
    <cellStyle name="Percent 2 24 12" xfId="18379" xr:uid="{00000000-0005-0000-0000-00004A490000}"/>
    <cellStyle name="Percent 2 24 13" xfId="18380" xr:uid="{00000000-0005-0000-0000-00004B490000}"/>
    <cellStyle name="Percent 2 24 14" xfId="18381" xr:uid="{00000000-0005-0000-0000-00004C490000}"/>
    <cellStyle name="Percent 2 24 15" xfId="18382" xr:uid="{00000000-0005-0000-0000-00004D490000}"/>
    <cellStyle name="Percent 2 24 16" xfId="18383" xr:uid="{00000000-0005-0000-0000-00004E490000}"/>
    <cellStyle name="Percent 2 24 17" xfId="18384" xr:uid="{00000000-0005-0000-0000-00004F490000}"/>
    <cellStyle name="Percent 2 24 2" xfId="18385" xr:uid="{00000000-0005-0000-0000-000050490000}"/>
    <cellStyle name="Percent 2 24 3" xfId="18386" xr:uid="{00000000-0005-0000-0000-000051490000}"/>
    <cellStyle name="Percent 2 24 4" xfId="18387" xr:uid="{00000000-0005-0000-0000-000052490000}"/>
    <cellStyle name="Percent 2 24 5" xfId="18388" xr:uid="{00000000-0005-0000-0000-000053490000}"/>
    <cellStyle name="Percent 2 24 6" xfId="18389" xr:uid="{00000000-0005-0000-0000-000054490000}"/>
    <cellStyle name="Percent 2 24 7" xfId="18390" xr:uid="{00000000-0005-0000-0000-000055490000}"/>
    <cellStyle name="Percent 2 24 8" xfId="18391" xr:uid="{00000000-0005-0000-0000-000056490000}"/>
    <cellStyle name="Percent 2 24 9" xfId="18392" xr:uid="{00000000-0005-0000-0000-000057490000}"/>
    <cellStyle name="Percent 2 25" xfId="18393" xr:uid="{00000000-0005-0000-0000-000058490000}"/>
    <cellStyle name="Percent 2 25 10" xfId="18394" xr:uid="{00000000-0005-0000-0000-000059490000}"/>
    <cellStyle name="Percent 2 25 11" xfId="18395" xr:uid="{00000000-0005-0000-0000-00005A490000}"/>
    <cellStyle name="Percent 2 25 12" xfId="18396" xr:uid="{00000000-0005-0000-0000-00005B490000}"/>
    <cellStyle name="Percent 2 25 13" xfId="18397" xr:uid="{00000000-0005-0000-0000-00005C490000}"/>
    <cellStyle name="Percent 2 25 14" xfId="18398" xr:uid="{00000000-0005-0000-0000-00005D490000}"/>
    <cellStyle name="Percent 2 25 15" xfId="18399" xr:uid="{00000000-0005-0000-0000-00005E490000}"/>
    <cellStyle name="Percent 2 25 16" xfId="18400" xr:uid="{00000000-0005-0000-0000-00005F490000}"/>
    <cellStyle name="Percent 2 25 17" xfId="18401" xr:uid="{00000000-0005-0000-0000-000060490000}"/>
    <cellStyle name="Percent 2 25 2" xfId="18402" xr:uid="{00000000-0005-0000-0000-000061490000}"/>
    <cellStyle name="Percent 2 25 3" xfId="18403" xr:uid="{00000000-0005-0000-0000-000062490000}"/>
    <cellStyle name="Percent 2 25 4" xfId="18404" xr:uid="{00000000-0005-0000-0000-000063490000}"/>
    <cellStyle name="Percent 2 25 5" xfId="18405" xr:uid="{00000000-0005-0000-0000-000064490000}"/>
    <cellStyle name="Percent 2 25 6" xfId="18406" xr:uid="{00000000-0005-0000-0000-000065490000}"/>
    <cellStyle name="Percent 2 25 7" xfId="18407" xr:uid="{00000000-0005-0000-0000-000066490000}"/>
    <cellStyle name="Percent 2 25 8" xfId="18408" xr:uid="{00000000-0005-0000-0000-000067490000}"/>
    <cellStyle name="Percent 2 25 9" xfId="18409" xr:uid="{00000000-0005-0000-0000-000068490000}"/>
    <cellStyle name="Percent 2 26" xfId="18410" xr:uid="{00000000-0005-0000-0000-000069490000}"/>
    <cellStyle name="Percent 2 26 10" xfId="18411" xr:uid="{00000000-0005-0000-0000-00006A490000}"/>
    <cellStyle name="Percent 2 26 11" xfId="18412" xr:uid="{00000000-0005-0000-0000-00006B490000}"/>
    <cellStyle name="Percent 2 26 12" xfId="18413" xr:uid="{00000000-0005-0000-0000-00006C490000}"/>
    <cellStyle name="Percent 2 26 13" xfId="18414" xr:uid="{00000000-0005-0000-0000-00006D490000}"/>
    <cellStyle name="Percent 2 26 14" xfId="18415" xr:uid="{00000000-0005-0000-0000-00006E490000}"/>
    <cellStyle name="Percent 2 26 15" xfId="18416" xr:uid="{00000000-0005-0000-0000-00006F490000}"/>
    <cellStyle name="Percent 2 26 16" xfId="18417" xr:uid="{00000000-0005-0000-0000-000070490000}"/>
    <cellStyle name="Percent 2 26 17" xfId="18418" xr:uid="{00000000-0005-0000-0000-000071490000}"/>
    <cellStyle name="Percent 2 26 2" xfId="18419" xr:uid="{00000000-0005-0000-0000-000072490000}"/>
    <cellStyle name="Percent 2 26 3" xfId="18420" xr:uid="{00000000-0005-0000-0000-000073490000}"/>
    <cellStyle name="Percent 2 26 4" xfId="18421" xr:uid="{00000000-0005-0000-0000-000074490000}"/>
    <cellStyle name="Percent 2 26 5" xfId="18422" xr:uid="{00000000-0005-0000-0000-000075490000}"/>
    <cellStyle name="Percent 2 26 6" xfId="18423" xr:uid="{00000000-0005-0000-0000-000076490000}"/>
    <cellStyle name="Percent 2 26 7" xfId="18424" xr:uid="{00000000-0005-0000-0000-000077490000}"/>
    <cellStyle name="Percent 2 26 8" xfId="18425" xr:uid="{00000000-0005-0000-0000-000078490000}"/>
    <cellStyle name="Percent 2 26 9" xfId="18426" xr:uid="{00000000-0005-0000-0000-000079490000}"/>
    <cellStyle name="Percent 2 27" xfId="18427" xr:uid="{00000000-0005-0000-0000-00007A490000}"/>
    <cellStyle name="Percent 2 27 10" xfId="18428" xr:uid="{00000000-0005-0000-0000-00007B490000}"/>
    <cellStyle name="Percent 2 27 11" xfId="18429" xr:uid="{00000000-0005-0000-0000-00007C490000}"/>
    <cellStyle name="Percent 2 27 12" xfId="18430" xr:uid="{00000000-0005-0000-0000-00007D490000}"/>
    <cellStyle name="Percent 2 27 13" xfId="18431" xr:uid="{00000000-0005-0000-0000-00007E490000}"/>
    <cellStyle name="Percent 2 27 14" xfId="18432" xr:uid="{00000000-0005-0000-0000-00007F490000}"/>
    <cellStyle name="Percent 2 27 15" xfId="18433" xr:uid="{00000000-0005-0000-0000-000080490000}"/>
    <cellStyle name="Percent 2 27 16" xfId="18434" xr:uid="{00000000-0005-0000-0000-000081490000}"/>
    <cellStyle name="Percent 2 27 17" xfId="18435" xr:uid="{00000000-0005-0000-0000-000082490000}"/>
    <cellStyle name="Percent 2 27 2" xfId="18436" xr:uid="{00000000-0005-0000-0000-000083490000}"/>
    <cellStyle name="Percent 2 27 3" xfId="18437" xr:uid="{00000000-0005-0000-0000-000084490000}"/>
    <cellStyle name="Percent 2 27 4" xfId="18438" xr:uid="{00000000-0005-0000-0000-000085490000}"/>
    <cellStyle name="Percent 2 27 5" xfId="18439" xr:uid="{00000000-0005-0000-0000-000086490000}"/>
    <cellStyle name="Percent 2 27 6" xfId="18440" xr:uid="{00000000-0005-0000-0000-000087490000}"/>
    <cellStyle name="Percent 2 27 7" xfId="18441" xr:uid="{00000000-0005-0000-0000-000088490000}"/>
    <cellStyle name="Percent 2 27 8" xfId="18442" xr:uid="{00000000-0005-0000-0000-000089490000}"/>
    <cellStyle name="Percent 2 27 9" xfId="18443" xr:uid="{00000000-0005-0000-0000-00008A490000}"/>
    <cellStyle name="Percent 2 28" xfId="18444" xr:uid="{00000000-0005-0000-0000-00008B490000}"/>
    <cellStyle name="Percent 2 28 10" xfId="18445" xr:uid="{00000000-0005-0000-0000-00008C490000}"/>
    <cellStyle name="Percent 2 28 11" xfId="18446" xr:uid="{00000000-0005-0000-0000-00008D490000}"/>
    <cellStyle name="Percent 2 28 12" xfId="18447" xr:uid="{00000000-0005-0000-0000-00008E490000}"/>
    <cellStyle name="Percent 2 28 13" xfId="18448" xr:uid="{00000000-0005-0000-0000-00008F490000}"/>
    <cellStyle name="Percent 2 28 14" xfId="18449" xr:uid="{00000000-0005-0000-0000-000090490000}"/>
    <cellStyle name="Percent 2 28 15" xfId="18450" xr:uid="{00000000-0005-0000-0000-000091490000}"/>
    <cellStyle name="Percent 2 28 16" xfId="18451" xr:uid="{00000000-0005-0000-0000-000092490000}"/>
    <cellStyle name="Percent 2 28 17" xfId="18452" xr:uid="{00000000-0005-0000-0000-000093490000}"/>
    <cellStyle name="Percent 2 28 2" xfId="18453" xr:uid="{00000000-0005-0000-0000-000094490000}"/>
    <cellStyle name="Percent 2 28 3" xfId="18454" xr:uid="{00000000-0005-0000-0000-000095490000}"/>
    <cellStyle name="Percent 2 28 4" xfId="18455" xr:uid="{00000000-0005-0000-0000-000096490000}"/>
    <cellStyle name="Percent 2 28 5" xfId="18456" xr:uid="{00000000-0005-0000-0000-000097490000}"/>
    <cellStyle name="Percent 2 28 6" xfId="18457" xr:uid="{00000000-0005-0000-0000-000098490000}"/>
    <cellStyle name="Percent 2 28 7" xfId="18458" xr:uid="{00000000-0005-0000-0000-000099490000}"/>
    <cellStyle name="Percent 2 28 8" xfId="18459" xr:uid="{00000000-0005-0000-0000-00009A490000}"/>
    <cellStyle name="Percent 2 28 9" xfId="18460" xr:uid="{00000000-0005-0000-0000-00009B490000}"/>
    <cellStyle name="Percent 2 29" xfId="18461" xr:uid="{00000000-0005-0000-0000-00009C490000}"/>
    <cellStyle name="Percent 2 29 10" xfId="18462" xr:uid="{00000000-0005-0000-0000-00009D490000}"/>
    <cellStyle name="Percent 2 29 11" xfId="18463" xr:uid="{00000000-0005-0000-0000-00009E490000}"/>
    <cellStyle name="Percent 2 29 12" xfId="18464" xr:uid="{00000000-0005-0000-0000-00009F490000}"/>
    <cellStyle name="Percent 2 29 13" xfId="18465" xr:uid="{00000000-0005-0000-0000-0000A0490000}"/>
    <cellStyle name="Percent 2 29 14" xfId="18466" xr:uid="{00000000-0005-0000-0000-0000A1490000}"/>
    <cellStyle name="Percent 2 29 15" xfId="18467" xr:uid="{00000000-0005-0000-0000-0000A2490000}"/>
    <cellStyle name="Percent 2 29 16" xfId="18468" xr:uid="{00000000-0005-0000-0000-0000A3490000}"/>
    <cellStyle name="Percent 2 29 17" xfId="18469" xr:uid="{00000000-0005-0000-0000-0000A4490000}"/>
    <cellStyle name="Percent 2 29 2" xfId="18470" xr:uid="{00000000-0005-0000-0000-0000A5490000}"/>
    <cellStyle name="Percent 2 29 3" xfId="18471" xr:uid="{00000000-0005-0000-0000-0000A6490000}"/>
    <cellStyle name="Percent 2 29 4" xfId="18472" xr:uid="{00000000-0005-0000-0000-0000A7490000}"/>
    <cellStyle name="Percent 2 29 5" xfId="18473" xr:uid="{00000000-0005-0000-0000-0000A8490000}"/>
    <cellStyle name="Percent 2 29 6" xfId="18474" xr:uid="{00000000-0005-0000-0000-0000A9490000}"/>
    <cellStyle name="Percent 2 29 7" xfId="18475" xr:uid="{00000000-0005-0000-0000-0000AA490000}"/>
    <cellStyle name="Percent 2 29 8" xfId="18476" xr:uid="{00000000-0005-0000-0000-0000AB490000}"/>
    <cellStyle name="Percent 2 29 9" xfId="18477" xr:uid="{00000000-0005-0000-0000-0000AC490000}"/>
    <cellStyle name="Percent 2 3" xfId="18478" xr:uid="{00000000-0005-0000-0000-0000AD490000}"/>
    <cellStyle name="Percent 2 3 10" xfId="18479" xr:uid="{00000000-0005-0000-0000-0000AE490000}"/>
    <cellStyle name="Percent 2 3 10 10" xfId="18480" xr:uid="{00000000-0005-0000-0000-0000AF490000}"/>
    <cellStyle name="Percent 2 3 10 11" xfId="18481" xr:uid="{00000000-0005-0000-0000-0000B0490000}"/>
    <cellStyle name="Percent 2 3 10 12" xfId="18482" xr:uid="{00000000-0005-0000-0000-0000B1490000}"/>
    <cellStyle name="Percent 2 3 10 13" xfId="18483" xr:uid="{00000000-0005-0000-0000-0000B2490000}"/>
    <cellStyle name="Percent 2 3 10 14" xfId="18484" xr:uid="{00000000-0005-0000-0000-0000B3490000}"/>
    <cellStyle name="Percent 2 3 10 15" xfId="18485" xr:uid="{00000000-0005-0000-0000-0000B4490000}"/>
    <cellStyle name="Percent 2 3 10 16" xfId="18486" xr:uid="{00000000-0005-0000-0000-0000B5490000}"/>
    <cellStyle name="Percent 2 3 10 17" xfId="18487" xr:uid="{00000000-0005-0000-0000-0000B6490000}"/>
    <cellStyle name="Percent 2 3 10 2" xfId="18488" xr:uid="{00000000-0005-0000-0000-0000B7490000}"/>
    <cellStyle name="Percent 2 3 10 3" xfId="18489" xr:uid="{00000000-0005-0000-0000-0000B8490000}"/>
    <cellStyle name="Percent 2 3 10 4" xfId="18490" xr:uid="{00000000-0005-0000-0000-0000B9490000}"/>
    <cellStyle name="Percent 2 3 10 5" xfId="18491" xr:uid="{00000000-0005-0000-0000-0000BA490000}"/>
    <cellStyle name="Percent 2 3 10 6" xfId="18492" xr:uid="{00000000-0005-0000-0000-0000BB490000}"/>
    <cellStyle name="Percent 2 3 10 7" xfId="18493" xr:uid="{00000000-0005-0000-0000-0000BC490000}"/>
    <cellStyle name="Percent 2 3 10 8" xfId="18494" xr:uid="{00000000-0005-0000-0000-0000BD490000}"/>
    <cellStyle name="Percent 2 3 10 9" xfId="18495" xr:uid="{00000000-0005-0000-0000-0000BE490000}"/>
    <cellStyle name="Percent 2 3 11" xfId="18496" xr:uid="{00000000-0005-0000-0000-0000BF490000}"/>
    <cellStyle name="Percent 2 3 11 10" xfId="18497" xr:uid="{00000000-0005-0000-0000-0000C0490000}"/>
    <cellStyle name="Percent 2 3 11 11" xfId="18498" xr:uid="{00000000-0005-0000-0000-0000C1490000}"/>
    <cellStyle name="Percent 2 3 11 12" xfId="18499" xr:uid="{00000000-0005-0000-0000-0000C2490000}"/>
    <cellStyle name="Percent 2 3 11 13" xfId="18500" xr:uid="{00000000-0005-0000-0000-0000C3490000}"/>
    <cellStyle name="Percent 2 3 11 14" xfId="18501" xr:uid="{00000000-0005-0000-0000-0000C4490000}"/>
    <cellStyle name="Percent 2 3 11 15" xfId="18502" xr:uid="{00000000-0005-0000-0000-0000C5490000}"/>
    <cellStyle name="Percent 2 3 11 16" xfId="18503" xr:uid="{00000000-0005-0000-0000-0000C6490000}"/>
    <cellStyle name="Percent 2 3 11 17" xfId="18504" xr:uid="{00000000-0005-0000-0000-0000C7490000}"/>
    <cellStyle name="Percent 2 3 11 2" xfId="18505" xr:uid="{00000000-0005-0000-0000-0000C8490000}"/>
    <cellStyle name="Percent 2 3 11 3" xfId="18506" xr:uid="{00000000-0005-0000-0000-0000C9490000}"/>
    <cellStyle name="Percent 2 3 11 4" xfId="18507" xr:uid="{00000000-0005-0000-0000-0000CA490000}"/>
    <cellStyle name="Percent 2 3 11 5" xfId="18508" xr:uid="{00000000-0005-0000-0000-0000CB490000}"/>
    <cellStyle name="Percent 2 3 11 6" xfId="18509" xr:uid="{00000000-0005-0000-0000-0000CC490000}"/>
    <cellStyle name="Percent 2 3 11 7" xfId="18510" xr:uid="{00000000-0005-0000-0000-0000CD490000}"/>
    <cellStyle name="Percent 2 3 11 8" xfId="18511" xr:uid="{00000000-0005-0000-0000-0000CE490000}"/>
    <cellStyle name="Percent 2 3 11 9" xfId="18512" xr:uid="{00000000-0005-0000-0000-0000CF490000}"/>
    <cellStyle name="Percent 2 3 12" xfId="18513" xr:uid="{00000000-0005-0000-0000-0000D0490000}"/>
    <cellStyle name="Percent 2 3 12 10" xfId="18514" xr:uid="{00000000-0005-0000-0000-0000D1490000}"/>
    <cellStyle name="Percent 2 3 12 11" xfId="18515" xr:uid="{00000000-0005-0000-0000-0000D2490000}"/>
    <cellStyle name="Percent 2 3 12 12" xfId="18516" xr:uid="{00000000-0005-0000-0000-0000D3490000}"/>
    <cellStyle name="Percent 2 3 12 13" xfId="18517" xr:uid="{00000000-0005-0000-0000-0000D4490000}"/>
    <cellStyle name="Percent 2 3 12 14" xfId="18518" xr:uid="{00000000-0005-0000-0000-0000D5490000}"/>
    <cellStyle name="Percent 2 3 12 15" xfId="18519" xr:uid="{00000000-0005-0000-0000-0000D6490000}"/>
    <cellStyle name="Percent 2 3 12 16" xfId="18520" xr:uid="{00000000-0005-0000-0000-0000D7490000}"/>
    <cellStyle name="Percent 2 3 12 17" xfId="18521" xr:uid="{00000000-0005-0000-0000-0000D8490000}"/>
    <cellStyle name="Percent 2 3 12 2" xfId="18522" xr:uid="{00000000-0005-0000-0000-0000D9490000}"/>
    <cellStyle name="Percent 2 3 12 3" xfId="18523" xr:uid="{00000000-0005-0000-0000-0000DA490000}"/>
    <cellStyle name="Percent 2 3 12 4" xfId="18524" xr:uid="{00000000-0005-0000-0000-0000DB490000}"/>
    <cellStyle name="Percent 2 3 12 5" xfId="18525" xr:uid="{00000000-0005-0000-0000-0000DC490000}"/>
    <cellStyle name="Percent 2 3 12 6" xfId="18526" xr:uid="{00000000-0005-0000-0000-0000DD490000}"/>
    <cellStyle name="Percent 2 3 12 7" xfId="18527" xr:uid="{00000000-0005-0000-0000-0000DE490000}"/>
    <cellStyle name="Percent 2 3 12 8" xfId="18528" xr:uid="{00000000-0005-0000-0000-0000DF490000}"/>
    <cellStyle name="Percent 2 3 12 9" xfId="18529" xr:uid="{00000000-0005-0000-0000-0000E0490000}"/>
    <cellStyle name="Percent 2 3 13" xfId="18530" xr:uid="{00000000-0005-0000-0000-0000E1490000}"/>
    <cellStyle name="Percent 2 3 13 10" xfId="18531" xr:uid="{00000000-0005-0000-0000-0000E2490000}"/>
    <cellStyle name="Percent 2 3 13 11" xfId="18532" xr:uid="{00000000-0005-0000-0000-0000E3490000}"/>
    <cellStyle name="Percent 2 3 13 12" xfId="18533" xr:uid="{00000000-0005-0000-0000-0000E4490000}"/>
    <cellStyle name="Percent 2 3 13 13" xfId="18534" xr:uid="{00000000-0005-0000-0000-0000E5490000}"/>
    <cellStyle name="Percent 2 3 13 14" xfId="18535" xr:uid="{00000000-0005-0000-0000-0000E6490000}"/>
    <cellStyle name="Percent 2 3 13 15" xfId="18536" xr:uid="{00000000-0005-0000-0000-0000E7490000}"/>
    <cellStyle name="Percent 2 3 13 16" xfId="18537" xr:uid="{00000000-0005-0000-0000-0000E8490000}"/>
    <cellStyle name="Percent 2 3 13 17" xfId="18538" xr:uid="{00000000-0005-0000-0000-0000E9490000}"/>
    <cellStyle name="Percent 2 3 13 2" xfId="18539" xr:uid="{00000000-0005-0000-0000-0000EA490000}"/>
    <cellStyle name="Percent 2 3 13 3" xfId="18540" xr:uid="{00000000-0005-0000-0000-0000EB490000}"/>
    <cellStyle name="Percent 2 3 13 4" xfId="18541" xr:uid="{00000000-0005-0000-0000-0000EC490000}"/>
    <cellStyle name="Percent 2 3 13 5" xfId="18542" xr:uid="{00000000-0005-0000-0000-0000ED490000}"/>
    <cellStyle name="Percent 2 3 13 6" xfId="18543" xr:uid="{00000000-0005-0000-0000-0000EE490000}"/>
    <cellStyle name="Percent 2 3 13 7" xfId="18544" xr:uid="{00000000-0005-0000-0000-0000EF490000}"/>
    <cellStyle name="Percent 2 3 13 8" xfId="18545" xr:uid="{00000000-0005-0000-0000-0000F0490000}"/>
    <cellStyle name="Percent 2 3 13 9" xfId="18546" xr:uid="{00000000-0005-0000-0000-0000F1490000}"/>
    <cellStyle name="Percent 2 3 14" xfId="18547" xr:uid="{00000000-0005-0000-0000-0000F2490000}"/>
    <cellStyle name="Percent 2 3 14 10" xfId="18548" xr:uid="{00000000-0005-0000-0000-0000F3490000}"/>
    <cellStyle name="Percent 2 3 14 11" xfId="18549" xr:uid="{00000000-0005-0000-0000-0000F4490000}"/>
    <cellStyle name="Percent 2 3 14 12" xfId="18550" xr:uid="{00000000-0005-0000-0000-0000F5490000}"/>
    <cellStyle name="Percent 2 3 14 13" xfId="18551" xr:uid="{00000000-0005-0000-0000-0000F6490000}"/>
    <cellStyle name="Percent 2 3 14 14" xfId="18552" xr:uid="{00000000-0005-0000-0000-0000F7490000}"/>
    <cellStyle name="Percent 2 3 14 15" xfId="18553" xr:uid="{00000000-0005-0000-0000-0000F8490000}"/>
    <cellStyle name="Percent 2 3 14 16" xfId="18554" xr:uid="{00000000-0005-0000-0000-0000F9490000}"/>
    <cellStyle name="Percent 2 3 14 17" xfId="18555" xr:uid="{00000000-0005-0000-0000-0000FA490000}"/>
    <cellStyle name="Percent 2 3 14 2" xfId="18556" xr:uid="{00000000-0005-0000-0000-0000FB490000}"/>
    <cellStyle name="Percent 2 3 14 3" xfId="18557" xr:uid="{00000000-0005-0000-0000-0000FC490000}"/>
    <cellStyle name="Percent 2 3 14 4" xfId="18558" xr:uid="{00000000-0005-0000-0000-0000FD490000}"/>
    <cellStyle name="Percent 2 3 14 5" xfId="18559" xr:uid="{00000000-0005-0000-0000-0000FE490000}"/>
    <cellStyle name="Percent 2 3 14 6" xfId="18560" xr:uid="{00000000-0005-0000-0000-0000FF490000}"/>
    <cellStyle name="Percent 2 3 14 7" xfId="18561" xr:uid="{00000000-0005-0000-0000-0000004A0000}"/>
    <cellStyle name="Percent 2 3 14 8" xfId="18562" xr:uid="{00000000-0005-0000-0000-0000014A0000}"/>
    <cellStyle name="Percent 2 3 14 9" xfId="18563" xr:uid="{00000000-0005-0000-0000-0000024A0000}"/>
    <cellStyle name="Percent 2 3 15" xfId="18564" xr:uid="{00000000-0005-0000-0000-0000034A0000}"/>
    <cellStyle name="Percent 2 3 15 10" xfId="18565" xr:uid="{00000000-0005-0000-0000-0000044A0000}"/>
    <cellStyle name="Percent 2 3 15 11" xfId="18566" xr:uid="{00000000-0005-0000-0000-0000054A0000}"/>
    <cellStyle name="Percent 2 3 15 12" xfId="18567" xr:uid="{00000000-0005-0000-0000-0000064A0000}"/>
    <cellStyle name="Percent 2 3 15 13" xfId="18568" xr:uid="{00000000-0005-0000-0000-0000074A0000}"/>
    <cellStyle name="Percent 2 3 15 14" xfId="18569" xr:uid="{00000000-0005-0000-0000-0000084A0000}"/>
    <cellStyle name="Percent 2 3 15 15" xfId="18570" xr:uid="{00000000-0005-0000-0000-0000094A0000}"/>
    <cellStyle name="Percent 2 3 15 16" xfId="18571" xr:uid="{00000000-0005-0000-0000-00000A4A0000}"/>
    <cellStyle name="Percent 2 3 15 17" xfId="18572" xr:uid="{00000000-0005-0000-0000-00000B4A0000}"/>
    <cellStyle name="Percent 2 3 15 2" xfId="18573" xr:uid="{00000000-0005-0000-0000-00000C4A0000}"/>
    <cellStyle name="Percent 2 3 15 3" xfId="18574" xr:uid="{00000000-0005-0000-0000-00000D4A0000}"/>
    <cellStyle name="Percent 2 3 15 4" xfId="18575" xr:uid="{00000000-0005-0000-0000-00000E4A0000}"/>
    <cellStyle name="Percent 2 3 15 5" xfId="18576" xr:uid="{00000000-0005-0000-0000-00000F4A0000}"/>
    <cellStyle name="Percent 2 3 15 6" xfId="18577" xr:uid="{00000000-0005-0000-0000-0000104A0000}"/>
    <cellStyle name="Percent 2 3 15 7" xfId="18578" xr:uid="{00000000-0005-0000-0000-0000114A0000}"/>
    <cellStyle name="Percent 2 3 15 8" xfId="18579" xr:uid="{00000000-0005-0000-0000-0000124A0000}"/>
    <cellStyle name="Percent 2 3 15 9" xfId="18580" xr:uid="{00000000-0005-0000-0000-0000134A0000}"/>
    <cellStyle name="Percent 2 3 16" xfId="18581" xr:uid="{00000000-0005-0000-0000-0000144A0000}"/>
    <cellStyle name="Percent 2 3 16 10" xfId="18582" xr:uid="{00000000-0005-0000-0000-0000154A0000}"/>
    <cellStyle name="Percent 2 3 16 11" xfId="18583" xr:uid="{00000000-0005-0000-0000-0000164A0000}"/>
    <cellStyle name="Percent 2 3 16 12" xfId="18584" xr:uid="{00000000-0005-0000-0000-0000174A0000}"/>
    <cellStyle name="Percent 2 3 16 13" xfId="18585" xr:uid="{00000000-0005-0000-0000-0000184A0000}"/>
    <cellStyle name="Percent 2 3 16 14" xfId="18586" xr:uid="{00000000-0005-0000-0000-0000194A0000}"/>
    <cellStyle name="Percent 2 3 16 15" xfId="18587" xr:uid="{00000000-0005-0000-0000-00001A4A0000}"/>
    <cellStyle name="Percent 2 3 16 16" xfId="18588" xr:uid="{00000000-0005-0000-0000-00001B4A0000}"/>
    <cellStyle name="Percent 2 3 16 17" xfId="18589" xr:uid="{00000000-0005-0000-0000-00001C4A0000}"/>
    <cellStyle name="Percent 2 3 16 2" xfId="18590" xr:uid="{00000000-0005-0000-0000-00001D4A0000}"/>
    <cellStyle name="Percent 2 3 16 3" xfId="18591" xr:uid="{00000000-0005-0000-0000-00001E4A0000}"/>
    <cellStyle name="Percent 2 3 16 4" xfId="18592" xr:uid="{00000000-0005-0000-0000-00001F4A0000}"/>
    <cellStyle name="Percent 2 3 16 5" xfId="18593" xr:uid="{00000000-0005-0000-0000-0000204A0000}"/>
    <cellStyle name="Percent 2 3 16 6" xfId="18594" xr:uid="{00000000-0005-0000-0000-0000214A0000}"/>
    <cellStyle name="Percent 2 3 16 7" xfId="18595" xr:uid="{00000000-0005-0000-0000-0000224A0000}"/>
    <cellStyle name="Percent 2 3 16 8" xfId="18596" xr:uid="{00000000-0005-0000-0000-0000234A0000}"/>
    <cellStyle name="Percent 2 3 16 9" xfId="18597" xr:uid="{00000000-0005-0000-0000-0000244A0000}"/>
    <cellStyle name="Percent 2 3 17" xfId="18598" xr:uid="{00000000-0005-0000-0000-0000254A0000}"/>
    <cellStyle name="Percent 2 3 17 10" xfId="18599" xr:uid="{00000000-0005-0000-0000-0000264A0000}"/>
    <cellStyle name="Percent 2 3 17 11" xfId="18600" xr:uid="{00000000-0005-0000-0000-0000274A0000}"/>
    <cellStyle name="Percent 2 3 17 12" xfId="18601" xr:uid="{00000000-0005-0000-0000-0000284A0000}"/>
    <cellStyle name="Percent 2 3 17 13" xfId="18602" xr:uid="{00000000-0005-0000-0000-0000294A0000}"/>
    <cellStyle name="Percent 2 3 17 14" xfId="18603" xr:uid="{00000000-0005-0000-0000-00002A4A0000}"/>
    <cellStyle name="Percent 2 3 17 15" xfId="18604" xr:uid="{00000000-0005-0000-0000-00002B4A0000}"/>
    <cellStyle name="Percent 2 3 17 16" xfId="18605" xr:uid="{00000000-0005-0000-0000-00002C4A0000}"/>
    <cellStyle name="Percent 2 3 17 17" xfId="18606" xr:uid="{00000000-0005-0000-0000-00002D4A0000}"/>
    <cellStyle name="Percent 2 3 17 2" xfId="18607" xr:uid="{00000000-0005-0000-0000-00002E4A0000}"/>
    <cellStyle name="Percent 2 3 17 3" xfId="18608" xr:uid="{00000000-0005-0000-0000-00002F4A0000}"/>
    <cellStyle name="Percent 2 3 17 4" xfId="18609" xr:uid="{00000000-0005-0000-0000-0000304A0000}"/>
    <cellStyle name="Percent 2 3 17 5" xfId="18610" xr:uid="{00000000-0005-0000-0000-0000314A0000}"/>
    <cellStyle name="Percent 2 3 17 6" xfId="18611" xr:uid="{00000000-0005-0000-0000-0000324A0000}"/>
    <cellStyle name="Percent 2 3 17 7" xfId="18612" xr:uid="{00000000-0005-0000-0000-0000334A0000}"/>
    <cellStyle name="Percent 2 3 17 8" xfId="18613" xr:uid="{00000000-0005-0000-0000-0000344A0000}"/>
    <cellStyle name="Percent 2 3 17 9" xfId="18614" xr:uid="{00000000-0005-0000-0000-0000354A0000}"/>
    <cellStyle name="Percent 2 3 18" xfId="18615" xr:uid="{00000000-0005-0000-0000-0000364A0000}"/>
    <cellStyle name="Percent 2 3 18 10" xfId="18616" xr:uid="{00000000-0005-0000-0000-0000374A0000}"/>
    <cellStyle name="Percent 2 3 18 11" xfId="18617" xr:uid="{00000000-0005-0000-0000-0000384A0000}"/>
    <cellStyle name="Percent 2 3 18 12" xfId="18618" xr:uid="{00000000-0005-0000-0000-0000394A0000}"/>
    <cellStyle name="Percent 2 3 18 13" xfId="18619" xr:uid="{00000000-0005-0000-0000-00003A4A0000}"/>
    <cellStyle name="Percent 2 3 18 14" xfId="18620" xr:uid="{00000000-0005-0000-0000-00003B4A0000}"/>
    <cellStyle name="Percent 2 3 18 15" xfId="18621" xr:uid="{00000000-0005-0000-0000-00003C4A0000}"/>
    <cellStyle name="Percent 2 3 18 16" xfId="18622" xr:uid="{00000000-0005-0000-0000-00003D4A0000}"/>
    <cellStyle name="Percent 2 3 18 17" xfId="18623" xr:uid="{00000000-0005-0000-0000-00003E4A0000}"/>
    <cellStyle name="Percent 2 3 18 2" xfId="18624" xr:uid="{00000000-0005-0000-0000-00003F4A0000}"/>
    <cellStyle name="Percent 2 3 18 3" xfId="18625" xr:uid="{00000000-0005-0000-0000-0000404A0000}"/>
    <cellStyle name="Percent 2 3 18 4" xfId="18626" xr:uid="{00000000-0005-0000-0000-0000414A0000}"/>
    <cellStyle name="Percent 2 3 18 5" xfId="18627" xr:uid="{00000000-0005-0000-0000-0000424A0000}"/>
    <cellStyle name="Percent 2 3 18 6" xfId="18628" xr:uid="{00000000-0005-0000-0000-0000434A0000}"/>
    <cellStyle name="Percent 2 3 18 7" xfId="18629" xr:uid="{00000000-0005-0000-0000-0000444A0000}"/>
    <cellStyle name="Percent 2 3 18 8" xfId="18630" xr:uid="{00000000-0005-0000-0000-0000454A0000}"/>
    <cellStyle name="Percent 2 3 18 9" xfId="18631" xr:uid="{00000000-0005-0000-0000-0000464A0000}"/>
    <cellStyle name="Percent 2 3 19" xfId="18632" xr:uid="{00000000-0005-0000-0000-0000474A0000}"/>
    <cellStyle name="Percent 2 3 19 10" xfId="18633" xr:uid="{00000000-0005-0000-0000-0000484A0000}"/>
    <cellStyle name="Percent 2 3 19 11" xfId="18634" xr:uid="{00000000-0005-0000-0000-0000494A0000}"/>
    <cellStyle name="Percent 2 3 19 12" xfId="18635" xr:uid="{00000000-0005-0000-0000-00004A4A0000}"/>
    <cellStyle name="Percent 2 3 19 13" xfId="18636" xr:uid="{00000000-0005-0000-0000-00004B4A0000}"/>
    <cellStyle name="Percent 2 3 19 14" xfId="18637" xr:uid="{00000000-0005-0000-0000-00004C4A0000}"/>
    <cellStyle name="Percent 2 3 19 15" xfId="18638" xr:uid="{00000000-0005-0000-0000-00004D4A0000}"/>
    <cellStyle name="Percent 2 3 19 16" xfId="18639" xr:uid="{00000000-0005-0000-0000-00004E4A0000}"/>
    <cellStyle name="Percent 2 3 19 17" xfId="18640" xr:uid="{00000000-0005-0000-0000-00004F4A0000}"/>
    <cellStyle name="Percent 2 3 19 2" xfId="18641" xr:uid="{00000000-0005-0000-0000-0000504A0000}"/>
    <cellStyle name="Percent 2 3 19 3" xfId="18642" xr:uid="{00000000-0005-0000-0000-0000514A0000}"/>
    <cellStyle name="Percent 2 3 19 4" xfId="18643" xr:uid="{00000000-0005-0000-0000-0000524A0000}"/>
    <cellStyle name="Percent 2 3 19 5" xfId="18644" xr:uid="{00000000-0005-0000-0000-0000534A0000}"/>
    <cellStyle name="Percent 2 3 19 6" xfId="18645" xr:uid="{00000000-0005-0000-0000-0000544A0000}"/>
    <cellStyle name="Percent 2 3 19 7" xfId="18646" xr:uid="{00000000-0005-0000-0000-0000554A0000}"/>
    <cellStyle name="Percent 2 3 19 8" xfId="18647" xr:uid="{00000000-0005-0000-0000-0000564A0000}"/>
    <cellStyle name="Percent 2 3 19 9" xfId="18648" xr:uid="{00000000-0005-0000-0000-0000574A0000}"/>
    <cellStyle name="Percent 2 3 2" xfId="18649" xr:uid="{00000000-0005-0000-0000-0000584A0000}"/>
    <cellStyle name="Percent 2 3 2 2" xfId="18650" xr:uid="{00000000-0005-0000-0000-0000594A0000}"/>
    <cellStyle name="Percent 2 3 2 2 10" xfId="18651" xr:uid="{00000000-0005-0000-0000-00005A4A0000}"/>
    <cellStyle name="Percent 2 3 2 2 11" xfId="18652" xr:uid="{00000000-0005-0000-0000-00005B4A0000}"/>
    <cellStyle name="Percent 2 3 2 2 12" xfId="18653" xr:uid="{00000000-0005-0000-0000-00005C4A0000}"/>
    <cellStyle name="Percent 2 3 2 2 13" xfId="18654" xr:uid="{00000000-0005-0000-0000-00005D4A0000}"/>
    <cellStyle name="Percent 2 3 2 2 14" xfId="18655" xr:uid="{00000000-0005-0000-0000-00005E4A0000}"/>
    <cellStyle name="Percent 2 3 2 2 15" xfId="18656" xr:uid="{00000000-0005-0000-0000-00005F4A0000}"/>
    <cellStyle name="Percent 2 3 2 2 16" xfId="18657" xr:uid="{00000000-0005-0000-0000-0000604A0000}"/>
    <cellStyle name="Percent 2 3 2 2 17" xfId="18658" xr:uid="{00000000-0005-0000-0000-0000614A0000}"/>
    <cellStyle name="Percent 2 3 2 2 2" xfId="18659" xr:uid="{00000000-0005-0000-0000-0000624A0000}"/>
    <cellStyle name="Percent 2 3 2 2 3" xfId="18660" xr:uid="{00000000-0005-0000-0000-0000634A0000}"/>
    <cellStyle name="Percent 2 3 2 2 4" xfId="18661" xr:uid="{00000000-0005-0000-0000-0000644A0000}"/>
    <cellStyle name="Percent 2 3 2 2 5" xfId="18662" xr:uid="{00000000-0005-0000-0000-0000654A0000}"/>
    <cellStyle name="Percent 2 3 2 2 6" xfId="18663" xr:uid="{00000000-0005-0000-0000-0000664A0000}"/>
    <cellStyle name="Percent 2 3 2 2 7" xfId="18664" xr:uid="{00000000-0005-0000-0000-0000674A0000}"/>
    <cellStyle name="Percent 2 3 2 2 8" xfId="18665" xr:uid="{00000000-0005-0000-0000-0000684A0000}"/>
    <cellStyle name="Percent 2 3 2 2 9" xfId="18666" xr:uid="{00000000-0005-0000-0000-0000694A0000}"/>
    <cellStyle name="Percent 2 3 2 3" xfId="18667" xr:uid="{00000000-0005-0000-0000-00006A4A0000}"/>
    <cellStyle name="Percent 2 3 2 3 10" xfId="18668" xr:uid="{00000000-0005-0000-0000-00006B4A0000}"/>
    <cellStyle name="Percent 2 3 2 3 11" xfId="18669" xr:uid="{00000000-0005-0000-0000-00006C4A0000}"/>
    <cellStyle name="Percent 2 3 2 3 12" xfId="18670" xr:uid="{00000000-0005-0000-0000-00006D4A0000}"/>
    <cellStyle name="Percent 2 3 2 3 13" xfId="18671" xr:uid="{00000000-0005-0000-0000-00006E4A0000}"/>
    <cellStyle name="Percent 2 3 2 3 14" xfId="18672" xr:uid="{00000000-0005-0000-0000-00006F4A0000}"/>
    <cellStyle name="Percent 2 3 2 3 15" xfId="18673" xr:uid="{00000000-0005-0000-0000-0000704A0000}"/>
    <cellStyle name="Percent 2 3 2 3 16" xfId="18674" xr:uid="{00000000-0005-0000-0000-0000714A0000}"/>
    <cellStyle name="Percent 2 3 2 3 17" xfId="18675" xr:uid="{00000000-0005-0000-0000-0000724A0000}"/>
    <cellStyle name="Percent 2 3 2 3 2" xfId="18676" xr:uid="{00000000-0005-0000-0000-0000734A0000}"/>
    <cellStyle name="Percent 2 3 2 3 3" xfId="18677" xr:uid="{00000000-0005-0000-0000-0000744A0000}"/>
    <cellStyle name="Percent 2 3 2 3 4" xfId="18678" xr:uid="{00000000-0005-0000-0000-0000754A0000}"/>
    <cellStyle name="Percent 2 3 2 3 5" xfId="18679" xr:uid="{00000000-0005-0000-0000-0000764A0000}"/>
    <cellStyle name="Percent 2 3 2 3 6" xfId="18680" xr:uid="{00000000-0005-0000-0000-0000774A0000}"/>
    <cellStyle name="Percent 2 3 2 3 7" xfId="18681" xr:uid="{00000000-0005-0000-0000-0000784A0000}"/>
    <cellStyle name="Percent 2 3 2 3 8" xfId="18682" xr:uid="{00000000-0005-0000-0000-0000794A0000}"/>
    <cellStyle name="Percent 2 3 2 3 9" xfId="18683" xr:uid="{00000000-0005-0000-0000-00007A4A0000}"/>
    <cellStyle name="Percent 2 3 20" xfId="18684" xr:uid="{00000000-0005-0000-0000-00007B4A0000}"/>
    <cellStyle name="Percent 2 3 20 10" xfId="18685" xr:uid="{00000000-0005-0000-0000-00007C4A0000}"/>
    <cellStyle name="Percent 2 3 20 11" xfId="18686" xr:uid="{00000000-0005-0000-0000-00007D4A0000}"/>
    <cellStyle name="Percent 2 3 20 12" xfId="18687" xr:uid="{00000000-0005-0000-0000-00007E4A0000}"/>
    <cellStyle name="Percent 2 3 20 13" xfId="18688" xr:uid="{00000000-0005-0000-0000-00007F4A0000}"/>
    <cellStyle name="Percent 2 3 20 14" xfId="18689" xr:uid="{00000000-0005-0000-0000-0000804A0000}"/>
    <cellStyle name="Percent 2 3 20 15" xfId="18690" xr:uid="{00000000-0005-0000-0000-0000814A0000}"/>
    <cellStyle name="Percent 2 3 20 16" xfId="18691" xr:uid="{00000000-0005-0000-0000-0000824A0000}"/>
    <cellStyle name="Percent 2 3 20 17" xfId="18692" xr:uid="{00000000-0005-0000-0000-0000834A0000}"/>
    <cellStyle name="Percent 2 3 20 2" xfId="18693" xr:uid="{00000000-0005-0000-0000-0000844A0000}"/>
    <cellStyle name="Percent 2 3 20 3" xfId="18694" xr:uid="{00000000-0005-0000-0000-0000854A0000}"/>
    <cellStyle name="Percent 2 3 20 4" xfId="18695" xr:uid="{00000000-0005-0000-0000-0000864A0000}"/>
    <cellStyle name="Percent 2 3 20 5" xfId="18696" xr:uid="{00000000-0005-0000-0000-0000874A0000}"/>
    <cellStyle name="Percent 2 3 20 6" xfId="18697" xr:uid="{00000000-0005-0000-0000-0000884A0000}"/>
    <cellStyle name="Percent 2 3 20 7" xfId="18698" xr:uid="{00000000-0005-0000-0000-0000894A0000}"/>
    <cellStyle name="Percent 2 3 20 8" xfId="18699" xr:uid="{00000000-0005-0000-0000-00008A4A0000}"/>
    <cellStyle name="Percent 2 3 20 9" xfId="18700" xr:uid="{00000000-0005-0000-0000-00008B4A0000}"/>
    <cellStyle name="Percent 2 3 21" xfId="18701" xr:uid="{00000000-0005-0000-0000-00008C4A0000}"/>
    <cellStyle name="Percent 2 3 21 10" xfId="18702" xr:uid="{00000000-0005-0000-0000-00008D4A0000}"/>
    <cellStyle name="Percent 2 3 21 11" xfId="18703" xr:uid="{00000000-0005-0000-0000-00008E4A0000}"/>
    <cellStyle name="Percent 2 3 21 12" xfId="18704" xr:uid="{00000000-0005-0000-0000-00008F4A0000}"/>
    <cellStyle name="Percent 2 3 21 13" xfId="18705" xr:uid="{00000000-0005-0000-0000-0000904A0000}"/>
    <cellStyle name="Percent 2 3 21 14" xfId="18706" xr:uid="{00000000-0005-0000-0000-0000914A0000}"/>
    <cellStyle name="Percent 2 3 21 15" xfId="18707" xr:uid="{00000000-0005-0000-0000-0000924A0000}"/>
    <cellStyle name="Percent 2 3 21 16" xfId="18708" xr:uid="{00000000-0005-0000-0000-0000934A0000}"/>
    <cellStyle name="Percent 2 3 21 17" xfId="18709" xr:uid="{00000000-0005-0000-0000-0000944A0000}"/>
    <cellStyle name="Percent 2 3 21 2" xfId="18710" xr:uid="{00000000-0005-0000-0000-0000954A0000}"/>
    <cellStyle name="Percent 2 3 21 3" xfId="18711" xr:uid="{00000000-0005-0000-0000-0000964A0000}"/>
    <cellStyle name="Percent 2 3 21 4" xfId="18712" xr:uid="{00000000-0005-0000-0000-0000974A0000}"/>
    <cellStyle name="Percent 2 3 21 5" xfId="18713" xr:uid="{00000000-0005-0000-0000-0000984A0000}"/>
    <cellStyle name="Percent 2 3 21 6" xfId="18714" xr:uid="{00000000-0005-0000-0000-0000994A0000}"/>
    <cellStyle name="Percent 2 3 21 7" xfId="18715" xr:uid="{00000000-0005-0000-0000-00009A4A0000}"/>
    <cellStyle name="Percent 2 3 21 8" xfId="18716" xr:uid="{00000000-0005-0000-0000-00009B4A0000}"/>
    <cellStyle name="Percent 2 3 21 9" xfId="18717" xr:uid="{00000000-0005-0000-0000-00009C4A0000}"/>
    <cellStyle name="Percent 2 3 22" xfId="18718" xr:uid="{00000000-0005-0000-0000-00009D4A0000}"/>
    <cellStyle name="Percent 2 3 22 10" xfId="18719" xr:uid="{00000000-0005-0000-0000-00009E4A0000}"/>
    <cellStyle name="Percent 2 3 22 11" xfId="18720" xr:uid="{00000000-0005-0000-0000-00009F4A0000}"/>
    <cellStyle name="Percent 2 3 22 12" xfId="18721" xr:uid="{00000000-0005-0000-0000-0000A04A0000}"/>
    <cellStyle name="Percent 2 3 22 13" xfId="18722" xr:uid="{00000000-0005-0000-0000-0000A14A0000}"/>
    <cellStyle name="Percent 2 3 22 14" xfId="18723" xr:uid="{00000000-0005-0000-0000-0000A24A0000}"/>
    <cellStyle name="Percent 2 3 22 15" xfId="18724" xr:uid="{00000000-0005-0000-0000-0000A34A0000}"/>
    <cellStyle name="Percent 2 3 22 16" xfId="18725" xr:uid="{00000000-0005-0000-0000-0000A44A0000}"/>
    <cellStyle name="Percent 2 3 22 17" xfId="18726" xr:uid="{00000000-0005-0000-0000-0000A54A0000}"/>
    <cellStyle name="Percent 2 3 22 2" xfId="18727" xr:uid="{00000000-0005-0000-0000-0000A64A0000}"/>
    <cellStyle name="Percent 2 3 22 3" xfId="18728" xr:uid="{00000000-0005-0000-0000-0000A74A0000}"/>
    <cellStyle name="Percent 2 3 22 4" xfId="18729" xr:uid="{00000000-0005-0000-0000-0000A84A0000}"/>
    <cellStyle name="Percent 2 3 22 5" xfId="18730" xr:uid="{00000000-0005-0000-0000-0000A94A0000}"/>
    <cellStyle name="Percent 2 3 22 6" xfId="18731" xr:uid="{00000000-0005-0000-0000-0000AA4A0000}"/>
    <cellStyle name="Percent 2 3 22 7" xfId="18732" xr:uid="{00000000-0005-0000-0000-0000AB4A0000}"/>
    <cellStyle name="Percent 2 3 22 8" xfId="18733" xr:uid="{00000000-0005-0000-0000-0000AC4A0000}"/>
    <cellStyle name="Percent 2 3 22 9" xfId="18734" xr:uid="{00000000-0005-0000-0000-0000AD4A0000}"/>
    <cellStyle name="Percent 2 3 23" xfId="18735" xr:uid="{00000000-0005-0000-0000-0000AE4A0000}"/>
    <cellStyle name="Percent 2 3 23 10" xfId="18736" xr:uid="{00000000-0005-0000-0000-0000AF4A0000}"/>
    <cellStyle name="Percent 2 3 23 11" xfId="18737" xr:uid="{00000000-0005-0000-0000-0000B04A0000}"/>
    <cellStyle name="Percent 2 3 23 12" xfId="18738" xr:uid="{00000000-0005-0000-0000-0000B14A0000}"/>
    <cellStyle name="Percent 2 3 23 13" xfId="18739" xr:uid="{00000000-0005-0000-0000-0000B24A0000}"/>
    <cellStyle name="Percent 2 3 23 14" xfId="18740" xr:uid="{00000000-0005-0000-0000-0000B34A0000}"/>
    <cellStyle name="Percent 2 3 23 15" xfId="18741" xr:uid="{00000000-0005-0000-0000-0000B44A0000}"/>
    <cellStyle name="Percent 2 3 23 16" xfId="18742" xr:uid="{00000000-0005-0000-0000-0000B54A0000}"/>
    <cellStyle name="Percent 2 3 23 17" xfId="18743" xr:uid="{00000000-0005-0000-0000-0000B64A0000}"/>
    <cellStyle name="Percent 2 3 23 2" xfId="18744" xr:uid="{00000000-0005-0000-0000-0000B74A0000}"/>
    <cellStyle name="Percent 2 3 23 3" xfId="18745" xr:uid="{00000000-0005-0000-0000-0000B84A0000}"/>
    <cellStyle name="Percent 2 3 23 4" xfId="18746" xr:uid="{00000000-0005-0000-0000-0000B94A0000}"/>
    <cellStyle name="Percent 2 3 23 5" xfId="18747" xr:uid="{00000000-0005-0000-0000-0000BA4A0000}"/>
    <cellStyle name="Percent 2 3 23 6" xfId="18748" xr:uid="{00000000-0005-0000-0000-0000BB4A0000}"/>
    <cellStyle name="Percent 2 3 23 7" xfId="18749" xr:uid="{00000000-0005-0000-0000-0000BC4A0000}"/>
    <cellStyle name="Percent 2 3 23 8" xfId="18750" xr:uid="{00000000-0005-0000-0000-0000BD4A0000}"/>
    <cellStyle name="Percent 2 3 23 9" xfId="18751" xr:uid="{00000000-0005-0000-0000-0000BE4A0000}"/>
    <cellStyle name="Percent 2 3 24" xfId="18752" xr:uid="{00000000-0005-0000-0000-0000BF4A0000}"/>
    <cellStyle name="Percent 2 3 24 10" xfId="18753" xr:uid="{00000000-0005-0000-0000-0000C04A0000}"/>
    <cellStyle name="Percent 2 3 24 11" xfId="18754" xr:uid="{00000000-0005-0000-0000-0000C14A0000}"/>
    <cellStyle name="Percent 2 3 24 12" xfId="18755" xr:uid="{00000000-0005-0000-0000-0000C24A0000}"/>
    <cellStyle name="Percent 2 3 24 13" xfId="18756" xr:uid="{00000000-0005-0000-0000-0000C34A0000}"/>
    <cellStyle name="Percent 2 3 24 14" xfId="18757" xr:uid="{00000000-0005-0000-0000-0000C44A0000}"/>
    <cellStyle name="Percent 2 3 24 15" xfId="18758" xr:uid="{00000000-0005-0000-0000-0000C54A0000}"/>
    <cellStyle name="Percent 2 3 24 16" xfId="18759" xr:uid="{00000000-0005-0000-0000-0000C64A0000}"/>
    <cellStyle name="Percent 2 3 24 17" xfId="18760" xr:uid="{00000000-0005-0000-0000-0000C74A0000}"/>
    <cellStyle name="Percent 2 3 24 2" xfId="18761" xr:uid="{00000000-0005-0000-0000-0000C84A0000}"/>
    <cellStyle name="Percent 2 3 24 3" xfId="18762" xr:uid="{00000000-0005-0000-0000-0000C94A0000}"/>
    <cellStyle name="Percent 2 3 24 4" xfId="18763" xr:uid="{00000000-0005-0000-0000-0000CA4A0000}"/>
    <cellStyle name="Percent 2 3 24 5" xfId="18764" xr:uid="{00000000-0005-0000-0000-0000CB4A0000}"/>
    <cellStyle name="Percent 2 3 24 6" xfId="18765" xr:uid="{00000000-0005-0000-0000-0000CC4A0000}"/>
    <cellStyle name="Percent 2 3 24 7" xfId="18766" xr:uid="{00000000-0005-0000-0000-0000CD4A0000}"/>
    <cellStyle name="Percent 2 3 24 8" xfId="18767" xr:uid="{00000000-0005-0000-0000-0000CE4A0000}"/>
    <cellStyle name="Percent 2 3 24 9" xfId="18768" xr:uid="{00000000-0005-0000-0000-0000CF4A0000}"/>
    <cellStyle name="Percent 2 3 25" xfId="18769" xr:uid="{00000000-0005-0000-0000-0000D04A0000}"/>
    <cellStyle name="Percent 2 3 25 10" xfId="18770" xr:uid="{00000000-0005-0000-0000-0000D14A0000}"/>
    <cellStyle name="Percent 2 3 25 11" xfId="18771" xr:uid="{00000000-0005-0000-0000-0000D24A0000}"/>
    <cellStyle name="Percent 2 3 25 12" xfId="18772" xr:uid="{00000000-0005-0000-0000-0000D34A0000}"/>
    <cellStyle name="Percent 2 3 25 13" xfId="18773" xr:uid="{00000000-0005-0000-0000-0000D44A0000}"/>
    <cellStyle name="Percent 2 3 25 14" xfId="18774" xr:uid="{00000000-0005-0000-0000-0000D54A0000}"/>
    <cellStyle name="Percent 2 3 25 15" xfId="18775" xr:uid="{00000000-0005-0000-0000-0000D64A0000}"/>
    <cellStyle name="Percent 2 3 25 16" xfId="18776" xr:uid="{00000000-0005-0000-0000-0000D74A0000}"/>
    <cellStyle name="Percent 2 3 25 17" xfId="18777" xr:uid="{00000000-0005-0000-0000-0000D84A0000}"/>
    <cellStyle name="Percent 2 3 25 2" xfId="18778" xr:uid="{00000000-0005-0000-0000-0000D94A0000}"/>
    <cellStyle name="Percent 2 3 25 3" xfId="18779" xr:uid="{00000000-0005-0000-0000-0000DA4A0000}"/>
    <cellStyle name="Percent 2 3 25 4" xfId="18780" xr:uid="{00000000-0005-0000-0000-0000DB4A0000}"/>
    <cellStyle name="Percent 2 3 25 5" xfId="18781" xr:uid="{00000000-0005-0000-0000-0000DC4A0000}"/>
    <cellStyle name="Percent 2 3 25 6" xfId="18782" xr:uid="{00000000-0005-0000-0000-0000DD4A0000}"/>
    <cellStyle name="Percent 2 3 25 7" xfId="18783" xr:uid="{00000000-0005-0000-0000-0000DE4A0000}"/>
    <cellStyle name="Percent 2 3 25 8" xfId="18784" xr:uid="{00000000-0005-0000-0000-0000DF4A0000}"/>
    <cellStyle name="Percent 2 3 25 9" xfId="18785" xr:uid="{00000000-0005-0000-0000-0000E04A0000}"/>
    <cellStyle name="Percent 2 3 26" xfId="18786" xr:uid="{00000000-0005-0000-0000-0000E14A0000}"/>
    <cellStyle name="Percent 2 3 26 10" xfId="18787" xr:uid="{00000000-0005-0000-0000-0000E24A0000}"/>
    <cellStyle name="Percent 2 3 26 11" xfId="18788" xr:uid="{00000000-0005-0000-0000-0000E34A0000}"/>
    <cellStyle name="Percent 2 3 26 12" xfId="18789" xr:uid="{00000000-0005-0000-0000-0000E44A0000}"/>
    <cellStyle name="Percent 2 3 26 13" xfId="18790" xr:uid="{00000000-0005-0000-0000-0000E54A0000}"/>
    <cellStyle name="Percent 2 3 26 14" xfId="18791" xr:uid="{00000000-0005-0000-0000-0000E64A0000}"/>
    <cellStyle name="Percent 2 3 26 15" xfId="18792" xr:uid="{00000000-0005-0000-0000-0000E74A0000}"/>
    <cellStyle name="Percent 2 3 26 16" xfId="18793" xr:uid="{00000000-0005-0000-0000-0000E84A0000}"/>
    <cellStyle name="Percent 2 3 26 17" xfId="18794" xr:uid="{00000000-0005-0000-0000-0000E94A0000}"/>
    <cellStyle name="Percent 2 3 26 2" xfId="18795" xr:uid="{00000000-0005-0000-0000-0000EA4A0000}"/>
    <cellStyle name="Percent 2 3 26 3" xfId="18796" xr:uid="{00000000-0005-0000-0000-0000EB4A0000}"/>
    <cellStyle name="Percent 2 3 26 4" xfId="18797" xr:uid="{00000000-0005-0000-0000-0000EC4A0000}"/>
    <cellStyle name="Percent 2 3 26 5" xfId="18798" xr:uid="{00000000-0005-0000-0000-0000ED4A0000}"/>
    <cellStyle name="Percent 2 3 26 6" xfId="18799" xr:uid="{00000000-0005-0000-0000-0000EE4A0000}"/>
    <cellStyle name="Percent 2 3 26 7" xfId="18800" xr:uid="{00000000-0005-0000-0000-0000EF4A0000}"/>
    <cellStyle name="Percent 2 3 26 8" xfId="18801" xr:uid="{00000000-0005-0000-0000-0000F04A0000}"/>
    <cellStyle name="Percent 2 3 26 9" xfId="18802" xr:uid="{00000000-0005-0000-0000-0000F14A0000}"/>
    <cellStyle name="Percent 2 3 27" xfId="18803" xr:uid="{00000000-0005-0000-0000-0000F24A0000}"/>
    <cellStyle name="Percent 2 3 27 10" xfId="18804" xr:uid="{00000000-0005-0000-0000-0000F34A0000}"/>
    <cellStyle name="Percent 2 3 27 11" xfId="18805" xr:uid="{00000000-0005-0000-0000-0000F44A0000}"/>
    <cellStyle name="Percent 2 3 27 12" xfId="18806" xr:uid="{00000000-0005-0000-0000-0000F54A0000}"/>
    <cellStyle name="Percent 2 3 27 13" xfId="18807" xr:uid="{00000000-0005-0000-0000-0000F64A0000}"/>
    <cellStyle name="Percent 2 3 27 14" xfId="18808" xr:uid="{00000000-0005-0000-0000-0000F74A0000}"/>
    <cellStyle name="Percent 2 3 27 15" xfId="18809" xr:uid="{00000000-0005-0000-0000-0000F84A0000}"/>
    <cellStyle name="Percent 2 3 27 16" xfId="18810" xr:uid="{00000000-0005-0000-0000-0000F94A0000}"/>
    <cellStyle name="Percent 2 3 27 17" xfId="18811" xr:uid="{00000000-0005-0000-0000-0000FA4A0000}"/>
    <cellStyle name="Percent 2 3 27 2" xfId="18812" xr:uid="{00000000-0005-0000-0000-0000FB4A0000}"/>
    <cellStyle name="Percent 2 3 27 3" xfId="18813" xr:uid="{00000000-0005-0000-0000-0000FC4A0000}"/>
    <cellStyle name="Percent 2 3 27 4" xfId="18814" xr:uid="{00000000-0005-0000-0000-0000FD4A0000}"/>
    <cellStyle name="Percent 2 3 27 5" xfId="18815" xr:uid="{00000000-0005-0000-0000-0000FE4A0000}"/>
    <cellStyle name="Percent 2 3 27 6" xfId="18816" xr:uid="{00000000-0005-0000-0000-0000FF4A0000}"/>
    <cellStyle name="Percent 2 3 27 7" xfId="18817" xr:uid="{00000000-0005-0000-0000-0000004B0000}"/>
    <cellStyle name="Percent 2 3 27 8" xfId="18818" xr:uid="{00000000-0005-0000-0000-0000014B0000}"/>
    <cellStyle name="Percent 2 3 27 9" xfId="18819" xr:uid="{00000000-0005-0000-0000-0000024B0000}"/>
    <cellStyle name="Percent 2 3 28" xfId="18820" xr:uid="{00000000-0005-0000-0000-0000034B0000}"/>
    <cellStyle name="Percent 2 3 28 10" xfId="18821" xr:uid="{00000000-0005-0000-0000-0000044B0000}"/>
    <cellStyle name="Percent 2 3 28 11" xfId="18822" xr:uid="{00000000-0005-0000-0000-0000054B0000}"/>
    <cellStyle name="Percent 2 3 28 12" xfId="18823" xr:uid="{00000000-0005-0000-0000-0000064B0000}"/>
    <cellStyle name="Percent 2 3 28 13" xfId="18824" xr:uid="{00000000-0005-0000-0000-0000074B0000}"/>
    <cellStyle name="Percent 2 3 28 14" xfId="18825" xr:uid="{00000000-0005-0000-0000-0000084B0000}"/>
    <cellStyle name="Percent 2 3 28 15" xfId="18826" xr:uid="{00000000-0005-0000-0000-0000094B0000}"/>
    <cellStyle name="Percent 2 3 28 16" xfId="18827" xr:uid="{00000000-0005-0000-0000-00000A4B0000}"/>
    <cellStyle name="Percent 2 3 28 17" xfId="18828" xr:uid="{00000000-0005-0000-0000-00000B4B0000}"/>
    <cellStyle name="Percent 2 3 28 2" xfId="18829" xr:uid="{00000000-0005-0000-0000-00000C4B0000}"/>
    <cellStyle name="Percent 2 3 28 3" xfId="18830" xr:uid="{00000000-0005-0000-0000-00000D4B0000}"/>
    <cellStyle name="Percent 2 3 28 4" xfId="18831" xr:uid="{00000000-0005-0000-0000-00000E4B0000}"/>
    <cellStyle name="Percent 2 3 28 5" xfId="18832" xr:uid="{00000000-0005-0000-0000-00000F4B0000}"/>
    <cellStyle name="Percent 2 3 28 6" xfId="18833" xr:uid="{00000000-0005-0000-0000-0000104B0000}"/>
    <cellStyle name="Percent 2 3 28 7" xfId="18834" xr:uid="{00000000-0005-0000-0000-0000114B0000}"/>
    <cellStyle name="Percent 2 3 28 8" xfId="18835" xr:uid="{00000000-0005-0000-0000-0000124B0000}"/>
    <cellStyle name="Percent 2 3 28 9" xfId="18836" xr:uid="{00000000-0005-0000-0000-0000134B0000}"/>
    <cellStyle name="Percent 2 3 29" xfId="18837" xr:uid="{00000000-0005-0000-0000-0000144B0000}"/>
    <cellStyle name="Percent 2 3 29 10" xfId="18838" xr:uid="{00000000-0005-0000-0000-0000154B0000}"/>
    <cellStyle name="Percent 2 3 29 11" xfId="18839" xr:uid="{00000000-0005-0000-0000-0000164B0000}"/>
    <cellStyle name="Percent 2 3 29 12" xfId="18840" xr:uid="{00000000-0005-0000-0000-0000174B0000}"/>
    <cellStyle name="Percent 2 3 29 13" xfId="18841" xr:uid="{00000000-0005-0000-0000-0000184B0000}"/>
    <cellStyle name="Percent 2 3 29 14" xfId="18842" xr:uid="{00000000-0005-0000-0000-0000194B0000}"/>
    <cellStyle name="Percent 2 3 29 15" xfId="18843" xr:uid="{00000000-0005-0000-0000-00001A4B0000}"/>
    <cellStyle name="Percent 2 3 29 16" xfId="18844" xr:uid="{00000000-0005-0000-0000-00001B4B0000}"/>
    <cellStyle name="Percent 2 3 29 17" xfId="18845" xr:uid="{00000000-0005-0000-0000-00001C4B0000}"/>
    <cellStyle name="Percent 2 3 29 2" xfId="18846" xr:uid="{00000000-0005-0000-0000-00001D4B0000}"/>
    <cellStyle name="Percent 2 3 29 3" xfId="18847" xr:uid="{00000000-0005-0000-0000-00001E4B0000}"/>
    <cellStyle name="Percent 2 3 29 4" xfId="18848" xr:uid="{00000000-0005-0000-0000-00001F4B0000}"/>
    <cellStyle name="Percent 2 3 29 5" xfId="18849" xr:uid="{00000000-0005-0000-0000-0000204B0000}"/>
    <cellStyle name="Percent 2 3 29 6" xfId="18850" xr:uid="{00000000-0005-0000-0000-0000214B0000}"/>
    <cellStyle name="Percent 2 3 29 7" xfId="18851" xr:uid="{00000000-0005-0000-0000-0000224B0000}"/>
    <cellStyle name="Percent 2 3 29 8" xfId="18852" xr:uid="{00000000-0005-0000-0000-0000234B0000}"/>
    <cellStyle name="Percent 2 3 29 9" xfId="18853" xr:uid="{00000000-0005-0000-0000-0000244B0000}"/>
    <cellStyle name="Percent 2 3 3" xfId="18854" xr:uid="{00000000-0005-0000-0000-0000254B0000}"/>
    <cellStyle name="Percent 2 3 3 10" xfId="18855" xr:uid="{00000000-0005-0000-0000-0000264B0000}"/>
    <cellStyle name="Percent 2 3 3 11" xfId="18856" xr:uid="{00000000-0005-0000-0000-0000274B0000}"/>
    <cellStyle name="Percent 2 3 3 12" xfId="18857" xr:uid="{00000000-0005-0000-0000-0000284B0000}"/>
    <cellStyle name="Percent 2 3 3 13" xfId="18858" xr:uid="{00000000-0005-0000-0000-0000294B0000}"/>
    <cellStyle name="Percent 2 3 3 14" xfId="18859" xr:uid="{00000000-0005-0000-0000-00002A4B0000}"/>
    <cellStyle name="Percent 2 3 3 15" xfId="18860" xr:uid="{00000000-0005-0000-0000-00002B4B0000}"/>
    <cellStyle name="Percent 2 3 3 16" xfId="18861" xr:uid="{00000000-0005-0000-0000-00002C4B0000}"/>
    <cellStyle name="Percent 2 3 3 17" xfId="18862" xr:uid="{00000000-0005-0000-0000-00002D4B0000}"/>
    <cellStyle name="Percent 2 3 3 2" xfId="18863" xr:uid="{00000000-0005-0000-0000-00002E4B0000}"/>
    <cellStyle name="Percent 2 3 3 3" xfId="18864" xr:uid="{00000000-0005-0000-0000-00002F4B0000}"/>
    <cellStyle name="Percent 2 3 3 4" xfId="18865" xr:uid="{00000000-0005-0000-0000-0000304B0000}"/>
    <cellStyle name="Percent 2 3 3 5" xfId="18866" xr:uid="{00000000-0005-0000-0000-0000314B0000}"/>
    <cellStyle name="Percent 2 3 3 6" xfId="18867" xr:uid="{00000000-0005-0000-0000-0000324B0000}"/>
    <cellStyle name="Percent 2 3 3 7" xfId="18868" xr:uid="{00000000-0005-0000-0000-0000334B0000}"/>
    <cellStyle name="Percent 2 3 3 8" xfId="18869" xr:uid="{00000000-0005-0000-0000-0000344B0000}"/>
    <cellStyle name="Percent 2 3 3 9" xfId="18870" xr:uid="{00000000-0005-0000-0000-0000354B0000}"/>
    <cellStyle name="Percent 2 3 30" xfId="18871" xr:uid="{00000000-0005-0000-0000-0000364B0000}"/>
    <cellStyle name="Percent 2 3 30 10" xfId="18872" xr:uid="{00000000-0005-0000-0000-0000374B0000}"/>
    <cellStyle name="Percent 2 3 30 11" xfId="18873" xr:uid="{00000000-0005-0000-0000-0000384B0000}"/>
    <cellStyle name="Percent 2 3 30 12" xfId="18874" xr:uid="{00000000-0005-0000-0000-0000394B0000}"/>
    <cellStyle name="Percent 2 3 30 13" xfId="18875" xr:uid="{00000000-0005-0000-0000-00003A4B0000}"/>
    <cellStyle name="Percent 2 3 30 14" xfId="18876" xr:uid="{00000000-0005-0000-0000-00003B4B0000}"/>
    <cellStyle name="Percent 2 3 30 15" xfId="18877" xr:uid="{00000000-0005-0000-0000-00003C4B0000}"/>
    <cellStyle name="Percent 2 3 30 16" xfId="18878" xr:uid="{00000000-0005-0000-0000-00003D4B0000}"/>
    <cellStyle name="Percent 2 3 30 17" xfId="18879" xr:uid="{00000000-0005-0000-0000-00003E4B0000}"/>
    <cellStyle name="Percent 2 3 30 2" xfId="18880" xr:uid="{00000000-0005-0000-0000-00003F4B0000}"/>
    <cellStyle name="Percent 2 3 30 3" xfId="18881" xr:uid="{00000000-0005-0000-0000-0000404B0000}"/>
    <cellStyle name="Percent 2 3 30 4" xfId="18882" xr:uid="{00000000-0005-0000-0000-0000414B0000}"/>
    <cellStyle name="Percent 2 3 30 5" xfId="18883" xr:uid="{00000000-0005-0000-0000-0000424B0000}"/>
    <cellStyle name="Percent 2 3 30 6" xfId="18884" xr:uid="{00000000-0005-0000-0000-0000434B0000}"/>
    <cellStyle name="Percent 2 3 30 7" xfId="18885" xr:uid="{00000000-0005-0000-0000-0000444B0000}"/>
    <cellStyle name="Percent 2 3 30 8" xfId="18886" xr:uid="{00000000-0005-0000-0000-0000454B0000}"/>
    <cellStyle name="Percent 2 3 30 9" xfId="18887" xr:uid="{00000000-0005-0000-0000-0000464B0000}"/>
    <cellStyle name="Percent 2 3 31" xfId="18888" xr:uid="{00000000-0005-0000-0000-0000474B0000}"/>
    <cellStyle name="Percent 2 3 31 10" xfId="18889" xr:uid="{00000000-0005-0000-0000-0000484B0000}"/>
    <cellStyle name="Percent 2 3 31 11" xfId="18890" xr:uid="{00000000-0005-0000-0000-0000494B0000}"/>
    <cellStyle name="Percent 2 3 31 12" xfId="18891" xr:uid="{00000000-0005-0000-0000-00004A4B0000}"/>
    <cellStyle name="Percent 2 3 31 13" xfId="18892" xr:uid="{00000000-0005-0000-0000-00004B4B0000}"/>
    <cellStyle name="Percent 2 3 31 14" xfId="18893" xr:uid="{00000000-0005-0000-0000-00004C4B0000}"/>
    <cellStyle name="Percent 2 3 31 15" xfId="18894" xr:uid="{00000000-0005-0000-0000-00004D4B0000}"/>
    <cellStyle name="Percent 2 3 31 16" xfId="18895" xr:uid="{00000000-0005-0000-0000-00004E4B0000}"/>
    <cellStyle name="Percent 2 3 31 17" xfId="18896" xr:uid="{00000000-0005-0000-0000-00004F4B0000}"/>
    <cellStyle name="Percent 2 3 31 2" xfId="18897" xr:uid="{00000000-0005-0000-0000-0000504B0000}"/>
    <cellStyle name="Percent 2 3 31 3" xfId="18898" xr:uid="{00000000-0005-0000-0000-0000514B0000}"/>
    <cellStyle name="Percent 2 3 31 4" xfId="18899" xr:uid="{00000000-0005-0000-0000-0000524B0000}"/>
    <cellStyle name="Percent 2 3 31 5" xfId="18900" xr:uid="{00000000-0005-0000-0000-0000534B0000}"/>
    <cellStyle name="Percent 2 3 31 6" xfId="18901" xr:uid="{00000000-0005-0000-0000-0000544B0000}"/>
    <cellStyle name="Percent 2 3 31 7" xfId="18902" xr:uid="{00000000-0005-0000-0000-0000554B0000}"/>
    <cellStyle name="Percent 2 3 31 8" xfId="18903" xr:uid="{00000000-0005-0000-0000-0000564B0000}"/>
    <cellStyle name="Percent 2 3 31 9" xfId="18904" xr:uid="{00000000-0005-0000-0000-0000574B0000}"/>
    <cellStyle name="Percent 2 3 32" xfId="18905" xr:uid="{00000000-0005-0000-0000-0000584B0000}"/>
    <cellStyle name="Percent 2 3 32 10" xfId="18906" xr:uid="{00000000-0005-0000-0000-0000594B0000}"/>
    <cellStyle name="Percent 2 3 32 11" xfId="18907" xr:uid="{00000000-0005-0000-0000-00005A4B0000}"/>
    <cellStyle name="Percent 2 3 32 12" xfId="18908" xr:uid="{00000000-0005-0000-0000-00005B4B0000}"/>
    <cellStyle name="Percent 2 3 32 13" xfId="18909" xr:uid="{00000000-0005-0000-0000-00005C4B0000}"/>
    <cellStyle name="Percent 2 3 32 14" xfId="18910" xr:uid="{00000000-0005-0000-0000-00005D4B0000}"/>
    <cellStyle name="Percent 2 3 32 15" xfId="18911" xr:uid="{00000000-0005-0000-0000-00005E4B0000}"/>
    <cellStyle name="Percent 2 3 32 16" xfId="18912" xr:uid="{00000000-0005-0000-0000-00005F4B0000}"/>
    <cellStyle name="Percent 2 3 32 17" xfId="18913" xr:uid="{00000000-0005-0000-0000-0000604B0000}"/>
    <cellStyle name="Percent 2 3 32 2" xfId="18914" xr:uid="{00000000-0005-0000-0000-0000614B0000}"/>
    <cellStyle name="Percent 2 3 32 3" xfId="18915" xr:uid="{00000000-0005-0000-0000-0000624B0000}"/>
    <cellStyle name="Percent 2 3 32 4" xfId="18916" xr:uid="{00000000-0005-0000-0000-0000634B0000}"/>
    <cellStyle name="Percent 2 3 32 5" xfId="18917" xr:uid="{00000000-0005-0000-0000-0000644B0000}"/>
    <cellStyle name="Percent 2 3 32 6" xfId="18918" xr:uid="{00000000-0005-0000-0000-0000654B0000}"/>
    <cellStyle name="Percent 2 3 32 7" xfId="18919" xr:uid="{00000000-0005-0000-0000-0000664B0000}"/>
    <cellStyle name="Percent 2 3 32 8" xfId="18920" xr:uid="{00000000-0005-0000-0000-0000674B0000}"/>
    <cellStyle name="Percent 2 3 32 9" xfId="18921" xr:uid="{00000000-0005-0000-0000-0000684B0000}"/>
    <cellStyle name="Percent 2 3 33" xfId="18922" xr:uid="{00000000-0005-0000-0000-0000694B0000}"/>
    <cellStyle name="Percent 2 3 33 10" xfId="18923" xr:uid="{00000000-0005-0000-0000-00006A4B0000}"/>
    <cellStyle name="Percent 2 3 33 11" xfId="18924" xr:uid="{00000000-0005-0000-0000-00006B4B0000}"/>
    <cellStyle name="Percent 2 3 33 12" xfId="18925" xr:uid="{00000000-0005-0000-0000-00006C4B0000}"/>
    <cellStyle name="Percent 2 3 33 13" xfId="18926" xr:uid="{00000000-0005-0000-0000-00006D4B0000}"/>
    <cellStyle name="Percent 2 3 33 14" xfId="18927" xr:uid="{00000000-0005-0000-0000-00006E4B0000}"/>
    <cellStyle name="Percent 2 3 33 15" xfId="18928" xr:uid="{00000000-0005-0000-0000-00006F4B0000}"/>
    <cellStyle name="Percent 2 3 33 16" xfId="18929" xr:uid="{00000000-0005-0000-0000-0000704B0000}"/>
    <cellStyle name="Percent 2 3 33 17" xfId="18930" xr:uid="{00000000-0005-0000-0000-0000714B0000}"/>
    <cellStyle name="Percent 2 3 33 2" xfId="18931" xr:uid="{00000000-0005-0000-0000-0000724B0000}"/>
    <cellStyle name="Percent 2 3 33 3" xfId="18932" xr:uid="{00000000-0005-0000-0000-0000734B0000}"/>
    <cellStyle name="Percent 2 3 33 4" xfId="18933" xr:uid="{00000000-0005-0000-0000-0000744B0000}"/>
    <cellStyle name="Percent 2 3 33 5" xfId="18934" xr:uid="{00000000-0005-0000-0000-0000754B0000}"/>
    <cellStyle name="Percent 2 3 33 6" xfId="18935" xr:uid="{00000000-0005-0000-0000-0000764B0000}"/>
    <cellStyle name="Percent 2 3 33 7" xfId="18936" xr:uid="{00000000-0005-0000-0000-0000774B0000}"/>
    <cellStyle name="Percent 2 3 33 8" xfId="18937" xr:uid="{00000000-0005-0000-0000-0000784B0000}"/>
    <cellStyle name="Percent 2 3 33 9" xfId="18938" xr:uid="{00000000-0005-0000-0000-0000794B0000}"/>
    <cellStyle name="Percent 2 3 34" xfId="18939" xr:uid="{00000000-0005-0000-0000-00007A4B0000}"/>
    <cellStyle name="Percent 2 3 34 10" xfId="18940" xr:uid="{00000000-0005-0000-0000-00007B4B0000}"/>
    <cellStyle name="Percent 2 3 34 11" xfId="18941" xr:uid="{00000000-0005-0000-0000-00007C4B0000}"/>
    <cellStyle name="Percent 2 3 34 12" xfId="18942" xr:uid="{00000000-0005-0000-0000-00007D4B0000}"/>
    <cellStyle name="Percent 2 3 34 13" xfId="18943" xr:uid="{00000000-0005-0000-0000-00007E4B0000}"/>
    <cellStyle name="Percent 2 3 34 14" xfId="18944" xr:uid="{00000000-0005-0000-0000-00007F4B0000}"/>
    <cellStyle name="Percent 2 3 34 15" xfId="18945" xr:uid="{00000000-0005-0000-0000-0000804B0000}"/>
    <cellStyle name="Percent 2 3 34 16" xfId="18946" xr:uid="{00000000-0005-0000-0000-0000814B0000}"/>
    <cellStyle name="Percent 2 3 34 17" xfId="18947" xr:uid="{00000000-0005-0000-0000-0000824B0000}"/>
    <cellStyle name="Percent 2 3 34 2" xfId="18948" xr:uid="{00000000-0005-0000-0000-0000834B0000}"/>
    <cellStyle name="Percent 2 3 34 3" xfId="18949" xr:uid="{00000000-0005-0000-0000-0000844B0000}"/>
    <cellStyle name="Percent 2 3 34 4" xfId="18950" xr:uid="{00000000-0005-0000-0000-0000854B0000}"/>
    <cellStyle name="Percent 2 3 34 5" xfId="18951" xr:uid="{00000000-0005-0000-0000-0000864B0000}"/>
    <cellStyle name="Percent 2 3 34 6" xfId="18952" xr:uid="{00000000-0005-0000-0000-0000874B0000}"/>
    <cellStyle name="Percent 2 3 34 7" xfId="18953" xr:uid="{00000000-0005-0000-0000-0000884B0000}"/>
    <cellStyle name="Percent 2 3 34 8" xfId="18954" xr:uid="{00000000-0005-0000-0000-0000894B0000}"/>
    <cellStyle name="Percent 2 3 34 9" xfId="18955" xr:uid="{00000000-0005-0000-0000-00008A4B0000}"/>
    <cellStyle name="Percent 2 3 35" xfId="18956" xr:uid="{00000000-0005-0000-0000-00008B4B0000}"/>
    <cellStyle name="Percent 2 3 35 10" xfId="18957" xr:uid="{00000000-0005-0000-0000-00008C4B0000}"/>
    <cellStyle name="Percent 2 3 35 11" xfId="18958" xr:uid="{00000000-0005-0000-0000-00008D4B0000}"/>
    <cellStyle name="Percent 2 3 35 12" xfId="18959" xr:uid="{00000000-0005-0000-0000-00008E4B0000}"/>
    <cellStyle name="Percent 2 3 35 13" xfId="18960" xr:uid="{00000000-0005-0000-0000-00008F4B0000}"/>
    <cellStyle name="Percent 2 3 35 14" xfId="18961" xr:uid="{00000000-0005-0000-0000-0000904B0000}"/>
    <cellStyle name="Percent 2 3 35 15" xfId="18962" xr:uid="{00000000-0005-0000-0000-0000914B0000}"/>
    <cellStyle name="Percent 2 3 35 16" xfId="18963" xr:uid="{00000000-0005-0000-0000-0000924B0000}"/>
    <cellStyle name="Percent 2 3 35 17" xfId="18964" xr:uid="{00000000-0005-0000-0000-0000934B0000}"/>
    <cellStyle name="Percent 2 3 35 2" xfId="18965" xr:uid="{00000000-0005-0000-0000-0000944B0000}"/>
    <cellStyle name="Percent 2 3 35 3" xfId="18966" xr:uid="{00000000-0005-0000-0000-0000954B0000}"/>
    <cellStyle name="Percent 2 3 35 4" xfId="18967" xr:uid="{00000000-0005-0000-0000-0000964B0000}"/>
    <cellStyle name="Percent 2 3 35 5" xfId="18968" xr:uid="{00000000-0005-0000-0000-0000974B0000}"/>
    <cellStyle name="Percent 2 3 35 6" xfId="18969" xr:uid="{00000000-0005-0000-0000-0000984B0000}"/>
    <cellStyle name="Percent 2 3 35 7" xfId="18970" xr:uid="{00000000-0005-0000-0000-0000994B0000}"/>
    <cellStyle name="Percent 2 3 35 8" xfId="18971" xr:uid="{00000000-0005-0000-0000-00009A4B0000}"/>
    <cellStyle name="Percent 2 3 35 9" xfId="18972" xr:uid="{00000000-0005-0000-0000-00009B4B0000}"/>
    <cellStyle name="Percent 2 3 36" xfId="18973" xr:uid="{00000000-0005-0000-0000-00009C4B0000}"/>
    <cellStyle name="Percent 2 3 36 10" xfId="18974" xr:uid="{00000000-0005-0000-0000-00009D4B0000}"/>
    <cellStyle name="Percent 2 3 36 11" xfId="18975" xr:uid="{00000000-0005-0000-0000-00009E4B0000}"/>
    <cellStyle name="Percent 2 3 36 12" xfId="18976" xr:uid="{00000000-0005-0000-0000-00009F4B0000}"/>
    <cellStyle name="Percent 2 3 36 13" xfId="18977" xr:uid="{00000000-0005-0000-0000-0000A04B0000}"/>
    <cellStyle name="Percent 2 3 36 14" xfId="18978" xr:uid="{00000000-0005-0000-0000-0000A14B0000}"/>
    <cellStyle name="Percent 2 3 36 15" xfId="18979" xr:uid="{00000000-0005-0000-0000-0000A24B0000}"/>
    <cellStyle name="Percent 2 3 36 16" xfId="18980" xr:uid="{00000000-0005-0000-0000-0000A34B0000}"/>
    <cellStyle name="Percent 2 3 36 17" xfId="18981" xr:uid="{00000000-0005-0000-0000-0000A44B0000}"/>
    <cellStyle name="Percent 2 3 36 2" xfId="18982" xr:uid="{00000000-0005-0000-0000-0000A54B0000}"/>
    <cellStyle name="Percent 2 3 36 3" xfId="18983" xr:uid="{00000000-0005-0000-0000-0000A64B0000}"/>
    <cellStyle name="Percent 2 3 36 4" xfId="18984" xr:uid="{00000000-0005-0000-0000-0000A74B0000}"/>
    <cellStyle name="Percent 2 3 36 5" xfId="18985" xr:uid="{00000000-0005-0000-0000-0000A84B0000}"/>
    <cellStyle name="Percent 2 3 36 6" xfId="18986" xr:uid="{00000000-0005-0000-0000-0000A94B0000}"/>
    <cellStyle name="Percent 2 3 36 7" xfId="18987" xr:uid="{00000000-0005-0000-0000-0000AA4B0000}"/>
    <cellStyle name="Percent 2 3 36 8" xfId="18988" xr:uid="{00000000-0005-0000-0000-0000AB4B0000}"/>
    <cellStyle name="Percent 2 3 36 9" xfId="18989" xr:uid="{00000000-0005-0000-0000-0000AC4B0000}"/>
    <cellStyle name="Percent 2 3 37" xfId="18990" xr:uid="{00000000-0005-0000-0000-0000AD4B0000}"/>
    <cellStyle name="Percent 2 3 37 10" xfId="18991" xr:uid="{00000000-0005-0000-0000-0000AE4B0000}"/>
    <cellStyle name="Percent 2 3 37 11" xfId="18992" xr:uid="{00000000-0005-0000-0000-0000AF4B0000}"/>
    <cellStyle name="Percent 2 3 37 12" xfId="18993" xr:uid="{00000000-0005-0000-0000-0000B04B0000}"/>
    <cellStyle name="Percent 2 3 37 13" xfId="18994" xr:uid="{00000000-0005-0000-0000-0000B14B0000}"/>
    <cellStyle name="Percent 2 3 37 14" xfId="18995" xr:uid="{00000000-0005-0000-0000-0000B24B0000}"/>
    <cellStyle name="Percent 2 3 37 15" xfId="18996" xr:uid="{00000000-0005-0000-0000-0000B34B0000}"/>
    <cellStyle name="Percent 2 3 37 16" xfId="18997" xr:uid="{00000000-0005-0000-0000-0000B44B0000}"/>
    <cellStyle name="Percent 2 3 37 17" xfId="18998" xr:uid="{00000000-0005-0000-0000-0000B54B0000}"/>
    <cellStyle name="Percent 2 3 37 2" xfId="18999" xr:uid="{00000000-0005-0000-0000-0000B64B0000}"/>
    <cellStyle name="Percent 2 3 37 3" xfId="19000" xr:uid="{00000000-0005-0000-0000-0000B74B0000}"/>
    <cellStyle name="Percent 2 3 37 4" xfId="19001" xr:uid="{00000000-0005-0000-0000-0000B84B0000}"/>
    <cellStyle name="Percent 2 3 37 5" xfId="19002" xr:uid="{00000000-0005-0000-0000-0000B94B0000}"/>
    <cellStyle name="Percent 2 3 37 6" xfId="19003" xr:uid="{00000000-0005-0000-0000-0000BA4B0000}"/>
    <cellStyle name="Percent 2 3 37 7" xfId="19004" xr:uid="{00000000-0005-0000-0000-0000BB4B0000}"/>
    <cellStyle name="Percent 2 3 37 8" xfId="19005" xr:uid="{00000000-0005-0000-0000-0000BC4B0000}"/>
    <cellStyle name="Percent 2 3 37 9" xfId="19006" xr:uid="{00000000-0005-0000-0000-0000BD4B0000}"/>
    <cellStyle name="Percent 2 3 38" xfId="19007" xr:uid="{00000000-0005-0000-0000-0000BE4B0000}"/>
    <cellStyle name="Percent 2 3 38 10" xfId="19008" xr:uid="{00000000-0005-0000-0000-0000BF4B0000}"/>
    <cellStyle name="Percent 2 3 38 11" xfId="19009" xr:uid="{00000000-0005-0000-0000-0000C04B0000}"/>
    <cellStyle name="Percent 2 3 38 12" xfId="19010" xr:uid="{00000000-0005-0000-0000-0000C14B0000}"/>
    <cellStyle name="Percent 2 3 38 13" xfId="19011" xr:uid="{00000000-0005-0000-0000-0000C24B0000}"/>
    <cellStyle name="Percent 2 3 38 14" xfId="19012" xr:uid="{00000000-0005-0000-0000-0000C34B0000}"/>
    <cellStyle name="Percent 2 3 38 15" xfId="19013" xr:uid="{00000000-0005-0000-0000-0000C44B0000}"/>
    <cellStyle name="Percent 2 3 38 16" xfId="19014" xr:uid="{00000000-0005-0000-0000-0000C54B0000}"/>
    <cellStyle name="Percent 2 3 38 17" xfId="19015" xr:uid="{00000000-0005-0000-0000-0000C64B0000}"/>
    <cellStyle name="Percent 2 3 38 2" xfId="19016" xr:uid="{00000000-0005-0000-0000-0000C74B0000}"/>
    <cellStyle name="Percent 2 3 38 3" xfId="19017" xr:uid="{00000000-0005-0000-0000-0000C84B0000}"/>
    <cellStyle name="Percent 2 3 38 4" xfId="19018" xr:uid="{00000000-0005-0000-0000-0000C94B0000}"/>
    <cellStyle name="Percent 2 3 38 5" xfId="19019" xr:uid="{00000000-0005-0000-0000-0000CA4B0000}"/>
    <cellStyle name="Percent 2 3 38 6" xfId="19020" xr:uid="{00000000-0005-0000-0000-0000CB4B0000}"/>
    <cellStyle name="Percent 2 3 38 7" xfId="19021" xr:uid="{00000000-0005-0000-0000-0000CC4B0000}"/>
    <cellStyle name="Percent 2 3 38 8" xfId="19022" xr:uid="{00000000-0005-0000-0000-0000CD4B0000}"/>
    <cellStyle name="Percent 2 3 38 9" xfId="19023" xr:uid="{00000000-0005-0000-0000-0000CE4B0000}"/>
    <cellStyle name="Percent 2 3 39" xfId="19024" xr:uid="{00000000-0005-0000-0000-0000CF4B0000}"/>
    <cellStyle name="Percent 2 3 39 10" xfId="19025" xr:uid="{00000000-0005-0000-0000-0000D04B0000}"/>
    <cellStyle name="Percent 2 3 39 11" xfId="19026" xr:uid="{00000000-0005-0000-0000-0000D14B0000}"/>
    <cellStyle name="Percent 2 3 39 12" xfId="19027" xr:uid="{00000000-0005-0000-0000-0000D24B0000}"/>
    <cellStyle name="Percent 2 3 39 13" xfId="19028" xr:uid="{00000000-0005-0000-0000-0000D34B0000}"/>
    <cellStyle name="Percent 2 3 39 14" xfId="19029" xr:uid="{00000000-0005-0000-0000-0000D44B0000}"/>
    <cellStyle name="Percent 2 3 39 15" xfId="19030" xr:uid="{00000000-0005-0000-0000-0000D54B0000}"/>
    <cellStyle name="Percent 2 3 39 16" xfId="19031" xr:uid="{00000000-0005-0000-0000-0000D64B0000}"/>
    <cellStyle name="Percent 2 3 39 17" xfId="19032" xr:uid="{00000000-0005-0000-0000-0000D74B0000}"/>
    <cellStyle name="Percent 2 3 39 2" xfId="19033" xr:uid="{00000000-0005-0000-0000-0000D84B0000}"/>
    <cellStyle name="Percent 2 3 39 3" xfId="19034" xr:uid="{00000000-0005-0000-0000-0000D94B0000}"/>
    <cellStyle name="Percent 2 3 39 4" xfId="19035" xr:uid="{00000000-0005-0000-0000-0000DA4B0000}"/>
    <cellStyle name="Percent 2 3 39 5" xfId="19036" xr:uid="{00000000-0005-0000-0000-0000DB4B0000}"/>
    <cellStyle name="Percent 2 3 39 6" xfId="19037" xr:uid="{00000000-0005-0000-0000-0000DC4B0000}"/>
    <cellStyle name="Percent 2 3 39 7" xfId="19038" xr:uid="{00000000-0005-0000-0000-0000DD4B0000}"/>
    <cellStyle name="Percent 2 3 39 8" xfId="19039" xr:uid="{00000000-0005-0000-0000-0000DE4B0000}"/>
    <cellStyle name="Percent 2 3 39 9" xfId="19040" xr:uid="{00000000-0005-0000-0000-0000DF4B0000}"/>
    <cellStyle name="Percent 2 3 4" xfId="19041" xr:uid="{00000000-0005-0000-0000-0000E04B0000}"/>
    <cellStyle name="Percent 2 3 4 10" xfId="19042" xr:uid="{00000000-0005-0000-0000-0000E14B0000}"/>
    <cellStyle name="Percent 2 3 4 11" xfId="19043" xr:uid="{00000000-0005-0000-0000-0000E24B0000}"/>
    <cellStyle name="Percent 2 3 4 12" xfId="19044" xr:uid="{00000000-0005-0000-0000-0000E34B0000}"/>
    <cellStyle name="Percent 2 3 4 13" xfId="19045" xr:uid="{00000000-0005-0000-0000-0000E44B0000}"/>
    <cellStyle name="Percent 2 3 4 14" xfId="19046" xr:uid="{00000000-0005-0000-0000-0000E54B0000}"/>
    <cellStyle name="Percent 2 3 4 15" xfId="19047" xr:uid="{00000000-0005-0000-0000-0000E64B0000}"/>
    <cellStyle name="Percent 2 3 4 16" xfId="19048" xr:uid="{00000000-0005-0000-0000-0000E74B0000}"/>
    <cellStyle name="Percent 2 3 4 17" xfId="19049" xr:uid="{00000000-0005-0000-0000-0000E84B0000}"/>
    <cellStyle name="Percent 2 3 4 2" xfId="19050" xr:uid="{00000000-0005-0000-0000-0000E94B0000}"/>
    <cellStyle name="Percent 2 3 4 3" xfId="19051" xr:uid="{00000000-0005-0000-0000-0000EA4B0000}"/>
    <cellStyle name="Percent 2 3 4 4" xfId="19052" xr:uid="{00000000-0005-0000-0000-0000EB4B0000}"/>
    <cellStyle name="Percent 2 3 4 5" xfId="19053" xr:uid="{00000000-0005-0000-0000-0000EC4B0000}"/>
    <cellStyle name="Percent 2 3 4 6" xfId="19054" xr:uid="{00000000-0005-0000-0000-0000ED4B0000}"/>
    <cellStyle name="Percent 2 3 4 7" xfId="19055" xr:uid="{00000000-0005-0000-0000-0000EE4B0000}"/>
    <cellStyle name="Percent 2 3 4 8" xfId="19056" xr:uid="{00000000-0005-0000-0000-0000EF4B0000}"/>
    <cellStyle name="Percent 2 3 4 9" xfId="19057" xr:uid="{00000000-0005-0000-0000-0000F04B0000}"/>
    <cellStyle name="Percent 2 3 40" xfId="19058" xr:uid="{00000000-0005-0000-0000-0000F14B0000}"/>
    <cellStyle name="Percent 2 3 40 10" xfId="19059" xr:uid="{00000000-0005-0000-0000-0000F24B0000}"/>
    <cellStyle name="Percent 2 3 40 11" xfId="19060" xr:uid="{00000000-0005-0000-0000-0000F34B0000}"/>
    <cellStyle name="Percent 2 3 40 12" xfId="19061" xr:uid="{00000000-0005-0000-0000-0000F44B0000}"/>
    <cellStyle name="Percent 2 3 40 13" xfId="19062" xr:uid="{00000000-0005-0000-0000-0000F54B0000}"/>
    <cellStyle name="Percent 2 3 40 14" xfId="19063" xr:uid="{00000000-0005-0000-0000-0000F64B0000}"/>
    <cellStyle name="Percent 2 3 40 15" xfId="19064" xr:uid="{00000000-0005-0000-0000-0000F74B0000}"/>
    <cellStyle name="Percent 2 3 40 16" xfId="19065" xr:uid="{00000000-0005-0000-0000-0000F84B0000}"/>
    <cellStyle name="Percent 2 3 40 17" xfId="19066" xr:uid="{00000000-0005-0000-0000-0000F94B0000}"/>
    <cellStyle name="Percent 2 3 40 2" xfId="19067" xr:uid="{00000000-0005-0000-0000-0000FA4B0000}"/>
    <cellStyle name="Percent 2 3 40 3" xfId="19068" xr:uid="{00000000-0005-0000-0000-0000FB4B0000}"/>
    <cellStyle name="Percent 2 3 40 4" xfId="19069" xr:uid="{00000000-0005-0000-0000-0000FC4B0000}"/>
    <cellStyle name="Percent 2 3 40 5" xfId="19070" xr:uid="{00000000-0005-0000-0000-0000FD4B0000}"/>
    <cellStyle name="Percent 2 3 40 6" xfId="19071" xr:uid="{00000000-0005-0000-0000-0000FE4B0000}"/>
    <cellStyle name="Percent 2 3 40 7" xfId="19072" xr:uid="{00000000-0005-0000-0000-0000FF4B0000}"/>
    <cellStyle name="Percent 2 3 40 8" xfId="19073" xr:uid="{00000000-0005-0000-0000-0000004C0000}"/>
    <cellStyle name="Percent 2 3 40 9" xfId="19074" xr:uid="{00000000-0005-0000-0000-0000014C0000}"/>
    <cellStyle name="Percent 2 3 41" xfId="19075" xr:uid="{00000000-0005-0000-0000-0000024C0000}"/>
    <cellStyle name="Percent 2 3 41 10" xfId="19076" xr:uid="{00000000-0005-0000-0000-0000034C0000}"/>
    <cellStyle name="Percent 2 3 41 11" xfId="19077" xr:uid="{00000000-0005-0000-0000-0000044C0000}"/>
    <cellStyle name="Percent 2 3 41 12" xfId="19078" xr:uid="{00000000-0005-0000-0000-0000054C0000}"/>
    <cellStyle name="Percent 2 3 41 13" xfId="19079" xr:uid="{00000000-0005-0000-0000-0000064C0000}"/>
    <cellStyle name="Percent 2 3 41 14" xfId="19080" xr:uid="{00000000-0005-0000-0000-0000074C0000}"/>
    <cellStyle name="Percent 2 3 41 15" xfId="19081" xr:uid="{00000000-0005-0000-0000-0000084C0000}"/>
    <cellStyle name="Percent 2 3 41 16" xfId="19082" xr:uid="{00000000-0005-0000-0000-0000094C0000}"/>
    <cellStyle name="Percent 2 3 41 17" xfId="19083" xr:uid="{00000000-0005-0000-0000-00000A4C0000}"/>
    <cellStyle name="Percent 2 3 41 2" xfId="19084" xr:uid="{00000000-0005-0000-0000-00000B4C0000}"/>
    <cellStyle name="Percent 2 3 41 3" xfId="19085" xr:uid="{00000000-0005-0000-0000-00000C4C0000}"/>
    <cellStyle name="Percent 2 3 41 4" xfId="19086" xr:uid="{00000000-0005-0000-0000-00000D4C0000}"/>
    <cellStyle name="Percent 2 3 41 5" xfId="19087" xr:uid="{00000000-0005-0000-0000-00000E4C0000}"/>
    <cellStyle name="Percent 2 3 41 6" xfId="19088" xr:uid="{00000000-0005-0000-0000-00000F4C0000}"/>
    <cellStyle name="Percent 2 3 41 7" xfId="19089" xr:uid="{00000000-0005-0000-0000-0000104C0000}"/>
    <cellStyle name="Percent 2 3 41 8" xfId="19090" xr:uid="{00000000-0005-0000-0000-0000114C0000}"/>
    <cellStyle name="Percent 2 3 41 9" xfId="19091" xr:uid="{00000000-0005-0000-0000-0000124C0000}"/>
    <cellStyle name="Percent 2 3 42" xfId="19092" xr:uid="{00000000-0005-0000-0000-0000134C0000}"/>
    <cellStyle name="Percent 2 3 42 10" xfId="19093" xr:uid="{00000000-0005-0000-0000-0000144C0000}"/>
    <cellStyle name="Percent 2 3 42 11" xfId="19094" xr:uid="{00000000-0005-0000-0000-0000154C0000}"/>
    <cellStyle name="Percent 2 3 42 12" xfId="19095" xr:uid="{00000000-0005-0000-0000-0000164C0000}"/>
    <cellStyle name="Percent 2 3 42 13" xfId="19096" xr:uid="{00000000-0005-0000-0000-0000174C0000}"/>
    <cellStyle name="Percent 2 3 42 14" xfId="19097" xr:uid="{00000000-0005-0000-0000-0000184C0000}"/>
    <cellStyle name="Percent 2 3 42 15" xfId="19098" xr:uid="{00000000-0005-0000-0000-0000194C0000}"/>
    <cellStyle name="Percent 2 3 42 16" xfId="19099" xr:uid="{00000000-0005-0000-0000-00001A4C0000}"/>
    <cellStyle name="Percent 2 3 42 17" xfId="19100" xr:uid="{00000000-0005-0000-0000-00001B4C0000}"/>
    <cellStyle name="Percent 2 3 42 2" xfId="19101" xr:uid="{00000000-0005-0000-0000-00001C4C0000}"/>
    <cellStyle name="Percent 2 3 42 3" xfId="19102" xr:uid="{00000000-0005-0000-0000-00001D4C0000}"/>
    <cellStyle name="Percent 2 3 42 4" xfId="19103" xr:uid="{00000000-0005-0000-0000-00001E4C0000}"/>
    <cellStyle name="Percent 2 3 42 5" xfId="19104" xr:uid="{00000000-0005-0000-0000-00001F4C0000}"/>
    <cellStyle name="Percent 2 3 42 6" xfId="19105" xr:uid="{00000000-0005-0000-0000-0000204C0000}"/>
    <cellStyle name="Percent 2 3 42 7" xfId="19106" xr:uid="{00000000-0005-0000-0000-0000214C0000}"/>
    <cellStyle name="Percent 2 3 42 8" xfId="19107" xr:uid="{00000000-0005-0000-0000-0000224C0000}"/>
    <cellStyle name="Percent 2 3 42 9" xfId="19108" xr:uid="{00000000-0005-0000-0000-0000234C0000}"/>
    <cellStyle name="Percent 2 3 43" xfId="19109" xr:uid="{00000000-0005-0000-0000-0000244C0000}"/>
    <cellStyle name="Percent 2 3 43 10" xfId="19110" xr:uid="{00000000-0005-0000-0000-0000254C0000}"/>
    <cellStyle name="Percent 2 3 43 11" xfId="19111" xr:uid="{00000000-0005-0000-0000-0000264C0000}"/>
    <cellStyle name="Percent 2 3 43 12" xfId="19112" xr:uid="{00000000-0005-0000-0000-0000274C0000}"/>
    <cellStyle name="Percent 2 3 43 13" xfId="19113" xr:uid="{00000000-0005-0000-0000-0000284C0000}"/>
    <cellStyle name="Percent 2 3 43 14" xfId="19114" xr:uid="{00000000-0005-0000-0000-0000294C0000}"/>
    <cellStyle name="Percent 2 3 43 15" xfId="19115" xr:uid="{00000000-0005-0000-0000-00002A4C0000}"/>
    <cellStyle name="Percent 2 3 43 16" xfId="19116" xr:uid="{00000000-0005-0000-0000-00002B4C0000}"/>
    <cellStyle name="Percent 2 3 43 17" xfId="19117" xr:uid="{00000000-0005-0000-0000-00002C4C0000}"/>
    <cellStyle name="Percent 2 3 43 2" xfId="19118" xr:uid="{00000000-0005-0000-0000-00002D4C0000}"/>
    <cellStyle name="Percent 2 3 43 3" xfId="19119" xr:uid="{00000000-0005-0000-0000-00002E4C0000}"/>
    <cellStyle name="Percent 2 3 43 4" xfId="19120" xr:uid="{00000000-0005-0000-0000-00002F4C0000}"/>
    <cellStyle name="Percent 2 3 43 5" xfId="19121" xr:uid="{00000000-0005-0000-0000-0000304C0000}"/>
    <cellStyle name="Percent 2 3 43 6" xfId="19122" xr:uid="{00000000-0005-0000-0000-0000314C0000}"/>
    <cellStyle name="Percent 2 3 43 7" xfId="19123" xr:uid="{00000000-0005-0000-0000-0000324C0000}"/>
    <cellStyle name="Percent 2 3 43 8" xfId="19124" xr:uid="{00000000-0005-0000-0000-0000334C0000}"/>
    <cellStyle name="Percent 2 3 43 9" xfId="19125" xr:uid="{00000000-0005-0000-0000-0000344C0000}"/>
    <cellStyle name="Percent 2 3 44" xfId="19126" xr:uid="{00000000-0005-0000-0000-0000354C0000}"/>
    <cellStyle name="Percent 2 3 44 10" xfId="19127" xr:uid="{00000000-0005-0000-0000-0000364C0000}"/>
    <cellStyle name="Percent 2 3 44 11" xfId="19128" xr:uid="{00000000-0005-0000-0000-0000374C0000}"/>
    <cellStyle name="Percent 2 3 44 12" xfId="19129" xr:uid="{00000000-0005-0000-0000-0000384C0000}"/>
    <cellStyle name="Percent 2 3 44 13" xfId="19130" xr:uid="{00000000-0005-0000-0000-0000394C0000}"/>
    <cellStyle name="Percent 2 3 44 14" xfId="19131" xr:uid="{00000000-0005-0000-0000-00003A4C0000}"/>
    <cellStyle name="Percent 2 3 44 15" xfId="19132" xr:uid="{00000000-0005-0000-0000-00003B4C0000}"/>
    <cellStyle name="Percent 2 3 44 16" xfId="19133" xr:uid="{00000000-0005-0000-0000-00003C4C0000}"/>
    <cellStyle name="Percent 2 3 44 17" xfId="19134" xr:uid="{00000000-0005-0000-0000-00003D4C0000}"/>
    <cellStyle name="Percent 2 3 44 2" xfId="19135" xr:uid="{00000000-0005-0000-0000-00003E4C0000}"/>
    <cellStyle name="Percent 2 3 44 3" xfId="19136" xr:uid="{00000000-0005-0000-0000-00003F4C0000}"/>
    <cellStyle name="Percent 2 3 44 4" xfId="19137" xr:uid="{00000000-0005-0000-0000-0000404C0000}"/>
    <cellStyle name="Percent 2 3 44 5" xfId="19138" xr:uid="{00000000-0005-0000-0000-0000414C0000}"/>
    <cellStyle name="Percent 2 3 44 6" xfId="19139" xr:uid="{00000000-0005-0000-0000-0000424C0000}"/>
    <cellStyle name="Percent 2 3 44 7" xfId="19140" xr:uid="{00000000-0005-0000-0000-0000434C0000}"/>
    <cellStyle name="Percent 2 3 44 8" xfId="19141" xr:uid="{00000000-0005-0000-0000-0000444C0000}"/>
    <cellStyle name="Percent 2 3 44 9" xfId="19142" xr:uid="{00000000-0005-0000-0000-0000454C0000}"/>
    <cellStyle name="Percent 2 3 45" xfId="19143" xr:uid="{00000000-0005-0000-0000-0000464C0000}"/>
    <cellStyle name="Percent 2 3 45 10" xfId="19144" xr:uid="{00000000-0005-0000-0000-0000474C0000}"/>
    <cellStyle name="Percent 2 3 45 11" xfId="19145" xr:uid="{00000000-0005-0000-0000-0000484C0000}"/>
    <cellStyle name="Percent 2 3 45 12" xfId="19146" xr:uid="{00000000-0005-0000-0000-0000494C0000}"/>
    <cellStyle name="Percent 2 3 45 13" xfId="19147" xr:uid="{00000000-0005-0000-0000-00004A4C0000}"/>
    <cellStyle name="Percent 2 3 45 14" xfId="19148" xr:uid="{00000000-0005-0000-0000-00004B4C0000}"/>
    <cellStyle name="Percent 2 3 45 15" xfId="19149" xr:uid="{00000000-0005-0000-0000-00004C4C0000}"/>
    <cellStyle name="Percent 2 3 45 16" xfId="19150" xr:uid="{00000000-0005-0000-0000-00004D4C0000}"/>
    <cellStyle name="Percent 2 3 45 17" xfId="19151" xr:uid="{00000000-0005-0000-0000-00004E4C0000}"/>
    <cellStyle name="Percent 2 3 45 2" xfId="19152" xr:uid="{00000000-0005-0000-0000-00004F4C0000}"/>
    <cellStyle name="Percent 2 3 45 3" xfId="19153" xr:uid="{00000000-0005-0000-0000-0000504C0000}"/>
    <cellStyle name="Percent 2 3 45 4" xfId="19154" xr:uid="{00000000-0005-0000-0000-0000514C0000}"/>
    <cellStyle name="Percent 2 3 45 5" xfId="19155" xr:uid="{00000000-0005-0000-0000-0000524C0000}"/>
    <cellStyle name="Percent 2 3 45 6" xfId="19156" xr:uid="{00000000-0005-0000-0000-0000534C0000}"/>
    <cellStyle name="Percent 2 3 45 7" xfId="19157" xr:uid="{00000000-0005-0000-0000-0000544C0000}"/>
    <cellStyle name="Percent 2 3 45 8" xfId="19158" xr:uid="{00000000-0005-0000-0000-0000554C0000}"/>
    <cellStyle name="Percent 2 3 45 9" xfId="19159" xr:uid="{00000000-0005-0000-0000-0000564C0000}"/>
    <cellStyle name="Percent 2 3 46" xfId="19160" xr:uid="{00000000-0005-0000-0000-0000574C0000}"/>
    <cellStyle name="Percent 2 3 46 10" xfId="19161" xr:uid="{00000000-0005-0000-0000-0000584C0000}"/>
    <cellStyle name="Percent 2 3 46 11" xfId="19162" xr:uid="{00000000-0005-0000-0000-0000594C0000}"/>
    <cellStyle name="Percent 2 3 46 12" xfId="19163" xr:uid="{00000000-0005-0000-0000-00005A4C0000}"/>
    <cellStyle name="Percent 2 3 46 13" xfId="19164" xr:uid="{00000000-0005-0000-0000-00005B4C0000}"/>
    <cellStyle name="Percent 2 3 46 14" xfId="19165" xr:uid="{00000000-0005-0000-0000-00005C4C0000}"/>
    <cellStyle name="Percent 2 3 46 15" xfId="19166" xr:uid="{00000000-0005-0000-0000-00005D4C0000}"/>
    <cellStyle name="Percent 2 3 46 16" xfId="19167" xr:uid="{00000000-0005-0000-0000-00005E4C0000}"/>
    <cellStyle name="Percent 2 3 46 17" xfId="19168" xr:uid="{00000000-0005-0000-0000-00005F4C0000}"/>
    <cellStyle name="Percent 2 3 46 2" xfId="19169" xr:uid="{00000000-0005-0000-0000-0000604C0000}"/>
    <cellStyle name="Percent 2 3 46 3" xfId="19170" xr:uid="{00000000-0005-0000-0000-0000614C0000}"/>
    <cellStyle name="Percent 2 3 46 4" xfId="19171" xr:uid="{00000000-0005-0000-0000-0000624C0000}"/>
    <cellStyle name="Percent 2 3 46 5" xfId="19172" xr:uid="{00000000-0005-0000-0000-0000634C0000}"/>
    <cellStyle name="Percent 2 3 46 6" xfId="19173" xr:uid="{00000000-0005-0000-0000-0000644C0000}"/>
    <cellStyle name="Percent 2 3 46 7" xfId="19174" xr:uid="{00000000-0005-0000-0000-0000654C0000}"/>
    <cellStyle name="Percent 2 3 46 8" xfId="19175" xr:uid="{00000000-0005-0000-0000-0000664C0000}"/>
    <cellStyle name="Percent 2 3 46 9" xfId="19176" xr:uid="{00000000-0005-0000-0000-0000674C0000}"/>
    <cellStyle name="Percent 2 3 47" xfId="19177" xr:uid="{00000000-0005-0000-0000-0000684C0000}"/>
    <cellStyle name="Percent 2 3 47 10" xfId="19178" xr:uid="{00000000-0005-0000-0000-0000694C0000}"/>
    <cellStyle name="Percent 2 3 47 11" xfId="19179" xr:uid="{00000000-0005-0000-0000-00006A4C0000}"/>
    <cellStyle name="Percent 2 3 47 12" xfId="19180" xr:uid="{00000000-0005-0000-0000-00006B4C0000}"/>
    <cellStyle name="Percent 2 3 47 13" xfId="19181" xr:uid="{00000000-0005-0000-0000-00006C4C0000}"/>
    <cellStyle name="Percent 2 3 47 14" xfId="19182" xr:uid="{00000000-0005-0000-0000-00006D4C0000}"/>
    <cellStyle name="Percent 2 3 47 15" xfId="19183" xr:uid="{00000000-0005-0000-0000-00006E4C0000}"/>
    <cellStyle name="Percent 2 3 47 16" xfId="19184" xr:uid="{00000000-0005-0000-0000-00006F4C0000}"/>
    <cellStyle name="Percent 2 3 47 17" xfId="19185" xr:uid="{00000000-0005-0000-0000-0000704C0000}"/>
    <cellStyle name="Percent 2 3 47 2" xfId="19186" xr:uid="{00000000-0005-0000-0000-0000714C0000}"/>
    <cellStyle name="Percent 2 3 47 3" xfId="19187" xr:uid="{00000000-0005-0000-0000-0000724C0000}"/>
    <cellStyle name="Percent 2 3 47 4" xfId="19188" xr:uid="{00000000-0005-0000-0000-0000734C0000}"/>
    <cellStyle name="Percent 2 3 47 5" xfId="19189" xr:uid="{00000000-0005-0000-0000-0000744C0000}"/>
    <cellStyle name="Percent 2 3 47 6" xfId="19190" xr:uid="{00000000-0005-0000-0000-0000754C0000}"/>
    <cellStyle name="Percent 2 3 47 7" xfId="19191" xr:uid="{00000000-0005-0000-0000-0000764C0000}"/>
    <cellStyle name="Percent 2 3 47 8" xfId="19192" xr:uid="{00000000-0005-0000-0000-0000774C0000}"/>
    <cellStyle name="Percent 2 3 47 9" xfId="19193" xr:uid="{00000000-0005-0000-0000-0000784C0000}"/>
    <cellStyle name="Percent 2 3 5" xfId="19194" xr:uid="{00000000-0005-0000-0000-0000794C0000}"/>
    <cellStyle name="Percent 2 3 5 10" xfId="19195" xr:uid="{00000000-0005-0000-0000-00007A4C0000}"/>
    <cellStyle name="Percent 2 3 5 11" xfId="19196" xr:uid="{00000000-0005-0000-0000-00007B4C0000}"/>
    <cellStyle name="Percent 2 3 5 12" xfId="19197" xr:uid="{00000000-0005-0000-0000-00007C4C0000}"/>
    <cellStyle name="Percent 2 3 5 13" xfId="19198" xr:uid="{00000000-0005-0000-0000-00007D4C0000}"/>
    <cellStyle name="Percent 2 3 5 14" xfId="19199" xr:uid="{00000000-0005-0000-0000-00007E4C0000}"/>
    <cellStyle name="Percent 2 3 5 15" xfId="19200" xr:uid="{00000000-0005-0000-0000-00007F4C0000}"/>
    <cellStyle name="Percent 2 3 5 16" xfId="19201" xr:uid="{00000000-0005-0000-0000-0000804C0000}"/>
    <cellStyle name="Percent 2 3 5 17" xfId="19202" xr:uid="{00000000-0005-0000-0000-0000814C0000}"/>
    <cellStyle name="Percent 2 3 5 2" xfId="19203" xr:uid="{00000000-0005-0000-0000-0000824C0000}"/>
    <cellStyle name="Percent 2 3 5 3" xfId="19204" xr:uid="{00000000-0005-0000-0000-0000834C0000}"/>
    <cellStyle name="Percent 2 3 5 4" xfId="19205" xr:uid="{00000000-0005-0000-0000-0000844C0000}"/>
    <cellStyle name="Percent 2 3 5 5" xfId="19206" xr:uid="{00000000-0005-0000-0000-0000854C0000}"/>
    <cellStyle name="Percent 2 3 5 6" xfId="19207" xr:uid="{00000000-0005-0000-0000-0000864C0000}"/>
    <cellStyle name="Percent 2 3 5 7" xfId="19208" xr:uid="{00000000-0005-0000-0000-0000874C0000}"/>
    <cellStyle name="Percent 2 3 5 8" xfId="19209" xr:uid="{00000000-0005-0000-0000-0000884C0000}"/>
    <cellStyle name="Percent 2 3 5 9" xfId="19210" xr:uid="{00000000-0005-0000-0000-0000894C0000}"/>
    <cellStyle name="Percent 2 3 6" xfId="19211" xr:uid="{00000000-0005-0000-0000-00008A4C0000}"/>
    <cellStyle name="Percent 2 3 6 10" xfId="19212" xr:uid="{00000000-0005-0000-0000-00008B4C0000}"/>
    <cellStyle name="Percent 2 3 6 11" xfId="19213" xr:uid="{00000000-0005-0000-0000-00008C4C0000}"/>
    <cellStyle name="Percent 2 3 6 12" xfId="19214" xr:uid="{00000000-0005-0000-0000-00008D4C0000}"/>
    <cellStyle name="Percent 2 3 6 13" xfId="19215" xr:uid="{00000000-0005-0000-0000-00008E4C0000}"/>
    <cellStyle name="Percent 2 3 6 14" xfId="19216" xr:uid="{00000000-0005-0000-0000-00008F4C0000}"/>
    <cellStyle name="Percent 2 3 6 15" xfId="19217" xr:uid="{00000000-0005-0000-0000-0000904C0000}"/>
    <cellStyle name="Percent 2 3 6 16" xfId="19218" xr:uid="{00000000-0005-0000-0000-0000914C0000}"/>
    <cellStyle name="Percent 2 3 6 17" xfId="19219" xr:uid="{00000000-0005-0000-0000-0000924C0000}"/>
    <cellStyle name="Percent 2 3 6 2" xfId="19220" xr:uid="{00000000-0005-0000-0000-0000934C0000}"/>
    <cellStyle name="Percent 2 3 6 3" xfId="19221" xr:uid="{00000000-0005-0000-0000-0000944C0000}"/>
    <cellStyle name="Percent 2 3 6 4" xfId="19222" xr:uid="{00000000-0005-0000-0000-0000954C0000}"/>
    <cellStyle name="Percent 2 3 6 5" xfId="19223" xr:uid="{00000000-0005-0000-0000-0000964C0000}"/>
    <cellStyle name="Percent 2 3 6 6" xfId="19224" xr:uid="{00000000-0005-0000-0000-0000974C0000}"/>
    <cellStyle name="Percent 2 3 6 7" xfId="19225" xr:uid="{00000000-0005-0000-0000-0000984C0000}"/>
    <cellStyle name="Percent 2 3 6 8" xfId="19226" xr:uid="{00000000-0005-0000-0000-0000994C0000}"/>
    <cellStyle name="Percent 2 3 6 9" xfId="19227" xr:uid="{00000000-0005-0000-0000-00009A4C0000}"/>
    <cellStyle name="Percent 2 3 7" xfId="19228" xr:uid="{00000000-0005-0000-0000-00009B4C0000}"/>
    <cellStyle name="Percent 2 3 7 10" xfId="19229" xr:uid="{00000000-0005-0000-0000-00009C4C0000}"/>
    <cellStyle name="Percent 2 3 7 11" xfId="19230" xr:uid="{00000000-0005-0000-0000-00009D4C0000}"/>
    <cellStyle name="Percent 2 3 7 12" xfId="19231" xr:uid="{00000000-0005-0000-0000-00009E4C0000}"/>
    <cellStyle name="Percent 2 3 7 13" xfId="19232" xr:uid="{00000000-0005-0000-0000-00009F4C0000}"/>
    <cellStyle name="Percent 2 3 7 14" xfId="19233" xr:uid="{00000000-0005-0000-0000-0000A04C0000}"/>
    <cellStyle name="Percent 2 3 7 15" xfId="19234" xr:uid="{00000000-0005-0000-0000-0000A14C0000}"/>
    <cellStyle name="Percent 2 3 7 16" xfId="19235" xr:uid="{00000000-0005-0000-0000-0000A24C0000}"/>
    <cellStyle name="Percent 2 3 7 17" xfId="19236" xr:uid="{00000000-0005-0000-0000-0000A34C0000}"/>
    <cellStyle name="Percent 2 3 7 2" xfId="19237" xr:uid="{00000000-0005-0000-0000-0000A44C0000}"/>
    <cellStyle name="Percent 2 3 7 3" xfId="19238" xr:uid="{00000000-0005-0000-0000-0000A54C0000}"/>
    <cellStyle name="Percent 2 3 7 4" xfId="19239" xr:uid="{00000000-0005-0000-0000-0000A64C0000}"/>
    <cellStyle name="Percent 2 3 7 5" xfId="19240" xr:uid="{00000000-0005-0000-0000-0000A74C0000}"/>
    <cellStyle name="Percent 2 3 7 6" xfId="19241" xr:uid="{00000000-0005-0000-0000-0000A84C0000}"/>
    <cellStyle name="Percent 2 3 7 7" xfId="19242" xr:uid="{00000000-0005-0000-0000-0000A94C0000}"/>
    <cellStyle name="Percent 2 3 7 8" xfId="19243" xr:uid="{00000000-0005-0000-0000-0000AA4C0000}"/>
    <cellStyle name="Percent 2 3 7 9" xfId="19244" xr:uid="{00000000-0005-0000-0000-0000AB4C0000}"/>
    <cellStyle name="Percent 2 3 8" xfId="19245" xr:uid="{00000000-0005-0000-0000-0000AC4C0000}"/>
    <cellStyle name="Percent 2 3 8 10" xfId="19246" xr:uid="{00000000-0005-0000-0000-0000AD4C0000}"/>
    <cellStyle name="Percent 2 3 8 11" xfId="19247" xr:uid="{00000000-0005-0000-0000-0000AE4C0000}"/>
    <cellStyle name="Percent 2 3 8 12" xfId="19248" xr:uid="{00000000-0005-0000-0000-0000AF4C0000}"/>
    <cellStyle name="Percent 2 3 8 13" xfId="19249" xr:uid="{00000000-0005-0000-0000-0000B04C0000}"/>
    <cellStyle name="Percent 2 3 8 14" xfId="19250" xr:uid="{00000000-0005-0000-0000-0000B14C0000}"/>
    <cellStyle name="Percent 2 3 8 15" xfId="19251" xr:uid="{00000000-0005-0000-0000-0000B24C0000}"/>
    <cellStyle name="Percent 2 3 8 16" xfId="19252" xr:uid="{00000000-0005-0000-0000-0000B34C0000}"/>
    <cellStyle name="Percent 2 3 8 17" xfId="19253" xr:uid="{00000000-0005-0000-0000-0000B44C0000}"/>
    <cellStyle name="Percent 2 3 8 2" xfId="19254" xr:uid="{00000000-0005-0000-0000-0000B54C0000}"/>
    <cellStyle name="Percent 2 3 8 3" xfId="19255" xr:uid="{00000000-0005-0000-0000-0000B64C0000}"/>
    <cellStyle name="Percent 2 3 8 4" xfId="19256" xr:uid="{00000000-0005-0000-0000-0000B74C0000}"/>
    <cellStyle name="Percent 2 3 8 5" xfId="19257" xr:uid="{00000000-0005-0000-0000-0000B84C0000}"/>
    <cellStyle name="Percent 2 3 8 6" xfId="19258" xr:uid="{00000000-0005-0000-0000-0000B94C0000}"/>
    <cellStyle name="Percent 2 3 8 7" xfId="19259" xr:uid="{00000000-0005-0000-0000-0000BA4C0000}"/>
    <cellStyle name="Percent 2 3 8 8" xfId="19260" xr:uid="{00000000-0005-0000-0000-0000BB4C0000}"/>
    <cellStyle name="Percent 2 3 8 9" xfId="19261" xr:uid="{00000000-0005-0000-0000-0000BC4C0000}"/>
    <cellStyle name="Percent 2 3 9" xfId="19262" xr:uid="{00000000-0005-0000-0000-0000BD4C0000}"/>
    <cellStyle name="Percent 2 3 9 10" xfId="19263" xr:uid="{00000000-0005-0000-0000-0000BE4C0000}"/>
    <cellStyle name="Percent 2 3 9 11" xfId="19264" xr:uid="{00000000-0005-0000-0000-0000BF4C0000}"/>
    <cellStyle name="Percent 2 3 9 12" xfId="19265" xr:uid="{00000000-0005-0000-0000-0000C04C0000}"/>
    <cellStyle name="Percent 2 3 9 13" xfId="19266" xr:uid="{00000000-0005-0000-0000-0000C14C0000}"/>
    <cellStyle name="Percent 2 3 9 14" xfId="19267" xr:uid="{00000000-0005-0000-0000-0000C24C0000}"/>
    <cellStyle name="Percent 2 3 9 15" xfId="19268" xr:uid="{00000000-0005-0000-0000-0000C34C0000}"/>
    <cellStyle name="Percent 2 3 9 16" xfId="19269" xr:uid="{00000000-0005-0000-0000-0000C44C0000}"/>
    <cellStyle name="Percent 2 3 9 17" xfId="19270" xr:uid="{00000000-0005-0000-0000-0000C54C0000}"/>
    <cellStyle name="Percent 2 3 9 2" xfId="19271" xr:uid="{00000000-0005-0000-0000-0000C64C0000}"/>
    <cellStyle name="Percent 2 3 9 3" xfId="19272" xr:uid="{00000000-0005-0000-0000-0000C74C0000}"/>
    <cellStyle name="Percent 2 3 9 4" xfId="19273" xr:uid="{00000000-0005-0000-0000-0000C84C0000}"/>
    <cellStyle name="Percent 2 3 9 5" xfId="19274" xr:uid="{00000000-0005-0000-0000-0000C94C0000}"/>
    <cellStyle name="Percent 2 3 9 6" xfId="19275" xr:uid="{00000000-0005-0000-0000-0000CA4C0000}"/>
    <cellStyle name="Percent 2 3 9 7" xfId="19276" xr:uid="{00000000-0005-0000-0000-0000CB4C0000}"/>
    <cellStyle name="Percent 2 3 9 8" xfId="19277" xr:uid="{00000000-0005-0000-0000-0000CC4C0000}"/>
    <cellStyle name="Percent 2 3 9 9" xfId="19278" xr:uid="{00000000-0005-0000-0000-0000CD4C0000}"/>
    <cellStyle name="Percent 2 30" xfId="19279" xr:uid="{00000000-0005-0000-0000-0000CE4C0000}"/>
    <cellStyle name="Percent 2 30 10" xfId="19280" xr:uid="{00000000-0005-0000-0000-0000CF4C0000}"/>
    <cellStyle name="Percent 2 30 11" xfId="19281" xr:uid="{00000000-0005-0000-0000-0000D04C0000}"/>
    <cellStyle name="Percent 2 30 12" xfId="19282" xr:uid="{00000000-0005-0000-0000-0000D14C0000}"/>
    <cellStyle name="Percent 2 30 13" xfId="19283" xr:uid="{00000000-0005-0000-0000-0000D24C0000}"/>
    <cellStyle name="Percent 2 30 14" xfId="19284" xr:uid="{00000000-0005-0000-0000-0000D34C0000}"/>
    <cellStyle name="Percent 2 30 15" xfId="19285" xr:uid="{00000000-0005-0000-0000-0000D44C0000}"/>
    <cellStyle name="Percent 2 30 16" xfId="19286" xr:uid="{00000000-0005-0000-0000-0000D54C0000}"/>
    <cellStyle name="Percent 2 30 17" xfId="19287" xr:uid="{00000000-0005-0000-0000-0000D64C0000}"/>
    <cellStyle name="Percent 2 30 2" xfId="19288" xr:uid="{00000000-0005-0000-0000-0000D74C0000}"/>
    <cellStyle name="Percent 2 30 3" xfId="19289" xr:uid="{00000000-0005-0000-0000-0000D84C0000}"/>
    <cellStyle name="Percent 2 30 4" xfId="19290" xr:uid="{00000000-0005-0000-0000-0000D94C0000}"/>
    <cellStyle name="Percent 2 30 5" xfId="19291" xr:uid="{00000000-0005-0000-0000-0000DA4C0000}"/>
    <cellStyle name="Percent 2 30 6" xfId="19292" xr:uid="{00000000-0005-0000-0000-0000DB4C0000}"/>
    <cellStyle name="Percent 2 30 7" xfId="19293" xr:uid="{00000000-0005-0000-0000-0000DC4C0000}"/>
    <cellStyle name="Percent 2 30 8" xfId="19294" xr:uid="{00000000-0005-0000-0000-0000DD4C0000}"/>
    <cellStyle name="Percent 2 30 9" xfId="19295" xr:uid="{00000000-0005-0000-0000-0000DE4C0000}"/>
    <cellStyle name="Percent 2 31" xfId="19296" xr:uid="{00000000-0005-0000-0000-0000DF4C0000}"/>
    <cellStyle name="Percent 2 31 10" xfId="19297" xr:uid="{00000000-0005-0000-0000-0000E04C0000}"/>
    <cellStyle name="Percent 2 31 11" xfId="19298" xr:uid="{00000000-0005-0000-0000-0000E14C0000}"/>
    <cellStyle name="Percent 2 31 12" xfId="19299" xr:uid="{00000000-0005-0000-0000-0000E24C0000}"/>
    <cellStyle name="Percent 2 31 13" xfId="19300" xr:uid="{00000000-0005-0000-0000-0000E34C0000}"/>
    <cellStyle name="Percent 2 31 14" xfId="19301" xr:uid="{00000000-0005-0000-0000-0000E44C0000}"/>
    <cellStyle name="Percent 2 31 15" xfId="19302" xr:uid="{00000000-0005-0000-0000-0000E54C0000}"/>
    <cellStyle name="Percent 2 31 16" xfId="19303" xr:uid="{00000000-0005-0000-0000-0000E64C0000}"/>
    <cellStyle name="Percent 2 31 17" xfId="19304" xr:uid="{00000000-0005-0000-0000-0000E74C0000}"/>
    <cellStyle name="Percent 2 31 2" xfId="19305" xr:uid="{00000000-0005-0000-0000-0000E84C0000}"/>
    <cellStyle name="Percent 2 31 3" xfId="19306" xr:uid="{00000000-0005-0000-0000-0000E94C0000}"/>
    <cellStyle name="Percent 2 31 4" xfId="19307" xr:uid="{00000000-0005-0000-0000-0000EA4C0000}"/>
    <cellStyle name="Percent 2 31 5" xfId="19308" xr:uid="{00000000-0005-0000-0000-0000EB4C0000}"/>
    <cellStyle name="Percent 2 31 6" xfId="19309" xr:uid="{00000000-0005-0000-0000-0000EC4C0000}"/>
    <cellStyle name="Percent 2 31 7" xfId="19310" xr:uid="{00000000-0005-0000-0000-0000ED4C0000}"/>
    <cellStyle name="Percent 2 31 8" xfId="19311" xr:uid="{00000000-0005-0000-0000-0000EE4C0000}"/>
    <cellStyle name="Percent 2 31 9" xfId="19312" xr:uid="{00000000-0005-0000-0000-0000EF4C0000}"/>
    <cellStyle name="Percent 2 32" xfId="19313" xr:uid="{00000000-0005-0000-0000-0000F04C0000}"/>
    <cellStyle name="Percent 2 32 10" xfId="19314" xr:uid="{00000000-0005-0000-0000-0000F14C0000}"/>
    <cellStyle name="Percent 2 32 11" xfId="19315" xr:uid="{00000000-0005-0000-0000-0000F24C0000}"/>
    <cellStyle name="Percent 2 32 12" xfId="19316" xr:uid="{00000000-0005-0000-0000-0000F34C0000}"/>
    <cellStyle name="Percent 2 32 13" xfId="19317" xr:uid="{00000000-0005-0000-0000-0000F44C0000}"/>
    <cellStyle name="Percent 2 32 14" xfId="19318" xr:uid="{00000000-0005-0000-0000-0000F54C0000}"/>
    <cellStyle name="Percent 2 32 15" xfId="19319" xr:uid="{00000000-0005-0000-0000-0000F64C0000}"/>
    <cellStyle name="Percent 2 32 16" xfId="19320" xr:uid="{00000000-0005-0000-0000-0000F74C0000}"/>
    <cellStyle name="Percent 2 32 17" xfId="19321" xr:uid="{00000000-0005-0000-0000-0000F84C0000}"/>
    <cellStyle name="Percent 2 32 2" xfId="19322" xr:uid="{00000000-0005-0000-0000-0000F94C0000}"/>
    <cellStyle name="Percent 2 32 3" xfId="19323" xr:uid="{00000000-0005-0000-0000-0000FA4C0000}"/>
    <cellStyle name="Percent 2 32 4" xfId="19324" xr:uid="{00000000-0005-0000-0000-0000FB4C0000}"/>
    <cellStyle name="Percent 2 32 5" xfId="19325" xr:uid="{00000000-0005-0000-0000-0000FC4C0000}"/>
    <cellStyle name="Percent 2 32 6" xfId="19326" xr:uid="{00000000-0005-0000-0000-0000FD4C0000}"/>
    <cellStyle name="Percent 2 32 7" xfId="19327" xr:uid="{00000000-0005-0000-0000-0000FE4C0000}"/>
    <cellStyle name="Percent 2 32 8" xfId="19328" xr:uid="{00000000-0005-0000-0000-0000FF4C0000}"/>
    <cellStyle name="Percent 2 32 9" xfId="19329" xr:uid="{00000000-0005-0000-0000-0000004D0000}"/>
    <cellStyle name="Percent 2 33" xfId="19330" xr:uid="{00000000-0005-0000-0000-0000014D0000}"/>
    <cellStyle name="Percent 2 33 10" xfId="19331" xr:uid="{00000000-0005-0000-0000-0000024D0000}"/>
    <cellStyle name="Percent 2 33 11" xfId="19332" xr:uid="{00000000-0005-0000-0000-0000034D0000}"/>
    <cellStyle name="Percent 2 33 12" xfId="19333" xr:uid="{00000000-0005-0000-0000-0000044D0000}"/>
    <cellStyle name="Percent 2 33 13" xfId="19334" xr:uid="{00000000-0005-0000-0000-0000054D0000}"/>
    <cellStyle name="Percent 2 33 14" xfId="19335" xr:uid="{00000000-0005-0000-0000-0000064D0000}"/>
    <cellStyle name="Percent 2 33 15" xfId="19336" xr:uid="{00000000-0005-0000-0000-0000074D0000}"/>
    <cellStyle name="Percent 2 33 16" xfId="19337" xr:uid="{00000000-0005-0000-0000-0000084D0000}"/>
    <cellStyle name="Percent 2 33 17" xfId="19338" xr:uid="{00000000-0005-0000-0000-0000094D0000}"/>
    <cellStyle name="Percent 2 33 2" xfId="19339" xr:uid="{00000000-0005-0000-0000-00000A4D0000}"/>
    <cellStyle name="Percent 2 33 3" xfId="19340" xr:uid="{00000000-0005-0000-0000-00000B4D0000}"/>
    <cellStyle name="Percent 2 33 4" xfId="19341" xr:uid="{00000000-0005-0000-0000-00000C4D0000}"/>
    <cellStyle name="Percent 2 33 5" xfId="19342" xr:uid="{00000000-0005-0000-0000-00000D4D0000}"/>
    <cellStyle name="Percent 2 33 6" xfId="19343" xr:uid="{00000000-0005-0000-0000-00000E4D0000}"/>
    <cellStyle name="Percent 2 33 7" xfId="19344" xr:uid="{00000000-0005-0000-0000-00000F4D0000}"/>
    <cellStyle name="Percent 2 33 8" xfId="19345" xr:uid="{00000000-0005-0000-0000-0000104D0000}"/>
    <cellStyle name="Percent 2 33 9" xfId="19346" xr:uid="{00000000-0005-0000-0000-0000114D0000}"/>
    <cellStyle name="Percent 2 34" xfId="19347" xr:uid="{00000000-0005-0000-0000-0000124D0000}"/>
    <cellStyle name="Percent 2 34 10" xfId="19348" xr:uid="{00000000-0005-0000-0000-0000134D0000}"/>
    <cellStyle name="Percent 2 34 11" xfId="19349" xr:uid="{00000000-0005-0000-0000-0000144D0000}"/>
    <cellStyle name="Percent 2 34 12" xfId="19350" xr:uid="{00000000-0005-0000-0000-0000154D0000}"/>
    <cellStyle name="Percent 2 34 13" xfId="19351" xr:uid="{00000000-0005-0000-0000-0000164D0000}"/>
    <cellStyle name="Percent 2 34 14" xfId="19352" xr:uid="{00000000-0005-0000-0000-0000174D0000}"/>
    <cellStyle name="Percent 2 34 15" xfId="19353" xr:uid="{00000000-0005-0000-0000-0000184D0000}"/>
    <cellStyle name="Percent 2 34 16" xfId="19354" xr:uid="{00000000-0005-0000-0000-0000194D0000}"/>
    <cellStyle name="Percent 2 34 17" xfId="19355" xr:uid="{00000000-0005-0000-0000-00001A4D0000}"/>
    <cellStyle name="Percent 2 34 2" xfId="19356" xr:uid="{00000000-0005-0000-0000-00001B4D0000}"/>
    <cellStyle name="Percent 2 34 3" xfId="19357" xr:uid="{00000000-0005-0000-0000-00001C4D0000}"/>
    <cellStyle name="Percent 2 34 4" xfId="19358" xr:uid="{00000000-0005-0000-0000-00001D4D0000}"/>
    <cellStyle name="Percent 2 34 5" xfId="19359" xr:uid="{00000000-0005-0000-0000-00001E4D0000}"/>
    <cellStyle name="Percent 2 34 6" xfId="19360" xr:uid="{00000000-0005-0000-0000-00001F4D0000}"/>
    <cellStyle name="Percent 2 34 7" xfId="19361" xr:uid="{00000000-0005-0000-0000-0000204D0000}"/>
    <cellStyle name="Percent 2 34 8" xfId="19362" xr:uid="{00000000-0005-0000-0000-0000214D0000}"/>
    <cellStyle name="Percent 2 34 9" xfId="19363" xr:uid="{00000000-0005-0000-0000-0000224D0000}"/>
    <cellStyle name="Percent 2 35" xfId="19364" xr:uid="{00000000-0005-0000-0000-0000234D0000}"/>
    <cellStyle name="Percent 2 35 10" xfId="19365" xr:uid="{00000000-0005-0000-0000-0000244D0000}"/>
    <cellStyle name="Percent 2 35 11" xfId="19366" xr:uid="{00000000-0005-0000-0000-0000254D0000}"/>
    <cellStyle name="Percent 2 35 12" xfId="19367" xr:uid="{00000000-0005-0000-0000-0000264D0000}"/>
    <cellStyle name="Percent 2 35 13" xfId="19368" xr:uid="{00000000-0005-0000-0000-0000274D0000}"/>
    <cellStyle name="Percent 2 35 14" xfId="19369" xr:uid="{00000000-0005-0000-0000-0000284D0000}"/>
    <cellStyle name="Percent 2 35 15" xfId="19370" xr:uid="{00000000-0005-0000-0000-0000294D0000}"/>
    <cellStyle name="Percent 2 35 16" xfId="19371" xr:uid="{00000000-0005-0000-0000-00002A4D0000}"/>
    <cellStyle name="Percent 2 35 17" xfId="19372" xr:uid="{00000000-0005-0000-0000-00002B4D0000}"/>
    <cellStyle name="Percent 2 35 2" xfId="19373" xr:uid="{00000000-0005-0000-0000-00002C4D0000}"/>
    <cellStyle name="Percent 2 35 3" xfId="19374" xr:uid="{00000000-0005-0000-0000-00002D4D0000}"/>
    <cellStyle name="Percent 2 35 4" xfId="19375" xr:uid="{00000000-0005-0000-0000-00002E4D0000}"/>
    <cellStyle name="Percent 2 35 5" xfId="19376" xr:uid="{00000000-0005-0000-0000-00002F4D0000}"/>
    <cellStyle name="Percent 2 35 6" xfId="19377" xr:uid="{00000000-0005-0000-0000-0000304D0000}"/>
    <cellStyle name="Percent 2 35 7" xfId="19378" xr:uid="{00000000-0005-0000-0000-0000314D0000}"/>
    <cellStyle name="Percent 2 35 8" xfId="19379" xr:uid="{00000000-0005-0000-0000-0000324D0000}"/>
    <cellStyle name="Percent 2 35 9" xfId="19380" xr:uid="{00000000-0005-0000-0000-0000334D0000}"/>
    <cellStyle name="Percent 2 36" xfId="19381" xr:uid="{00000000-0005-0000-0000-0000344D0000}"/>
    <cellStyle name="Percent 2 36 10" xfId="19382" xr:uid="{00000000-0005-0000-0000-0000354D0000}"/>
    <cellStyle name="Percent 2 36 11" xfId="19383" xr:uid="{00000000-0005-0000-0000-0000364D0000}"/>
    <cellStyle name="Percent 2 36 12" xfId="19384" xr:uid="{00000000-0005-0000-0000-0000374D0000}"/>
    <cellStyle name="Percent 2 36 13" xfId="19385" xr:uid="{00000000-0005-0000-0000-0000384D0000}"/>
    <cellStyle name="Percent 2 36 14" xfId="19386" xr:uid="{00000000-0005-0000-0000-0000394D0000}"/>
    <cellStyle name="Percent 2 36 15" xfId="19387" xr:uid="{00000000-0005-0000-0000-00003A4D0000}"/>
    <cellStyle name="Percent 2 36 16" xfId="19388" xr:uid="{00000000-0005-0000-0000-00003B4D0000}"/>
    <cellStyle name="Percent 2 36 17" xfId="19389" xr:uid="{00000000-0005-0000-0000-00003C4D0000}"/>
    <cellStyle name="Percent 2 36 2" xfId="19390" xr:uid="{00000000-0005-0000-0000-00003D4D0000}"/>
    <cellStyle name="Percent 2 36 3" xfId="19391" xr:uid="{00000000-0005-0000-0000-00003E4D0000}"/>
    <cellStyle name="Percent 2 36 4" xfId="19392" xr:uid="{00000000-0005-0000-0000-00003F4D0000}"/>
    <cellStyle name="Percent 2 36 5" xfId="19393" xr:uid="{00000000-0005-0000-0000-0000404D0000}"/>
    <cellStyle name="Percent 2 36 6" xfId="19394" xr:uid="{00000000-0005-0000-0000-0000414D0000}"/>
    <cellStyle name="Percent 2 36 7" xfId="19395" xr:uid="{00000000-0005-0000-0000-0000424D0000}"/>
    <cellStyle name="Percent 2 36 8" xfId="19396" xr:uid="{00000000-0005-0000-0000-0000434D0000}"/>
    <cellStyle name="Percent 2 36 9" xfId="19397" xr:uid="{00000000-0005-0000-0000-0000444D0000}"/>
    <cellStyle name="Percent 2 37" xfId="19398" xr:uid="{00000000-0005-0000-0000-0000454D0000}"/>
    <cellStyle name="Percent 2 37 10" xfId="19399" xr:uid="{00000000-0005-0000-0000-0000464D0000}"/>
    <cellStyle name="Percent 2 37 11" xfId="19400" xr:uid="{00000000-0005-0000-0000-0000474D0000}"/>
    <cellStyle name="Percent 2 37 12" xfId="19401" xr:uid="{00000000-0005-0000-0000-0000484D0000}"/>
    <cellStyle name="Percent 2 37 13" xfId="19402" xr:uid="{00000000-0005-0000-0000-0000494D0000}"/>
    <cellStyle name="Percent 2 37 14" xfId="19403" xr:uid="{00000000-0005-0000-0000-00004A4D0000}"/>
    <cellStyle name="Percent 2 37 15" xfId="19404" xr:uid="{00000000-0005-0000-0000-00004B4D0000}"/>
    <cellStyle name="Percent 2 37 16" xfId="19405" xr:uid="{00000000-0005-0000-0000-00004C4D0000}"/>
    <cellStyle name="Percent 2 37 17" xfId="19406" xr:uid="{00000000-0005-0000-0000-00004D4D0000}"/>
    <cellStyle name="Percent 2 37 2" xfId="19407" xr:uid="{00000000-0005-0000-0000-00004E4D0000}"/>
    <cellStyle name="Percent 2 37 3" xfId="19408" xr:uid="{00000000-0005-0000-0000-00004F4D0000}"/>
    <cellStyle name="Percent 2 37 4" xfId="19409" xr:uid="{00000000-0005-0000-0000-0000504D0000}"/>
    <cellStyle name="Percent 2 37 5" xfId="19410" xr:uid="{00000000-0005-0000-0000-0000514D0000}"/>
    <cellStyle name="Percent 2 37 6" xfId="19411" xr:uid="{00000000-0005-0000-0000-0000524D0000}"/>
    <cellStyle name="Percent 2 37 7" xfId="19412" xr:uid="{00000000-0005-0000-0000-0000534D0000}"/>
    <cellStyle name="Percent 2 37 8" xfId="19413" xr:uid="{00000000-0005-0000-0000-0000544D0000}"/>
    <cellStyle name="Percent 2 37 9" xfId="19414" xr:uid="{00000000-0005-0000-0000-0000554D0000}"/>
    <cellStyle name="Percent 2 38" xfId="19415" xr:uid="{00000000-0005-0000-0000-0000564D0000}"/>
    <cellStyle name="Percent 2 38 10" xfId="19416" xr:uid="{00000000-0005-0000-0000-0000574D0000}"/>
    <cellStyle name="Percent 2 38 11" xfId="19417" xr:uid="{00000000-0005-0000-0000-0000584D0000}"/>
    <cellStyle name="Percent 2 38 12" xfId="19418" xr:uid="{00000000-0005-0000-0000-0000594D0000}"/>
    <cellStyle name="Percent 2 38 13" xfId="19419" xr:uid="{00000000-0005-0000-0000-00005A4D0000}"/>
    <cellStyle name="Percent 2 38 14" xfId="19420" xr:uid="{00000000-0005-0000-0000-00005B4D0000}"/>
    <cellStyle name="Percent 2 38 15" xfId="19421" xr:uid="{00000000-0005-0000-0000-00005C4D0000}"/>
    <cellStyle name="Percent 2 38 16" xfId="19422" xr:uid="{00000000-0005-0000-0000-00005D4D0000}"/>
    <cellStyle name="Percent 2 38 17" xfId="19423" xr:uid="{00000000-0005-0000-0000-00005E4D0000}"/>
    <cellStyle name="Percent 2 38 2" xfId="19424" xr:uid="{00000000-0005-0000-0000-00005F4D0000}"/>
    <cellStyle name="Percent 2 38 3" xfId="19425" xr:uid="{00000000-0005-0000-0000-0000604D0000}"/>
    <cellStyle name="Percent 2 38 4" xfId="19426" xr:uid="{00000000-0005-0000-0000-0000614D0000}"/>
    <cellStyle name="Percent 2 38 5" xfId="19427" xr:uid="{00000000-0005-0000-0000-0000624D0000}"/>
    <cellStyle name="Percent 2 38 6" xfId="19428" xr:uid="{00000000-0005-0000-0000-0000634D0000}"/>
    <cellStyle name="Percent 2 38 7" xfId="19429" xr:uid="{00000000-0005-0000-0000-0000644D0000}"/>
    <cellStyle name="Percent 2 38 8" xfId="19430" xr:uid="{00000000-0005-0000-0000-0000654D0000}"/>
    <cellStyle name="Percent 2 38 9" xfId="19431" xr:uid="{00000000-0005-0000-0000-0000664D0000}"/>
    <cellStyle name="Percent 2 39" xfId="19432" xr:uid="{00000000-0005-0000-0000-0000674D0000}"/>
    <cellStyle name="Percent 2 39 10" xfId="19433" xr:uid="{00000000-0005-0000-0000-0000684D0000}"/>
    <cellStyle name="Percent 2 39 11" xfId="19434" xr:uid="{00000000-0005-0000-0000-0000694D0000}"/>
    <cellStyle name="Percent 2 39 12" xfId="19435" xr:uid="{00000000-0005-0000-0000-00006A4D0000}"/>
    <cellStyle name="Percent 2 39 13" xfId="19436" xr:uid="{00000000-0005-0000-0000-00006B4D0000}"/>
    <cellStyle name="Percent 2 39 14" xfId="19437" xr:uid="{00000000-0005-0000-0000-00006C4D0000}"/>
    <cellStyle name="Percent 2 39 15" xfId="19438" xr:uid="{00000000-0005-0000-0000-00006D4D0000}"/>
    <cellStyle name="Percent 2 39 16" xfId="19439" xr:uid="{00000000-0005-0000-0000-00006E4D0000}"/>
    <cellStyle name="Percent 2 39 17" xfId="19440" xr:uid="{00000000-0005-0000-0000-00006F4D0000}"/>
    <cellStyle name="Percent 2 39 2" xfId="19441" xr:uid="{00000000-0005-0000-0000-0000704D0000}"/>
    <cellStyle name="Percent 2 39 3" xfId="19442" xr:uid="{00000000-0005-0000-0000-0000714D0000}"/>
    <cellStyle name="Percent 2 39 4" xfId="19443" xr:uid="{00000000-0005-0000-0000-0000724D0000}"/>
    <cellStyle name="Percent 2 39 5" xfId="19444" xr:uid="{00000000-0005-0000-0000-0000734D0000}"/>
    <cellStyle name="Percent 2 39 6" xfId="19445" xr:uid="{00000000-0005-0000-0000-0000744D0000}"/>
    <cellStyle name="Percent 2 39 7" xfId="19446" xr:uid="{00000000-0005-0000-0000-0000754D0000}"/>
    <cellStyle name="Percent 2 39 8" xfId="19447" xr:uid="{00000000-0005-0000-0000-0000764D0000}"/>
    <cellStyle name="Percent 2 39 9" xfId="19448" xr:uid="{00000000-0005-0000-0000-0000774D0000}"/>
    <cellStyle name="Percent 2 4" xfId="19449" xr:uid="{00000000-0005-0000-0000-0000784D0000}"/>
    <cellStyle name="Percent 2 4 10" xfId="19450" xr:uid="{00000000-0005-0000-0000-0000794D0000}"/>
    <cellStyle name="Percent 2 4 11" xfId="19451" xr:uid="{00000000-0005-0000-0000-00007A4D0000}"/>
    <cellStyle name="Percent 2 4 12" xfId="19452" xr:uid="{00000000-0005-0000-0000-00007B4D0000}"/>
    <cellStyle name="Percent 2 4 13" xfId="19453" xr:uid="{00000000-0005-0000-0000-00007C4D0000}"/>
    <cellStyle name="Percent 2 4 14" xfId="19454" xr:uid="{00000000-0005-0000-0000-00007D4D0000}"/>
    <cellStyle name="Percent 2 4 15" xfId="19455" xr:uid="{00000000-0005-0000-0000-00007E4D0000}"/>
    <cellStyle name="Percent 2 4 16" xfId="19456" xr:uid="{00000000-0005-0000-0000-00007F4D0000}"/>
    <cellStyle name="Percent 2 4 17" xfId="19457" xr:uid="{00000000-0005-0000-0000-0000804D0000}"/>
    <cellStyle name="Percent 2 4 2" xfId="19458" xr:uid="{00000000-0005-0000-0000-0000814D0000}"/>
    <cellStyle name="Percent 2 4 3" xfId="19459" xr:uid="{00000000-0005-0000-0000-0000824D0000}"/>
    <cellStyle name="Percent 2 4 4" xfId="19460" xr:uid="{00000000-0005-0000-0000-0000834D0000}"/>
    <cellStyle name="Percent 2 4 5" xfId="19461" xr:uid="{00000000-0005-0000-0000-0000844D0000}"/>
    <cellStyle name="Percent 2 4 6" xfId="19462" xr:uid="{00000000-0005-0000-0000-0000854D0000}"/>
    <cellStyle name="Percent 2 4 7" xfId="19463" xr:uid="{00000000-0005-0000-0000-0000864D0000}"/>
    <cellStyle name="Percent 2 4 8" xfId="19464" xr:uid="{00000000-0005-0000-0000-0000874D0000}"/>
    <cellStyle name="Percent 2 4 9" xfId="19465" xr:uid="{00000000-0005-0000-0000-0000884D0000}"/>
    <cellStyle name="Percent 2 40" xfId="19466" xr:uid="{00000000-0005-0000-0000-0000894D0000}"/>
    <cellStyle name="Percent 2 40 10" xfId="19467" xr:uid="{00000000-0005-0000-0000-00008A4D0000}"/>
    <cellStyle name="Percent 2 40 11" xfId="19468" xr:uid="{00000000-0005-0000-0000-00008B4D0000}"/>
    <cellStyle name="Percent 2 40 12" xfId="19469" xr:uid="{00000000-0005-0000-0000-00008C4D0000}"/>
    <cellStyle name="Percent 2 40 13" xfId="19470" xr:uid="{00000000-0005-0000-0000-00008D4D0000}"/>
    <cellStyle name="Percent 2 40 14" xfId="19471" xr:uid="{00000000-0005-0000-0000-00008E4D0000}"/>
    <cellStyle name="Percent 2 40 15" xfId="19472" xr:uid="{00000000-0005-0000-0000-00008F4D0000}"/>
    <cellStyle name="Percent 2 40 16" xfId="19473" xr:uid="{00000000-0005-0000-0000-0000904D0000}"/>
    <cellStyle name="Percent 2 40 17" xfId="19474" xr:uid="{00000000-0005-0000-0000-0000914D0000}"/>
    <cellStyle name="Percent 2 40 2" xfId="19475" xr:uid="{00000000-0005-0000-0000-0000924D0000}"/>
    <cellStyle name="Percent 2 40 3" xfId="19476" xr:uid="{00000000-0005-0000-0000-0000934D0000}"/>
    <cellStyle name="Percent 2 40 4" xfId="19477" xr:uid="{00000000-0005-0000-0000-0000944D0000}"/>
    <cellStyle name="Percent 2 40 5" xfId="19478" xr:uid="{00000000-0005-0000-0000-0000954D0000}"/>
    <cellStyle name="Percent 2 40 6" xfId="19479" xr:uid="{00000000-0005-0000-0000-0000964D0000}"/>
    <cellStyle name="Percent 2 40 7" xfId="19480" xr:uid="{00000000-0005-0000-0000-0000974D0000}"/>
    <cellStyle name="Percent 2 40 8" xfId="19481" xr:uid="{00000000-0005-0000-0000-0000984D0000}"/>
    <cellStyle name="Percent 2 40 9" xfId="19482" xr:uid="{00000000-0005-0000-0000-0000994D0000}"/>
    <cellStyle name="Percent 2 41" xfId="19483" xr:uid="{00000000-0005-0000-0000-00009A4D0000}"/>
    <cellStyle name="Percent 2 41 10" xfId="19484" xr:uid="{00000000-0005-0000-0000-00009B4D0000}"/>
    <cellStyle name="Percent 2 41 11" xfId="19485" xr:uid="{00000000-0005-0000-0000-00009C4D0000}"/>
    <cellStyle name="Percent 2 41 12" xfId="19486" xr:uid="{00000000-0005-0000-0000-00009D4D0000}"/>
    <cellStyle name="Percent 2 41 13" xfId="19487" xr:uid="{00000000-0005-0000-0000-00009E4D0000}"/>
    <cellStyle name="Percent 2 41 14" xfId="19488" xr:uid="{00000000-0005-0000-0000-00009F4D0000}"/>
    <cellStyle name="Percent 2 41 15" xfId="19489" xr:uid="{00000000-0005-0000-0000-0000A04D0000}"/>
    <cellStyle name="Percent 2 41 16" xfId="19490" xr:uid="{00000000-0005-0000-0000-0000A14D0000}"/>
    <cellStyle name="Percent 2 41 17" xfId="19491" xr:uid="{00000000-0005-0000-0000-0000A24D0000}"/>
    <cellStyle name="Percent 2 41 2" xfId="19492" xr:uid="{00000000-0005-0000-0000-0000A34D0000}"/>
    <cellStyle name="Percent 2 41 3" xfId="19493" xr:uid="{00000000-0005-0000-0000-0000A44D0000}"/>
    <cellStyle name="Percent 2 41 4" xfId="19494" xr:uid="{00000000-0005-0000-0000-0000A54D0000}"/>
    <cellStyle name="Percent 2 41 5" xfId="19495" xr:uid="{00000000-0005-0000-0000-0000A64D0000}"/>
    <cellStyle name="Percent 2 41 6" xfId="19496" xr:uid="{00000000-0005-0000-0000-0000A74D0000}"/>
    <cellStyle name="Percent 2 41 7" xfId="19497" xr:uid="{00000000-0005-0000-0000-0000A84D0000}"/>
    <cellStyle name="Percent 2 41 8" xfId="19498" xr:uid="{00000000-0005-0000-0000-0000A94D0000}"/>
    <cellStyle name="Percent 2 41 9" xfId="19499" xr:uid="{00000000-0005-0000-0000-0000AA4D0000}"/>
    <cellStyle name="Percent 2 42" xfId="19500" xr:uid="{00000000-0005-0000-0000-0000AB4D0000}"/>
    <cellStyle name="Percent 2 42 10" xfId="19501" xr:uid="{00000000-0005-0000-0000-0000AC4D0000}"/>
    <cellStyle name="Percent 2 42 11" xfId="19502" xr:uid="{00000000-0005-0000-0000-0000AD4D0000}"/>
    <cellStyle name="Percent 2 42 12" xfId="19503" xr:uid="{00000000-0005-0000-0000-0000AE4D0000}"/>
    <cellStyle name="Percent 2 42 13" xfId="19504" xr:uid="{00000000-0005-0000-0000-0000AF4D0000}"/>
    <cellStyle name="Percent 2 42 14" xfId="19505" xr:uid="{00000000-0005-0000-0000-0000B04D0000}"/>
    <cellStyle name="Percent 2 42 15" xfId="19506" xr:uid="{00000000-0005-0000-0000-0000B14D0000}"/>
    <cellStyle name="Percent 2 42 16" xfId="19507" xr:uid="{00000000-0005-0000-0000-0000B24D0000}"/>
    <cellStyle name="Percent 2 42 17" xfId="19508" xr:uid="{00000000-0005-0000-0000-0000B34D0000}"/>
    <cellStyle name="Percent 2 42 2" xfId="19509" xr:uid="{00000000-0005-0000-0000-0000B44D0000}"/>
    <cellStyle name="Percent 2 42 3" xfId="19510" xr:uid="{00000000-0005-0000-0000-0000B54D0000}"/>
    <cellStyle name="Percent 2 42 4" xfId="19511" xr:uid="{00000000-0005-0000-0000-0000B64D0000}"/>
    <cellStyle name="Percent 2 42 5" xfId="19512" xr:uid="{00000000-0005-0000-0000-0000B74D0000}"/>
    <cellStyle name="Percent 2 42 6" xfId="19513" xr:uid="{00000000-0005-0000-0000-0000B84D0000}"/>
    <cellStyle name="Percent 2 42 7" xfId="19514" xr:uid="{00000000-0005-0000-0000-0000B94D0000}"/>
    <cellStyle name="Percent 2 42 8" xfId="19515" xr:uid="{00000000-0005-0000-0000-0000BA4D0000}"/>
    <cellStyle name="Percent 2 42 9" xfId="19516" xr:uid="{00000000-0005-0000-0000-0000BB4D0000}"/>
    <cellStyle name="Percent 2 43" xfId="19517" xr:uid="{00000000-0005-0000-0000-0000BC4D0000}"/>
    <cellStyle name="Percent 2 43 10" xfId="19518" xr:uid="{00000000-0005-0000-0000-0000BD4D0000}"/>
    <cellStyle name="Percent 2 43 11" xfId="19519" xr:uid="{00000000-0005-0000-0000-0000BE4D0000}"/>
    <cellStyle name="Percent 2 43 12" xfId="19520" xr:uid="{00000000-0005-0000-0000-0000BF4D0000}"/>
    <cellStyle name="Percent 2 43 13" xfId="19521" xr:uid="{00000000-0005-0000-0000-0000C04D0000}"/>
    <cellStyle name="Percent 2 43 14" xfId="19522" xr:uid="{00000000-0005-0000-0000-0000C14D0000}"/>
    <cellStyle name="Percent 2 43 15" xfId="19523" xr:uid="{00000000-0005-0000-0000-0000C24D0000}"/>
    <cellStyle name="Percent 2 43 16" xfId="19524" xr:uid="{00000000-0005-0000-0000-0000C34D0000}"/>
    <cellStyle name="Percent 2 43 17" xfId="19525" xr:uid="{00000000-0005-0000-0000-0000C44D0000}"/>
    <cellStyle name="Percent 2 43 2" xfId="19526" xr:uid="{00000000-0005-0000-0000-0000C54D0000}"/>
    <cellStyle name="Percent 2 43 3" xfId="19527" xr:uid="{00000000-0005-0000-0000-0000C64D0000}"/>
    <cellStyle name="Percent 2 43 4" xfId="19528" xr:uid="{00000000-0005-0000-0000-0000C74D0000}"/>
    <cellStyle name="Percent 2 43 5" xfId="19529" xr:uid="{00000000-0005-0000-0000-0000C84D0000}"/>
    <cellStyle name="Percent 2 43 6" xfId="19530" xr:uid="{00000000-0005-0000-0000-0000C94D0000}"/>
    <cellStyle name="Percent 2 43 7" xfId="19531" xr:uid="{00000000-0005-0000-0000-0000CA4D0000}"/>
    <cellStyle name="Percent 2 43 8" xfId="19532" xr:uid="{00000000-0005-0000-0000-0000CB4D0000}"/>
    <cellStyle name="Percent 2 43 9" xfId="19533" xr:uid="{00000000-0005-0000-0000-0000CC4D0000}"/>
    <cellStyle name="Percent 2 44" xfId="19534" xr:uid="{00000000-0005-0000-0000-0000CD4D0000}"/>
    <cellStyle name="Percent 2 44 10" xfId="19535" xr:uid="{00000000-0005-0000-0000-0000CE4D0000}"/>
    <cellStyle name="Percent 2 44 11" xfId="19536" xr:uid="{00000000-0005-0000-0000-0000CF4D0000}"/>
    <cellStyle name="Percent 2 44 12" xfId="19537" xr:uid="{00000000-0005-0000-0000-0000D04D0000}"/>
    <cellStyle name="Percent 2 44 13" xfId="19538" xr:uid="{00000000-0005-0000-0000-0000D14D0000}"/>
    <cellStyle name="Percent 2 44 14" xfId="19539" xr:uid="{00000000-0005-0000-0000-0000D24D0000}"/>
    <cellStyle name="Percent 2 44 15" xfId="19540" xr:uid="{00000000-0005-0000-0000-0000D34D0000}"/>
    <cellStyle name="Percent 2 44 16" xfId="19541" xr:uid="{00000000-0005-0000-0000-0000D44D0000}"/>
    <cellStyle name="Percent 2 44 17" xfId="19542" xr:uid="{00000000-0005-0000-0000-0000D54D0000}"/>
    <cellStyle name="Percent 2 44 2" xfId="19543" xr:uid="{00000000-0005-0000-0000-0000D64D0000}"/>
    <cellStyle name="Percent 2 44 3" xfId="19544" xr:uid="{00000000-0005-0000-0000-0000D74D0000}"/>
    <cellStyle name="Percent 2 44 4" xfId="19545" xr:uid="{00000000-0005-0000-0000-0000D84D0000}"/>
    <cellStyle name="Percent 2 44 5" xfId="19546" xr:uid="{00000000-0005-0000-0000-0000D94D0000}"/>
    <cellStyle name="Percent 2 44 6" xfId="19547" xr:uid="{00000000-0005-0000-0000-0000DA4D0000}"/>
    <cellStyle name="Percent 2 44 7" xfId="19548" xr:uid="{00000000-0005-0000-0000-0000DB4D0000}"/>
    <cellStyle name="Percent 2 44 8" xfId="19549" xr:uid="{00000000-0005-0000-0000-0000DC4D0000}"/>
    <cellStyle name="Percent 2 44 9" xfId="19550" xr:uid="{00000000-0005-0000-0000-0000DD4D0000}"/>
    <cellStyle name="Percent 2 45" xfId="19551" xr:uid="{00000000-0005-0000-0000-0000DE4D0000}"/>
    <cellStyle name="Percent 2 45 10" xfId="19552" xr:uid="{00000000-0005-0000-0000-0000DF4D0000}"/>
    <cellStyle name="Percent 2 45 11" xfId="19553" xr:uid="{00000000-0005-0000-0000-0000E04D0000}"/>
    <cellStyle name="Percent 2 45 12" xfId="19554" xr:uid="{00000000-0005-0000-0000-0000E14D0000}"/>
    <cellStyle name="Percent 2 45 13" xfId="19555" xr:uid="{00000000-0005-0000-0000-0000E24D0000}"/>
    <cellStyle name="Percent 2 45 14" xfId="19556" xr:uid="{00000000-0005-0000-0000-0000E34D0000}"/>
    <cellStyle name="Percent 2 45 15" xfId="19557" xr:uid="{00000000-0005-0000-0000-0000E44D0000}"/>
    <cellStyle name="Percent 2 45 16" xfId="19558" xr:uid="{00000000-0005-0000-0000-0000E54D0000}"/>
    <cellStyle name="Percent 2 45 17" xfId="19559" xr:uid="{00000000-0005-0000-0000-0000E64D0000}"/>
    <cellStyle name="Percent 2 45 2" xfId="19560" xr:uid="{00000000-0005-0000-0000-0000E74D0000}"/>
    <cellStyle name="Percent 2 45 3" xfId="19561" xr:uid="{00000000-0005-0000-0000-0000E84D0000}"/>
    <cellStyle name="Percent 2 45 4" xfId="19562" xr:uid="{00000000-0005-0000-0000-0000E94D0000}"/>
    <cellStyle name="Percent 2 45 5" xfId="19563" xr:uid="{00000000-0005-0000-0000-0000EA4D0000}"/>
    <cellStyle name="Percent 2 45 6" xfId="19564" xr:uid="{00000000-0005-0000-0000-0000EB4D0000}"/>
    <cellStyle name="Percent 2 45 7" xfId="19565" xr:uid="{00000000-0005-0000-0000-0000EC4D0000}"/>
    <cellStyle name="Percent 2 45 8" xfId="19566" xr:uid="{00000000-0005-0000-0000-0000ED4D0000}"/>
    <cellStyle name="Percent 2 45 9" xfId="19567" xr:uid="{00000000-0005-0000-0000-0000EE4D0000}"/>
    <cellStyle name="Percent 2 46" xfId="19568" xr:uid="{00000000-0005-0000-0000-0000EF4D0000}"/>
    <cellStyle name="Percent 2 46 10" xfId="19569" xr:uid="{00000000-0005-0000-0000-0000F04D0000}"/>
    <cellStyle name="Percent 2 46 11" xfId="19570" xr:uid="{00000000-0005-0000-0000-0000F14D0000}"/>
    <cellStyle name="Percent 2 46 12" xfId="19571" xr:uid="{00000000-0005-0000-0000-0000F24D0000}"/>
    <cellStyle name="Percent 2 46 13" xfId="19572" xr:uid="{00000000-0005-0000-0000-0000F34D0000}"/>
    <cellStyle name="Percent 2 46 14" xfId="19573" xr:uid="{00000000-0005-0000-0000-0000F44D0000}"/>
    <cellStyle name="Percent 2 46 15" xfId="19574" xr:uid="{00000000-0005-0000-0000-0000F54D0000}"/>
    <cellStyle name="Percent 2 46 16" xfId="19575" xr:uid="{00000000-0005-0000-0000-0000F64D0000}"/>
    <cellStyle name="Percent 2 46 17" xfId="19576" xr:uid="{00000000-0005-0000-0000-0000F74D0000}"/>
    <cellStyle name="Percent 2 46 2" xfId="19577" xr:uid="{00000000-0005-0000-0000-0000F84D0000}"/>
    <cellStyle name="Percent 2 46 3" xfId="19578" xr:uid="{00000000-0005-0000-0000-0000F94D0000}"/>
    <cellStyle name="Percent 2 46 4" xfId="19579" xr:uid="{00000000-0005-0000-0000-0000FA4D0000}"/>
    <cellStyle name="Percent 2 46 5" xfId="19580" xr:uid="{00000000-0005-0000-0000-0000FB4D0000}"/>
    <cellStyle name="Percent 2 46 6" xfId="19581" xr:uid="{00000000-0005-0000-0000-0000FC4D0000}"/>
    <cellStyle name="Percent 2 46 7" xfId="19582" xr:uid="{00000000-0005-0000-0000-0000FD4D0000}"/>
    <cellStyle name="Percent 2 46 8" xfId="19583" xr:uid="{00000000-0005-0000-0000-0000FE4D0000}"/>
    <cellStyle name="Percent 2 46 9" xfId="19584" xr:uid="{00000000-0005-0000-0000-0000FF4D0000}"/>
    <cellStyle name="Percent 2 47" xfId="19585" xr:uid="{00000000-0005-0000-0000-0000004E0000}"/>
    <cellStyle name="Percent 2 47 10" xfId="19586" xr:uid="{00000000-0005-0000-0000-0000014E0000}"/>
    <cellStyle name="Percent 2 47 11" xfId="19587" xr:uid="{00000000-0005-0000-0000-0000024E0000}"/>
    <cellStyle name="Percent 2 47 12" xfId="19588" xr:uid="{00000000-0005-0000-0000-0000034E0000}"/>
    <cellStyle name="Percent 2 47 13" xfId="19589" xr:uid="{00000000-0005-0000-0000-0000044E0000}"/>
    <cellStyle name="Percent 2 47 14" xfId="19590" xr:uid="{00000000-0005-0000-0000-0000054E0000}"/>
    <cellStyle name="Percent 2 47 15" xfId="19591" xr:uid="{00000000-0005-0000-0000-0000064E0000}"/>
    <cellStyle name="Percent 2 47 16" xfId="19592" xr:uid="{00000000-0005-0000-0000-0000074E0000}"/>
    <cellStyle name="Percent 2 47 17" xfId="19593" xr:uid="{00000000-0005-0000-0000-0000084E0000}"/>
    <cellStyle name="Percent 2 47 2" xfId="19594" xr:uid="{00000000-0005-0000-0000-0000094E0000}"/>
    <cellStyle name="Percent 2 47 3" xfId="19595" xr:uid="{00000000-0005-0000-0000-00000A4E0000}"/>
    <cellStyle name="Percent 2 47 4" xfId="19596" xr:uid="{00000000-0005-0000-0000-00000B4E0000}"/>
    <cellStyle name="Percent 2 47 5" xfId="19597" xr:uid="{00000000-0005-0000-0000-00000C4E0000}"/>
    <cellStyle name="Percent 2 47 6" xfId="19598" xr:uid="{00000000-0005-0000-0000-00000D4E0000}"/>
    <cellStyle name="Percent 2 47 7" xfId="19599" xr:uid="{00000000-0005-0000-0000-00000E4E0000}"/>
    <cellStyle name="Percent 2 47 8" xfId="19600" xr:uid="{00000000-0005-0000-0000-00000F4E0000}"/>
    <cellStyle name="Percent 2 47 9" xfId="19601" xr:uid="{00000000-0005-0000-0000-0000104E0000}"/>
    <cellStyle name="Percent 2 48" xfId="19602" xr:uid="{00000000-0005-0000-0000-0000114E0000}"/>
    <cellStyle name="Percent 2 48 10" xfId="19603" xr:uid="{00000000-0005-0000-0000-0000124E0000}"/>
    <cellStyle name="Percent 2 48 11" xfId="19604" xr:uid="{00000000-0005-0000-0000-0000134E0000}"/>
    <cellStyle name="Percent 2 48 12" xfId="19605" xr:uid="{00000000-0005-0000-0000-0000144E0000}"/>
    <cellStyle name="Percent 2 48 13" xfId="19606" xr:uid="{00000000-0005-0000-0000-0000154E0000}"/>
    <cellStyle name="Percent 2 48 14" xfId="19607" xr:uid="{00000000-0005-0000-0000-0000164E0000}"/>
    <cellStyle name="Percent 2 48 15" xfId="19608" xr:uid="{00000000-0005-0000-0000-0000174E0000}"/>
    <cellStyle name="Percent 2 48 16" xfId="19609" xr:uid="{00000000-0005-0000-0000-0000184E0000}"/>
    <cellStyle name="Percent 2 48 17" xfId="19610" xr:uid="{00000000-0005-0000-0000-0000194E0000}"/>
    <cellStyle name="Percent 2 48 2" xfId="19611" xr:uid="{00000000-0005-0000-0000-00001A4E0000}"/>
    <cellStyle name="Percent 2 48 3" xfId="19612" xr:uid="{00000000-0005-0000-0000-00001B4E0000}"/>
    <cellStyle name="Percent 2 48 4" xfId="19613" xr:uid="{00000000-0005-0000-0000-00001C4E0000}"/>
    <cellStyle name="Percent 2 48 5" xfId="19614" xr:uid="{00000000-0005-0000-0000-00001D4E0000}"/>
    <cellStyle name="Percent 2 48 6" xfId="19615" xr:uid="{00000000-0005-0000-0000-00001E4E0000}"/>
    <cellStyle name="Percent 2 48 7" xfId="19616" xr:uid="{00000000-0005-0000-0000-00001F4E0000}"/>
    <cellStyle name="Percent 2 48 8" xfId="19617" xr:uid="{00000000-0005-0000-0000-0000204E0000}"/>
    <cellStyle name="Percent 2 48 9" xfId="19618" xr:uid="{00000000-0005-0000-0000-0000214E0000}"/>
    <cellStyle name="Percent 2 49" xfId="19619" xr:uid="{00000000-0005-0000-0000-0000224E0000}"/>
    <cellStyle name="Percent 2 49 10" xfId="19620" xr:uid="{00000000-0005-0000-0000-0000234E0000}"/>
    <cellStyle name="Percent 2 49 11" xfId="19621" xr:uid="{00000000-0005-0000-0000-0000244E0000}"/>
    <cellStyle name="Percent 2 49 12" xfId="19622" xr:uid="{00000000-0005-0000-0000-0000254E0000}"/>
    <cellStyle name="Percent 2 49 13" xfId="19623" xr:uid="{00000000-0005-0000-0000-0000264E0000}"/>
    <cellStyle name="Percent 2 49 14" xfId="19624" xr:uid="{00000000-0005-0000-0000-0000274E0000}"/>
    <cellStyle name="Percent 2 49 15" xfId="19625" xr:uid="{00000000-0005-0000-0000-0000284E0000}"/>
    <cellStyle name="Percent 2 49 16" xfId="19626" xr:uid="{00000000-0005-0000-0000-0000294E0000}"/>
    <cellStyle name="Percent 2 49 17" xfId="19627" xr:uid="{00000000-0005-0000-0000-00002A4E0000}"/>
    <cellStyle name="Percent 2 49 2" xfId="19628" xr:uid="{00000000-0005-0000-0000-00002B4E0000}"/>
    <cellStyle name="Percent 2 49 3" xfId="19629" xr:uid="{00000000-0005-0000-0000-00002C4E0000}"/>
    <cellStyle name="Percent 2 49 4" xfId="19630" xr:uid="{00000000-0005-0000-0000-00002D4E0000}"/>
    <cellStyle name="Percent 2 49 5" xfId="19631" xr:uid="{00000000-0005-0000-0000-00002E4E0000}"/>
    <cellStyle name="Percent 2 49 6" xfId="19632" xr:uid="{00000000-0005-0000-0000-00002F4E0000}"/>
    <cellStyle name="Percent 2 49 7" xfId="19633" xr:uid="{00000000-0005-0000-0000-0000304E0000}"/>
    <cellStyle name="Percent 2 49 8" xfId="19634" xr:uid="{00000000-0005-0000-0000-0000314E0000}"/>
    <cellStyle name="Percent 2 49 9" xfId="19635" xr:uid="{00000000-0005-0000-0000-0000324E0000}"/>
    <cellStyle name="Percent 2 5" xfId="19636" xr:uid="{00000000-0005-0000-0000-0000334E0000}"/>
    <cellStyle name="Percent 2 5 10" xfId="19637" xr:uid="{00000000-0005-0000-0000-0000344E0000}"/>
    <cellStyle name="Percent 2 5 11" xfId="19638" xr:uid="{00000000-0005-0000-0000-0000354E0000}"/>
    <cellStyle name="Percent 2 5 12" xfId="19639" xr:uid="{00000000-0005-0000-0000-0000364E0000}"/>
    <cellStyle name="Percent 2 5 13" xfId="19640" xr:uid="{00000000-0005-0000-0000-0000374E0000}"/>
    <cellStyle name="Percent 2 5 14" xfId="19641" xr:uid="{00000000-0005-0000-0000-0000384E0000}"/>
    <cellStyle name="Percent 2 5 15" xfId="19642" xr:uid="{00000000-0005-0000-0000-0000394E0000}"/>
    <cellStyle name="Percent 2 5 16" xfId="19643" xr:uid="{00000000-0005-0000-0000-00003A4E0000}"/>
    <cellStyle name="Percent 2 5 17" xfId="19644" xr:uid="{00000000-0005-0000-0000-00003B4E0000}"/>
    <cellStyle name="Percent 2 5 2" xfId="19645" xr:uid="{00000000-0005-0000-0000-00003C4E0000}"/>
    <cellStyle name="Percent 2 5 3" xfId="19646" xr:uid="{00000000-0005-0000-0000-00003D4E0000}"/>
    <cellStyle name="Percent 2 5 4" xfId="19647" xr:uid="{00000000-0005-0000-0000-00003E4E0000}"/>
    <cellStyle name="Percent 2 5 5" xfId="19648" xr:uid="{00000000-0005-0000-0000-00003F4E0000}"/>
    <cellStyle name="Percent 2 5 6" xfId="19649" xr:uid="{00000000-0005-0000-0000-0000404E0000}"/>
    <cellStyle name="Percent 2 5 7" xfId="19650" xr:uid="{00000000-0005-0000-0000-0000414E0000}"/>
    <cellStyle name="Percent 2 5 8" xfId="19651" xr:uid="{00000000-0005-0000-0000-0000424E0000}"/>
    <cellStyle name="Percent 2 5 9" xfId="19652" xr:uid="{00000000-0005-0000-0000-0000434E0000}"/>
    <cellStyle name="Percent 2 50" xfId="19653" xr:uid="{00000000-0005-0000-0000-0000444E0000}"/>
    <cellStyle name="Percent 2 50 10" xfId="19654" xr:uid="{00000000-0005-0000-0000-0000454E0000}"/>
    <cellStyle name="Percent 2 50 11" xfId="19655" xr:uid="{00000000-0005-0000-0000-0000464E0000}"/>
    <cellStyle name="Percent 2 50 12" xfId="19656" xr:uid="{00000000-0005-0000-0000-0000474E0000}"/>
    <cellStyle name="Percent 2 50 13" xfId="19657" xr:uid="{00000000-0005-0000-0000-0000484E0000}"/>
    <cellStyle name="Percent 2 50 14" xfId="19658" xr:uid="{00000000-0005-0000-0000-0000494E0000}"/>
    <cellStyle name="Percent 2 50 15" xfId="19659" xr:uid="{00000000-0005-0000-0000-00004A4E0000}"/>
    <cellStyle name="Percent 2 50 16" xfId="19660" xr:uid="{00000000-0005-0000-0000-00004B4E0000}"/>
    <cellStyle name="Percent 2 50 17" xfId="19661" xr:uid="{00000000-0005-0000-0000-00004C4E0000}"/>
    <cellStyle name="Percent 2 50 2" xfId="19662" xr:uid="{00000000-0005-0000-0000-00004D4E0000}"/>
    <cellStyle name="Percent 2 50 3" xfId="19663" xr:uid="{00000000-0005-0000-0000-00004E4E0000}"/>
    <cellStyle name="Percent 2 50 4" xfId="19664" xr:uid="{00000000-0005-0000-0000-00004F4E0000}"/>
    <cellStyle name="Percent 2 50 5" xfId="19665" xr:uid="{00000000-0005-0000-0000-0000504E0000}"/>
    <cellStyle name="Percent 2 50 6" xfId="19666" xr:uid="{00000000-0005-0000-0000-0000514E0000}"/>
    <cellStyle name="Percent 2 50 7" xfId="19667" xr:uid="{00000000-0005-0000-0000-0000524E0000}"/>
    <cellStyle name="Percent 2 50 8" xfId="19668" xr:uid="{00000000-0005-0000-0000-0000534E0000}"/>
    <cellStyle name="Percent 2 50 9" xfId="19669" xr:uid="{00000000-0005-0000-0000-0000544E0000}"/>
    <cellStyle name="Percent 2 51" xfId="19670" xr:uid="{00000000-0005-0000-0000-0000554E0000}"/>
    <cellStyle name="Percent 2 51 10" xfId="19671" xr:uid="{00000000-0005-0000-0000-0000564E0000}"/>
    <cellStyle name="Percent 2 51 11" xfId="19672" xr:uid="{00000000-0005-0000-0000-0000574E0000}"/>
    <cellStyle name="Percent 2 51 12" xfId="19673" xr:uid="{00000000-0005-0000-0000-0000584E0000}"/>
    <cellStyle name="Percent 2 51 13" xfId="19674" xr:uid="{00000000-0005-0000-0000-0000594E0000}"/>
    <cellStyle name="Percent 2 51 14" xfId="19675" xr:uid="{00000000-0005-0000-0000-00005A4E0000}"/>
    <cellStyle name="Percent 2 51 15" xfId="19676" xr:uid="{00000000-0005-0000-0000-00005B4E0000}"/>
    <cellStyle name="Percent 2 51 16" xfId="19677" xr:uid="{00000000-0005-0000-0000-00005C4E0000}"/>
    <cellStyle name="Percent 2 51 17" xfId="19678" xr:uid="{00000000-0005-0000-0000-00005D4E0000}"/>
    <cellStyle name="Percent 2 51 2" xfId="19679" xr:uid="{00000000-0005-0000-0000-00005E4E0000}"/>
    <cellStyle name="Percent 2 51 3" xfId="19680" xr:uid="{00000000-0005-0000-0000-00005F4E0000}"/>
    <cellStyle name="Percent 2 51 4" xfId="19681" xr:uid="{00000000-0005-0000-0000-0000604E0000}"/>
    <cellStyle name="Percent 2 51 5" xfId="19682" xr:uid="{00000000-0005-0000-0000-0000614E0000}"/>
    <cellStyle name="Percent 2 51 6" xfId="19683" xr:uid="{00000000-0005-0000-0000-0000624E0000}"/>
    <cellStyle name="Percent 2 51 7" xfId="19684" xr:uid="{00000000-0005-0000-0000-0000634E0000}"/>
    <cellStyle name="Percent 2 51 8" xfId="19685" xr:uid="{00000000-0005-0000-0000-0000644E0000}"/>
    <cellStyle name="Percent 2 51 9" xfId="19686" xr:uid="{00000000-0005-0000-0000-0000654E0000}"/>
    <cellStyle name="Percent 2 52" xfId="19687" xr:uid="{00000000-0005-0000-0000-0000664E0000}"/>
    <cellStyle name="Percent 2 53" xfId="19688" xr:uid="{00000000-0005-0000-0000-0000674E0000}"/>
    <cellStyle name="Percent 2 54" xfId="19689" xr:uid="{00000000-0005-0000-0000-0000684E0000}"/>
    <cellStyle name="Percent 2 55" xfId="19690" xr:uid="{00000000-0005-0000-0000-0000694E0000}"/>
    <cellStyle name="Percent 2 56" xfId="19691" xr:uid="{00000000-0005-0000-0000-00006A4E0000}"/>
    <cellStyle name="Percent 2 57" xfId="19692" xr:uid="{00000000-0005-0000-0000-00006B4E0000}"/>
    <cellStyle name="Percent 2 58" xfId="19693" xr:uid="{00000000-0005-0000-0000-00006C4E0000}"/>
    <cellStyle name="Percent 2 59" xfId="19694" xr:uid="{00000000-0005-0000-0000-00006D4E0000}"/>
    <cellStyle name="Percent 2 6" xfId="19695" xr:uid="{00000000-0005-0000-0000-00006E4E0000}"/>
    <cellStyle name="Percent 2 6 10" xfId="19696" xr:uid="{00000000-0005-0000-0000-00006F4E0000}"/>
    <cellStyle name="Percent 2 6 11" xfId="19697" xr:uid="{00000000-0005-0000-0000-0000704E0000}"/>
    <cellStyle name="Percent 2 6 12" xfId="19698" xr:uid="{00000000-0005-0000-0000-0000714E0000}"/>
    <cellStyle name="Percent 2 6 13" xfId="19699" xr:uid="{00000000-0005-0000-0000-0000724E0000}"/>
    <cellStyle name="Percent 2 6 14" xfId="19700" xr:uid="{00000000-0005-0000-0000-0000734E0000}"/>
    <cellStyle name="Percent 2 6 15" xfId="19701" xr:uid="{00000000-0005-0000-0000-0000744E0000}"/>
    <cellStyle name="Percent 2 6 16" xfId="19702" xr:uid="{00000000-0005-0000-0000-0000754E0000}"/>
    <cellStyle name="Percent 2 6 17" xfId="19703" xr:uid="{00000000-0005-0000-0000-0000764E0000}"/>
    <cellStyle name="Percent 2 6 2" xfId="19704" xr:uid="{00000000-0005-0000-0000-0000774E0000}"/>
    <cellStyle name="Percent 2 6 3" xfId="19705" xr:uid="{00000000-0005-0000-0000-0000784E0000}"/>
    <cellStyle name="Percent 2 6 4" xfId="19706" xr:uid="{00000000-0005-0000-0000-0000794E0000}"/>
    <cellStyle name="Percent 2 6 5" xfId="19707" xr:uid="{00000000-0005-0000-0000-00007A4E0000}"/>
    <cellStyle name="Percent 2 6 6" xfId="19708" xr:uid="{00000000-0005-0000-0000-00007B4E0000}"/>
    <cellStyle name="Percent 2 6 7" xfId="19709" xr:uid="{00000000-0005-0000-0000-00007C4E0000}"/>
    <cellStyle name="Percent 2 6 8" xfId="19710" xr:uid="{00000000-0005-0000-0000-00007D4E0000}"/>
    <cellStyle name="Percent 2 6 9" xfId="19711" xr:uid="{00000000-0005-0000-0000-00007E4E0000}"/>
    <cellStyle name="Percent 2 60" xfId="19712" xr:uid="{00000000-0005-0000-0000-00007F4E0000}"/>
    <cellStyle name="Percent 2 61" xfId="19713" xr:uid="{00000000-0005-0000-0000-0000804E0000}"/>
    <cellStyle name="Percent 2 62" xfId="19714" xr:uid="{00000000-0005-0000-0000-0000814E0000}"/>
    <cellStyle name="Percent 2 63" xfId="19715" xr:uid="{00000000-0005-0000-0000-0000824E0000}"/>
    <cellStyle name="Percent 2 64" xfId="19716" xr:uid="{00000000-0005-0000-0000-0000834E0000}"/>
    <cellStyle name="Percent 2 7" xfId="19717" xr:uid="{00000000-0005-0000-0000-0000844E0000}"/>
    <cellStyle name="Percent 2 7 10" xfId="19718" xr:uid="{00000000-0005-0000-0000-0000854E0000}"/>
    <cellStyle name="Percent 2 7 11" xfId="19719" xr:uid="{00000000-0005-0000-0000-0000864E0000}"/>
    <cellStyle name="Percent 2 7 12" xfId="19720" xr:uid="{00000000-0005-0000-0000-0000874E0000}"/>
    <cellStyle name="Percent 2 7 13" xfId="19721" xr:uid="{00000000-0005-0000-0000-0000884E0000}"/>
    <cellStyle name="Percent 2 7 14" xfId="19722" xr:uid="{00000000-0005-0000-0000-0000894E0000}"/>
    <cellStyle name="Percent 2 7 15" xfId="19723" xr:uid="{00000000-0005-0000-0000-00008A4E0000}"/>
    <cellStyle name="Percent 2 7 16" xfId="19724" xr:uid="{00000000-0005-0000-0000-00008B4E0000}"/>
    <cellStyle name="Percent 2 7 17" xfId="19725" xr:uid="{00000000-0005-0000-0000-00008C4E0000}"/>
    <cellStyle name="Percent 2 7 2" xfId="19726" xr:uid="{00000000-0005-0000-0000-00008D4E0000}"/>
    <cellStyle name="Percent 2 7 3" xfId="19727" xr:uid="{00000000-0005-0000-0000-00008E4E0000}"/>
    <cellStyle name="Percent 2 7 4" xfId="19728" xr:uid="{00000000-0005-0000-0000-00008F4E0000}"/>
    <cellStyle name="Percent 2 7 5" xfId="19729" xr:uid="{00000000-0005-0000-0000-0000904E0000}"/>
    <cellStyle name="Percent 2 7 6" xfId="19730" xr:uid="{00000000-0005-0000-0000-0000914E0000}"/>
    <cellStyle name="Percent 2 7 7" xfId="19731" xr:uid="{00000000-0005-0000-0000-0000924E0000}"/>
    <cellStyle name="Percent 2 7 8" xfId="19732" xr:uid="{00000000-0005-0000-0000-0000934E0000}"/>
    <cellStyle name="Percent 2 7 9" xfId="19733" xr:uid="{00000000-0005-0000-0000-0000944E0000}"/>
    <cellStyle name="Percent 2 8" xfId="19734" xr:uid="{00000000-0005-0000-0000-0000954E0000}"/>
    <cellStyle name="Percent 2 8 10" xfId="19735" xr:uid="{00000000-0005-0000-0000-0000964E0000}"/>
    <cellStyle name="Percent 2 8 11" xfId="19736" xr:uid="{00000000-0005-0000-0000-0000974E0000}"/>
    <cellStyle name="Percent 2 8 12" xfId="19737" xr:uid="{00000000-0005-0000-0000-0000984E0000}"/>
    <cellStyle name="Percent 2 8 13" xfId="19738" xr:uid="{00000000-0005-0000-0000-0000994E0000}"/>
    <cellStyle name="Percent 2 8 14" xfId="19739" xr:uid="{00000000-0005-0000-0000-00009A4E0000}"/>
    <cellStyle name="Percent 2 8 15" xfId="19740" xr:uid="{00000000-0005-0000-0000-00009B4E0000}"/>
    <cellStyle name="Percent 2 8 16" xfId="19741" xr:uid="{00000000-0005-0000-0000-00009C4E0000}"/>
    <cellStyle name="Percent 2 8 17" xfId="19742" xr:uid="{00000000-0005-0000-0000-00009D4E0000}"/>
    <cellStyle name="Percent 2 8 2" xfId="19743" xr:uid="{00000000-0005-0000-0000-00009E4E0000}"/>
    <cellStyle name="Percent 2 8 3" xfId="19744" xr:uid="{00000000-0005-0000-0000-00009F4E0000}"/>
    <cellStyle name="Percent 2 8 4" xfId="19745" xr:uid="{00000000-0005-0000-0000-0000A04E0000}"/>
    <cellStyle name="Percent 2 8 5" xfId="19746" xr:uid="{00000000-0005-0000-0000-0000A14E0000}"/>
    <cellStyle name="Percent 2 8 6" xfId="19747" xr:uid="{00000000-0005-0000-0000-0000A24E0000}"/>
    <cellStyle name="Percent 2 8 7" xfId="19748" xr:uid="{00000000-0005-0000-0000-0000A34E0000}"/>
    <cellStyle name="Percent 2 8 8" xfId="19749" xr:uid="{00000000-0005-0000-0000-0000A44E0000}"/>
    <cellStyle name="Percent 2 8 9" xfId="19750" xr:uid="{00000000-0005-0000-0000-0000A54E0000}"/>
    <cellStyle name="Percent 2 9" xfId="19751" xr:uid="{00000000-0005-0000-0000-0000A64E0000}"/>
    <cellStyle name="Percent 2 9 10" xfId="19752" xr:uid="{00000000-0005-0000-0000-0000A74E0000}"/>
    <cellStyle name="Percent 2 9 11" xfId="19753" xr:uid="{00000000-0005-0000-0000-0000A84E0000}"/>
    <cellStyle name="Percent 2 9 12" xfId="19754" xr:uid="{00000000-0005-0000-0000-0000A94E0000}"/>
    <cellStyle name="Percent 2 9 13" xfId="19755" xr:uid="{00000000-0005-0000-0000-0000AA4E0000}"/>
    <cellStyle name="Percent 2 9 14" xfId="19756" xr:uid="{00000000-0005-0000-0000-0000AB4E0000}"/>
    <cellStyle name="Percent 2 9 15" xfId="19757" xr:uid="{00000000-0005-0000-0000-0000AC4E0000}"/>
    <cellStyle name="Percent 2 9 16" xfId="19758" xr:uid="{00000000-0005-0000-0000-0000AD4E0000}"/>
    <cellStyle name="Percent 2 9 17" xfId="19759" xr:uid="{00000000-0005-0000-0000-0000AE4E0000}"/>
    <cellStyle name="Percent 2 9 2" xfId="19760" xr:uid="{00000000-0005-0000-0000-0000AF4E0000}"/>
    <cellStyle name="Percent 2 9 3" xfId="19761" xr:uid="{00000000-0005-0000-0000-0000B04E0000}"/>
    <cellStyle name="Percent 2 9 4" xfId="19762" xr:uid="{00000000-0005-0000-0000-0000B14E0000}"/>
    <cellStyle name="Percent 2 9 5" xfId="19763" xr:uid="{00000000-0005-0000-0000-0000B24E0000}"/>
    <cellStyle name="Percent 2 9 6" xfId="19764" xr:uid="{00000000-0005-0000-0000-0000B34E0000}"/>
    <cellStyle name="Percent 2 9 7" xfId="19765" xr:uid="{00000000-0005-0000-0000-0000B44E0000}"/>
    <cellStyle name="Percent 2 9 8" xfId="19766" xr:uid="{00000000-0005-0000-0000-0000B54E0000}"/>
    <cellStyle name="Percent 2 9 9" xfId="19767" xr:uid="{00000000-0005-0000-0000-0000B64E0000}"/>
    <cellStyle name="Percent 2 DP" xfId="19768" xr:uid="{00000000-0005-0000-0000-0000B74E0000}"/>
    <cellStyle name="Percent 20" xfId="42522" xr:uid="{BEFBEBC7-C306-405F-83F9-9297820B4AA8}"/>
    <cellStyle name="Percent 3" xfId="19769" xr:uid="{00000000-0005-0000-0000-0000B84E0000}"/>
    <cellStyle name="Percent 3 2" xfId="19770" xr:uid="{00000000-0005-0000-0000-0000B94E0000}"/>
    <cellStyle name="Percent 3 3" xfId="42402" xr:uid="{00000000-0005-0000-0000-0000BA4E0000}"/>
    <cellStyle name="Percent 4" xfId="19771" xr:uid="{00000000-0005-0000-0000-0000BB4E0000}"/>
    <cellStyle name="Percent 4 10" xfId="19772" xr:uid="{00000000-0005-0000-0000-0000BC4E0000}"/>
    <cellStyle name="Percent 4 10 10" xfId="19773" xr:uid="{00000000-0005-0000-0000-0000BD4E0000}"/>
    <cellStyle name="Percent 4 10 11" xfId="19774" xr:uid="{00000000-0005-0000-0000-0000BE4E0000}"/>
    <cellStyle name="Percent 4 10 12" xfId="19775" xr:uid="{00000000-0005-0000-0000-0000BF4E0000}"/>
    <cellStyle name="Percent 4 10 13" xfId="19776" xr:uid="{00000000-0005-0000-0000-0000C04E0000}"/>
    <cellStyle name="Percent 4 10 14" xfId="19777" xr:uid="{00000000-0005-0000-0000-0000C14E0000}"/>
    <cellStyle name="Percent 4 10 15" xfId="19778" xr:uid="{00000000-0005-0000-0000-0000C24E0000}"/>
    <cellStyle name="Percent 4 10 16" xfId="19779" xr:uid="{00000000-0005-0000-0000-0000C34E0000}"/>
    <cellStyle name="Percent 4 10 17" xfId="19780" xr:uid="{00000000-0005-0000-0000-0000C44E0000}"/>
    <cellStyle name="Percent 4 10 2" xfId="19781" xr:uid="{00000000-0005-0000-0000-0000C54E0000}"/>
    <cellStyle name="Percent 4 10 3" xfId="19782" xr:uid="{00000000-0005-0000-0000-0000C64E0000}"/>
    <cellStyle name="Percent 4 10 4" xfId="19783" xr:uid="{00000000-0005-0000-0000-0000C74E0000}"/>
    <cellStyle name="Percent 4 10 5" xfId="19784" xr:uid="{00000000-0005-0000-0000-0000C84E0000}"/>
    <cellStyle name="Percent 4 10 6" xfId="19785" xr:uid="{00000000-0005-0000-0000-0000C94E0000}"/>
    <cellStyle name="Percent 4 10 7" xfId="19786" xr:uid="{00000000-0005-0000-0000-0000CA4E0000}"/>
    <cellStyle name="Percent 4 10 8" xfId="19787" xr:uid="{00000000-0005-0000-0000-0000CB4E0000}"/>
    <cellStyle name="Percent 4 10 9" xfId="19788" xr:uid="{00000000-0005-0000-0000-0000CC4E0000}"/>
    <cellStyle name="Percent 4 11" xfId="19789" xr:uid="{00000000-0005-0000-0000-0000CD4E0000}"/>
    <cellStyle name="Percent 4 11 10" xfId="19790" xr:uid="{00000000-0005-0000-0000-0000CE4E0000}"/>
    <cellStyle name="Percent 4 11 11" xfId="19791" xr:uid="{00000000-0005-0000-0000-0000CF4E0000}"/>
    <cellStyle name="Percent 4 11 12" xfId="19792" xr:uid="{00000000-0005-0000-0000-0000D04E0000}"/>
    <cellStyle name="Percent 4 11 13" xfId="19793" xr:uid="{00000000-0005-0000-0000-0000D14E0000}"/>
    <cellStyle name="Percent 4 11 14" xfId="19794" xr:uid="{00000000-0005-0000-0000-0000D24E0000}"/>
    <cellStyle name="Percent 4 11 15" xfId="19795" xr:uid="{00000000-0005-0000-0000-0000D34E0000}"/>
    <cellStyle name="Percent 4 11 16" xfId="19796" xr:uid="{00000000-0005-0000-0000-0000D44E0000}"/>
    <cellStyle name="Percent 4 11 17" xfId="19797" xr:uid="{00000000-0005-0000-0000-0000D54E0000}"/>
    <cellStyle name="Percent 4 11 2" xfId="19798" xr:uid="{00000000-0005-0000-0000-0000D64E0000}"/>
    <cellStyle name="Percent 4 11 3" xfId="19799" xr:uid="{00000000-0005-0000-0000-0000D74E0000}"/>
    <cellStyle name="Percent 4 11 4" xfId="19800" xr:uid="{00000000-0005-0000-0000-0000D84E0000}"/>
    <cellStyle name="Percent 4 11 5" xfId="19801" xr:uid="{00000000-0005-0000-0000-0000D94E0000}"/>
    <cellStyle name="Percent 4 11 6" xfId="19802" xr:uid="{00000000-0005-0000-0000-0000DA4E0000}"/>
    <cellStyle name="Percent 4 11 7" xfId="19803" xr:uid="{00000000-0005-0000-0000-0000DB4E0000}"/>
    <cellStyle name="Percent 4 11 8" xfId="19804" xr:uid="{00000000-0005-0000-0000-0000DC4E0000}"/>
    <cellStyle name="Percent 4 11 9" xfId="19805" xr:uid="{00000000-0005-0000-0000-0000DD4E0000}"/>
    <cellStyle name="Percent 4 12" xfId="19806" xr:uid="{00000000-0005-0000-0000-0000DE4E0000}"/>
    <cellStyle name="Percent 4 12 10" xfId="19807" xr:uid="{00000000-0005-0000-0000-0000DF4E0000}"/>
    <cellStyle name="Percent 4 12 11" xfId="19808" xr:uid="{00000000-0005-0000-0000-0000E04E0000}"/>
    <cellStyle name="Percent 4 12 12" xfId="19809" xr:uid="{00000000-0005-0000-0000-0000E14E0000}"/>
    <cellStyle name="Percent 4 12 13" xfId="19810" xr:uid="{00000000-0005-0000-0000-0000E24E0000}"/>
    <cellStyle name="Percent 4 12 14" xfId="19811" xr:uid="{00000000-0005-0000-0000-0000E34E0000}"/>
    <cellStyle name="Percent 4 12 15" xfId="19812" xr:uid="{00000000-0005-0000-0000-0000E44E0000}"/>
    <cellStyle name="Percent 4 12 16" xfId="19813" xr:uid="{00000000-0005-0000-0000-0000E54E0000}"/>
    <cellStyle name="Percent 4 12 17" xfId="19814" xr:uid="{00000000-0005-0000-0000-0000E64E0000}"/>
    <cellStyle name="Percent 4 12 2" xfId="19815" xr:uid="{00000000-0005-0000-0000-0000E74E0000}"/>
    <cellStyle name="Percent 4 12 3" xfId="19816" xr:uid="{00000000-0005-0000-0000-0000E84E0000}"/>
    <cellStyle name="Percent 4 12 4" xfId="19817" xr:uid="{00000000-0005-0000-0000-0000E94E0000}"/>
    <cellStyle name="Percent 4 12 5" xfId="19818" xr:uid="{00000000-0005-0000-0000-0000EA4E0000}"/>
    <cellStyle name="Percent 4 12 6" xfId="19819" xr:uid="{00000000-0005-0000-0000-0000EB4E0000}"/>
    <cellStyle name="Percent 4 12 7" xfId="19820" xr:uid="{00000000-0005-0000-0000-0000EC4E0000}"/>
    <cellStyle name="Percent 4 12 8" xfId="19821" xr:uid="{00000000-0005-0000-0000-0000ED4E0000}"/>
    <cellStyle name="Percent 4 12 9" xfId="19822" xr:uid="{00000000-0005-0000-0000-0000EE4E0000}"/>
    <cellStyle name="Percent 4 13" xfId="19823" xr:uid="{00000000-0005-0000-0000-0000EF4E0000}"/>
    <cellStyle name="Percent 4 13 10" xfId="19824" xr:uid="{00000000-0005-0000-0000-0000F04E0000}"/>
    <cellStyle name="Percent 4 13 11" xfId="19825" xr:uid="{00000000-0005-0000-0000-0000F14E0000}"/>
    <cellStyle name="Percent 4 13 12" xfId="19826" xr:uid="{00000000-0005-0000-0000-0000F24E0000}"/>
    <cellStyle name="Percent 4 13 13" xfId="19827" xr:uid="{00000000-0005-0000-0000-0000F34E0000}"/>
    <cellStyle name="Percent 4 13 14" xfId="19828" xr:uid="{00000000-0005-0000-0000-0000F44E0000}"/>
    <cellStyle name="Percent 4 13 15" xfId="19829" xr:uid="{00000000-0005-0000-0000-0000F54E0000}"/>
    <cellStyle name="Percent 4 13 16" xfId="19830" xr:uid="{00000000-0005-0000-0000-0000F64E0000}"/>
    <cellStyle name="Percent 4 13 17" xfId="19831" xr:uid="{00000000-0005-0000-0000-0000F74E0000}"/>
    <cellStyle name="Percent 4 13 2" xfId="19832" xr:uid="{00000000-0005-0000-0000-0000F84E0000}"/>
    <cellStyle name="Percent 4 13 3" xfId="19833" xr:uid="{00000000-0005-0000-0000-0000F94E0000}"/>
    <cellStyle name="Percent 4 13 4" xfId="19834" xr:uid="{00000000-0005-0000-0000-0000FA4E0000}"/>
    <cellStyle name="Percent 4 13 5" xfId="19835" xr:uid="{00000000-0005-0000-0000-0000FB4E0000}"/>
    <cellStyle name="Percent 4 13 6" xfId="19836" xr:uid="{00000000-0005-0000-0000-0000FC4E0000}"/>
    <cellStyle name="Percent 4 13 7" xfId="19837" xr:uid="{00000000-0005-0000-0000-0000FD4E0000}"/>
    <cellStyle name="Percent 4 13 8" xfId="19838" xr:uid="{00000000-0005-0000-0000-0000FE4E0000}"/>
    <cellStyle name="Percent 4 13 9" xfId="19839" xr:uid="{00000000-0005-0000-0000-0000FF4E0000}"/>
    <cellStyle name="Percent 4 14" xfId="19840" xr:uid="{00000000-0005-0000-0000-0000004F0000}"/>
    <cellStyle name="Percent 4 14 10" xfId="19841" xr:uid="{00000000-0005-0000-0000-0000014F0000}"/>
    <cellStyle name="Percent 4 14 11" xfId="19842" xr:uid="{00000000-0005-0000-0000-0000024F0000}"/>
    <cellStyle name="Percent 4 14 12" xfId="19843" xr:uid="{00000000-0005-0000-0000-0000034F0000}"/>
    <cellStyle name="Percent 4 14 13" xfId="19844" xr:uid="{00000000-0005-0000-0000-0000044F0000}"/>
    <cellStyle name="Percent 4 14 14" xfId="19845" xr:uid="{00000000-0005-0000-0000-0000054F0000}"/>
    <cellStyle name="Percent 4 14 15" xfId="19846" xr:uid="{00000000-0005-0000-0000-0000064F0000}"/>
    <cellStyle name="Percent 4 14 16" xfId="19847" xr:uid="{00000000-0005-0000-0000-0000074F0000}"/>
    <cellStyle name="Percent 4 14 17" xfId="19848" xr:uid="{00000000-0005-0000-0000-0000084F0000}"/>
    <cellStyle name="Percent 4 14 2" xfId="19849" xr:uid="{00000000-0005-0000-0000-0000094F0000}"/>
    <cellStyle name="Percent 4 14 3" xfId="19850" xr:uid="{00000000-0005-0000-0000-00000A4F0000}"/>
    <cellStyle name="Percent 4 14 4" xfId="19851" xr:uid="{00000000-0005-0000-0000-00000B4F0000}"/>
    <cellStyle name="Percent 4 14 5" xfId="19852" xr:uid="{00000000-0005-0000-0000-00000C4F0000}"/>
    <cellStyle name="Percent 4 14 6" xfId="19853" xr:uid="{00000000-0005-0000-0000-00000D4F0000}"/>
    <cellStyle name="Percent 4 14 7" xfId="19854" xr:uid="{00000000-0005-0000-0000-00000E4F0000}"/>
    <cellStyle name="Percent 4 14 8" xfId="19855" xr:uid="{00000000-0005-0000-0000-00000F4F0000}"/>
    <cellStyle name="Percent 4 14 9" xfId="19856" xr:uid="{00000000-0005-0000-0000-0000104F0000}"/>
    <cellStyle name="Percent 4 15" xfId="19857" xr:uid="{00000000-0005-0000-0000-0000114F0000}"/>
    <cellStyle name="Percent 4 15 10" xfId="19858" xr:uid="{00000000-0005-0000-0000-0000124F0000}"/>
    <cellStyle name="Percent 4 15 11" xfId="19859" xr:uid="{00000000-0005-0000-0000-0000134F0000}"/>
    <cellStyle name="Percent 4 15 12" xfId="19860" xr:uid="{00000000-0005-0000-0000-0000144F0000}"/>
    <cellStyle name="Percent 4 15 13" xfId="19861" xr:uid="{00000000-0005-0000-0000-0000154F0000}"/>
    <cellStyle name="Percent 4 15 14" xfId="19862" xr:uid="{00000000-0005-0000-0000-0000164F0000}"/>
    <cellStyle name="Percent 4 15 15" xfId="19863" xr:uid="{00000000-0005-0000-0000-0000174F0000}"/>
    <cellStyle name="Percent 4 15 16" xfId="19864" xr:uid="{00000000-0005-0000-0000-0000184F0000}"/>
    <cellStyle name="Percent 4 15 17" xfId="19865" xr:uid="{00000000-0005-0000-0000-0000194F0000}"/>
    <cellStyle name="Percent 4 15 2" xfId="19866" xr:uid="{00000000-0005-0000-0000-00001A4F0000}"/>
    <cellStyle name="Percent 4 15 3" xfId="19867" xr:uid="{00000000-0005-0000-0000-00001B4F0000}"/>
    <cellStyle name="Percent 4 15 4" xfId="19868" xr:uid="{00000000-0005-0000-0000-00001C4F0000}"/>
    <cellStyle name="Percent 4 15 5" xfId="19869" xr:uid="{00000000-0005-0000-0000-00001D4F0000}"/>
    <cellStyle name="Percent 4 15 6" xfId="19870" xr:uid="{00000000-0005-0000-0000-00001E4F0000}"/>
    <cellStyle name="Percent 4 15 7" xfId="19871" xr:uid="{00000000-0005-0000-0000-00001F4F0000}"/>
    <cellStyle name="Percent 4 15 8" xfId="19872" xr:uid="{00000000-0005-0000-0000-0000204F0000}"/>
    <cellStyle name="Percent 4 15 9" xfId="19873" xr:uid="{00000000-0005-0000-0000-0000214F0000}"/>
    <cellStyle name="Percent 4 16" xfId="19874" xr:uid="{00000000-0005-0000-0000-0000224F0000}"/>
    <cellStyle name="Percent 4 16 10" xfId="19875" xr:uid="{00000000-0005-0000-0000-0000234F0000}"/>
    <cellStyle name="Percent 4 16 11" xfId="19876" xr:uid="{00000000-0005-0000-0000-0000244F0000}"/>
    <cellStyle name="Percent 4 16 12" xfId="19877" xr:uid="{00000000-0005-0000-0000-0000254F0000}"/>
    <cellStyle name="Percent 4 16 13" xfId="19878" xr:uid="{00000000-0005-0000-0000-0000264F0000}"/>
    <cellStyle name="Percent 4 16 14" xfId="19879" xr:uid="{00000000-0005-0000-0000-0000274F0000}"/>
    <cellStyle name="Percent 4 16 15" xfId="19880" xr:uid="{00000000-0005-0000-0000-0000284F0000}"/>
    <cellStyle name="Percent 4 16 16" xfId="19881" xr:uid="{00000000-0005-0000-0000-0000294F0000}"/>
    <cellStyle name="Percent 4 16 17" xfId="19882" xr:uid="{00000000-0005-0000-0000-00002A4F0000}"/>
    <cellStyle name="Percent 4 16 2" xfId="19883" xr:uid="{00000000-0005-0000-0000-00002B4F0000}"/>
    <cellStyle name="Percent 4 16 3" xfId="19884" xr:uid="{00000000-0005-0000-0000-00002C4F0000}"/>
    <cellStyle name="Percent 4 16 4" xfId="19885" xr:uid="{00000000-0005-0000-0000-00002D4F0000}"/>
    <cellStyle name="Percent 4 16 5" xfId="19886" xr:uid="{00000000-0005-0000-0000-00002E4F0000}"/>
    <cellStyle name="Percent 4 16 6" xfId="19887" xr:uid="{00000000-0005-0000-0000-00002F4F0000}"/>
    <cellStyle name="Percent 4 16 7" xfId="19888" xr:uid="{00000000-0005-0000-0000-0000304F0000}"/>
    <cellStyle name="Percent 4 16 8" xfId="19889" xr:uid="{00000000-0005-0000-0000-0000314F0000}"/>
    <cellStyle name="Percent 4 16 9" xfId="19890" xr:uid="{00000000-0005-0000-0000-0000324F0000}"/>
    <cellStyle name="Percent 4 17" xfId="19891" xr:uid="{00000000-0005-0000-0000-0000334F0000}"/>
    <cellStyle name="Percent 4 17 10" xfId="19892" xr:uid="{00000000-0005-0000-0000-0000344F0000}"/>
    <cellStyle name="Percent 4 17 11" xfId="19893" xr:uid="{00000000-0005-0000-0000-0000354F0000}"/>
    <cellStyle name="Percent 4 17 12" xfId="19894" xr:uid="{00000000-0005-0000-0000-0000364F0000}"/>
    <cellStyle name="Percent 4 17 13" xfId="19895" xr:uid="{00000000-0005-0000-0000-0000374F0000}"/>
    <cellStyle name="Percent 4 17 14" xfId="19896" xr:uid="{00000000-0005-0000-0000-0000384F0000}"/>
    <cellStyle name="Percent 4 17 15" xfId="19897" xr:uid="{00000000-0005-0000-0000-0000394F0000}"/>
    <cellStyle name="Percent 4 17 16" xfId="19898" xr:uid="{00000000-0005-0000-0000-00003A4F0000}"/>
    <cellStyle name="Percent 4 17 17" xfId="19899" xr:uid="{00000000-0005-0000-0000-00003B4F0000}"/>
    <cellStyle name="Percent 4 17 2" xfId="19900" xr:uid="{00000000-0005-0000-0000-00003C4F0000}"/>
    <cellStyle name="Percent 4 17 3" xfId="19901" xr:uid="{00000000-0005-0000-0000-00003D4F0000}"/>
    <cellStyle name="Percent 4 17 4" xfId="19902" xr:uid="{00000000-0005-0000-0000-00003E4F0000}"/>
    <cellStyle name="Percent 4 17 5" xfId="19903" xr:uid="{00000000-0005-0000-0000-00003F4F0000}"/>
    <cellStyle name="Percent 4 17 6" xfId="19904" xr:uid="{00000000-0005-0000-0000-0000404F0000}"/>
    <cellStyle name="Percent 4 17 7" xfId="19905" xr:uid="{00000000-0005-0000-0000-0000414F0000}"/>
    <cellStyle name="Percent 4 17 8" xfId="19906" xr:uid="{00000000-0005-0000-0000-0000424F0000}"/>
    <cellStyle name="Percent 4 17 9" xfId="19907" xr:uid="{00000000-0005-0000-0000-0000434F0000}"/>
    <cellStyle name="Percent 4 18" xfId="19908" xr:uid="{00000000-0005-0000-0000-0000444F0000}"/>
    <cellStyle name="Percent 4 18 10" xfId="19909" xr:uid="{00000000-0005-0000-0000-0000454F0000}"/>
    <cellStyle name="Percent 4 18 11" xfId="19910" xr:uid="{00000000-0005-0000-0000-0000464F0000}"/>
    <cellStyle name="Percent 4 18 12" xfId="19911" xr:uid="{00000000-0005-0000-0000-0000474F0000}"/>
    <cellStyle name="Percent 4 18 13" xfId="19912" xr:uid="{00000000-0005-0000-0000-0000484F0000}"/>
    <cellStyle name="Percent 4 18 14" xfId="19913" xr:uid="{00000000-0005-0000-0000-0000494F0000}"/>
    <cellStyle name="Percent 4 18 15" xfId="19914" xr:uid="{00000000-0005-0000-0000-00004A4F0000}"/>
    <cellStyle name="Percent 4 18 16" xfId="19915" xr:uid="{00000000-0005-0000-0000-00004B4F0000}"/>
    <cellStyle name="Percent 4 18 17" xfId="19916" xr:uid="{00000000-0005-0000-0000-00004C4F0000}"/>
    <cellStyle name="Percent 4 18 2" xfId="19917" xr:uid="{00000000-0005-0000-0000-00004D4F0000}"/>
    <cellStyle name="Percent 4 18 3" xfId="19918" xr:uid="{00000000-0005-0000-0000-00004E4F0000}"/>
    <cellStyle name="Percent 4 18 4" xfId="19919" xr:uid="{00000000-0005-0000-0000-00004F4F0000}"/>
    <cellStyle name="Percent 4 18 5" xfId="19920" xr:uid="{00000000-0005-0000-0000-0000504F0000}"/>
    <cellStyle name="Percent 4 18 6" xfId="19921" xr:uid="{00000000-0005-0000-0000-0000514F0000}"/>
    <cellStyle name="Percent 4 18 7" xfId="19922" xr:uid="{00000000-0005-0000-0000-0000524F0000}"/>
    <cellStyle name="Percent 4 18 8" xfId="19923" xr:uid="{00000000-0005-0000-0000-0000534F0000}"/>
    <cellStyle name="Percent 4 18 9" xfId="19924" xr:uid="{00000000-0005-0000-0000-0000544F0000}"/>
    <cellStyle name="Percent 4 19" xfId="19925" xr:uid="{00000000-0005-0000-0000-0000554F0000}"/>
    <cellStyle name="Percent 4 19 10" xfId="19926" xr:uid="{00000000-0005-0000-0000-0000564F0000}"/>
    <cellStyle name="Percent 4 19 11" xfId="19927" xr:uid="{00000000-0005-0000-0000-0000574F0000}"/>
    <cellStyle name="Percent 4 19 12" xfId="19928" xr:uid="{00000000-0005-0000-0000-0000584F0000}"/>
    <cellStyle name="Percent 4 19 13" xfId="19929" xr:uid="{00000000-0005-0000-0000-0000594F0000}"/>
    <cellStyle name="Percent 4 19 14" xfId="19930" xr:uid="{00000000-0005-0000-0000-00005A4F0000}"/>
    <cellStyle name="Percent 4 19 15" xfId="19931" xr:uid="{00000000-0005-0000-0000-00005B4F0000}"/>
    <cellStyle name="Percent 4 19 16" xfId="19932" xr:uid="{00000000-0005-0000-0000-00005C4F0000}"/>
    <cellStyle name="Percent 4 19 17" xfId="19933" xr:uid="{00000000-0005-0000-0000-00005D4F0000}"/>
    <cellStyle name="Percent 4 19 2" xfId="19934" xr:uid="{00000000-0005-0000-0000-00005E4F0000}"/>
    <cellStyle name="Percent 4 19 3" xfId="19935" xr:uid="{00000000-0005-0000-0000-00005F4F0000}"/>
    <cellStyle name="Percent 4 19 4" xfId="19936" xr:uid="{00000000-0005-0000-0000-0000604F0000}"/>
    <cellStyle name="Percent 4 19 5" xfId="19937" xr:uid="{00000000-0005-0000-0000-0000614F0000}"/>
    <cellStyle name="Percent 4 19 6" xfId="19938" xr:uid="{00000000-0005-0000-0000-0000624F0000}"/>
    <cellStyle name="Percent 4 19 7" xfId="19939" xr:uid="{00000000-0005-0000-0000-0000634F0000}"/>
    <cellStyle name="Percent 4 19 8" xfId="19940" xr:uid="{00000000-0005-0000-0000-0000644F0000}"/>
    <cellStyle name="Percent 4 19 9" xfId="19941" xr:uid="{00000000-0005-0000-0000-0000654F0000}"/>
    <cellStyle name="Percent 4 2" xfId="19942" xr:uid="{00000000-0005-0000-0000-0000664F0000}"/>
    <cellStyle name="Percent 4 2 10" xfId="19943" xr:uid="{00000000-0005-0000-0000-0000674F0000}"/>
    <cellStyle name="Percent 4 2 10 10" xfId="19944" xr:uid="{00000000-0005-0000-0000-0000684F0000}"/>
    <cellStyle name="Percent 4 2 10 11" xfId="19945" xr:uid="{00000000-0005-0000-0000-0000694F0000}"/>
    <cellStyle name="Percent 4 2 10 12" xfId="19946" xr:uid="{00000000-0005-0000-0000-00006A4F0000}"/>
    <cellStyle name="Percent 4 2 10 13" xfId="19947" xr:uid="{00000000-0005-0000-0000-00006B4F0000}"/>
    <cellStyle name="Percent 4 2 10 14" xfId="19948" xr:uid="{00000000-0005-0000-0000-00006C4F0000}"/>
    <cellStyle name="Percent 4 2 10 15" xfId="19949" xr:uid="{00000000-0005-0000-0000-00006D4F0000}"/>
    <cellStyle name="Percent 4 2 10 16" xfId="19950" xr:uid="{00000000-0005-0000-0000-00006E4F0000}"/>
    <cellStyle name="Percent 4 2 10 17" xfId="19951" xr:uid="{00000000-0005-0000-0000-00006F4F0000}"/>
    <cellStyle name="Percent 4 2 10 2" xfId="19952" xr:uid="{00000000-0005-0000-0000-0000704F0000}"/>
    <cellStyle name="Percent 4 2 10 3" xfId="19953" xr:uid="{00000000-0005-0000-0000-0000714F0000}"/>
    <cellStyle name="Percent 4 2 10 4" xfId="19954" xr:uid="{00000000-0005-0000-0000-0000724F0000}"/>
    <cellStyle name="Percent 4 2 10 5" xfId="19955" xr:uid="{00000000-0005-0000-0000-0000734F0000}"/>
    <cellStyle name="Percent 4 2 10 6" xfId="19956" xr:uid="{00000000-0005-0000-0000-0000744F0000}"/>
    <cellStyle name="Percent 4 2 10 7" xfId="19957" xr:uid="{00000000-0005-0000-0000-0000754F0000}"/>
    <cellStyle name="Percent 4 2 10 8" xfId="19958" xr:uid="{00000000-0005-0000-0000-0000764F0000}"/>
    <cellStyle name="Percent 4 2 10 9" xfId="19959" xr:uid="{00000000-0005-0000-0000-0000774F0000}"/>
    <cellStyle name="Percent 4 2 11" xfId="19960" xr:uid="{00000000-0005-0000-0000-0000784F0000}"/>
    <cellStyle name="Percent 4 2 11 10" xfId="19961" xr:uid="{00000000-0005-0000-0000-0000794F0000}"/>
    <cellStyle name="Percent 4 2 11 11" xfId="19962" xr:uid="{00000000-0005-0000-0000-00007A4F0000}"/>
    <cellStyle name="Percent 4 2 11 12" xfId="19963" xr:uid="{00000000-0005-0000-0000-00007B4F0000}"/>
    <cellStyle name="Percent 4 2 11 13" xfId="19964" xr:uid="{00000000-0005-0000-0000-00007C4F0000}"/>
    <cellStyle name="Percent 4 2 11 14" xfId="19965" xr:uid="{00000000-0005-0000-0000-00007D4F0000}"/>
    <cellStyle name="Percent 4 2 11 15" xfId="19966" xr:uid="{00000000-0005-0000-0000-00007E4F0000}"/>
    <cellStyle name="Percent 4 2 11 16" xfId="19967" xr:uid="{00000000-0005-0000-0000-00007F4F0000}"/>
    <cellStyle name="Percent 4 2 11 17" xfId="19968" xr:uid="{00000000-0005-0000-0000-0000804F0000}"/>
    <cellStyle name="Percent 4 2 11 2" xfId="19969" xr:uid="{00000000-0005-0000-0000-0000814F0000}"/>
    <cellStyle name="Percent 4 2 11 3" xfId="19970" xr:uid="{00000000-0005-0000-0000-0000824F0000}"/>
    <cellStyle name="Percent 4 2 11 4" xfId="19971" xr:uid="{00000000-0005-0000-0000-0000834F0000}"/>
    <cellStyle name="Percent 4 2 11 5" xfId="19972" xr:uid="{00000000-0005-0000-0000-0000844F0000}"/>
    <cellStyle name="Percent 4 2 11 6" xfId="19973" xr:uid="{00000000-0005-0000-0000-0000854F0000}"/>
    <cellStyle name="Percent 4 2 11 7" xfId="19974" xr:uid="{00000000-0005-0000-0000-0000864F0000}"/>
    <cellStyle name="Percent 4 2 11 8" xfId="19975" xr:uid="{00000000-0005-0000-0000-0000874F0000}"/>
    <cellStyle name="Percent 4 2 11 9" xfId="19976" xr:uid="{00000000-0005-0000-0000-0000884F0000}"/>
    <cellStyle name="Percent 4 2 12" xfId="19977" xr:uid="{00000000-0005-0000-0000-0000894F0000}"/>
    <cellStyle name="Percent 4 2 12 10" xfId="19978" xr:uid="{00000000-0005-0000-0000-00008A4F0000}"/>
    <cellStyle name="Percent 4 2 12 11" xfId="19979" xr:uid="{00000000-0005-0000-0000-00008B4F0000}"/>
    <cellStyle name="Percent 4 2 12 12" xfId="19980" xr:uid="{00000000-0005-0000-0000-00008C4F0000}"/>
    <cellStyle name="Percent 4 2 12 13" xfId="19981" xr:uid="{00000000-0005-0000-0000-00008D4F0000}"/>
    <cellStyle name="Percent 4 2 12 14" xfId="19982" xr:uid="{00000000-0005-0000-0000-00008E4F0000}"/>
    <cellStyle name="Percent 4 2 12 15" xfId="19983" xr:uid="{00000000-0005-0000-0000-00008F4F0000}"/>
    <cellStyle name="Percent 4 2 12 16" xfId="19984" xr:uid="{00000000-0005-0000-0000-0000904F0000}"/>
    <cellStyle name="Percent 4 2 12 17" xfId="19985" xr:uid="{00000000-0005-0000-0000-0000914F0000}"/>
    <cellStyle name="Percent 4 2 12 2" xfId="19986" xr:uid="{00000000-0005-0000-0000-0000924F0000}"/>
    <cellStyle name="Percent 4 2 12 3" xfId="19987" xr:uid="{00000000-0005-0000-0000-0000934F0000}"/>
    <cellStyle name="Percent 4 2 12 4" xfId="19988" xr:uid="{00000000-0005-0000-0000-0000944F0000}"/>
    <cellStyle name="Percent 4 2 12 5" xfId="19989" xr:uid="{00000000-0005-0000-0000-0000954F0000}"/>
    <cellStyle name="Percent 4 2 12 6" xfId="19990" xr:uid="{00000000-0005-0000-0000-0000964F0000}"/>
    <cellStyle name="Percent 4 2 12 7" xfId="19991" xr:uid="{00000000-0005-0000-0000-0000974F0000}"/>
    <cellStyle name="Percent 4 2 12 8" xfId="19992" xr:uid="{00000000-0005-0000-0000-0000984F0000}"/>
    <cellStyle name="Percent 4 2 12 9" xfId="19993" xr:uid="{00000000-0005-0000-0000-0000994F0000}"/>
    <cellStyle name="Percent 4 2 13" xfId="19994" xr:uid="{00000000-0005-0000-0000-00009A4F0000}"/>
    <cellStyle name="Percent 4 2 13 10" xfId="19995" xr:uid="{00000000-0005-0000-0000-00009B4F0000}"/>
    <cellStyle name="Percent 4 2 13 11" xfId="19996" xr:uid="{00000000-0005-0000-0000-00009C4F0000}"/>
    <cellStyle name="Percent 4 2 13 12" xfId="19997" xr:uid="{00000000-0005-0000-0000-00009D4F0000}"/>
    <cellStyle name="Percent 4 2 13 13" xfId="19998" xr:uid="{00000000-0005-0000-0000-00009E4F0000}"/>
    <cellStyle name="Percent 4 2 13 14" xfId="19999" xr:uid="{00000000-0005-0000-0000-00009F4F0000}"/>
    <cellStyle name="Percent 4 2 13 15" xfId="20000" xr:uid="{00000000-0005-0000-0000-0000A04F0000}"/>
    <cellStyle name="Percent 4 2 13 16" xfId="20001" xr:uid="{00000000-0005-0000-0000-0000A14F0000}"/>
    <cellStyle name="Percent 4 2 13 17" xfId="20002" xr:uid="{00000000-0005-0000-0000-0000A24F0000}"/>
    <cellStyle name="Percent 4 2 13 2" xfId="20003" xr:uid="{00000000-0005-0000-0000-0000A34F0000}"/>
    <cellStyle name="Percent 4 2 13 3" xfId="20004" xr:uid="{00000000-0005-0000-0000-0000A44F0000}"/>
    <cellStyle name="Percent 4 2 13 4" xfId="20005" xr:uid="{00000000-0005-0000-0000-0000A54F0000}"/>
    <cellStyle name="Percent 4 2 13 5" xfId="20006" xr:uid="{00000000-0005-0000-0000-0000A64F0000}"/>
    <cellStyle name="Percent 4 2 13 6" xfId="20007" xr:uid="{00000000-0005-0000-0000-0000A74F0000}"/>
    <cellStyle name="Percent 4 2 13 7" xfId="20008" xr:uid="{00000000-0005-0000-0000-0000A84F0000}"/>
    <cellStyle name="Percent 4 2 13 8" xfId="20009" xr:uid="{00000000-0005-0000-0000-0000A94F0000}"/>
    <cellStyle name="Percent 4 2 13 9" xfId="20010" xr:uid="{00000000-0005-0000-0000-0000AA4F0000}"/>
    <cellStyle name="Percent 4 2 14" xfId="20011" xr:uid="{00000000-0005-0000-0000-0000AB4F0000}"/>
    <cellStyle name="Percent 4 2 14 10" xfId="20012" xr:uid="{00000000-0005-0000-0000-0000AC4F0000}"/>
    <cellStyle name="Percent 4 2 14 11" xfId="20013" xr:uid="{00000000-0005-0000-0000-0000AD4F0000}"/>
    <cellStyle name="Percent 4 2 14 12" xfId="20014" xr:uid="{00000000-0005-0000-0000-0000AE4F0000}"/>
    <cellStyle name="Percent 4 2 14 13" xfId="20015" xr:uid="{00000000-0005-0000-0000-0000AF4F0000}"/>
    <cellStyle name="Percent 4 2 14 14" xfId="20016" xr:uid="{00000000-0005-0000-0000-0000B04F0000}"/>
    <cellStyle name="Percent 4 2 14 15" xfId="20017" xr:uid="{00000000-0005-0000-0000-0000B14F0000}"/>
    <cellStyle name="Percent 4 2 14 16" xfId="20018" xr:uid="{00000000-0005-0000-0000-0000B24F0000}"/>
    <cellStyle name="Percent 4 2 14 17" xfId="20019" xr:uid="{00000000-0005-0000-0000-0000B34F0000}"/>
    <cellStyle name="Percent 4 2 14 2" xfId="20020" xr:uid="{00000000-0005-0000-0000-0000B44F0000}"/>
    <cellStyle name="Percent 4 2 14 3" xfId="20021" xr:uid="{00000000-0005-0000-0000-0000B54F0000}"/>
    <cellStyle name="Percent 4 2 14 4" xfId="20022" xr:uid="{00000000-0005-0000-0000-0000B64F0000}"/>
    <cellStyle name="Percent 4 2 14 5" xfId="20023" xr:uid="{00000000-0005-0000-0000-0000B74F0000}"/>
    <cellStyle name="Percent 4 2 14 6" xfId="20024" xr:uid="{00000000-0005-0000-0000-0000B84F0000}"/>
    <cellStyle name="Percent 4 2 14 7" xfId="20025" xr:uid="{00000000-0005-0000-0000-0000B94F0000}"/>
    <cellStyle name="Percent 4 2 14 8" xfId="20026" xr:uid="{00000000-0005-0000-0000-0000BA4F0000}"/>
    <cellStyle name="Percent 4 2 14 9" xfId="20027" xr:uid="{00000000-0005-0000-0000-0000BB4F0000}"/>
    <cellStyle name="Percent 4 2 15" xfId="20028" xr:uid="{00000000-0005-0000-0000-0000BC4F0000}"/>
    <cellStyle name="Percent 4 2 15 10" xfId="20029" xr:uid="{00000000-0005-0000-0000-0000BD4F0000}"/>
    <cellStyle name="Percent 4 2 15 11" xfId="20030" xr:uid="{00000000-0005-0000-0000-0000BE4F0000}"/>
    <cellStyle name="Percent 4 2 15 12" xfId="20031" xr:uid="{00000000-0005-0000-0000-0000BF4F0000}"/>
    <cellStyle name="Percent 4 2 15 13" xfId="20032" xr:uid="{00000000-0005-0000-0000-0000C04F0000}"/>
    <cellStyle name="Percent 4 2 15 14" xfId="20033" xr:uid="{00000000-0005-0000-0000-0000C14F0000}"/>
    <cellStyle name="Percent 4 2 15 15" xfId="20034" xr:uid="{00000000-0005-0000-0000-0000C24F0000}"/>
    <cellStyle name="Percent 4 2 15 16" xfId="20035" xr:uid="{00000000-0005-0000-0000-0000C34F0000}"/>
    <cellStyle name="Percent 4 2 15 17" xfId="20036" xr:uid="{00000000-0005-0000-0000-0000C44F0000}"/>
    <cellStyle name="Percent 4 2 15 2" xfId="20037" xr:uid="{00000000-0005-0000-0000-0000C54F0000}"/>
    <cellStyle name="Percent 4 2 15 3" xfId="20038" xr:uid="{00000000-0005-0000-0000-0000C64F0000}"/>
    <cellStyle name="Percent 4 2 15 4" xfId="20039" xr:uid="{00000000-0005-0000-0000-0000C74F0000}"/>
    <cellStyle name="Percent 4 2 15 5" xfId="20040" xr:uid="{00000000-0005-0000-0000-0000C84F0000}"/>
    <cellStyle name="Percent 4 2 15 6" xfId="20041" xr:uid="{00000000-0005-0000-0000-0000C94F0000}"/>
    <cellStyle name="Percent 4 2 15 7" xfId="20042" xr:uid="{00000000-0005-0000-0000-0000CA4F0000}"/>
    <cellStyle name="Percent 4 2 15 8" xfId="20043" xr:uid="{00000000-0005-0000-0000-0000CB4F0000}"/>
    <cellStyle name="Percent 4 2 15 9" xfId="20044" xr:uid="{00000000-0005-0000-0000-0000CC4F0000}"/>
    <cellStyle name="Percent 4 2 16" xfId="20045" xr:uid="{00000000-0005-0000-0000-0000CD4F0000}"/>
    <cellStyle name="Percent 4 2 16 10" xfId="20046" xr:uid="{00000000-0005-0000-0000-0000CE4F0000}"/>
    <cellStyle name="Percent 4 2 16 11" xfId="20047" xr:uid="{00000000-0005-0000-0000-0000CF4F0000}"/>
    <cellStyle name="Percent 4 2 16 12" xfId="20048" xr:uid="{00000000-0005-0000-0000-0000D04F0000}"/>
    <cellStyle name="Percent 4 2 16 13" xfId="20049" xr:uid="{00000000-0005-0000-0000-0000D14F0000}"/>
    <cellStyle name="Percent 4 2 16 14" xfId="20050" xr:uid="{00000000-0005-0000-0000-0000D24F0000}"/>
    <cellStyle name="Percent 4 2 16 15" xfId="20051" xr:uid="{00000000-0005-0000-0000-0000D34F0000}"/>
    <cellStyle name="Percent 4 2 16 16" xfId="20052" xr:uid="{00000000-0005-0000-0000-0000D44F0000}"/>
    <cellStyle name="Percent 4 2 16 17" xfId="20053" xr:uid="{00000000-0005-0000-0000-0000D54F0000}"/>
    <cellStyle name="Percent 4 2 16 2" xfId="20054" xr:uid="{00000000-0005-0000-0000-0000D64F0000}"/>
    <cellStyle name="Percent 4 2 16 3" xfId="20055" xr:uid="{00000000-0005-0000-0000-0000D74F0000}"/>
    <cellStyle name="Percent 4 2 16 4" xfId="20056" xr:uid="{00000000-0005-0000-0000-0000D84F0000}"/>
    <cellStyle name="Percent 4 2 16 5" xfId="20057" xr:uid="{00000000-0005-0000-0000-0000D94F0000}"/>
    <cellStyle name="Percent 4 2 16 6" xfId="20058" xr:uid="{00000000-0005-0000-0000-0000DA4F0000}"/>
    <cellStyle name="Percent 4 2 16 7" xfId="20059" xr:uid="{00000000-0005-0000-0000-0000DB4F0000}"/>
    <cellStyle name="Percent 4 2 16 8" xfId="20060" xr:uid="{00000000-0005-0000-0000-0000DC4F0000}"/>
    <cellStyle name="Percent 4 2 16 9" xfId="20061" xr:uid="{00000000-0005-0000-0000-0000DD4F0000}"/>
    <cellStyle name="Percent 4 2 17" xfId="20062" xr:uid="{00000000-0005-0000-0000-0000DE4F0000}"/>
    <cellStyle name="Percent 4 2 17 10" xfId="20063" xr:uid="{00000000-0005-0000-0000-0000DF4F0000}"/>
    <cellStyle name="Percent 4 2 17 11" xfId="20064" xr:uid="{00000000-0005-0000-0000-0000E04F0000}"/>
    <cellStyle name="Percent 4 2 17 12" xfId="20065" xr:uid="{00000000-0005-0000-0000-0000E14F0000}"/>
    <cellStyle name="Percent 4 2 17 13" xfId="20066" xr:uid="{00000000-0005-0000-0000-0000E24F0000}"/>
    <cellStyle name="Percent 4 2 17 14" xfId="20067" xr:uid="{00000000-0005-0000-0000-0000E34F0000}"/>
    <cellStyle name="Percent 4 2 17 15" xfId="20068" xr:uid="{00000000-0005-0000-0000-0000E44F0000}"/>
    <cellStyle name="Percent 4 2 17 16" xfId="20069" xr:uid="{00000000-0005-0000-0000-0000E54F0000}"/>
    <cellStyle name="Percent 4 2 17 17" xfId="20070" xr:uid="{00000000-0005-0000-0000-0000E64F0000}"/>
    <cellStyle name="Percent 4 2 17 2" xfId="20071" xr:uid="{00000000-0005-0000-0000-0000E74F0000}"/>
    <cellStyle name="Percent 4 2 17 3" xfId="20072" xr:uid="{00000000-0005-0000-0000-0000E84F0000}"/>
    <cellStyle name="Percent 4 2 17 4" xfId="20073" xr:uid="{00000000-0005-0000-0000-0000E94F0000}"/>
    <cellStyle name="Percent 4 2 17 5" xfId="20074" xr:uid="{00000000-0005-0000-0000-0000EA4F0000}"/>
    <cellStyle name="Percent 4 2 17 6" xfId="20075" xr:uid="{00000000-0005-0000-0000-0000EB4F0000}"/>
    <cellStyle name="Percent 4 2 17 7" xfId="20076" xr:uid="{00000000-0005-0000-0000-0000EC4F0000}"/>
    <cellStyle name="Percent 4 2 17 8" xfId="20077" xr:uid="{00000000-0005-0000-0000-0000ED4F0000}"/>
    <cellStyle name="Percent 4 2 17 9" xfId="20078" xr:uid="{00000000-0005-0000-0000-0000EE4F0000}"/>
    <cellStyle name="Percent 4 2 18" xfId="20079" xr:uid="{00000000-0005-0000-0000-0000EF4F0000}"/>
    <cellStyle name="Percent 4 2 18 10" xfId="20080" xr:uid="{00000000-0005-0000-0000-0000F04F0000}"/>
    <cellStyle name="Percent 4 2 18 11" xfId="20081" xr:uid="{00000000-0005-0000-0000-0000F14F0000}"/>
    <cellStyle name="Percent 4 2 18 12" xfId="20082" xr:uid="{00000000-0005-0000-0000-0000F24F0000}"/>
    <cellStyle name="Percent 4 2 18 13" xfId="20083" xr:uid="{00000000-0005-0000-0000-0000F34F0000}"/>
    <cellStyle name="Percent 4 2 18 14" xfId="20084" xr:uid="{00000000-0005-0000-0000-0000F44F0000}"/>
    <cellStyle name="Percent 4 2 18 15" xfId="20085" xr:uid="{00000000-0005-0000-0000-0000F54F0000}"/>
    <cellStyle name="Percent 4 2 18 16" xfId="20086" xr:uid="{00000000-0005-0000-0000-0000F64F0000}"/>
    <cellStyle name="Percent 4 2 18 17" xfId="20087" xr:uid="{00000000-0005-0000-0000-0000F74F0000}"/>
    <cellStyle name="Percent 4 2 18 2" xfId="20088" xr:uid="{00000000-0005-0000-0000-0000F84F0000}"/>
    <cellStyle name="Percent 4 2 18 3" xfId="20089" xr:uid="{00000000-0005-0000-0000-0000F94F0000}"/>
    <cellStyle name="Percent 4 2 18 4" xfId="20090" xr:uid="{00000000-0005-0000-0000-0000FA4F0000}"/>
    <cellStyle name="Percent 4 2 18 5" xfId="20091" xr:uid="{00000000-0005-0000-0000-0000FB4F0000}"/>
    <cellStyle name="Percent 4 2 18 6" xfId="20092" xr:uid="{00000000-0005-0000-0000-0000FC4F0000}"/>
    <cellStyle name="Percent 4 2 18 7" xfId="20093" xr:uid="{00000000-0005-0000-0000-0000FD4F0000}"/>
    <cellStyle name="Percent 4 2 18 8" xfId="20094" xr:uid="{00000000-0005-0000-0000-0000FE4F0000}"/>
    <cellStyle name="Percent 4 2 18 9" xfId="20095" xr:uid="{00000000-0005-0000-0000-0000FF4F0000}"/>
    <cellStyle name="Percent 4 2 19" xfId="20096" xr:uid="{00000000-0005-0000-0000-000000500000}"/>
    <cellStyle name="Percent 4 2 19 10" xfId="20097" xr:uid="{00000000-0005-0000-0000-000001500000}"/>
    <cellStyle name="Percent 4 2 19 11" xfId="20098" xr:uid="{00000000-0005-0000-0000-000002500000}"/>
    <cellStyle name="Percent 4 2 19 12" xfId="20099" xr:uid="{00000000-0005-0000-0000-000003500000}"/>
    <cellStyle name="Percent 4 2 19 13" xfId="20100" xr:uid="{00000000-0005-0000-0000-000004500000}"/>
    <cellStyle name="Percent 4 2 19 14" xfId="20101" xr:uid="{00000000-0005-0000-0000-000005500000}"/>
    <cellStyle name="Percent 4 2 19 15" xfId="20102" xr:uid="{00000000-0005-0000-0000-000006500000}"/>
    <cellStyle name="Percent 4 2 19 16" xfId="20103" xr:uid="{00000000-0005-0000-0000-000007500000}"/>
    <cellStyle name="Percent 4 2 19 17" xfId="20104" xr:uid="{00000000-0005-0000-0000-000008500000}"/>
    <cellStyle name="Percent 4 2 19 2" xfId="20105" xr:uid="{00000000-0005-0000-0000-000009500000}"/>
    <cellStyle name="Percent 4 2 19 3" xfId="20106" xr:uid="{00000000-0005-0000-0000-00000A500000}"/>
    <cellStyle name="Percent 4 2 19 4" xfId="20107" xr:uid="{00000000-0005-0000-0000-00000B500000}"/>
    <cellStyle name="Percent 4 2 19 5" xfId="20108" xr:uid="{00000000-0005-0000-0000-00000C500000}"/>
    <cellStyle name="Percent 4 2 19 6" xfId="20109" xr:uid="{00000000-0005-0000-0000-00000D500000}"/>
    <cellStyle name="Percent 4 2 19 7" xfId="20110" xr:uid="{00000000-0005-0000-0000-00000E500000}"/>
    <cellStyle name="Percent 4 2 19 8" xfId="20111" xr:uid="{00000000-0005-0000-0000-00000F500000}"/>
    <cellStyle name="Percent 4 2 19 9" xfId="20112" xr:uid="{00000000-0005-0000-0000-000010500000}"/>
    <cellStyle name="Percent 4 2 2" xfId="20113" xr:uid="{00000000-0005-0000-0000-000011500000}"/>
    <cellStyle name="Percent 4 2 20" xfId="20114" xr:uid="{00000000-0005-0000-0000-000012500000}"/>
    <cellStyle name="Percent 4 2 20 10" xfId="20115" xr:uid="{00000000-0005-0000-0000-000013500000}"/>
    <cellStyle name="Percent 4 2 20 11" xfId="20116" xr:uid="{00000000-0005-0000-0000-000014500000}"/>
    <cellStyle name="Percent 4 2 20 12" xfId="20117" xr:uid="{00000000-0005-0000-0000-000015500000}"/>
    <cellStyle name="Percent 4 2 20 13" xfId="20118" xr:uid="{00000000-0005-0000-0000-000016500000}"/>
    <cellStyle name="Percent 4 2 20 14" xfId="20119" xr:uid="{00000000-0005-0000-0000-000017500000}"/>
    <cellStyle name="Percent 4 2 20 15" xfId="20120" xr:uid="{00000000-0005-0000-0000-000018500000}"/>
    <cellStyle name="Percent 4 2 20 16" xfId="20121" xr:uid="{00000000-0005-0000-0000-000019500000}"/>
    <cellStyle name="Percent 4 2 20 17" xfId="20122" xr:uid="{00000000-0005-0000-0000-00001A500000}"/>
    <cellStyle name="Percent 4 2 20 2" xfId="20123" xr:uid="{00000000-0005-0000-0000-00001B500000}"/>
    <cellStyle name="Percent 4 2 20 3" xfId="20124" xr:uid="{00000000-0005-0000-0000-00001C500000}"/>
    <cellStyle name="Percent 4 2 20 4" xfId="20125" xr:uid="{00000000-0005-0000-0000-00001D500000}"/>
    <cellStyle name="Percent 4 2 20 5" xfId="20126" xr:uid="{00000000-0005-0000-0000-00001E500000}"/>
    <cellStyle name="Percent 4 2 20 6" xfId="20127" xr:uid="{00000000-0005-0000-0000-00001F500000}"/>
    <cellStyle name="Percent 4 2 20 7" xfId="20128" xr:uid="{00000000-0005-0000-0000-000020500000}"/>
    <cellStyle name="Percent 4 2 20 8" xfId="20129" xr:uid="{00000000-0005-0000-0000-000021500000}"/>
    <cellStyle name="Percent 4 2 20 9" xfId="20130" xr:uid="{00000000-0005-0000-0000-000022500000}"/>
    <cellStyle name="Percent 4 2 21" xfId="20131" xr:uid="{00000000-0005-0000-0000-000023500000}"/>
    <cellStyle name="Percent 4 2 21 10" xfId="20132" xr:uid="{00000000-0005-0000-0000-000024500000}"/>
    <cellStyle name="Percent 4 2 21 11" xfId="20133" xr:uid="{00000000-0005-0000-0000-000025500000}"/>
    <cellStyle name="Percent 4 2 21 12" xfId="20134" xr:uid="{00000000-0005-0000-0000-000026500000}"/>
    <cellStyle name="Percent 4 2 21 13" xfId="20135" xr:uid="{00000000-0005-0000-0000-000027500000}"/>
    <cellStyle name="Percent 4 2 21 14" xfId="20136" xr:uid="{00000000-0005-0000-0000-000028500000}"/>
    <cellStyle name="Percent 4 2 21 15" xfId="20137" xr:uid="{00000000-0005-0000-0000-000029500000}"/>
    <cellStyle name="Percent 4 2 21 16" xfId="20138" xr:uid="{00000000-0005-0000-0000-00002A500000}"/>
    <cellStyle name="Percent 4 2 21 17" xfId="20139" xr:uid="{00000000-0005-0000-0000-00002B500000}"/>
    <cellStyle name="Percent 4 2 21 2" xfId="20140" xr:uid="{00000000-0005-0000-0000-00002C500000}"/>
    <cellStyle name="Percent 4 2 21 3" xfId="20141" xr:uid="{00000000-0005-0000-0000-00002D500000}"/>
    <cellStyle name="Percent 4 2 21 4" xfId="20142" xr:uid="{00000000-0005-0000-0000-00002E500000}"/>
    <cellStyle name="Percent 4 2 21 5" xfId="20143" xr:uid="{00000000-0005-0000-0000-00002F500000}"/>
    <cellStyle name="Percent 4 2 21 6" xfId="20144" xr:uid="{00000000-0005-0000-0000-000030500000}"/>
    <cellStyle name="Percent 4 2 21 7" xfId="20145" xr:uid="{00000000-0005-0000-0000-000031500000}"/>
    <cellStyle name="Percent 4 2 21 8" xfId="20146" xr:uid="{00000000-0005-0000-0000-000032500000}"/>
    <cellStyle name="Percent 4 2 21 9" xfId="20147" xr:uid="{00000000-0005-0000-0000-000033500000}"/>
    <cellStyle name="Percent 4 2 22" xfId="20148" xr:uid="{00000000-0005-0000-0000-000034500000}"/>
    <cellStyle name="Percent 4 2 22 10" xfId="20149" xr:uid="{00000000-0005-0000-0000-000035500000}"/>
    <cellStyle name="Percent 4 2 22 11" xfId="20150" xr:uid="{00000000-0005-0000-0000-000036500000}"/>
    <cellStyle name="Percent 4 2 22 12" xfId="20151" xr:uid="{00000000-0005-0000-0000-000037500000}"/>
    <cellStyle name="Percent 4 2 22 13" xfId="20152" xr:uid="{00000000-0005-0000-0000-000038500000}"/>
    <cellStyle name="Percent 4 2 22 14" xfId="20153" xr:uid="{00000000-0005-0000-0000-000039500000}"/>
    <cellStyle name="Percent 4 2 22 15" xfId="20154" xr:uid="{00000000-0005-0000-0000-00003A500000}"/>
    <cellStyle name="Percent 4 2 22 16" xfId="20155" xr:uid="{00000000-0005-0000-0000-00003B500000}"/>
    <cellStyle name="Percent 4 2 22 17" xfId="20156" xr:uid="{00000000-0005-0000-0000-00003C500000}"/>
    <cellStyle name="Percent 4 2 22 2" xfId="20157" xr:uid="{00000000-0005-0000-0000-00003D500000}"/>
    <cellStyle name="Percent 4 2 22 3" xfId="20158" xr:uid="{00000000-0005-0000-0000-00003E500000}"/>
    <cellStyle name="Percent 4 2 22 4" xfId="20159" xr:uid="{00000000-0005-0000-0000-00003F500000}"/>
    <cellStyle name="Percent 4 2 22 5" xfId="20160" xr:uid="{00000000-0005-0000-0000-000040500000}"/>
    <cellStyle name="Percent 4 2 22 6" xfId="20161" xr:uid="{00000000-0005-0000-0000-000041500000}"/>
    <cellStyle name="Percent 4 2 22 7" xfId="20162" xr:uid="{00000000-0005-0000-0000-000042500000}"/>
    <cellStyle name="Percent 4 2 22 8" xfId="20163" xr:uid="{00000000-0005-0000-0000-000043500000}"/>
    <cellStyle name="Percent 4 2 22 9" xfId="20164" xr:uid="{00000000-0005-0000-0000-000044500000}"/>
    <cellStyle name="Percent 4 2 23" xfId="20165" xr:uid="{00000000-0005-0000-0000-000045500000}"/>
    <cellStyle name="Percent 4 2 23 10" xfId="20166" xr:uid="{00000000-0005-0000-0000-000046500000}"/>
    <cellStyle name="Percent 4 2 23 11" xfId="20167" xr:uid="{00000000-0005-0000-0000-000047500000}"/>
    <cellStyle name="Percent 4 2 23 12" xfId="20168" xr:uid="{00000000-0005-0000-0000-000048500000}"/>
    <cellStyle name="Percent 4 2 23 13" xfId="20169" xr:uid="{00000000-0005-0000-0000-000049500000}"/>
    <cellStyle name="Percent 4 2 23 14" xfId="20170" xr:uid="{00000000-0005-0000-0000-00004A500000}"/>
    <cellStyle name="Percent 4 2 23 15" xfId="20171" xr:uid="{00000000-0005-0000-0000-00004B500000}"/>
    <cellStyle name="Percent 4 2 23 16" xfId="20172" xr:uid="{00000000-0005-0000-0000-00004C500000}"/>
    <cellStyle name="Percent 4 2 23 17" xfId="20173" xr:uid="{00000000-0005-0000-0000-00004D500000}"/>
    <cellStyle name="Percent 4 2 23 2" xfId="20174" xr:uid="{00000000-0005-0000-0000-00004E500000}"/>
    <cellStyle name="Percent 4 2 23 3" xfId="20175" xr:uid="{00000000-0005-0000-0000-00004F500000}"/>
    <cellStyle name="Percent 4 2 23 4" xfId="20176" xr:uid="{00000000-0005-0000-0000-000050500000}"/>
    <cellStyle name="Percent 4 2 23 5" xfId="20177" xr:uid="{00000000-0005-0000-0000-000051500000}"/>
    <cellStyle name="Percent 4 2 23 6" xfId="20178" xr:uid="{00000000-0005-0000-0000-000052500000}"/>
    <cellStyle name="Percent 4 2 23 7" xfId="20179" xr:uid="{00000000-0005-0000-0000-000053500000}"/>
    <cellStyle name="Percent 4 2 23 8" xfId="20180" xr:uid="{00000000-0005-0000-0000-000054500000}"/>
    <cellStyle name="Percent 4 2 23 9" xfId="20181" xr:uid="{00000000-0005-0000-0000-000055500000}"/>
    <cellStyle name="Percent 4 2 24" xfId="20182" xr:uid="{00000000-0005-0000-0000-000056500000}"/>
    <cellStyle name="Percent 4 2 24 10" xfId="20183" xr:uid="{00000000-0005-0000-0000-000057500000}"/>
    <cellStyle name="Percent 4 2 24 11" xfId="20184" xr:uid="{00000000-0005-0000-0000-000058500000}"/>
    <cellStyle name="Percent 4 2 24 12" xfId="20185" xr:uid="{00000000-0005-0000-0000-000059500000}"/>
    <cellStyle name="Percent 4 2 24 13" xfId="20186" xr:uid="{00000000-0005-0000-0000-00005A500000}"/>
    <cellStyle name="Percent 4 2 24 14" xfId="20187" xr:uid="{00000000-0005-0000-0000-00005B500000}"/>
    <cellStyle name="Percent 4 2 24 15" xfId="20188" xr:uid="{00000000-0005-0000-0000-00005C500000}"/>
    <cellStyle name="Percent 4 2 24 16" xfId="20189" xr:uid="{00000000-0005-0000-0000-00005D500000}"/>
    <cellStyle name="Percent 4 2 24 17" xfId="20190" xr:uid="{00000000-0005-0000-0000-00005E500000}"/>
    <cellStyle name="Percent 4 2 24 2" xfId="20191" xr:uid="{00000000-0005-0000-0000-00005F500000}"/>
    <cellStyle name="Percent 4 2 24 3" xfId="20192" xr:uid="{00000000-0005-0000-0000-000060500000}"/>
    <cellStyle name="Percent 4 2 24 4" xfId="20193" xr:uid="{00000000-0005-0000-0000-000061500000}"/>
    <cellStyle name="Percent 4 2 24 5" xfId="20194" xr:uid="{00000000-0005-0000-0000-000062500000}"/>
    <cellStyle name="Percent 4 2 24 6" xfId="20195" xr:uid="{00000000-0005-0000-0000-000063500000}"/>
    <cellStyle name="Percent 4 2 24 7" xfId="20196" xr:uid="{00000000-0005-0000-0000-000064500000}"/>
    <cellStyle name="Percent 4 2 24 8" xfId="20197" xr:uid="{00000000-0005-0000-0000-000065500000}"/>
    <cellStyle name="Percent 4 2 24 9" xfId="20198" xr:uid="{00000000-0005-0000-0000-000066500000}"/>
    <cellStyle name="Percent 4 2 25" xfId="20199" xr:uid="{00000000-0005-0000-0000-000067500000}"/>
    <cellStyle name="Percent 4 2 25 10" xfId="20200" xr:uid="{00000000-0005-0000-0000-000068500000}"/>
    <cellStyle name="Percent 4 2 25 11" xfId="20201" xr:uid="{00000000-0005-0000-0000-000069500000}"/>
    <cellStyle name="Percent 4 2 25 12" xfId="20202" xr:uid="{00000000-0005-0000-0000-00006A500000}"/>
    <cellStyle name="Percent 4 2 25 13" xfId="20203" xr:uid="{00000000-0005-0000-0000-00006B500000}"/>
    <cellStyle name="Percent 4 2 25 14" xfId="20204" xr:uid="{00000000-0005-0000-0000-00006C500000}"/>
    <cellStyle name="Percent 4 2 25 15" xfId="20205" xr:uid="{00000000-0005-0000-0000-00006D500000}"/>
    <cellStyle name="Percent 4 2 25 16" xfId="20206" xr:uid="{00000000-0005-0000-0000-00006E500000}"/>
    <cellStyle name="Percent 4 2 25 17" xfId="20207" xr:uid="{00000000-0005-0000-0000-00006F500000}"/>
    <cellStyle name="Percent 4 2 25 2" xfId="20208" xr:uid="{00000000-0005-0000-0000-000070500000}"/>
    <cellStyle name="Percent 4 2 25 3" xfId="20209" xr:uid="{00000000-0005-0000-0000-000071500000}"/>
    <cellStyle name="Percent 4 2 25 4" xfId="20210" xr:uid="{00000000-0005-0000-0000-000072500000}"/>
    <cellStyle name="Percent 4 2 25 5" xfId="20211" xr:uid="{00000000-0005-0000-0000-000073500000}"/>
    <cellStyle name="Percent 4 2 25 6" xfId="20212" xr:uid="{00000000-0005-0000-0000-000074500000}"/>
    <cellStyle name="Percent 4 2 25 7" xfId="20213" xr:uid="{00000000-0005-0000-0000-000075500000}"/>
    <cellStyle name="Percent 4 2 25 8" xfId="20214" xr:uid="{00000000-0005-0000-0000-000076500000}"/>
    <cellStyle name="Percent 4 2 25 9" xfId="20215" xr:uid="{00000000-0005-0000-0000-000077500000}"/>
    <cellStyle name="Percent 4 2 26" xfId="20216" xr:uid="{00000000-0005-0000-0000-000078500000}"/>
    <cellStyle name="Percent 4 2 26 10" xfId="20217" xr:uid="{00000000-0005-0000-0000-000079500000}"/>
    <cellStyle name="Percent 4 2 26 11" xfId="20218" xr:uid="{00000000-0005-0000-0000-00007A500000}"/>
    <cellStyle name="Percent 4 2 26 12" xfId="20219" xr:uid="{00000000-0005-0000-0000-00007B500000}"/>
    <cellStyle name="Percent 4 2 26 13" xfId="20220" xr:uid="{00000000-0005-0000-0000-00007C500000}"/>
    <cellStyle name="Percent 4 2 26 14" xfId="20221" xr:uid="{00000000-0005-0000-0000-00007D500000}"/>
    <cellStyle name="Percent 4 2 26 15" xfId="20222" xr:uid="{00000000-0005-0000-0000-00007E500000}"/>
    <cellStyle name="Percent 4 2 26 16" xfId="20223" xr:uid="{00000000-0005-0000-0000-00007F500000}"/>
    <cellStyle name="Percent 4 2 26 17" xfId="20224" xr:uid="{00000000-0005-0000-0000-000080500000}"/>
    <cellStyle name="Percent 4 2 26 2" xfId="20225" xr:uid="{00000000-0005-0000-0000-000081500000}"/>
    <cellStyle name="Percent 4 2 26 3" xfId="20226" xr:uid="{00000000-0005-0000-0000-000082500000}"/>
    <cellStyle name="Percent 4 2 26 4" xfId="20227" xr:uid="{00000000-0005-0000-0000-000083500000}"/>
    <cellStyle name="Percent 4 2 26 5" xfId="20228" xr:uid="{00000000-0005-0000-0000-000084500000}"/>
    <cellStyle name="Percent 4 2 26 6" xfId="20229" xr:uid="{00000000-0005-0000-0000-000085500000}"/>
    <cellStyle name="Percent 4 2 26 7" xfId="20230" xr:uid="{00000000-0005-0000-0000-000086500000}"/>
    <cellStyle name="Percent 4 2 26 8" xfId="20231" xr:uid="{00000000-0005-0000-0000-000087500000}"/>
    <cellStyle name="Percent 4 2 26 9" xfId="20232" xr:uid="{00000000-0005-0000-0000-000088500000}"/>
    <cellStyle name="Percent 4 2 27" xfId="20233" xr:uid="{00000000-0005-0000-0000-000089500000}"/>
    <cellStyle name="Percent 4 2 27 10" xfId="20234" xr:uid="{00000000-0005-0000-0000-00008A500000}"/>
    <cellStyle name="Percent 4 2 27 11" xfId="20235" xr:uid="{00000000-0005-0000-0000-00008B500000}"/>
    <cellStyle name="Percent 4 2 27 12" xfId="20236" xr:uid="{00000000-0005-0000-0000-00008C500000}"/>
    <cellStyle name="Percent 4 2 27 13" xfId="20237" xr:uid="{00000000-0005-0000-0000-00008D500000}"/>
    <cellStyle name="Percent 4 2 27 14" xfId="20238" xr:uid="{00000000-0005-0000-0000-00008E500000}"/>
    <cellStyle name="Percent 4 2 27 15" xfId="20239" xr:uid="{00000000-0005-0000-0000-00008F500000}"/>
    <cellStyle name="Percent 4 2 27 16" xfId="20240" xr:uid="{00000000-0005-0000-0000-000090500000}"/>
    <cellStyle name="Percent 4 2 27 17" xfId="20241" xr:uid="{00000000-0005-0000-0000-000091500000}"/>
    <cellStyle name="Percent 4 2 27 2" xfId="20242" xr:uid="{00000000-0005-0000-0000-000092500000}"/>
    <cellStyle name="Percent 4 2 27 3" xfId="20243" xr:uid="{00000000-0005-0000-0000-000093500000}"/>
    <cellStyle name="Percent 4 2 27 4" xfId="20244" xr:uid="{00000000-0005-0000-0000-000094500000}"/>
    <cellStyle name="Percent 4 2 27 5" xfId="20245" xr:uid="{00000000-0005-0000-0000-000095500000}"/>
    <cellStyle name="Percent 4 2 27 6" xfId="20246" xr:uid="{00000000-0005-0000-0000-000096500000}"/>
    <cellStyle name="Percent 4 2 27 7" xfId="20247" xr:uid="{00000000-0005-0000-0000-000097500000}"/>
    <cellStyle name="Percent 4 2 27 8" xfId="20248" xr:uid="{00000000-0005-0000-0000-000098500000}"/>
    <cellStyle name="Percent 4 2 27 9" xfId="20249" xr:uid="{00000000-0005-0000-0000-000099500000}"/>
    <cellStyle name="Percent 4 2 28" xfId="20250" xr:uid="{00000000-0005-0000-0000-00009A500000}"/>
    <cellStyle name="Percent 4 2 28 10" xfId="20251" xr:uid="{00000000-0005-0000-0000-00009B500000}"/>
    <cellStyle name="Percent 4 2 28 11" xfId="20252" xr:uid="{00000000-0005-0000-0000-00009C500000}"/>
    <cellStyle name="Percent 4 2 28 12" xfId="20253" xr:uid="{00000000-0005-0000-0000-00009D500000}"/>
    <cellStyle name="Percent 4 2 28 13" xfId="20254" xr:uid="{00000000-0005-0000-0000-00009E500000}"/>
    <cellStyle name="Percent 4 2 28 14" xfId="20255" xr:uid="{00000000-0005-0000-0000-00009F500000}"/>
    <cellStyle name="Percent 4 2 28 15" xfId="20256" xr:uid="{00000000-0005-0000-0000-0000A0500000}"/>
    <cellStyle name="Percent 4 2 28 16" xfId="20257" xr:uid="{00000000-0005-0000-0000-0000A1500000}"/>
    <cellStyle name="Percent 4 2 28 17" xfId="20258" xr:uid="{00000000-0005-0000-0000-0000A2500000}"/>
    <cellStyle name="Percent 4 2 28 2" xfId="20259" xr:uid="{00000000-0005-0000-0000-0000A3500000}"/>
    <cellStyle name="Percent 4 2 28 3" xfId="20260" xr:uid="{00000000-0005-0000-0000-0000A4500000}"/>
    <cellStyle name="Percent 4 2 28 4" xfId="20261" xr:uid="{00000000-0005-0000-0000-0000A5500000}"/>
    <cellStyle name="Percent 4 2 28 5" xfId="20262" xr:uid="{00000000-0005-0000-0000-0000A6500000}"/>
    <cellStyle name="Percent 4 2 28 6" xfId="20263" xr:uid="{00000000-0005-0000-0000-0000A7500000}"/>
    <cellStyle name="Percent 4 2 28 7" xfId="20264" xr:uid="{00000000-0005-0000-0000-0000A8500000}"/>
    <cellStyle name="Percent 4 2 28 8" xfId="20265" xr:uid="{00000000-0005-0000-0000-0000A9500000}"/>
    <cellStyle name="Percent 4 2 28 9" xfId="20266" xr:uid="{00000000-0005-0000-0000-0000AA500000}"/>
    <cellStyle name="Percent 4 2 29" xfId="20267" xr:uid="{00000000-0005-0000-0000-0000AB500000}"/>
    <cellStyle name="Percent 4 2 29 10" xfId="20268" xr:uid="{00000000-0005-0000-0000-0000AC500000}"/>
    <cellStyle name="Percent 4 2 29 11" xfId="20269" xr:uid="{00000000-0005-0000-0000-0000AD500000}"/>
    <cellStyle name="Percent 4 2 29 12" xfId="20270" xr:uid="{00000000-0005-0000-0000-0000AE500000}"/>
    <cellStyle name="Percent 4 2 29 13" xfId="20271" xr:uid="{00000000-0005-0000-0000-0000AF500000}"/>
    <cellStyle name="Percent 4 2 29 14" xfId="20272" xr:uid="{00000000-0005-0000-0000-0000B0500000}"/>
    <cellStyle name="Percent 4 2 29 15" xfId="20273" xr:uid="{00000000-0005-0000-0000-0000B1500000}"/>
    <cellStyle name="Percent 4 2 29 16" xfId="20274" xr:uid="{00000000-0005-0000-0000-0000B2500000}"/>
    <cellStyle name="Percent 4 2 29 17" xfId="20275" xr:uid="{00000000-0005-0000-0000-0000B3500000}"/>
    <cellStyle name="Percent 4 2 29 2" xfId="20276" xr:uid="{00000000-0005-0000-0000-0000B4500000}"/>
    <cellStyle name="Percent 4 2 29 3" xfId="20277" xr:uid="{00000000-0005-0000-0000-0000B5500000}"/>
    <cellStyle name="Percent 4 2 29 4" xfId="20278" xr:uid="{00000000-0005-0000-0000-0000B6500000}"/>
    <cellStyle name="Percent 4 2 29 5" xfId="20279" xr:uid="{00000000-0005-0000-0000-0000B7500000}"/>
    <cellStyle name="Percent 4 2 29 6" xfId="20280" xr:uid="{00000000-0005-0000-0000-0000B8500000}"/>
    <cellStyle name="Percent 4 2 29 7" xfId="20281" xr:uid="{00000000-0005-0000-0000-0000B9500000}"/>
    <cellStyle name="Percent 4 2 29 8" xfId="20282" xr:uid="{00000000-0005-0000-0000-0000BA500000}"/>
    <cellStyle name="Percent 4 2 29 9" xfId="20283" xr:uid="{00000000-0005-0000-0000-0000BB500000}"/>
    <cellStyle name="Percent 4 2 3" xfId="20284" xr:uid="{00000000-0005-0000-0000-0000BC500000}"/>
    <cellStyle name="Percent 4 2 3 10" xfId="20285" xr:uid="{00000000-0005-0000-0000-0000BD500000}"/>
    <cellStyle name="Percent 4 2 3 11" xfId="20286" xr:uid="{00000000-0005-0000-0000-0000BE500000}"/>
    <cellStyle name="Percent 4 2 3 12" xfId="20287" xr:uid="{00000000-0005-0000-0000-0000BF500000}"/>
    <cellStyle name="Percent 4 2 3 13" xfId="20288" xr:uid="{00000000-0005-0000-0000-0000C0500000}"/>
    <cellStyle name="Percent 4 2 3 14" xfId="20289" xr:uid="{00000000-0005-0000-0000-0000C1500000}"/>
    <cellStyle name="Percent 4 2 3 15" xfId="20290" xr:uid="{00000000-0005-0000-0000-0000C2500000}"/>
    <cellStyle name="Percent 4 2 3 16" xfId="20291" xr:uid="{00000000-0005-0000-0000-0000C3500000}"/>
    <cellStyle name="Percent 4 2 3 17" xfId="20292" xr:uid="{00000000-0005-0000-0000-0000C4500000}"/>
    <cellStyle name="Percent 4 2 3 2" xfId="20293" xr:uid="{00000000-0005-0000-0000-0000C5500000}"/>
    <cellStyle name="Percent 4 2 3 3" xfId="20294" xr:uid="{00000000-0005-0000-0000-0000C6500000}"/>
    <cellStyle name="Percent 4 2 3 4" xfId="20295" xr:uid="{00000000-0005-0000-0000-0000C7500000}"/>
    <cellStyle name="Percent 4 2 3 5" xfId="20296" xr:uid="{00000000-0005-0000-0000-0000C8500000}"/>
    <cellStyle name="Percent 4 2 3 6" xfId="20297" xr:uid="{00000000-0005-0000-0000-0000C9500000}"/>
    <cellStyle name="Percent 4 2 3 7" xfId="20298" xr:uid="{00000000-0005-0000-0000-0000CA500000}"/>
    <cellStyle name="Percent 4 2 3 8" xfId="20299" xr:uid="{00000000-0005-0000-0000-0000CB500000}"/>
    <cellStyle name="Percent 4 2 3 9" xfId="20300" xr:uid="{00000000-0005-0000-0000-0000CC500000}"/>
    <cellStyle name="Percent 4 2 30" xfId="20301" xr:uid="{00000000-0005-0000-0000-0000CD500000}"/>
    <cellStyle name="Percent 4 2 30 10" xfId="20302" xr:uid="{00000000-0005-0000-0000-0000CE500000}"/>
    <cellStyle name="Percent 4 2 30 11" xfId="20303" xr:uid="{00000000-0005-0000-0000-0000CF500000}"/>
    <cellStyle name="Percent 4 2 30 12" xfId="20304" xr:uid="{00000000-0005-0000-0000-0000D0500000}"/>
    <cellStyle name="Percent 4 2 30 13" xfId="20305" xr:uid="{00000000-0005-0000-0000-0000D1500000}"/>
    <cellStyle name="Percent 4 2 30 14" xfId="20306" xr:uid="{00000000-0005-0000-0000-0000D2500000}"/>
    <cellStyle name="Percent 4 2 30 15" xfId="20307" xr:uid="{00000000-0005-0000-0000-0000D3500000}"/>
    <cellStyle name="Percent 4 2 30 16" xfId="20308" xr:uid="{00000000-0005-0000-0000-0000D4500000}"/>
    <cellStyle name="Percent 4 2 30 17" xfId="20309" xr:uid="{00000000-0005-0000-0000-0000D5500000}"/>
    <cellStyle name="Percent 4 2 30 2" xfId="20310" xr:uid="{00000000-0005-0000-0000-0000D6500000}"/>
    <cellStyle name="Percent 4 2 30 3" xfId="20311" xr:uid="{00000000-0005-0000-0000-0000D7500000}"/>
    <cellStyle name="Percent 4 2 30 4" xfId="20312" xr:uid="{00000000-0005-0000-0000-0000D8500000}"/>
    <cellStyle name="Percent 4 2 30 5" xfId="20313" xr:uid="{00000000-0005-0000-0000-0000D9500000}"/>
    <cellStyle name="Percent 4 2 30 6" xfId="20314" xr:uid="{00000000-0005-0000-0000-0000DA500000}"/>
    <cellStyle name="Percent 4 2 30 7" xfId="20315" xr:uid="{00000000-0005-0000-0000-0000DB500000}"/>
    <cellStyle name="Percent 4 2 30 8" xfId="20316" xr:uid="{00000000-0005-0000-0000-0000DC500000}"/>
    <cellStyle name="Percent 4 2 30 9" xfId="20317" xr:uid="{00000000-0005-0000-0000-0000DD500000}"/>
    <cellStyle name="Percent 4 2 31" xfId="20318" xr:uid="{00000000-0005-0000-0000-0000DE500000}"/>
    <cellStyle name="Percent 4 2 31 10" xfId="20319" xr:uid="{00000000-0005-0000-0000-0000DF500000}"/>
    <cellStyle name="Percent 4 2 31 11" xfId="20320" xr:uid="{00000000-0005-0000-0000-0000E0500000}"/>
    <cellStyle name="Percent 4 2 31 12" xfId="20321" xr:uid="{00000000-0005-0000-0000-0000E1500000}"/>
    <cellStyle name="Percent 4 2 31 13" xfId="20322" xr:uid="{00000000-0005-0000-0000-0000E2500000}"/>
    <cellStyle name="Percent 4 2 31 14" xfId="20323" xr:uid="{00000000-0005-0000-0000-0000E3500000}"/>
    <cellStyle name="Percent 4 2 31 15" xfId="20324" xr:uid="{00000000-0005-0000-0000-0000E4500000}"/>
    <cellStyle name="Percent 4 2 31 16" xfId="20325" xr:uid="{00000000-0005-0000-0000-0000E5500000}"/>
    <cellStyle name="Percent 4 2 31 17" xfId="20326" xr:uid="{00000000-0005-0000-0000-0000E6500000}"/>
    <cellStyle name="Percent 4 2 31 2" xfId="20327" xr:uid="{00000000-0005-0000-0000-0000E7500000}"/>
    <cellStyle name="Percent 4 2 31 3" xfId="20328" xr:uid="{00000000-0005-0000-0000-0000E8500000}"/>
    <cellStyle name="Percent 4 2 31 4" xfId="20329" xr:uid="{00000000-0005-0000-0000-0000E9500000}"/>
    <cellStyle name="Percent 4 2 31 5" xfId="20330" xr:uid="{00000000-0005-0000-0000-0000EA500000}"/>
    <cellStyle name="Percent 4 2 31 6" xfId="20331" xr:uid="{00000000-0005-0000-0000-0000EB500000}"/>
    <cellStyle name="Percent 4 2 31 7" xfId="20332" xr:uid="{00000000-0005-0000-0000-0000EC500000}"/>
    <cellStyle name="Percent 4 2 31 8" xfId="20333" xr:uid="{00000000-0005-0000-0000-0000ED500000}"/>
    <cellStyle name="Percent 4 2 31 9" xfId="20334" xr:uid="{00000000-0005-0000-0000-0000EE500000}"/>
    <cellStyle name="Percent 4 2 32" xfId="20335" xr:uid="{00000000-0005-0000-0000-0000EF500000}"/>
    <cellStyle name="Percent 4 2 32 10" xfId="20336" xr:uid="{00000000-0005-0000-0000-0000F0500000}"/>
    <cellStyle name="Percent 4 2 32 11" xfId="20337" xr:uid="{00000000-0005-0000-0000-0000F1500000}"/>
    <cellStyle name="Percent 4 2 32 12" xfId="20338" xr:uid="{00000000-0005-0000-0000-0000F2500000}"/>
    <cellStyle name="Percent 4 2 32 13" xfId="20339" xr:uid="{00000000-0005-0000-0000-0000F3500000}"/>
    <cellStyle name="Percent 4 2 32 14" xfId="20340" xr:uid="{00000000-0005-0000-0000-0000F4500000}"/>
    <cellStyle name="Percent 4 2 32 15" xfId="20341" xr:uid="{00000000-0005-0000-0000-0000F5500000}"/>
    <cellStyle name="Percent 4 2 32 16" xfId="20342" xr:uid="{00000000-0005-0000-0000-0000F6500000}"/>
    <cellStyle name="Percent 4 2 32 17" xfId="20343" xr:uid="{00000000-0005-0000-0000-0000F7500000}"/>
    <cellStyle name="Percent 4 2 32 2" xfId="20344" xr:uid="{00000000-0005-0000-0000-0000F8500000}"/>
    <cellStyle name="Percent 4 2 32 3" xfId="20345" xr:uid="{00000000-0005-0000-0000-0000F9500000}"/>
    <cellStyle name="Percent 4 2 32 4" xfId="20346" xr:uid="{00000000-0005-0000-0000-0000FA500000}"/>
    <cellStyle name="Percent 4 2 32 5" xfId="20347" xr:uid="{00000000-0005-0000-0000-0000FB500000}"/>
    <cellStyle name="Percent 4 2 32 6" xfId="20348" xr:uid="{00000000-0005-0000-0000-0000FC500000}"/>
    <cellStyle name="Percent 4 2 32 7" xfId="20349" xr:uid="{00000000-0005-0000-0000-0000FD500000}"/>
    <cellStyle name="Percent 4 2 32 8" xfId="20350" xr:uid="{00000000-0005-0000-0000-0000FE500000}"/>
    <cellStyle name="Percent 4 2 32 9" xfId="20351" xr:uid="{00000000-0005-0000-0000-0000FF500000}"/>
    <cellStyle name="Percent 4 2 33" xfId="20352" xr:uid="{00000000-0005-0000-0000-000000510000}"/>
    <cellStyle name="Percent 4 2 33 10" xfId="20353" xr:uid="{00000000-0005-0000-0000-000001510000}"/>
    <cellStyle name="Percent 4 2 33 11" xfId="20354" xr:uid="{00000000-0005-0000-0000-000002510000}"/>
    <cellStyle name="Percent 4 2 33 12" xfId="20355" xr:uid="{00000000-0005-0000-0000-000003510000}"/>
    <cellStyle name="Percent 4 2 33 13" xfId="20356" xr:uid="{00000000-0005-0000-0000-000004510000}"/>
    <cellStyle name="Percent 4 2 33 14" xfId="20357" xr:uid="{00000000-0005-0000-0000-000005510000}"/>
    <cellStyle name="Percent 4 2 33 15" xfId="20358" xr:uid="{00000000-0005-0000-0000-000006510000}"/>
    <cellStyle name="Percent 4 2 33 16" xfId="20359" xr:uid="{00000000-0005-0000-0000-000007510000}"/>
    <cellStyle name="Percent 4 2 33 17" xfId="20360" xr:uid="{00000000-0005-0000-0000-000008510000}"/>
    <cellStyle name="Percent 4 2 33 2" xfId="20361" xr:uid="{00000000-0005-0000-0000-000009510000}"/>
    <cellStyle name="Percent 4 2 33 3" xfId="20362" xr:uid="{00000000-0005-0000-0000-00000A510000}"/>
    <cellStyle name="Percent 4 2 33 4" xfId="20363" xr:uid="{00000000-0005-0000-0000-00000B510000}"/>
    <cellStyle name="Percent 4 2 33 5" xfId="20364" xr:uid="{00000000-0005-0000-0000-00000C510000}"/>
    <cellStyle name="Percent 4 2 33 6" xfId="20365" xr:uid="{00000000-0005-0000-0000-00000D510000}"/>
    <cellStyle name="Percent 4 2 33 7" xfId="20366" xr:uid="{00000000-0005-0000-0000-00000E510000}"/>
    <cellStyle name="Percent 4 2 33 8" xfId="20367" xr:uid="{00000000-0005-0000-0000-00000F510000}"/>
    <cellStyle name="Percent 4 2 33 9" xfId="20368" xr:uid="{00000000-0005-0000-0000-000010510000}"/>
    <cellStyle name="Percent 4 2 34" xfId="20369" xr:uid="{00000000-0005-0000-0000-000011510000}"/>
    <cellStyle name="Percent 4 2 34 10" xfId="20370" xr:uid="{00000000-0005-0000-0000-000012510000}"/>
    <cellStyle name="Percent 4 2 34 11" xfId="20371" xr:uid="{00000000-0005-0000-0000-000013510000}"/>
    <cellStyle name="Percent 4 2 34 12" xfId="20372" xr:uid="{00000000-0005-0000-0000-000014510000}"/>
    <cellStyle name="Percent 4 2 34 13" xfId="20373" xr:uid="{00000000-0005-0000-0000-000015510000}"/>
    <cellStyle name="Percent 4 2 34 14" xfId="20374" xr:uid="{00000000-0005-0000-0000-000016510000}"/>
    <cellStyle name="Percent 4 2 34 15" xfId="20375" xr:uid="{00000000-0005-0000-0000-000017510000}"/>
    <cellStyle name="Percent 4 2 34 16" xfId="20376" xr:uid="{00000000-0005-0000-0000-000018510000}"/>
    <cellStyle name="Percent 4 2 34 17" xfId="20377" xr:uid="{00000000-0005-0000-0000-000019510000}"/>
    <cellStyle name="Percent 4 2 34 2" xfId="20378" xr:uid="{00000000-0005-0000-0000-00001A510000}"/>
    <cellStyle name="Percent 4 2 34 3" xfId="20379" xr:uid="{00000000-0005-0000-0000-00001B510000}"/>
    <cellStyle name="Percent 4 2 34 4" xfId="20380" xr:uid="{00000000-0005-0000-0000-00001C510000}"/>
    <cellStyle name="Percent 4 2 34 5" xfId="20381" xr:uid="{00000000-0005-0000-0000-00001D510000}"/>
    <cellStyle name="Percent 4 2 34 6" xfId="20382" xr:uid="{00000000-0005-0000-0000-00001E510000}"/>
    <cellStyle name="Percent 4 2 34 7" xfId="20383" xr:uid="{00000000-0005-0000-0000-00001F510000}"/>
    <cellStyle name="Percent 4 2 34 8" xfId="20384" xr:uid="{00000000-0005-0000-0000-000020510000}"/>
    <cellStyle name="Percent 4 2 34 9" xfId="20385" xr:uid="{00000000-0005-0000-0000-000021510000}"/>
    <cellStyle name="Percent 4 2 35" xfId="20386" xr:uid="{00000000-0005-0000-0000-000022510000}"/>
    <cellStyle name="Percent 4 2 35 10" xfId="20387" xr:uid="{00000000-0005-0000-0000-000023510000}"/>
    <cellStyle name="Percent 4 2 35 11" xfId="20388" xr:uid="{00000000-0005-0000-0000-000024510000}"/>
    <cellStyle name="Percent 4 2 35 12" xfId="20389" xr:uid="{00000000-0005-0000-0000-000025510000}"/>
    <cellStyle name="Percent 4 2 35 13" xfId="20390" xr:uid="{00000000-0005-0000-0000-000026510000}"/>
    <cellStyle name="Percent 4 2 35 14" xfId="20391" xr:uid="{00000000-0005-0000-0000-000027510000}"/>
    <cellStyle name="Percent 4 2 35 15" xfId="20392" xr:uid="{00000000-0005-0000-0000-000028510000}"/>
    <cellStyle name="Percent 4 2 35 16" xfId="20393" xr:uid="{00000000-0005-0000-0000-000029510000}"/>
    <cellStyle name="Percent 4 2 35 17" xfId="20394" xr:uid="{00000000-0005-0000-0000-00002A510000}"/>
    <cellStyle name="Percent 4 2 35 2" xfId="20395" xr:uid="{00000000-0005-0000-0000-00002B510000}"/>
    <cellStyle name="Percent 4 2 35 3" xfId="20396" xr:uid="{00000000-0005-0000-0000-00002C510000}"/>
    <cellStyle name="Percent 4 2 35 4" xfId="20397" xr:uid="{00000000-0005-0000-0000-00002D510000}"/>
    <cellStyle name="Percent 4 2 35 5" xfId="20398" xr:uid="{00000000-0005-0000-0000-00002E510000}"/>
    <cellStyle name="Percent 4 2 35 6" xfId="20399" xr:uid="{00000000-0005-0000-0000-00002F510000}"/>
    <cellStyle name="Percent 4 2 35 7" xfId="20400" xr:uid="{00000000-0005-0000-0000-000030510000}"/>
    <cellStyle name="Percent 4 2 35 8" xfId="20401" xr:uid="{00000000-0005-0000-0000-000031510000}"/>
    <cellStyle name="Percent 4 2 35 9" xfId="20402" xr:uid="{00000000-0005-0000-0000-000032510000}"/>
    <cellStyle name="Percent 4 2 36" xfId="20403" xr:uid="{00000000-0005-0000-0000-000033510000}"/>
    <cellStyle name="Percent 4 2 36 10" xfId="20404" xr:uid="{00000000-0005-0000-0000-000034510000}"/>
    <cellStyle name="Percent 4 2 36 11" xfId="20405" xr:uid="{00000000-0005-0000-0000-000035510000}"/>
    <cellStyle name="Percent 4 2 36 12" xfId="20406" xr:uid="{00000000-0005-0000-0000-000036510000}"/>
    <cellStyle name="Percent 4 2 36 13" xfId="20407" xr:uid="{00000000-0005-0000-0000-000037510000}"/>
    <cellStyle name="Percent 4 2 36 14" xfId="20408" xr:uid="{00000000-0005-0000-0000-000038510000}"/>
    <cellStyle name="Percent 4 2 36 15" xfId="20409" xr:uid="{00000000-0005-0000-0000-000039510000}"/>
    <cellStyle name="Percent 4 2 36 16" xfId="20410" xr:uid="{00000000-0005-0000-0000-00003A510000}"/>
    <cellStyle name="Percent 4 2 36 17" xfId="20411" xr:uid="{00000000-0005-0000-0000-00003B510000}"/>
    <cellStyle name="Percent 4 2 36 2" xfId="20412" xr:uid="{00000000-0005-0000-0000-00003C510000}"/>
    <cellStyle name="Percent 4 2 36 3" xfId="20413" xr:uid="{00000000-0005-0000-0000-00003D510000}"/>
    <cellStyle name="Percent 4 2 36 4" xfId="20414" xr:uid="{00000000-0005-0000-0000-00003E510000}"/>
    <cellStyle name="Percent 4 2 36 5" xfId="20415" xr:uid="{00000000-0005-0000-0000-00003F510000}"/>
    <cellStyle name="Percent 4 2 36 6" xfId="20416" xr:uid="{00000000-0005-0000-0000-000040510000}"/>
    <cellStyle name="Percent 4 2 36 7" xfId="20417" xr:uid="{00000000-0005-0000-0000-000041510000}"/>
    <cellStyle name="Percent 4 2 36 8" xfId="20418" xr:uid="{00000000-0005-0000-0000-000042510000}"/>
    <cellStyle name="Percent 4 2 36 9" xfId="20419" xr:uid="{00000000-0005-0000-0000-000043510000}"/>
    <cellStyle name="Percent 4 2 37" xfId="20420" xr:uid="{00000000-0005-0000-0000-000044510000}"/>
    <cellStyle name="Percent 4 2 37 10" xfId="20421" xr:uid="{00000000-0005-0000-0000-000045510000}"/>
    <cellStyle name="Percent 4 2 37 11" xfId="20422" xr:uid="{00000000-0005-0000-0000-000046510000}"/>
    <cellStyle name="Percent 4 2 37 12" xfId="20423" xr:uid="{00000000-0005-0000-0000-000047510000}"/>
    <cellStyle name="Percent 4 2 37 13" xfId="20424" xr:uid="{00000000-0005-0000-0000-000048510000}"/>
    <cellStyle name="Percent 4 2 37 14" xfId="20425" xr:uid="{00000000-0005-0000-0000-000049510000}"/>
    <cellStyle name="Percent 4 2 37 15" xfId="20426" xr:uid="{00000000-0005-0000-0000-00004A510000}"/>
    <cellStyle name="Percent 4 2 37 16" xfId="20427" xr:uid="{00000000-0005-0000-0000-00004B510000}"/>
    <cellStyle name="Percent 4 2 37 17" xfId="20428" xr:uid="{00000000-0005-0000-0000-00004C510000}"/>
    <cellStyle name="Percent 4 2 37 2" xfId="20429" xr:uid="{00000000-0005-0000-0000-00004D510000}"/>
    <cellStyle name="Percent 4 2 37 3" xfId="20430" xr:uid="{00000000-0005-0000-0000-00004E510000}"/>
    <cellStyle name="Percent 4 2 37 4" xfId="20431" xr:uid="{00000000-0005-0000-0000-00004F510000}"/>
    <cellStyle name="Percent 4 2 37 5" xfId="20432" xr:uid="{00000000-0005-0000-0000-000050510000}"/>
    <cellStyle name="Percent 4 2 37 6" xfId="20433" xr:uid="{00000000-0005-0000-0000-000051510000}"/>
    <cellStyle name="Percent 4 2 37 7" xfId="20434" xr:uid="{00000000-0005-0000-0000-000052510000}"/>
    <cellStyle name="Percent 4 2 37 8" xfId="20435" xr:uid="{00000000-0005-0000-0000-000053510000}"/>
    <cellStyle name="Percent 4 2 37 9" xfId="20436" xr:uid="{00000000-0005-0000-0000-000054510000}"/>
    <cellStyle name="Percent 4 2 38" xfId="20437" xr:uid="{00000000-0005-0000-0000-000055510000}"/>
    <cellStyle name="Percent 4 2 38 10" xfId="20438" xr:uid="{00000000-0005-0000-0000-000056510000}"/>
    <cellStyle name="Percent 4 2 38 11" xfId="20439" xr:uid="{00000000-0005-0000-0000-000057510000}"/>
    <cellStyle name="Percent 4 2 38 12" xfId="20440" xr:uid="{00000000-0005-0000-0000-000058510000}"/>
    <cellStyle name="Percent 4 2 38 13" xfId="20441" xr:uid="{00000000-0005-0000-0000-000059510000}"/>
    <cellStyle name="Percent 4 2 38 14" xfId="20442" xr:uid="{00000000-0005-0000-0000-00005A510000}"/>
    <cellStyle name="Percent 4 2 38 15" xfId="20443" xr:uid="{00000000-0005-0000-0000-00005B510000}"/>
    <cellStyle name="Percent 4 2 38 16" xfId="20444" xr:uid="{00000000-0005-0000-0000-00005C510000}"/>
    <cellStyle name="Percent 4 2 38 17" xfId="20445" xr:uid="{00000000-0005-0000-0000-00005D510000}"/>
    <cellStyle name="Percent 4 2 38 2" xfId="20446" xr:uid="{00000000-0005-0000-0000-00005E510000}"/>
    <cellStyle name="Percent 4 2 38 3" xfId="20447" xr:uid="{00000000-0005-0000-0000-00005F510000}"/>
    <cellStyle name="Percent 4 2 38 4" xfId="20448" xr:uid="{00000000-0005-0000-0000-000060510000}"/>
    <cellStyle name="Percent 4 2 38 5" xfId="20449" xr:uid="{00000000-0005-0000-0000-000061510000}"/>
    <cellStyle name="Percent 4 2 38 6" xfId="20450" xr:uid="{00000000-0005-0000-0000-000062510000}"/>
    <cellStyle name="Percent 4 2 38 7" xfId="20451" xr:uid="{00000000-0005-0000-0000-000063510000}"/>
    <cellStyle name="Percent 4 2 38 8" xfId="20452" xr:uid="{00000000-0005-0000-0000-000064510000}"/>
    <cellStyle name="Percent 4 2 38 9" xfId="20453" xr:uid="{00000000-0005-0000-0000-000065510000}"/>
    <cellStyle name="Percent 4 2 39" xfId="20454" xr:uid="{00000000-0005-0000-0000-000066510000}"/>
    <cellStyle name="Percent 4 2 39 10" xfId="20455" xr:uid="{00000000-0005-0000-0000-000067510000}"/>
    <cellStyle name="Percent 4 2 39 11" xfId="20456" xr:uid="{00000000-0005-0000-0000-000068510000}"/>
    <cellStyle name="Percent 4 2 39 12" xfId="20457" xr:uid="{00000000-0005-0000-0000-000069510000}"/>
    <cellStyle name="Percent 4 2 39 13" xfId="20458" xr:uid="{00000000-0005-0000-0000-00006A510000}"/>
    <cellStyle name="Percent 4 2 39 14" xfId="20459" xr:uid="{00000000-0005-0000-0000-00006B510000}"/>
    <cellStyle name="Percent 4 2 39 15" xfId="20460" xr:uid="{00000000-0005-0000-0000-00006C510000}"/>
    <cellStyle name="Percent 4 2 39 16" xfId="20461" xr:uid="{00000000-0005-0000-0000-00006D510000}"/>
    <cellStyle name="Percent 4 2 39 17" xfId="20462" xr:uid="{00000000-0005-0000-0000-00006E510000}"/>
    <cellStyle name="Percent 4 2 39 2" xfId="20463" xr:uid="{00000000-0005-0000-0000-00006F510000}"/>
    <cellStyle name="Percent 4 2 39 3" xfId="20464" xr:uid="{00000000-0005-0000-0000-000070510000}"/>
    <cellStyle name="Percent 4 2 39 4" xfId="20465" xr:uid="{00000000-0005-0000-0000-000071510000}"/>
    <cellStyle name="Percent 4 2 39 5" xfId="20466" xr:uid="{00000000-0005-0000-0000-000072510000}"/>
    <cellStyle name="Percent 4 2 39 6" xfId="20467" xr:uid="{00000000-0005-0000-0000-000073510000}"/>
    <cellStyle name="Percent 4 2 39 7" xfId="20468" xr:uid="{00000000-0005-0000-0000-000074510000}"/>
    <cellStyle name="Percent 4 2 39 8" xfId="20469" xr:uid="{00000000-0005-0000-0000-000075510000}"/>
    <cellStyle name="Percent 4 2 39 9" xfId="20470" xr:uid="{00000000-0005-0000-0000-000076510000}"/>
    <cellStyle name="Percent 4 2 4" xfId="20471" xr:uid="{00000000-0005-0000-0000-000077510000}"/>
    <cellStyle name="Percent 4 2 4 10" xfId="20472" xr:uid="{00000000-0005-0000-0000-000078510000}"/>
    <cellStyle name="Percent 4 2 4 11" xfId="20473" xr:uid="{00000000-0005-0000-0000-000079510000}"/>
    <cellStyle name="Percent 4 2 4 12" xfId="20474" xr:uid="{00000000-0005-0000-0000-00007A510000}"/>
    <cellStyle name="Percent 4 2 4 13" xfId="20475" xr:uid="{00000000-0005-0000-0000-00007B510000}"/>
    <cellStyle name="Percent 4 2 4 14" xfId="20476" xr:uid="{00000000-0005-0000-0000-00007C510000}"/>
    <cellStyle name="Percent 4 2 4 15" xfId="20477" xr:uid="{00000000-0005-0000-0000-00007D510000}"/>
    <cellStyle name="Percent 4 2 4 16" xfId="20478" xr:uid="{00000000-0005-0000-0000-00007E510000}"/>
    <cellStyle name="Percent 4 2 4 17" xfId="20479" xr:uid="{00000000-0005-0000-0000-00007F510000}"/>
    <cellStyle name="Percent 4 2 4 2" xfId="20480" xr:uid="{00000000-0005-0000-0000-000080510000}"/>
    <cellStyle name="Percent 4 2 4 3" xfId="20481" xr:uid="{00000000-0005-0000-0000-000081510000}"/>
    <cellStyle name="Percent 4 2 4 4" xfId="20482" xr:uid="{00000000-0005-0000-0000-000082510000}"/>
    <cellStyle name="Percent 4 2 4 5" xfId="20483" xr:uid="{00000000-0005-0000-0000-000083510000}"/>
    <cellStyle name="Percent 4 2 4 6" xfId="20484" xr:uid="{00000000-0005-0000-0000-000084510000}"/>
    <cellStyle name="Percent 4 2 4 7" xfId="20485" xr:uid="{00000000-0005-0000-0000-000085510000}"/>
    <cellStyle name="Percent 4 2 4 8" xfId="20486" xr:uid="{00000000-0005-0000-0000-000086510000}"/>
    <cellStyle name="Percent 4 2 4 9" xfId="20487" xr:uid="{00000000-0005-0000-0000-000087510000}"/>
    <cellStyle name="Percent 4 2 40" xfId="20488" xr:uid="{00000000-0005-0000-0000-000088510000}"/>
    <cellStyle name="Percent 4 2 40 10" xfId="20489" xr:uid="{00000000-0005-0000-0000-000089510000}"/>
    <cellStyle name="Percent 4 2 40 11" xfId="20490" xr:uid="{00000000-0005-0000-0000-00008A510000}"/>
    <cellStyle name="Percent 4 2 40 12" xfId="20491" xr:uid="{00000000-0005-0000-0000-00008B510000}"/>
    <cellStyle name="Percent 4 2 40 13" xfId="20492" xr:uid="{00000000-0005-0000-0000-00008C510000}"/>
    <cellStyle name="Percent 4 2 40 14" xfId="20493" xr:uid="{00000000-0005-0000-0000-00008D510000}"/>
    <cellStyle name="Percent 4 2 40 15" xfId="20494" xr:uid="{00000000-0005-0000-0000-00008E510000}"/>
    <cellStyle name="Percent 4 2 40 16" xfId="20495" xr:uid="{00000000-0005-0000-0000-00008F510000}"/>
    <cellStyle name="Percent 4 2 40 17" xfId="20496" xr:uid="{00000000-0005-0000-0000-000090510000}"/>
    <cellStyle name="Percent 4 2 40 2" xfId="20497" xr:uid="{00000000-0005-0000-0000-000091510000}"/>
    <cellStyle name="Percent 4 2 40 3" xfId="20498" xr:uid="{00000000-0005-0000-0000-000092510000}"/>
    <cellStyle name="Percent 4 2 40 4" xfId="20499" xr:uid="{00000000-0005-0000-0000-000093510000}"/>
    <cellStyle name="Percent 4 2 40 5" xfId="20500" xr:uid="{00000000-0005-0000-0000-000094510000}"/>
    <cellStyle name="Percent 4 2 40 6" xfId="20501" xr:uid="{00000000-0005-0000-0000-000095510000}"/>
    <cellStyle name="Percent 4 2 40 7" xfId="20502" xr:uid="{00000000-0005-0000-0000-000096510000}"/>
    <cellStyle name="Percent 4 2 40 8" xfId="20503" xr:uid="{00000000-0005-0000-0000-000097510000}"/>
    <cellStyle name="Percent 4 2 40 9" xfId="20504" xr:uid="{00000000-0005-0000-0000-000098510000}"/>
    <cellStyle name="Percent 4 2 41" xfId="20505" xr:uid="{00000000-0005-0000-0000-000099510000}"/>
    <cellStyle name="Percent 4 2 41 10" xfId="20506" xr:uid="{00000000-0005-0000-0000-00009A510000}"/>
    <cellStyle name="Percent 4 2 41 11" xfId="20507" xr:uid="{00000000-0005-0000-0000-00009B510000}"/>
    <cellStyle name="Percent 4 2 41 12" xfId="20508" xr:uid="{00000000-0005-0000-0000-00009C510000}"/>
    <cellStyle name="Percent 4 2 41 13" xfId="20509" xr:uid="{00000000-0005-0000-0000-00009D510000}"/>
    <cellStyle name="Percent 4 2 41 14" xfId="20510" xr:uid="{00000000-0005-0000-0000-00009E510000}"/>
    <cellStyle name="Percent 4 2 41 15" xfId="20511" xr:uid="{00000000-0005-0000-0000-00009F510000}"/>
    <cellStyle name="Percent 4 2 41 16" xfId="20512" xr:uid="{00000000-0005-0000-0000-0000A0510000}"/>
    <cellStyle name="Percent 4 2 41 17" xfId="20513" xr:uid="{00000000-0005-0000-0000-0000A1510000}"/>
    <cellStyle name="Percent 4 2 41 2" xfId="20514" xr:uid="{00000000-0005-0000-0000-0000A2510000}"/>
    <cellStyle name="Percent 4 2 41 3" xfId="20515" xr:uid="{00000000-0005-0000-0000-0000A3510000}"/>
    <cellStyle name="Percent 4 2 41 4" xfId="20516" xr:uid="{00000000-0005-0000-0000-0000A4510000}"/>
    <cellStyle name="Percent 4 2 41 5" xfId="20517" xr:uid="{00000000-0005-0000-0000-0000A5510000}"/>
    <cellStyle name="Percent 4 2 41 6" xfId="20518" xr:uid="{00000000-0005-0000-0000-0000A6510000}"/>
    <cellStyle name="Percent 4 2 41 7" xfId="20519" xr:uid="{00000000-0005-0000-0000-0000A7510000}"/>
    <cellStyle name="Percent 4 2 41 8" xfId="20520" xr:uid="{00000000-0005-0000-0000-0000A8510000}"/>
    <cellStyle name="Percent 4 2 41 9" xfId="20521" xr:uid="{00000000-0005-0000-0000-0000A9510000}"/>
    <cellStyle name="Percent 4 2 42" xfId="20522" xr:uid="{00000000-0005-0000-0000-0000AA510000}"/>
    <cellStyle name="Percent 4 2 42 10" xfId="20523" xr:uid="{00000000-0005-0000-0000-0000AB510000}"/>
    <cellStyle name="Percent 4 2 42 11" xfId="20524" xr:uid="{00000000-0005-0000-0000-0000AC510000}"/>
    <cellStyle name="Percent 4 2 42 12" xfId="20525" xr:uid="{00000000-0005-0000-0000-0000AD510000}"/>
    <cellStyle name="Percent 4 2 42 13" xfId="20526" xr:uid="{00000000-0005-0000-0000-0000AE510000}"/>
    <cellStyle name="Percent 4 2 42 14" xfId="20527" xr:uid="{00000000-0005-0000-0000-0000AF510000}"/>
    <cellStyle name="Percent 4 2 42 15" xfId="20528" xr:uid="{00000000-0005-0000-0000-0000B0510000}"/>
    <cellStyle name="Percent 4 2 42 16" xfId="20529" xr:uid="{00000000-0005-0000-0000-0000B1510000}"/>
    <cellStyle name="Percent 4 2 42 17" xfId="20530" xr:uid="{00000000-0005-0000-0000-0000B2510000}"/>
    <cellStyle name="Percent 4 2 42 2" xfId="20531" xr:uid="{00000000-0005-0000-0000-0000B3510000}"/>
    <cellStyle name="Percent 4 2 42 3" xfId="20532" xr:uid="{00000000-0005-0000-0000-0000B4510000}"/>
    <cellStyle name="Percent 4 2 42 4" xfId="20533" xr:uid="{00000000-0005-0000-0000-0000B5510000}"/>
    <cellStyle name="Percent 4 2 42 5" xfId="20534" xr:uid="{00000000-0005-0000-0000-0000B6510000}"/>
    <cellStyle name="Percent 4 2 42 6" xfId="20535" xr:uid="{00000000-0005-0000-0000-0000B7510000}"/>
    <cellStyle name="Percent 4 2 42 7" xfId="20536" xr:uid="{00000000-0005-0000-0000-0000B8510000}"/>
    <cellStyle name="Percent 4 2 42 8" xfId="20537" xr:uid="{00000000-0005-0000-0000-0000B9510000}"/>
    <cellStyle name="Percent 4 2 42 9" xfId="20538" xr:uid="{00000000-0005-0000-0000-0000BA510000}"/>
    <cellStyle name="Percent 4 2 43" xfId="20539" xr:uid="{00000000-0005-0000-0000-0000BB510000}"/>
    <cellStyle name="Percent 4 2 43 10" xfId="20540" xr:uid="{00000000-0005-0000-0000-0000BC510000}"/>
    <cellStyle name="Percent 4 2 43 11" xfId="20541" xr:uid="{00000000-0005-0000-0000-0000BD510000}"/>
    <cellStyle name="Percent 4 2 43 12" xfId="20542" xr:uid="{00000000-0005-0000-0000-0000BE510000}"/>
    <cellStyle name="Percent 4 2 43 13" xfId="20543" xr:uid="{00000000-0005-0000-0000-0000BF510000}"/>
    <cellStyle name="Percent 4 2 43 14" xfId="20544" xr:uid="{00000000-0005-0000-0000-0000C0510000}"/>
    <cellStyle name="Percent 4 2 43 15" xfId="20545" xr:uid="{00000000-0005-0000-0000-0000C1510000}"/>
    <cellStyle name="Percent 4 2 43 16" xfId="20546" xr:uid="{00000000-0005-0000-0000-0000C2510000}"/>
    <cellStyle name="Percent 4 2 43 17" xfId="20547" xr:uid="{00000000-0005-0000-0000-0000C3510000}"/>
    <cellStyle name="Percent 4 2 43 2" xfId="20548" xr:uid="{00000000-0005-0000-0000-0000C4510000}"/>
    <cellStyle name="Percent 4 2 43 3" xfId="20549" xr:uid="{00000000-0005-0000-0000-0000C5510000}"/>
    <cellStyle name="Percent 4 2 43 4" xfId="20550" xr:uid="{00000000-0005-0000-0000-0000C6510000}"/>
    <cellStyle name="Percent 4 2 43 5" xfId="20551" xr:uid="{00000000-0005-0000-0000-0000C7510000}"/>
    <cellStyle name="Percent 4 2 43 6" xfId="20552" xr:uid="{00000000-0005-0000-0000-0000C8510000}"/>
    <cellStyle name="Percent 4 2 43 7" xfId="20553" xr:uid="{00000000-0005-0000-0000-0000C9510000}"/>
    <cellStyle name="Percent 4 2 43 8" xfId="20554" xr:uid="{00000000-0005-0000-0000-0000CA510000}"/>
    <cellStyle name="Percent 4 2 43 9" xfId="20555" xr:uid="{00000000-0005-0000-0000-0000CB510000}"/>
    <cellStyle name="Percent 4 2 44" xfId="20556" xr:uid="{00000000-0005-0000-0000-0000CC510000}"/>
    <cellStyle name="Percent 4 2 44 10" xfId="20557" xr:uid="{00000000-0005-0000-0000-0000CD510000}"/>
    <cellStyle name="Percent 4 2 44 11" xfId="20558" xr:uid="{00000000-0005-0000-0000-0000CE510000}"/>
    <cellStyle name="Percent 4 2 44 12" xfId="20559" xr:uid="{00000000-0005-0000-0000-0000CF510000}"/>
    <cellStyle name="Percent 4 2 44 13" xfId="20560" xr:uid="{00000000-0005-0000-0000-0000D0510000}"/>
    <cellStyle name="Percent 4 2 44 14" xfId="20561" xr:uid="{00000000-0005-0000-0000-0000D1510000}"/>
    <cellStyle name="Percent 4 2 44 15" xfId="20562" xr:uid="{00000000-0005-0000-0000-0000D2510000}"/>
    <cellStyle name="Percent 4 2 44 16" xfId="20563" xr:uid="{00000000-0005-0000-0000-0000D3510000}"/>
    <cellStyle name="Percent 4 2 44 17" xfId="20564" xr:uid="{00000000-0005-0000-0000-0000D4510000}"/>
    <cellStyle name="Percent 4 2 44 2" xfId="20565" xr:uid="{00000000-0005-0000-0000-0000D5510000}"/>
    <cellStyle name="Percent 4 2 44 3" xfId="20566" xr:uid="{00000000-0005-0000-0000-0000D6510000}"/>
    <cellStyle name="Percent 4 2 44 4" xfId="20567" xr:uid="{00000000-0005-0000-0000-0000D7510000}"/>
    <cellStyle name="Percent 4 2 44 5" xfId="20568" xr:uid="{00000000-0005-0000-0000-0000D8510000}"/>
    <cellStyle name="Percent 4 2 44 6" xfId="20569" xr:uid="{00000000-0005-0000-0000-0000D9510000}"/>
    <cellStyle name="Percent 4 2 44 7" xfId="20570" xr:uid="{00000000-0005-0000-0000-0000DA510000}"/>
    <cellStyle name="Percent 4 2 44 8" xfId="20571" xr:uid="{00000000-0005-0000-0000-0000DB510000}"/>
    <cellStyle name="Percent 4 2 44 9" xfId="20572" xr:uid="{00000000-0005-0000-0000-0000DC510000}"/>
    <cellStyle name="Percent 4 2 45" xfId="20573" xr:uid="{00000000-0005-0000-0000-0000DD510000}"/>
    <cellStyle name="Percent 4 2 45 10" xfId="20574" xr:uid="{00000000-0005-0000-0000-0000DE510000}"/>
    <cellStyle name="Percent 4 2 45 11" xfId="20575" xr:uid="{00000000-0005-0000-0000-0000DF510000}"/>
    <cellStyle name="Percent 4 2 45 12" xfId="20576" xr:uid="{00000000-0005-0000-0000-0000E0510000}"/>
    <cellStyle name="Percent 4 2 45 13" xfId="20577" xr:uid="{00000000-0005-0000-0000-0000E1510000}"/>
    <cellStyle name="Percent 4 2 45 14" xfId="20578" xr:uid="{00000000-0005-0000-0000-0000E2510000}"/>
    <cellStyle name="Percent 4 2 45 15" xfId="20579" xr:uid="{00000000-0005-0000-0000-0000E3510000}"/>
    <cellStyle name="Percent 4 2 45 16" xfId="20580" xr:uid="{00000000-0005-0000-0000-0000E4510000}"/>
    <cellStyle name="Percent 4 2 45 17" xfId="20581" xr:uid="{00000000-0005-0000-0000-0000E5510000}"/>
    <cellStyle name="Percent 4 2 45 2" xfId="20582" xr:uid="{00000000-0005-0000-0000-0000E6510000}"/>
    <cellStyle name="Percent 4 2 45 3" xfId="20583" xr:uid="{00000000-0005-0000-0000-0000E7510000}"/>
    <cellStyle name="Percent 4 2 45 4" xfId="20584" xr:uid="{00000000-0005-0000-0000-0000E8510000}"/>
    <cellStyle name="Percent 4 2 45 5" xfId="20585" xr:uid="{00000000-0005-0000-0000-0000E9510000}"/>
    <cellStyle name="Percent 4 2 45 6" xfId="20586" xr:uid="{00000000-0005-0000-0000-0000EA510000}"/>
    <cellStyle name="Percent 4 2 45 7" xfId="20587" xr:uid="{00000000-0005-0000-0000-0000EB510000}"/>
    <cellStyle name="Percent 4 2 45 8" xfId="20588" xr:uid="{00000000-0005-0000-0000-0000EC510000}"/>
    <cellStyle name="Percent 4 2 45 9" xfId="20589" xr:uid="{00000000-0005-0000-0000-0000ED510000}"/>
    <cellStyle name="Percent 4 2 46" xfId="20590" xr:uid="{00000000-0005-0000-0000-0000EE510000}"/>
    <cellStyle name="Percent 4 2 46 10" xfId="20591" xr:uid="{00000000-0005-0000-0000-0000EF510000}"/>
    <cellStyle name="Percent 4 2 46 11" xfId="20592" xr:uid="{00000000-0005-0000-0000-0000F0510000}"/>
    <cellStyle name="Percent 4 2 46 12" xfId="20593" xr:uid="{00000000-0005-0000-0000-0000F1510000}"/>
    <cellStyle name="Percent 4 2 46 13" xfId="20594" xr:uid="{00000000-0005-0000-0000-0000F2510000}"/>
    <cellStyle name="Percent 4 2 46 14" xfId="20595" xr:uid="{00000000-0005-0000-0000-0000F3510000}"/>
    <cellStyle name="Percent 4 2 46 15" xfId="20596" xr:uid="{00000000-0005-0000-0000-0000F4510000}"/>
    <cellStyle name="Percent 4 2 46 16" xfId="20597" xr:uid="{00000000-0005-0000-0000-0000F5510000}"/>
    <cellStyle name="Percent 4 2 46 17" xfId="20598" xr:uid="{00000000-0005-0000-0000-0000F6510000}"/>
    <cellStyle name="Percent 4 2 46 2" xfId="20599" xr:uid="{00000000-0005-0000-0000-0000F7510000}"/>
    <cellStyle name="Percent 4 2 46 3" xfId="20600" xr:uid="{00000000-0005-0000-0000-0000F8510000}"/>
    <cellStyle name="Percent 4 2 46 4" xfId="20601" xr:uid="{00000000-0005-0000-0000-0000F9510000}"/>
    <cellStyle name="Percent 4 2 46 5" xfId="20602" xr:uid="{00000000-0005-0000-0000-0000FA510000}"/>
    <cellStyle name="Percent 4 2 46 6" xfId="20603" xr:uid="{00000000-0005-0000-0000-0000FB510000}"/>
    <cellStyle name="Percent 4 2 46 7" xfId="20604" xr:uid="{00000000-0005-0000-0000-0000FC510000}"/>
    <cellStyle name="Percent 4 2 46 8" xfId="20605" xr:uid="{00000000-0005-0000-0000-0000FD510000}"/>
    <cellStyle name="Percent 4 2 46 9" xfId="20606" xr:uid="{00000000-0005-0000-0000-0000FE510000}"/>
    <cellStyle name="Percent 4 2 47" xfId="20607" xr:uid="{00000000-0005-0000-0000-0000FF510000}"/>
    <cellStyle name="Percent 4 2 47 10" xfId="20608" xr:uid="{00000000-0005-0000-0000-000000520000}"/>
    <cellStyle name="Percent 4 2 47 11" xfId="20609" xr:uid="{00000000-0005-0000-0000-000001520000}"/>
    <cellStyle name="Percent 4 2 47 12" xfId="20610" xr:uid="{00000000-0005-0000-0000-000002520000}"/>
    <cellStyle name="Percent 4 2 47 13" xfId="20611" xr:uid="{00000000-0005-0000-0000-000003520000}"/>
    <cellStyle name="Percent 4 2 47 14" xfId="20612" xr:uid="{00000000-0005-0000-0000-000004520000}"/>
    <cellStyle name="Percent 4 2 47 15" xfId="20613" xr:uid="{00000000-0005-0000-0000-000005520000}"/>
    <cellStyle name="Percent 4 2 47 16" xfId="20614" xr:uid="{00000000-0005-0000-0000-000006520000}"/>
    <cellStyle name="Percent 4 2 47 17" xfId="20615" xr:uid="{00000000-0005-0000-0000-000007520000}"/>
    <cellStyle name="Percent 4 2 47 2" xfId="20616" xr:uid="{00000000-0005-0000-0000-000008520000}"/>
    <cellStyle name="Percent 4 2 47 3" xfId="20617" xr:uid="{00000000-0005-0000-0000-000009520000}"/>
    <cellStyle name="Percent 4 2 47 4" xfId="20618" xr:uid="{00000000-0005-0000-0000-00000A520000}"/>
    <cellStyle name="Percent 4 2 47 5" xfId="20619" xr:uid="{00000000-0005-0000-0000-00000B520000}"/>
    <cellStyle name="Percent 4 2 47 6" xfId="20620" xr:uid="{00000000-0005-0000-0000-00000C520000}"/>
    <cellStyle name="Percent 4 2 47 7" xfId="20621" xr:uid="{00000000-0005-0000-0000-00000D520000}"/>
    <cellStyle name="Percent 4 2 47 8" xfId="20622" xr:uid="{00000000-0005-0000-0000-00000E520000}"/>
    <cellStyle name="Percent 4 2 47 9" xfId="20623" xr:uid="{00000000-0005-0000-0000-00000F520000}"/>
    <cellStyle name="Percent 4 2 48" xfId="20624" xr:uid="{00000000-0005-0000-0000-000010520000}"/>
    <cellStyle name="Percent 4 2 49" xfId="20625" xr:uid="{00000000-0005-0000-0000-000011520000}"/>
    <cellStyle name="Percent 4 2 5" xfId="20626" xr:uid="{00000000-0005-0000-0000-000012520000}"/>
    <cellStyle name="Percent 4 2 5 10" xfId="20627" xr:uid="{00000000-0005-0000-0000-000013520000}"/>
    <cellStyle name="Percent 4 2 5 11" xfId="20628" xr:uid="{00000000-0005-0000-0000-000014520000}"/>
    <cellStyle name="Percent 4 2 5 12" xfId="20629" xr:uid="{00000000-0005-0000-0000-000015520000}"/>
    <cellStyle name="Percent 4 2 5 13" xfId="20630" xr:uid="{00000000-0005-0000-0000-000016520000}"/>
    <cellStyle name="Percent 4 2 5 14" xfId="20631" xr:uid="{00000000-0005-0000-0000-000017520000}"/>
    <cellStyle name="Percent 4 2 5 15" xfId="20632" xr:uid="{00000000-0005-0000-0000-000018520000}"/>
    <cellStyle name="Percent 4 2 5 16" xfId="20633" xr:uid="{00000000-0005-0000-0000-000019520000}"/>
    <cellStyle name="Percent 4 2 5 17" xfId="20634" xr:uid="{00000000-0005-0000-0000-00001A520000}"/>
    <cellStyle name="Percent 4 2 5 2" xfId="20635" xr:uid="{00000000-0005-0000-0000-00001B520000}"/>
    <cellStyle name="Percent 4 2 5 3" xfId="20636" xr:uid="{00000000-0005-0000-0000-00001C520000}"/>
    <cellStyle name="Percent 4 2 5 4" xfId="20637" xr:uid="{00000000-0005-0000-0000-00001D520000}"/>
    <cellStyle name="Percent 4 2 5 5" xfId="20638" xr:uid="{00000000-0005-0000-0000-00001E520000}"/>
    <cellStyle name="Percent 4 2 5 6" xfId="20639" xr:uid="{00000000-0005-0000-0000-00001F520000}"/>
    <cellStyle name="Percent 4 2 5 7" xfId="20640" xr:uid="{00000000-0005-0000-0000-000020520000}"/>
    <cellStyle name="Percent 4 2 5 8" xfId="20641" xr:uid="{00000000-0005-0000-0000-000021520000}"/>
    <cellStyle name="Percent 4 2 5 9" xfId="20642" xr:uid="{00000000-0005-0000-0000-000022520000}"/>
    <cellStyle name="Percent 4 2 50" xfId="20643" xr:uid="{00000000-0005-0000-0000-000023520000}"/>
    <cellStyle name="Percent 4 2 51" xfId="20644" xr:uid="{00000000-0005-0000-0000-000024520000}"/>
    <cellStyle name="Percent 4 2 52" xfId="20645" xr:uid="{00000000-0005-0000-0000-000025520000}"/>
    <cellStyle name="Percent 4 2 53" xfId="20646" xr:uid="{00000000-0005-0000-0000-000026520000}"/>
    <cellStyle name="Percent 4 2 54" xfId="20647" xr:uid="{00000000-0005-0000-0000-000027520000}"/>
    <cellStyle name="Percent 4 2 55" xfId="20648" xr:uid="{00000000-0005-0000-0000-000028520000}"/>
    <cellStyle name="Percent 4 2 56" xfId="20649" xr:uid="{00000000-0005-0000-0000-000029520000}"/>
    <cellStyle name="Percent 4 2 57" xfId="20650" xr:uid="{00000000-0005-0000-0000-00002A520000}"/>
    <cellStyle name="Percent 4 2 58" xfId="20651" xr:uid="{00000000-0005-0000-0000-00002B520000}"/>
    <cellStyle name="Percent 4 2 59" xfId="20652" xr:uid="{00000000-0005-0000-0000-00002C520000}"/>
    <cellStyle name="Percent 4 2 6" xfId="20653" xr:uid="{00000000-0005-0000-0000-00002D520000}"/>
    <cellStyle name="Percent 4 2 6 10" xfId="20654" xr:uid="{00000000-0005-0000-0000-00002E520000}"/>
    <cellStyle name="Percent 4 2 6 11" xfId="20655" xr:uid="{00000000-0005-0000-0000-00002F520000}"/>
    <cellStyle name="Percent 4 2 6 12" xfId="20656" xr:uid="{00000000-0005-0000-0000-000030520000}"/>
    <cellStyle name="Percent 4 2 6 13" xfId="20657" xr:uid="{00000000-0005-0000-0000-000031520000}"/>
    <cellStyle name="Percent 4 2 6 14" xfId="20658" xr:uid="{00000000-0005-0000-0000-000032520000}"/>
    <cellStyle name="Percent 4 2 6 15" xfId="20659" xr:uid="{00000000-0005-0000-0000-000033520000}"/>
    <cellStyle name="Percent 4 2 6 16" xfId="20660" xr:uid="{00000000-0005-0000-0000-000034520000}"/>
    <cellStyle name="Percent 4 2 6 17" xfId="20661" xr:uid="{00000000-0005-0000-0000-000035520000}"/>
    <cellStyle name="Percent 4 2 6 2" xfId="20662" xr:uid="{00000000-0005-0000-0000-000036520000}"/>
    <cellStyle name="Percent 4 2 6 3" xfId="20663" xr:uid="{00000000-0005-0000-0000-000037520000}"/>
    <cellStyle name="Percent 4 2 6 4" xfId="20664" xr:uid="{00000000-0005-0000-0000-000038520000}"/>
    <cellStyle name="Percent 4 2 6 5" xfId="20665" xr:uid="{00000000-0005-0000-0000-000039520000}"/>
    <cellStyle name="Percent 4 2 6 6" xfId="20666" xr:uid="{00000000-0005-0000-0000-00003A520000}"/>
    <cellStyle name="Percent 4 2 6 7" xfId="20667" xr:uid="{00000000-0005-0000-0000-00003B520000}"/>
    <cellStyle name="Percent 4 2 6 8" xfId="20668" xr:uid="{00000000-0005-0000-0000-00003C520000}"/>
    <cellStyle name="Percent 4 2 6 9" xfId="20669" xr:uid="{00000000-0005-0000-0000-00003D520000}"/>
    <cellStyle name="Percent 4 2 60" xfId="20670" xr:uid="{00000000-0005-0000-0000-00003E520000}"/>
    <cellStyle name="Percent 4 2 7" xfId="20671" xr:uid="{00000000-0005-0000-0000-00003F520000}"/>
    <cellStyle name="Percent 4 2 7 10" xfId="20672" xr:uid="{00000000-0005-0000-0000-000040520000}"/>
    <cellStyle name="Percent 4 2 7 11" xfId="20673" xr:uid="{00000000-0005-0000-0000-000041520000}"/>
    <cellStyle name="Percent 4 2 7 12" xfId="20674" xr:uid="{00000000-0005-0000-0000-000042520000}"/>
    <cellStyle name="Percent 4 2 7 13" xfId="20675" xr:uid="{00000000-0005-0000-0000-000043520000}"/>
    <cellStyle name="Percent 4 2 7 14" xfId="20676" xr:uid="{00000000-0005-0000-0000-000044520000}"/>
    <cellStyle name="Percent 4 2 7 15" xfId="20677" xr:uid="{00000000-0005-0000-0000-000045520000}"/>
    <cellStyle name="Percent 4 2 7 16" xfId="20678" xr:uid="{00000000-0005-0000-0000-000046520000}"/>
    <cellStyle name="Percent 4 2 7 17" xfId="20679" xr:uid="{00000000-0005-0000-0000-000047520000}"/>
    <cellStyle name="Percent 4 2 7 2" xfId="20680" xr:uid="{00000000-0005-0000-0000-000048520000}"/>
    <cellStyle name="Percent 4 2 7 3" xfId="20681" xr:uid="{00000000-0005-0000-0000-000049520000}"/>
    <cellStyle name="Percent 4 2 7 4" xfId="20682" xr:uid="{00000000-0005-0000-0000-00004A520000}"/>
    <cellStyle name="Percent 4 2 7 5" xfId="20683" xr:uid="{00000000-0005-0000-0000-00004B520000}"/>
    <cellStyle name="Percent 4 2 7 6" xfId="20684" xr:uid="{00000000-0005-0000-0000-00004C520000}"/>
    <cellStyle name="Percent 4 2 7 7" xfId="20685" xr:uid="{00000000-0005-0000-0000-00004D520000}"/>
    <cellStyle name="Percent 4 2 7 8" xfId="20686" xr:uid="{00000000-0005-0000-0000-00004E520000}"/>
    <cellStyle name="Percent 4 2 7 9" xfId="20687" xr:uid="{00000000-0005-0000-0000-00004F520000}"/>
    <cellStyle name="Percent 4 2 8" xfId="20688" xr:uid="{00000000-0005-0000-0000-000050520000}"/>
    <cellStyle name="Percent 4 2 8 10" xfId="20689" xr:uid="{00000000-0005-0000-0000-000051520000}"/>
    <cellStyle name="Percent 4 2 8 11" xfId="20690" xr:uid="{00000000-0005-0000-0000-000052520000}"/>
    <cellStyle name="Percent 4 2 8 12" xfId="20691" xr:uid="{00000000-0005-0000-0000-000053520000}"/>
    <cellStyle name="Percent 4 2 8 13" xfId="20692" xr:uid="{00000000-0005-0000-0000-000054520000}"/>
    <cellStyle name="Percent 4 2 8 14" xfId="20693" xr:uid="{00000000-0005-0000-0000-000055520000}"/>
    <cellStyle name="Percent 4 2 8 15" xfId="20694" xr:uid="{00000000-0005-0000-0000-000056520000}"/>
    <cellStyle name="Percent 4 2 8 16" xfId="20695" xr:uid="{00000000-0005-0000-0000-000057520000}"/>
    <cellStyle name="Percent 4 2 8 17" xfId="20696" xr:uid="{00000000-0005-0000-0000-000058520000}"/>
    <cellStyle name="Percent 4 2 8 2" xfId="20697" xr:uid="{00000000-0005-0000-0000-000059520000}"/>
    <cellStyle name="Percent 4 2 8 3" xfId="20698" xr:uid="{00000000-0005-0000-0000-00005A520000}"/>
    <cellStyle name="Percent 4 2 8 4" xfId="20699" xr:uid="{00000000-0005-0000-0000-00005B520000}"/>
    <cellStyle name="Percent 4 2 8 5" xfId="20700" xr:uid="{00000000-0005-0000-0000-00005C520000}"/>
    <cellStyle name="Percent 4 2 8 6" xfId="20701" xr:uid="{00000000-0005-0000-0000-00005D520000}"/>
    <cellStyle name="Percent 4 2 8 7" xfId="20702" xr:uid="{00000000-0005-0000-0000-00005E520000}"/>
    <cellStyle name="Percent 4 2 8 8" xfId="20703" xr:uid="{00000000-0005-0000-0000-00005F520000}"/>
    <cellStyle name="Percent 4 2 8 9" xfId="20704" xr:uid="{00000000-0005-0000-0000-000060520000}"/>
    <cellStyle name="Percent 4 2 9" xfId="20705" xr:uid="{00000000-0005-0000-0000-000061520000}"/>
    <cellStyle name="Percent 4 2 9 10" xfId="20706" xr:uid="{00000000-0005-0000-0000-000062520000}"/>
    <cellStyle name="Percent 4 2 9 11" xfId="20707" xr:uid="{00000000-0005-0000-0000-000063520000}"/>
    <cellStyle name="Percent 4 2 9 12" xfId="20708" xr:uid="{00000000-0005-0000-0000-000064520000}"/>
    <cellStyle name="Percent 4 2 9 13" xfId="20709" xr:uid="{00000000-0005-0000-0000-000065520000}"/>
    <cellStyle name="Percent 4 2 9 14" xfId="20710" xr:uid="{00000000-0005-0000-0000-000066520000}"/>
    <cellStyle name="Percent 4 2 9 15" xfId="20711" xr:uid="{00000000-0005-0000-0000-000067520000}"/>
    <cellStyle name="Percent 4 2 9 16" xfId="20712" xr:uid="{00000000-0005-0000-0000-000068520000}"/>
    <cellStyle name="Percent 4 2 9 17" xfId="20713" xr:uid="{00000000-0005-0000-0000-000069520000}"/>
    <cellStyle name="Percent 4 2 9 2" xfId="20714" xr:uid="{00000000-0005-0000-0000-00006A520000}"/>
    <cellStyle name="Percent 4 2 9 3" xfId="20715" xr:uid="{00000000-0005-0000-0000-00006B520000}"/>
    <cellStyle name="Percent 4 2 9 4" xfId="20716" xr:uid="{00000000-0005-0000-0000-00006C520000}"/>
    <cellStyle name="Percent 4 2 9 5" xfId="20717" xr:uid="{00000000-0005-0000-0000-00006D520000}"/>
    <cellStyle name="Percent 4 2 9 6" xfId="20718" xr:uid="{00000000-0005-0000-0000-00006E520000}"/>
    <cellStyle name="Percent 4 2 9 7" xfId="20719" xr:uid="{00000000-0005-0000-0000-00006F520000}"/>
    <cellStyle name="Percent 4 2 9 8" xfId="20720" xr:uid="{00000000-0005-0000-0000-000070520000}"/>
    <cellStyle name="Percent 4 2 9 9" xfId="20721" xr:uid="{00000000-0005-0000-0000-000071520000}"/>
    <cellStyle name="Percent 4 20" xfId="20722" xr:uid="{00000000-0005-0000-0000-000072520000}"/>
    <cellStyle name="Percent 4 20 10" xfId="20723" xr:uid="{00000000-0005-0000-0000-000073520000}"/>
    <cellStyle name="Percent 4 20 11" xfId="20724" xr:uid="{00000000-0005-0000-0000-000074520000}"/>
    <cellStyle name="Percent 4 20 12" xfId="20725" xr:uid="{00000000-0005-0000-0000-000075520000}"/>
    <cellStyle name="Percent 4 20 13" xfId="20726" xr:uid="{00000000-0005-0000-0000-000076520000}"/>
    <cellStyle name="Percent 4 20 14" xfId="20727" xr:uid="{00000000-0005-0000-0000-000077520000}"/>
    <cellStyle name="Percent 4 20 15" xfId="20728" xr:uid="{00000000-0005-0000-0000-000078520000}"/>
    <cellStyle name="Percent 4 20 16" xfId="20729" xr:uid="{00000000-0005-0000-0000-000079520000}"/>
    <cellStyle name="Percent 4 20 17" xfId="20730" xr:uid="{00000000-0005-0000-0000-00007A520000}"/>
    <cellStyle name="Percent 4 20 2" xfId="20731" xr:uid="{00000000-0005-0000-0000-00007B520000}"/>
    <cellStyle name="Percent 4 20 3" xfId="20732" xr:uid="{00000000-0005-0000-0000-00007C520000}"/>
    <cellStyle name="Percent 4 20 4" xfId="20733" xr:uid="{00000000-0005-0000-0000-00007D520000}"/>
    <cellStyle name="Percent 4 20 5" xfId="20734" xr:uid="{00000000-0005-0000-0000-00007E520000}"/>
    <cellStyle name="Percent 4 20 6" xfId="20735" xr:uid="{00000000-0005-0000-0000-00007F520000}"/>
    <cellStyle name="Percent 4 20 7" xfId="20736" xr:uid="{00000000-0005-0000-0000-000080520000}"/>
    <cellStyle name="Percent 4 20 8" xfId="20737" xr:uid="{00000000-0005-0000-0000-000081520000}"/>
    <cellStyle name="Percent 4 20 9" xfId="20738" xr:uid="{00000000-0005-0000-0000-000082520000}"/>
    <cellStyle name="Percent 4 21" xfId="20739" xr:uid="{00000000-0005-0000-0000-000083520000}"/>
    <cellStyle name="Percent 4 21 10" xfId="20740" xr:uid="{00000000-0005-0000-0000-000084520000}"/>
    <cellStyle name="Percent 4 21 11" xfId="20741" xr:uid="{00000000-0005-0000-0000-000085520000}"/>
    <cellStyle name="Percent 4 21 12" xfId="20742" xr:uid="{00000000-0005-0000-0000-000086520000}"/>
    <cellStyle name="Percent 4 21 13" xfId="20743" xr:uid="{00000000-0005-0000-0000-000087520000}"/>
    <cellStyle name="Percent 4 21 14" xfId="20744" xr:uid="{00000000-0005-0000-0000-000088520000}"/>
    <cellStyle name="Percent 4 21 15" xfId="20745" xr:uid="{00000000-0005-0000-0000-000089520000}"/>
    <cellStyle name="Percent 4 21 16" xfId="20746" xr:uid="{00000000-0005-0000-0000-00008A520000}"/>
    <cellStyle name="Percent 4 21 17" xfId="20747" xr:uid="{00000000-0005-0000-0000-00008B520000}"/>
    <cellStyle name="Percent 4 21 2" xfId="20748" xr:uid="{00000000-0005-0000-0000-00008C520000}"/>
    <cellStyle name="Percent 4 21 3" xfId="20749" xr:uid="{00000000-0005-0000-0000-00008D520000}"/>
    <cellStyle name="Percent 4 21 4" xfId="20750" xr:uid="{00000000-0005-0000-0000-00008E520000}"/>
    <cellStyle name="Percent 4 21 5" xfId="20751" xr:uid="{00000000-0005-0000-0000-00008F520000}"/>
    <cellStyle name="Percent 4 21 6" xfId="20752" xr:uid="{00000000-0005-0000-0000-000090520000}"/>
    <cellStyle name="Percent 4 21 7" xfId="20753" xr:uid="{00000000-0005-0000-0000-000091520000}"/>
    <cellStyle name="Percent 4 21 8" xfId="20754" xr:uid="{00000000-0005-0000-0000-000092520000}"/>
    <cellStyle name="Percent 4 21 9" xfId="20755" xr:uid="{00000000-0005-0000-0000-000093520000}"/>
    <cellStyle name="Percent 4 22" xfId="20756" xr:uid="{00000000-0005-0000-0000-000094520000}"/>
    <cellStyle name="Percent 4 22 10" xfId="20757" xr:uid="{00000000-0005-0000-0000-000095520000}"/>
    <cellStyle name="Percent 4 22 11" xfId="20758" xr:uid="{00000000-0005-0000-0000-000096520000}"/>
    <cellStyle name="Percent 4 22 12" xfId="20759" xr:uid="{00000000-0005-0000-0000-000097520000}"/>
    <cellStyle name="Percent 4 22 13" xfId="20760" xr:uid="{00000000-0005-0000-0000-000098520000}"/>
    <cellStyle name="Percent 4 22 14" xfId="20761" xr:uid="{00000000-0005-0000-0000-000099520000}"/>
    <cellStyle name="Percent 4 22 15" xfId="20762" xr:uid="{00000000-0005-0000-0000-00009A520000}"/>
    <cellStyle name="Percent 4 22 16" xfId="20763" xr:uid="{00000000-0005-0000-0000-00009B520000}"/>
    <cellStyle name="Percent 4 22 17" xfId="20764" xr:uid="{00000000-0005-0000-0000-00009C520000}"/>
    <cellStyle name="Percent 4 22 2" xfId="20765" xr:uid="{00000000-0005-0000-0000-00009D520000}"/>
    <cellStyle name="Percent 4 22 3" xfId="20766" xr:uid="{00000000-0005-0000-0000-00009E520000}"/>
    <cellStyle name="Percent 4 22 4" xfId="20767" xr:uid="{00000000-0005-0000-0000-00009F520000}"/>
    <cellStyle name="Percent 4 22 5" xfId="20768" xr:uid="{00000000-0005-0000-0000-0000A0520000}"/>
    <cellStyle name="Percent 4 22 6" xfId="20769" xr:uid="{00000000-0005-0000-0000-0000A1520000}"/>
    <cellStyle name="Percent 4 22 7" xfId="20770" xr:uid="{00000000-0005-0000-0000-0000A2520000}"/>
    <cellStyle name="Percent 4 22 8" xfId="20771" xr:uid="{00000000-0005-0000-0000-0000A3520000}"/>
    <cellStyle name="Percent 4 22 9" xfId="20772" xr:uid="{00000000-0005-0000-0000-0000A4520000}"/>
    <cellStyle name="Percent 4 23" xfId="20773" xr:uid="{00000000-0005-0000-0000-0000A5520000}"/>
    <cellStyle name="Percent 4 23 10" xfId="20774" xr:uid="{00000000-0005-0000-0000-0000A6520000}"/>
    <cellStyle name="Percent 4 23 11" xfId="20775" xr:uid="{00000000-0005-0000-0000-0000A7520000}"/>
    <cellStyle name="Percent 4 23 12" xfId="20776" xr:uid="{00000000-0005-0000-0000-0000A8520000}"/>
    <cellStyle name="Percent 4 23 13" xfId="20777" xr:uid="{00000000-0005-0000-0000-0000A9520000}"/>
    <cellStyle name="Percent 4 23 14" xfId="20778" xr:uid="{00000000-0005-0000-0000-0000AA520000}"/>
    <cellStyle name="Percent 4 23 15" xfId="20779" xr:uid="{00000000-0005-0000-0000-0000AB520000}"/>
    <cellStyle name="Percent 4 23 16" xfId="20780" xr:uid="{00000000-0005-0000-0000-0000AC520000}"/>
    <cellStyle name="Percent 4 23 17" xfId="20781" xr:uid="{00000000-0005-0000-0000-0000AD520000}"/>
    <cellStyle name="Percent 4 23 2" xfId="20782" xr:uid="{00000000-0005-0000-0000-0000AE520000}"/>
    <cellStyle name="Percent 4 23 3" xfId="20783" xr:uid="{00000000-0005-0000-0000-0000AF520000}"/>
    <cellStyle name="Percent 4 23 4" xfId="20784" xr:uid="{00000000-0005-0000-0000-0000B0520000}"/>
    <cellStyle name="Percent 4 23 5" xfId="20785" xr:uid="{00000000-0005-0000-0000-0000B1520000}"/>
    <cellStyle name="Percent 4 23 6" xfId="20786" xr:uid="{00000000-0005-0000-0000-0000B2520000}"/>
    <cellStyle name="Percent 4 23 7" xfId="20787" xr:uid="{00000000-0005-0000-0000-0000B3520000}"/>
    <cellStyle name="Percent 4 23 8" xfId="20788" xr:uid="{00000000-0005-0000-0000-0000B4520000}"/>
    <cellStyle name="Percent 4 23 9" xfId="20789" xr:uid="{00000000-0005-0000-0000-0000B5520000}"/>
    <cellStyle name="Percent 4 24" xfId="20790" xr:uid="{00000000-0005-0000-0000-0000B6520000}"/>
    <cellStyle name="Percent 4 24 10" xfId="20791" xr:uid="{00000000-0005-0000-0000-0000B7520000}"/>
    <cellStyle name="Percent 4 24 11" xfId="20792" xr:uid="{00000000-0005-0000-0000-0000B8520000}"/>
    <cellStyle name="Percent 4 24 12" xfId="20793" xr:uid="{00000000-0005-0000-0000-0000B9520000}"/>
    <cellStyle name="Percent 4 24 13" xfId="20794" xr:uid="{00000000-0005-0000-0000-0000BA520000}"/>
    <cellStyle name="Percent 4 24 14" xfId="20795" xr:uid="{00000000-0005-0000-0000-0000BB520000}"/>
    <cellStyle name="Percent 4 24 15" xfId="20796" xr:uid="{00000000-0005-0000-0000-0000BC520000}"/>
    <cellStyle name="Percent 4 24 16" xfId="20797" xr:uid="{00000000-0005-0000-0000-0000BD520000}"/>
    <cellStyle name="Percent 4 24 17" xfId="20798" xr:uid="{00000000-0005-0000-0000-0000BE520000}"/>
    <cellStyle name="Percent 4 24 2" xfId="20799" xr:uid="{00000000-0005-0000-0000-0000BF520000}"/>
    <cellStyle name="Percent 4 24 3" xfId="20800" xr:uid="{00000000-0005-0000-0000-0000C0520000}"/>
    <cellStyle name="Percent 4 24 4" xfId="20801" xr:uid="{00000000-0005-0000-0000-0000C1520000}"/>
    <cellStyle name="Percent 4 24 5" xfId="20802" xr:uid="{00000000-0005-0000-0000-0000C2520000}"/>
    <cellStyle name="Percent 4 24 6" xfId="20803" xr:uid="{00000000-0005-0000-0000-0000C3520000}"/>
    <cellStyle name="Percent 4 24 7" xfId="20804" xr:uid="{00000000-0005-0000-0000-0000C4520000}"/>
    <cellStyle name="Percent 4 24 8" xfId="20805" xr:uid="{00000000-0005-0000-0000-0000C5520000}"/>
    <cellStyle name="Percent 4 24 9" xfId="20806" xr:uid="{00000000-0005-0000-0000-0000C6520000}"/>
    <cellStyle name="Percent 4 25" xfId="20807" xr:uid="{00000000-0005-0000-0000-0000C7520000}"/>
    <cellStyle name="Percent 4 25 10" xfId="20808" xr:uid="{00000000-0005-0000-0000-0000C8520000}"/>
    <cellStyle name="Percent 4 25 11" xfId="20809" xr:uid="{00000000-0005-0000-0000-0000C9520000}"/>
    <cellStyle name="Percent 4 25 12" xfId="20810" xr:uid="{00000000-0005-0000-0000-0000CA520000}"/>
    <cellStyle name="Percent 4 25 13" xfId="20811" xr:uid="{00000000-0005-0000-0000-0000CB520000}"/>
    <cellStyle name="Percent 4 25 14" xfId="20812" xr:uid="{00000000-0005-0000-0000-0000CC520000}"/>
    <cellStyle name="Percent 4 25 15" xfId="20813" xr:uid="{00000000-0005-0000-0000-0000CD520000}"/>
    <cellStyle name="Percent 4 25 16" xfId="20814" xr:uid="{00000000-0005-0000-0000-0000CE520000}"/>
    <cellStyle name="Percent 4 25 17" xfId="20815" xr:uid="{00000000-0005-0000-0000-0000CF520000}"/>
    <cellStyle name="Percent 4 25 2" xfId="20816" xr:uid="{00000000-0005-0000-0000-0000D0520000}"/>
    <cellStyle name="Percent 4 25 3" xfId="20817" xr:uid="{00000000-0005-0000-0000-0000D1520000}"/>
    <cellStyle name="Percent 4 25 4" xfId="20818" xr:uid="{00000000-0005-0000-0000-0000D2520000}"/>
    <cellStyle name="Percent 4 25 5" xfId="20819" xr:uid="{00000000-0005-0000-0000-0000D3520000}"/>
    <cellStyle name="Percent 4 25 6" xfId="20820" xr:uid="{00000000-0005-0000-0000-0000D4520000}"/>
    <cellStyle name="Percent 4 25 7" xfId="20821" xr:uid="{00000000-0005-0000-0000-0000D5520000}"/>
    <cellStyle name="Percent 4 25 8" xfId="20822" xr:uid="{00000000-0005-0000-0000-0000D6520000}"/>
    <cellStyle name="Percent 4 25 9" xfId="20823" xr:uid="{00000000-0005-0000-0000-0000D7520000}"/>
    <cellStyle name="Percent 4 26" xfId="20824" xr:uid="{00000000-0005-0000-0000-0000D8520000}"/>
    <cellStyle name="Percent 4 26 10" xfId="20825" xr:uid="{00000000-0005-0000-0000-0000D9520000}"/>
    <cellStyle name="Percent 4 26 11" xfId="20826" xr:uid="{00000000-0005-0000-0000-0000DA520000}"/>
    <cellStyle name="Percent 4 26 12" xfId="20827" xr:uid="{00000000-0005-0000-0000-0000DB520000}"/>
    <cellStyle name="Percent 4 26 13" xfId="20828" xr:uid="{00000000-0005-0000-0000-0000DC520000}"/>
    <cellStyle name="Percent 4 26 14" xfId="20829" xr:uid="{00000000-0005-0000-0000-0000DD520000}"/>
    <cellStyle name="Percent 4 26 15" xfId="20830" xr:uid="{00000000-0005-0000-0000-0000DE520000}"/>
    <cellStyle name="Percent 4 26 16" xfId="20831" xr:uid="{00000000-0005-0000-0000-0000DF520000}"/>
    <cellStyle name="Percent 4 26 17" xfId="20832" xr:uid="{00000000-0005-0000-0000-0000E0520000}"/>
    <cellStyle name="Percent 4 26 2" xfId="20833" xr:uid="{00000000-0005-0000-0000-0000E1520000}"/>
    <cellStyle name="Percent 4 26 3" xfId="20834" xr:uid="{00000000-0005-0000-0000-0000E2520000}"/>
    <cellStyle name="Percent 4 26 4" xfId="20835" xr:uid="{00000000-0005-0000-0000-0000E3520000}"/>
    <cellStyle name="Percent 4 26 5" xfId="20836" xr:uid="{00000000-0005-0000-0000-0000E4520000}"/>
    <cellStyle name="Percent 4 26 6" xfId="20837" xr:uid="{00000000-0005-0000-0000-0000E5520000}"/>
    <cellStyle name="Percent 4 26 7" xfId="20838" xr:uid="{00000000-0005-0000-0000-0000E6520000}"/>
    <cellStyle name="Percent 4 26 8" xfId="20839" xr:uid="{00000000-0005-0000-0000-0000E7520000}"/>
    <cellStyle name="Percent 4 26 9" xfId="20840" xr:uid="{00000000-0005-0000-0000-0000E8520000}"/>
    <cellStyle name="Percent 4 27" xfId="20841" xr:uid="{00000000-0005-0000-0000-0000E9520000}"/>
    <cellStyle name="Percent 4 27 10" xfId="20842" xr:uid="{00000000-0005-0000-0000-0000EA520000}"/>
    <cellStyle name="Percent 4 27 11" xfId="20843" xr:uid="{00000000-0005-0000-0000-0000EB520000}"/>
    <cellStyle name="Percent 4 27 12" xfId="20844" xr:uid="{00000000-0005-0000-0000-0000EC520000}"/>
    <cellStyle name="Percent 4 27 13" xfId="20845" xr:uid="{00000000-0005-0000-0000-0000ED520000}"/>
    <cellStyle name="Percent 4 27 14" xfId="20846" xr:uid="{00000000-0005-0000-0000-0000EE520000}"/>
    <cellStyle name="Percent 4 27 15" xfId="20847" xr:uid="{00000000-0005-0000-0000-0000EF520000}"/>
    <cellStyle name="Percent 4 27 16" xfId="20848" xr:uid="{00000000-0005-0000-0000-0000F0520000}"/>
    <cellStyle name="Percent 4 27 17" xfId="20849" xr:uid="{00000000-0005-0000-0000-0000F1520000}"/>
    <cellStyle name="Percent 4 27 2" xfId="20850" xr:uid="{00000000-0005-0000-0000-0000F2520000}"/>
    <cellStyle name="Percent 4 27 3" xfId="20851" xr:uid="{00000000-0005-0000-0000-0000F3520000}"/>
    <cellStyle name="Percent 4 27 4" xfId="20852" xr:uid="{00000000-0005-0000-0000-0000F4520000}"/>
    <cellStyle name="Percent 4 27 5" xfId="20853" xr:uid="{00000000-0005-0000-0000-0000F5520000}"/>
    <cellStyle name="Percent 4 27 6" xfId="20854" xr:uid="{00000000-0005-0000-0000-0000F6520000}"/>
    <cellStyle name="Percent 4 27 7" xfId="20855" xr:uid="{00000000-0005-0000-0000-0000F7520000}"/>
    <cellStyle name="Percent 4 27 8" xfId="20856" xr:uid="{00000000-0005-0000-0000-0000F8520000}"/>
    <cellStyle name="Percent 4 27 9" xfId="20857" xr:uid="{00000000-0005-0000-0000-0000F9520000}"/>
    <cellStyle name="Percent 4 28" xfId="20858" xr:uid="{00000000-0005-0000-0000-0000FA520000}"/>
    <cellStyle name="Percent 4 28 10" xfId="20859" xr:uid="{00000000-0005-0000-0000-0000FB520000}"/>
    <cellStyle name="Percent 4 28 11" xfId="20860" xr:uid="{00000000-0005-0000-0000-0000FC520000}"/>
    <cellStyle name="Percent 4 28 12" xfId="20861" xr:uid="{00000000-0005-0000-0000-0000FD520000}"/>
    <cellStyle name="Percent 4 28 13" xfId="20862" xr:uid="{00000000-0005-0000-0000-0000FE520000}"/>
    <cellStyle name="Percent 4 28 14" xfId="20863" xr:uid="{00000000-0005-0000-0000-0000FF520000}"/>
    <cellStyle name="Percent 4 28 15" xfId="20864" xr:uid="{00000000-0005-0000-0000-000000530000}"/>
    <cellStyle name="Percent 4 28 16" xfId="20865" xr:uid="{00000000-0005-0000-0000-000001530000}"/>
    <cellStyle name="Percent 4 28 17" xfId="20866" xr:uid="{00000000-0005-0000-0000-000002530000}"/>
    <cellStyle name="Percent 4 28 2" xfId="20867" xr:uid="{00000000-0005-0000-0000-000003530000}"/>
    <cellStyle name="Percent 4 28 3" xfId="20868" xr:uid="{00000000-0005-0000-0000-000004530000}"/>
    <cellStyle name="Percent 4 28 4" xfId="20869" xr:uid="{00000000-0005-0000-0000-000005530000}"/>
    <cellStyle name="Percent 4 28 5" xfId="20870" xr:uid="{00000000-0005-0000-0000-000006530000}"/>
    <cellStyle name="Percent 4 28 6" xfId="20871" xr:uid="{00000000-0005-0000-0000-000007530000}"/>
    <cellStyle name="Percent 4 28 7" xfId="20872" xr:uid="{00000000-0005-0000-0000-000008530000}"/>
    <cellStyle name="Percent 4 28 8" xfId="20873" xr:uid="{00000000-0005-0000-0000-000009530000}"/>
    <cellStyle name="Percent 4 28 9" xfId="20874" xr:uid="{00000000-0005-0000-0000-00000A530000}"/>
    <cellStyle name="Percent 4 29" xfId="20875" xr:uid="{00000000-0005-0000-0000-00000B530000}"/>
    <cellStyle name="Percent 4 29 10" xfId="20876" xr:uid="{00000000-0005-0000-0000-00000C530000}"/>
    <cellStyle name="Percent 4 29 11" xfId="20877" xr:uid="{00000000-0005-0000-0000-00000D530000}"/>
    <cellStyle name="Percent 4 29 12" xfId="20878" xr:uid="{00000000-0005-0000-0000-00000E530000}"/>
    <cellStyle name="Percent 4 29 13" xfId="20879" xr:uid="{00000000-0005-0000-0000-00000F530000}"/>
    <cellStyle name="Percent 4 29 14" xfId="20880" xr:uid="{00000000-0005-0000-0000-000010530000}"/>
    <cellStyle name="Percent 4 29 15" xfId="20881" xr:uid="{00000000-0005-0000-0000-000011530000}"/>
    <cellStyle name="Percent 4 29 16" xfId="20882" xr:uid="{00000000-0005-0000-0000-000012530000}"/>
    <cellStyle name="Percent 4 29 17" xfId="20883" xr:uid="{00000000-0005-0000-0000-000013530000}"/>
    <cellStyle name="Percent 4 29 2" xfId="20884" xr:uid="{00000000-0005-0000-0000-000014530000}"/>
    <cellStyle name="Percent 4 29 3" xfId="20885" xr:uid="{00000000-0005-0000-0000-000015530000}"/>
    <cellStyle name="Percent 4 29 4" xfId="20886" xr:uid="{00000000-0005-0000-0000-000016530000}"/>
    <cellStyle name="Percent 4 29 5" xfId="20887" xr:uid="{00000000-0005-0000-0000-000017530000}"/>
    <cellStyle name="Percent 4 29 6" xfId="20888" xr:uid="{00000000-0005-0000-0000-000018530000}"/>
    <cellStyle name="Percent 4 29 7" xfId="20889" xr:uid="{00000000-0005-0000-0000-000019530000}"/>
    <cellStyle name="Percent 4 29 8" xfId="20890" xr:uid="{00000000-0005-0000-0000-00001A530000}"/>
    <cellStyle name="Percent 4 29 9" xfId="20891" xr:uid="{00000000-0005-0000-0000-00001B530000}"/>
    <cellStyle name="Percent 4 3" xfId="20892" xr:uid="{00000000-0005-0000-0000-00001C530000}"/>
    <cellStyle name="Percent 4 3 10" xfId="20893" xr:uid="{00000000-0005-0000-0000-00001D530000}"/>
    <cellStyle name="Percent 4 3 2" xfId="20894" xr:uid="{00000000-0005-0000-0000-00001E530000}"/>
    <cellStyle name="Percent 4 3 3" xfId="20895" xr:uid="{00000000-0005-0000-0000-00001F530000}"/>
    <cellStyle name="Percent 4 3 4" xfId="20896" xr:uid="{00000000-0005-0000-0000-000020530000}"/>
    <cellStyle name="Percent 4 3 5" xfId="20897" xr:uid="{00000000-0005-0000-0000-000021530000}"/>
    <cellStyle name="Percent 4 3 6" xfId="20898" xr:uid="{00000000-0005-0000-0000-000022530000}"/>
    <cellStyle name="Percent 4 3 7" xfId="20899" xr:uid="{00000000-0005-0000-0000-000023530000}"/>
    <cellStyle name="Percent 4 3 8" xfId="20900" xr:uid="{00000000-0005-0000-0000-000024530000}"/>
    <cellStyle name="Percent 4 3 9" xfId="20901" xr:uid="{00000000-0005-0000-0000-000025530000}"/>
    <cellStyle name="Percent 4 30" xfId="20902" xr:uid="{00000000-0005-0000-0000-000026530000}"/>
    <cellStyle name="Percent 4 30 10" xfId="20903" xr:uid="{00000000-0005-0000-0000-000027530000}"/>
    <cellStyle name="Percent 4 30 11" xfId="20904" xr:uid="{00000000-0005-0000-0000-000028530000}"/>
    <cellStyle name="Percent 4 30 12" xfId="20905" xr:uid="{00000000-0005-0000-0000-000029530000}"/>
    <cellStyle name="Percent 4 30 13" xfId="20906" xr:uid="{00000000-0005-0000-0000-00002A530000}"/>
    <cellStyle name="Percent 4 30 14" xfId="20907" xr:uid="{00000000-0005-0000-0000-00002B530000}"/>
    <cellStyle name="Percent 4 30 15" xfId="20908" xr:uid="{00000000-0005-0000-0000-00002C530000}"/>
    <cellStyle name="Percent 4 30 16" xfId="20909" xr:uid="{00000000-0005-0000-0000-00002D530000}"/>
    <cellStyle name="Percent 4 30 17" xfId="20910" xr:uid="{00000000-0005-0000-0000-00002E530000}"/>
    <cellStyle name="Percent 4 30 2" xfId="20911" xr:uid="{00000000-0005-0000-0000-00002F530000}"/>
    <cellStyle name="Percent 4 30 3" xfId="20912" xr:uid="{00000000-0005-0000-0000-000030530000}"/>
    <cellStyle name="Percent 4 30 4" xfId="20913" xr:uid="{00000000-0005-0000-0000-000031530000}"/>
    <cellStyle name="Percent 4 30 5" xfId="20914" xr:uid="{00000000-0005-0000-0000-000032530000}"/>
    <cellStyle name="Percent 4 30 6" xfId="20915" xr:uid="{00000000-0005-0000-0000-000033530000}"/>
    <cellStyle name="Percent 4 30 7" xfId="20916" xr:uid="{00000000-0005-0000-0000-000034530000}"/>
    <cellStyle name="Percent 4 30 8" xfId="20917" xr:uid="{00000000-0005-0000-0000-000035530000}"/>
    <cellStyle name="Percent 4 30 9" xfId="20918" xr:uid="{00000000-0005-0000-0000-000036530000}"/>
    <cellStyle name="Percent 4 31" xfId="20919" xr:uid="{00000000-0005-0000-0000-000037530000}"/>
    <cellStyle name="Percent 4 31 10" xfId="20920" xr:uid="{00000000-0005-0000-0000-000038530000}"/>
    <cellStyle name="Percent 4 31 11" xfId="20921" xr:uid="{00000000-0005-0000-0000-000039530000}"/>
    <cellStyle name="Percent 4 31 12" xfId="20922" xr:uid="{00000000-0005-0000-0000-00003A530000}"/>
    <cellStyle name="Percent 4 31 13" xfId="20923" xr:uid="{00000000-0005-0000-0000-00003B530000}"/>
    <cellStyle name="Percent 4 31 14" xfId="20924" xr:uid="{00000000-0005-0000-0000-00003C530000}"/>
    <cellStyle name="Percent 4 31 15" xfId="20925" xr:uid="{00000000-0005-0000-0000-00003D530000}"/>
    <cellStyle name="Percent 4 31 16" xfId="20926" xr:uid="{00000000-0005-0000-0000-00003E530000}"/>
    <cellStyle name="Percent 4 31 17" xfId="20927" xr:uid="{00000000-0005-0000-0000-00003F530000}"/>
    <cellStyle name="Percent 4 31 2" xfId="20928" xr:uid="{00000000-0005-0000-0000-000040530000}"/>
    <cellStyle name="Percent 4 31 3" xfId="20929" xr:uid="{00000000-0005-0000-0000-000041530000}"/>
    <cellStyle name="Percent 4 31 4" xfId="20930" xr:uid="{00000000-0005-0000-0000-000042530000}"/>
    <cellStyle name="Percent 4 31 5" xfId="20931" xr:uid="{00000000-0005-0000-0000-000043530000}"/>
    <cellStyle name="Percent 4 31 6" xfId="20932" xr:uid="{00000000-0005-0000-0000-000044530000}"/>
    <cellStyle name="Percent 4 31 7" xfId="20933" xr:uid="{00000000-0005-0000-0000-000045530000}"/>
    <cellStyle name="Percent 4 31 8" xfId="20934" xr:uid="{00000000-0005-0000-0000-000046530000}"/>
    <cellStyle name="Percent 4 31 9" xfId="20935" xr:uid="{00000000-0005-0000-0000-000047530000}"/>
    <cellStyle name="Percent 4 32" xfId="20936" xr:uid="{00000000-0005-0000-0000-000048530000}"/>
    <cellStyle name="Percent 4 32 10" xfId="20937" xr:uid="{00000000-0005-0000-0000-000049530000}"/>
    <cellStyle name="Percent 4 32 11" xfId="20938" xr:uid="{00000000-0005-0000-0000-00004A530000}"/>
    <cellStyle name="Percent 4 32 12" xfId="20939" xr:uid="{00000000-0005-0000-0000-00004B530000}"/>
    <cellStyle name="Percent 4 32 13" xfId="20940" xr:uid="{00000000-0005-0000-0000-00004C530000}"/>
    <cellStyle name="Percent 4 32 14" xfId="20941" xr:uid="{00000000-0005-0000-0000-00004D530000}"/>
    <cellStyle name="Percent 4 32 15" xfId="20942" xr:uid="{00000000-0005-0000-0000-00004E530000}"/>
    <cellStyle name="Percent 4 32 16" xfId="20943" xr:uid="{00000000-0005-0000-0000-00004F530000}"/>
    <cellStyle name="Percent 4 32 17" xfId="20944" xr:uid="{00000000-0005-0000-0000-000050530000}"/>
    <cellStyle name="Percent 4 32 2" xfId="20945" xr:uid="{00000000-0005-0000-0000-000051530000}"/>
    <cellStyle name="Percent 4 32 3" xfId="20946" xr:uid="{00000000-0005-0000-0000-000052530000}"/>
    <cellStyle name="Percent 4 32 4" xfId="20947" xr:uid="{00000000-0005-0000-0000-000053530000}"/>
    <cellStyle name="Percent 4 32 5" xfId="20948" xr:uid="{00000000-0005-0000-0000-000054530000}"/>
    <cellStyle name="Percent 4 32 6" xfId="20949" xr:uid="{00000000-0005-0000-0000-000055530000}"/>
    <cellStyle name="Percent 4 32 7" xfId="20950" xr:uid="{00000000-0005-0000-0000-000056530000}"/>
    <cellStyle name="Percent 4 32 8" xfId="20951" xr:uid="{00000000-0005-0000-0000-000057530000}"/>
    <cellStyle name="Percent 4 32 9" xfId="20952" xr:uid="{00000000-0005-0000-0000-000058530000}"/>
    <cellStyle name="Percent 4 33" xfId="20953" xr:uid="{00000000-0005-0000-0000-000059530000}"/>
    <cellStyle name="Percent 4 33 10" xfId="20954" xr:uid="{00000000-0005-0000-0000-00005A530000}"/>
    <cellStyle name="Percent 4 33 11" xfId="20955" xr:uid="{00000000-0005-0000-0000-00005B530000}"/>
    <cellStyle name="Percent 4 33 12" xfId="20956" xr:uid="{00000000-0005-0000-0000-00005C530000}"/>
    <cellStyle name="Percent 4 33 13" xfId="20957" xr:uid="{00000000-0005-0000-0000-00005D530000}"/>
    <cellStyle name="Percent 4 33 14" xfId="20958" xr:uid="{00000000-0005-0000-0000-00005E530000}"/>
    <cellStyle name="Percent 4 33 15" xfId="20959" xr:uid="{00000000-0005-0000-0000-00005F530000}"/>
    <cellStyle name="Percent 4 33 16" xfId="20960" xr:uid="{00000000-0005-0000-0000-000060530000}"/>
    <cellStyle name="Percent 4 33 17" xfId="20961" xr:uid="{00000000-0005-0000-0000-000061530000}"/>
    <cellStyle name="Percent 4 33 2" xfId="20962" xr:uid="{00000000-0005-0000-0000-000062530000}"/>
    <cellStyle name="Percent 4 33 3" xfId="20963" xr:uid="{00000000-0005-0000-0000-000063530000}"/>
    <cellStyle name="Percent 4 33 4" xfId="20964" xr:uid="{00000000-0005-0000-0000-000064530000}"/>
    <cellStyle name="Percent 4 33 5" xfId="20965" xr:uid="{00000000-0005-0000-0000-000065530000}"/>
    <cellStyle name="Percent 4 33 6" xfId="20966" xr:uid="{00000000-0005-0000-0000-000066530000}"/>
    <cellStyle name="Percent 4 33 7" xfId="20967" xr:uid="{00000000-0005-0000-0000-000067530000}"/>
    <cellStyle name="Percent 4 33 8" xfId="20968" xr:uid="{00000000-0005-0000-0000-000068530000}"/>
    <cellStyle name="Percent 4 33 9" xfId="20969" xr:uid="{00000000-0005-0000-0000-000069530000}"/>
    <cellStyle name="Percent 4 34" xfId="20970" xr:uid="{00000000-0005-0000-0000-00006A530000}"/>
    <cellStyle name="Percent 4 34 10" xfId="20971" xr:uid="{00000000-0005-0000-0000-00006B530000}"/>
    <cellStyle name="Percent 4 34 11" xfId="20972" xr:uid="{00000000-0005-0000-0000-00006C530000}"/>
    <cellStyle name="Percent 4 34 12" xfId="20973" xr:uid="{00000000-0005-0000-0000-00006D530000}"/>
    <cellStyle name="Percent 4 34 13" xfId="20974" xr:uid="{00000000-0005-0000-0000-00006E530000}"/>
    <cellStyle name="Percent 4 34 14" xfId="20975" xr:uid="{00000000-0005-0000-0000-00006F530000}"/>
    <cellStyle name="Percent 4 34 15" xfId="20976" xr:uid="{00000000-0005-0000-0000-000070530000}"/>
    <cellStyle name="Percent 4 34 16" xfId="20977" xr:uid="{00000000-0005-0000-0000-000071530000}"/>
    <cellStyle name="Percent 4 34 17" xfId="20978" xr:uid="{00000000-0005-0000-0000-000072530000}"/>
    <cellStyle name="Percent 4 34 2" xfId="20979" xr:uid="{00000000-0005-0000-0000-000073530000}"/>
    <cellStyle name="Percent 4 34 3" xfId="20980" xr:uid="{00000000-0005-0000-0000-000074530000}"/>
    <cellStyle name="Percent 4 34 4" xfId="20981" xr:uid="{00000000-0005-0000-0000-000075530000}"/>
    <cellStyle name="Percent 4 34 5" xfId="20982" xr:uid="{00000000-0005-0000-0000-000076530000}"/>
    <cellStyle name="Percent 4 34 6" xfId="20983" xr:uid="{00000000-0005-0000-0000-000077530000}"/>
    <cellStyle name="Percent 4 34 7" xfId="20984" xr:uid="{00000000-0005-0000-0000-000078530000}"/>
    <cellStyle name="Percent 4 34 8" xfId="20985" xr:uid="{00000000-0005-0000-0000-000079530000}"/>
    <cellStyle name="Percent 4 34 9" xfId="20986" xr:uid="{00000000-0005-0000-0000-00007A530000}"/>
    <cellStyle name="Percent 4 35" xfId="20987" xr:uid="{00000000-0005-0000-0000-00007B530000}"/>
    <cellStyle name="Percent 4 35 10" xfId="20988" xr:uid="{00000000-0005-0000-0000-00007C530000}"/>
    <cellStyle name="Percent 4 35 11" xfId="20989" xr:uid="{00000000-0005-0000-0000-00007D530000}"/>
    <cellStyle name="Percent 4 35 12" xfId="20990" xr:uid="{00000000-0005-0000-0000-00007E530000}"/>
    <cellStyle name="Percent 4 35 13" xfId="20991" xr:uid="{00000000-0005-0000-0000-00007F530000}"/>
    <cellStyle name="Percent 4 35 14" xfId="20992" xr:uid="{00000000-0005-0000-0000-000080530000}"/>
    <cellStyle name="Percent 4 35 15" xfId="20993" xr:uid="{00000000-0005-0000-0000-000081530000}"/>
    <cellStyle name="Percent 4 35 16" xfId="20994" xr:uid="{00000000-0005-0000-0000-000082530000}"/>
    <cellStyle name="Percent 4 35 17" xfId="20995" xr:uid="{00000000-0005-0000-0000-000083530000}"/>
    <cellStyle name="Percent 4 35 2" xfId="20996" xr:uid="{00000000-0005-0000-0000-000084530000}"/>
    <cellStyle name="Percent 4 35 3" xfId="20997" xr:uid="{00000000-0005-0000-0000-000085530000}"/>
    <cellStyle name="Percent 4 35 4" xfId="20998" xr:uid="{00000000-0005-0000-0000-000086530000}"/>
    <cellStyle name="Percent 4 35 5" xfId="20999" xr:uid="{00000000-0005-0000-0000-000087530000}"/>
    <cellStyle name="Percent 4 35 6" xfId="21000" xr:uid="{00000000-0005-0000-0000-000088530000}"/>
    <cellStyle name="Percent 4 35 7" xfId="21001" xr:uid="{00000000-0005-0000-0000-000089530000}"/>
    <cellStyle name="Percent 4 35 8" xfId="21002" xr:uid="{00000000-0005-0000-0000-00008A530000}"/>
    <cellStyle name="Percent 4 35 9" xfId="21003" xr:uid="{00000000-0005-0000-0000-00008B530000}"/>
    <cellStyle name="Percent 4 36" xfId="21004" xr:uid="{00000000-0005-0000-0000-00008C530000}"/>
    <cellStyle name="Percent 4 36 10" xfId="21005" xr:uid="{00000000-0005-0000-0000-00008D530000}"/>
    <cellStyle name="Percent 4 36 11" xfId="21006" xr:uid="{00000000-0005-0000-0000-00008E530000}"/>
    <cellStyle name="Percent 4 36 12" xfId="21007" xr:uid="{00000000-0005-0000-0000-00008F530000}"/>
    <cellStyle name="Percent 4 36 13" xfId="21008" xr:uid="{00000000-0005-0000-0000-000090530000}"/>
    <cellStyle name="Percent 4 36 14" xfId="21009" xr:uid="{00000000-0005-0000-0000-000091530000}"/>
    <cellStyle name="Percent 4 36 15" xfId="21010" xr:uid="{00000000-0005-0000-0000-000092530000}"/>
    <cellStyle name="Percent 4 36 16" xfId="21011" xr:uid="{00000000-0005-0000-0000-000093530000}"/>
    <cellStyle name="Percent 4 36 17" xfId="21012" xr:uid="{00000000-0005-0000-0000-000094530000}"/>
    <cellStyle name="Percent 4 36 2" xfId="21013" xr:uid="{00000000-0005-0000-0000-000095530000}"/>
    <cellStyle name="Percent 4 36 3" xfId="21014" xr:uid="{00000000-0005-0000-0000-000096530000}"/>
    <cellStyle name="Percent 4 36 4" xfId="21015" xr:uid="{00000000-0005-0000-0000-000097530000}"/>
    <cellStyle name="Percent 4 36 5" xfId="21016" xr:uid="{00000000-0005-0000-0000-000098530000}"/>
    <cellStyle name="Percent 4 36 6" xfId="21017" xr:uid="{00000000-0005-0000-0000-000099530000}"/>
    <cellStyle name="Percent 4 36 7" xfId="21018" xr:uid="{00000000-0005-0000-0000-00009A530000}"/>
    <cellStyle name="Percent 4 36 8" xfId="21019" xr:uid="{00000000-0005-0000-0000-00009B530000}"/>
    <cellStyle name="Percent 4 36 9" xfId="21020" xr:uid="{00000000-0005-0000-0000-00009C530000}"/>
    <cellStyle name="Percent 4 37" xfId="21021" xr:uid="{00000000-0005-0000-0000-00009D530000}"/>
    <cellStyle name="Percent 4 37 10" xfId="21022" xr:uid="{00000000-0005-0000-0000-00009E530000}"/>
    <cellStyle name="Percent 4 37 11" xfId="21023" xr:uid="{00000000-0005-0000-0000-00009F530000}"/>
    <cellStyle name="Percent 4 37 12" xfId="21024" xr:uid="{00000000-0005-0000-0000-0000A0530000}"/>
    <cellStyle name="Percent 4 37 13" xfId="21025" xr:uid="{00000000-0005-0000-0000-0000A1530000}"/>
    <cellStyle name="Percent 4 37 14" xfId="21026" xr:uid="{00000000-0005-0000-0000-0000A2530000}"/>
    <cellStyle name="Percent 4 37 15" xfId="21027" xr:uid="{00000000-0005-0000-0000-0000A3530000}"/>
    <cellStyle name="Percent 4 37 16" xfId="21028" xr:uid="{00000000-0005-0000-0000-0000A4530000}"/>
    <cellStyle name="Percent 4 37 17" xfId="21029" xr:uid="{00000000-0005-0000-0000-0000A5530000}"/>
    <cellStyle name="Percent 4 37 2" xfId="21030" xr:uid="{00000000-0005-0000-0000-0000A6530000}"/>
    <cellStyle name="Percent 4 37 3" xfId="21031" xr:uid="{00000000-0005-0000-0000-0000A7530000}"/>
    <cellStyle name="Percent 4 37 4" xfId="21032" xr:uid="{00000000-0005-0000-0000-0000A8530000}"/>
    <cellStyle name="Percent 4 37 5" xfId="21033" xr:uid="{00000000-0005-0000-0000-0000A9530000}"/>
    <cellStyle name="Percent 4 37 6" xfId="21034" xr:uid="{00000000-0005-0000-0000-0000AA530000}"/>
    <cellStyle name="Percent 4 37 7" xfId="21035" xr:uid="{00000000-0005-0000-0000-0000AB530000}"/>
    <cellStyle name="Percent 4 37 8" xfId="21036" xr:uid="{00000000-0005-0000-0000-0000AC530000}"/>
    <cellStyle name="Percent 4 37 9" xfId="21037" xr:uid="{00000000-0005-0000-0000-0000AD530000}"/>
    <cellStyle name="Percent 4 38" xfId="21038" xr:uid="{00000000-0005-0000-0000-0000AE530000}"/>
    <cellStyle name="Percent 4 38 10" xfId="21039" xr:uid="{00000000-0005-0000-0000-0000AF530000}"/>
    <cellStyle name="Percent 4 38 11" xfId="21040" xr:uid="{00000000-0005-0000-0000-0000B0530000}"/>
    <cellStyle name="Percent 4 38 12" xfId="21041" xr:uid="{00000000-0005-0000-0000-0000B1530000}"/>
    <cellStyle name="Percent 4 38 13" xfId="21042" xr:uid="{00000000-0005-0000-0000-0000B2530000}"/>
    <cellStyle name="Percent 4 38 14" xfId="21043" xr:uid="{00000000-0005-0000-0000-0000B3530000}"/>
    <cellStyle name="Percent 4 38 15" xfId="21044" xr:uid="{00000000-0005-0000-0000-0000B4530000}"/>
    <cellStyle name="Percent 4 38 16" xfId="21045" xr:uid="{00000000-0005-0000-0000-0000B5530000}"/>
    <cellStyle name="Percent 4 38 17" xfId="21046" xr:uid="{00000000-0005-0000-0000-0000B6530000}"/>
    <cellStyle name="Percent 4 38 2" xfId="21047" xr:uid="{00000000-0005-0000-0000-0000B7530000}"/>
    <cellStyle name="Percent 4 38 3" xfId="21048" xr:uid="{00000000-0005-0000-0000-0000B8530000}"/>
    <cellStyle name="Percent 4 38 4" xfId="21049" xr:uid="{00000000-0005-0000-0000-0000B9530000}"/>
    <cellStyle name="Percent 4 38 5" xfId="21050" xr:uid="{00000000-0005-0000-0000-0000BA530000}"/>
    <cellStyle name="Percent 4 38 6" xfId="21051" xr:uid="{00000000-0005-0000-0000-0000BB530000}"/>
    <cellStyle name="Percent 4 38 7" xfId="21052" xr:uid="{00000000-0005-0000-0000-0000BC530000}"/>
    <cellStyle name="Percent 4 38 8" xfId="21053" xr:uid="{00000000-0005-0000-0000-0000BD530000}"/>
    <cellStyle name="Percent 4 38 9" xfId="21054" xr:uid="{00000000-0005-0000-0000-0000BE530000}"/>
    <cellStyle name="Percent 4 39" xfId="21055" xr:uid="{00000000-0005-0000-0000-0000BF530000}"/>
    <cellStyle name="Percent 4 39 10" xfId="21056" xr:uid="{00000000-0005-0000-0000-0000C0530000}"/>
    <cellStyle name="Percent 4 39 11" xfId="21057" xr:uid="{00000000-0005-0000-0000-0000C1530000}"/>
    <cellStyle name="Percent 4 39 12" xfId="21058" xr:uid="{00000000-0005-0000-0000-0000C2530000}"/>
    <cellStyle name="Percent 4 39 13" xfId="21059" xr:uid="{00000000-0005-0000-0000-0000C3530000}"/>
    <cellStyle name="Percent 4 39 14" xfId="21060" xr:uid="{00000000-0005-0000-0000-0000C4530000}"/>
    <cellStyle name="Percent 4 39 15" xfId="21061" xr:uid="{00000000-0005-0000-0000-0000C5530000}"/>
    <cellStyle name="Percent 4 39 16" xfId="21062" xr:uid="{00000000-0005-0000-0000-0000C6530000}"/>
    <cellStyle name="Percent 4 39 17" xfId="21063" xr:uid="{00000000-0005-0000-0000-0000C7530000}"/>
    <cellStyle name="Percent 4 39 2" xfId="21064" xr:uid="{00000000-0005-0000-0000-0000C8530000}"/>
    <cellStyle name="Percent 4 39 3" xfId="21065" xr:uid="{00000000-0005-0000-0000-0000C9530000}"/>
    <cellStyle name="Percent 4 39 4" xfId="21066" xr:uid="{00000000-0005-0000-0000-0000CA530000}"/>
    <cellStyle name="Percent 4 39 5" xfId="21067" xr:uid="{00000000-0005-0000-0000-0000CB530000}"/>
    <cellStyle name="Percent 4 39 6" xfId="21068" xr:uid="{00000000-0005-0000-0000-0000CC530000}"/>
    <cellStyle name="Percent 4 39 7" xfId="21069" xr:uid="{00000000-0005-0000-0000-0000CD530000}"/>
    <cellStyle name="Percent 4 39 8" xfId="21070" xr:uid="{00000000-0005-0000-0000-0000CE530000}"/>
    <cellStyle name="Percent 4 39 9" xfId="21071" xr:uid="{00000000-0005-0000-0000-0000CF530000}"/>
    <cellStyle name="Percent 4 4" xfId="21072" xr:uid="{00000000-0005-0000-0000-0000D0530000}"/>
    <cellStyle name="Percent 4 4 10" xfId="21073" xr:uid="{00000000-0005-0000-0000-0000D1530000}"/>
    <cellStyle name="Percent 4 4 11" xfId="21074" xr:uid="{00000000-0005-0000-0000-0000D2530000}"/>
    <cellStyle name="Percent 4 4 12" xfId="21075" xr:uid="{00000000-0005-0000-0000-0000D3530000}"/>
    <cellStyle name="Percent 4 4 13" xfId="21076" xr:uid="{00000000-0005-0000-0000-0000D4530000}"/>
    <cellStyle name="Percent 4 4 14" xfId="21077" xr:uid="{00000000-0005-0000-0000-0000D5530000}"/>
    <cellStyle name="Percent 4 4 15" xfId="21078" xr:uid="{00000000-0005-0000-0000-0000D6530000}"/>
    <cellStyle name="Percent 4 4 16" xfId="21079" xr:uid="{00000000-0005-0000-0000-0000D7530000}"/>
    <cellStyle name="Percent 4 4 17" xfId="21080" xr:uid="{00000000-0005-0000-0000-0000D8530000}"/>
    <cellStyle name="Percent 4 4 2" xfId="21081" xr:uid="{00000000-0005-0000-0000-0000D9530000}"/>
    <cellStyle name="Percent 4 4 3" xfId="21082" xr:uid="{00000000-0005-0000-0000-0000DA530000}"/>
    <cellStyle name="Percent 4 4 4" xfId="21083" xr:uid="{00000000-0005-0000-0000-0000DB530000}"/>
    <cellStyle name="Percent 4 4 5" xfId="21084" xr:uid="{00000000-0005-0000-0000-0000DC530000}"/>
    <cellStyle name="Percent 4 4 6" xfId="21085" xr:uid="{00000000-0005-0000-0000-0000DD530000}"/>
    <cellStyle name="Percent 4 4 7" xfId="21086" xr:uid="{00000000-0005-0000-0000-0000DE530000}"/>
    <cellStyle name="Percent 4 4 8" xfId="21087" xr:uid="{00000000-0005-0000-0000-0000DF530000}"/>
    <cellStyle name="Percent 4 4 9" xfId="21088" xr:uid="{00000000-0005-0000-0000-0000E0530000}"/>
    <cellStyle name="Percent 4 40" xfId="21089" xr:uid="{00000000-0005-0000-0000-0000E1530000}"/>
    <cellStyle name="Percent 4 40 10" xfId="21090" xr:uid="{00000000-0005-0000-0000-0000E2530000}"/>
    <cellStyle name="Percent 4 40 11" xfId="21091" xr:uid="{00000000-0005-0000-0000-0000E3530000}"/>
    <cellStyle name="Percent 4 40 12" xfId="21092" xr:uid="{00000000-0005-0000-0000-0000E4530000}"/>
    <cellStyle name="Percent 4 40 13" xfId="21093" xr:uid="{00000000-0005-0000-0000-0000E5530000}"/>
    <cellStyle name="Percent 4 40 14" xfId="21094" xr:uid="{00000000-0005-0000-0000-0000E6530000}"/>
    <cellStyle name="Percent 4 40 15" xfId="21095" xr:uid="{00000000-0005-0000-0000-0000E7530000}"/>
    <cellStyle name="Percent 4 40 16" xfId="21096" xr:uid="{00000000-0005-0000-0000-0000E8530000}"/>
    <cellStyle name="Percent 4 40 17" xfId="21097" xr:uid="{00000000-0005-0000-0000-0000E9530000}"/>
    <cellStyle name="Percent 4 40 2" xfId="21098" xr:uid="{00000000-0005-0000-0000-0000EA530000}"/>
    <cellStyle name="Percent 4 40 3" xfId="21099" xr:uid="{00000000-0005-0000-0000-0000EB530000}"/>
    <cellStyle name="Percent 4 40 4" xfId="21100" xr:uid="{00000000-0005-0000-0000-0000EC530000}"/>
    <cellStyle name="Percent 4 40 5" xfId="21101" xr:uid="{00000000-0005-0000-0000-0000ED530000}"/>
    <cellStyle name="Percent 4 40 6" xfId="21102" xr:uid="{00000000-0005-0000-0000-0000EE530000}"/>
    <cellStyle name="Percent 4 40 7" xfId="21103" xr:uid="{00000000-0005-0000-0000-0000EF530000}"/>
    <cellStyle name="Percent 4 40 8" xfId="21104" xr:uid="{00000000-0005-0000-0000-0000F0530000}"/>
    <cellStyle name="Percent 4 40 9" xfId="21105" xr:uid="{00000000-0005-0000-0000-0000F1530000}"/>
    <cellStyle name="Percent 4 41" xfId="21106" xr:uid="{00000000-0005-0000-0000-0000F2530000}"/>
    <cellStyle name="Percent 4 41 10" xfId="21107" xr:uid="{00000000-0005-0000-0000-0000F3530000}"/>
    <cellStyle name="Percent 4 41 11" xfId="21108" xr:uid="{00000000-0005-0000-0000-0000F4530000}"/>
    <cellStyle name="Percent 4 41 12" xfId="21109" xr:uid="{00000000-0005-0000-0000-0000F5530000}"/>
    <cellStyle name="Percent 4 41 13" xfId="21110" xr:uid="{00000000-0005-0000-0000-0000F6530000}"/>
    <cellStyle name="Percent 4 41 14" xfId="21111" xr:uid="{00000000-0005-0000-0000-0000F7530000}"/>
    <cellStyle name="Percent 4 41 15" xfId="21112" xr:uid="{00000000-0005-0000-0000-0000F8530000}"/>
    <cellStyle name="Percent 4 41 16" xfId="21113" xr:uid="{00000000-0005-0000-0000-0000F9530000}"/>
    <cellStyle name="Percent 4 41 17" xfId="21114" xr:uid="{00000000-0005-0000-0000-0000FA530000}"/>
    <cellStyle name="Percent 4 41 2" xfId="21115" xr:uid="{00000000-0005-0000-0000-0000FB530000}"/>
    <cellStyle name="Percent 4 41 3" xfId="21116" xr:uid="{00000000-0005-0000-0000-0000FC530000}"/>
    <cellStyle name="Percent 4 41 4" xfId="21117" xr:uid="{00000000-0005-0000-0000-0000FD530000}"/>
    <cellStyle name="Percent 4 41 5" xfId="21118" xr:uid="{00000000-0005-0000-0000-0000FE530000}"/>
    <cellStyle name="Percent 4 41 6" xfId="21119" xr:uid="{00000000-0005-0000-0000-0000FF530000}"/>
    <cellStyle name="Percent 4 41 7" xfId="21120" xr:uid="{00000000-0005-0000-0000-000000540000}"/>
    <cellStyle name="Percent 4 41 8" xfId="21121" xr:uid="{00000000-0005-0000-0000-000001540000}"/>
    <cellStyle name="Percent 4 41 9" xfId="21122" xr:uid="{00000000-0005-0000-0000-000002540000}"/>
    <cellStyle name="Percent 4 42" xfId="21123" xr:uid="{00000000-0005-0000-0000-000003540000}"/>
    <cellStyle name="Percent 4 42 10" xfId="21124" xr:uid="{00000000-0005-0000-0000-000004540000}"/>
    <cellStyle name="Percent 4 42 11" xfId="21125" xr:uid="{00000000-0005-0000-0000-000005540000}"/>
    <cellStyle name="Percent 4 42 12" xfId="21126" xr:uid="{00000000-0005-0000-0000-000006540000}"/>
    <cellStyle name="Percent 4 42 13" xfId="21127" xr:uid="{00000000-0005-0000-0000-000007540000}"/>
    <cellStyle name="Percent 4 42 14" xfId="21128" xr:uid="{00000000-0005-0000-0000-000008540000}"/>
    <cellStyle name="Percent 4 42 15" xfId="21129" xr:uid="{00000000-0005-0000-0000-000009540000}"/>
    <cellStyle name="Percent 4 42 16" xfId="21130" xr:uid="{00000000-0005-0000-0000-00000A540000}"/>
    <cellStyle name="Percent 4 42 17" xfId="21131" xr:uid="{00000000-0005-0000-0000-00000B540000}"/>
    <cellStyle name="Percent 4 42 2" xfId="21132" xr:uid="{00000000-0005-0000-0000-00000C540000}"/>
    <cellStyle name="Percent 4 42 3" xfId="21133" xr:uid="{00000000-0005-0000-0000-00000D540000}"/>
    <cellStyle name="Percent 4 42 4" xfId="21134" xr:uid="{00000000-0005-0000-0000-00000E540000}"/>
    <cellStyle name="Percent 4 42 5" xfId="21135" xr:uid="{00000000-0005-0000-0000-00000F540000}"/>
    <cellStyle name="Percent 4 42 6" xfId="21136" xr:uid="{00000000-0005-0000-0000-000010540000}"/>
    <cellStyle name="Percent 4 42 7" xfId="21137" xr:uid="{00000000-0005-0000-0000-000011540000}"/>
    <cellStyle name="Percent 4 42 8" xfId="21138" xr:uid="{00000000-0005-0000-0000-000012540000}"/>
    <cellStyle name="Percent 4 42 9" xfId="21139" xr:uid="{00000000-0005-0000-0000-000013540000}"/>
    <cellStyle name="Percent 4 43" xfId="21140" xr:uid="{00000000-0005-0000-0000-000014540000}"/>
    <cellStyle name="Percent 4 43 10" xfId="21141" xr:uid="{00000000-0005-0000-0000-000015540000}"/>
    <cellStyle name="Percent 4 43 11" xfId="21142" xr:uid="{00000000-0005-0000-0000-000016540000}"/>
    <cellStyle name="Percent 4 43 12" xfId="21143" xr:uid="{00000000-0005-0000-0000-000017540000}"/>
    <cellStyle name="Percent 4 43 13" xfId="21144" xr:uid="{00000000-0005-0000-0000-000018540000}"/>
    <cellStyle name="Percent 4 43 14" xfId="21145" xr:uid="{00000000-0005-0000-0000-000019540000}"/>
    <cellStyle name="Percent 4 43 15" xfId="21146" xr:uid="{00000000-0005-0000-0000-00001A540000}"/>
    <cellStyle name="Percent 4 43 16" xfId="21147" xr:uid="{00000000-0005-0000-0000-00001B540000}"/>
    <cellStyle name="Percent 4 43 17" xfId="21148" xr:uid="{00000000-0005-0000-0000-00001C540000}"/>
    <cellStyle name="Percent 4 43 2" xfId="21149" xr:uid="{00000000-0005-0000-0000-00001D540000}"/>
    <cellStyle name="Percent 4 43 3" xfId="21150" xr:uid="{00000000-0005-0000-0000-00001E540000}"/>
    <cellStyle name="Percent 4 43 4" xfId="21151" xr:uid="{00000000-0005-0000-0000-00001F540000}"/>
    <cellStyle name="Percent 4 43 5" xfId="21152" xr:uid="{00000000-0005-0000-0000-000020540000}"/>
    <cellStyle name="Percent 4 43 6" xfId="21153" xr:uid="{00000000-0005-0000-0000-000021540000}"/>
    <cellStyle name="Percent 4 43 7" xfId="21154" xr:uid="{00000000-0005-0000-0000-000022540000}"/>
    <cellStyle name="Percent 4 43 8" xfId="21155" xr:uid="{00000000-0005-0000-0000-000023540000}"/>
    <cellStyle name="Percent 4 43 9" xfId="21156" xr:uid="{00000000-0005-0000-0000-000024540000}"/>
    <cellStyle name="Percent 4 44" xfId="21157" xr:uid="{00000000-0005-0000-0000-000025540000}"/>
    <cellStyle name="Percent 4 44 10" xfId="21158" xr:uid="{00000000-0005-0000-0000-000026540000}"/>
    <cellStyle name="Percent 4 44 11" xfId="21159" xr:uid="{00000000-0005-0000-0000-000027540000}"/>
    <cellStyle name="Percent 4 44 12" xfId="21160" xr:uid="{00000000-0005-0000-0000-000028540000}"/>
    <cellStyle name="Percent 4 44 13" xfId="21161" xr:uid="{00000000-0005-0000-0000-000029540000}"/>
    <cellStyle name="Percent 4 44 14" xfId="21162" xr:uid="{00000000-0005-0000-0000-00002A540000}"/>
    <cellStyle name="Percent 4 44 15" xfId="21163" xr:uid="{00000000-0005-0000-0000-00002B540000}"/>
    <cellStyle name="Percent 4 44 16" xfId="21164" xr:uid="{00000000-0005-0000-0000-00002C540000}"/>
    <cellStyle name="Percent 4 44 17" xfId="21165" xr:uid="{00000000-0005-0000-0000-00002D540000}"/>
    <cellStyle name="Percent 4 44 2" xfId="21166" xr:uid="{00000000-0005-0000-0000-00002E540000}"/>
    <cellStyle name="Percent 4 44 3" xfId="21167" xr:uid="{00000000-0005-0000-0000-00002F540000}"/>
    <cellStyle name="Percent 4 44 4" xfId="21168" xr:uid="{00000000-0005-0000-0000-000030540000}"/>
    <cellStyle name="Percent 4 44 5" xfId="21169" xr:uid="{00000000-0005-0000-0000-000031540000}"/>
    <cellStyle name="Percent 4 44 6" xfId="21170" xr:uid="{00000000-0005-0000-0000-000032540000}"/>
    <cellStyle name="Percent 4 44 7" xfId="21171" xr:uid="{00000000-0005-0000-0000-000033540000}"/>
    <cellStyle name="Percent 4 44 8" xfId="21172" xr:uid="{00000000-0005-0000-0000-000034540000}"/>
    <cellStyle name="Percent 4 44 9" xfId="21173" xr:uid="{00000000-0005-0000-0000-000035540000}"/>
    <cellStyle name="Percent 4 45" xfId="21174" xr:uid="{00000000-0005-0000-0000-000036540000}"/>
    <cellStyle name="Percent 4 45 10" xfId="21175" xr:uid="{00000000-0005-0000-0000-000037540000}"/>
    <cellStyle name="Percent 4 45 11" xfId="21176" xr:uid="{00000000-0005-0000-0000-000038540000}"/>
    <cellStyle name="Percent 4 45 12" xfId="21177" xr:uid="{00000000-0005-0000-0000-000039540000}"/>
    <cellStyle name="Percent 4 45 13" xfId="21178" xr:uid="{00000000-0005-0000-0000-00003A540000}"/>
    <cellStyle name="Percent 4 45 14" xfId="21179" xr:uid="{00000000-0005-0000-0000-00003B540000}"/>
    <cellStyle name="Percent 4 45 15" xfId="21180" xr:uid="{00000000-0005-0000-0000-00003C540000}"/>
    <cellStyle name="Percent 4 45 16" xfId="21181" xr:uid="{00000000-0005-0000-0000-00003D540000}"/>
    <cellStyle name="Percent 4 45 17" xfId="21182" xr:uid="{00000000-0005-0000-0000-00003E540000}"/>
    <cellStyle name="Percent 4 45 2" xfId="21183" xr:uid="{00000000-0005-0000-0000-00003F540000}"/>
    <cellStyle name="Percent 4 45 3" xfId="21184" xr:uid="{00000000-0005-0000-0000-000040540000}"/>
    <cellStyle name="Percent 4 45 4" xfId="21185" xr:uid="{00000000-0005-0000-0000-000041540000}"/>
    <cellStyle name="Percent 4 45 5" xfId="21186" xr:uid="{00000000-0005-0000-0000-000042540000}"/>
    <cellStyle name="Percent 4 45 6" xfId="21187" xr:uid="{00000000-0005-0000-0000-000043540000}"/>
    <cellStyle name="Percent 4 45 7" xfId="21188" xr:uid="{00000000-0005-0000-0000-000044540000}"/>
    <cellStyle name="Percent 4 45 8" xfId="21189" xr:uid="{00000000-0005-0000-0000-000045540000}"/>
    <cellStyle name="Percent 4 45 9" xfId="21190" xr:uid="{00000000-0005-0000-0000-000046540000}"/>
    <cellStyle name="Percent 4 46" xfId="21191" xr:uid="{00000000-0005-0000-0000-000047540000}"/>
    <cellStyle name="Percent 4 46 10" xfId="21192" xr:uid="{00000000-0005-0000-0000-000048540000}"/>
    <cellStyle name="Percent 4 46 11" xfId="21193" xr:uid="{00000000-0005-0000-0000-000049540000}"/>
    <cellStyle name="Percent 4 46 12" xfId="21194" xr:uid="{00000000-0005-0000-0000-00004A540000}"/>
    <cellStyle name="Percent 4 46 13" xfId="21195" xr:uid="{00000000-0005-0000-0000-00004B540000}"/>
    <cellStyle name="Percent 4 46 14" xfId="21196" xr:uid="{00000000-0005-0000-0000-00004C540000}"/>
    <cellStyle name="Percent 4 46 15" xfId="21197" xr:uid="{00000000-0005-0000-0000-00004D540000}"/>
    <cellStyle name="Percent 4 46 16" xfId="21198" xr:uid="{00000000-0005-0000-0000-00004E540000}"/>
    <cellStyle name="Percent 4 46 17" xfId="21199" xr:uid="{00000000-0005-0000-0000-00004F540000}"/>
    <cellStyle name="Percent 4 46 2" xfId="21200" xr:uid="{00000000-0005-0000-0000-000050540000}"/>
    <cellStyle name="Percent 4 46 3" xfId="21201" xr:uid="{00000000-0005-0000-0000-000051540000}"/>
    <cellStyle name="Percent 4 46 4" xfId="21202" xr:uid="{00000000-0005-0000-0000-000052540000}"/>
    <cellStyle name="Percent 4 46 5" xfId="21203" xr:uid="{00000000-0005-0000-0000-000053540000}"/>
    <cellStyle name="Percent 4 46 6" xfId="21204" xr:uid="{00000000-0005-0000-0000-000054540000}"/>
    <cellStyle name="Percent 4 46 7" xfId="21205" xr:uid="{00000000-0005-0000-0000-000055540000}"/>
    <cellStyle name="Percent 4 46 8" xfId="21206" xr:uid="{00000000-0005-0000-0000-000056540000}"/>
    <cellStyle name="Percent 4 46 9" xfId="21207" xr:uid="{00000000-0005-0000-0000-000057540000}"/>
    <cellStyle name="Percent 4 47" xfId="21208" xr:uid="{00000000-0005-0000-0000-000058540000}"/>
    <cellStyle name="Percent 4 47 10" xfId="21209" xr:uid="{00000000-0005-0000-0000-000059540000}"/>
    <cellStyle name="Percent 4 47 11" xfId="21210" xr:uid="{00000000-0005-0000-0000-00005A540000}"/>
    <cellStyle name="Percent 4 47 12" xfId="21211" xr:uid="{00000000-0005-0000-0000-00005B540000}"/>
    <cellStyle name="Percent 4 47 13" xfId="21212" xr:uid="{00000000-0005-0000-0000-00005C540000}"/>
    <cellStyle name="Percent 4 47 14" xfId="21213" xr:uid="{00000000-0005-0000-0000-00005D540000}"/>
    <cellStyle name="Percent 4 47 15" xfId="21214" xr:uid="{00000000-0005-0000-0000-00005E540000}"/>
    <cellStyle name="Percent 4 47 16" xfId="21215" xr:uid="{00000000-0005-0000-0000-00005F540000}"/>
    <cellStyle name="Percent 4 47 17" xfId="21216" xr:uid="{00000000-0005-0000-0000-000060540000}"/>
    <cellStyle name="Percent 4 47 2" xfId="21217" xr:uid="{00000000-0005-0000-0000-000061540000}"/>
    <cellStyle name="Percent 4 47 3" xfId="21218" xr:uid="{00000000-0005-0000-0000-000062540000}"/>
    <cellStyle name="Percent 4 47 4" xfId="21219" xr:uid="{00000000-0005-0000-0000-000063540000}"/>
    <cellStyle name="Percent 4 47 5" xfId="21220" xr:uid="{00000000-0005-0000-0000-000064540000}"/>
    <cellStyle name="Percent 4 47 6" xfId="21221" xr:uid="{00000000-0005-0000-0000-000065540000}"/>
    <cellStyle name="Percent 4 47 7" xfId="21222" xr:uid="{00000000-0005-0000-0000-000066540000}"/>
    <cellStyle name="Percent 4 47 8" xfId="21223" xr:uid="{00000000-0005-0000-0000-000067540000}"/>
    <cellStyle name="Percent 4 47 9" xfId="21224" xr:uid="{00000000-0005-0000-0000-000068540000}"/>
    <cellStyle name="Percent 4 48" xfId="21225" xr:uid="{00000000-0005-0000-0000-000069540000}"/>
    <cellStyle name="Percent 4 48 10" xfId="21226" xr:uid="{00000000-0005-0000-0000-00006A540000}"/>
    <cellStyle name="Percent 4 48 11" xfId="21227" xr:uid="{00000000-0005-0000-0000-00006B540000}"/>
    <cellStyle name="Percent 4 48 12" xfId="21228" xr:uid="{00000000-0005-0000-0000-00006C540000}"/>
    <cellStyle name="Percent 4 48 13" xfId="21229" xr:uid="{00000000-0005-0000-0000-00006D540000}"/>
    <cellStyle name="Percent 4 48 14" xfId="21230" xr:uid="{00000000-0005-0000-0000-00006E540000}"/>
    <cellStyle name="Percent 4 48 15" xfId="21231" xr:uid="{00000000-0005-0000-0000-00006F540000}"/>
    <cellStyle name="Percent 4 48 16" xfId="21232" xr:uid="{00000000-0005-0000-0000-000070540000}"/>
    <cellStyle name="Percent 4 48 17" xfId="21233" xr:uid="{00000000-0005-0000-0000-000071540000}"/>
    <cellStyle name="Percent 4 48 2" xfId="21234" xr:uid="{00000000-0005-0000-0000-000072540000}"/>
    <cellStyle name="Percent 4 48 3" xfId="21235" xr:uid="{00000000-0005-0000-0000-000073540000}"/>
    <cellStyle name="Percent 4 48 4" xfId="21236" xr:uid="{00000000-0005-0000-0000-000074540000}"/>
    <cellStyle name="Percent 4 48 5" xfId="21237" xr:uid="{00000000-0005-0000-0000-000075540000}"/>
    <cellStyle name="Percent 4 48 6" xfId="21238" xr:uid="{00000000-0005-0000-0000-000076540000}"/>
    <cellStyle name="Percent 4 48 7" xfId="21239" xr:uid="{00000000-0005-0000-0000-000077540000}"/>
    <cellStyle name="Percent 4 48 8" xfId="21240" xr:uid="{00000000-0005-0000-0000-000078540000}"/>
    <cellStyle name="Percent 4 48 9" xfId="21241" xr:uid="{00000000-0005-0000-0000-000079540000}"/>
    <cellStyle name="Percent 4 49" xfId="21242" xr:uid="{00000000-0005-0000-0000-00007A540000}"/>
    <cellStyle name="Percent 4 5" xfId="21243" xr:uid="{00000000-0005-0000-0000-00007B540000}"/>
    <cellStyle name="Percent 4 5 10" xfId="21244" xr:uid="{00000000-0005-0000-0000-00007C540000}"/>
    <cellStyle name="Percent 4 5 11" xfId="21245" xr:uid="{00000000-0005-0000-0000-00007D540000}"/>
    <cellStyle name="Percent 4 5 12" xfId="21246" xr:uid="{00000000-0005-0000-0000-00007E540000}"/>
    <cellStyle name="Percent 4 5 13" xfId="21247" xr:uid="{00000000-0005-0000-0000-00007F540000}"/>
    <cellStyle name="Percent 4 5 14" xfId="21248" xr:uid="{00000000-0005-0000-0000-000080540000}"/>
    <cellStyle name="Percent 4 5 15" xfId="21249" xr:uid="{00000000-0005-0000-0000-000081540000}"/>
    <cellStyle name="Percent 4 5 16" xfId="21250" xr:uid="{00000000-0005-0000-0000-000082540000}"/>
    <cellStyle name="Percent 4 5 17" xfId="21251" xr:uid="{00000000-0005-0000-0000-000083540000}"/>
    <cellStyle name="Percent 4 5 2" xfId="21252" xr:uid="{00000000-0005-0000-0000-000084540000}"/>
    <cellStyle name="Percent 4 5 3" xfId="21253" xr:uid="{00000000-0005-0000-0000-000085540000}"/>
    <cellStyle name="Percent 4 5 4" xfId="21254" xr:uid="{00000000-0005-0000-0000-000086540000}"/>
    <cellStyle name="Percent 4 5 5" xfId="21255" xr:uid="{00000000-0005-0000-0000-000087540000}"/>
    <cellStyle name="Percent 4 5 6" xfId="21256" xr:uid="{00000000-0005-0000-0000-000088540000}"/>
    <cellStyle name="Percent 4 5 7" xfId="21257" xr:uid="{00000000-0005-0000-0000-000089540000}"/>
    <cellStyle name="Percent 4 5 8" xfId="21258" xr:uid="{00000000-0005-0000-0000-00008A540000}"/>
    <cellStyle name="Percent 4 5 9" xfId="21259" xr:uid="{00000000-0005-0000-0000-00008B540000}"/>
    <cellStyle name="Percent 4 50" xfId="21260" xr:uid="{00000000-0005-0000-0000-00008C540000}"/>
    <cellStyle name="Percent 4 51" xfId="21261" xr:uid="{00000000-0005-0000-0000-00008D540000}"/>
    <cellStyle name="Percent 4 52" xfId="21262" xr:uid="{00000000-0005-0000-0000-00008E540000}"/>
    <cellStyle name="Percent 4 53" xfId="21263" xr:uid="{00000000-0005-0000-0000-00008F540000}"/>
    <cellStyle name="Percent 4 54" xfId="21264" xr:uid="{00000000-0005-0000-0000-000090540000}"/>
    <cellStyle name="Percent 4 55" xfId="21265" xr:uid="{00000000-0005-0000-0000-000091540000}"/>
    <cellStyle name="Percent 4 56" xfId="21266" xr:uid="{00000000-0005-0000-0000-000092540000}"/>
    <cellStyle name="Percent 4 57" xfId="21267" xr:uid="{00000000-0005-0000-0000-000093540000}"/>
    <cellStyle name="Percent 4 58" xfId="21268" xr:uid="{00000000-0005-0000-0000-000094540000}"/>
    <cellStyle name="Percent 4 59" xfId="21269" xr:uid="{00000000-0005-0000-0000-000095540000}"/>
    <cellStyle name="Percent 4 6" xfId="21270" xr:uid="{00000000-0005-0000-0000-000096540000}"/>
    <cellStyle name="Percent 4 6 10" xfId="21271" xr:uid="{00000000-0005-0000-0000-000097540000}"/>
    <cellStyle name="Percent 4 6 11" xfId="21272" xr:uid="{00000000-0005-0000-0000-000098540000}"/>
    <cellStyle name="Percent 4 6 12" xfId="21273" xr:uid="{00000000-0005-0000-0000-000099540000}"/>
    <cellStyle name="Percent 4 6 13" xfId="21274" xr:uid="{00000000-0005-0000-0000-00009A540000}"/>
    <cellStyle name="Percent 4 6 14" xfId="21275" xr:uid="{00000000-0005-0000-0000-00009B540000}"/>
    <cellStyle name="Percent 4 6 15" xfId="21276" xr:uid="{00000000-0005-0000-0000-00009C540000}"/>
    <cellStyle name="Percent 4 6 16" xfId="21277" xr:uid="{00000000-0005-0000-0000-00009D540000}"/>
    <cellStyle name="Percent 4 6 17" xfId="21278" xr:uid="{00000000-0005-0000-0000-00009E540000}"/>
    <cellStyle name="Percent 4 6 2" xfId="21279" xr:uid="{00000000-0005-0000-0000-00009F540000}"/>
    <cellStyle name="Percent 4 6 3" xfId="21280" xr:uid="{00000000-0005-0000-0000-0000A0540000}"/>
    <cellStyle name="Percent 4 6 4" xfId="21281" xr:uid="{00000000-0005-0000-0000-0000A1540000}"/>
    <cellStyle name="Percent 4 6 5" xfId="21282" xr:uid="{00000000-0005-0000-0000-0000A2540000}"/>
    <cellStyle name="Percent 4 6 6" xfId="21283" xr:uid="{00000000-0005-0000-0000-0000A3540000}"/>
    <cellStyle name="Percent 4 6 7" xfId="21284" xr:uid="{00000000-0005-0000-0000-0000A4540000}"/>
    <cellStyle name="Percent 4 6 8" xfId="21285" xr:uid="{00000000-0005-0000-0000-0000A5540000}"/>
    <cellStyle name="Percent 4 6 9" xfId="21286" xr:uid="{00000000-0005-0000-0000-0000A6540000}"/>
    <cellStyle name="Percent 4 60" xfId="21287" xr:uid="{00000000-0005-0000-0000-0000A7540000}"/>
    <cellStyle name="Percent 4 61" xfId="21288" xr:uid="{00000000-0005-0000-0000-0000A8540000}"/>
    <cellStyle name="Percent 4 7" xfId="21289" xr:uid="{00000000-0005-0000-0000-0000A9540000}"/>
    <cellStyle name="Percent 4 7 10" xfId="21290" xr:uid="{00000000-0005-0000-0000-0000AA540000}"/>
    <cellStyle name="Percent 4 7 11" xfId="21291" xr:uid="{00000000-0005-0000-0000-0000AB540000}"/>
    <cellStyle name="Percent 4 7 12" xfId="21292" xr:uid="{00000000-0005-0000-0000-0000AC540000}"/>
    <cellStyle name="Percent 4 7 13" xfId="21293" xr:uid="{00000000-0005-0000-0000-0000AD540000}"/>
    <cellStyle name="Percent 4 7 14" xfId="21294" xr:uid="{00000000-0005-0000-0000-0000AE540000}"/>
    <cellStyle name="Percent 4 7 15" xfId="21295" xr:uid="{00000000-0005-0000-0000-0000AF540000}"/>
    <cellStyle name="Percent 4 7 16" xfId="21296" xr:uid="{00000000-0005-0000-0000-0000B0540000}"/>
    <cellStyle name="Percent 4 7 17" xfId="21297" xr:uid="{00000000-0005-0000-0000-0000B1540000}"/>
    <cellStyle name="Percent 4 7 2" xfId="21298" xr:uid="{00000000-0005-0000-0000-0000B2540000}"/>
    <cellStyle name="Percent 4 7 3" xfId="21299" xr:uid="{00000000-0005-0000-0000-0000B3540000}"/>
    <cellStyle name="Percent 4 7 4" xfId="21300" xr:uid="{00000000-0005-0000-0000-0000B4540000}"/>
    <cellStyle name="Percent 4 7 5" xfId="21301" xr:uid="{00000000-0005-0000-0000-0000B5540000}"/>
    <cellStyle name="Percent 4 7 6" xfId="21302" xr:uid="{00000000-0005-0000-0000-0000B6540000}"/>
    <cellStyle name="Percent 4 7 7" xfId="21303" xr:uid="{00000000-0005-0000-0000-0000B7540000}"/>
    <cellStyle name="Percent 4 7 8" xfId="21304" xr:uid="{00000000-0005-0000-0000-0000B8540000}"/>
    <cellStyle name="Percent 4 7 9" xfId="21305" xr:uid="{00000000-0005-0000-0000-0000B9540000}"/>
    <cellStyle name="Percent 4 8" xfId="21306" xr:uid="{00000000-0005-0000-0000-0000BA540000}"/>
    <cellStyle name="Percent 4 8 10" xfId="21307" xr:uid="{00000000-0005-0000-0000-0000BB540000}"/>
    <cellStyle name="Percent 4 8 11" xfId="21308" xr:uid="{00000000-0005-0000-0000-0000BC540000}"/>
    <cellStyle name="Percent 4 8 12" xfId="21309" xr:uid="{00000000-0005-0000-0000-0000BD540000}"/>
    <cellStyle name="Percent 4 8 13" xfId="21310" xr:uid="{00000000-0005-0000-0000-0000BE540000}"/>
    <cellStyle name="Percent 4 8 14" xfId="21311" xr:uid="{00000000-0005-0000-0000-0000BF540000}"/>
    <cellStyle name="Percent 4 8 15" xfId="21312" xr:uid="{00000000-0005-0000-0000-0000C0540000}"/>
    <cellStyle name="Percent 4 8 16" xfId="21313" xr:uid="{00000000-0005-0000-0000-0000C1540000}"/>
    <cellStyle name="Percent 4 8 17" xfId="21314" xr:uid="{00000000-0005-0000-0000-0000C2540000}"/>
    <cellStyle name="Percent 4 8 2" xfId="21315" xr:uid="{00000000-0005-0000-0000-0000C3540000}"/>
    <cellStyle name="Percent 4 8 3" xfId="21316" xr:uid="{00000000-0005-0000-0000-0000C4540000}"/>
    <cellStyle name="Percent 4 8 4" xfId="21317" xr:uid="{00000000-0005-0000-0000-0000C5540000}"/>
    <cellStyle name="Percent 4 8 5" xfId="21318" xr:uid="{00000000-0005-0000-0000-0000C6540000}"/>
    <cellStyle name="Percent 4 8 6" xfId="21319" xr:uid="{00000000-0005-0000-0000-0000C7540000}"/>
    <cellStyle name="Percent 4 8 7" xfId="21320" xr:uid="{00000000-0005-0000-0000-0000C8540000}"/>
    <cellStyle name="Percent 4 8 8" xfId="21321" xr:uid="{00000000-0005-0000-0000-0000C9540000}"/>
    <cellStyle name="Percent 4 8 9" xfId="21322" xr:uid="{00000000-0005-0000-0000-0000CA540000}"/>
    <cellStyle name="Percent 4 9" xfId="21323" xr:uid="{00000000-0005-0000-0000-0000CB540000}"/>
    <cellStyle name="Percent 4 9 10" xfId="21324" xr:uid="{00000000-0005-0000-0000-0000CC540000}"/>
    <cellStyle name="Percent 4 9 11" xfId="21325" xr:uid="{00000000-0005-0000-0000-0000CD540000}"/>
    <cellStyle name="Percent 4 9 12" xfId="21326" xr:uid="{00000000-0005-0000-0000-0000CE540000}"/>
    <cellStyle name="Percent 4 9 13" xfId="21327" xr:uid="{00000000-0005-0000-0000-0000CF540000}"/>
    <cellStyle name="Percent 4 9 14" xfId="21328" xr:uid="{00000000-0005-0000-0000-0000D0540000}"/>
    <cellStyle name="Percent 4 9 15" xfId="21329" xr:uid="{00000000-0005-0000-0000-0000D1540000}"/>
    <cellStyle name="Percent 4 9 16" xfId="21330" xr:uid="{00000000-0005-0000-0000-0000D2540000}"/>
    <cellStyle name="Percent 4 9 17" xfId="21331" xr:uid="{00000000-0005-0000-0000-0000D3540000}"/>
    <cellStyle name="Percent 4 9 2" xfId="21332" xr:uid="{00000000-0005-0000-0000-0000D4540000}"/>
    <cellStyle name="Percent 4 9 3" xfId="21333" xr:uid="{00000000-0005-0000-0000-0000D5540000}"/>
    <cellStyle name="Percent 4 9 4" xfId="21334" xr:uid="{00000000-0005-0000-0000-0000D6540000}"/>
    <cellStyle name="Percent 4 9 5" xfId="21335" xr:uid="{00000000-0005-0000-0000-0000D7540000}"/>
    <cellStyle name="Percent 4 9 6" xfId="21336" xr:uid="{00000000-0005-0000-0000-0000D8540000}"/>
    <cellStyle name="Percent 4 9 7" xfId="21337" xr:uid="{00000000-0005-0000-0000-0000D9540000}"/>
    <cellStyle name="Percent 4 9 8" xfId="21338" xr:uid="{00000000-0005-0000-0000-0000DA540000}"/>
    <cellStyle name="Percent 4 9 9" xfId="21339" xr:uid="{00000000-0005-0000-0000-0000DB540000}"/>
    <cellStyle name="Percent 5" xfId="21340" xr:uid="{00000000-0005-0000-0000-0000DC540000}"/>
    <cellStyle name="Percent 5 2" xfId="21341" xr:uid="{00000000-0005-0000-0000-0000DD540000}"/>
    <cellStyle name="Percent 6" xfId="21342" xr:uid="{00000000-0005-0000-0000-0000DE540000}"/>
    <cellStyle name="Percent 6 10" xfId="21343" xr:uid="{00000000-0005-0000-0000-0000DF540000}"/>
    <cellStyle name="Percent 6 10 10" xfId="21344" xr:uid="{00000000-0005-0000-0000-0000E0540000}"/>
    <cellStyle name="Percent 6 10 11" xfId="21345" xr:uid="{00000000-0005-0000-0000-0000E1540000}"/>
    <cellStyle name="Percent 6 10 12" xfId="21346" xr:uid="{00000000-0005-0000-0000-0000E2540000}"/>
    <cellStyle name="Percent 6 10 13" xfId="21347" xr:uid="{00000000-0005-0000-0000-0000E3540000}"/>
    <cellStyle name="Percent 6 10 14" xfId="21348" xr:uid="{00000000-0005-0000-0000-0000E4540000}"/>
    <cellStyle name="Percent 6 10 15" xfId="21349" xr:uid="{00000000-0005-0000-0000-0000E5540000}"/>
    <cellStyle name="Percent 6 10 16" xfId="21350" xr:uid="{00000000-0005-0000-0000-0000E6540000}"/>
    <cellStyle name="Percent 6 10 17" xfId="21351" xr:uid="{00000000-0005-0000-0000-0000E7540000}"/>
    <cellStyle name="Percent 6 10 2" xfId="21352" xr:uid="{00000000-0005-0000-0000-0000E8540000}"/>
    <cellStyle name="Percent 6 10 3" xfId="21353" xr:uid="{00000000-0005-0000-0000-0000E9540000}"/>
    <cellStyle name="Percent 6 10 4" xfId="21354" xr:uid="{00000000-0005-0000-0000-0000EA540000}"/>
    <cellStyle name="Percent 6 10 5" xfId="21355" xr:uid="{00000000-0005-0000-0000-0000EB540000}"/>
    <cellStyle name="Percent 6 10 6" xfId="21356" xr:uid="{00000000-0005-0000-0000-0000EC540000}"/>
    <cellStyle name="Percent 6 10 7" xfId="21357" xr:uid="{00000000-0005-0000-0000-0000ED540000}"/>
    <cellStyle name="Percent 6 10 8" xfId="21358" xr:uid="{00000000-0005-0000-0000-0000EE540000}"/>
    <cellStyle name="Percent 6 10 9" xfId="21359" xr:uid="{00000000-0005-0000-0000-0000EF540000}"/>
    <cellStyle name="Percent 6 11" xfId="21360" xr:uid="{00000000-0005-0000-0000-0000F0540000}"/>
    <cellStyle name="Percent 6 11 10" xfId="21361" xr:uid="{00000000-0005-0000-0000-0000F1540000}"/>
    <cellStyle name="Percent 6 11 11" xfId="21362" xr:uid="{00000000-0005-0000-0000-0000F2540000}"/>
    <cellStyle name="Percent 6 11 12" xfId="21363" xr:uid="{00000000-0005-0000-0000-0000F3540000}"/>
    <cellStyle name="Percent 6 11 13" xfId="21364" xr:uid="{00000000-0005-0000-0000-0000F4540000}"/>
    <cellStyle name="Percent 6 11 14" xfId="21365" xr:uid="{00000000-0005-0000-0000-0000F5540000}"/>
    <cellStyle name="Percent 6 11 15" xfId="21366" xr:uid="{00000000-0005-0000-0000-0000F6540000}"/>
    <cellStyle name="Percent 6 11 16" xfId="21367" xr:uid="{00000000-0005-0000-0000-0000F7540000}"/>
    <cellStyle name="Percent 6 11 17" xfId="21368" xr:uid="{00000000-0005-0000-0000-0000F8540000}"/>
    <cellStyle name="Percent 6 11 2" xfId="21369" xr:uid="{00000000-0005-0000-0000-0000F9540000}"/>
    <cellStyle name="Percent 6 11 3" xfId="21370" xr:uid="{00000000-0005-0000-0000-0000FA540000}"/>
    <cellStyle name="Percent 6 11 4" xfId="21371" xr:uid="{00000000-0005-0000-0000-0000FB540000}"/>
    <cellStyle name="Percent 6 11 5" xfId="21372" xr:uid="{00000000-0005-0000-0000-0000FC540000}"/>
    <cellStyle name="Percent 6 11 6" xfId="21373" xr:uid="{00000000-0005-0000-0000-0000FD540000}"/>
    <cellStyle name="Percent 6 11 7" xfId="21374" xr:uid="{00000000-0005-0000-0000-0000FE540000}"/>
    <cellStyle name="Percent 6 11 8" xfId="21375" xr:uid="{00000000-0005-0000-0000-0000FF540000}"/>
    <cellStyle name="Percent 6 11 9" xfId="21376" xr:uid="{00000000-0005-0000-0000-000000550000}"/>
    <cellStyle name="Percent 6 12" xfId="21377" xr:uid="{00000000-0005-0000-0000-000001550000}"/>
    <cellStyle name="Percent 6 12 10" xfId="21378" xr:uid="{00000000-0005-0000-0000-000002550000}"/>
    <cellStyle name="Percent 6 12 11" xfId="21379" xr:uid="{00000000-0005-0000-0000-000003550000}"/>
    <cellStyle name="Percent 6 12 12" xfId="21380" xr:uid="{00000000-0005-0000-0000-000004550000}"/>
    <cellStyle name="Percent 6 12 13" xfId="21381" xr:uid="{00000000-0005-0000-0000-000005550000}"/>
    <cellStyle name="Percent 6 12 14" xfId="21382" xr:uid="{00000000-0005-0000-0000-000006550000}"/>
    <cellStyle name="Percent 6 12 15" xfId="21383" xr:uid="{00000000-0005-0000-0000-000007550000}"/>
    <cellStyle name="Percent 6 12 16" xfId="21384" xr:uid="{00000000-0005-0000-0000-000008550000}"/>
    <cellStyle name="Percent 6 12 17" xfId="21385" xr:uid="{00000000-0005-0000-0000-000009550000}"/>
    <cellStyle name="Percent 6 12 2" xfId="21386" xr:uid="{00000000-0005-0000-0000-00000A550000}"/>
    <cellStyle name="Percent 6 12 3" xfId="21387" xr:uid="{00000000-0005-0000-0000-00000B550000}"/>
    <cellStyle name="Percent 6 12 4" xfId="21388" xr:uid="{00000000-0005-0000-0000-00000C550000}"/>
    <cellStyle name="Percent 6 12 5" xfId="21389" xr:uid="{00000000-0005-0000-0000-00000D550000}"/>
    <cellStyle name="Percent 6 12 6" xfId="21390" xr:uid="{00000000-0005-0000-0000-00000E550000}"/>
    <cellStyle name="Percent 6 12 7" xfId="21391" xr:uid="{00000000-0005-0000-0000-00000F550000}"/>
    <cellStyle name="Percent 6 12 8" xfId="21392" xr:uid="{00000000-0005-0000-0000-000010550000}"/>
    <cellStyle name="Percent 6 12 9" xfId="21393" xr:uid="{00000000-0005-0000-0000-000011550000}"/>
    <cellStyle name="Percent 6 13" xfId="21394" xr:uid="{00000000-0005-0000-0000-000012550000}"/>
    <cellStyle name="Percent 6 13 10" xfId="21395" xr:uid="{00000000-0005-0000-0000-000013550000}"/>
    <cellStyle name="Percent 6 13 11" xfId="21396" xr:uid="{00000000-0005-0000-0000-000014550000}"/>
    <cellStyle name="Percent 6 13 12" xfId="21397" xr:uid="{00000000-0005-0000-0000-000015550000}"/>
    <cellStyle name="Percent 6 13 13" xfId="21398" xr:uid="{00000000-0005-0000-0000-000016550000}"/>
    <cellStyle name="Percent 6 13 14" xfId="21399" xr:uid="{00000000-0005-0000-0000-000017550000}"/>
    <cellStyle name="Percent 6 13 15" xfId="21400" xr:uid="{00000000-0005-0000-0000-000018550000}"/>
    <cellStyle name="Percent 6 13 16" xfId="21401" xr:uid="{00000000-0005-0000-0000-000019550000}"/>
    <cellStyle name="Percent 6 13 17" xfId="21402" xr:uid="{00000000-0005-0000-0000-00001A550000}"/>
    <cellStyle name="Percent 6 13 2" xfId="21403" xr:uid="{00000000-0005-0000-0000-00001B550000}"/>
    <cellStyle name="Percent 6 13 3" xfId="21404" xr:uid="{00000000-0005-0000-0000-00001C550000}"/>
    <cellStyle name="Percent 6 13 4" xfId="21405" xr:uid="{00000000-0005-0000-0000-00001D550000}"/>
    <cellStyle name="Percent 6 13 5" xfId="21406" xr:uid="{00000000-0005-0000-0000-00001E550000}"/>
    <cellStyle name="Percent 6 13 6" xfId="21407" xr:uid="{00000000-0005-0000-0000-00001F550000}"/>
    <cellStyle name="Percent 6 13 7" xfId="21408" xr:uid="{00000000-0005-0000-0000-000020550000}"/>
    <cellStyle name="Percent 6 13 8" xfId="21409" xr:uid="{00000000-0005-0000-0000-000021550000}"/>
    <cellStyle name="Percent 6 13 9" xfId="21410" xr:uid="{00000000-0005-0000-0000-000022550000}"/>
    <cellStyle name="Percent 6 14" xfId="21411" xr:uid="{00000000-0005-0000-0000-000023550000}"/>
    <cellStyle name="Percent 6 14 10" xfId="21412" xr:uid="{00000000-0005-0000-0000-000024550000}"/>
    <cellStyle name="Percent 6 14 11" xfId="21413" xr:uid="{00000000-0005-0000-0000-000025550000}"/>
    <cellStyle name="Percent 6 14 12" xfId="21414" xr:uid="{00000000-0005-0000-0000-000026550000}"/>
    <cellStyle name="Percent 6 14 13" xfId="21415" xr:uid="{00000000-0005-0000-0000-000027550000}"/>
    <cellStyle name="Percent 6 14 14" xfId="21416" xr:uid="{00000000-0005-0000-0000-000028550000}"/>
    <cellStyle name="Percent 6 14 15" xfId="21417" xr:uid="{00000000-0005-0000-0000-000029550000}"/>
    <cellStyle name="Percent 6 14 16" xfId="21418" xr:uid="{00000000-0005-0000-0000-00002A550000}"/>
    <cellStyle name="Percent 6 14 17" xfId="21419" xr:uid="{00000000-0005-0000-0000-00002B550000}"/>
    <cellStyle name="Percent 6 14 2" xfId="21420" xr:uid="{00000000-0005-0000-0000-00002C550000}"/>
    <cellStyle name="Percent 6 14 3" xfId="21421" xr:uid="{00000000-0005-0000-0000-00002D550000}"/>
    <cellStyle name="Percent 6 14 4" xfId="21422" xr:uid="{00000000-0005-0000-0000-00002E550000}"/>
    <cellStyle name="Percent 6 14 5" xfId="21423" xr:uid="{00000000-0005-0000-0000-00002F550000}"/>
    <cellStyle name="Percent 6 14 6" xfId="21424" xr:uid="{00000000-0005-0000-0000-000030550000}"/>
    <cellStyle name="Percent 6 14 7" xfId="21425" xr:uid="{00000000-0005-0000-0000-000031550000}"/>
    <cellStyle name="Percent 6 14 8" xfId="21426" xr:uid="{00000000-0005-0000-0000-000032550000}"/>
    <cellStyle name="Percent 6 14 9" xfId="21427" xr:uid="{00000000-0005-0000-0000-000033550000}"/>
    <cellStyle name="Percent 6 15" xfId="21428" xr:uid="{00000000-0005-0000-0000-000034550000}"/>
    <cellStyle name="Percent 6 15 10" xfId="21429" xr:uid="{00000000-0005-0000-0000-000035550000}"/>
    <cellStyle name="Percent 6 15 11" xfId="21430" xr:uid="{00000000-0005-0000-0000-000036550000}"/>
    <cellStyle name="Percent 6 15 12" xfId="21431" xr:uid="{00000000-0005-0000-0000-000037550000}"/>
    <cellStyle name="Percent 6 15 13" xfId="21432" xr:uid="{00000000-0005-0000-0000-000038550000}"/>
    <cellStyle name="Percent 6 15 14" xfId="21433" xr:uid="{00000000-0005-0000-0000-000039550000}"/>
    <cellStyle name="Percent 6 15 15" xfId="21434" xr:uid="{00000000-0005-0000-0000-00003A550000}"/>
    <cellStyle name="Percent 6 15 16" xfId="21435" xr:uid="{00000000-0005-0000-0000-00003B550000}"/>
    <cellStyle name="Percent 6 15 17" xfId="21436" xr:uid="{00000000-0005-0000-0000-00003C550000}"/>
    <cellStyle name="Percent 6 15 2" xfId="21437" xr:uid="{00000000-0005-0000-0000-00003D550000}"/>
    <cellStyle name="Percent 6 15 3" xfId="21438" xr:uid="{00000000-0005-0000-0000-00003E550000}"/>
    <cellStyle name="Percent 6 15 4" xfId="21439" xr:uid="{00000000-0005-0000-0000-00003F550000}"/>
    <cellStyle name="Percent 6 15 5" xfId="21440" xr:uid="{00000000-0005-0000-0000-000040550000}"/>
    <cellStyle name="Percent 6 15 6" xfId="21441" xr:uid="{00000000-0005-0000-0000-000041550000}"/>
    <cellStyle name="Percent 6 15 7" xfId="21442" xr:uid="{00000000-0005-0000-0000-000042550000}"/>
    <cellStyle name="Percent 6 15 8" xfId="21443" xr:uid="{00000000-0005-0000-0000-000043550000}"/>
    <cellStyle name="Percent 6 15 9" xfId="21444" xr:uid="{00000000-0005-0000-0000-000044550000}"/>
    <cellStyle name="Percent 6 16" xfId="21445" xr:uid="{00000000-0005-0000-0000-000045550000}"/>
    <cellStyle name="Percent 6 16 10" xfId="21446" xr:uid="{00000000-0005-0000-0000-000046550000}"/>
    <cellStyle name="Percent 6 16 11" xfId="21447" xr:uid="{00000000-0005-0000-0000-000047550000}"/>
    <cellStyle name="Percent 6 16 12" xfId="21448" xr:uid="{00000000-0005-0000-0000-000048550000}"/>
    <cellStyle name="Percent 6 16 13" xfId="21449" xr:uid="{00000000-0005-0000-0000-000049550000}"/>
    <cellStyle name="Percent 6 16 14" xfId="21450" xr:uid="{00000000-0005-0000-0000-00004A550000}"/>
    <cellStyle name="Percent 6 16 15" xfId="21451" xr:uid="{00000000-0005-0000-0000-00004B550000}"/>
    <cellStyle name="Percent 6 16 16" xfId="21452" xr:uid="{00000000-0005-0000-0000-00004C550000}"/>
    <cellStyle name="Percent 6 16 17" xfId="21453" xr:uid="{00000000-0005-0000-0000-00004D550000}"/>
    <cellStyle name="Percent 6 16 2" xfId="21454" xr:uid="{00000000-0005-0000-0000-00004E550000}"/>
    <cellStyle name="Percent 6 16 3" xfId="21455" xr:uid="{00000000-0005-0000-0000-00004F550000}"/>
    <cellStyle name="Percent 6 16 4" xfId="21456" xr:uid="{00000000-0005-0000-0000-000050550000}"/>
    <cellStyle name="Percent 6 16 5" xfId="21457" xr:uid="{00000000-0005-0000-0000-000051550000}"/>
    <cellStyle name="Percent 6 16 6" xfId="21458" xr:uid="{00000000-0005-0000-0000-000052550000}"/>
    <cellStyle name="Percent 6 16 7" xfId="21459" xr:uid="{00000000-0005-0000-0000-000053550000}"/>
    <cellStyle name="Percent 6 16 8" xfId="21460" xr:uid="{00000000-0005-0000-0000-000054550000}"/>
    <cellStyle name="Percent 6 16 9" xfId="21461" xr:uid="{00000000-0005-0000-0000-000055550000}"/>
    <cellStyle name="Percent 6 17" xfId="21462" xr:uid="{00000000-0005-0000-0000-000056550000}"/>
    <cellStyle name="Percent 6 17 10" xfId="21463" xr:uid="{00000000-0005-0000-0000-000057550000}"/>
    <cellStyle name="Percent 6 17 11" xfId="21464" xr:uid="{00000000-0005-0000-0000-000058550000}"/>
    <cellStyle name="Percent 6 17 12" xfId="21465" xr:uid="{00000000-0005-0000-0000-000059550000}"/>
    <cellStyle name="Percent 6 17 13" xfId="21466" xr:uid="{00000000-0005-0000-0000-00005A550000}"/>
    <cellStyle name="Percent 6 17 14" xfId="21467" xr:uid="{00000000-0005-0000-0000-00005B550000}"/>
    <cellStyle name="Percent 6 17 15" xfId="21468" xr:uid="{00000000-0005-0000-0000-00005C550000}"/>
    <cellStyle name="Percent 6 17 16" xfId="21469" xr:uid="{00000000-0005-0000-0000-00005D550000}"/>
    <cellStyle name="Percent 6 17 17" xfId="21470" xr:uid="{00000000-0005-0000-0000-00005E550000}"/>
    <cellStyle name="Percent 6 17 2" xfId="21471" xr:uid="{00000000-0005-0000-0000-00005F550000}"/>
    <cellStyle name="Percent 6 17 3" xfId="21472" xr:uid="{00000000-0005-0000-0000-000060550000}"/>
    <cellStyle name="Percent 6 17 4" xfId="21473" xr:uid="{00000000-0005-0000-0000-000061550000}"/>
    <cellStyle name="Percent 6 17 5" xfId="21474" xr:uid="{00000000-0005-0000-0000-000062550000}"/>
    <cellStyle name="Percent 6 17 6" xfId="21475" xr:uid="{00000000-0005-0000-0000-000063550000}"/>
    <cellStyle name="Percent 6 17 7" xfId="21476" xr:uid="{00000000-0005-0000-0000-000064550000}"/>
    <cellStyle name="Percent 6 17 8" xfId="21477" xr:uid="{00000000-0005-0000-0000-000065550000}"/>
    <cellStyle name="Percent 6 17 9" xfId="21478" xr:uid="{00000000-0005-0000-0000-000066550000}"/>
    <cellStyle name="Percent 6 18" xfId="21479" xr:uid="{00000000-0005-0000-0000-000067550000}"/>
    <cellStyle name="Percent 6 18 10" xfId="21480" xr:uid="{00000000-0005-0000-0000-000068550000}"/>
    <cellStyle name="Percent 6 18 11" xfId="21481" xr:uid="{00000000-0005-0000-0000-000069550000}"/>
    <cellStyle name="Percent 6 18 12" xfId="21482" xr:uid="{00000000-0005-0000-0000-00006A550000}"/>
    <cellStyle name="Percent 6 18 13" xfId="21483" xr:uid="{00000000-0005-0000-0000-00006B550000}"/>
    <cellStyle name="Percent 6 18 14" xfId="21484" xr:uid="{00000000-0005-0000-0000-00006C550000}"/>
    <cellStyle name="Percent 6 18 15" xfId="21485" xr:uid="{00000000-0005-0000-0000-00006D550000}"/>
    <cellStyle name="Percent 6 18 16" xfId="21486" xr:uid="{00000000-0005-0000-0000-00006E550000}"/>
    <cellStyle name="Percent 6 18 17" xfId="21487" xr:uid="{00000000-0005-0000-0000-00006F550000}"/>
    <cellStyle name="Percent 6 18 2" xfId="21488" xr:uid="{00000000-0005-0000-0000-000070550000}"/>
    <cellStyle name="Percent 6 18 3" xfId="21489" xr:uid="{00000000-0005-0000-0000-000071550000}"/>
    <cellStyle name="Percent 6 18 4" xfId="21490" xr:uid="{00000000-0005-0000-0000-000072550000}"/>
    <cellStyle name="Percent 6 18 5" xfId="21491" xr:uid="{00000000-0005-0000-0000-000073550000}"/>
    <cellStyle name="Percent 6 18 6" xfId="21492" xr:uid="{00000000-0005-0000-0000-000074550000}"/>
    <cellStyle name="Percent 6 18 7" xfId="21493" xr:uid="{00000000-0005-0000-0000-000075550000}"/>
    <cellStyle name="Percent 6 18 8" xfId="21494" xr:uid="{00000000-0005-0000-0000-000076550000}"/>
    <cellStyle name="Percent 6 18 9" xfId="21495" xr:uid="{00000000-0005-0000-0000-000077550000}"/>
    <cellStyle name="Percent 6 19" xfId="21496" xr:uid="{00000000-0005-0000-0000-000078550000}"/>
    <cellStyle name="Percent 6 19 10" xfId="21497" xr:uid="{00000000-0005-0000-0000-000079550000}"/>
    <cellStyle name="Percent 6 19 11" xfId="21498" xr:uid="{00000000-0005-0000-0000-00007A550000}"/>
    <cellStyle name="Percent 6 19 12" xfId="21499" xr:uid="{00000000-0005-0000-0000-00007B550000}"/>
    <cellStyle name="Percent 6 19 13" xfId="21500" xr:uid="{00000000-0005-0000-0000-00007C550000}"/>
    <cellStyle name="Percent 6 19 14" xfId="21501" xr:uid="{00000000-0005-0000-0000-00007D550000}"/>
    <cellStyle name="Percent 6 19 15" xfId="21502" xr:uid="{00000000-0005-0000-0000-00007E550000}"/>
    <cellStyle name="Percent 6 19 16" xfId="21503" xr:uid="{00000000-0005-0000-0000-00007F550000}"/>
    <cellStyle name="Percent 6 19 17" xfId="21504" xr:uid="{00000000-0005-0000-0000-000080550000}"/>
    <cellStyle name="Percent 6 19 2" xfId="21505" xr:uid="{00000000-0005-0000-0000-000081550000}"/>
    <cellStyle name="Percent 6 19 3" xfId="21506" xr:uid="{00000000-0005-0000-0000-000082550000}"/>
    <cellStyle name="Percent 6 19 4" xfId="21507" xr:uid="{00000000-0005-0000-0000-000083550000}"/>
    <cellStyle name="Percent 6 19 5" xfId="21508" xr:uid="{00000000-0005-0000-0000-000084550000}"/>
    <cellStyle name="Percent 6 19 6" xfId="21509" xr:uid="{00000000-0005-0000-0000-000085550000}"/>
    <cellStyle name="Percent 6 19 7" xfId="21510" xr:uid="{00000000-0005-0000-0000-000086550000}"/>
    <cellStyle name="Percent 6 19 8" xfId="21511" xr:uid="{00000000-0005-0000-0000-000087550000}"/>
    <cellStyle name="Percent 6 19 9" xfId="21512" xr:uid="{00000000-0005-0000-0000-000088550000}"/>
    <cellStyle name="Percent 6 2" xfId="21513" xr:uid="{00000000-0005-0000-0000-000089550000}"/>
    <cellStyle name="Percent 6 20" xfId="21514" xr:uid="{00000000-0005-0000-0000-00008A550000}"/>
    <cellStyle name="Percent 6 20 10" xfId="21515" xr:uid="{00000000-0005-0000-0000-00008B550000}"/>
    <cellStyle name="Percent 6 20 11" xfId="21516" xr:uid="{00000000-0005-0000-0000-00008C550000}"/>
    <cellStyle name="Percent 6 20 12" xfId="21517" xr:uid="{00000000-0005-0000-0000-00008D550000}"/>
    <cellStyle name="Percent 6 20 13" xfId="21518" xr:uid="{00000000-0005-0000-0000-00008E550000}"/>
    <cellStyle name="Percent 6 20 14" xfId="21519" xr:uid="{00000000-0005-0000-0000-00008F550000}"/>
    <cellStyle name="Percent 6 20 15" xfId="21520" xr:uid="{00000000-0005-0000-0000-000090550000}"/>
    <cellStyle name="Percent 6 20 16" xfId="21521" xr:uid="{00000000-0005-0000-0000-000091550000}"/>
    <cellStyle name="Percent 6 20 17" xfId="21522" xr:uid="{00000000-0005-0000-0000-000092550000}"/>
    <cellStyle name="Percent 6 20 2" xfId="21523" xr:uid="{00000000-0005-0000-0000-000093550000}"/>
    <cellStyle name="Percent 6 20 3" xfId="21524" xr:uid="{00000000-0005-0000-0000-000094550000}"/>
    <cellStyle name="Percent 6 20 4" xfId="21525" xr:uid="{00000000-0005-0000-0000-000095550000}"/>
    <cellStyle name="Percent 6 20 5" xfId="21526" xr:uid="{00000000-0005-0000-0000-000096550000}"/>
    <cellStyle name="Percent 6 20 6" xfId="21527" xr:uid="{00000000-0005-0000-0000-000097550000}"/>
    <cellStyle name="Percent 6 20 7" xfId="21528" xr:uid="{00000000-0005-0000-0000-000098550000}"/>
    <cellStyle name="Percent 6 20 8" xfId="21529" xr:uid="{00000000-0005-0000-0000-000099550000}"/>
    <cellStyle name="Percent 6 20 9" xfId="21530" xr:uid="{00000000-0005-0000-0000-00009A550000}"/>
    <cellStyle name="Percent 6 21" xfId="21531" xr:uid="{00000000-0005-0000-0000-00009B550000}"/>
    <cellStyle name="Percent 6 21 10" xfId="21532" xr:uid="{00000000-0005-0000-0000-00009C550000}"/>
    <cellStyle name="Percent 6 21 11" xfId="21533" xr:uid="{00000000-0005-0000-0000-00009D550000}"/>
    <cellStyle name="Percent 6 21 12" xfId="21534" xr:uid="{00000000-0005-0000-0000-00009E550000}"/>
    <cellStyle name="Percent 6 21 13" xfId="21535" xr:uid="{00000000-0005-0000-0000-00009F550000}"/>
    <cellStyle name="Percent 6 21 14" xfId="21536" xr:uid="{00000000-0005-0000-0000-0000A0550000}"/>
    <cellStyle name="Percent 6 21 15" xfId="21537" xr:uid="{00000000-0005-0000-0000-0000A1550000}"/>
    <cellStyle name="Percent 6 21 16" xfId="21538" xr:uid="{00000000-0005-0000-0000-0000A2550000}"/>
    <cellStyle name="Percent 6 21 17" xfId="21539" xr:uid="{00000000-0005-0000-0000-0000A3550000}"/>
    <cellStyle name="Percent 6 21 2" xfId="21540" xr:uid="{00000000-0005-0000-0000-0000A4550000}"/>
    <cellStyle name="Percent 6 21 3" xfId="21541" xr:uid="{00000000-0005-0000-0000-0000A5550000}"/>
    <cellStyle name="Percent 6 21 4" xfId="21542" xr:uid="{00000000-0005-0000-0000-0000A6550000}"/>
    <cellStyle name="Percent 6 21 5" xfId="21543" xr:uid="{00000000-0005-0000-0000-0000A7550000}"/>
    <cellStyle name="Percent 6 21 6" xfId="21544" xr:uid="{00000000-0005-0000-0000-0000A8550000}"/>
    <cellStyle name="Percent 6 21 7" xfId="21545" xr:uid="{00000000-0005-0000-0000-0000A9550000}"/>
    <cellStyle name="Percent 6 21 8" xfId="21546" xr:uid="{00000000-0005-0000-0000-0000AA550000}"/>
    <cellStyle name="Percent 6 21 9" xfId="21547" xr:uid="{00000000-0005-0000-0000-0000AB550000}"/>
    <cellStyle name="Percent 6 22" xfId="21548" xr:uid="{00000000-0005-0000-0000-0000AC550000}"/>
    <cellStyle name="Percent 6 22 10" xfId="21549" xr:uid="{00000000-0005-0000-0000-0000AD550000}"/>
    <cellStyle name="Percent 6 22 11" xfId="21550" xr:uid="{00000000-0005-0000-0000-0000AE550000}"/>
    <cellStyle name="Percent 6 22 12" xfId="21551" xr:uid="{00000000-0005-0000-0000-0000AF550000}"/>
    <cellStyle name="Percent 6 22 13" xfId="21552" xr:uid="{00000000-0005-0000-0000-0000B0550000}"/>
    <cellStyle name="Percent 6 22 14" xfId="21553" xr:uid="{00000000-0005-0000-0000-0000B1550000}"/>
    <cellStyle name="Percent 6 22 15" xfId="21554" xr:uid="{00000000-0005-0000-0000-0000B2550000}"/>
    <cellStyle name="Percent 6 22 16" xfId="21555" xr:uid="{00000000-0005-0000-0000-0000B3550000}"/>
    <cellStyle name="Percent 6 22 17" xfId="21556" xr:uid="{00000000-0005-0000-0000-0000B4550000}"/>
    <cellStyle name="Percent 6 22 2" xfId="21557" xr:uid="{00000000-0005-0000-0000-0000B5550000}"/>
    <cellStyle name="Percent 6 22 3" xfId="21558" xr:uid="{00000000-0005-0000-0000-0000B6550000}"/>
    <cellStyle name="Percent 6 22 4" xfId="21559" xr:uid="{00000000-0005-0000-0000-0000B7550000}"/>
    <cellStyle name="Percent 6 22 5" xfId="21560" xr:uid="{00000000-0005-0000-0000-0000B8550000}"/>
    <cellStyle name="Percent 6 22 6" xfId="21561" xr:uid="{00000000-0005-0000-0000-0000B9550000}"/>
    <cellStyle name="Percent 6 22 7" xfId="21562" xr:uid="{00000000-0005-0000-0000-0000BA550000}"/>
    <cellStyle name="Percent 6 22 8" xfId="21563" xr:uid="{00000000-0005-0000-0000-0000BB550000}"/>
    <cellStyle name="Percent 6 22 9" xfId="21564" xr:uid="{00000000-0005-0000-0000-0000BC550000}"/>
    <cellStyle name="Percent 6 23" xfId="21565" xr:uid="{00000000-0005-0000-0000-0000BD550000}"/>
    <cellStyle name="Percent 6 23 10" xfId="21566" xr:uid="{00000000-0005-0000-0000-0000BE550000}"/>
    <cellStyle name="Percent 6 23 11" xfId="21567" xr:uid="{00000000-0005-0000-0000-0000BF550000}"/>
    <cellStyle name="Percent 6 23 12" xfId="21568" xr:uid="{00000000-0005-0000-0000-0000C0550000}"/>
    <cellStyle name="Percent 6 23 13" xfId="21569" xr:uid="{00000000-0005-0000-0000-0000C1550000}"/>
    <cellStyle name="Percent 6 23 14" xfId="21570" xr:uid="{00000000-0005-0000-0000-0000C2550000}"/>
    <cellStyle name="Percent 6 23 15" xfId="21571" xr:uid="{00000000-0005-0000-0000-0000C3550000}"/>
    <cellStyle name="Percent 6 23 16" xfId="21572" xr:uid="{00000000-0005-0000-0000-0000C4550000}"/>
    <cellStyle name="Percent 6 23 17" xfId="21573" xr:uid="{00000000-0005-0000-0000-0000C5550000}"/>
    <cellStyle name="Percent 6 23 2" xfId="21574" xr:uid="{00000000-0005-0000-0000-0000C6550000}"/>
    <cellStyle name="Percent 6 23 3" xfId="21575" xr:uid="{00000000-0005-0000-0000-0000C7550000}"/>
    <cellStyle name="Percent 6 23 4" xfId="21576" xr:uid="{00000000-0005-0000-0000-0000C8550000}"/>
    <cellStyle name="Percent 6 23 5" xfId="21577" xr:uid="{00000000-0005-0000-0000-0000C9550000}"/>
    <cellStyle name="Percent 6 23 6" xfId="21578" xr:uid="{00000000-0005-0000-0000-0000CA550000}"/>
    <cellStyle name="Percent 6 23 7" xfId="21579" xr:uid="{00000000-0005-0000-0000-0000CB550000}"/>
    <cellStyle name="Percent 6 23 8" xfId="21580" xr:uid="{00000000-0005-0000-0000-0000CC550000}"/>
    <cellStyle name="Percent 6 23 9" xfId="21581" xr:uid="{00000000-0005-0000-0000-0000CD550000}"/>
    <cellStyle name="Percent 6 24" xfId="21582" xr:uid="{00000000-0005-0000-0000-0000CE550000}"/>
    <cellStyle name="Percent 6 24 10" xfId="21583" xr:uid="{00000000-0005-0000-0000-0000CF550000}"/>
    <cellStyle name="Percent 6 24 11" xfId="21584" xr:uid="{00000000-0005-0000-0000-0000D0550000}"/>
    <cellStyle name="Percent 6 24 12" xfId="21585" xr:uid="{00000000-0005-0000-0000-0000D1550000}"/>
    <cellStyle name="Percent 6 24 13" xfId="21586" xr:uid="{00000000-0005-0000-0000-0000D2550000}"/>
    <cellStyle name="Percent 6 24 14" xfId="21587" xr:uid="{00000000-0005-0000-0000-0000D3550000}"/>
    <cellStyle name="Percent 6 24 15" xfId="21588" xr:uid="{00000000-0005-0000-0000-0000D4550000}"/>
    <cellStyle name="Percent 6 24 16" xfId="21589" xr:uid="{00000000-0005-0000-0000-0000D5550000}"/>
    <cellStyle name="Percent 6 24 17" xfId="21590" xr:uid="{00000000-0005-0000-0000-0000D6550000}"/>
    <cellStyle name="Percent 6 24 2" xfId="21591" xr:uid="{00000000-0005-0000-0000-0000D7550000}"/>
    <cellStyle name="Percent 6 24 3" xfId="21592" xr:uid="{00000000-0005-0000-0000-0000D8550000}"/>
    <cellStyle name="Percent 6 24 4" xfId="21593" xr:uid="{00000000-0005-0000-0000-0000D9550000}"/>
    <cellStyle name="Percent 6 24 5" xfId="21594" xr:uid="{00000000-0005-0000-0000-0000DA550000}"/>
    <cellStyle name="Percent 6 24 6" xfId="21595" xr:uid="{00000000-0005-0000-0000-0000DB550000}"/>
    <cellStyle name="Percent 6 24 7" xfId="21596" xr:uid="{00000000-0005-0000-0000-0000DC550000}"/>
    <cellStyle name="Percent 6 24 8" xfId="21597" xr:uid="{00000000-0005-0000-0000-0000DD550000}"/>
    <cellStyle name="Percent 6 24 9" xfId="21598" xr:uid="{00000000-0005-0000-0000-0000DE550000}"/>
    <cellStyle name="Percent 6 25" xfId="21599" xr:uid="{00000000-0005-0000-0000-0000DF550000}"/>
    <cellStyle name="Percent 6 25 10" xfId="21600" xr:uid="{00000000-0005-0000-0000-0000E0550000}"/>
    <cellStyle name="Percent 6 25 11" xfId="21601" xr:uid="{00000000-0005-0000-0000-0000E1550000}"/>
    <cellStyle name="Percent 6 25 12" xfId="21602" xr:uid="{00000000-0005-0000-0000-0000E2550000}"/>
    <cellStyle name="Percent 6 25 13" xfId="21603" xr:uid="{00000000-0005-0000-0000-0000E3550000}"/>
    <cellStyle name="Percent 6 25 14" xfId="21604" xr:uid="{00000000-0005-0000-0000-0000E4550000}"/>
    <cellStyle name="Percent 6 25 15" xfId="21605" xr:uid="{00000000-0005-0000-0000-0000E5550000}"/>
    <cellStyle name="Percent 6 25 16" xfId="21606" xr:uid="{00000000-0005-0000-0000-0000E6550000}"/>
    <cellStyle name="Percent 6 25 17" xfId="21607" xr:uid="{00000000-0005-0000-0000-0000E7550000}"/>
    <cellStyle name="Percent 6 25 2" xfId="21608" xr:uid="{00000000-0005-0000-0000-0000E8550000}"/>
    <cellStyle name="Percent 6 25 3" xfId="21609" xr:uid="{00000000-0005-0000-0000-0000E9550000}"/>
    <cellStyle name="Percent 6 25 4" xfId="21610" xr:uid="{00000000-0005-0000-0000-0000EA550000}"/>
    <cellStyle name="Percent 6 25 5" xfId="21611" xr:uid="{00000000-0005-0000-0000-0000EB550000}"/>
    <cellStyle name="Percent 6 25 6" xfId="21612" xr:uid="{00000000-0005-0000-0000-0000EC550000}"/>
    <cellStyle name="Percent 6 25 7" xfId="21613" xr:uid="{00000000-0005-0000-0000-0000ED550000}"/>
    <cellStyle name="Percent 6 25 8" xfId="21614" xr:uid="{00000000-0005-0000-0000-0000EE550000}"/>
    <cellStyle name="Percent 6 25 9" xfId="21615" xr:uid="{00000000-0005-0000-0000-0000EF550000}"/>
    <cellStyle name="Percent 6 26" xfId="21616" xr:uid="{00000000-0005-0000-0000-0000F0550000}"/>
    <cellStyle name="Percent 6 26 10" xfId="21617" xr:uid="{00000000-0005-0000-0000-0000F1550000}"/>
    <cellStyle name="Percent 6 26 11" xfId="21618" xr:uid="{00000000-0005-0000-0000-0000F2550000}"/>
    <cellStyle name="Percent 6 26 12" xfId="21619" xr:uid="{00000000-0005-0000-0000-0000F3550000}"/>
    <cellStyle name="Percent 6 26 13" xfId="21620" xr:uid="{00000000-0005-0000-0000-0000F4550000}"/>
    <cellStyle name="Percent 6 26 14" xfId="21621" xr:uid="{00000000-0005-0000-0000-0000F5550000}"/>
    <cellStyle name="Percent 6 26 15" xfId="21622" xr:uid="{00000000-0005-0000-0000-0000F6550000}"/>
    <cellStyle name="Percent 6 26 16" xfId="21623" xr:uid="{00000000-0005-0000-0000-0000F7550000}"/>
    <cellStyle name="Percent 6 26 17" xfId="21624" xr:uid="{00000000-0005-0000-0000-0000F8550000}"/>
    <cellStyle name="Percent 6 26 2" xfId="21625" xr:uid="{00000000-0005-0000-0000-0000F9550000}"/>
    <cellStyle name="Percent 6 26 3" xfId="21626" xr:uid="{00000000-0005-0000-0000-0000FA550000}"/>
    <cellStyle name="Percent 6 26 4" xfId="21627" xr:uid="{00000000-0005-0000-0000-0000FB550000}"/>
    <cellStyle name="Percent 6 26 5" xfId="21628" xr:uid="{00000000-0005-0000-0000-0000FC550000}"/>
    <cellStyle name="Percent 6 26 6" xfId="21629" xr:uid="{00000000-0005-0000-0000-0000FD550000}"/>
    <cellStyle name="Percent 6 26 7" xfId="21630" xr:uid="{00000000-0005-0000-0000-0000FE550000}"/>
    <cellStyle name="Percent 6 26 8" xfId="21631" xr:uid="{00000000-0005-0000-0000-0000FF550000}"/>
    <cellStyle name="Percent 6 26 9" xfId="21632" xr:uid="{00000000-0005-0000-0000-000000560000}"/>
    <cellStyle name="Percent 6 27" xfId="21633" xr:uid="{00000000-0005-0000-0000-000001560000}"/>
    <cellStyle name="Percent 6 27 10" xfId="21634" xr:uid="{00000000-0005-0000-0000-000002560000}"/>
    <cellStyle name="Percent 6 27 11" xfId="21635" xr:uid="{00000000-0005-0000-0000-000003560000}"/>
    <cellStyle name="Percent 6 27 12" xfId="21636" xr:uid="{00000000-0005-0000-0000-000004560000}"/>
    <cellStyle name="Percent 6 27 13" xfId="21637" xr:uid="{00000000-0005-0000-0000-000005560000}"/>
    <cellStyle name="Percent 6 27 14" xfId="21638" xr:uid="{00000000-0005-0000-0000-000006560000}"/>
    <cellStyle name="Percent 6 27 15" xfId="21639" xr:uid="{00000000-0005-0000-0000-000007560000}"/>
    <cellStyle name="Percent 6 27 16" xfId="21640" xr:uid="{00000000-0005-0000-0000-000008560000}"/>
    <cellStyle name="Percent 6 27 17" xfId="21641" xr:uid="{00000000-0005-0000-0000-000009560000}"/>
    <cellStyle name="Percent 6 27 2" xfId="21642" xr:uid="{00000000-0005-0000-0000-00000A560000}"/>
    <cellStyle name="Percent 6 27 3" xfId="21643" xr:uid="{00000000-0005-0000-0000-00000B560000}"/>
    <cellStyle name="Percent 6 27 4" xfId="21644" xr:uid="{00000000-0005-0000-0000-00000C560000}"/>
    <cellStyle name="Percent 6 27 5" xfId="21645" xr:uid="{00000000-0005-0000-0000-00000D560000}"/>
    <cellStyle name="Percent 6 27 6" xfId="21646" xr:uid="{00000000-0005-0000-0000-00000E560000}"/>
    <cellStyle name="Percent 6 27 7" xfId="21647" xr:uid="{00000000-0005-0000-0000-00000F560000}"/>
    <cellStyle name="Percent 6 27 8" xfId="21648" xr:uid="{00000000-0005-0000-0000-000010560000}"/>
    <cellStyle name="Percent 6 27 9" xfId="21649" xr:uid="{00000000-0005-0000-0000-000011560000}"/>
    <cellStyle name="Percent 6 28" xfId="21650" xr:uid="{00000000-0005-0000-0000-000012560000}"/>
    <cellStyle name="Percent 6 28 10" xfId="21651" xr:uid="{00000000-0005-0000-0000-000013560000}"/>
    <cellStyle name="Percent 6 28 11" xfId="21652" xr:uid="{00000000-0005-0000-0000-000014560000}"/>
    <cellStyle name="Percent 6 28 12" xfId="21653" xr:uid="{00000000-0005-0000-0000-000015560000}"/>
    <cellStyle name="Percent 6 28 13" xfId="21654" xr:uid="{00000000-0005-0000-0000-000016560000}"/>
    <cellStyle name="Percent 6 28 14" xfId="21655" xr:uid="{00000000-0005-0000-0000-000017560000}"/>
    <cellStyle name="Percent 6 28 15" xfId="21656" xr:uid="{00000000-0005-0000-0000-000018560000}"/>
    <cellStyle name="Percent 6 28 16" xfId="21657" xr:uid="{00000000-0005-0000-0000-000019560000}"/>
    <cellStyle name="Percent 6 28 17" xfId="21658" xr:uid="{00000000-0005-0000-0000-00001A560000}"/>
    <cellStyle name="Percent 6 28 2" xfId="21659" xr:uid="{00000000-0005-0000-0000-00001B560000}"/>
    <cellStyle name="Percent 6 28 3" xfId="21660" xr:uid="{00000000-0005-0000-0000-00001C560000}"/>
    <cellStyle name="Percent 6 28 4" xfId="21661" xr:uid="{00000000-0005-0000-0000-00001D560000}"/>
    <cellStyle name="Percent 6 28 5" xfId="21662" xr:uid="{00000000-0005-0000-0000-00001E560000}"/>
    <cellStyle name="Percent 6 28 6" xfId="21663" xr:uid="{00000000-0005-0000-0000-00001F560000}"/>
    <cellStyle name="Percent 6 28 7" xfId="21664" xr:uid="{00000000-0005-0000-0000-000020560000}"/>
    <cellStyle name="Percent 6 28 8" xfId="21665" xr:uid="{00000000-0005-0000-0000-000021560000}"/>
    <cellStyle name="Percent 6 28 9" xfId="21666" xr:uid="{00000000-0005-0000-0000-000022560000}"/>
    <cellStyle name="Percent 6 29" xfId="21667" xr:uid="{00000000-0005-0000-0000-000023560000}"/>
    <cellStyle name="Percent 6 29 10" xfId="21668" xr:uid="{00000000-0005-0000-0000-000024560000}"/>
    <cellStyle name="Percent 6 29 11" xfId="21669" xr:uid="{00000000-0005-0000-0000-000025560000}"/>
    <cellStyle name="Percent 6 29 12" xfId="21670" xr:uid="{00000000-0005-0000-0000-000026560000}"/>
    <cellStyle name="Percent 6 29 13" xfId="21671" xr:uid="{00000000-0005-0000-0000-000027560000}"/>
    <cellStyle name="Percent 6 29 14" xfId="21672" xr:uid="{00000000-0005-0000-0000-000028560000}"/>
    <cellStyle name="Percent 6 29 15" xfId="21673" xr:uid="{00000000-0005-0000-0000-000029560000}"/>
    <cellStyle name="Percent 6 29 16" xfId="21674" xr:uid="{00000000-0005-0000-0000-00002A560000}"/>
    <cellStyle name="Percent 6 29 17" xfId="21675" xr:uid="{00000000-0005-0000-0000-00002B560000}"/>
    <cellStyle name="Percent 6 29 2" xfId="21676" xr:uid="{00000000-0005-0000-0000-00002C560000}"/>
    <cellStyle name="Percent 6 29 3" xfId="21677" xr:uid="{00000000-0005-0000-0000-00002D560000}"/>
    <cellStyle name="Percent 6 29 4" xfId="21678" xr:uid="{00000000-0005-0000-0000-00002E560000}"/>
    <cellStyle name="Percent 6 29 5" xfId="21679" xr:uid="{00000000-0005-0000-0000-00002F560000}"/>
    <cellStyle name="Percent 6 29 6" xfId="21680" xr:uid="{00000000-0005-0000-0000-000030560000}"/>
    <cellStyle name="Percent 6 29 7" xfId="21681" xr:uid="{00000000-0005-0000-0000-000031560000}"/>
    <cellStyle name="Percent 6 29 8" xfId="21682" xr:uid="{00000000-0005-0000-0000-000032560000}"/>
    <cellStyle name="Percent 6 29 9" xfId="21683" xr:uid="{00000000-0005-0000-0000-000033560000}"/>
    <cellStyle name="Percent 6 3" xfId="21684" xr:uid="{00000000-0005-0000-0000-000034560000}"/>
    <cellStyle name="Percent 6 3 10" xfId="21685" xr:uid="{00000000-0005-0000-0000-000035560000}"/>
    <cellStyle name="Percent 6 3 11" xfId="21686" xr:uid="{00000000-0005-0000-0000-000036560000}"/>
    <cellStyle name="Percent 6 3 12" xfId="21687" xr:uid="{00000000-0005-0000-0000-000037560000}"/>
    <cellStyle name="Percent 6 3 13" xfId="21688" xr:uid="{00000000-0005-0000-0000-000038560000}"/>
    <cellStyle name="Percent 6 3 14" xfId="21689" xr:uid="{00000000-0005-0000-0000-000039560000}"/>
    <cellStyle name="Percent 6 3 15" xfId="21690" xr:uid="{00000000-0005-0000-0000-00003A560000}"/>
    <cellStyle name="Percent 6 3 16" xfId="21691" xr:uid="{00000000-0005-0000-0000-00003B560000}"/>
    <cellStyle name="Percent 6 3 17" xfId="21692" xr:uid="{00000000-0005-0000-0000-00003C560000}"/>
    <cellStyle name="Percent 6 3 2" xfId="21693" xr:uid="{00000000-0005-0000-0000-00003D560000}"/>
    <cellStyle name="Percent 6 3 3" xfId="21694" xr:uid="{00000000-0005-0000-0000-00003E560000}"/>
    <cellStyle name="Percent 6 3 4" xfId="21695" xr:uid="{00000000-0005-0000-0000-00003F560000}"/>
    <cellStyle name="Percent 6 3 5" xfId="21696" xr:uid="{00000000-0005-0000-0000-000040560000}"/>
    <cellStyle name="Percent 6 3 6" xfId="21697" xr:uid="{00000000-0005-0000-0000-000041560000}"/>
    <cellStyle name="Percent 6 3 7" xfId="21698" xr:uid="{00000000-0005-0000-0000-000042560000}"/>
    <cellStyle name="Percent 6 3 8" xfId="21699" xr:uid="{00000000-0005-0000-0000-000043560000}"/>
    <cellStyle name="Percent 6 3 9" xfId="21700" xr:uid="{00000000-0005-0000-0000-000044560000}"/>
    <cellStyle name="Percent 6 30" xfId="21701" xr:uid="{00000000-0005-0000-0000-000045560000}"/>
    <cellStyle name="Percent 6 30 10" xfId="21702" xr:uid="{00000000-0005-0000-0000-000046560000}"/>
    <cellStyle name="Percent 6 30 11" xfId="21703" xr:uid="{00000000-0005-0000-0000-000047560000}"/>
    <cellStyle name="Percent 6 30 12" xfId="21704" xr:uid="{00000000-0005-0000-0000-000048560000}"/>
    <cellStyle name="Percent 6 30 13" xfId="21705" xr:uid="{00000000-0005-0000-0000-000049560000}"/>
    <cellStyle name="Percent 6 30 14" xfId="21706" xr:uid="{00000000-0005-0000-0000-00004A560000}"/>
    <cellStyle name="Percent 6 30 15" xfId="21707" xr:uid="{00000000-0005-0000-0000-00004B560000}"/>
    <cellStyle name="Percent 6 30 16" xfId="21708" xr:uid="{00000000-0005-0000-0000-00004C560000}"/>
    <cellStyle name="Percent 6 30 17" xfId="21709" xr:uid="{00000000-0005-0000-0000-00004D560000}"/>
    <cellStyle name="Percent 6 30 2" xfId="21710" xr:uid="{00000000-0005-0000-0000-00004E560000}"/>
    <cellStyle name="Percent 6 30 3" xfId="21711" xr:uid="{00000000-0005-0000-0000-00004F560000}"/>
    <cellStyle name="Percent 6 30 4" xfId="21712" xr:uid="{00000000-0005-0000-0000-000050560000}"/>
    <cellStyle name="Percent 6 30 5" xfId="21713" xr:uid="{00000000-0005-0000-0000-000051560000}"/>
    <cellStyle name="Percent 6 30 6" xfId="21714" xr:uid="{00000000-0005-0000-0000-000052560000}"/>
    <cellStyle name="Percent 6 30 7" xfId="21715" xr:uid="{00000000-0005-0000-0000-000053560000}"/>
    <cellStyle name="Percent 6 30 8" xfId="21716" xr:uid="{00000000-0005-0000-0000-000054560000}"/>
    <cellStyle name="Percent 6 30 9" xfId="21717" xr:uid="{00000000-0005-0000-0000-000055560000}"/>
    <cellStyle name="Percent 6 31" xfId="21718" xr:uid="{00000000-0005-0000-0000-000056560000}"/>
    <cellStyle name="Percent 6 31 10" xfId="21719" xr:uid="{00000000-0005-0000-0000-000057560000}"/>
    <cellStyle name="Percent 6 31 11" xfId="21720" xr:uid="{00000000-0005-0000-0000-000058560000}"/>
    <cellStyle name="Percent 6 31 12" xfId="21721" xr:uid="{00000000-0005-0000-0000-000059560000}"/>
    <cellStyle name="Percent 6 31 13" xfId="21722" xr:uid="{00000000-0005-0000-0000-00005A560000}"/>
    <cellStyle name="Percent 6 31 14" xfId="21723" xr:uid="{00000000-0005-0000-0000-00005B560000}"/>
    <cellStyle name="Percent 6 31 15" xfId="21724" xr:uid="{00000000-0005-0000-0000-00005C560000}"/>
    <cellStyle name="Percent 6 31 16" xfId="21725" xr:uid="{00000000-0005-0000-0000-00005D560000}"/>
    <cellStyle name="Percent 6 31 17" xfId="21726" xr:uid="{00000000-0005-0000-0000-00005E560000}"/>
    <cellStyle name="Percent 6 31 2" xfId="21727" xr:uid="{00000000-0005-0000-0000-00005F560000}"/>
    <cellStyle name="Percent 6 31 3" xfId="21728" xr:uid="{00000000-0005-0000-0000-000060560000}"/>
    <cellStyle name="Percent 6 31 4" xfId="21729" xr:uid="{00000000-0005-0000-0000-000061560000}"/>
    <cellStyle name="Percent 6 31 5" xfId="21730" xr:uid="{00000000-0005-0000-0000-000062560000}"/>
    <cellStyle name="Percent 6 31 6" xfId="21731" xr:uid="{00000000-0005-0000-0000-000063560000}"/>
    <cellStyle name="Percent 6 31 7" xfId="21732" xr:uid="{00000000-0005-0000-0000-000064560000}"/>
    <cellStyle name="Percent 6 31 8" xfId="21733" xr:uid="{00000000-0005-0000-0000-000065560000}"/>
    <cellStyle name="Percent 6 31 9" xfId="21734" xr:uid="{00000000-0005-0000-0000-000066560000}"/>
    <cellStyle name="Percent 6 32" xfId="21735" xr:uid="{00000000-0005-0000-0000-000067560000}"/>
    <cellStyle name="Percent 6 32 10" xfId="21736" xr:uid="{00000000-0005-0000-0000-000068560000}"/>
    <cellStyle name="Percent 6 32 11" xfId="21737" xr:uid="{00000000-0005-0000-0000-000069560000}"/>
    <cellStyle name="Percent 6 32 12" xfId="21738" xr:uid="{00000000-0005-0000-0000-00006A560000}"/>
    <cellStyle name="Percent 6 32 13" xfId="21739" xr:uid="{00000000-0005-0000-0000-00006B560000}"/>
    <cellStyle name="Percent 6 32 14" xfId="21740" xr:uid="{00000000-0005-0000-0000-00006C560000}"/>
    <cellStyle name="Percent 6 32 15" xfId="21741" xr:uid="{00000000-0005-0000-0000-00006D560000}"/>
    <cellStyle name="Percent 6 32 16" xfId="21742" xr:uid="{00000000-0005-0000-0000-00006E560000}"/>
    <cellStyle name="Percent 6 32 17" xfId="21743" xr:uid="{00000000-0005-0000-0000-00006F560000}"/>
    <cellStyle name="Percent 6 32 2" xfId="21744" xr:uid="{00000000-0005-0000-0000-000070560000}"/>
    <cellStyle name="Percent 6 32 3" xfId="21745" xr:uid="{00000000-0005-0000-0000-000071560000}"/>
    <cellStyle name="Percent 6 32 4" xfId="21746" xr:uid="{00000000-0005-0000-0000-000072560000}"/>
    <cellStyle name="Percent 6 32 5" xfId="21747" xr:uid="{00000000-0005-0000-0000-000073560000}"/>
    <cellStyle name="Percent 6 32 6" xfId="21748" xr:uid="{00000000-0005-0000-0000-000074560000}"/>
    <cellStyle name="Percent 6 32 7" xfId="21749" xr:uid="{00000000-0005-0000-0000-000075560000}"/>
    <cellStyle name="Percent 6 32 8" xfId="21750" xr:uid="{00000000-0005-0000-0000-000076560000}"/>
    <cellStyle name="Percent 6 32 9" xfId="21751" xr:uid="{00000000-0005-0000-0000-000077560000}"/>
    <cellStyle name="Percent 6 33" xfId="21752" xr:uid="{00000000-0005-0000-0000-000078560000}"/>
    <cellStyle name="Percent 6 33 10" xfId="21753" xr:uid="{00000000-0005-0000-0000-000079560000}"/>
    <cellStyle name="Percent 6 33 11" xfId="21754" xr:uid="{00000000-0005-0000-0000-00007A560000}"/>
    <cellStyle name="Percent 6 33 12" xfId="21755" xr:uid="{00000000-0005-0000-0000-00007B560000}"/>
    <cellStyle name="Percent 6 33 13" xfId="21756" xr:uid="{00000000-0005-0000-0000-00007C560000}"/>
    <cellStyle name="Percent 6 33 14" xfId="21757" xr:uid="{00000000-0005-0000-0000-00007D560000}"/>
    <cellStyle name="Percent 6 33 15" xfId="21758" xr:uid="{00000000-0005-0000-0000-00007E560000}"/>
    <cellStyle name="Percent 6 33 16" xfId="21759" xr:uid="{00000000-0005-0000-0000-00007F560000}"/>
    <cellStyle name="Percent 6 33 17" xfId="21760" xr:uid="{00000000-0005-0000-0000-000080560000}"/>
    <cellStyle name="Percent 6 33 2" xfId="21761" xr:uid="{00000000-0005-0000-0000-000081560000}"/>
    <cellStyle name="Percent 6 33 3" xfId="21762" xr:uid="{00000000-0005-0000-0000-000082560000}"/>
    <cellStyle name="Percent 6 33 4" xfId="21763" xr:uid="{00000000-0005-0000-0000-000083560000}"/>
    <cellStyle name="Percent 6 33 5" xfId="21764" xr:uid="{00000000-0005-0000-0000-000084560000}"/>
    <cellStyle name="Percent 6 33 6" xfId="21765" xr:uid="{00000000-0005-0000-0000-000085560000}"/>
    <cellStyle name="Percent 6 33 7" xfId="21766" xr:uid="{00000000-0005-0000-0000-000086560000}"/>
    <cellStyle name="Percent 6 33 8" xfId="21767" xr:uid="{00000000-0005-0000-0000-000087560000}"/>
    <cellStyle name="Percent 6 33 9" xfId="21768" xr:uid="{00000000-0005-0000-0000-000088560000}"/>
    <cellStyle name="Percent 6 34" xfId="21769" xr:uid="{00000000-0005-0000-0000-000089560000}"/>
    <cellStyle name="Percent 6 34 10" xfId="21770" xr:uid="{00000000-0005-0000-0000-00008A560000}"/>
    <cellStyle name="Percent 6 34 11" xfId="21771" xr:uid="{00000000-0005-0000-0000-00008B560000}"/>
    <cellStyle name="Percent 6 34 12" xfId="21772" xr:uid="{00000000-0005-0000-0000-00008C560000}"/>
    <cellStyle name="Percent 6 34 13" xfId="21773" xr:uid="{00000000-0005-0000-0000-00008D560000}"/>
    <cellStyle name="Percent 6 34 14" xfId="21774" xr:uid="{00000000-0005-0000-0000-00008E560000}"/>
    <cellStyle name="Percent 6 34 15" xfId="21775" xr:uid="{00000000-0005-0000-0000-00008F560000}"/>
    <cellStyle name="Percent 6 34 16" xfId="21776" xr:uid="{00000000-0005-0000-0000-000090560000}"/>
    <cellStyle name="Percent 6 34 17" xfId="21777" xr:uid="{00000000-0005-0000-0000-000091560000}"/>
    <cellStyle name="Percent 6 34 2" xfId="21778" xr:uid="{00000000-0005-0000-0000-000092560000}"/>
    <cellStyle name="Percent 6 34 3" xfId="21779" xr:uid="{00000000-0005-0000-0000-000093560000}"/>
    <cellStyle name="Percent 6 34 4" xfId="21780" xr:uid="{00000000-0005-0000-0000-000094560000}"/>
    <cellStyle name="Percent 6 34 5" xfId="21781" xr:uid="{00000000-0005-0000-0000-000095560000}"/>
    <cellStyle name="Percent 6 34 6" xfId="21782" xr:uid="{00000000-0005-0000-0000-000096560000}"/>
    <cellStyle name="Percent 6 34 7" xfId="21783" xr:uid="{00000000-0005-0000-0000-000097560000}"/>
    <cellStyle name="Percent 6 34 8" xfId="21784" xr:uid="{00000000-0005-0000-0000-000098560000}"/>
    <cellStyle name="Percent 6 34 9" xfId="21785" xr:uid="{00000000-0005-0000-0000-000099560000}"/>
    <cellStyle name="Percent 6 35" xfId="21786" xr:uid="{00000000-0005-0000-0000-00009A560000}"/>
    <cellStyle name="Percent 6 35 10" xfId="21787" xr:uid="{00000000-0005-0000-0000-00009B560000}"/>
    <cellStyle name="Percent 6 35 11" xfId="21788" xr:uid="{00000000-0005-0000-0000-00009C560000}"/>
    <cellStyle name="Percent 6 35 12" xfId="21789" xr:uid="{00000000-0005-0000-0000-00009D560000}"/>
    <cellStyle name="Percent 6 35 13" xfId="21790" xr:uid="{00000000-0005-0000-0000-00009E560000}"/>
    <cellStyle name="Percent 6 35 14" xfId="21791" xr:uid="{00000000-0005-0000-0000-00009F560000}"/>
    <cellStyle name="Percent 6 35 15" xfId="21792" xr:uid="{00000000-0005-0000-0000-0000A0560000}"/>
    <cellStyle name="Percent 6 35 16" xfId="21793" xr:uid="{00000000-0005-0000-0000-0000A1560000}"/>
    <cellStyle name="Percent 6 35 17" xfId="21794" xr:uid="{00000000-0005-0000-0000-0000A2560000}"/>
    <cellStyle name="Percent 6 35 2" xfId="21795" xr:uid="{00000000-0005-0000-0000-0000A3560000}"/>
    <cellStyle name="Percent 6 35 3" xfId="21796" xr:uid="{00000000-0005-0000-0000-0000A4560000}"/>
    <cellStyle name="Percent 6 35 4" xfId="21797" xr:uid="{00000000-0005-0000-0000-0000A5560000}"/>
    <cellStyle name="Percent 6 35 5" xfId="21798" xr:uid="{00000000-0005-0000-0000-0000A6560000}"/>
    <cellStyle name="Percent 6 35 6" xfId="21799" xr:uid="{00000000-0005-0000-0000-0000A7560000}"/>
    <cellStyle name="Percent 6 35 7" xfId="21800" xr:uid="{00000000-0005-0000-0000-0000A8560000}"/>
    <cellStyle name="Percent 6 35 8" xfId="21801" xr:uid="{00000000-0005-0000-0000-0000A9560000}"/>
    <cellStyle name="Percent 6 35 9" xfId="21802" xr:uid="{00000000-0005-0000-0000-0000AA560000}"/>
    <cellStyle name="Percent 6 36" xfId="21803" xr:uid="{00000000-0005-0000-0000-0000AB560000}"/>
    <cellStyle name="Percent 6 36 10" xfId="21804" xr:uid="{00000000-0005-0000-0000-0000AC560000}"/>
    <cellStyle name="Percent 6 36 11" xfId="21805" xr:uid="{00000000-0005-0000-0000-0000AD560000}"/>
    <cellStyle name="Percent 6 36 12" xfId="21806" xr:uid="{00000000-0005-0000-0000-0000AE560000}"/>
    <cellStyle name="Percent 6 36 13" xfId="21807" xr:uid="{00000000-0005-0000-0000-0000AF560000}"/>
    <cellStyle name="Percent 6 36 14" xfId="21808" xr:uid="{00000000-0005-0000-0000-0000B0560000}"/>
    <cellStyle name="Percent 6 36 15" xfId="21809" xr:uid="{00000000-0005-0000-0000-0000B1560000}"/>
    <cellStyle name="Percent 6 36 16" xfId="21810" xr:uid="{00000000-0005-0000-0000-0000B2560000}"/>
    <cellStyle name="Percent 6 36 17" xfId="21811" xr:uid="{00000000-0005-0000-0000-0000B3560000}"/>
    <cellStyle name="Percent 6 36 2" xfId="21812" xr:uid="{00000000-0005-0000-0000-0000B4560000}"/>
    <cellStyle name="Percent 6 36 3" xfId="21813" xr:uid="{00000000-0005-0000-0000-0000B5560000}"/>
    <cellStyle name="Percent 6 36 4" xfId="21814" xr:uid="{00000000-0005-0000-0000-0000B6560000}"/>
    <cellStyle name="Percent 6 36 5" xfId="21815" xr:uid="{00000000-0005-0000-0000-0000B7560000}"/>
    <cellStyle name="Percent 6 36 6" xfId="21816" xr:uid="{00000000-0005-0000-0000-0000B8560000}"/>
    <cellStyle name="Percent 6 36 7" xfId="21817" xr:uid="{00000000-0005-0000-0000-0000B9560000}"/>
    <cellStyle name="Percent 6 36 8" xfId="21818" xr:uid="{00000000-0005-0000-0000-0000BA560000}"/>
    <cellStyle name="Percent 6 36 9" xfId="21819" xr:uid="{00000000-0005-0000-0000-0000BB560000}"/>
    <cellStyle name="Percent 6 37" xfId="21820" xr:uid="{00000000-0005-0000-0000-0000BC560000}"/>
    <cellStyle name="Percent 6 37 10" xfId="21821" xr:uid="{00000000-0005-0000-0000-0000BD560000}"/>
    <cellStyle name="Percent 6 37 11" xfId="21822" xr:uid="{00000000-0005-0000-0000-0000BE560000}"/>
    <cellStyle name="Percent 6 37 12" xfId="21823" xr:uid="{00000000-0005-0000-0000-0000BF560000}"/>
    <cellStyle name="Percent 6 37 13" xfId="21824" xr:uid="{00000000-0005-0000-0000-0000C0560000}"/>
    <cellStyle name="Percent 6 37 14" xfId="21825" xr:uid="{00000000-0005-0000-0000-0000C1560000}"/>
    <cellStyle name="Percent 6 37 15" xfId="21826" xr:uid="{00000000-0005-0000-0000-0000C2560000}"/>
    <cellStyle name="Percent 6 37 16" xfId="21827" xr:uid="{00000000-0005-0000-0000-0000C3560000}"/>
    <cellStyle name="Percent 6 37 17" xfId="21828" xr:uid="{00000000-0005-0000-0000-0000C4560000}"/>
    <cellStyle name="Percent 6 37 2" xfId="21829" xr:uid="{00000000-0005-0000-0000-0000C5560000}"/>
    <cellStyle name="Percent 6 37 3" xfId="21830" xr:uid="{00000000-0005-0000-0000-0000C6560000}"/>
    <cellStyle name="Percent 6 37 4" xfId="21831" xr:uid="{00000000-0005-0000-0000-0000C7560000}"/>
    <cellStyle name="Percent 6 37 5" xfId="21832" xr:uid="{00000000-0005-0000-0000-0000C8560000}"/>
    <cellStyle name="Percent 6 37 6" xfId="21833" xr:uid="{00000000-0005-0000-0000-0000C9560000}"/>
    <cellStyle name="Percent 6 37 7" xfId="21834" xr:uid="{00000000-0005-0000-0000-0000CA560000}"/>
    <cellStyle name="Percent 6 37 8" xfId="21835" xr:uid="{00000000-0005-0000-0000-0000CB560000}"/>
    <cellStyle name="Percent 6 37 9" xfId="21836" xr:uid="{00000000-0005-0000-0000-0000CC560000}"/>
    <cellStyle name="Percent 6 38" xfId="21837" xr:uid="{00000000-0005-0000-0000-0000CD560000}"/>
    <cellStyle name="Percent 6 38 10" xfId="21838" xr:uid="{00000000-0005-0000-0000-0000CE560000}"/>
    <cellStyle name="Percent 6 38 11" xfId="21839" xr:uid="{00000000-0005-0000-0000-0000CF560000}"/>
    <cellStyle name="Percent 6 38 12" xfId="21840" xr:uid="{00000000-0005-0000-0000-0000D0560000}"/>
    <cellStyle name="Percent 6 38 13" xfId="21841" xr:uid="{00000000-0005-0000-0000-0000D1560000}"/>
    <cellStyle name="Percent 6 38 14" xfId="21842" xr:uid="{00000000-0005-0000-0000-0000D2560000}"/>
    <cellStyle name="Percent 6 38 15" xfId="21843" xr:uid="{00000000-0005-0000-0000-0000D3560000}"/>
    <cellStyle name="Percent 6 38 16" xfId="21844" xr:uid="{00000000-0005-0000-0000-0000D4560000}"/>
    <cellStyle name="Percent 6 38 17" xfId="21845" xr:uid="{00000000-0005-0000-0000-0000D5560000}"/>
    <cellStyle name="Percent 6 38 2" xfId="21846" xr:uid="{00000000-0005-0000-0000-0000D6560000}"/>
    <cellStyle name="Percent 6 38 3" xfId="21847" xr:uid="{00000000-0005-0000-0000-0000D7560000}"/>
    <cellStyle name="Percent 6 38 4" xfId="21848" xr:uid="{00000000-0005-0000-0000-0000D8560000}"/>
    <cellStyle name="Percent 6 38 5" xfId="21849" xr:uid="{00000000-0005-0000-0000-0000D9560000}"/>
    <cellStyle name="Percent 6 38 6" xfId="21850" xr:uid="{00000000-0005-0000-0000-0000DA560000}"/>
    <cellStyle name="Percent 6 38 7" xfId="21851" xr:uid="{00000000-0005-0000-0000-0000DB560000}"/>
    <cellStyle name="Percent 6 38 8" xfId="21852" xr:uid="{00000000-0005-0000-0000-0000DC560000}"/>
    <cellStyle name="Percent 6 38 9" xfId="21853" xr:uid="{00000000-0005-0000-0000-0000DD560000}"/>
    <cellStyle name="Percent 6 39" xfId="21854" xr:uid="{00000000-0005-0000-0000-0000DE560000}"/>
    <cellStyle name="Percent 6 39 10" xfId="21855" xr:uid="{00000000-0005-0000-0000-0000DF560000}"/>
    <cellStyle name="Percent 6 39 11" xfId="21856" xr:uid="{00000000-0005-0000-0000-0000E0560000}"/>
    <cellStyle name="Percent 6 39 12" xfId="21857" xr:uid="{00000000-0005-0000-0000-0000E1560000}"/>
    <cellStyle name="Percent 6 39 13" xfId="21858" xr:uid="{00000000-0005-0000-0000-0000E2560000}"/>
    <cellStyle name="Percent 6 39 14" xfId="21859" xr:uid="{00000000-0005-0000-0000-0000E3560000}"/>
    <cellStyle name="Percent 6 39 15" xfId="21860" xr:uid="{00000000-0005-0000-0000-0000E4560000}"/>
    <cellStyle name="Percent 6 39 16" xfId="21861" xr:uid="{00000000-0005-0000-0000-0000E5560000}"/>
    <cellStyle name="Percent 6 39 17" xfId="21862" xr:uid="{00000000-0005-0000-0000-0000E6560000}"/>
    <cellStyle name="Percent 6 39 2" xfId="21863" xr:uid="{00000000-0005-0000-0000-0000E7560000}"/>
    <cellStyle name="Percent 6 39 3" xfId="21864" xr:uid="{00000000-0005-0000-0000-0000E8560000}"/>
    <cellStyle name="Percent 6 39 4" xfId="21865" xr:uid="{00000000-0005-0000-0000-0000E9560000}"/>
    <cellStyle name="Percent 6 39 5" xfId="21866" xr:uid="{00000000-0005-0000-0000-0000EA560000}"/>
    <cellStyle name="Percent 6 39 6" xfId="21867" xr:uid="{00000000-0005-0000-0000-0000EB560000}"/>
    <cellStyle name="Percent 6 39 7" xfId="21868" xr:uid="{00000000-0005-0000-0000-0000EC560000}"/>
    <cellStyle name="Percent 6 39 8" xfId="21869" xr:uid="{00000000-0005-0000-0000-0000ED560000}"/>
    <cellStyle name="Percent 6 39 9" xfId="21870" xr:uid="{00000000-0005-0000-0000-0000EE560000}"/>
    <cellStyle name="Percent 6 4" xfId="21871" xr:uid="{00000000-0005-0000-0000-0000EF560000}"/>
    <cellStyle name="Percent 6 4 10" xfId="21872" xr:uid="{00000000-0005-0000-0000-0000F0560000}"/>
    <cellStyle name="Percent 6 4 11" xfId="21873" xr:uid="{00000000-0005-0000-0000-0000F1560000}"/>
    <cellStyle name="Percent 6 4 12" xfId="21874" xr:uid="{00000000-0005-0000-0000-0000F2560000}"/>
    <cellStyle name="Percent 6 4 13" xfId="21875" xr:uid="{00000000-0005-0000-0000-0000F3560000}"/>
    <cellStyle name="Percent 6 4 14" xfId="21876" xr:uid="{00000000-0005-0000-0000-0000F4560000}"/>
    <cellStyle name="Percent 6 4 15" xfId="21877" xr:uid="{00000000-0005-0000-0000-0000F5560000}"/>
    <cellStyle name="Percent 6 4 16" xfId="21878" xr:uid="{00000000-0005-0000-0000-0000F6560000}"/>
    <cellStyle name="Percent 6 4 17" xfId="21879" xr:uid="{00000000-0005-0000-0000-0000F7560000}"/>
    <cellStyle name="Percent 6 4 2" xfId="21880" xr:uid="{00000000-0005-0000-0000-0000F8560000}"/>
    <cellStyle name="Percent 6 4 3" xfId="21881" xr:uid="{00000000-0005-0000-0000-0000F9560000}"/>
    <cellStyle name="Percent 6 4 4" xfId="21882" xr:uid="{00000000-0005-0000-0000-0000FA560000}"/>
    <cellStyle name="Percent 6 4 5" xfId="21883" xr:uid="{00000000-0005-0000-0000-0000FB560000}"/>
    <cellStyle name="Percent 6 4 6" xfId="21884" xr:uid="{00000000-0005-0000-0000-0000FC560000}"/>
    <cellStyle name="Percent 6 4 7" xfId="21885" xr:uid="{00000000-0005-0000-0000-0000FD560000}"/>
    <cellStyle name="Percent 6 4 8" xfId="21886" xr:uid="{00000000-0005-0000-0000-0000FE560000}"/>
    <cellStyle name="Percent 6 4 9" xfId="21887" xr:uid="{00000000-0005-0000-0000-0000FF560000}"/>
    <cellStyle name="Percent 6 40" xfId="21888" xr:uid="{00000000-0005-0000-0000-000000570000}"/>
    <cellStyle name="Percent 6 40 10" xfId="21889" xr:uid="{00000000-0005-0000-0000-000001570000}"/>
    <cellStyle name="Percent 6 40 11" xfId="21890" xr:uid="{00000000-0005-0000-0000-000002570000}"/>
    <cellStyle name="Percent 6 40 12" xfId="21891" xr:uid="{00000000-0005-0000-0000-000003570000}"/>
    <cellStyle name="Percent 6 40 13" xfId="21892" xr:uid="{00000000-0005-0000-0000-000004570000}"/>
    <cellStyle name="Percent 6 40 14" xfId="21893" xr:uid="{00000000-0005-0000-0000-000005570000}"/>
    <cellStyle name="Percent 6 40 15" xfId="21894" xr:uid="{00000000-0005-0000-0000-000006570000}"/>
    <cellStyle name="Percent 6 40 16" xfId="21895" xr:uid="{00000000-0005-0000-0000-000007570000}"/>
    <cellStyle name="Percent 6 40 17" xfId="21896" xr:uid="{00000000-0005-0000-0000-000008570000}"/>
    <cellStyle name="Percent 6 40 2" xfId="21897" xr:uid="{00000000-0005-0000-0000-000009570000}"/>
    <cellStyle name="Percent 6 40 3" xfId="21898" xr:uid="{00000000-0005-0000-0000-00000A570000}"/>
    <cellStyle name="Percent 6 40 4" xfId="21899" xr:uid="{00000000-0005-0000-0000-00000B570000}"/>
    <cellStyle name="Percent 6 40 5" xfId="21900" xr:uid="{00000000-0005-0000-0000-00000C570000}"/>
    <cellStyle name="Percent 6 40 6" xfId="21901" xr:uid="{00000000-0005-0000-0000-00000D570000}"/>
    <cellStyle name="Percent 6 40 7" xfId="21902" xr:uid="{00000000-0005-0000-0000-00000E570000}"/>
    <cellStyle name="Percent 6 40 8" xfId="21903" xr:uid="{00000000-0005-0000-0000-00000F570000}"/>
    <cellStyle name="Percent 6 40 9" xfId="21904" xr:uid="{00000000-0005-0000-0000-000010570000}"/>
    <cellStyle name="Percent 6 41" xfId="21905" xr:uid="{00000000-0005-0000-0000-000011570000}"/>
    <cellStyle name="Percent 6 41 10" xfId="21906" xr:uid="{00000000-0005-0000-0000-000012570000}"/>
    <cellStyle name="Percent 6 41 11" xfId="21907" xr:uid="{00000000-0005-0000-0000-000013570000}"/>
    <cellStyle name="Percent 6 41 12" xfId="21908" xr:uid="{00000000-0005-0000-0000-000014570000}"/>
    <cellStyle name="Percent 6 41 13" xfId="21909" xr:uid="{00000000-0005-0000-0000-000015570000}"/>
    <cellStyle name="Percent 6 41 14" xfId="21910" xr:uid="{00000000-0005-0000-0000-000016570000}"/>
    <cellStyle name="Percent 6 41 15" xfId="21911" xr:uid="{00000000-0005-0000-0000-000017570000}"/>
    <cellStyle name="Percent 6 41 16" xfId="21912" xr:uid="{00000000-0005-0000-0000-000018570000}"/>
    <cellStyle name="Percent 6 41 17" xfId="21913" xr:uid="{00000000-0005-0000-0000-000019570000}"/>
    <cellStyle name="Percent 6 41 2" xfId="21914" xr:uid="{00000000-0005-0000-0000-00001A570000}"/>
    <cellStyle name="Percent 6 41 3" xfId="21915" xr:uid="{00000000-0005-0000-0000-00001B570000}"/>
    <cellStyle name="Percent 6 41 4" xfId="21916" xr:uid="{00000000-0005-0000-0000-00001C570000}"/>
    <cellStyle name="Percent 6 41 5" xfId="21917" xr:uid="{00000000-0005-0000-0000-00001D570000}"/>
    <cellStyle name="Percent 6 41 6" xfId="21918" xr:uid="{00000000-0005-0000-0000-00001E570000}"/>
    <cellStyle name="Percent 6 41 7" xfId="21919" xr:uid="{00000000-0005-0000-0000-00001F570000}"/>
    <cellStyle name="Percent 6 41 8" xfId="21920" xr:uid="{00000000-0005-0000-0000-000020570000}"/>
    <cellStyle name="Percent 6 41 9" xfId="21921" xr:uid="{00000000-0005-0000-0000-000021570000}"/>
    <cellStyle name="Percent 6 42" xfId="21922" xr:uid="{00000000-0005-0000-0000-000022570000}"/>
    <cellStyle name="Percent 6 42 10" xfId="21923" xr:uid="{00000000-0005-0000-0000-000023570000}"/>
    <cellStyle name="Percent 6 42 11" xfId="21924" xr:uid="{00000000-0005-0000-0000-000024570000}"/>
    <cellStyle name="Percent 6 42 12" xfId="21925" xr:uid="{00000000-0005-0000-0000-000025570000}"/>
    <cellStyle name="Percent 6 42 13" xfId="21926" xr:uid="{00000000-0005-0000-0000-000026570000}"/>
    <cellStyle name="Percent 6 42 14" xfId="21927" xr:uid="{00000000-0005-0000-0000-000027570000}"/>
    <cellStyle name="Percent 6 42 15" xfId="21928" xr:uid="{00000000-0005-0000-0000-000028570000}"/>
    <cellStyle name="Percent 6 42 16" xfId="21929" xr:uid="{00000000-0005-0000-0000-000029570000}"/>
    <cellStyle name="Percent 6 42 17" xfId="21930" xr:uid="{00000000-0005-0000-0000-00002A570000}"/>
    <cellStyle name="Percent 6 42 2" xfId="21931" xr:uid="{00000000-0005-0000-0000-00002B570000}"/>
    <cellStyle name="Percent 6 42 3" xfId="21932" xr:uid="{00000000-0005-0000-0000-00002C570000}"/>
    <cellStyle name="Percent 6 42 4" xfId="21933" xr:uid="{00000000-0005-0000-0000-00002D570000}"/>
    <cellStyle name="Percent 6 42 5" xfId="21934" xr:uid="{00000000-0005-0000-0000-00002E570000}"/>
    <cellStyle name="Percent 6 42 6" xfId="21935" xr:uid="{00000000-0005-0000-0000-00002F570000}"/>
    <cellStyle name="Percent 6 42 7" xfId="21936" xr:uid="{00000000-0005-0000-0000-000030570000}"/>
    <cellStyle name="Percent 6 42 8" xfId="21937" xr:uid="{00000000-0005-0000-0000-000031570000}"/>
    <cellStyle name="Percent 6 42 9" xfId="21938" xr:uid="{00000000-0005-0000-0000-000032570000}"/>
    <cellStyle name="Percent 6 43" xfId="21939" xr:uid="{00000000-0005-0000-0000-000033570000}"/>
    <cellStyle name="Percent 6 43 10" xfId="21940" xr:uid="{00000000-0005-0000-0000-000034570000}"/>
    <cellStyle name="Percent 6 43 11" xfId="21941" xr:uid="{00000000-0005-0000-0000-000035570000}"/>
    <cellStyle name="Percent 6 43 12" xfId="21942" xr:uid="{00000000-0005-0000-0000-000036570000}"/>
    <cellStyle name="Percent 6 43 13" xfId="21943" xr:uid="{00000000-0005-0000-0000-000037570000}"/>
    <cellStyle name="Percent 6 43 14" xfId="21944" xr:uid="{00000000-0005-0000-0000-000038570000}"/>
    <cellStyle name="Percent 6 43 15" xfId="21945" xr:uid="{00000000-0005-0000-0000-000039570000}"/>
    <cellStyle name="Percent 6 43 16" xfId="21946" xr:uid="{00000000-0005-0000-0000-00003A570000}"/>
    <cellStyle name="Percent 6 43 17" xfId="21947" xr:uid="{00000000-0005-0000-0000-00003B570000}"/>
    <cellStyle name="Percent 6 43 2" xfId="21948" xr:uid="{00000000-0005-0000-0000-00003C570000}"/>
    <cellStyle name="Percent 6 43 3" xfId="21949" xr:uid="{00000000-0005-0000-0000-00003D570000}"/>
    <cellStyle name="Percent 6 43 4" xfId="21950" xr:uid="{00000000-0005-0000-0000-00003E570000}"/>
    <cellStyle name="Percent 6 43 5" xfId="21951" xr:uid="{00000000-0005-0000-0000-00003F570000}"/>
    <cellStyle name="Percent 6 43 6" xfId="21952" xr:uid="{00000000-0005-0000-0000-000040570000}"/>
    <cellStyle name="Percent 6 43 7" xfId="21953" xr:uid="{00000000-0005-0000-0000-000041570000}"/>
    <cellStyle name="Percent 6 43 8" xfId="21954" xr:uid="{00000000-0005-0000-0000-000042570000}"/>
    <cellStyle name="Percent 6 43 9" xfId="21955" xr:uid="{00000000-0005-0000-0000-000043570000}"/>
    <cellStyle name="Percent 6 44" xfId="21956" xr:uid="{00000000-0005-0000-0000-000044570000}"/>
    <cellStyle name="Percent 6 44 10" xfId="21957" xr:uid="{00000000-0005-0000-0000-000045570000}"/>
    <cellStyle name="Percent 6 44 11" xfId="21958" xr:uid="{00000000-0005-0000-0000-000046570000}"/>
    <cellStyle name="Percent 6 44 12" xfId="21959" xr:uid="{00000000-0005-0000-0000-000047570000}"/>
    <cellStyle name="Percent 6 44 13" xfId="21960" xr:uid="{00000000-0005-0000-0000-000048570000}"/>
    <cellStyle name="Percent 6 44 14" xfId="21961" xr:uid="{00000000-0005-0000-0000-000049570000}"/>
    <cellStyle name="Percent 6 44 15" xfId="21962" xr:uid="{00000000-0005-0000-0000-00004A570000}"/>
    <cellStyle name="Percent 6 44 16" xfId="21963" xr:uid="{00000000-0005-0000-0000-00004B570000}"/>
    <cellStyle name="Percent 6 44 17" xfId="21964" xr:uid="{00000000-0005-0000-0000-00004C570000}"/>
    <cellStyle name="Percent 6 44 2" xfId="21965" xr:uid="{00000000-0005-0000-0000-00004D570000}"/>
    <cellStyle name="Percent 6 44 3" xfId="21966" xr:uid="{00000000-0005-0000-0000-00004E570000}"/>
    <cellStyle name="Percent 6 44 4" xfId="21967" xr:uid="{00000000-0005-0000-0000-00004F570000}"/>
    <cellStyle name="Percent 6 44 5" xfId="21968" xr:uid="{00000000-0005-0000-0000-000050570000}"/>
    <cellStyle name="Percent 6 44 6" xfId="21969" xr:uid="{00000000-0005-0000-0000-000051570000}"/>
    <cellStyle name="Percent 6 44 7" xfId="21970" xr:uid="{00000000-0005-0000-0000-000052570000}"/>
    <cellStyle name="Percent 6 44 8" xfId="21971" xr:uid="{00000000-0005-0000-0000-000053570000}"/>
    <cellStyle name="Percent 6 44 9" xfId="21972" xr:uid="{00000000-0005-0000-0000-000054570000}"/>
    <cellStyle name="Percent 6 45" xfId="21973" xr:uid="{00000000-0005-0000-0000-000055570000}"/>
    <cellStyle name="Percent 6 45 10" xfId="21974" xr:uid="{00000000-0005-0000-0000-000056570000}"/>
    <cellStyle name="Percent 6 45 11" xfId="21975" xr:uid="{00000000-0005-0000-0000-000057570000}"/>
    <cellStyle name="Percent 6 45 12" xfId="21976" xr:uid="{00000000-0005-0000-0000-000058570000}"/>
    <cellStyle name="Percent 6 45 13" xfId="21977" xr:uid="{00000000-0005-0000-0000-000059570000}"/>
    <cellStyle name="Percent 6 45 14" xfId="21978" xr:uid="{00000000-0005-0000-0000-00005A570000}"/>
    <cellStyle name="Percent 6 45 15" xfId="21979" xr:uid="{00000000-0005-0000-0000-00005B570000}"/>
    <cellStyle name="Percent 6 45 16" xfId="21980" xr:uid="{00000000-0005-0000-0000-00005C570000}"/>
    <cellStyle name="Percent 6 45 17" xfId="21981" xr:uid="{00000000-0005-0000-0000-00005D570000}"/>
    <cellStyle name="Percent 6 45 2" xfId="21982" xr:uid="{00000000-0005-0000-0000-00005E570000}"/>
    <cellStyle name="Percent 6 45 3" xfId="21983" xr:uid="{00000000-0005-0000-0000-00005F570000}"/>
    <cellStyle name="Percent 6 45 4" xfId="21984" xr:uid="{00000000-0005-0000-0000-000060570000}"/>
    <cellStyle name="Percent 6 45 5" xfId="21985" xr:uid="{00000000-0005-0000-0000-000061570000}"/>
    <cellStyle name="Percent 6 45 6" xfId="21986" xr:uid="{00000000-0005-0000-0000-000062570000}"/>
    <cellStyle name="Percent 6 45 7" xfId="21987" xr:uid="{00000000-0005-0000-0000-000063570000}"/>
    <cellStyle name="Percent 6 45 8" xfId="21988" xr:uid="{00000000-0005-0000-0000-000064570000}"/>
    <cellStyle name="Percent 6 45 9" xfId="21989" xr:uid="{00000000-0005-0000-0000-000065570000}"/>
    <cellStyle name="Percent 6 46" xfId="21990" xr:uid="{00000000-0005-0000-0000-000066570000}"/>
    <cellStyle name="Percent 6 46 10" xfId="21991" xr:uid="{00000000-0005-0000-0000-000067570000}"/>
    <cellStyle name="Percent 6 46 11" xfId="21992" xr:uid="{00000000-0005-0000-0000-000068570000}"/>
    <cellStyle name="Percent 6 46 12" xfId="21993" xr:uid="{00000000-0005-0000-0000-000069570000}"/>
    <cellStyle name="Percent 6 46 13" xfId="21994" xr:uid="{00000000-0005-0000-0000-00006A570000}"/>
    <cellStyle name="Percent 6 46 14" xfId="21995" xr:uid="{00000000-0005-0000-0000-00006B570000}"/>
    <cellStyle name="Percent 6 46 15" xfId="21996" xr:uid="{00000000-0005-0000-0000-00006C570000}"/>
    <cellStyle name="Percent 6 46 16" xfId="21997" xr:uid="{00000000-0005-0000-0000-00006D570000}"/>
    <cellStyle name="Percent 6 46 17" xfId="21998" xr:uid="{00000000-0005-0000-0000-00006E570000}"/>
    <cellStyle name="Percent 6 46 2" xfId="21999" xr:uid="{00000000-0005-0000-0000-00006F570000}"/>
    <cellStyle name="Percent 6 46 3" xfId="22000" xr:uid="{00000000-0005-0000-0000-000070570000}"/>
    <cellStyle name="Percent 6 46 4" xfId="22001" xr:uid="{00000000-0005-0000-0000-000071570000}"/>
    <cellStyle name="Percent 6 46 5" xfId="22002" xr:uid="{00000000-0005-0000-0000-000072570000}"/>
    <cellStyle name="Percent 6 46 6" xfId="22003" xr:uid="{00000000-0005-0000-0000-000073570000}"/>
    <cellStyle name="Percent 6 46 7" xfId="22004" xr:uid="{00000000-0005-0000-0000-000074570000}"/>
    <cellStyle name="Percent 6 46 8" xfId="22005" xr:uid="{00000000-0005-0000-0000-000075570000}"/>
    <cellStyle name="Percent 6 46 9" xfId="22006" xr:uid="{00000000-0005-0000-0000-000076570000}"/>
    <cellStyle name="Percent 6 47" xfId="22007" xr:uid="{00000000-0005-0000-0000-000077570000}"/>
    <cellStyle name="Percent 6 47 10" xfId="22008" xr:uid="{00000000-0005-0000-0000-000078570000}"/>
    <cellStyle name="Percent 6 47 11" xfId="22009" xr:uid="{00000000-0005-0000-0000-000079570000}"/>
    <cellStyle name="Percent 6 47 12" xfId="22010" xr:uid="{00000000-0005-0000-0000-00007A570000}"/>
    <cellStyle name="Percent 6 47 13" xfId="22011" xr:uid="{00000000-0005-0000-0000-00007B570000}"/>
    <cellStyle name="Percent 6 47 14" xfId="22012" xr:uid="{00000000-0005-0000-0000-00007C570000}"/>
    <cellStyle name="Percent 6 47 15" xfId="22013" xr:uid="{00000000-0005-0000-0000-00007D570000}"/>
    <cellStyle name="Percent 6 47 16" xfId="22014" xr:uid="{00000000-0005-0000-0000-00007E570000}"/>
    <cellStyle name="Percent 6 47 17" xfId="22015" xr:uid="{00000000-0005-0000-0000-00007F570000}"/>
    <cellStyle name="Percent 6 47 2" xfId="22016" xr:uid="{00000000-0005-0000-0000-000080570000}"/>
    <cellStyle name="Percent 6 47 3" xfId="22017" xr:uid="{00000000-0005-0000-0000-000081570000}"/>
    <cellStyle name="Percent 6 47 4" xfId="22018" xr:uid="{00000000-0005-0000-0000-000082570000}"/>
    <cellStyle name="Percent 6 47 5" xfId="22019" xr:uid="{00000000-0005-0000-0000-000083570000}"/>
    <cellStyle name="Percent 6 47 6" xfId="22020" xr:uid="{00000000-0005-0000-0000-000084570000}"/>
    <cellStyle name="Percent 6 47 7" xfId="22021" xr:uid="{00000000-0005-0000-0000-000085570000}"/>
    <cellStyle name="Percent 6 47 8" xfId="22022" xr:uid="{00000000-0005-0000-0000-000086570000}"/>
    <cellStyle name="Percent 6 47 9" xfId="22023" xr:uid="{00000000-0005-0000-0000-000087570000}"/>
    <cellStyle name="Percent 6 48" xfId="22024" xr:uid="{00000000-0005-0000-0000-000088570000}"/>
    <cellStyle name="Percent 6 49" xfId="22025" xr:uid="{00000000-0005-0000-0000-000089570000}"/>
    <cellStyle name="Percent 6 5" xfId="22026" xr:uid="{00000000-0005-0000-0000-00008A570000}"/>
    <cellStyle name="Percent 6 5 10" xfId="22027" xr:uid="{00000000-0005-0000-0000-00008B570000}"/>
    <cellStyle name="Percent 6 5 11" xfId="22028" xr:uid="{00000000-0005-0000-0000-00008C570000}"/>
    <cellStyle name="Percent 6 5 12" xfId="22029" xr:uid="{00000000-0005-0000-0000-00008D570000}"/>
    <cellStyle name="Percent 6 5 13" xfId="22030" xr:uid="{00000000-0005-0000-0000-00008E570000}"/>
    <cellStyle name="Percent 6 5 14" xfId="22031" xr:uid="{00000000-0005-0000-0000-00008F570000}"/>
    <cellStyle name="Percent 6 5 15" xfId="22032" xr:uid="{00000000-0005-0000-0000-000090570000}"/>
    <cellStyle name="Percent 6 5 16" xfId="22033" xr:uid="{00000000-0005-0000-0000-000091570000}"/>
    <cellStyle name="Percent 6 5 17" xfId="22034" xr:uid="{00000000-0005-0000-0000-000092570000}"/>
    <cellStyle name="Percent 6 5 2" xfId="22035" xr:uid="{00000000-0005-0000-0000-000093570000}"/>
    <cellStyle name="Percent 6 5 3" xfId="22036" xr:uid="{00000000-0005-0000-0000-000094570000}"/>
    <cellStyle name="Percent 6 5 4" xfId="22037" xr:uid="{00000000-0005-0000-0000-000095570000}"/>
    <cellStyle name="Percent 6 5 5" xfId="22038" xr:uid="{00000000-0005-0000-0000-000096570000}"/>
    <cellStyle name="Percent 6 5 6" xfId="22039" xr:uid="{00000000-0005-0000-0000-000097570000}"/>
    <cellStyle name="Percent 6 5 7" xfId="22040" xr:uid="{00000000-0005-0000-0000-000098570000}"/>
    <cellStyle name="Percent 6 5 8" xfId="22041" xr:uid="{00000000-0005-0000-0000-000099570000}"/>
    <cellStyle name="Percent 6 5 9" xfId="22042" xr:uid="{00000000-0005-0000-0000-00009A570000}"/>
    <cellStyle name="Percent 6 50" xfId="22043" xr:uid="{00000000-0005-0000-0000-00009B570000}"/>
    <cellStyle name="Percent 6 51" xfId="22044" xr:uid="{00000000-0005-0000-0000-00009C570000}"/>
    <cellStyle name="Percent 6 52" xfId="22045" xr:uid="{00000000-0005-0000-0000-00009D570000}"/>
    <cellStyle name="Percent 6 53" xfId="22046" xr:uid="{00000000-0005-0000-0000-00009E570000}"/>
    <cellStyle name="Percent 6 54" xfId="22047" xr:uid="{00000000-0005-0000-0000-00009F570000}"/>
    <cellStyle name="Percent 6 55" xfId="22048" xr:uid="{00000000-0005-0000-0000-0000A0570000}"/>
    <cellStyle name="Percent 6 56" xfId="22049" xr:uid="{00000000-0005-0000-0000-0000A1570000}"/>
    <cellStyle name="Percent 6 57" xfId="22050" xr:uid="{00000000-0005-0000-0000-0000A2570000}"/>
    <cellStyle name="Percent 6 58" xfId="22051" xr:uid="{00000000-0005-0000-0000-0000A3570000}"/>
    <cellStyle name="Percent 6 59" xfId="22052" xr:uid="{00000000-0005-0000-0000-0000A4570000}"/>
    <cellStyle name="Percent 6 6" xfId="22053" xr:uid="{00000000-0005-0000-0000-0000A5570000}"/>
    <cellStyle name="Percent 6 6 10" xfId="22054" xr:uid="{00000000-0005-0000-0000-0000A6570000}"/>
    <cellStyle name="Percent 6 6 11" xfId="22055" xr:uid="{00000000-0005-0000-0000-0000A7570000}"/>
    <cellStyle name="Percent 6 6 12" xfId="22056" xr:uid="{00000000-0005-0000-0000-0000A8570000}"/>
    <cellStyle name="Percent 6 6 13" xfId="22057" xr:uid="{00000000-0005-0000-0000-0000A9570000}"/>
    <cellStyle name="Percent 6 6 14" xfId="22058" xr:uid="{00000000-0005-0000-0000-0000AA570000}"/>
    <cellStyle name="Percent 6 6 15" xfId="22059" xr:uid="{00000000-0005-0000-0000-0000AB570000}"/>
    <cellStyle name="Percent 6 6 16" xfId="22060" xr:uid="{00000000-0005-0000-0000-0000AC570000}"/>
    <cellStyle name="Percent 6 6 17" xfId="22061" xr:uid="{00000000-0005-0000-0000-0000AD570000}"/>
    <cellStyle name="Percent 6 6 2" xfId="22062" xr:uid="{00000000-0005-0000-0000-0000AE570000}"/>
    <cellStyle name="Percent 6 6 3" xfId="22063" xr:uid="{00000000-0005-0000-0000-0000AF570000}"/>
    <cellStyle name="Percent 6 6 4" xfId="22064" xr:uid="{00000000-0005-0000-0000-0000B0570000}"/>
    <cellStyle name="Percent 6 6 5" xfId="22065" xr:uid="{00000000-0005-0000-0000-0000B1570000}"/>
    <cellStyle name="Percent 6 6 6" xfId="22066" xr:uid="{00000000-0005-0000-0000-0000B2570000}"/>
    <cellStyle name="Percent 6 6 7" xfId="22067" xr:uid="{00000000-0005-0000-0000-0000B3570000}"/>
    <cellStyle name="Percent 6 6 8" xfId="22068" xr:uid="{00000000-0005-0000-0000-0000B4570000}"/>
    <cellStyle name="Percent 6 6 9" xfId="22069" xr:uid="{00000000-0005-0000-0000-0000B5570000}"/>
    <cellStyle name="Percent 6 60" xfId="22070" xr:uid="{00000000-0005-0000-0000-0000B6570000}"/>
    <cellStyle name="Percent 6 7" xfId="22071" xr:uid="{00000000-0005-0000-0000-0000B7570000}"/>
    <cellStyle name="Percent 6 7 10" xfId="22072" xr:uid="{00000000-0005-0000-0000-0000B8570000}"/>
    <cellStyle name="Percent 6 7 11" xfId="22073" xr:uid="{00000000-0005-0000-0000-0000B9570000}"/>
    <cellStyle name="Percent 6 7 12" xfId="22074" xr:uid="{00000000-0005-0000-0000-0000BA570000}"/>
    <cellStyle name="Percent 6 7 13" xfId="22075" xr:uid="{00000000-0005-0000-0000-0000BB570000}"/>
    <cellStyle name="Percent 6 7 14" xfId="22076" xr:uid="{00000000-0005-0000-0000-0000BC570000}"/>
    <cellStyle name="Percent 6 7 15" xfId="22077" xr:uid="{00000000-0005-0000-0000-0000BD570000}"/>
    <cellStyle name="Percent 6 7 16" xfId="22078" xr:uid="{00000000-0005-0000-0000-0000BE570000}"/>
    <cellStyle name="Percent 6 7 17" xfId="22079" xr:uid="{00000000-0005-0000-0000-0000BF570000}"/>
    <cellStyle name="Percent 6 7 2" xfId="22080" xr:uid="{00000000-0005-0000-0000-0000C0570000}"/>
    <cellStyle name="Percent 6 7 3" xfId="22081" xr:uid="{00000000-0005-0000-0000-0000C1570000}"/>
    <cellStyle name="Percent 6 7 4" xfId="22082" xr:uid="{00000000-0005-0000-0000-0000C2570000}"/>
    <cellStyle name="Percent 6 7 5" xfId="22083" xr:uid="{00000000-0005-0000-0000-0000C3570000}"/>
    <cellStyle name="Percent 6 7 6" xfId="22084" xr:uid="{00000000-0005-0000-0000-0000C4570000}"/>
    <cellStyle name="Percent 6 7 7" xfId="22085" xr:uid="{00000000-0005-0000-0000-0000C5570000}"/>
    <cellStyle name="Percent 6 7 8" xfId="22086" xr:uid="{00000000-0005-0000-0000-0000C6570000}"/>
    <cellStyle name="Percent 6 7 9" xfId="22087" xr:uid="{00000000-0005-0000-0000-0000C7570000}"/>
    <cellStyle name="Percent 6 8" xfId="22088" xr:uid="{00000000-0005-0000-0000-0000C8570000}"/>
    <cellStyle name="Percent 6 8 10" xfId="22089" xr:uid="{00000000-0005-0000-0000-0000C9570000}"/>
    <cellStyle name="Percent 6 8 11" xfId="22090" xr:uid="{00000000-0005-0000-0000-0000CA570000}"/>
    <cellStyle name="Percent 6 8 12" xfId="22091" xr:uid="{00000000-0005-0000-0000-0000CB570000}"/>
    <cellStyle name="Percent 6 8 13" xfId="22092" xr:uid="{00000000-0005-0000-0000-0000CC570000}"/>
    <cellStyle name="Percent 6 8 14" xfId="22093" xr:uid="{00000000-0005-0000-0000-0000CD570000}"/>
    <cellStyle name="Percent 6 8 15" xfId="22094" xr:uid="{00000000-0005-0000-0000-0000CE570000}"/>
    <cellStyle name="Percent 6 8 16" xfId="22095" xr:uid="{00000000-0005-0000-0000-0000CF570000}"/>
    <cellStyle name="Percent 6 8 17" xfId="22096" xr:uid="{00000000-0005-0000-0000-0000D0570000}"/>
    <cellStyle name="Percent 6 8 2" xfId="22097" xr:uid="{00000000-0005-0000-0000-0000D1570000}"/>
    <cellStyle name="Percent 6 8 3" xfId="22098" xr:uid="{00000000-0005-0000-0000-0000D2570000}"/>
    <cellStyle name="Percent 6 8 4" xfId="22099" xr:uid="{00000000-0005-0000-0000-0000D3570000}"/>
    <cellStyle name="Percent 6 8 5" xfId="22100" xr:uid="{00000000-0005-0000-0000-0000D4570000}"/>
    <cellStyle name="Percent 6 8 6" xfId="22101" xr:uid="{00000000-0005-0000-0000-0000D5570000}"/>
    <cellStyle name="Percent 6 8 7" xfId="22102" xr:uid="{00000000-0005-0000-0000-0000D6570000}"/>
    <cellStyle name="Percent 6 8 8" xfId="22103" xr:uid="{00000000-0005-0000-0000-0000D7570000}"/>
    <cellStyle name="Percent 6 8 9" xfId="22104" xr:uid="{00000000-0005-0000-0000-0000D8570000}"/>
    <cellStyle name="Percent 6 9" xfId="22105" xr:uid="{00000000-0005-0000-0000-0000D9570000}"/>
    <cellStyle name="Percent 6 9 10" xfId="22106" xr:uid="{00000000-0005-0000-0000-0000DA570000}"/>
    <cellStyle name="Percent 6 9 11" xfId="22107" xr:uid="{00000000-0005-0000-0000-0000DB570000}"/>
    <cellStyle name="Percent 6 9 12" xfId="22108" xr:uid="{00000000-0005-0000-0000-0000DC570000}"/>
    <cellStyle name="Percent 6 9 13" xfId="22109" xr:uid="{00000000-0005-0000-0000-0000DD570000}"/>
    <cellStyle name="Percent 6 9 14" xfId="22110" xr:uid="{00000000-0005-0000-0000-0000DE570000}"/>
    <cellStyle name="Percent 6 9 15" xfId="22111" xr:uid="{00000000-0005-0000-0000-0000DF570000}"/>
    <cellStyle name="Percent 6 9 16" xfId="22112" xr:uid="{00000000-0005-0000-0000-0000E0570000}"/>
    <cellStyle name="Percent 6 9 17" xfId="22113" xr:uid="{00000000-0005-0000-0000-0000E1570000}"/>
    <cellStyle name="Percent 6 9 2" xfId="22114" xr:uid="{00000000-0005-0000-0000-0000E2570000}"/>
    <cellStyle name="Percent 6 9 3" xfId="22115" xr:uid="{00000000-0005-0000-0000-0000E3570000}"/>
    <cellStyle name="Percent 6 9 4" xfId="22116" xr:uid="{00000000-0005-0000-0000-0000E4570000}"/>
    <cellStyle name="Percent 6 9 5" xfId="22117" xr:uid="{00000000-0005-0000-0000-0000E5570000}"/>
    <cellStyle name="Percent 6 9 6" xfId="22118" xr:uid="{00000000-0005-0000-0000-0000E6570000}"/>
    <cellStyle name="Percent 6 9 7" xfId="22119" xr:uid="{00000000-0005-0000-0000-0000E7570000}"/>
    <cellStyle name="Percent 6 9 8" xfId="22120" xr:uid="{00000000-0005-0000-0000-0000E8570000}"/>
    <cellStyle name="Percent 6 9 9" xfId="22121" xr:uid="{00000000-0005-0000-0000-0000E9570000}"/>
    <cellStyle name="Percent 7" xfId="22122" xr:uid="{00000000-0005-0000-0000-0000EA570000}"/>
    <cellStyle name="Percent 7 2" xfId="22123" xr:uid="{00000000-0005-0000-0000-0000EB570000}"/>
    <cellStyle name="Percent 7 2 10" xfId="22124" xr:uid="{00000000-0005-0000-0000-0000EC570000}"/>
    <cellStyle name="Percent 7 2 11" xfId="22125" xr:uid="{00000000-0005-0000-0000-0000ED570000}"/>
    <cellStyle name="Percent 7 2 12" xfId="22126" xr:uid="{00000000-0005-0000-0000-0000EE570000}"/>
    <cellStyle name="Percent 7 2 13" xfId="22127" xr:uid="{00000000-0005-0000-0000-0000EF570000}"/>
    <cellStyle name="Percent 7 2 14" xfId="22128" xr:uid="{00000000-0005-0000-0000-0000F0570000}"/>
    <cellStyle name="Percent 7 2 15" xfId="22129" xr:uid="{00000000-0005-0000-0000-0000F1570000}"/>
    <cellStyle name="Percent 7 2 16" xfId="22130" xr:uid="{00000000-0005-0000-0000-0000F2570000}"/>
    <cellStyle name="Percent 7 2 17" xfId="22131" xr:uid="{00000000-0005-0000-0000-0000F3570000}"/>
    <cellStyle name="Percent 7 2 2" xfId="22132" xr:uid="{00000000-0005-0000-0000-0000F4570000}"/>
    <cellStyle name="Percent 7 2 3" xfId="22133" xr:uid="{00000000-0005-0000-0000-0000F5570000}"/>
    <cellStyle name="Percent 7 2 4" xfId="22134" xr:uid="{00000000-0005-0000-0000-0000F6570000}"/>
    <cellStyle name="Percent 7 2 5" xfId="22135" xr:uid="{00000000-0005-0000-0000-0000F7570000}"/>
    <cellStyle name="Percent 7 2 6" xfId="22136" xr:uid="{00000000-0005-0000-0000-0000F8570000}"/>
    <cellStyle name="Percent 7 2 7" xfId="22137" xr:uid="{00000000-0005-0000-0000-0000F9570000}"/>
    <cellStyle name="Percent 7 2 8" xfId="22138" xr:uid="{00000000-0005-0000-0000-0000FA570000}"/>
    <cellStyle name="Percent 7 2 9" xfId="22139" xr:uid="{00000000-0005-0000-0000-0000FB570000}"/>
    <cellStyle name="Percent 8" xfId="22140" xr:uid="{00000000-0005-0000-0000-0000FC570000}"/>
    <cellStyle name="Percent 8 10" xfId="22141" xr:uid="{00000000-0005-0000-0000-0000FD570000}"/>
    <cellStyle name="Percent 8 10 10" xfId="22142" xr:uid="{00000000-0005-0000-0000-0000FE570000}"/>
    <cellStyle name="Percent 8 10 11" xfId="22143" xr:uid="{00000000-0005-0000-0000-0000FF570000}"/>
    <cellStyle name="Percent 8 10 12" xfId="22144" xr:uid="{00000000-0005-0000-0000-000000580000}"/>
    <cellStyle name="Percent 8 10 13" xfId="22145" xr:uid="{00000000-0005-0000-0000-000001580000}"/>
    <cellStyle name="Percent 8 10 14" xfId="22146" xr:uid="{00000000-0005-0000-0000-000002580000}"/>
    <cellStyle name="Percent 8 10 15" xfId="22147" xr:uid="{00000000-0005-0000-0000-000003580000}"/>
    <cellStyle name="Percent 8 10 16" xfId="22148" xr:uid="{00000000-0005-0000-0000-000004580000}"/>
    <cellStyle name="Percent 8 10 17" xfId="22149" xr:uid="{00000000-0005-0000-0000-000005580000}"/>
    <cellStyle name="Percent 8 10 2" xfId="22150" xr:uid="{00000000-0005-0000-0000-000006580000}"/>
    <cellStyle name="Percent 8 10 3" xfId="22151" xr:uid="{00000000-0005-0000-0000-000007580000}"/>
    <cellStyle name="Percent 8 10 4" xfId="22152" xr:uid="{00000000-0005-0000-0000-000008580000}"/>
    <cellStyle name="Percent 8 10 5" xfId="22153" xr:uid="{00000000-0005-0000-0000-000009580000}"/>
    <cellStyle name="Percent 8 10 6" xfId="22154" xr:uid="{00000000-0005-0000-0000-00000A580000}"/>
    <cellStyle name="Percent 8 10 7" xfId="22155" xr:uid="{00000000-0005-0000-0000-00000B580000}"/>
    <cellStyle name="Percent 8 10 8" xfId="22156" xr:uid="{00000000-0005-0000-0000-00000C580000}"/>
    <cellStyle name="Percent 8 10 9" xfId="22157" xr:uid="{00000000-0005-0000-0000-00000D580000}"/>
    <cellStyle name="Percent 8 11" xfId="22158" xr:uid="{00000000-0005-0000-0000-00000E580000}"/>
    <cellStyle name="Percent 8 11 10" xfId="22159" xr:uid="{00000000-0005-0000-0000-00000F580000}"/>
    <cellStyle name="Percent 8 11 11" xfId="22160" xr:uid="{00000000-0005-0000-0000-000010580000}"/>
    <cellStyle name="Percent 8 11 12" xfId="22161" xr:uid="{00000000-0005-0000-0000-000011580000}"/>
    <cellStyle name="Percent 8 11 13" xfId="22162" xr:uid="{00000000-0005-0000-0000-000012580000}"/>
    <cellStyle name="Percent 8 11 14" xfId="22163" xr:uid="{00000000-0005-0000-0000-000013580000}"/>
    <cellStyle name="Percent 8 11 15" xfId="22164" xr:uid="{00000000-0005-0000-0000-000014580000}"/>
    <cellStyle name="Percent 8 11 16" xfId="22165" xr:uid="{00000000-0005-0000-0000-000015580000}"/>
    <cellStyle name="Percent 8 11 17" xfId="22166" xr:uid="{00000000-0005-0000-0000-000016580000}"/>
    <cellStyle name="Percent 8 11 2" xfId="22167" xr:uid="{00000000-0005-0000-0000-000017580000}"/>
    <cellStyle name="Percent 8 11 3" xfId="22168" xr:uid="{00000000-0005-0000-0000-000018580000}"/>
    <cellStyle name="Percent 8 11 4" xfId="22169" xr:uid="{00000000-0005-0000-0000-000019580000}"/>
    <cellStyle name="Percent 8 11 5" xfId="22170" xr:uid="{00000000-0005-0000-0000-00001A580000}"/>
    <cellStyle name="Percent 8 11 6" xfId="22171" xr:uid="{00000000-0005-0000-0000-00001B580000}"/>
    <cellStyle name="Percent 8 11 7" xfId="22172" xr:uid="{00000000-0005-0000-0000-00001C580000}"/>
    <cellStyle name="Percent 8 11 8" xfId="22173" xr:uid="{00000000-0005-0000-0000-00001D580000}"/>
    <cellStyle name="Percent 8 11 9" xfId="22174" xr:uid="{00000000-0005-0000-0000-00001E580000}"/>
    <cellStyle name="Percent 8 12" xfId="22175" xr:uid="{00000000-0005-0000-0000-00001F580000}"/>
    <cellStyle name="Percent 8 12 10" xfId="22176" xr:uid="{00000000-0005-0000-0000-000020580000}"/>
    <cellStyle name="Percent 8 12 11" xfId="22177" xr:uid="{00000000-0005-0000-0000-000021580000}"/>
    <cellStyle name="Percent 8 12 12" xfId="22178" xr:uid="{00000000-0005-0000-0000-000022580000}"/>
    <cellStyle name="Percent 8 12 13" xfId="22179" xr:uid="{00000000-0005-0000-0000-000023580000}"/>
    <cellStyle name="Percent 8 12 14" xfId="22180" xr:uid="{00000000-0005-0000-0000-000024580000}"/>
    <cellStyle name="Percent 8 12 15" xfId="22181" xr:uid="{00000000-0005-0000-0000-000025580000}"/>
    <cellStyle name="Percent 8 12 16" xfId="22182" xr:uid="{00000000-0005-0000-0000-000026580000}"/>
    <cellStyle name="Percent 8 12 17" xfId="22183" xr:uid="{00000000-0005-0000-0000-000027580000}"/>
    <cellStyle name="Percent 8 12 2" xfId="22184" xr:uid="{00000000-0005-0000-0000-000028580000}"/>
    <cellStyle name="Percent 8 12 3" xfId="22185" xr:uid="{00000000-0005-0000-0000-000029580000}"/>
    <cellStyle name="Percent 8 12 4" xfId="22186" xr:uid="{00000000-0005-0000-0000-00002A580000}"/>
    <cellStyle name="Percent 8 12 5" xfId="22187" xr:uid="{00000000-0005-0000-0000-00002B580000}"/>
    <cellStyle name="Percent 8 12 6" xfId="22188" xr:uid="{00000000-0005-0000-0000-00002C580000}"/>
    <cellStyle name="Percent 8 12 7" xfId="22189" xr:uid="{00000000-0005-0000-0000-00002D580000}"/>
    <cellStyle name="Percent 8 12 8" xfId="22190" xr:uid="{00000000-0005-0000-0000-00002E580000}"/>
    <cellStyle name="Percent 8 12 9" xfId="22191" xr:uid="{00000000-0005-0000-0000-00002F580000}"/>
    <cellStyle name="Percent 8 13" xfId="22192" xr:uid="{00000000-0005-0000-0000-000030580000}"/>
    <cellStyle name="Percent 8 13 10" xfId="22193" xr:uid="{00000000-0005-0000-0000-000031580000}"/>
    <cellStyle name="Percent 8 13 11" xfId="22194" xr:uid="{00000000-0005-0000-0000-000032580000}"/>
    <cellStyle name="Percent 8 13 12" xfId="22195" xr:uid="{00000000-0005-0000-0000-000033580000}"/>
    <cellStyle name="Percent 8 13 13" xfId="22196" xr:uid="{00000000-0005-0000-0000-000034580000}"/>
    <cellStyle name="Percent 8 13 14" xfId="22197" xr:uid="{00000000-0005-0000-0000-000035580000}"/>
    <cellStyle name="Percent 8 13 15" xfId="22198" xr:uid="{00000000-0005-0000-0000-000036580000}"/>
    <cellStyle name="Percent 8 13 16" xfId="22199" xr:uid="{00000000-0005-0000-0000-000037580000}"/>
    <cellStyle name="Percent 8 13 17" xfId="22200" xr:uid="{00000000-0005-0000-0000-000038580000}"/>
    <cellStyle name="Percent 8 13 2" xfId="22201" xr:uid="{00000000-0005-0000-0000-000039580000}"/>
    <cellStyle name="Percent 8 13 3" xfId="22202" xr:uid="{00000000-0005-0000-0000-00003A580000}"/>
    <cellStyle name="Percent 8 13 4" xfId="22203" xr:uid="{00000000-0005-0000-0000-00003B580000}"/>
    <cellStyle name="Percent 8 13 5" xfId="22204" xr:uid="{00000000-0005-0000-0000-00003C580000}"/>
    <cellStyle name="Percent 8 13 6" xfId="22205" xr:uid="{00000000-0005-0000-0000-00003D580000}"/>
    <cellStyle name="Percent 8 13 7" xfId="22206" xr:uid="{00000000-0005-0000-0000-00003E580000}"/>
    <cellStyle name="Percent 8 13 8" xfId="22207" xr:uid="{00000000-0005-0000-0000-00003F580000}"/>
    <cellStyle name="Percent 8 13 9" xfId="22208" xr:uid="{00000000-0005-0000-0000-000040580000}"/>
    <cellStyle name="Percent 8 14" xfId="22209" xr:uid="{00000000-0005-0000-0000-000041580000}"/>
    <cellStyle name="Percent 8 14 10" xfId="22210" xr:uid="{00000000-0005-0000-0000-000042580000}"/>
    <cellStyle name="Percent 8 14 11" xfId="22211" xr:uid="{00000000-0005-0000-0000-000043580000}"/>
    <cellStyle name="Percent 8 14 12" xfId="22212" xr:uid="{00000000-0005-0000-0000-000044580000}"/>
    <cellStyle name="Percent 8 14 13" xfId="22213" xr:uid="{00000000-0005-0000-0000-000045580000}"/>
    <cellStyle name="Percent 8 14 14" xfId="22214" xr:uid="{00000000-0005-0000-0000-000046580000}"/>
    <cellStyle name="Percent 8 14 15" xfId="22215" xr:uid="{00000000-0005-0000-0000-000047580000}"/>
    <cellStyle name="Percent 8 14 16" xfId="22216" xr:uid="{00000000-0005-0000-0000-000048580000}"/>
    <cellStyle name="Percent 8 14 17" xfId="22217" xr:uid="{00000000-0005-0000-0000-000049580000}"/>
    <cellStyle name="Percent 8 14 2" xfId="22218" xr:uid="{00000000-0005-0000-0000-00004A580000}"/>
    <cellStyle name="Percent 8 14 3" xfId="22219" xr:uid="{00000000-0005-0000-0000-00004B580000}"/>
    <cellStyle name="Percent 8 14 4" xfId="22220" xr:uid="{00000000-0005-0000-0000-00004C580000}"/>
    <cellStyle name="Percent 8 14 5" xfId="22221" xr:uid="{00000000-0005-0000-0000-00004D580000}"/>
    <cellStyle name="Percent 8 14 6" xfId="22222" xr:uid="{00000000-0005-0000-0000-00004E580000}"/>
    <cellStyle name="Percent 8 14 7" xfId="22223" xr:uid="{00000000-0005-0000-0000-00004F580000}"/>
    <cellStyle name="Percent 8 14 8" xfId="22224" xr:uid="{00000000-0005-0000-0000-000050580000}"/>
    <cellStyle name="Percent 8 14 9" xfId="22225" xr:uid="{00000000-0005-0000-0000-000051580000}"/>
    <cellStyle name="Percent 8 15" xfId="22226" xr:uid="{00000000-0005-0000-0000-000052580000}"/>
    <cellStyle name="Percent 8 15 10" xfId="22227" xr:uid="{00000000-0005-0000-0000-000053580000}"/>
    <cellStyle name="Percent 8 15 11" xfId="22228" xr:uid="{00000000-0005-0000-0000-000054580000}"/>
    <cellStyle name="Percent 8 15 12" xfId="22229" xr:uid="{00000000-0005-0000-0000-000055580000}"/>
    <cellStyle name="Percent 8 15 13" xfId="22230" xr:uid="{00000000-0005-0000-0000-000056580000}"/>
    <cellStyle name="Percent 8 15 14" xfId="22231" xr:uid="{00000000-0005-0000-0000-000057580000}"/>
    <cellStyle name="Percent 8 15 15" xfId="22232" xr:uid="{00000000-0005-0000-0000-000058580000}"/>
    <cellStyle name="Percent 8 15 16" xfId="22233" xr:uid="{00000000-0005-0000-0000-000059580000}"/>
    <cellStyle name="Percent 8 15 17" xfId="22234" xr:uid="{00000000-0005-0000-0000-00005A580000}"/>
    <cellStyle name="Percent 8 15 2" xfId="22235" xr:uid="{00000000-0005-0000-0000-00005B580000}"/>
    <cellStyle name="Percent 8 15 3" xfId="22236" xr:uid="{00000000-0005-0000-0000-00005C580000}"/>
    <cellStyle name="Percent 8 15 4" xfId="22237" xr:uid="{00000000-0005-0000-0000-00005D580000}"/>
    <cellStyle name="Percent 8 15 5" xfId="22238" xr:uid="{00000000-0005-0000-0000-00005E580000}"/>
    <cellStyle name="Percent 8 15 6" xfId="22239" xr:uid="{00000000-0005-0000-0000-00005F580000}"/>
    <cellStyle name="Percent 8 15 7" xfId="22240" xr:uid="{00000000-0005-0000-0000-000060580000}"/>
    <cellStyle name="Percent 8 15 8" xfId="22241" xr:uid="{00000000-0005-0000-0000-000061580000}"/>
    <cellStyle name="Percent 8 15 9" xfId="22242" xr:uid="{00000000-0005-0000-0000-000062580000}"/>
    <cellStyle name="Percent 8 16" xfId="22243" xr:uid="{00000000-0005-0000-0000-000063580000}"/>
    <cellStyle name="Percent 8 16 10" xfId="22244" xr:uid="{00000000-0005-0000-0000-000064580000}"/>
    <cellStyle name="Percent 8 16 11" xfId="22245" xr:uid="{00000000-0005-0000-0000-000065580000}"/>
    <cellStyle name="Percent 8 16 12" xfId="22246" xr:uid="{00000000-0005-0000-0000-000066580000}"/>
    <cellStyle name="Percent 8 16 13" xfId="22247" xr:uid="{00000000-0005-0000-0000-000067580000}"/>
    <cellStyle name="Percent 8 16 14" xfId="22248" xr:uid="{00000000-0005-0000-0000-000068580000}"/>
    <cellStyle name="Percent 8 16 15" xfId="22249" xr:uid="{00000000-0005-0000-0000-000069580000}"/>
    <cellStyle name="Percent 8 16 16" xfId="22250" xr:uid="{00000000-0005-0000-0000-00006A580000}"/>
    <cellStyle name="Percent 8 16 17" xfId="22251" xr:uid="{00000000-0005-0000-0000-00006B580000}"/>
    <cellStyle name="Percent 8 16 2" xfId="22252" xr:uid="{00000000-0005-0000-0000-00006C580000}"/>
    <cellStyle name="Percent 8 16 3" xfId="22253" xr:uid="{00000000-0005-0000-0000-00006D580000}"/>
    <cellStyle name="Percent 8 16 4" xfId="22254" xr:uid="{00000000-0005-0000-0000-00006E580000}"/>
    <cellStyle name="Percent 8 16 5" xfId="22255" xr:uid="{00000000-0005-0000-0000-00006F580000}"/>
    <cellStyle name="Percent 8 16 6" xfId="22256" xr:uid="{00000000-0005-0000-0000-000070580000}"/>
    <cellStyle name="Percent 8 16 7" xfId="22257" xr:uid="{00000000-0005-0000-0000-000071580000}"/>
    <cellStyle name="Percent 8 16 8" xfId="22258" xr:uid="{00000000-0005-0000-0000-000072580000}"/>
    <cellStyle name="Percent 8 16 9" xfId="22259" xr:uid="{00000000-0005-0000-0000-000073580000}"/>
    <cellStyle name="Percent 8 17" xfId="22260" xr:uid="{00000000-0005-0000-0000-000074580000}"/>
    <cellStyle name="Percent 8 17 10" xfId="22261" xr:uid="{00000000-0005-0000-0000-000075580000}"/>
    <cellStyle name="Percent 8 17 11" xfId="22262" xr:uid="{00000000-0005-0000-0000-000076580000}"/>
    <cellStyle name="Percent 8 17 12" xfId="22263" xr:uid="{00000000-0005-0000-0000-000077580000}"/>
    <cellStyle name="Percent 8 17 13" xfId="22264" xr:uid="{00000000-0005-0000-0000-000078580000}"/>
    <cellStyle name="Percent 8 17 14" xfId="22265" xr:uid="{00000000-0005-0000-0000-000079580000}"/>
    <cellStyle name="Percent 8 17 15" xfId="22266" xr:uid="{00000000-0005-0000-0000-00007A580000}"/>
    <cellStyle name="Percent 8 17 16" xfId="22267" xr:uid="{00000000-0005-0000-0000-00007B580000}"/>
    <cellStyle name="Percent 8 17 17" xfId="22268" xr:uid="{00000000-0005-0000-0000-00007C580000}"/>
    <cellStyle name="Percent 8 17 2" xfId="22269" xr:uid="{00000000-0005-0000-0000-00007D580000}"/>
    <cellStyle name="Percent 8 17 3" xfId="22270" xr:uid="{00000000-0005-0000-0000-00007E580000}"/>
    <cellStyle name="Percent 8 17 4" xfId="22271" xr:uid="{00000000-0005-0000-0000-00007F580000}"/>
    <cellStyle name="Percent 8 17 5" xfId="22272" xr:uid="{00000000-0005-0000-0000-000080580000}"/>
    <cellStyle name="Percent 8 17 6" xfId="22273" xr:uid="{00000000-0005-0000-0000-000081580000}"/>
    <cellStyle name="Percent 8 17 7" xfId="22274" xr:uid="{00000000-0005-0000-0000-000082580000}"/>
    <cellStyle name="Percent 8 17 8" xfId="22275" xr:uid="{00000000-0005-0000-0000-000083580000}"/>
    <cellStyle name="Percent 8 17 9" xfId="22276" xr:uid="{00000000-0005-0000-0000-000084580000}"/>
    <cellStyle name="Percent 8 18" xfId="22277" xr:uid="{00000000-0005-0000-0000-000085580000}"/>
    <cellStyle name="Percent 8 18 10" xfId="22278" xr:uid="{00000000-0005-0000-0000-000086580000}"/>
    <cellStyle name="Percent 8 18 11" xfId="22279" xr:uid="{00000000-0005-0000-0000-000087580000}"/>
    <cellStyle name="Percent 8 18 12" xfId="22280" xr:uid="{00000000-0005-0000-0000-000088580000}"/>
    <cellStyle name="Percent 8 18 13" xfId="22281" xr:uid="{00000000-0005-0000-0000-000089580000}"/>
    <cellStyle name="Percent 8 18 14" xfId="22282" xr:uid="{00000000-0005-0000-0000-00008A580000}"/>
    <cellStyle name="Percent 8 18 15" xfId="22283" xr:uid="{00000000-0005-0000-0000-00008B580000}"/>
    <cellStyle name="Percent 8 18 16" xfId="22284" xr:uid="{00000000-0005-0000-0000-00008C580000}"/>
    <cellStyle name="Percent 8 18 17" xfId="22285" xr:uid="{00000000-0005-0000-0000-00008D580000}"/>
    <cellStyle name="Percent 8 18 2" xfId="22286" xr:uid="{00000000-0005-0000-0000-00008E580000}"/>
    <cellStyle name="Percent 8 18 3" xfId="22287" xr:uid="{00000000-0005-0000-0000-00008F580000}"/>
    <cellStyle name="Percent 8 18 4" xfId="22288" xr:uid="{00000000-0005-0000-0000-000090580000}"/>
    <cellStyle name="Percent 8 18 5" xfId="22289" xr:uid="{00000000-0005-0000-0000-000091580000}"/>
    <cellStyle name="Percent 8 18 6" xfId="22290" xr:uid="{00000000-0005-0000-0000-000092580000}"/>
    <cellStyle name="Percent 8 18 7" xfId="22291" xr:uid="{00000000-0005-0000-0000-000093580000}"/>
    <cellStyle name="Percent 8 18 8" xfId="22292" xr:uid="{00000000-0005-0000-0000-000094580000}"/>
    <cellStyle name="Percent 8 18 9" xfId="22293" xr:uid="{00000000-0005-0000-0000-000095580000}"/>
    <cellStyle name="Percent 8 19" xfId="22294" xr:uid="{00000000-0005-0000-0000-000096580000}"/>
    <cellStyle name="Percent 8 19 10" xfId="22295" xr:uid="{00000000-0005-0000-0000-000097580000}"/>
    <cellStyle name="Percent 8 19 11" xfId="22296" xr:uid="{00000000-0005-0000-0000-000098580000}"/>
    <cellStyle name="Percent 8 19 12" xfId="22297" xr:uid="{00000000-0005-0000-0000-000099580000}"/>
    <cellStyle name="Percent 8 19 13" xfId="22298" xr:uid="{00000000-0005-0000-0000-00009A580000}"/>
    <cellStyle name="Percent 8 19 14" xfId="22299" xr:uid="{00000000-0005-0000-0000-00009B580000}"/>
    <cellStyle name="Percent 8 19 15" xfId="22300" xr:uid="{00000000-0005-0000-0000-00009C580000}"/>
    <cellStyle name="Percent 8 19 16" xfId="22301" xr:uid="{00000000-0005-0000-0000-00009D580000}"/>
    <cellStyle name="Percent 8 19 17" xfId="22302" xr:uid="{00000000-0005-0000-0000-00009E580000}"/>
    <cellStyle name="Percent 8 19 2" xfId="22303" xr:uid="{00000000-0005-0000-0000-00009F580000}"/>
    <cellStyle name="Percent 8 19 3" xfId="22304" xr:uid="{00000000-0005-0000-0000-0000A0580000}"/>
    <cellStyle name="Percent 8 19 4" xfId="22305" xr:uid="{00000000-0005-0000-0000-0000A1580000}"/>
    <cellStyle name="Percent 8 19 5" xfId="22306" xr:uid="{00000000-0005-0000-0000-0000A2580000}"/>
    <cellStyle name="Percent 8 19 6" xfId="22307" xr:uid="{00000000-0005-0000-0000-0000A3580000}"/>
    <cellStyle name="Percent 8 19 7" xfId="22308" xr:uid="{00000000-0005-0000-0000-0000A4580000}"/>
    <cellStyle name="Percent 8 19 8" xfId="22309" xr:uid="{00000000-0005-0000-0000-0000A5580000}"/>
    <cellStyle name="Percent 8 19 9" xfId="22310" xr:uid="{00000000-0005-0000-0000-0000A6580000}"/>
    <cellStyle name="Percent 8 2" xfId="22311" xr:uid="{00000000-0005-0000-0000-0000A7580000}"/>
    <cellStyle name="Percent 8 2 2" xfId="22312" xr:uid="{00000000-0005-0000-0000-0000A8580000}"/>
    <cellStyle name="Percent 8 2 2 10" xfId="22313" xr:uid="{00000000-0005-0000-0000-0000A9580000}"/>
    <cellStyle name="Percent 8 2 2 11" xfId="22314" xr:uid="{00000000-0005-0000-0000-0000AA580000}"/>
    <cellStyle name="Percent 8 2 2 12" xfId="22315" xr:uid="{00000000-0005-0000-0000-0000AB580000}"/>
    <cellStyle name="Percent 8 2 2 13" xfId="22316" xr:uid="{00000000-0005-0000-0000-0000AC580000}"/>
    <cellStyle name="Percent 8 2 2 14" xfId="22317" xr:uid="{00000000-0005-0000-0000-0000AD580000}"/>
    <cellStyle name="Percent 8 2 2 15" xfId="22318" xr:uid="{00000000-0005-0000-0000-0000AE580000}"/>
    <cellStyle name="Percent 8 2 2 16" xfId="22319" xr:uid="{00000000-0005-0000-0000-0000AF580000}"/>
    <cellStyle name="Percent 8 2 2 17" xfId="22320" xr:uid="{00000000-0005-0000-0000-0000B0580000}"/>
    <cellStyle name="Percent 8 2 2 18" xfId="22321" xr:uid="{00000000-0005-0000-0000-0000B1580000}"/>
    <cellStyle name="Percent 8 2 2 19" xfId="22322" xr:uid="{00000000-0005-0000-0000-0000B2580000}"/>
    <cellStyle name="Percent 8 2 2 2" xfId="22323" xr:uid="{00000000-0005-0000-0000-0000B3580000}"/>
    <cellStyle name="Percent 8 2 2 2 10" xfId="22324" xr:uid="{00000000-0005-0000-0000-0000B4580000}"/>
    <cellStyle name="Percent 8 2 2 2 11" xfId="22325" xr:uid="{00000000-0005-0000-0000-0000B5580000}"/>
    <cellStyle name="Percent 8 2 2 2 12" xfId="22326" xr:uid="{00000000-0005-0000-0000-0000B6580000}"/>
    <cellStyle name="Percent 8 2 2 2 13" xfId="22327" xr:uid="{00000000-0005-0000-0000-0000B7580000}"/>
    <cellStyle name="Percent 8 2 2 2 14" xfId="22328" xr:uid="{00000000-0005-0000-0000-0000B8580000}"/>
    <cellStyle name="Percent 8 2 2 2 15" xfId="22329" xr:uid="{00000000-0005-0000-0000-0000B9580000}"/>
    <cellStyle name="Percent 8 2 2 2 16" xfId="22330" xr:uid="{00000000-0005-0000-0000-0000BA580000}"/>
    <cellStyle name="Percent 8 2 2 2 17" xfId="22331" xr:uid="{00000000-0005-0000-0000-0000BB580000}"/>
    <cellStyle name="Percent 8 2 2 2 18" xfId="22332" xr:uid="{00000000-0005-0000-0000-0000BC580000}"/>
    <cellStyle name="Percent 8 2 2 2 19" xfId="22333" xr:uid="{00000000-0005-0000-0000-0000BD580000}"/>
    <cellStyle name="Percent 8 2 2 2 2" xfId="22334" xr:uid="{00000000-0005-0000-0000-0000BE580000}"/>
    <cellStyle name="Percent 8 2 2 2 2 10" xfId="22335" xr:uid="{00000000-0005-0000-0000-0000BF580000}"/>
    <cellStyle name="Percent 8 2 2 2 2 11" xfId="22336" xr:uid="{00000000-0005-0000-0000-0000C0580000}"/>
    <cellStyle name="Percent 8 2 2 2 2 12" xfId="22337" xr:uid="{00000000-0005-0000-0000-0000C1580000}"/>
    <cellStyle name="Percent 8 2 2 2 2 13" xfId="22338" xr:uid="{00000000-0005-0000-0000-0000C2580000}"/>
    <cellStyle name="Percent 8 2 2 2 2 2" xfId="22339" xr:uid="{00000000-0005-0000-0000-0000C3580000}"/>
    <cellStyle name="Percent 8 2 2 2 2 3" xfId="22340" xr:uid="{00000000-0005-0000-0000-0000C4580000}"/>
    <cellStyle name="Percent 8 2 2 2 2 4" xfId="22341" xr:uid="{00000000-0005-0000-0000-0000C5580000}"/>
    <cellStyle name="Percent 8 2 2 2 2 5" xfId="22342" xr:uid="{00000000-0005-0000-0000-0000C6580000}"/>
    <cellStyle name="Percent 8 2 2 2 2 6" xfId="22343" xr:uid="{00000000-0005-0000-0000-0000C7580000}"/>
    <cellStyle name="Percent 8 2 2 2 2 7" xfId="22344" xr:uid="{00000000-0005-0000-0000-0000C8580000}"/>
    <cellStyle name="Percent 8 2 2 2 2 8" xfId="22345" xr:uid="{00000000-0005-0000-0000-0000C9580000}"/>
    <cellStyle name="Percent 8 2 2 2 2 9" xfId="22346" xr:uid="{00000000-0005-0000-0000-0000CA580000}"/>
    <cellStyle name="Percent 8 2 2 2 20" xfId="22347" xr:uid="{00000000-0005-0000-0000-0000CB580000}"/>
    <cellStyle name="Percent 8 2 2 2 21" xfId="22348" xr:uid="{00000000-0005-0000-0000-0000CC580000}"/>
    <cellStyle name="Percent 8 2 2 2 22" xfId="22349" xr:uid="{00000000-0005-0000-0000-0000CD580000}"/>
    <cellStyle name="Percent 8 2 2 2 23" xfId="22350" xr:uid="{00000000-0005-0000-0000-0000CE580000}"/>
    <cellStyle name="Percent 8 2 2 2 24" xfId="22351" xr:uid="{00000000-0005-0000-0000-0000CF580000}"/>
    <cellStyle name="Percent 8 2 2 2 25" xfId="22352" xr:uid="{00000000-0005-0000-0000-0000D0580000}"/>
    <cellStyle name="Percent 8 2 2 2 26" xfId="22353" xr:uid="{00000000-0005-0000-0000-0000D1580000}"/>
    <cellStyle name="Percent 8 2 2 2 27" xfId="22354" xr:uid="{00000000-0005-0000-0000-0000D2580000}"/>
    <cellStyle name="Percent 8 2 2 2 28" xfId="22355" xr:uid="{00000000-0005-0000-0000-0000D3580000}"/>
    <cellStyle name="Percent 8 2 2 2 29" xfId="22356" xr:uid="{00000000-0005-0000-0000-0000D4580000}"/>
    <cellStyle name="Percent 8 2 2 2 3" xfId="22357" xr:uid="{00000000-0005-0000-0000-0000D5580000}"/>
    <cellStyle name="Percent 8 2 2 2 30" xfId="22358" xr:uid="{00000000-0005-0000-0000-0000D6580000}"/>
    <cellStyle name="Percent 8 2 2 2 31" xfId="22359" xr:uid="{00000000-0005-0000-0000-0000D7580000}"/>
    <cellStyle name="Percent 8 2 2 2 32" xfId="22360" xr:uid="{00000000-0005-0000-0000-0000D8580000}"/>
    <cellStyle name="Percent 8 2 2 2 33" xfId="22361" xr:uid="{00000000-0005-0000-0000-0000D9580000}"/>
    <cellStyle name="Percent 8 2 2 2 34" xfId="22362" xr:uid="{00000000-0005-0000-0000-0000DA580000}"/>
    <cellStyle name="Percent 8 2 2 2 35" xfId="22363" xr:uid="{00000000-0005-0000-0000-0000DB580000}"/>
    <cellStyle name="Percent 8 2 2 2 36" xfId="22364" xr:uid="{00000000-0005-0000-0000-0000DC580000}"/>
    <cellStyle name="Percent 8 2 2 2 37" xfId="22365" xr:uid="{00000000-0005-0000-0000-0000DD580000}"/>
    <cellStyle name="Percent 8 2 2 2 38" xfId="22366" xr:uid="{00000000-0005-0000-0000-0000DE580000}"/>
    <cellStyle name="Percent 8 2 2 2 39" xfId="22367" xr:uid="{00000000-0005-0000-0000-0000DF580000}"/>
    <cellStyle name="Percent 8 2 2 2 4" xfId="22368" xr:uid="{00000000-0005-0000-0000-0000E0580000}"/>
    <cellStyle name="Percent 8 2 2 2 40" xfId="22369" xr:uid="{00000000-0005-0000-0000-0000E1580000}"/>
    <cellStyle name="Percent 8 2 2 2 41" xfId="22370" xr:uid="{00000000-0005-0000-0000-0000E2580000}"/>
    <cellStyle name="Percent 8 2 2 2 42" xfId="22371" xr:uid="{00000000-0005-0000-0000-0000E3580000}"/>
    <cellStyle name="Percent 8 2 2 2 43" xfId="22372" xr:uid="{00000000-0005-0000-0000-0000E4580000}"/>
    <cellStyle name="Percent 8 2 2 2 44" xfId="22373" xr:uid="{00000000-0005-0000-0000-0000E5580000}"/>
    <cellStyle name="Percent 8 2 2 2 45" xfId="22374" xr:uid="{00000000-0005-0000-0000-0000E6580000}"/>
    <cellStyle name="Percent 8 2 2 2 46" xfId="22375" xr:uid="{00000000-0005-0000-0000-0000E7580000}"/>
    <cellStyle name="Percent 8 2 2 2 47" xfId="22376" xr:uid="{00000000-0005-0000-0000-0000E8580000}"/>
    <cellStyle name="Percent 8 2 2 2 48" xfId="22377" xr:uid="{00000000-0005-0000-0000-0000E9580000}"/>
    <cellStyle name="Percent 8 2 2 2 49" xfId="22378" xr:uid="{00000000-0005-0000-0000-0000EA580000}"/>
    <cellStyle name="Percent 8 2 2 2 5" xfId="22379" xr:uid="{00000000-0005-0000-0000-0000EB580000}"/>
    <cellStyle name="Percent 8 2 2 2 50" xfId="22380" xr:uid="{00000000-0005-0000-0000-0000EC580000}"/>
    <cellStyle name="Percent 8 2 2 2 51" xfId="22381" xr:uid="{00000000-0005-0000-0000-0000ED580000}"/>
    <cellStyle name="Percent 8 2 2 2 52" xfId="22382" xr:uid="{00000000-0005-0000-0000-0000EE580000}"/>
    <cellStyle name="Percent 8 2 2 2 53" xfId="22383" xr:uid="{00000000-0005-0000-0000-0000EF580000}"/>
    <cellStyle name="Percent 8 2 2 2 54" xfId="22384" xr:uid="{00000000-0005-0000-0000-0000F0580000}"/>
    <cellStyle name="Percent 8 2 2 2 55" xfId="22385" xr:uid="{00000000-0005-0000-0000-0000F1580000}"/>
    <cellStyle name="Percent 8 2 2 2 56" xfId="22386" xr:uid="{00000000-0005-0000-0000-0000F2580000}"/>
    <cellStyle name="Percent 8 2 2 2 57" xfId="22387" xr:uid="{00000000-0005-0000-0000-0000F3580000}"/>
    <cellStyle name="Percent 8 2 2 2 58" xfId="22388" xr:uid="{00000000-0005-0000-0000-0000F4580000}"/>
    <cellStyle name="Percent 8 2 2 2 59" xfId="22389" xr:uid="{00000000-0005-0000-0000-0000F5580000}"/>
    <cellStyle name="Percent 8 2 2 2 6" xfId="22390" xr:uid="{00000000-0005-0000-0000-0000F6580000}"/>
    <cellStyle name="Percent 8 2 2 2 60" xfId="22391" xr:uid="{00000000-0005-0000-0000-0000F7580000}"/>
    <cellStyle name="Percent 8 2 2 2 61" xfId="22392" xr:uid="{00000000-0005-0000-0000-0000F8580000}"/>
    <cellStyle name="Percent 8 2 2 2 62" xfId="22393" xr:uid="{00000000-0005-0000-0000-0000F9580000}"/>
    <cellStyle name="Percent 8 2 2 2 63" xfId="22394" xr:uid="{00000000-0005-0000-0000-0000FA580000}"/>
    <cellStyle name="Percent 8 2 2 2 64" xfId="22395" xr:uid="{00000000-0005-0000-0000-0000FB580000}"/>
    <cellStyle name="Percent 8 2 2 2 65" xfId="22396" xr:uid="{00000000-0005-0000-0000-0000FC580000}"/>
    <cellStyle name="Percent 8 2 2 2 66" xfId="22397" xr:uid="{00000000-0005-0000-0000-0000FD580000}"/>
    <cellStyle name="Percent 8 2 2 2 67" xfId="22398" xr:uid="{00000000-0005-0000-0000-0000FE580000}"/>
    <cellStyle name="Percent 8 2 2 2 68" xfId="22399" xr:uid="{00000000-0005-0000-0000-0000FF580000}"/>
    <cellStyle name="Percent 8 2 2 2 69" xfId="22400" xr:uid="{00000000-0005-0000-0000-000000590000}"/>
    <cellStyle name="Percent 8 2 2 2 7" xfId="22401" xr:uid="{00000000-0005-0000-0000-000001590000}"/>
    <cellStyle name="Percent 8 2 2 2 8" xfId="22402" xr:uid="{00000000-0005-0000-0000-000002590000}"/>
    <cellStyle name="Percent 8 2 2 2 9" xfId="22403" xr:uid="{00000000-0005-0000-0000-000003590000}"/>
    <cellStyle name="Percent 8 2 2 20" xfId="22404" xr:uid="{00000000-0005-0000-0000-000004590000}"/>
    <cellStyle name="Percent 8 2 2 21" xfId="22405" xr:uid="{00000000-0005-0000-0000-000005590000}"/>
    <cellStyle name="Percent 8 2 2 22" xfId="22406" xr:uid="{00000000-0005-0000-0000-000006590000}"/>
    <cellStyle name="Percent 8 2 2 23" xfId="22407" xr:uid="{00000000-0005-0000-0000-000007590000}"/>
    <cellStyle name="Percent 8 2 2 24" xfId="22408" xr:uid="{00000000-0005-0000-0000-000008590000}"/>
    <cellStyle name="Percent 8 2 2 25" xfId="22409" xr:uid="{00000000-0005-0000-0000-000009590000}"/>
    <cellStyle name="Percent 8 2 2 26" xfId="22410" xr:uid="{00000000-0005-0000-0000-00000A590000}"/>
    <cellStyle name="Percent 8 2 2 27" xfId="22411" xr:uid="{00000000-0005-0000-0000-00000B590000}"/>
    <cellStyle name="Percent 8 2 2 28" xfId="22412" xr:uid="{00000000-0005-0000-0000-00000C590000}"/>
    <cellStyle name="Percent 8 2 2 29" xfId="22413" xr:uid="{00000000-0005-0000-0000-00000D590000}"/>
    <cellStyle name="Percent 8 2 2 3" xfId="22414" xr:uid="{00000000-0005-0000-0000-00000E590000}"/>
    <cellStyle name="Percent 8 2 2 3 10" xfId="22415" xr:uid="{00000000-0005-0000-0000-00000F590000}"/>
    <cellStyle name="Percent 8 2 2 3 11" xfId="22416" xr:uid="{00000000-0005-0000-0000-000010590000}"/>
    <cellStyle name="Percent 8 2 2 3 12" xfId="22417" xr:uid="{00000000-0005-0000-0000-000011590000}"/>
    <cellStyle name="Percent 8 2 2 3 13" xfId="22418" xr:uid="{00000000-0005-0000-0000-000012590000}"/>
    <cellStyle name="Percent 8 2 2 3 2" xfId="22419" xr:uid="{00000000-0005-0000-0000-000013590000}"/>
    <cellStyle name="Percent 8 2 2 3 3" xfId="22420" xr:uid="{00000000-0005-0000-0000-000014590000}"/>
    <cellStyle name="Percent 8 2 2 3 4" xfId="22421" xr:uid="{00000000-0005-0000-0000-000015590000}"/>
    <cellStyle name="Percent 8 2 2 3 5" xfId="22422" xr:uid="{00000000-0005-0000-0000-000016590000}"/>
    <cellStyle name="Percent 8 2 2 3 6" xfId="22423" xr:uid="{00000000-0005-0000-0000-000017590000}"/>
    <cellStyle name="Percent 8 2 2 3 7" xfId="22424" xr:uid="{00000000-0005-0000-0000-000018590000}"/>
    <cellStyle name="Percent 8 2 2 3 8" xfId="22425" xr:uid="{00000000-0005-0000-0000-000019590000}"/>
    <cellStyle name="Percent 8 2 2 3 9" xfId="22426" xr:uid="{00000000-0005-0000-0000-00001A590000}"/>
    <cellStyle name="Percent 8 2 2 30" xfId="22427" xr:uid="{00000000-0005-0000-0000-00001B590000}"/>
    <cellStyle name="Percent 8 2 2 31" xfId="22428" xr:uid="{00000000-0005-0000-0000-00001C590000}"/>
    <cellStyle name="Percent 8 2 2 32" xfId="22429" xr:uid="{00000000-0005-0000-0000-00001D590000}"/>
    <cellStyle name="Percent 8 2 2 33" xfId="22430" xr:uid="{00000000-0005-0000-0000-00001E590000}"/>
    <cellStyle name="Percent 8 2 2 34" xfId="22431" xr:uid="{00000000-0005-0000-0000-00001F590000}"/>
    <cellStyle name="Percent 8 2 2 35" xfId="22432" xr:uid="{00000000-0005-0000-0000-000020590000}"/>
    <cellStyle name="Percent 8 2 2 36" xfId="22433" xr:uid="{00000000-0005-0000-0000-000021590000}"/>
    <cellStyle name="Percent 8 2 2 37" xfId="22434" xr:uid="{00000000-0005-0000-0000-000022590000}"/>
    <cellStyle name="Percent 8 2 2 38" xfId="22435" xr:uid="{00000000-0005-0000-0000-000023590000}"/>
    <cellStyle name="Percent 8 2 2 39" xfId="22436" xr:uid="{00000000-0005-0000-0000-000024590000}"/>
    <cellStyle name="Percent 8 2 2 4" xfId="22437" xr:uid="{00000000-0005-0000-0000-000025590000}"/>
    <cellStyle name="Percent 8 2 2 40" xfId="22438" xr:uid="{00000000-0005-0000-0000-000026590000}"/>
    <cellStyle name="Percent 8 2 2 41" xfId="22439" xr:uid="{00000000-0005-0000-0000-000027590000}"/>
    <cellStyle name="Percent 8 2 2 42" xfId="22440" xr:uid="{00000000-0005-0000-0000-000028590000}"/>
    <cellStyle name="Percent 8 2 2 43" xfId="22441" xr:uid="{00000000-0005-0000-0000-000029590000}"/>
    <cellStyle name="Percent 8 2 2 44" xfId="22442" xr:uid="{00000000-0005-0000-0000-00002A590000}"/>
    <cellStyle name="Percent 8 2 2 45" xfId="22443" xr:uid="{00000000-0005-0000-0000-00002B590000}"/>
    <cellStyle name="Percent 8 2 2 46" xfId="22444" xr:uid="{00000000-0005-0000-0000-00002C590000}"/>
    <cellStyle name="Percent 8 2 2 47" xfId="22445" xr:uid="{00000000-0005-0000-0000-00002D590000}"/>
    <cellStyle name="Percent 8 2 2 48" xfId="22446" xr:uid="{00000000-0005-0000-0000-00002E590000}"/>
    <cellStyle name="Percent 8 2 2 49" xfId="22447" xr:uid="{00000000-0005-0000-0000-00002F590000}"/>
    <cellStyle name="Percent 8 2 2 5" xfId="22448" xr:uid="{00000000-0005-0000-0000-000030590000}"/>
    <cellStyle name="Percent 8 2 2 50" xfId="22449" xr:uid="{00000000-0005-0000-0000-000031590000}"/>
    <cellStyle name="Percent 8 2 2 51" xfId="22450" xr:uid="{00000000-0005-0000-0000-000032590000}"/>
    <cellStyle name="Percent 8 2 2 52" xfId="22451" xr:uid="{00000000-0005-0000-0000-000033590000}"/>
    <cellStyle name="Percent 8 2 2 53" xfId="22452" xr:uid="{00000000-0005-0000-0000-000034590000}"/>
    <cellStyle name="Percent 8 2 2 54" xfId="22453" xr:uid="{00000000-0005-0000-0000-000035590000}"/>
    <cellStyle name="Percent 8 2 2 55" xfId="22454" xr:uid="{00000000-0005-0000-0000-000036590000}"/>
    <cellStyle name="Percent 8 2 2 56" xfId="22455" xr:uid="{00000000-0005-0000-0000-000037590000}"/>
    <cellStyle name="Percent 8 2 2 57" xfId="22456" xr:uid="{00000000-0005-0000-0000-000038590000}"/>
    <cellStyle name="Percent 8 2 2 58" xfId="22457" xr:uid="{00000000-0005-0000-0000-000039590000}"/>
    <cellStyle name="Percent 8 2 2 59" xfId="22458" xr:uid="{00000000-0005-0000-0000-00003A590000}"/>
    <cellStyle name="Percent 8 2 2 6" xfId="22459" xr:uid="{00000000-0005-0000-0000-00003B590000}"/>
    <cellStyle name="Percent 8 2 2 60" xfId="22460" xr:uid="{00000000-0005-0000-0000-00003C590000}"/>
    <cellStyle name="Percent 8 2 2 61" xfId="22461" xr:uid="{00000000-0005-0000-0000-00003D590000}"/>
    <cellStyle name="Percent 8 2 2 62" xfId="22462" xr:uid="{00000000-0005-0000-0000-00003E590000}"/>
    <cellStyle name="Percent 8 2 2 63" xfId="22463" xr:uid="{00000000-0005-0000-0000-00003F590000}"/>
    <cellStyle name="Percent 8 2 2 64" xfId="22464" xr:uid="{00000000-0005-0000-0000-000040590000}"/>
    <cellStyle name="Percent 8 2 2 65" xfId="22465" xr:uid="{00000000-0005-0000-0000-000041590000}"/>
    <cellStyle name="Percent 8 2 2 66" xfId="22466" xr:uid="{00000000-0005-0000-0000-000042590000}"/>
    <cellStyle name="Percent 8 2 2 67" xfId="22467" xr:uid="{00000000-0005-0000-0000-000043590000}"/>
    <cellStyle name="Percent 8 2 2 68" xfId="22468" xr:uid="{00000000-0005-0000-0000-000044590000}"/>
    <cellStyle name="Percent 8 2 2 69" xfId="22469" xr:uid="{00000000-0005-0000-0000-000045590000}"/>
    <cellStyle name="Percent 8 2 2 7" xfId="22470" xr:uid="{00000000-0005-0000-0000-000046590000}"/>
    <cellStyle name="Percent 8 2 2 70" xfId="22471" xr:uid="{00000000-0005-0000-0000-000047590000}"/>
    <cellStyle name="Percent 8 2 2 8" xfId="22472" xr:uid="{00000000-0005-0000-0000-000048590000}"/>
    <cellStyle name="Percent 8 2 2 9" xfId="22473" xr:uid="{00000000-0005-0000-0000-000049590000}"/>
    <cellStyle name="Percent 8 2 3" xfId="22474" xr:uid="{00000000-0005-0000-0000-00004A590000}"/>
    <cellStyle name="Percent 8 2 3 10" xfId="22475" xr:uid="{00000000-0005-0000-0000-00004B590000}"/>
    <cellStyle name="Percent 8 2 3 11" xfId="22476" xr:uid="{00000000-0005-0000-0000-00004C590000}"/>
    <cellStyle name="Percent 8 2 3 12" xfId="22477" xr:uid="{00000000-0005-0000-0000-00004D590000}"/>
    <cellStyle name="Percent 8 2 3 13" xfId="22478" xr:uid="{00000000-0005-0000-0000-00004E590000}"/>
    <cellStyle name="Percent 8 2 3 14" xfId="22479" xr:uid="{00000000-0005-0000-0000-00004F590000}"/>
    <cellStyle name="Percent 8 2 3 15" xfId="22480" xr:uid="{00000000-0005-0000-0000-000050590000}"/>
    <cellStyle name="Percent 8 2 3 16" xfId="22481" xr:uid="{00000000-0005-0000-0000-000051590000}"/>
    <cellStyle name="Percent 8 2 3 17" xfId="22482" xr:uid="{00000000-0005-0000-0000-000052590000}"/>
    <cellStyle name="Percent 8 2 3 18" xfId="22483" xr:uid="{00000000-0005-0000-0000-000053590000}"/>
    <cellStyle name="Percent 8 2 3 19" xfId="22484" xr:uid="{00000000-0005-0000-0000-000054590000}"/>
    <cellStyle name="Percent 8 2 3 2" xfId="22485" xr:uid="{00000000-0005-0000-0000-000055590000}"/>
    <cellStyle name="Percent 8 2 3 2 10" xfId="22486" xr:uid="{00000000-0005-0000-0000-000056590000}"/>
    <cellStyle name="Percent 8 2 3 2 11" xfId="22487" xr:uid="{00000000-0005-0000-0000-000057590000}"/>
    <cellStyle name="Percent 8 2 3 2 12" xfId="22488" xr:uid="{00000000-0005-0000-0000-000058590000}"/>
    <cellStyle name="Percent 8 2 3 2 13" xfId="22489" xr:uid="{00000000-0005-0000-0000-000059590000}"/>
    <cellStyle name="Percent 8 2 3 2 2" xfId="22490" xr:uid="{00000000-0005-0000-0000-00005A590000}"/>
    <cellStyle name="Percent 8 2 3 2 3" xfId="22491" xr:uid="{00000000-0005-0000-0000-00005B590000}"/>
    <cellStyle name="Percent 8 2 3 2 4" xfId="22492" xr:uid="{00000000-0005-0000-0000-00005C590000}"/>
    <cellStyle name="Percent 8 2 3 2 5" xfId="22493" xr:uid="{00000000-0005-0000-0000-00005D590000}"/>
    <cellStyle name="Percent 8 2 3 2 6" xfId="22494" xr:uid="{00000000-0005-0000-0000-00005E590000}"/>
    <cellStyle name="Percent 8 2 3 2 7" xfId="22495" xr:uid="{00000000-0005-0000-0000-00005F590000}"/>
    <cellStyle name="Percent 8 2 3 2 8" xfId="22496" xr:uid="{00000000-0005-0000-0000-000060590000}"/>
    <cellStyle name="Percent 8 2 3 2 9" xfId="22497" xr:uid="{00000000-0005-0000-0000-000061590000}"/>
    <cellStyle name="Percent 8 2 3 20" xfId="22498" xr:uid="{00000000-0005-0000-0000-000062590000}"/>
    <cellStyle name="Percent 8 2 3 21" xfId="22499" xr:uid="{00000000-0005-0000-0000-000063590000}"/>
    <cellStyle name="Percent 8 2 3 22" xfId="22500" xr:uid="{00000000-0005-0000-0000-000064590000}"/>
    <cellStyle name="Percent 8 2 3 23" xfId="22501" xr:uid="{00000000-0005-0000-0000-000065590000}"/>
    <cellStyle name="Percent 8 2 3 24" xfId="22502" xr:uid="{00000000-0005-0000-0000-000066590000}"/>
    <cellStyle name="Percent 8 2 3 25" xfId="22503" xr:uid="{00000000-0005-0000-0000-000067590000}"/>
    <cellStyle name="Percent 8 2 3 26" xfId="22504" xr:uid="{00000000-0005-0000-0000-000068590000}"/>
    <cellStyle name="Percent 8 2 3 27" xfId="22505" xr:uid="{00000000-0005-0000-0000-000069590000}"/>
    <cellStyle name="Percent 8 2 3 28" xfId="22506" xr:uid="{00000000-0005-0000-0000-00006A590000}"/>
    <cellStyle name="Percent 8 2 3 29" xfId="22507" xr:uid="{00000000-0005-0000-0000-00006B590000}"/>
    <cellStyle name="Percent 8 2 3 3" xfId="22508" xr:uid="{00000000-0005-0000-0000-00006C590000}"/>
    <cellStyle name="Percent 8 2 3 30" xfId="22509" xr:uid="{00000000-0005-0000-0000-00006D590000}"/>
    <cellStyle name="Percent 8 2 3 31" xfId="22510" xr:uid="{00000000-0005-0000-0000-00006E590000}"/>
    <cellStyle name="Percent 8 2 3 32" xfId="22511" xr:uid="{00000000-0005-0000-0000-00006F590000}"/>
    <cellStyle name="Percent 8 2 3 33" xfId="22512" xr:uid="{00000000-0005-0000-0000-000070590000}"/>
    <cellStyle name="Percent 8 2 3 34" xfId="22513" xr:uid="{00000000-0005-0000-0000-000071590000}"/>
    <cellStyle name="Percent 8 2 3 35" xfId="22514" xr:uid="{00000000-0005-0000-0000-000072590000}"/>
    <cellStyle name="Percent 8 2 3 36" xfId="22515" xr:uid="{00000000-0005-0000-0000-000073590000}"/>
    <cellStyle name="Percent 8 2 3 37" xfId="22516" xr:uid="{00000000-0005-0000-0000-000074590000}"/>
    <cellStyle name="Percent 8 2 3 38" xfId="22517" xr:uid="{00000000-0005-0000-0000-000075590000}"/>
    <cellStyle name="Percent 8 2 3 39" xfId="22518" xr:uid="{00000000-0005-0000-0000-000076590000}"/>
    <cellStyle name="Percent 8 2 3 4" xfId="22519" xr:uid="{00000000-0005-0000-0000-000077590000}"/>
    <cellStyle name="Percent 8 2 3 40" xfId="22520" xr:uid="{00000000-0005-0000-0000-000078590000}"/>
    <cellStyle name="Percent 8 2 3 41" xfId="22521" xr:uid="{00000000-0005-0000-0000-000079590000}"/>
    <cellStyle name="Percent 8 2 3 42" xfId="22522" xr:uid="{00000000-0005-0000-0000-00007A590000}"/>
    <cellStyle name="Percent 8 2 3 43" xfId="22523" xr:uid="{00000000-0005-0000-0000-00007B590000}"/>
    <cellStyle name="Percent 8 2 3 44" xfId="22524" xr:uid="{00000000-0005-0000-0000-00007C590000}"/>
    <cellStyle name="Percent 8 2 3 45" xfId="22525" xr:uid="{00000000-0005-0000-0000-00007D590000}"/>
    <cellStyle name="Percent 8 2 3 46" xfId="22526" xr:uid="{00000000-0005-0000-0000-00007E590000}"/>
    <cellStyle name="Percent 8 2 3 47" xfId="22527" xr:uid="{00000000-0005-0000-0000-00007F590000}"/>
    <cellStyle name="Percent 8 2 3 48" xfId="22528" xr:uid="{00000000-0005-0000-0000-000080590000}"/>
    <cellStyle name="Percent 8 2 3 49" xfId="22529" xr:uid="{00000000-0005-0000-0000-000081590000}"/>
    <cellStyle name="Percent 8 2 3 5" xfId="22530" xr:uid="{00000000-0005-0000-0000-000082590000}"/>
    <cellStyle name="Percent 8 2 3 50" xfId="22531" xr:uid="{00000000-0005-0000-0000-000083590000}"/>
    <cellStyle name="Percent 8 2 3 51" xfId="22532" xr:uid="{00000000-0005-0000-0000-000084590000}"/>
    <cellStyle name="Percent 8 2 3 52" xfId="22533" xr:uid="{00000000-0005-0000-0000-000085590000}"/>
    <cellStyle name="Percent 8 2 3 53" xfId="22534" xr:uid="{00000000-0005-0000-0000-000086590000}"/>
    <cellStyle name="Percent 8 2 3 54" xfId="22535" xr:uid="{00000000-0005-0000-0000-000087590000}"/>
    <cellStyle name="Percent 8 2 3 55" xfId="22536" xr:uid="{00000000-0005-0000-0000-000088590000}"/>
    <cellStyle name="Percent 8 2 3 56" xfId="22537" xr:uid="{00000000-0005-0000-0000-000089590000}"/>
    <cellStyle name="Percent 8 2 3 57" xfId="22538" xr:uid="{00000000-0005-0000-0000-00008A590000}"/>
    <cellStyle name="Percent 8 2 3 58" xfId="22539" xr:uid="{00000000-0005-0000-0000-00008B590000}"/>
    <cellStyle name="Percent 8 2 3 59" xfId="22540" xr:uid="{00000000-0005-0000-0000-00008C590000}"/>
    <cellStyle name="Percent 8 2 3 6" xfId="22541" xr:uid="{00000000-0005-0000-0000-00008D590000}"/>
    <cellStyle name="Percent 8 2 3 60" xfId="22542" xr:uid="{00000000-0005-0000-0000-00008E590000}"/>
    <cellStyle name="Percent 8 2 3 61" xfId="22543" xr:uid="{00000000-0005-0000-0000-00008F590000}"/>
    <cellStyle name="Percent 8 2 3 62" xfId="22544" xr:uid="{00000000-0005-0000-0000-000090590000}"/>
    <cellStyle name="Percent 8 2 3 63" xfId="22545" xr:uid="{00000000-0005-0000-0000-000091590000}"/>
    <cellStyle name="Percent 8 2 3 64" xfId="22546" xr:uid="{00000000-0005-0000-0000-000092590000}"/>
    <cellStyle name="Percent 8 2 3 65" xfId="22547" xr:uid="{00000000-0005-0000-0000-000093590000}"/>
    <cellStyle name="Percent 8 2 3 66" xfId="22548" xr:uid="{00000000-0005-0000-0000-000094590000}"/>
    <cellStyle name="Percent 8 2 3 67" xfId="22549" xr:uid="{00000000-0005-0000-0000-000095590000}"/>
    <cellStyle name="Percent 8 2 3 68" xfId="22550" xr:uid="{00000000-0005-0000-0000-000096590000}"/>
    <cellStyle name="Percent 8 2 3 69" xfId="22551" xr:uid="{00000000-0005-0000-0000-000097590000}"/>
    <cellStyle name="Percent 8 2 3 7" xfId="22552" xr:uid="{00000000-0005-0000-0000-000098590000}"/>
    <cellStyle name="Percent 8 2 3 8" xfId="22553" xr:uid="{00000000-0005-0000-0000-000099590000}"/>
    <cellStyle name="Percent 8 2 3 9" xfId="22554" xr:uid="{00000000-0005-0000-0000-00009A590000}"/>
    <cellStyle name="Percent 8 20" xfId="22555" xr:uid="{00000000-0005-0000-0000-00009B590000}"/>
    <cellStyle name="Percent 8 20 10" xfId="22556" xr:uid="{00000000-0005-0000-0000-00009C590000}"/>
    <cellStyle name="Percent 8 20 11" xfId="22557" xr:uid="{00000000-0005-0000-0000-00009D590000}"/>
    <cellStyle name="Percent 8 20 12" xfId="22558" xr:uid="{00000000-0005-0000-0000-00009E590000}"/>
    <cellStyle name="Percent 8 20 13" xfId="22559" xr:uid="{00000000-0005-0000-0000-00009F590000}"/>
    <cellStyle name="Percent 8 20 14" xfId="22560" xr:uid="{00000000-0005-0000-0000-0000A0590000}"/>
    <cellStyle name="Percent 8 20 15" xfId="22561" xr:uid="{00000000-0005-0000-0000-0000A1590000}"/>
    <cellStyle name="Percent 8 20 16" xfId="22562" xr:uid="{00000000-0005-0000-0000-0000A2590000}"/>
    <cellStyle name="Percent 8 20 17" xfId="22563" xr:uid="{00000000-0005-0000-0000-0000A3590000}"/>
    <cellStyle name="Percent 8 20 2" xfId="22564" xr:uid="{00000000-0005-0000-0000-0000A4590000}"/>
    <cellStyle name="Percent 8 20 3" xfId="22565" xr:uid="{00000000-0005-0000-0000-0000A5590000}"/>
    <cellStyle name="Percent 8 20 4" xfId="22566" xr:uid="{00000000-0005-0000-0000-0000A6590000}"/>
    <cellStyle name="Percent 8 20 5" xfId="22567" xr:uid="{00000000-0005-0000-0000-0000A7590000}"/>
    <cellStyle name="Percent 8 20 6" xfId="22568" xr:uid="{00000000-0005-0000-0000-0000A8590000}"/>
    <cellStyle name="Percent 8 20 7" xfId="22569" xr:uid="{00000000-0005-0000-0000-0000A9590000}"/>
    <cellStyle name="Percent 8 20 8" xfId="22570" xr:uid="{00000000-0005-0000-0000-0000AA590000}"/>
    <cellStyle name="Percent 8 20 9" xfId="22571" xr:uid="{00000000-0005-0000-0000-0000AB590000}"/>
    <cellStyle name="Percent 8 21" xfId="22572" xr:uid="{00000000-0005-0000-0000-0000AC590000}"/>
    <cellStyle name="Percent 8 21 10" xfId="22573" xr:uid="{00000000-0005-0000-0000-0000AD590000}"/>
    <cellStyle name="Percent 8 21 11" xfId="22574" xr:uid="{00000000-0005-0000-0000-0000AE590000}"/>
    <cellStyle name="Percent 8 21 12" xfId="22575" xr:uid="{00000000-0005-0000-0000-0000AF590000}"/>
    <cellStyle name="Percent 8 21 13" xfId="22576" xr:uid="{00000000-0005-0000-0000-0000B0590000}"/>
    <cellStyle name="Percent 8 21 14" xfId="22577" xr:uid="{00000000-0005-0000-0000-0000B1590000}"/>
    <cellStyle name="Percent 8 21 15" xfId="22578" xr:uid="{00000000-0005-0000-0000-0000B2590000}"/>
    <cellStyle name="Percent 8 21 16" xfId="22579" xr:uid="{00000000-0005-0000-0000-0000B3590000}"/>
    <cellStyle name="Percent 8 21 17" xfId="22580" xr:uid="{00000000-0005-0000-0000-0000B4590000}"/>
    <cellStyle name="Percent 8 21 2" xfId="22581" xr:uid="{00000000-0005-0000-0000-0000B5590000}"/>
    <cellStyle name="Percent 8 21 3" xfId="22582" xr:uid="{00000000-0005-0000-0000-0000B6590000}"/>
    <cellStyle name="Percent 8 21 4" xfId="22583" xr:uid="{00000000-0005-0000-0000-0000B7590000}"/>
    <cellStyle name="Percent 8 21 5" xfId="22584" xr:uid="{00000000-0005-0000-0000-0000B8590000}"/>
    <cellStyle name="Percent 8 21 6" xfId="22585" xr:uid="{00000000-0005-0000-0000-0000B9590000}"/>
    <cellStyle name="Percent 8 21 7" xfId="22586" xr:uid="{00000000-0005-0000-0000-0000BA590000}"/>
    <cellStyle name="Percent 8 21 8" xfId="22587" xr:uid="{00000000-0005-0000-0000-0000BB590000}"/>
    <cellStyle name="Percent 8 21 9" xfId="22588" xr:uid="{00000000-0005-0000-0000-0000BC590000}"/>
    <cellStyle name="Percent 8 22" xfId="22589" xr:uid="{00000000-0005-0000-0000-0000BD590000}"/>
    <cellStyle name="Percent 8 22 10" xfId="22590" xr:uid="{00000000-0005-0000-0000-0000BE590000}"/>
    <cellStyle name="Percent 8 22 11" xfId="22591" xr:uid="{00000000-0005-0000-0000-0000BF590000}"/>
    <cellStyle name="Percent 8 22 12" xfId="22592" xr:uid="{00000000-0005-0000-0000-0000C0590000}"/>
    <cellStyle name="Percent 8 22 13" xfId="22593" xr:uid="{00000000-0005-0000-0000-0000C1590000}"/>
    <cellStyle name="Percent 8 22 14" xfId="22594" xr:uid="{00000000-0005-0000-0000-0000C2590000}"/>
    <cellStyle name="Percent 8 22 15" xfId="22595" xr:uid="{00000000-0005-0000-0000-0000C3590000}"/>
    <cellStyle name="Percent 8 22 16" xfId="22596" xr:uid="{00000000-0005-0000-0000-0000C4590000}"/>
    <cellStyle name="Percent 8 22 17" xfId="22597" xr:uid="{00000000-0005-0000-0000-0000C5590000}"/>
    <cellStyle name="Percent 8 22 2" xfId="22598" xr:uid="{00000000-0005-0000-0000-0000C6590000}"/>
    <cellStyle name="Percent 8 22 3" xfId="22599" xr:uid="{00000000-0005-0000-0000-0000C7590000}"/>
    <cellStyle name="Percent 8 22 4" xfId="22600" xr:uid="{00000000-0005-0000-0000-0000C8590000}"/>
    <cellStyle name="Percent 8 22 5" xfId="22601" xr:uid="{00000000-0005-0000-0000-0000C9590000}"/>
    <cellStyle name="Percent 8 22 6" xfId="22602" xr:uid="{00000000-0005-0000-0000-0000CA590000}"/>
    <cellStyle name="Percent 8 22 7" xfId="22603" xr:uid="{00000000-0005-0000-0000-0000CB590000}"/>
    <cellStyle name="Percent 8 22 8" xfId="22604" xr:uid="{00000000-0005-0000-0000-0000CC590000}"/>
    <cellStyle name="Percent 8 22 9" xfId="22605" xr:uid="{00000000-0005-0000-0000-0000CD590000}"/>
    <cellStyle name="Percent 8 23" xfId="22606" xr:uid="{00000000-0005-0000-0000-0000CE590000}"/>
    <cellStyle name="Percent 8 23 10" xfId="22607" xr:uid="{00000000-0005-0000-0000-0000CF590000}"/>
    <cellStyle name="Percent 8 23 11" xfId="22608" xr:uid="{00000000-0005-0000-0000-0000D0590000}"/>
    <cellStyle name="Percent 8 23 12" xfId="22609" xr:uid="{00000000-0005-0000-0000-0000D1590000}"/>
    <cellStyle name="Percent 8 23 13" xfId="22610" xr:uid="{00000000-0005-0000-0000-0000D2590000}"/>
    <cellStyle name="Percent 8 23 14" xfId="22611" xr:uid="{00000000-0005-0000-0000-0000D3590000}"/>
    <cellStyle name="Percent 8 23 15" xfId="22612" xr:uid="{00000000-0005-0000-0000-0000D4590000}"/>
    <cellStyle name="Percent 8 23 16" xfId="22613" xr:uid="{00000000-0005-0000-0000-0000D5590000}"/>
    <cellStyle name="Percent 8 23 17" xfId="22614" xr:uid="{00000000-0005-0000-0000-0000D6590000}"/>
    <cellStyle name="Percent 8 23 2" xfId="22615" xr:uid="{00000000-0005-0000-0000-0000D7590000}"/>
    <cellStyle name="Percent 8 23 3" xfId="22616" xr:uid="{00000000-0005-0000-0000-0000D8590000}"/>
    <cellStyle name="Percent 8 23 4" xfId="22617" xr:uid="{00000000-0005-0000-0000-0000D9590000}"/>
    <cellStyle name="Percent 8 23 5" xfId="22618" xr:uid="{00000000-0005-0000-0000-0000DA590000}"/>
    <cellStyle name="Percent 8 23 6" xfId="22619" xr:uid="{00000000-0005-0000-0000-0000DB590000}"/>
    <cellStyle name="Percent 8 23 7" xfId="22620" xr:uid="{00000000-0005-0000-0000-0000DC590000}"/>
    <cellStyle name="Percent 8 23 8" xfId="22621" xr:uid="{00000000-0005-0000-0000-0000DD590000}"/>
    <cellStyle name="Percent 8 23 9" xfId="22622" xr:uid="{00000000-0005-0000-0000-0000DE590000}"/>
    <cellStyle name="Percent 8 24" xfId="22623" xr:uid="{00000000-0005-0000-0000-0000DF590000}"/>
    <cellStyle name="Percent 8 24 10" xfId="22624" xr:uid="{00000000-0005-0000-0000-0000E0590000}"/>
    <cellStyle name="Percent 8 24 11" xfId="22625" xr:uid="{00000000-0005-0000-0000-0000E1590000}"/>
    <cellStyle name="Percent 8 24 12" xfId="22626" xr:uid="{00000000-0005-0000-0000-0000E2590000}"/>
    <cellStyle name="Percent 8 24 13" xfId="22627" xr:uid="{00000000-0005-0000-0000-0000E3590000}"/>
    <cellStyle name="Percent 8 24 14" xfId="22628" xr:uid="{00000000-0005-0000-0000-0000E4590000}"/>
    <cellStyle name="Percent 8 24 15" xfId="22629" xr:uid="{00000000-0005-0000-0000-0000E5590000}"/>
    <cellStyle name="Percent 8 24 16" xfId="22630" xr:uid="{00000000-0005-0000-0000-0000E6590000}"/>
    <cellStyle name="Percent 8 24 17" xfId="22631" xr:uid="{00000000-0005-0000-0000-0000E7590000}"/>
    <cellStyle name="Percent 8 24 2" xfId="22632" xr:uid="{00000000-0005-0000-0000-0000E8590000}"/>
    <cellStyle name="Percent 8 24 3" xfId="22633" xr:uid="{00000000-0005-0000-0000-0000E9590000}"/>
    <cellStyle name="Percent 8 24 4" xfId="22634" xr:uid="{00000000-0005-0000-0000-0000EA590000}"/>
    <cellStyle name="Percent 8 24 5" xfId="22635" xr:uid="{00000000-0005-0000-0000-0000EB590000}"/>
    <cellStyle name="Percent 8 24 6" xfId="22636" xr:uid="{00000000-0005-0000-0000-0000EC590000}"/>
    <cellStyle name="Percent 8 24 7" xfId="22637" xr:uid="{00000000-0005-0000-0000-0000ED590000}"/>
    <cellStyle name="Percent 8 24 8" xfId="22638" xr:uid="{00000000-0005-0000-0000-0000EE590000}"/>
    <cellStyle name="Percent 8 24 9" xfId="22639" xr:uid="{00000000-0005-0000-0000-0000EF590000}"/>
    <cellStyle name="Percent 8 25" xfId="22640" xr:uid="{00000000-0005-0000-0000-0000F0590000}"/>
    <cellStyle name="Percent 8 25 10" xfId="22641" xr:uid="{00000000-0005-0000-0000-0000F1590000}"/>
    <cellStyle name="Percent 8 25 11" xfId="22642" xr:uid="{00000000-0005-0000-0000-0000F2590000}"/>
    <cellStyle name="Percent 8 25 12" xfId="22643" xr:uid="{00000000-0005-0000-0000-0000F3590000}"/>
    <cellStyle name="Percent 8 25 13" xfId="22644" xr:uid="{00000000-0005-0000-0000-0000F4590000}"/>
    <cellStyle name="Percent 8 25 14" xfId="22645" xr:uid="{00000000-0005-0000-0000-0000F5590000}"/>
    <cellStyle name="Percent 8 25 15" xfId="22646" xr:uid="{00000000-0005-0000-0000-0000F6590000}"/>
    <cellStyle name="Percent 8 25 16" xfId="22647" xr:uid="{00000000-0005-0000-0000-0000F7590000}"/>
    <cellStyle name="Percent 8 25 17" xfId="22648" xr:uid="{00000000-0005-0000-0000-0000F8590000}"/>
    <cellStyle name="Percent 8 25 2" xfId="22649" xr:uid="{00000000-0005-0000-0000-0000F9590000}"/>
    <cellStyle name="Percent 8 25 3" xfId="22650" xr:uid="{00000000-0005-0000-0000-0000FA590000}"/>
    <cellStyle name="Percent 8 25 4" xfId="22651" xr:uid="{00000000-0005-0000-0000-0000FB590000}"/>
    <cellStyle name="Percent 8 25 5" xfId="22652" xr:uid="{00000000-0005-0000-0000-0000FC590000}"/>
    <cellStyle name="Percent 8 25 6" xfId="22653" xr:uid="{00000000-0005-0000-0000-0000FD590000}"/>
    <cellStyle name="Percent 8 25 7" xfId="22654" xr:uid="{00000000-0005-0000-0000-0000FE590000}"/>
    <cellStyle name="Percent 8 25 8" xfId="22655" xr:uid="{00000000-0005-0000-0000-0000FF590000}"/>
    <cellStyle name="Percent 8 25 9" xfId="22656" xr:uid="{00000000-0005-0000-0000-0000005A0000}"/>
    <cellStyle name="Percent 8 26" xfId="22657" xr:uid="{00000000-0005-0000-0000-0000015A0000}"/>
    <cellStyle name="Percent 8 26 10" xfId="22658" xr:uid="{00000000-0005-0000-0000-0000025A0000}"/>
    <cellStyle name="Percent 8 26 11" xfId="22659" xr:uid="{00000000-0005-0000-0000-0000035A0000}"/>
    <cellStyle name="Percent 8 26 12" xfId="22660" xr:uid="{00000000-0005-0000-0000-0000045A0000}"/>
    <cellStyle name="Percent 8 26 13" xfId="22661" xr:uid="{00000000-0005-0000-0000-0000055A0000}"/>
    <cellStyle name="Percent 8 26 14" xfId="22662" xr:uid="{00000000-0005-0000-0000-0000065A0000}"/>
    <cellStyle name="Percent 8 26 15" xfId="22663" xr:uid="{00000000-0005-0000-0000-0000075A0000}"/>
    <cellStyle name="Percent 8 26 16" xfId="22664" xr:uid="{00000000-0005-0000-0000-0000085A0000}"/>
    <cellStyle name="Percent 8 26 17" xfId="22665" xr:uid="{00000000-0005-0000-0000-0000095A0000}"/>
    <cellStyle name="Percent 8 26 2" xfId="22666" xr:uid="{00000000-0005-0000-0000-00000A5A0000}"/>
    <cellStyle name="Percent 8 26 3" xfId="22667" xr:uid="{00000000-0005-0000-0000-00000B5A0000}"/>
    <cellStyle name="Percent 8 26 4" xfId="22668" xr:uid="{00000000-0005-0000-0000-00000C5A0000}"/>
    <cellStyle name="Percent 8 26 5" xfId="22669" xr:uid="{00000000-0005-0000-0000-00000D5A0000}"/>
    <cellStyle name="Percent 8 26 6" xfId="22670" xr:uid="{00000000-0005-0000-0000-00000E5A0000}"/>
    <cellStyle name="Percent 8 26 7" xfId="22671" xr:uid="{00000000-0005-0000-0000-00000F5A0000}"/>
    <cellStyle name="Percent 8 26 8" xfId="22672" xr:uid="{00000000-0005-0000-0000-0000105A0000}"/>
    <cellStyle name="Percent 8 26 9" xfId="22673" xr:uid="{00000000-0005-0000-0000-0000115A0000}"/>
    <cellStyle name="Percent 8 27" xfId="22674" xr:uid="{00000000-0005-0000-0000-0000125A0000}"/>
    <cellStyle name="Percent 8 27 10" xfId="22675" xr:uid="{00000000-0005-0000-0000-0000135A0000}"/>
    <cellStyle name="Percent 8 27 11" xfId="22676" xr:uid="{00000000-0005-0000-0000-0000145A0000}"/>
    <cellStyle name="Percent 8 27 12" xfId="22677" xr:uid="{00000000-0005-0000-0000-0000155A0000}"/>
    <cellStyle name="Percent 8 27 13" xfId="22678" xr:uid="{00000000-0005-0000-0000-0000165A0000}"/>
    <cellStyle name="Percent 8 27 14" xfId="22679" xr:uid="{00000000-0005-0000-0000-0000175A0000}"/>
    <cellStyle name="Percent 8 27 15" xfId="22680" xr:uid="{00000000-0005-0000-0000-0000185A0000}"/>
    <cellStyle name="Percent 8 27 16" xfId="22681" xr:uid="{00000000-0005-0000-0000-0000195A0000}"/>
    <cellStyle name="Percent 8 27 17" xfId="22682" xr:uid="{00000000-0005-0000-0000-00001A5A0000}"/>
    <cellStyle name="Percent 8 27 2" xfId="22683" xr:uid="{00000000-0005-0000-0000-00001B5A0000}"/>
    <cellStyle name="Percent 8 27 3" xfId="22684" xr:uid="{00000000-0005-0000-0000-00001C5A0000}"/>
    <cellStyle name="Percent 8 27 4" xfId="22685" xr:uid="{00000000-0005-0000-0000-00001D5A0000}"/>
    <cellStyle name="Percent 8 27 5" xfId="22686" xr:uid="{00000000-0005-0000-0000-00001E5A0000}"/>
    <cellStyle name="Percent 8 27 6" xfId="22687" xr:uid="{00000000-0005-0000-0000-00001F5A0000}"/>
    <cellStyle name="Percent 8 27 7" xfId="22688" xr:uid="{00000000-0005-0000-0000-0000205A0000}"/>
    <cellStyle name="Percent 8 27 8" xfId="22689" xr:uid="{00000000-0005-0000-0000-0000215A0000}"/>
    <cellStyle name="Percent 8 27 9" xfId="22690" xr:uid="{00000000-0005-0000-0000-0000225A0000}"/>
    <cellStyle name="Percent 8 28" xfId="22691" xr:uid="{00000000-0005-0000-0000-0000235A0000}"/>
    <cellStyle name="Percent 8 28 10" xfId="22692" xr:uid="{00000000-0005-0000-0000-0000245A0000}"/>
    <cellStyle name="Percent 8 28 11" xfId="22693" xr:uid="{00000000-0005-0000-0000-0000255A0000}"/>
    <cellStyle name="Percent 8 28 12" xfId="22694" xr:uid="{00000000-0005-0000-0000-0000265A0000}"/>
    <cellStyle name="Percent 8 28 13" xfId="22695" xr:uid="{00000000-0005-0000-0000-0000275A0000}"/>
    <cellStyle name="Percent 8 28 14" xfId="22696" xr:uid="{00000000-0005-0000-0000-0000285A0000}"/>
    <cellStyle name="Percent 8 28 15" xfId="22697" xr:uid="{00000000-0005-0000-0000-0000295A0000}"/>
    <cellStyle name="Percent 8 28 16" xfId="22698" xr:uid="{00000000-0005-0000-0000-00002A5A0000}"/>
    <cellStyle name="Percent 8 28 17" xfId="22699" xr:uid="{00000000-0005-0000-0000-00002B5A0000}"/>
    <cellStyle name="Percent 8 28 2" xfId="22700" xr:uid="{00000000-0005-0000-0000-00002C5A0000}"/>
    <cellStyle name="Percent 8 28 3" xfId="22701" xr:uid="{00000000-0005-0000-0000-00002D5A0000}"/>
    <cellStyle name="Percent 8 28 4" xfId="22702" xr:uid="{00000000-0005-0000-0000-00002E5A0000}"/>
    <cellStyle name="Percent 8 28 5" xfId="22703" xr:uid="{00000000-0005-0000-0000-00002F5A0000}"/>
    <cellStyle name="Percent 8 28 6" xfId="22704" xr:uid="{00000000-0005-0000-0000-0000305A0000}"/>
    <cellStyle name="Percent 8 28 7" xfId="22705" xr:uid="{00000000-0005-0000-0000-0000315A0000}"/>
    <cellStyle name="Percent 8 28 8" xfId="22706" xr:uid="{00000000-0005-0000-0000-0000325A0000}"/>
    <cellStyle name="Percent 8 28 9" xfId="22707" xr:uid="{00000000-0005-0000-0000-0000335A0000}"/>
    <cellStyle name="Percent 8 29" xfId="22708" xr:uid="{00000000-0005-0000-0000-0000345A0000}"/>
    <cellStyle name="Percent 8 29 10" xfId="22709" xr:uid="{00000000-0005-0000-0000-0000355A0000}"/>
    <cellStyle name="Percent 8 29 11" xfId="22710" xr:uid="{00000000-0005-0000-0000-0000365A0000}"/>
    <cellStyle name="Percent 8 29 12" xfId="22711" xr:uid="{00000000-0005-0000-0000-0000375A0000}"/>
    <cellStyle name="Percent 8 29 13" xfId="22712" xr:uid="{00000000-0005-0000-0000-0000385A0000}"/>
    <cellStyle name="Percent 8 29 14" xfId="22713" xr:uid="{00000000-0005-0000-0000-0000395A0000}"/>
    <cellStyle name="Percent 8 29 15" xfId="22714" xr:uid="{00000000-0005-0000-0000-00003A5A0000}"/>
    <cellStyle name="Percent 8 29 16" xfId="22715" xr:uid="{00000000-0005-0000-0000-00003B5A0000}"/>
    <cellStyle name="Percent 8 29 17" xfId="22716" xr:uid="{00000000-0005-0000-0000-00003C5A0000}"/>
    <cellStyle name="Percent 8 29 2" xfId="22717" xr:uid="{00000000-0005-0000-0000-00003D5A0000}"/>
    <cellStyle name="Percent 8 29 3" xfId="22718" xr:uid="{00000000-0005-0000-0000-00003E5A0000}"/>
    <cellStyle name="Percent 8 29 4" xfId="22719" xr:uid="{00000000-0005-0000-0000-00003F5A0000}"/>
    <cellStyle name="Percent 8 29 5" xfId="22720" xr:uid="{00000000-0005-0000-0000-0000405A0000}"/>
    <cellStyle name="Percent 8 29 6" xfId="22721" xr:uid="{00000000-0005-0000-0000-0000415A0000}"/>
    <cellStyle name="Percent 8 29 7" xfId="22722" xr:uid="{00000000-0005-0000-0000-0000425A0000}"/>
    <cellStyle name="Percent 8 29 8" xfId="22723" xr:uid="{00000000-0005-0000-0000-0000435A0000}"/>
    <cellStyle name="Percent 8 29 9" xfId="22724" xr:uid="{00000000-0005-0000-0000-0000445A0000}"/>
    <cellStyle name="Percent 8 3" xfId="22725" xr:uid="{00000000-0005-0000-0000-0000455A0000}"/>
    <cellStyle name="Percent 8 3 10" xfId="22726" xr:uid="{00000000-0005-0000-0000-0000465A0000}"/>
    <cellStyle name="Percent 8 3 11" xfId="22727" xr:uid="{00000000-0005-0000-0000-0000475A0000}"/>
    <cellStyle name="Percent 8 3 12" xfId="22728" xr:uid="{00000000-0005-0000-0000-0000485A0000}"/>
    <cellStyle name="Percent 8 3 13" xfId="22729" xr:uid="{00000000-0005-0000-0000-0000495A0000}"/>
    <cellStyle name="Percent 8 3 14" xfId="22730" xr:uid="{00000000-0005-0000-0000-00004A5A0000}"/>
    <cellStyle name="Percent 8 3 15" xfId="22731" xr:uid="{00000000-0005-0000-0000-00004B5A0000}"/>
    <cellStyle name="Percent 8 3 16" xfId="22732" xr:uid="{00000000-0005-0000-0000-00004C5A0000}"/>
    <cellStyle name="Percent 8 3 17" xfId="22733" xr:uid="{00000000-0005-0000-0000-00004D5A0000}"/>
    <cellStyle name="Percent 8 3 18" xfId="22734" xr:uid="{00000000-0005-0000-0000-00004E5A0000}"/>
    <cellStyle name="Percent 8 3 2" xfId="22735" xr:uid="{00000000-0005-0000-0000-00004F5A0000}"/>
    <cellStyle name="Percent 8 3 2 10" xfId="22736" xr:uid="{00000000-0005-0000-0000-0000505A0000}"/>
    <cellStyle name="Percent 8 3 2 11" xfId="22737" xr:uid="{00000000-0005-0000-0000-0000515A0000}"/>
    <cellStyle name="Percent 8 3 2 12" xfId="22738" xr:uid="{00000000-0005-0000-0000-0000525A0000}"/>
    <cellStyle name="Percent 8 3 2 13" xfId="22739" xr:uid="{00000000-0005-0000-0000-0000535A0000}"/>
    <cellStyle name="Percent 8 3 2 14" xfId="22740" xr:uid="{00000000-0005-0000-0000-0000545A0000}"/>
    <cellStyle name="Percent 8 3 2 15" xfId="22741" xr:uid="{00000000-0005-0000-0000-0000555A0000}"/>
    <cellStyle name="Percent 8 3 2 16" xfId="22742" xr:uid="{00000000-0005-0000-0000-0000565A0000}"/>
    <cellStyle name="Percent 8 3 2 17" xfId="22743" xr:uid="{00000000-0005-0000-0000-0000575A0000}"/>
    <cellStyle name="Percent 8 3 2 18" xfId="22744" xr:uid="{00000000-0005-0000-0000-0000585A0000}"/>
    <cellStyle name="Percent 8 3 2 19" xfId="22745" xr:uid="{00000000-0005-0000-0000-0000595A0000}"/>
    <cellStyle name="Percent 8 3 2 2" xfId="22746" xr:uid="{00000000-0005-0000-0000-00005A5A0000}"/>
    <cellStyle name="Percent 8 3 2 2 10" xfId="22747" xr:uid="{00000000-0005-0000-0000-00005B5A0000}"/>
    <cellStyle name="Percent 8 3 2 2 11" xfId="22748" xr:uid="{00000000-0005-0000-0000-00005C5A0000}"/>
    <cellStyle name="Percent 8 3 2 2 12" xfId="22749" xr:uid="{00000000-0005-0000-0000-00005D5A0000}"/>
    <cellStyle name="Percent 8 3 2 2 13" xfId="22750" xr:uid="{00000000-0005-0000-0000-00005E5A0000}"/>
    <cellStyle name="Percent 8 3 2 2 2" xfId="22751" xr:uid="{00000000-0005-0000-0000-00005F5A0000}"/>
    <cellStyle name="Percent 8 3 2 2 3" xfId="22752" xr:uid="{00000000-0005-0000-0000-0000605A0000}"/>
    <cellStyle name="Percent 8 3 2 2 4" xfId="22753" xr:uid="{00000000-0005-0000-0000-0000615A0000}"/>
    <cellStyle name="Percent 8 3 2 2 5" xfId="22754" xr:uid="{00000000-0005-0000-0000-0000625A0000}"/>
    <cellStyle name="Percent 8 3 2 2 6" xfId="22755" xr:uid="{00000000-0005-0000-0000-0000635A0000}"/>
    <cellStyle name="Percent 8 3 2 2 7" xfId="22756" xr:uid="{00000000-0005-0000-0000-0000645A0000}"/>
    <cellStyle name="Percent 8 3 2 2 8" xfId="22757" xr:uid="{00000000-0005-0000-0000-0000655A0000}"/>
    <cellStyle name="Percent 8 3 2 2 9" xfId="22758" xr:uid="{00000000-0005-0000-0000-0000665A0000}"/>
    <cellStyle name="Percent 8 3 2 20" xfId="22759" xr:uid="{00000000-0005-0000-0000-0000675A0000}"/>
    <cellStyle name="Percent 8 3 2 21" xfId="22760" xr:uid="{00000000-0005-0000-0000-0000685A0000}"/>
    <cellStyle name="Percent 8 3 2 22" xfId="22761" xr:uid="{00000000-0005-0000-0000-0000695A0000}"/>
    <cellStyle name="Percent 8 3 2 23" xfId="22762" xr:uid="{00000000-0005-0000-0000-00006A5A0000}"/>
    <cellStyle name="Percent 8 3 2 24" xfId="22763" xr:uid="{00000000-0005-0000-0000-00006B5A0000}"/>
    <cellStyle name="Percent 8 3 2 25" xfId="22764" xr:uid="{00000000-0005-0000-0000-00006C5A0000}"/>
    <cellStyle name="Percent 8 3 2 26" xfId="22765" xr:uid="{00000000-0005-0000-0000-00006D5A0000}"/>
    <cellStyle name="Percent 8 3 2 27" xfId="22766" xr:uid="{00000000-0005-0000-0000-00006E5A0000}"/>
    <cellStyle name="Percent 8 3 2 28" xfId="22767" xr:uid="{00000000-0005-0000-0000-00006F5A0000}"/>
    <cellStyle name="Percent 8 3 2 29" xfId="22768" xr:uid="{00000000-0005-0000-0000-0000705A0000}"/>
    <cellStyle name="Percent 8 3 2 3" xfId="22769" xr:uid="{00000000-0005-0000-0000-0000715A0000}"/>
    <cellStyle name="Percent 8 3 2 30" xfId="22770" xr:uid="{00000000-0005-0000-0000-0000725A0000}"/>
    <cellStyle name="Percent 8 3 2 31" xfId="22771" xr:uid="{00000000-0005-0000-0000-0000735A0000}"/>
    <cellStyle name="Percent 8 3 2 32" xfId="22772" xr:uid="{00000000-0005-0000-0000-0000745A0000}"/>
    <cellStyle name="Percent 8 3 2 33" xfId="22773" xr:uid="{00000000-0005-0000-0000-0000755A0000}"/>
    <cellStyle name="Percent 8 3 2 34" xfId="22774" xr:uid="{00000000-0005-0000-0000-0000765A0000}"/>
    <cellStyle name="Percent 8 3 2 35" xfId="22775" xr:uid="{00000000-0005-0000-0000-0000775A0000}"/>
    <cellStyle name="Percent 8 3 2 36" xfId="22776" xr:uid="{00000000-0005-0000-0000-0000785A0000}"/>
    <cellStyle name="Percent 8 3 2 37" xfId="22777" xr:uid="{00000000-0005-0000-0000-0000795A0000}"/>
    <cellStyle name="Percent 8 3 2 38" xfId="22778" xr:uid="{00000000-0005-0000-0000-00007A5A0000}"/>
    <cellStyle name="Percent 8 3 2 39" xfId="22779" xr:uid="{00000000-0005-0000-0000-00007B5A0000}"/>
    <cellStyle name="Percent 8 3 2 4" xfId="22780" xr:uid="{00000000-0005-0000-0000-00007C5A0000}"/>
    <cellStyle name="Percent 8 3 2 40" xfId="22781" xr:uid="{00000000-0005-0000-0000-00007D5A0000}"/>
    <cellStyle name="Percent 8 3 2 41" xfId="22782" xr:uid="{00000000-0005-0000-0000-00007E5A0000}"/>
    <cellStyle name="Percent 8 3 2 42" xfId="22783" xr:uid="{00000000-0005-0000-0000-00007F5A0000}"/>
    <cellStyle name="Percent 8 3 2 43" xfId="22784" xr:uid="{00000000-0005-0000-0000-0000805A0000}"/>
    <cellStyle name="Percent 8 3 2 44" xfId="22785" xr:uid="{00000000-0005-0000-0000-0000815A0000}"/>
    <cellStyle name="Percent 8 3 2 45" xfId="22786" xr:uid="{00000000-0005-0000-0000-0000825A0000}"/>
    <cellStyle name="Percent 8 3 2 46" xfId="22787" xr:uid="{00000000-0005-0000-0000-0000835A0000}"/>
    <cellStyle name="Percent 8 3 2 47" xfId="22788" xr:uid="{00000000-0005-0000-0000-0000845A0000}"/>
    <cellStyle name="Percent 8 3 2 48" xfId="22789" xr:uid="{00000000-0005-0000-0000-0000855A0000}"/>
    <cellStyle name="Percent 8 3 2 49" xfId="22790" xr:uid="{00000000-0005-0000-0000-0000865A0000}"/>
    <cellStyle name="Percent 8 3 2 5" xfId="22791" xr:uid="{00000000-0005-0000-0000-0000875A0000}"/>
    <cellStyle name="Percent 8 3 2 50" xfId="22792" xr:uid="{00000000-0005-0000-0000-0000885A0000}"/>
    <cellStyle name="Percent 8 3 2 51" xfId="22793" xr:uid="{00000000-0005-0000-0000-0000895A0000}"/>
    <cellStyle name="Percent 8 3 2 52" xfId="22794" xr:uid="{00000000-0005-0000-0000-00008A5A0000}"/>
    <cellStyle name="Percent 8 3 2 53" xfId="22795" xr:uid="{00000000-0005-0000-0000-00008B5A0000}"/>
    <cellStyle name="Percent 8 3 2 54" xfId="22796" xr:uid="{00000000-0005-0000-0000-00008C5A0000}"/>
    <cellStyle name="Percent 8 3 2 55" xfId="22797" xr:uid="{00000000-0005-0000-0000-00008D5A0000}"/>
    <cellStyle name="Percent 8 3 2 56" xfId="22798" xr:uid="{00000000-0005-0000-0000-00008E5A0000}"/>
    <cellStyle name="Percent 8 3 2 57" xfId="22799" xr:uid="{00000000-0005-0000-0000-00008F5A0000}"/>
    <cellStyle name="Percent 8 3 2 58" xfId="22800" xr:uid="{00000000-0005-0000-0000-0000905A0000}"/>
    <cellStyle name="Percent 8 3 2 59" xfId="22801" xr:uid="{00000000-0005-0000-0000-0000915A0000}"/>
    <cellStyle name="Percent 8 3 2 6" xfId="22802" xr:uid="{00000000-0005-0000-0000-0000925A0000}"/>
    <cellStyle name="Percent 8 3 2 60" xfId="22803" xr:uid="{00000000-0005-0000-0000-0000935A0000}"/>
    <cellStyle name="Percent 8 3 2 61" xfId="22804" xr:uid="{00000000-0005-0000-0000-0000945A0000}"/>
    <cellStyle name="Percent 8 3 2 62" xfId="22805" xr:uid="{00000000-0005-0000-0000-0000955A0000}"/>
    <cellStyle name="Percent 8 3 2 63" xfId="22806" xr:uid="{00000000-0005-0000-0000-0000965A0000}"/>
    <cellStyle name="Percent 8 3 2 64" xfId="22807" xr:uid="{00000000-0005-0000-0000-0000975A0000}"/>
    <cellStyle name="Percent 8 3 2 65" xfId="22808" xr:uid="{00000000-0005-0000-0000-0000985A0000}"/>
    <cellStyle name="Percent 8 3 2 66" xfId="22809" xr:uid="{00000000-0005-0000-0000-0000995A0000}"/>
    <cellStyle name="Percent 8 3 2 67" xfId="22810" xr:uid="{00000000-0005-0000-0000-00009A5A0000}"/>
    <cellStyle name="Percent 8 3 2 68" xfId="22811" xr:uid="{00000000-0005-0000-0000-00009B5A0000}"/>
    <cellStyle name="Percent 8 3 2 69" xfId="22812" xr:uid="{00000000-0005-0000-0000-00009C5A0000}"/>
    <cellStyle name="Percent 8 3 2 7" xfId="22813" xr:uid="{00000000-0005-0000-0000-00009D5A0000}"/>
    <cellStyle name="Percent 8 3 2 8" xfId="22814" xr:uid="{00000000-0005-0000-0000-00009E5A0000}"/>
    <cellStyle name="Percent 8 3 2 9" xfId="22815" xr:uid="{00000000-0005-0000-0000-00009F5A0000}"/>
    <cellStyle name="Percent 8 3 3" xfId="22816" xr:uid="{00000000-0005-0000-0000-0000A05A0000}"/>
    <cellStyle name="Percent 8 3 3 10" xfId="22817" xr:uid="{00000000-0005-0000-0000-0000A15A0000}"/>
    <cellStyle name="Percent 8 3 3 11" xfId="22818" xr:uid="{00000000-0005-0000-0000-0000A25A0000}"/>
    <cellStyle name="Percent 8 3 3 12" xfId="22819" xr:uid="{00000000-0005-0000-0000-0000A35A0000}"/>
    <cellStyle name="Percent 8 3 3 13" xfId="22820" xr:uid="{00000000-0005-0000-0000-0000A45A0000}"/>
    <cellStyle name="Percent 8 3 3 2" xfId="22821" xr:uid="{00000000-0005-0000-0000-0000A55A0000}"/>
    <cellStyle name="Percent 8 3 3 3" xfId="22822" xr:uid="{00000000-0005-0000-0000-0000A65A0000}"/>
    <cellStyle name="Percent 8 3 3 4" xfId="22823" xr:uid="{00000000-0005-0000-0000-0000A75A0000}"/>
    <cellStyle name="Percent 8 3 3 5" xfId="22824" xr:uid="{00000000-0005-0000-0000-0000A85A0000}"/>
    <cellStyle name="Percent 8 3 3 6" xfId="22825" xr:uid="{00000000-0005-0000-0000-0000A95A0000}"/>
    <cellStyle name="Percent 8 3 3 7" xfId="22826" xr:uid="{00000000-0005-0000-0000-0000AA5A0000}"/>
    <cellStyle name="Percent 8 3 3 8" xfId="22827" xr:uid="{00000000-0005-0000-0000-0000AB5A0000}"/>
    <cellStyle name="Percent 8 3 3 9" xfId="22828" xr:uid="{00000000-0005-0000-0000-0000AC5A0000}"/>
    <cellStyle name="Percent 8 3 4" xfId="22829" xr:uid="{00000000-0005-0000-0000-0000AD5A0000}"/>
    <cellStyle name="Percent 8 3 5" xfId="22830" xr:uid="{00000000-0005-0000-0000-0000AE5A0000}"/>
    <cellStyle name="Percent 8 3 6" xfId="22831" xr:uid="{00000000-0005-0000-0000-0000AF5A0000}"/>
    <cellStyle name="Percent 8 3 7" xfId="22832" xr:uid="{00000000-0005-0000-0000-0000B05A0000}"/>
    <cellStyle name="Percent 8 3 8" xfId="22833" xr:uid="{00000000-0005-0000-0000-0000B15A0000}"/>
    <cellStyle name="Percent 8 3 9" xfId="22834" xr:uid="{00000000-0005-0000-0000-0000B25A0000}"/>
    <cellStyle name="Percent 8 30" xfId="22835" xr:uid="{00000000-0005-0000-0000-0000B35A0000}"/>
    <cellStyle name="Percent 8 30 10" xfId="22836" xr:uid="{00000000-0005-0000-0000-0000B45A0000}"/>
    <cellStyle name="Percent 8 30 11" xfId="22837" xr:uid="{00000000-0005-0000-0000-0000B55A0000}"/>
    <cellStyle name="Percent 8 30 12" xfId="22838" xr:uid="{00000000-0005-0000-0000-0000B65A0000}"/>
    <cellStyle name="Percent 8 30 13" xfId="22839" xr:uid="{00000000-0005-0000-0000-0000B75A0000}"/>
    <cellStyle name="Percent 8 30 14" xfId="22840" xr:uid="{00000000-0005-0000-0000-0000B85A0000}"/>
    <cellStyle name="Percent 8 30 15" xfId="22841" xr:uid="{00000000-0005-0000-0000-0000B95A0000}"/>
    <cellStyle name="Percent 8 30 16" xfId="22842" xr:uid="{00000000-0005-0000-0000-0000BA5A0000}"/>
    <cellStyle name="Percent 8 30 17" xfId="22843" xr:uid="{00000000-0005-0000-0000-0000BB5A0000}"/>
    <cellStyle name="Percent 8 30 2" xfId="22844" xr:uid="{00000000-0005-0000-0000-0000BC5A0000}"/>
    <cellStyle name="Percent 8 30 3" xfId="22845" xr:uid="{00000000-0005-0000-0000-0000BD5A0000}"/>
    <cellStyle name="Percent 8 30 4" xfId="22846" xr:uid="{00000000-0005-0000-0000-0000BE5A0000}"/>
    <cellStyle name="Percent 8 30 5" xfId="22847" xr:uid="{00000000-0005-0000-0000-0000BF5A0000}"/>
    <cellStyle name="Percent 8 30 6" xfId="22848" xr:uid="{00000000-0005-0000-0000-0000C05A0000}"/>
    <cellStyle name="Percent 8 30 7" xfId="22849" xr:uid="{00000000-0005-0000-0000-0000C15A0000}"/>
    <cellStyle name="Percent 8 30 8" xfId="22850" xr:uid="{00000000-0005-0000-0000-0000C25A0000}"/>
    <cellStyle name="Percent 8 30 9" xfId="22851" xr:uid="{00000000-0005-0000-0000-0000C35A0000}"/>
    <cellStyle name="Percent 8 31" xfId="22852" xr:uid="{00000000-0005-0000-0000-0000C45A0000}"/>
    <cellStyle name="Percent 8 31 10" xfId="22853" xr:uid="{00000000-0005-0000-0000-0000C55A0000}"/>
    <cellStyle name="Percent 8 31 11" xfId="22854" xr:uid="{00000000-0005-0000-0000-0000C65A0000}"/>
    <cellStyle name="Percent 8 31 12" xfId="22855" xr:uid="{00000000-0005-0000-0000-0000C75A0000}"/>
    <cellStyle name="Percent 8 31 13" xfId="22856" xr:uid="{00000000-0005-0000-0000-0000C85A0000}"/>
    <cellStyle name="Percent 8 31 14" xfId="22857" xr:uid="{00000000-0005-0000-0000-0000C95A0000}"/>
    <cellStyle name="Percent 8 31 15" xfId="22858" xr:uid="{00000000-0005-0000-0000-0000CA5A0000}"/>
    <cellStyle name="Percent 8 31 16" xfId="22859" xr:uid="{00000000-0005-0000-0000-0000CB5A0000}"/>
    <cellStyle name="Percent 8 31 17" xfId="22860" xr:uid="{00000000-0005-0000-0000-0000CC5A0000}"/>
    <cellStyle name="Percent 8 31 2" xfId="22861" xr:uid="{00000000-0005-0000-0000-0000CD5A0000}"/>
    <cellStyle name="Percent 8 31 3" xfId="22862" xr:uid="{00000000-0005-0000-0000-0000CE5A0000}"/>
    <cellStyle name="Percent 8 31 4" xfId="22863" xr:uid="{00000000-0005-0000-0000-0000CF5A0000}"/>
    <cellStyle name="Percent 8 31 5" xfId="22864" xr:uid="{00000000-0005-0000-0000-0000D05A0000}"/>
    <cellStyle name="Percent 8 31 6" xfId="22865" xr:uid="{00000000-0005-0000-0000-0000D15A0000}"/>
    <cellStyle name="Percent 8 31 7" xfId="22866" xr:uid="{00000000-0005-0000-0000-0000D25A0000}"/>
    <cellStyle name="Percent 8 31 8" xfId="22867" xr:uid="{00000000-0005-0000-0000-0000D35A0000}"/>
    <cellStyle name="Percent 8 31 9" xfId="22868" xr:uid="{00000000-0005-0000-0000-0000D45A0000}"/>
    <cellStyle name="Percent 8 32" xfId="22869" xr:uid="{00000000-0005-0000-0000-0000D55A0000}"/>
    <cellStyle name="Percent 8 32 10" xfId="22870" xr:uid="{00000000-0005-0000-0000-0000D65A0000}"/>
    <cellStyle name="Percent 8 32 11" xfId="22871" xr:uid="{00000000-0005-0000-0000-0000D75A0000}"/>
    <cellStyle name="Percent 8 32 12" xfId="22872" xr:uid="{00000000-0005-0000-0000-0000D85A0000}"/>
    <cellStyle name="Percent 8 32 13" xfId="22873" xr:uid="{00000000-0005-0000-0000-0000D95A0000}"/>
    <cellStyle name="Percent 8 32 14" xfId="22874" xr:uid="{00000000-0005-0000-0000-0000DA5A0000}"/>
    <cellStyle name="Percent 8 32 15" xfId="22875" xr:uid="{00000000-0005-0000-0000-0000DB5A0000}"/>
    <cellStyle name="Percent 8 32 16" xfId="22876" xr:uid="{00000000-0005-0000-0000-0000DC5A0000}"/>
    <cellStyle name="Percent 8 32 17" xfId="22877" xr:uid="{00000000-0005-0000-0000-0000DD5A0000}"/>
    <cellStyle name="Percent 8 32 2" xfId="22878" xr:uid="{00000000-0005-0000-0000-0000DE5A0000}"/>
    <cellStyle name="Percent 8 32 3" xfId="22879" xr:uid="{00000000-0005-0000-0000-0000DF5A0000}"/>
    <cellStyle name="Percent 8 32 4" xfId="22880" xr:uid="{00000000-0005-0000-0000-0000E05A0000}"/>
    <cellStyle name="Percent 8 32 5" xfId="22881" xr:uid="{00000000-0005-0000-0000-0000E15A0000}"/>
    <cellStyle name="Percent 8 32 6" xfId="22882" xr:uid="{00000000-0005-0000-0000-0000E25A0000}"/>
    <cellStyle name="Percent 8 32 7" xfId="22883" xr:uid="{00000000-0005-0000-0000-0000E35A0000}"/>
    <cellStyle name="Percent 8 32 8" xfId="22884" xr:uid="{00000000-0005-0000-0000-0000E45A0000}"/>
    <cellStyle name="Percent 8 32 9" xfId="22885" xr:uid="{00000000-0005-0000-0000-0000E55A0000}"/>
    <cellStyle name="Percent 8 33" xfId="22886" xr:uid="{00000000-0005-0000-0000-0000E65A0000}"/>
    <cellStyle name="Percent 8 33 10" xfId="22887" xr:uid="{00000000-0005-0000-0000-0000E75A0000}"/>
    <cellStyle name="Percent 8 33 11" xfId="22888" xr:uid="{00000000-0005-0000-0000-0000E85A0000}"/>
    <cellStyle name="Percent 8 33 12" xfId="22889" xr:uid="{00000000-0005-0000-0000-0000E95A0000}"/>
    <cellStyle name="Percent 8 33 13" xfId="22890" xr:uid="{00000000-0005-0000-0000-0000EA5A0000}"/>
    <cellStyle name="Percent 8 33 14" xfId="22891" xr:uid="{00000000-0005-0000-0000-0000EB5A0000}"/>
    <cellStyle name="Percent 8 33 15" xfId="22892" xr:uid="{00000000-0005-0000-0000-0000EC5A0000}"/>
    <cellStyle name="Percent 8 33 16" xfId="22893" xr:uid="{00000000-0005-0000-0000-0000ED5A0000}"/>
    <cellStyle name="Percent 8 33 17" xfId="22894" xr:uid="{00000000-0005-0000-0000-0000EE5A0000}"/>
    <cellStyle name="Percent 8 33 2" xfId="22895" xr:uid="{00000000-0005-0000-0000-0000EF5A0000}"/>
    <cellStyle name="Percent 8 33 3" xfId="22896" xr:uid="{00000000-0005-0000-0000-0000F05A0000}"/>
    <cellStyle name="Percent 8 33 4" xfId="22897" xr:uid="{00000000-0005-0000-0000-0000F15A0000}"/>
    <cellStyle name="Percent 8 33 5" xfId="22898" xr:uid="{00000000-0005-0000-0000-0000F25A0000}"/>
    <cellStyle name="Percent 8 33 6" xfId="22899" xr:uid="{00000000-0005-0000-0000-0000F35A0000}"/>
    <cellStyle name="Percent 8 33 7" xfId="22900" xr:uid="{00000000-0005-0000-0000-0000F45A0000}"/>
    <cellStyle name="Percent 8 33 8" xfId="22901" xr:uid="{00000000-0005-0000-0000-0000F55A0000}"/>
    <cellStyle name="Percent 8 33 9" xfId="22902" xr:uid="{00000000-0005-0000-0000-0000F65A0000}"/>
    <cellStyle name="Percent 8 34" xfId="22903" xr:uid="{00000000-0005-0000-0000-0000F75A0000}"/>
    <cellStyle name="Percent 8 34 10" xfId="22904" xr:uid="{00000000-0005-0000-0000-0000F85A0000}"/>
    <cellStyle name="Percent 8 34 11" xfId="22905" xr:uid="{00000000-0005-0000-0000-0000F95A0000}"/>
    <cellStyle name="Percent 8 34 12" xfId="22906" xr:uid="{00000000-0005-0000-0000-0000FA5A0000}"/>
    <cellStyle name="Percent 8 34 13" xfId="22907" xr:uid="{00000000-0005-0000-0000-0000FB5A0000}"/>
    <cellStyle name="Percent 8 34 14" xfId="22908" xr:uid="{00000000-0005-0000-0000-0000FC5A0000}"/>
    <cellStyle name="Percent 8 34 15" xfId="22909" xr:uid="{00000000-0005-0000-0000-0000FD5A0000}"/>
    <cellStyle name="Percent 8 34 16" xfId="22910" xr:uid="{00000000-0005-0000-0000-0000FE5A0000}"/>
    <cellStyle name="Percent 8 34 17" xfId="22911" xr:uid="{00000000-0005-0000-0000-0000FF5A0000}"/>
    <cellStyle name="Percent 8 34 2" xfId="22912" xr:uid="{00000000-0005-0000-0000-0000005B0000}"/>
    <cellStyle name="Percent 8 34 3" xfId="22913" xr:uid="{00000000-0005-0000-0000-0000015B0000}"/>
    <cellStyle name="Percent 8 34 4" xfId="22914" xr:uid="{00000000-0005-0000-0000-0000025B0000}"/>
    <cellStyle name="Percent 8 34 5" xfId="22915" xr:uid="{00000000-0005-0000-0000-0000035B0000}"/>
    <cellStyle name="Percent 8 34 6" xfId="22916" xr:uid="{00000000-0005-0000-0000-0000045B0000}"/>
    <cellStyle name="Percent 8 34 7" xfId="22917" xr:uid="{00000000-0005-0000-0000-0000055B0000}"/>
    <cellStyle name="Percent 8 34 8" xfId="22918" xr:uid="{00000000-0005-0000-0000-0000065B0000}"/>
    <cellStyle name="Percent 8 34 9" xfId="22919" xr:uid="{00000000-0005-0000-0000-0000075B0000}"/>
    <cellStyle name="Percent 8 35" xfId="22920" xr:uid="{00000000-0005-0000-0000-0000085B0000}"/>
    <cellStyle name="Percent 8 35 10" xfId="22921" xr:uid="{00000000-0005-0000-0000-0000095B0000}"/>
    <cellStyle name="Percent 8 35 11" xfId="22922" xr:uid="{00000000-0005-0000-0000-00000A5B0000}"/>
    <cellStyle name="Percent 8 35 12" xfId="22923" xr:uid="{00000000-0005-0000-0000-00000B5B0000}"/>
    <cellStyle name="Percent 8 35 13" xfId="22924" xr:uid="{00000000-0005-0000-0000-00000C5B0000}"/>
    <cellStyle name="Percent 8 35 14" xfId="22925" xr:uid="{00000000-0005-0000-0000-00000D5B0000}"/>
    <cellStyle name="Percent 8 35 15" xfId="22926" xr:uid="{00000000-0005-0000-0000-00000E5B0000}"/>
    <cellStyle name="Percent 8 35 16" xfId="22927" xr:uid="{00000000-0005-0000-0000-00000F5B0000}"/>
    <cellStyle name="Percent 8 35 17" xfId="22928" xr:uid="{00000000-0005-0000-0000-0000105B0000}"/>
    <cellStyle name="Percent 8 35 2" xfId="22929" xr:uid="{00000000-0005-0000-0000-0000115B0000}"/>
    <cellStyle name="Percent 8 35 3" xfId="22930" xr:uid="{00000000-0005-0000-0000-0000125B0000}"/>
    <cellStyle name="Percent 8 35 4" xfId="22931" xr:uid="{00000000-0005-0000-0000-0000135B0000}"/>
    <cellStyle name="Percent 8 35 5" xfId="22932" xr:uid="{00000000-0005-0000-0000-0000145B0000}"/>
    <cellStyle name="Percent 8 35 6" xfId="22933" xr:uid="{00000000-0005-0000-0000-0000155B0000}"/>
    <cellStyle name="Percent 8 35 7" xfId="22934" xr:uid="{00000000-0005-0000-0000-0000165B0000}"/>
    <cellStyle name="Percent 8 35 8" xfId="22935" xr:uid="{00000000-0005-0000-0000-0000175B0000}"/>
    <cellStyle name="Percent 8 35 9" xfId="22936" xr:uid="{00000000-0005-0000-0000-0000185B0000}"/>
    <cellStyle name="Percent 8 36" xfId="22937" xr:uid="{00000000-0005-0000-0000-0000195B0000}"/>
    <cellStyle name="Percent 8 36 10" xfId="22938" xr:uid="{00000000-0005-0000-0000-00001A5B0000}"/>
    <cellStyle name="Percent 8 36 11" xfId="22939" xr:uid="{00000000-0005-0000-0000-00001B5B0000}"/>
    <cellStyle name="Percent 8 36 12" xfId="22940" xr:uid="{00000000-0005-0000-0000-00001C5B0000}"/>
    <cellStyle name="Percent 8 36 13" xfId="22941" xr:uid="{00000000-0005-0000-0000-00001D5B0000}"/>
    <cellStyle name="Percent 8 36 14" xfId="22942" xr:uid="{00000000-0005-0000-0000-00001E5B0000}"/>
    <cellStyle name="Percent 8 36 15" xfId="22943" xr:uid="{00000000-0005-0000-0000-00001F5B0000}"/>
    <cellStyle name="Percent 8 36 16" xfId="22944" xr:uid="{00000000-0005-0000-0000-0000205B0000}"/>
    <cellStyle name="Percent 8 36 17" xfId="22945" xr:uid="{00000000-0005-0000-0000-0000215B0000}"/>
    <cellStyle name="Percent 8 36 2" xfId="22946" xr:uid="{00000000-0005-0000-0000-0000225B0000}"/>
    <cellStyle name="Percent 8 36 3" xfId="22947" xr:uid="{00000000-0005-0000-0000-0000235B0000}"/>
    <cellStyle name="Percent 8 36 4" xfId="22948" xr:uid="{00000000-0005-0000-0000-0000245B0000}"/>
    <cellStyle name="Percent 8 36 5" xfId="22949" xr:uid="{00000000-0005-0000-0000-0000255B0000}"/>
    <cellStyle name="Percent 8 36 6" xfId="22950" xr:uid="{00000000-0005-0000-0000-0000265B0000}"/>
    <cellStyle name="Percent 8 36 7" xfId="22951" xr:uid="{00000000-0005-0000-0000-0000275B0000}"/>
    <cellStyle name="Percent 8 36 8" xfId="22952" xr:uid="{00000000-0005-0000-0000-0000285B0000}"/>
    <cellStyle name="Percent 8 36 9" xfId="22953" xr:uid="{00000000-0005-0000-0000-0000295B0000}"/>
    <cellStyle name="Percent 8 37" xfId="22954" xr:uid="{00000000-0005-0000-0000-00002A5B0000}"/>
    <cellStyle name="Percent 8 37 10" xfId="22955" xr:uid="{00000000-0005-0000-0000-00002B5B0000}"/>
    <cellStyle name="Percent 8 37 11" xfId="22956" xr:uid="{00000000-0005-0000-0000-00002C5B0000}"/>
    <cellStyle name="Percent 8 37 12" xfId="22957" xr:uid="{00000000-0005-0000-0000-00002D5B0000}"/>
    <cellStyle name="Percent 8 37 13" xfId="22958" xr:uid="{00000000-0005-0000-0000-00002E5B0000}"/>
    <cellStyle name="Percent 8 37 14" xfId="22959" xr:uid="{00000000-0005-0000-0000-00002F5B0000}"/>
    <cellStyle name="Percent 8 37 15" xfId="22960" xr:uid="{00000000-0005-0000-0000-0000305B0000}"/>
    <cellStyle name="Percent 8 37 16" xfId="22961" xr:uid="{00000000-0005-0000-0000-0000315B0000}"/>
    <cellStyle name="Percent 8 37 17" xfId="22962" xr:uid="{00000000-0005-0000-0000-0000325B0000}"/>
    <cellStyle name="Percent 8 37 2" xfId="22963" xr:uid="{00000000-0005-0000-0000-0000335B0000}"/>
    <cellStyle name="Percent 8 37 3" xfId="22964" xr:uid="{00000000-0005-0000-0000-0000345B0000}"/>
    <cellStyle name="Percent 8 37 4" xfId="22965" xr:uid="{00000000-0005-0000-0000-0000355B0000}"/>
    <cellStyle name="Percent 8 37 5" xfId="22966" xr:uid="{00000000-0005-0000-0000-0000365B0000}"/>
    <cellStyle name="Percent 8 37 6" xfId="22967" xr:uid="{00000000-0005-0000-0000-0000375B0000}"/>
    <cellStyle name="Percent 8 37 7" xfId="22968" xr:uid="{00000000-0005-0000-0000-0000385B0000}"/>
    <cellStyle name="Percent 8 37 8" xfId="22969" xr:uid="{00000000-0005-0000-0000-0000395B0000}"/>
    <cellStyle name="Percent 8 37 9" xfId="22970" xr:uid="{00000000-0005-0000-0000-00003A5B0000}"/>
    <cellStyle name="Percent 8 38" xfId="22971" xr:uid="{00000000-0005-0000-0000-00003B5B0000}"/>
    <cellStyle name="Percent 8 38 10" xfId="22972" xr:uid="{00000000-0005-0000-0000-00003C5B0000}"/>
    <cellStyle name="Percent 8 38 11" xfId="22973" xr:uid="{00000000-0005-0000-0000-00003D5B0000}"/>
    <cellStyle name="Percent 8 38 12" xfId="22974" xr:uid="{00000000-0005-0000-0000-00003E5B0000}"/>
    <cellStyle name="Percent 8 38 13" xfId="22975" xr:uid="{00000000-0005-0000-0000-00003F5B0000}"/>
    <cellStyle name="Percent 8 38 14" xfId="22976" xr:uid="{00000000-0005-0000-0000-0000405B0000}"/>
    <cellStyle name="Percent 8 38 15" xfId="22977" xr:uid="{00000000-0005-0000-0000-0000415B0000}"/>
    <cellStyle name="Percent 8 38 16" xfId="22978" xr:uid="{00000000-0005-0000-0000-0000425B0000}"/>
    <cellStyle name="Percent 8 38 17" xfId="22979" xr:uid="{00000000-0005-0000-0000-0000435B0000}"/>
    <cellStyle name="Percent 8 38 2" xfId="22980" xr:uid="{00000000-0005-0000-0000-0000445B0000}"/>
    <cellStyle name="Percent 8 38 3" xfId="22981" xr:uid="{00000000-0005-0000-0000-0000455B0000}"/>
    <cellStyle name="Percent 8 38 4" xfId="22982" xr:uid="{00000000-0005-0000-0000-0000465B0000}"/>
    <cellStyle name="Percent 8 38 5" xfId="22983" xr:uid="{00000000-0005-0000-0000-0000475B0000}"/>
    <cellStyle name="Percent 8 38 6" xfId="22984" xr:uid="{00000000-0005-0000-0000-0000485B0000}"/>
    <cellStyle name="Percent 8 38 7" xfId="22985" xr:uid="{00000000-0005-0000-0000-0000495B0000}"/>
    <cellStyle name="Percent 8 38 8" xfId="22986" xr:uid="{00000000-0005-0000-0000-00004A5B0000}"/>
    <cellStyle name="Percent 8 38 9" xfId="22987" xr:uid="{00000000-0005-0000-0000-00004B5B0000}"/>
    <cellStyle name="Percent 8 39" xfId="22988" xr:uid="{00000000-0005-0000-0000-00004C5B0000}"/>
    <cellStyle name="Percent 8 39 10" xfId="22989" xr:uid="{00000000-0005-0000-0000-00004D5B0000}"/>
    <cellStyle name="Percent 8 39 11" xfId="22990" xr:uid="{00000000-0005-0000-0000-00004E5B0000}"/>
    <cellStyle name="Percent 8 39 12" xfId="22991" xr:uid="{00000000-0005-0000-0000-00004F5B0000}"/>
    <cellStyle name="Percent 8 39 13" xfId="22992" xr:uid="{00000000-0005-0000-0000-0000505B0000}"/>
    <cellStyle name="Percent 8 39 14" xfId="22993" xr:uid="{00000000-0005-0000-0000-0000515B0000}"/>
    <cellStyle name="Percent 8 39 15" xfId="22994" xr:uid="{00000000-0005-0000-0000-0000525B0000}"/>
    <cellStyle name="Percent 8 39 16" xfId="22995" xr:uid="{00000000-0005-0000-0000-0000535B0000}"/>
    <cellStyle name="Percent 8 39 17" xfId="22996" xr:uid="{00000000-0005-0000-0000-0000545B0000}"/>
    <cellStyle name="Percent 8 39 2" xfId="22997" xr:uid="{00000000-0005-0000-0000-0000555B0000}"/>
    <cellStyle name="Percent 8 39 3" xfId="22998" xr:uid="{00000000-0005-0000-0000-0000565B0000}"/>
    <cellStyle name="Percent 8 39 4" xfId="22999" xr:uid="{00000000-0005-0000-0000-0000575B0000}"/>
    <cellStyle name="Percent 8 39 5" xfId="23000" xr:uid="{00000000-0005-0000-0000-0000585B0000}"/>
    <cellStyle name="Percent 8 39 6" xfId="23001" xr:uid="{00000000-0005-0000-0000-0000595B0000}"/>
    <cellStyle name="Percent 8 39 7" xfId="23002" xr:uid="{00000000-0005-0000-0000-00005A5B0000}"/>
    <cellStyle name="Percent 8 39 8" xfId="23003" xr:uid="{00000000-0005-0000-0000-00005B5B0000}"/>
    <cellStyle name="Percent 8 39 9" xfId="23004" xr:uid="{00000000-0005-0000-0000-00005C5B0000}"/>
    <cellStyle name="Percent 8 4" xfId="23005" xr:uid="{00000000-0005-0000-0000-00005D5B0000}"/>
    <cellStyle name="Percent 8 4 10" xfId="23006" xr:uid="{00000000-0005-0000-0000-00005E5B0000}"/>
    <cellStyle name="Percent 8 4 11" xfId="23007" xr:uid="{00000000-0005-0000-0000-00005F5B0000}"/>
    <cellStyle name="Percent 8 4 12" xfId="23008" xr:uid="{00000000-0005-0000-0000-0000605B0000}"/>
    <cellStyle name="Percent 8 4 13" xfId="23009" xr:uid="{00000000-0005-0000-0000-0000615B0000}"/>
    <cellStyle name="Percent 8 4 14" xfId="23010" xr:uid="{00000000-0005-0000-0000-0000625B0000}"/>
    <cellStyle name="Percent 8 4 15" xfId="23011" xr:uid="{00000000-0005-0000-0000-0000635B0000}"/>
    <cellStyle name="Percent 8 4 16" xfId="23012" xr:uid="{00000000-0005-0000-0000-0000645B0000}"/>
    <cellStyle name="Percent 8 4 17" xfId="23013" xr:uid="{00000000-0005-0000-0000-0000655B0000}"/>
    <cellStyle name="Percent 8 4 2" xfId="23014" xr:uid="{00000000-0005-0000-0000-0000665B0000}"/>
    <cellStyle name="Percent 8 4 2 10" xfId="23015" xr:uid="{00000000-0005-0000-0000-0000675B0000}"/>
    <cellStyle name="Percent 8 4 2 11" xfId="23016" xr:uid="{00000000-0005-0000-0000-0000685B0000}"/>
    <cellStyle name="Percent 8 4 2 12" xfId="23017" xr:uid="{00000000-0005-0000-0000-0000695B0000}"/>
    <cellStyle name="Percent 8 4 2 13" xfId="23018" xr:uid="{00000000-0005-0000-0000-00006A5B0000}"/>
    <cellStyle name="Percent 8 4 2 2" xfId="23019" xr:uid="{00000000-0005-0000-0000-00006B5B0000}"/>
    <cellStyle name="Percent 8 4 2 3" xfId="23020" xr:uid="{00000000-0005-0000-0000-00006C5B0000}"/>
    <cellStyle name="Percent 8 4 2 4" xfId="23021" xr:uid="{00000000-0005-0000-0000-00006D5B0000}"/>
    <cellStyle name="Percent 8 4 2 5" xfId="23022" xr:uid="{00000000-0005-0000-0000-00006E5B0000}"/>
    <cellStyle name="Percent 8 4 2 6" xfId="23023" xr:uid="{00000000-0005-0000-0000-00006F5B0000}"/>
    <cellStyle name="Percent 8 4 2 7" xfId="23024" xr:uid="{00000000-0005-0000-0000-0000705B0000}"/>
    <cellStyle name="Percent 8 4 2 8" xfId="23025" xr:uid="{00000000-0005-0000-0000-0000715B0000}"/>
    <cellStyle name="Percent 8 4 2 9" xfId="23026" xr:uid="{00000000-0005-0000-0000-0000725B0000}"/>
    <cellStyle name="Percent 8 4 3" xfId="23027" xr:uid="{00000000-0005-0000-0000-0000735B0000}"/>
    <cellStyle name="Percent 8 4 4" xfId="23028" xr:uid="{00000000-0005-0000-0000-0000745B0000}"/>
    <cellStyle name="Percent 8 4 5" xfId="23029" xr:uid="{00000000-0005-0000-0000-0000755B0000}"/>
    <cellStyle name="Percent 8 4 6" xfId="23030" xr:uid="{00000000-0005-0000-0000-0000765B0000}"/>
    <cellStyle name="Percent 8 4 7" xfId="23031" xr:uid="{00000000-0005-0000-0000-0000775B0000}"/>
    <cellStyle name="Percent 8 4 8" xfId="23032" xr:uid="{00000000-0005-0000-0000-0000785B0000}"/>
    <cellStyle name="Percent 8 4 9" xfId="23033" xr:uid="{00000000-0005-0000-0000-0000795B0000}"/>
    <cellStyle name="Percent 8 40" xfId="23034" xr:uid="{00000000-0005-0000-0000-00007A5B0000}"/>
    <cellStyle name="Percent 8 40 10" xfId="23035" xr:uid="{00000000-0005-0000-0000-00007B5B0000}"/>
    <cellStyle name="Percent 8 40 11" xfId="23036" xr:uid="{00000000-0005-0000-0000-00007C5B0000}"/>
    <cellStyle name="Percent 8 40 12" xfId="23037" xr:uid="{00000000-0005-0000-0000-00007D5B0000}"/>
    <cellStyle name="Percent 8 40 13" xfId="23038" xr:uid="{00000000-0005-0000-0000-00007E5B0000}"/>
    <cellStyle name="Percent 8 40 14" xfId="23039" xr:uid="{00000000-0005-0000-0000-00007F5B0000}"/>
    <cellStyle name="Percent 8 40 15" xfId="23040" xr:uid="{00000000-0005-0000-0000-0000805B0000}"/>
    <cellStyle name="Percent 8 40 16" xfId="23041" xr:uid="{00000000-0005-0000-0000-0000815B0000}"/>
    <cellStyle name="Percent 8 40 17" xfId="23042" xr:uid="{00000000-0005-0000-0000-0000825B0000}"/>
    <cellStyle name="Percent 8 40 2" xfId="23043" xr:uid="{00000000-0005-0000-0000-0000835B0000}"/>
    <cellStyle name="Percent 8 40 3" xfId="23044" xr:uid="{00000000-0005-0000-0000-0000845B0000}"/>
    <cellStyle name="Percent 8 40 4" xfId="23045" xr:uid="{00000000-0005-0000-0000-0000855B0000}"/>
    <cellStyle name="Percent 8 40 5" xfId="23046" xr:uid="{00000000-0005-0000-0000-0000865B0000}"/>
    <cellStyle name="Percent 8 40 6" xfId="23047" xr:uid="{00000000-0005-0000-0000-0000875B0000}"/>
    <cellStyle name="Percent 8 40 7" xfId="23048" xr:uid="{00000000-0005-0000-0000-0000885B0000}"/>
    <cellStyle name="Percent 8 40 8" xfId="23049" xr:uid="{00000000-0005-0000-0000-0000895B0000}"/>
    <cellStyle name="Percent 8 40 9" xfId="23050" xr:uid="{00000000-0005-0000-0000-00008A5B0000}"/>
    <cellStyle name="Percent 8 41" xfId="23051" xr:uid="{00000000-0005-0000-0000-00008B5B0000}"/>
    <cellStyle name="Percent 8 41 10" xfId="23052" xr:uid="{00000000-0005-0000-0000-00008C5B0000}"/>
    <cellStyle name="Percent 8 41 11" xfId="23053" xr:uid="{00000000-0005-0000-0000-00008D5B0000}"/>
    <cellStyle name="Percent 8 41 12" xfId="23054" xr:uid="{00000000-0005-0000-0000-00008E5B0000}"/>
    <cellStyle name="Percent 8 41 13" xfId="23055" xr:uid="{00000000-0005-0000-0000-00008F5B0000}"/>
    <cellStyle name="Percent 8 41 14" xfId="23056" xr:uid="{00000000-0005-0000-0000-0000905B0000}"/>
    <cellStyle name="Percent 8 41 15" xfId="23057" xr:uid="{00000000-0005-0000-0000-0000915B0000}"/>
    <cellStyle name="Percent 8 41 16" xfId="23058" xr:uid="{00000000-0005-0000-0000-0000925B0000}"/>
    <cellStyle name="Percent 8 41 17" xfId="23059" xr:uid="{00000000-0005-0000-0000-0000935B0000}"/>
    <cellStyle name="Percent 8 41 2" xfId="23060" xr:uid="{00000000-0005-0000-0000-0000945B0000}"/>
    <cellStyle name="Percent 8 41 3" xfId="23061" xr:uid="{00000000-0005-0000-0000-0000955B0000}"/>
    <cellStyle name="Percent 8 41 4" xfId="23062" xr:uid="{00000000-0005-0000-0000-0000965B0000}"/>
    <cellStyle name="Percent 8 41 5" xfId="23063" xr:uid="{00000000-0005-0000-0000-0000975B0000}"/>
    <cellStyle name="Percent 8 41 6" xfId="23064" xr:uid="{00000000-0005-0000-0000-0000985B0000}"/>
    <cellStyle name="Percent 8 41 7" xfId="23065" xr:uid="{00000000-0005-0000-0000-0000995B0000}"/>
    <cellStyle name="Percent 8 41 8" xfId="23066" xr:uid="{00000000-0005-0000-0000-00009A5B0000}"/>
    <cellStyle name="Percent 8 41 9" xfId="23067" xr:uid="{00000000-0005-0000-0000-00009B5B0000}"/>
    <cellStyle name="Percent 8 42" xfId="23068" xr:uid="{00000000-0005-0000-0000-00009C5B0000}"/>
    <cellStyle name="Percent 8 42 10" xfId="23069" xr:uid="{00000000-0005-0000-0000-00009D5B0000}"/>
    <cellStyle name="Percent 8 42 11" xfId="23070" xr:uid="{00000000-0005-0000-0000-00009E5B0000}"/>
    <cellStyle name="Percent 8 42 12" xfId="23071" xr:uid="{00000000-0005-0000-0000-00009F5B0000}"/>
    <cellStyle name="Percent 8 42 13" xfId="23072" xr:uid="{00000000-0005-0000-0000-0000A05B0000}"/>
    <cellStyle name="Percent 8 42 14" xfId="23073" xr:uid="{00000000-0005-0000-0000-0000A15B0000}"/>
    <cellStyle name="Percent 8 42 15" xfId="23074" xr:uid="{00000000-0005-0000-0000-0000A25B0000}"/>
    <cellStyle name="Percent 8 42 16" xfId="23075" xr:uid="{00000000-0005-0000-0000-0000A35B0000}"/>
    <cellStyle name="Percent 8 42 17" xfId="23076" xr:uid="{00000000-0005-0000-0000-0000A45B0000}"/>
    <cellStyle name="Percent 8 42 2" xfId="23077" xr:uid="{00000000-0005-0000-0000-0000A55B0000}"/>
    <cellStyle name="Percent 8 42 3" xfId="23078" xr:uid="{00000000-0005-0000-0000-0000A65B0000}"/>
    <cellStyle name="Percent 8 42 4" xfId="23079" xr:uid="{00000000-0005-0000-0000-0000A75B0000}"/>
    <cellStyle name="Percent 8 42 5" xfId="23080" xr:uid="{00000000-0005-0000-0000-0000A85B0000}"/>
    <cellStyle name="Percent 8 42 6" xfId="23081" xr:uid="{00000000-0005-0000-0000-0000A95B0000}"/>
    <cellStyle name="Percent 8 42 7" xfId="23082" xr:uid="{00000000-0005-0000-0000-0000AA5B0000}"/>
    <cellStyle name="Percent 8 42 8" xfId="23083" xr:uid="{00000000-0005-0000-0000-0000AB5B0000}"/>
    <cellStyle name="Percent 8 42 9" xfId="23084" xr:uid="{00000000-0005-0000-0000-0000AC5B0000}"/>
    <cellStyle name="Percent 8 43" xfId="23085" xr:uid="{00000000-0005-0000-0000-0000AD5B0000}"/>
    <cellStyle name="Percent 8 43 10" xfId="23086" xr:uid="{00000000-0005-0000-0000-0000AE5B0000}"/>
    <cellStyle name="Percent 8 43 11" xfId="23087" xr:uid="{00000000-0005-0000-0000-0000AF5B0000}"/>
    <cellStyle name="Percent 8 43 12" xfId="23088" xr:uid="{00000000-0005-0000-0000-0000B05B0000}"/>
    <cellStyle name="Percent 8 43 13" xfId="23089" xr:uid="{00000000-0005-0000-0000-0000B15B0000}"/>
    <cellStyle name="Percent 8 43 14" xfId="23090" xr:uid="{00000000-0005-0000-0000-0000B25B0000}"/>
    <cellStyle name="Percent 8 43 15" xfId="23091" xr:uid="{00000000-0005-0000-0000-0000B35B0000}"/>
    <cellStyle name="Percent 8 43 16" xfId="23092" xr:uid="{00000000-0005-0000-0000-0000B45B0000}"/>
    <cellStyle name="Percent 8 43 17" xfId="23093" xr:uid="{00000000-0005-0000-0000-0000B55B0000}"/>
    <cellStyle name="Percent 8 43 2" xfId="23094" xr:uid="{00000000-0005-0000-0000-0000B65B0000}"/>
    <cellStyle name="Percent 8 43 3" xfId="23095" xr:uid="{00000000-0005-0000-0000-0000B75B0000}"/>
    <cellStyle name="Percent 8 43 4" xfId="23096" xr:uid="{00000000-0005-0000-0000-0000B85B0000}"/>
    <cellStyle name="Percent 8 43 5" xfId="23097" xr:uid="{00000000-0005-0000-0000-0000B95B0000}"/>
    <cellStyle name="Percent 8 43 6" xfId="23098" xr:uid="{00000000-0005-0000-0000-0000BA5B0000}"/>
    <cellStyle name="Percent 8 43 7" xfId="23099" xr:uid="{00000000-0005-0000-0000-0000BB5B0000}"/>
    <cellStyle name="Percent 8 43 8" xfId="23100" xr:uid="{00000000-0005-0000-0000-0000BC5B0000}"/>
    <cellStyle name="Percent 8 43 9" xfId="23101" xr:uid="{00000000-0005-0000-0000-0000BD5B0000}"/>
    <cellStyle name="Percent 8 44" xfId="23102" xr:uid="{00000000-0005-0000-0000-0000BE5B0000}"/>
    <cellStyle name="Percent 8 44 10" xfId="23103" xr:uid="{00000000-0005-0000-0000-0000BF5B0000}"/>
    <cellStyle name="Percent 8 44 11" xfId="23104" xr:uid="{00000000-0005-0000-0000-0000C05B0000}"/>
    <cellStyle name="Percent 8 44 12" xfId="23105" xr:uid="{00000000-0005-0000-0000-0000C15B0000}"/>
    <cellStyle name="Percent 8 44 13" xfId="23106" xr:uid="{00000000-0005-0000-0000-0000C25B0000}"/>
    <cellStyle name="Percent 8 44 14" xfId="23107" xr:uid="{00000000-0005-0000-0000-0000C35B0000}"/>
    <cellStyle name="Percent 8 44 15" xfId="23108" xr:uid="{00000000-0005-0000-0000-0000C45B0000}"/>
    <cellStyle name="Percent 8 44 16" xfId="23109" xr:uid="{00000000-0005-0000-0000-0000C55B0000}"/>
    <cellStyle name="Percent 8 44 17" xfId="23110" xr:uid="{00000000-0005-0000-0000-0000C65B0000}"/>
    <cellStyle name="Percent 8 44 2" xfId="23111" xr:uid="{00000000-0005-0000-0000-0000C75B0000}"/>
    <cellStyle name="Percent 8 44 3" xfId="23112" xr:uid="{00000000-0005-0000-0000-0000C85B0000}"/>
    <cellStyle name="Percent 8 44 4" xfId="23113" xr:uid="{00000000-0005-0000-0000-0000C95B0000}"/>
    <cellStyle name="Percent 8 44 5" xfId="23114" xr:uid="{00000000-0005-0000-0000-0000CA5B0000}"/>
    <cellStyle name="Percent 8 44 6" xfId="23115" xr:uid="{00000000-0005-0000-0000-0000CB5B0000}"/>
    <cellStyle name="Percent 8 44 7" xfId="23116" xr:uid="{00000000-0005-0000-0000-0000CC5B0000}"/>
    <cellStyle name="Percent 8 44 8" xfId="23117" xr:uid="{00000000-0005-0000-0000-0000CD5B0000}"/>
    <cellStyle name="Percent 8 44 9" xfId="23118" xr:uid="{00000000-0005-0000-0000-0000CE5B0000}"/>
    <cellStyle name="Percent 8 45" xfId="23119" xr:uid="{00000000-0005-0000-0000-0000CF5B0000}"/>
    <cellStyle name="Percent 8 45 10" xfId="23120" xr:uid="{00000000-0005-0000-0000-0000D05B0000}"/>
    <cellStyle name="Percent 8 45 11" xfId="23121" xr:uid="{00000000-0005-0000-0000-0000D15B0000}"/>
    <cellStyle name="Percent 8 45 12" xfId="23122" xr:uid="{00000000-0005-0000-0000-0000D25B0000}"/>
    <cellStyle name="Percent 8 45 13" xfId="23123" xr:uid="{00000000-0005-0000-0000-0000D35B0000}"/>
    <cellStyle name="Percent 8 45 14" xfId="23124" xr:uid="{00000000-0005-0000-0000-0000D45B0000}"/>
    <cellStyle name="Percent 8 45 15" xfId="23125" xr:uid="{00000000-0005-0000-0000-0000D55B0000}"/>
    <cellStyle name="Percent 8 45 16" xfId="23126" xr:uid="{00000000-0005-0000-0000-0000D65B0000}"/>
    <cellStyle name="Percent 8 45 17" xfId="23127" xr:uid="{00000000-0005-0000-0000-0000D75B0000}"/>
    <cellStyle name="Percent 8 45 2" xfId="23128" xr:uid="{00000000-0005-0000-0000-0000D85B0000}"/>
    <cellStyle name="Percent 8 45 3" xfId="23129" xr:uid="{00000000-0005-0000-0000-0000D95B0000}"/>
    <cellStyle name="Percent 8 45 4" xfId="23130" xr:uid="{00000000-0005-0000-0000-0000DA5B0000}"/>
    <cellStyle name="Percent 8 45 5" xfId="23131" xr:uid="{00000000-0005-0000-0000-0000DB5B0000}"/>
    <cellStyle name="Percent 8 45 6" xfId="23132" xr:uid="{00000000-0005-0000-0000-0000DC5B0000}"/>
    <cellStyle name="Percent 8 45 7" xfId="23133" xr:uid="{00000000-0005-0000-0000-0000DD5B0000}"/>
    <cellStyle name="Percent 8 45 8" xfId="23134" xr:uid="{00000000-0005-0000-0000-0000DE5B0000}"/>
    <cellStyle name="Percent 8 45 9" xfId="23135" xr:uid="{00000000-0005-0000-0000-0000DF5B0000}"/>
    <cellStyle name="Percent 8 46" xfId="23136" xr:uid="{00000000-0005-0000-0000-0000E05B0000}"/>
    <cellStyle name="Percent 8 46 10" xfId="23137" xr:uid="{00000000-0005-0000-0000-0000E15B0000}"/>
    <cellStyle name="Percent 8 46 11" xfId="23138" xr:uid="{00000000-0005-0000-0000-0000E25B0000}"/>
    <cellStyle name="Percent 8 46 12" xfId="23139" xr:uid="{00000000-0005-0000-0000-0000E35B0000}"/>
    <cellStyle name="Percent 8 46 13" xfId="23140" xr:uid="{00000000-0005-0000-0000-0000E45B0000}"/>
    <cellStyle name="Percent 8 46 14" xfId="23141" xr:uid="{00000000-0005-0000-0000-0000E55B0000}"/>
    <cellStyle name="Percent 8 46 15" xfId="23142" xr:uid="{00000000-0005-0000-0000-0000E65B0000}"/>
    <cellStyle name="Percent 8 46 16" xfId="23143" xr:uid="{00000000-0005-0000-0000-0000E75B0000}"/>
    <cellStyle name="Percent 8 46 17" xfId="23144" xr:uid="{00000000-0005-0000-0000-0000E85B0000}"/>
    <cellStyle name="Percent 8 46 2" xfId="23145" xr:uid="{00000000-0005-0000-0000-0000E95B0000}"/>
    <cellStyle name="Percent 8 46 3" xfId="23146" xr:uid="{00000000-0005-0000-0000-0000EA5B0000}"/>
    <cellStyle name="Percent 8 46 4" xfId="23147" xr:uid="{00000000-0005-0000-0000-0000EB5B0000}"/>
    <cellStyle name="Percent 8 46 5" xfId="23148" xr:uid="{00000000-0005-0000-0000-0000EC5B0000}"/>
    <cellStyle name="Percent 8 46 6" xfId="23149" xr:uid="{00000000-0005-0000-0000-0000ED5B0000}"/>
    <cellStyle name="Percent 8 46 7" xfId="23150" xr:uid="{00000000-0005-0000-0000-0000EE5B0000}"/>
    <cellStyle name="Percent 8 46 8" xfId="23151" xr:uid="{00000000-0005-0000-0000-0000EF5B0000}"/>
    <cellStyle name="Percent 8 46 9" xfId="23152" xr:uid="{00000000-0005-0000-0000-0000F05B0000}"/>
    <cellStyle name="Percent 8 47" xfId="23153" xr:uid="{00000000-0005-0000-0000-0000F15B0000}"/>
    <cellStyle name="Percent 8 47 10" xfId="23154" xr:uid="{00000000-0005-0000-0000-0000F25B0000}"/>
    <cellStyle name="Percent 8 47 11" xfId="23155" xr:uid="{00000000-0005-0000-0000-0000F35B0000}"/>
    <cellStyle name="Percent 8 47 12" xfId="23156" xr:uid="{00000000-0005-0000-0000-0000F45B0000}"/>
    <cellStyle name="Percent 8 47 13" xfId="23157" xr:uid="{00000000-0005-0000-0000-0000F55B0000}"/>
    <cellStyle name="Percent 8 47 14" xfId="23158" xr:uid="{00000000-0005-0000-0000-0000F65B0000}"/>
    <cellStyle name="Percent 8 47 15" xfId="23159" xr:uid="{00000000-0005-0000-0000-0000F75B0000}"/>
    <cellStyle name="Percent 8 47 16" xfId="23160" xr:uid="{00000000-0005-0000-0000-0000F85B0000}"/>
    <cellStyle name="Percent 8 47 17" xfId="23161" xr:uid="{00000000-0005-0000-0000-0000F95B0000}"/>
    <cellStyle name="Percent 8 47 2" xfId="23162" xr:uid="{00000000-0005-0000-0000-0000FA5B0000}"/>
    <cellStyle name="Percent 8 47 3" xfId="23163" xr:uid="{00000000-0005-0000-0000-0000FB5B0000}"/>
    <cellStyle name="Percent 8 47 4" xfId="23164" xr:uid="{00000000-0005-0000-0000-0000FC5B0000}"/>
    <cellStyle name="Percent 8 47 5" xfId="23165" xr:uid="{00000000-0005-0000-0000-0000FD5B0000}"/>
    <cellStyle name="Percent 8 47 6" xfId="23166" xr:uid="{00000000-0005-0000-0000-0000FE5B0000}"/>
    <cellStyle name="Percent 8 47 7" xfId="23167" xr:uid="{00000000-0005-0000-0000-0000FF5B0000}"/>
    <cellStyle name="Percent 8 47 8" xfId="23168" xr:uid="{00000000-0005-0000-0000-0000005C0000}"/>
    <cellStyle name="Percent 8 47 9" xfId="23169" xr:uid="{00000000-0005-0000-0000-0000015C0000}"/>
    <cellStyle name="Percent 8 48" xfId="23170" xr:uid="{00000000-0005-0000-0000-0000025C0000}"/>
    <cellStyle name="Percent 8 49" xfId="23171" xr:uid="{00000000-0005-0000-0000-0000035C0000}"/>
    <cellStyle name="Percent 8 5" xfId="23172" xr:uid="{00000000-0005-0000-0000-0000045C0000}"/>
    <cellStyle name="Percent 8 5 10" xfId="23173" xr:uid="{00000000-0005-0000-0000-0000055C0000}"/>
    <cellStyle name="Percent 8 5 11" xfId="23174" xr:uid="{00000000-0005-0000-0000-0000065C0000}"/>
    <cellStyle name="Percent 8 5 12" xfId="23175" xr:uid="{00000000-0005-0000-0000-0000075C0000}"/>
    <cellStyle name="Percent 8 5 13" xfId="23176" xr:uid="{00000000-0005-0000-0000-0000085C0000}"/>
    <cellStyle name="Percent 8 5 14" xfId="23177" xr:uid="{00000000-0005-0000-0000-0000095C0000}"/>
    <cellStyle name="Percent 8 5 15" xfId="23178" xr:uid="{00000000-0005-0000-0000-00000A5C0000}"/>
    <cellStyle name="Percent 8 5 16" xfId="23179" xr:uid="{00000000-0005-0000-0000-00000B5C0000}"/>
    <cellStyle name="Percent 8 5 17" xfId="23180" xr:uid="{00000000-0005-0000-0000-00000C5C0000}"/>
    <cellStyle name="Percent 8 5 2" xfId="23181" xr:uid="{00000000-0005-0000-0000-00000D5C0000}"/>
    <cellStyle name="Percent 8 5 3" xfId="23182" xr:uid="{00000000-0005-0000-0000-00000E5C0000}"/>
    <cellStyle name="Percent 8 5 4" xfId="23183" xr:uid="{00000000-0005-0000-0000-00000F5C0000}"/>
    <cellStyle name="Percent 8 5 5" xfId="23184" xr:uid="{00000000-0005-0000-0000-0000105C0000}"/>
    <cellStyle name="Percent 8 5 6" xfId="23185" xr:uid="{00000000-0005-0000-0000-0000115C0000}"/>
    <cellStyle name="Percent 8 5 7" xfId="23186" xr:uid="{00000000-0005-0000-0000-0000125C0000}"/>
    <cellStyle name="Percent 8 5 8" xfId="23187" xr:uid="{00000000-0005-0000-0000-0000135C0000}"/>
    <cellStyle name="Percent 8 5 9" xfId="23188" xr:uid="{00000000-0005-0000-0000-0000145C0000}"/>
    <cellStyle name="Percent 8 50" xfId="23189" xr:uid="{00000000-0005-0000-0000-0000155C0000}"/>
    <cellStyle name="Percent 8 51" xfId="23190" xr:uid="{00000000-0005-0000-0000-0000165C0000}"/>
    <cellStyle name="Percent 8 52" xfId="23191" xr:uid="{00000000-0005-0000-0000-0000175C0000}"/>
    <cellStyle name="Percent 8 53" xfId="23192" xr:uid="{00000000-0005-0000-0000-0000185C0000}"/>
    <cellStyle name="Percent 8 54" xfId="23193" xr:uid="{00000000-0005-0000-0000-0000195C0000}"/>
    <cellStyle name="Percent 8 55" xfId="23194" xr:uid="{00000000-0005-0000-0000-00001A5C0000}"/>
    <cellStyle name="Percent 8 56" xfId="23195" xr:uid="{00000000-0005-0000-0000-00001B5C0000}"/>
    <cellStyle name="Percent 8 57" xfId="23196" xr:uid="{00000000-0005-0000-0000-00001C5C0000}"/>
    <cellStyle name="Percent 8 58" xfId="23197" xr:uid="{00000000-0005-0000-0000-00001D5C0000}"/>
    <cellStyle name="Percent 8 59" xfId="23198" xr:uid="{00000000-0005-0000-0000-00001E5C0000}"/>
    <cellStyle name="Percent 8 6" xfId="23199" xr:uid="{00000000-0005-0000-0000-00001F5C0000}"/>
    <cellStyle name="Percent 8 6 10" xfId="23200" xr:uid="{00000000-0005-0000-0000-0000205C0000}"/>
    <cellStyle name="Percent 8 6 11" xfId="23201" xr:uid="{00000000-0005-0000-0000-0000215C0000}"/>
    <cellStyle name="Percent 8 6 12" xfId="23202" xr:uid="{00000000-0005-0000-0000-0000225C0000}"/>
    <cellStyle name="Percent 8 6 13" xfId="23203" xr:uid="{00000000-0005-0000-0000-0000235C0000}"/>
    <cellStyle name="Percent 8 6 14" xfId="23204" xr:uid="{00000000-0005-0000-0000-0000245C0000}"/>
    <cellStyle name="Percent 8 6 15" xfId="23205" xr:uid="{00000000-0005-0000-0000-0000255C0000}"/>
    <cellStyle name="Percent 8 6 16" xfId="23206" xr:uid="{00000000-0005-0000-0000-0000265C0000}"/>
    <cellStyle name="Percent 8 6 17" xfId="23207" xr:uid="{00000000-0005-0000-0000-0000275C0000}"/>
    <cellStyle name="Percent 8 6 2" xfId="23208" xr:uid="{00000000-0005-0000-0000-0000285C0000}"/>
    <cellStyle name="Percent 8 6 3" xfId="23209" xr:uid="{00000000-0005-0000-0000-0000295C0000}"/>
    <cellStyle name="Percent 8 6 4" xfId="23210" xr:uid="{00000000-0005-0000-0000-00002A5C0000}"/>
    <cellStyle name="Percent 8 6 5" xfId="23211" xr:uid="{00000000-0005-0000-0000-00002B5C0000}"/>
    <cellStyle name="Percent 8 6 6" xfId="23212" xr:uid="{00000000-0005-0000-0000-00002C5C0000}"/>
    <cellStyle name="Percent 8 6 7" xfId="23213" xr:uid="{00000000-0005-0000-0000-00002D5C0000}"/>
    <cellStyle name="Percent 8 6 8" xfId="23214" xr:uid="{00000000-0005-0000-0000-00002E5C0000}"/>
    <cellStyle name="Percent 8 6 9" xfId="23215" xr:uid="{00000000-0005-0000-0000-00002F5C0000}"/>
    <cellStyle name="Percent 8 60" xfId="23216" xr:uid="{00000000-0005-0000-0000-0000305C0000}"/>
    <cellStyle name="Percent 8 7" xfId="23217" xr:uid="{00000000-0005-0000-0000-0000315C0000}"/>
    <cellStyle name="Percent 8 7 10" xfId="23218" xr:uid="{00000000-0005-0000-0000-0000325C0000}"/>
    <cellStyle name="Percent 8 7 11" xfId="23219" xr:uid="{00000000-0005-0000-0000-0000335C0000}"/>
    <cellStyle name="Percent 8 7 12" xfId="23220" xr:uid="{00000000-0005-0000-0000-0000345C0000}"/>
    <cellStyle name="Percent 8 7 13" xfId="23221" xr:uid="{00000000-0005-0000-0000-0000355C0000}"/>
    <cellStyle name="Percent 8 7 14" xfId="23222" xr:uid="{00000000-0005-0000-0000-0000365C0000}"/>
    <cellStyle name="Percent 8 7 15" xfId="23223" xr:uid="{00000000-0005-0000-0000-0000375C0000}"/>
    <cellStyle name="Percent 8 7 16" xfId="23224" xr:uid="{00000000-0005-0000-0000-0000385C0000}"/>
    <cellStyle name="Percent 8 7 17" xfId="23225" xr:uid="{00000000-0005-0000-0000-0000395C0000}"/>
    <cellStyle name="Percent 8 7 2" xfId="23226" xr:uid="{00000000-0005-0000-0000-00003A5C0000}"/>
    <cellStyle name="Percent 8 7 3" xfId="23227" xr:uid="{00000000-0005-0000-0000-00003B5C0000}"/>
    <cellStyle name="Percent 8 7 4" xfId="23228" xr:uid="{00000000-0005-0000-0000-00003C5C0000}"/>
    <cellStyle name="Percent 8 7 5" xfId="23229" xr:uid="{00000000-0005-0000-0000-00003D5C0000}"/>
    <cellStyle name="Percent 8 7 6" xfId="23230" xr:uid="{00000000-0005-0000-0000-00003E5C0000}"/>
    <cellStyle name="Percent 8 7 7" xfId="23231" xr:uid="{00000000-0005-0000-0000-00003F5C0000}"/>
    <cellStyle name="Percent 8 7 8" xfId="23232" xr:uid="{00000000-0005-0000-0000-0000405C0000}"/>
    <cellStyle name="Percent 8 7 9" xfId="23233" xr:uid="{00000000-0005-0000-0000-0000415C0000}"/>
    <cellStyle name="Percent 8 8" xfId="23234" xr:uid="{00000000-0005-0000-0000-0000425C0000}"/>
    <cellStyle name="Percent 8 8 10" xfId="23235" xr:uid="{00000000-0005-0000-0000-0000435C0000}"/>
    <cellStyle name="Percent 8 8 11" xfId="23236" xr:uid="{00000000-0005-0000-0000-0000445C0000}"/>
    <cellStyle name="Percent 8 8 12" xfId="23237" xr:uid="{00000000-0005-0000-0000-0000455C0000}"/>
    <cellStyle name="Percent 8 8 13" xfId="23238" xr:uid="{00000000-0005-0000-0000-0000465C0000}"/>
    <cellStyle name="Percent 8 8 14" xfId="23239" xr:uid="{00000000-0005-0000-0000-0000475C0000}"/>
    <cellStyle name="Percent 8 8 15" xfId="23240" xr:uid="{00000000-0005-0000-0000-0000485C0000}"/>
    <cellStyle name="Percent 8 8 16" xfId="23241" xr:uid="{00000000-0005-0000-0000-0000495C0000}"/>
    <cellStyle name="Percent 8 8 17" xfId="23242" xr:uid="{00000000-0005-0000-0000-00004A5C0000}"/>
    <cellStyle name="Percent 8 8 2" xfId="23243" xr:uid="{00000000-0005-0000-0000-00004B5C0000}"/>
    <cellStyle name="Percent 8 8 3" xfId="23244" xr:uid="{00000000-0005-0000-0000-00004C5C0000}"/>
    <cellStyle name="Percent 8 8 4" xfId="23245" xr:uid="{00000000-0005-0000-0000-00004D5C0000}"/>
    <cellStyle name="Percent 8 8 5" xfId="23246" xr:uid="{00000000-0005-0000-0000-00004E5C0000}"/>
    <cellStyle name="Percent 8 8 6" xfId="23247" xr:uid="{00000000-0005-0000-0000-00004F5C0000}"/>
    <cellStyle name="Percent 8 8 7" xfId="23248" xr:uid="{00000000-0005-0000-0000-0000505C0000}"/>
    <cellStyle name="Percent 8 8 8" xfId="23249" xr:uid="{00000000-0005-0000-0000-0000515C0000}"/>
    <cellStyle name="Percent 8 8 9" xfId="23250" xr:uid="{00000000-0005-0000-0000-0000525C0000}"/>
    <cellStyle name="Percent 8 9" xfId="23251" xr:uid="{00000000-0005-0000-0000-0000535C0000}"/>
    <cellStyle name="Percent 8 9 10" xfId="23252" xr:uid="{00000000-0005-0000-0000-0000545C0000}"/>
    <cellStyle name="Percent 8 9 11" xfId="23253" xr:uid="{00000000-0005-0000-0000-0000555C0000}"/>
    <cellStyle name="Percent 8 9 12" xfId="23254" xr:uid="{00000000-0005-0000-0000-0000565C0000}"/>
    <cellStyle name="Percent 8 9 13" xfId="23255" xr:uid="{00000000-0005-0000-0000-0000575C0000}"/>
    <cellStyle name="Percent 8 9 14" xfId="23256" xr:uid="{00000000-0005-0000-0000-0000585C0000}"/>
    <cellStyle name="Percent 8 9 15" xfId="23257" xr:uid="{00000000-0005-0000-0000-0000595C0000}"/>
    <cellStyle name="Percent 8 9 16" xfId="23258" xr:uid="{00000000-0005-0000-0000-00005A5C0000}"/>
    <cellStyle name="Percent 8 9 17" xfId="23259" xr:uid="{00000000-0005-0000-0000-00005B5C0000}"/>
    <cellStyle name="Percent 8 9 2" xfId="23260" xr:uid="{00000000-0005-0000-0000-00005C5C0000}"/>
    <cellStyle name="Percent 8 9 3" xfId="23261" xr:uid="{00000000-0005-0000-0000-00005D5C0000}"/>
    <cellStyle name="Percent 8 9 4" xfId="23262" xr:uid="{00000000-0005-0000-0000-00005E5C0000}"/>
    <cellStyle name="Percent 8 9 5" xfId="23263" xr:uid="{00000000-0005-0000-0000-00005F5C0000}"/>
    <cellStyle name="Percent 8 9 6" xfId="23264" xr:uid="{00000000-0005-0000-0000-0000605C0000}"/>
    <cellStyle name="Percent 8 9 7" xfId="23265" xr:uid="{00000000-0005-0000-0000-0000615C0000}"/>
    <cellStyle name="Percent 8 9 8" xfId="23266" xr:uid="{00000000-0005-0000-0000-0000625C0000}"/>
    <cellStyle name="Percent 8 9 9" xfId="23267" xr:uid="{00000000-0005-0000-0000-0000635C0000}"/>
    <cellStyle name="Percent 9" xfId="23268" xr:uid="{00000000-0005-0000-0000-0000645C0000}"/>
    <cellStyle name="Percent 9 10" xfId="23269" xr:uid="{00000000-0005-0000-0000-0000655C0000}"/>
    <cellStyle name="Percent 9 11" xfId="23270" xr:uid="{00000000-0005-0000-0000-0000665C0000}"/>
    <cellStyle name="Percent 9 12" xfId="23271" xr:uid="{00000000-0005-0000-0000-0000675C0000}"/>
    <cellStyle name="Percent 9 13" xfId="23272" xr:uid="{00000000-0005-0000-0000-0000685C0000}"/>
    <cellStyle name="Percent 9 14" xfId="23273" xr:uid="{00000000-0005-0000-0000-0000695C0000}"/>
    <cellStyle name="Percent 9 15" xfId="23274" xr:uid="{00000000-0005-0000-0000-00006A5C0000}"/>
    <cellStyle name="Percent 9 16" xfId="23275" xr:uid="{00000000-0005-0000-0000-00006B5C0000}"/>
    <cellStyle name="Percent 9 17" xfId="23276" xr:uid="{00000000-0005-0000-0000-00006C5C0000}"/>
    <cellStyle name="Percent 9 18" xfId="23277" xr:uid="{00000000-0005-0000-0000-00006D5C0000}"/>
    <cellStyle name="Percent 9 2" xfId="23278" xr:uid="{00000000-0005-0000-0000-00006E5C0000}"/>
    <cellStyle name="Percent 9 2 10" xfId="23279" xr:uid="{00000000-0005-0000-0000-00006F5C0000}"/>
    <cellStyle name="Percent 9 2 11" xfId="23280" xr:uid="{00000000-0005-0000-0000-0000705C0000}"/>
    <cellStyle name="Percent 9 2 12" xfId="23281" xr:uid="{00000000-0005-0000-0000-0000715C0000}"/>
    <cellStyle name="Percent 9 2 13" xfId="23282" xr:uid="{00000000-0005-0000-0000-0000725C0000}"/>
    <cellStyle name="Percent 9 2 14" xfId="23283" xr:uid="{00000000-0005-0000-0000-0000735C0000}"/>
    <cellStyle name="Percent 9 2 15" xfId="23284" xr:uid="{00000000-0005-0000-0000-0000745C0000}"/>
    <cellStyle name="Percent 9 2 2" xfId="23285" xr:uid="{00000000-0005-0000-0000-0000755C0000}"/>
    <cellStyle name="Percent 9 2 2 10" xfId="23286" xr:uid="{00000000-0005-0000-0000-0000765C0000}"/>
    <cellStyle name="Percent 9 2 2 11" xfId="23287" xr:uid="{00000000-0005-0000-0000-0000775C0000}"/>
    <cellStyle name="Percent 9 2 2 12" xfId="23288" xr:uid="{00000000-0005-0000-0000-0000785C0000}"/>
    <cellStyle name="Percent 9 2 2 13" xfId="23289" xr:uid="{00000000-0005-0000-0000-0000795C0000}"/>
    <cellStyle name="Percent 9 2 2 14" xfId="23290" xr:uid="{00000000-0005-0000-0000-00007A5C0000}"/>
    <cellStyle name="Percent 9 2 2 2" xfId="23291" xr:uid="{00000000-0005-0000-0000-00007B5C0000}"/>
    <cellStyle name="Percent 9 2 2 2 10" xfId="23292" xr:uid="{00000000-0005-0000-0000-00007C5C0000}"/>
    <cellStyle name="Percent 9 2 2 2 11" xfId="23293" xr:uid="{00000000-0005-0000-0000-00007D5C0000}"/>
    <cellStyle name="Percent 9 2 2 2 12" xfId="23294" xr:uid="{00000000-0005-0000-0000-00007E5C0000}"/>
    <cellStyle name="Percent 9 2 2 2 13" xfId="23295" xr:uid="{00000000-0005-0000-0000-00007F5C0000}"/>
    <cellStyle name="Percent 9 2 2 2 2" xfId="23296" xr:uid="{00000000-0005-0000-0000-0000805C0000}"/>
    <cellStyle name="Percent 9 2 2 2 3" xfId="23297" xr:uid="{00000000-0005-0000-0000-0000815C0000}"/>
    <cellStyle name="Percent 9 2 2 2 4" xfId="23298" xr:uid="{00000000-0005-0000-0000-0000825C0000}"/>
    <cellStyle name="Percent 9 2 2 2 5" xfId="23299" xr:uid="{00000000-0005-0000-0000-0000835C0000}"/>
    <cellStyle name="Percent 9 2 2 2 6" xfId="23300" xr:uid="{00000000-0005-0000-0000-0000845C0000}"/>
    <cellStyle name="Percent 9 2 2 2 7" xfId="23301" xr:uid="{00000000-0005-0000-0000-0000855C0000}"/>
    <cellStyle name="Percent 9 2 2 2 8" xfId="23302" xr:uid="{00000000-0005-0000-0000-0000865C0000}"/>
    <cellStyle name="Percent 9 2 2 2 9" xfId="23303" xr:uid="{00000000-0005-0000-0000-0000875C0000}"/>
    <cellStyle name="Percent 9 2 2 3" xfId="23304" xr:uid="{00000000-0005-0000-0000-0000885C0000}"/>
    <cellStyle name="Percent 9 2 2 4" xfId="23305" xr:uid="{00000000-0005-0000-0000-0000895C0000}"/>
    <cellStyle name="Percent 9 2 2 5" xfId="23306" xr:uid="{00000000-0005-0000-0000-00008A5C0000}"/>
    <cellStyle name="Percent 9 2 2 6" xfId="23307" xr:uid="{00000000-0005-0000-0000-00008B5C0000}"/>
    <cellStyle name="Percent 9 2 2 7" xfId="23308" xr:uid="{00000000-0005-0000-0000-00008C5C0000}"/>
    <cellStyle name="Percent 9 2 2 8" xfId="23309" xr:uid="{00000000-0005-0000-0000-00008D5C0000}"/>
    <cellStyle name="Percent 9 2 2 9" xfId="23310" xr:uid="{00000000-0005-0000-0000-00008E5C0000}"/>
    <cellStyle name="Percent 9 2 3" xfId="23311" xr:uid="{00000000-0005-0000-0000-00008F5C0000}"/>
    <cellStyle name="Percent 9 2 3 10" xfId="23312" xr:uid="{00000000-0005-0000-0000-0000905C0000}"/>
    <cellStyle name="Percent 9 2 3 11" xfId="23313" xr:uid="{00000000-0005-0000-0000-0000915C0000}"/>
    <cellStyle name="Percent 9 2 3 12" xfId="23314" xr:uid="{00000000-0005-0000-0000-0000925C0000}"/>
    <cellStyle name="Percent 9 2 3 13" xfId="23315" xr:uid="{00000000-0005-0000-0000-0000935C0000}"/>
    <cellStyle name="Percent 9 2 3 2" xfId="23316" xr:uid="{00000000-0005-0000-0000-0000945C0000}"/>
    <cellStyle name="Percent 9 2 3 3" xfId="23317" xr:uid="{00000000-0005-0000-0000-0000955C0000}"/>
    <cellStyle name="Percent 9 2 3 4" xfId="23318" xr:uid="{00000000-0005-0000-0000-0000965C0000}"/>
    <cellStyle name="Percent 9 2 3 5" xfId="23319" xr:uid="{00000000-0005-0000-0000-0000975C0000}"/>
    <cellStyle name="Percent 9 2 3 6" xfId="23320" xr:uid="{00000000-0005-0000-0000-0000985C0000}"/>
    <cellStyle name="Percent 9 2 3 7" xfId="23321" xr:uid="{00000000-0005-0000-0000-0000995C0000}"/>
    <cellStyle name="Percent 9 2 3 8" xfId="23322" xr:uid="{00000000-0005-0000-0000-00009A5C0000}"/>
    <cellStyle name="Percent 9 2 3 9" xfId="23323" xr:uid="{00000000-0005-0000-0000-00009B5C0000}"/>
    <cellStyle name="Percent 9 2 4" xfId="23324" xr:uid="{00000000-0005-0000-0000-00009C5C0000}"/>
    <cellStyle name="Percent 9 2 5" xfId="23325" xr:uid="{00000000-0005-0000-0000-00009D5C0000}"/>
    <cellStyle name="Percent 9 2 6" xfId="23326" xr:uid="{00000000-0005-0000-0000-00009E5C0000}"/>
    <cellStyle name="Percent 9 2 7" xfId="23327" xr:uid="{00000000-0005-0000-0000-00009F5C0000}"/>
    <cellStyle name="Percent 9 2 8" xfId="23328" xr:uid="{00000000-0005-0000-0000-0000A05C0000}"/>
    <cellStyle name="Percent 9 2 9" xfId="23329" xr:uid="{00000000-0005-0000-0000-0000A15C0000}"/>
    <cellStyle name="Percent 9 3" xfId="23330" xr:uid="{00000000-0005-0000-0000-0000A25C0000}"/>
    <cellStyle name="Percent 9 3 10" xfId="23331" xr:uid="{00000000-0005-0000-0000-0000A35C0000}"/>
    <cellStyle name="Percent 9 3 11" xfId="23332" xr:uid="{00000000-0005-0000-0000-0000A45C0000}"/>
    <cellStyle name="Percent 9 3 12" xfId="23333" xr:uid="{00000000-0005-0000-0000-0000A55C0000}"/>
    <cellStyle name="Percent 9 3 13" xfId="23334" xr:uid="{00000000-0005-0000-0000-0000A65C0000}"/>
    <cellStyle name="Percent 9 3 14" xfId="23335" xr:uid="{00000000-0005-0000-0000-0000A75C0000}"/>
    <cellStyle name="Percent 9 3 15" xfId="23336" xr:uid="{00000000-0005-0000-0000-0000A85C0000}"/>
    <cellStyle name="Percent 9 3 16" xfId="23337" xr:uid="{00000000-0005-0000-0000-0000A95C0000}"/>
    <cellStyle name="Percent 9 3 17" xfId="23338" xr:uid="{00000000-0005-0000-0000-0000AA5C0000}"/>
    <cellStyle name="Percent 9 3 18" xfId="23339" xr:uid="{00000000-0005-0000-0000-0000AB5C0000}"/>
    <cellStyle name="Percent 9 3 19" xfId="23340" xr:uid="{00000000-0005-0000-0000-0000AC5C0000}"/>
    <cellStyle name="Percent 9 3 2" xfId="23341" xr:uid="{00000000-0005-0000-0000-0000AD5C0000}"/>
    <cellStyle name="Percent 9 3 2 10" xfId="23342" xr:uid="{00000000-0005-0000-0000-0000AE5C0000}"/>
    <cellStyle name="Percent 9 3 2 11" xfId="23343" xr:uid="{00000000-0005-0000-0000-0000AF5C0000}"/>
    <cellStyle name="Percent 9 3 2 12" xfId="23344" xr:uid="{00000000-0005-0000-0000-0000B05C0000}"/>
    <cellStyle name="Percent 9 3 2 13" xfId="23345" xr:uid="{00000000-0005-0000-0000-0000B15C0000}"/>
    <cellStyle name="Percent 9 3 2 2" xfId="23346" xr:uid="{00000000-0005-0000-0000-0000B25C0000}"/>
    <cellStyle name="Percent 9 3 2 3" xfId="23347" xr:uid="{00000000-0005-0000-0000-0000B35C0000}"/>
    <cellStyle name="Percent 9 3 2 4" xfId="23348" xr:uid="{00000000-0005-0000-0000-0000B45C0000}"/>
    <cellStyle name="Percent 9 3 2 5" xfId="23349" xr:uid="{00000000-0005-0000-0000-0000B55C0000}"/>
    <cellStyle name="Percent 9 3 2 6" xfId="23350" xr:uid="{00000000-0005-0000-0000-0000B65C0000}"/>
    <cellStyle name="Percent 9 3 2 7" xfId="23351" xr:uid="{00000000-0005-0000-0000-0000B75C0000}"/>
    <cellStyle name="Percent 9 3 2 8" xfId="23352" xr:uid="{00000000-0005-0000-0000-0000B85C0000}"/>
    <cellStyle name="Percent 9 3 2 9" xfId="23353" xr:uid="{00000000-0005-0000-0000-0000B95C0000}"/>
    <cellStyle name="Percent 9 3 20" xfId="23354" xr:uid="{00000000-0005-0000-0000-0000BA5C0000}"/>
    <cellStyle name="Percent 9 3 21" xfId="23355" xr:uid="{00000000-0005-0000-0000-0000BB5C0000}"/>
    <cellStyle name="Percent 9 3 22" xfId="23356" xr:uid="{00000000-0005-0000-0000-0000BC5C0000}"/>
    <cellStyle name="Percent 9 3 23" xfId="23357" xr:uid="{00000000-0005-0000-0000-0000BD5C0000}"/>
    <cellStyle name="Percent 9 3 24" xfId="23358" xr:uid="{00000000-0005-0000-0000-0000BE5C0000}"/>
    <cellStyle name="Percent 9 3 25" xfId="23359" xr:uid="{00000000-0005-0000-0000-0000BF5C0000}"/>
    <cellStyle name="Percent 9 3 26" xfId="23360" xr:uid="{00000000-0005-0000-0000-0000C05C0000}"/>
    <cellStyle name="Percent 9 3 27" xfId="23361" xr:uid="{00000000-0005-0000-0000-0000C15C0000}"/>
    <cellStyle name="Percent 9 3 28" xfId="23362" xr:uid="{00000000-0005-0000-0000-0000C25C0000}"/>
    <cellStyle name="Percent 9 3 29" xfId="23363" xr:uid="{00000000-0005-0000-0000-0000C35C0000}"/>
    <cellStyle name="Percent 9 3 3" xfId="23364" xr:uid="{00000000-0005-0000-0000-0000C45C0000}"/>
    <cellStyle name="Percent 9 3 30" xfId="23365" xr:uid="{00000000-0005-0000-0000-0000C55C0000}"/>
    <cellStyle name="Percent 9 3 31" xfId="23366" xr:uid="{00000000-0005-0000-0000-0000C65C0000}"/>
    <cellStyle name="Percent 9 3 32" xfId="23367" xr:uid="{00000000-0005-0000-0000-0000C75C0000}"/>
    <cellStyle name="Percent 9 3 33" xfId="23368" xr:uid="{00000000-0005-0000-0000-0000C85C0000}"/>
    <cellStyle name="Percent 9 3 34" xfId="23369" xr:uid="{00000000-0005-0000-0000-0000C95C0000}"/>
    <cellStyle name="Percent 9 3 35" xfId="23370" xr:uid="{00000000-0005-0000-0000-0000CA5C0000}"/>
    <cellStyle name="Percent 9 3 36" xfId="23371" xr:uid="{00000000-0005-0000-0000-0000CB5C0000}"/>
    <cellStyle name="Percent 9 3 37" xfId="23372" xr:uid="{00000000-0005-0000-0000-0000CC5C0000}"/>
    <cellStyle name="Percent 9 3 38" xfId="23373" xr:uid="{00000000-0005-0000-0000-0000CD5C0000}"/>
    <cellStyle name="Percent 9 3 39" xfId="23374" xr:uid="{00000000-0005-0000-0000-0000CE5C0000}"/>
    <cellStyle name="Percent 9 3 4" xfId="23375" xr:uid="{00000000-0005-0000-0000-0000CF5C0000}"/>
    <cellStyle name="Percent 9 3 40" xfId="23376" xr:uid="{00000000-0005-0000-0000-0000D05C0000}"/>
    <cellStyle name="Percent 9 3 41" xfId="23377" xr:uid="{00000000-0005-0000-0000-0000D15C0000}"/>
    <cellStyle name="Percent 9 3 42" xfId="23378" xr:uid="{00000000-0005-0000-0000-0000D25C0000}"/>
    <cellStyle name="Percent 9 3 43" xfId="23379" xr:uid="{00000000-0005-0000-0000-0000D35C0000}"/>
    <cellStyle name="Percent 9 3 44" xfId="23380" xr:uid="{00000000-0005-0000-0000-0000D45C0000}"/>
    <cellStyle name="Percent 9 3 45" xfId="23381" xr:uid="{00000000-0005-0000-0000-0000D55C0000}"/>
    <cellStyle name="Percent 9 3 46" xfId="23382" xr:uid="{00000000-0005-0000-0000-0000D65C0000}"/>
    <cellStyle name="Percent 9 3 47" xfId="23383" xr:uid="{00000000-0005-0000-0000-0000D75C0000}"/>
    <cellStyle name="Percent 9 3 48" xfId="23384" xr:uid="{00000000-0005-0000-0000-0000D85C0000}"/>
    <cellStyle name="Percent 9 3 49" xfId="23385" xr:uid="{00000000-0005-0000-0000-0000D95C0000}"/>
    <cellStyle name="Percent 9 3 5" xfId="23386" xr:uid="{00000000-0005-0000-0000-0000DA5C0000}"/>
    <cellStyle name="Percent 9 3 50" xfId="23387" xr:uid="{00000000-0005-0000-0000-0000DB5C0000}"/>
    <cellStyle name="Percent 9 3 51" xfId="23388" xr:uid="{00000000-0005-0000-0000-0000DC5C0000}"/>
    <cellStyle name="Percent 9 3 52" xfId="23389" xr:uid="{00000000-0005-0000-0000-0000DD5C0000}"/>
    <cellStyle name="Percent 9 3 53" xfId="23390" xr:uid="{00000000-0005-0000-0000-0000DE5C0000}"/>
    <cellStyle name="Percent 9 3 54" xfId="23391" xr:uid="{00000000-0005-0000-0000-0000DF5C0000}"/>
    <cellStyle name="Percent 9 3 55" xfId="23392" xr:uid="{00000000-0005-0000-0000-0000E05C0000}"/>
    <cellStyle name="Percent 9 3 56" xfId="23393" xr:uid="{00000000-0005-0000-0000-0000E15C0000}"/>
    <cellStyle name="Percent 9 3 57" xfId="23394" xr:uid="{00000000-0005-0000-0000-0000E25C0000}"/>
    <cellStyle name="Percent 9 3 58" xfId="23395" xr:uid="{00000000-0005-0000-0000-0000E35C0000}"/>
    <cellStyle name="Percent 9 3 59" xfId="23396" xr:uid="{00000000-0005-0000-0000-0000E45C0000}"/>
    <cellStyle name="Percent 9 3 6" xfId="23397" xr:uid="{00000000-0005-0000-0000-0000E55C0000}"/>
    <cellStyle name="Percent 9 3 60" xfId="23398" xr:uid="{00000000-0005-0000-0000-0000E65C0000}"/>
    <cellStyle name="Percent 9 3 61" xfId="23399" xr:uid="{00000000-0005-0000-0000-0000E75C0000}"/>
    <cellStyle name="Percent 9 3 62" xfId="23400" xr:uid="{00000000-0005-0000-0000-0000E85C0000}"/>
    <cellStyle name="Percent 9 3 63" xfId="23401" xr:uid="{00000000-0005-0000-0000-0000E95C0000}"/>
    <cellStyle name="Percent 9 3 64" xfId="23402" xr:uid="{00000000-0005-0000-0000-0000EA5C0000}"/>
    <cellStyle name="Percent 9 3 65" xfId="23403" xr:uid="{00000000-0005-0000-0000-0000EB5C0000}"/>
    <cellStyle name="Percent 9 3 66" xfId="23404" xr:uid="{00000000-0005-0000-0000-0000EC5C0000}"/>
    <cellStyle name="Percent 9 3 67" xfId="23405" xr:uid="{00000000-0005-0000-0000-0000ED5C0000}"/>
    <cellStyle name="Percent 9 3 68" xfId="23406" xr:uid="{00000000-0005-0000-0000-0000EE5C0000}"/>
    <cellStyle name="Percent 9 3 69" xfId="23407" xr:uid="{00000000-0005-0000-0000-0000EF5C0000}"/>
    <cellStyle name="Percent 9 3 7" xfId="23408" xr:uid="{00000000-0005-0000-0000-0000F05C0000}"/>
    <cellStyle name="Percent 9 3 8" xfId="23409" xr:uid="{00000000-0005-0000-0000-0000F15C0000}"/>
    <cellStyle name="Percent 9 3 9" xfId="23410" xr:uid="{00000000-0005-0000-0000-0000F25C0000}"/>
    <cellStyle name="Percent 9 4" xfId="23411" xr:uid="{00000000-0005-0000-0000-0000F35C0000}"/>
    <cellStyle name="Percent 9 4 10" xfId="23412" xr:uid="{00000000-0005-0000-0000-0000F45C0000}"/>
    <cellStyle name="Percent 9 4 11" xfId="23413" xr:uid="{00000000-0005-0000-0000-0000F55C0000}"/>
    <cellStyle name="Percent 9 4 12" xfId="23414" xr:uid="{00000000-0005-0000-0000-0000F65C0000}"/>
    <cellStyle name="Percent 9 4 13" xfId="23415" xr:uid="{00000000-0005-0000-0000-0000F75C0000}"/>
    <cellStyle name="Percent 9 4 14" xfId="23416" xr:uid="{00000000-0005-0000-0000-0000F85C0000}"/>
    <cellStyle name="Percent 9 4 2" xfId="23417" xr:uid="{00000000-0005-0000-0000-0000F95C0000}"/>
    <cellStyle name="Percent 9 4 2 10" xfId="23418" xr:uid="{00000000-0005-0000-0000-0000FA5C0000}"/>
    <cellStyle name="Percent 9 4 2 11" xfId="23419" xr:uid="{00000000-0005-0000-0000-0000FB5C0000}"/>
    <cellStyle name="Percent 9 4 2 12" xfId="23420" xr:uid="{00000000-0005-0000-0000-0000FC5C0000}"/>
    <cellStyle name="Percent 9 4 2 13" xfId="23421" xr:uid="{00000000-0005-0000-0000-0000FD5C0000}"/>
    <cellStyle name="Percent 9 4 2 2" xfId="23422" xr:uid="{00000000-0005-0000-0000-0000FE5C0000}"/>
    <cellStyle name="Percent 9 4 2 3" xfId="23423" xr:uid="{00000000-0005-0000-0000-0000FF5C0000}"/>
    <cellStyle name="Percent 9 4 2 4" xfId="23424" xr:uid="{00000000-0005-0000-0000-0000005D0000}"/>
    <cellStyle name="Percent 9 4 2 5" xfId="23425" xr:uid="{00000000-0005-0000-0000-0000015D0000}"/>
    <cellStyle name="Percent 9 4 2 6" xfId="23426" xr:uid="{00000000-0005-0000-0000-0000025D0000}"/>
    <cellStyle name="Percent 9 4 2 7" xfId="23427" xr:uid="{00000000-0005-0000-0000-0000035D0000}"/>
    <cellStyle name="Percent 9 4 2 8" xfId="23428" xr:uid="{00000000-0005-0000-0000-0000045D0000}"/>
    <cellStyle name="Percent 9 4 2 9" xfId="23429" xr:uid="{00000000-0005-0000-0000-0000055D0000}"/>
    <cellStyle name="Percent 9 4 3" xfId="23430" xr:uid="{00000000-0005-0000-0000-0000065D0000}"/>
    <cellStyle name="Percent 9 4 4" xfId="23431" xr:uid="{00000000-0005-0000-0000-0000075D0000}"/>
    <cellStyle name="Percent 9 4 5" xfId="23432" xr:uid="{00000000-0005-0000-0000-0000085D0000}"/>
    <cellStyle name="Percent 9 4 6" xfId="23433" xr:uid="{00000000-0005-0000-0000-0000095D0000}"/>
    <cellStyle name="Percent 9 4 7" xfId="23434" xr:uid="{00000000-0005-0000-0000-00000A5D0000}"/>
    <cellStyle name="Percent 9 4 8" xfId="23435" xr:uid="{00000000-0005-0000-0000-00000B5D0000}"/>
    <cellStyle name="Percent 9 4 9" xfId="23436" xr:uid="{00000000-0005-0000-0000-00000C5D0000}"/>
    <cellStyle name="Percent 9 5" xfId="23437" xr:uid="{00000000-0005-0000-0000-00000D5D0000}"/>
    <cellStyle name="Percent 9 5 10" xfId="23438" xr:uid="{00000000-0005-0000-0000-00000E5D0000}"/>
    <cellStyle name="Percent 9 5 11" xfId="23439" xr:uid="{00000000-0005-0000-0000-00000F5D0000}"/>
    <cellStyle name="Percent 9 5 12" xfId="23440" xr:uid="{00000000-0005-0000-0000-0000105D0000}"/>
    <cellStyle name="Percent 9 5 13" xfId="23441" xr:uid="{00000000-0005-0000-0000-0000115D0000}"/>
    <cellStyle name="Percent 9 5 14" xfId="23442" xr:uid="{00000000-0005-0000-0000-0000125D0000}"/>
    <cellStyle name="Percent 9 5 2" xfId="23443" xr:uid="{00000000-0005-0000-0000-0000135D0000}"/>
    <cellStyle name="Percent 9 5 2 10" xfId="23444" xr:uid="{00000000-0005-0000-0000-0000145D0000}"/>
    <cellStyle name="Percent 9 5 2 11" xfId="23445" xr:uid="{00000000-0005-0000-0000-0000155D0000}"/>
    <cellStyle name="Percent 9 5 2 12" xfId="23446" xr:uid="{00000000-0005-0000-0000-0000165D0000}"/>
    <cellStyle name="Percent 9 5 2 13" xfId="23447" xr:uid="{00000000-0005-0000-0000-0000175D0000}"/>
    <cellStyle name="Percent 9 5 2 2" xfId="23448" xr:uid="{00000000-0005-0000-0000-0000185D0000}"/>
    <cellStyle name="Percent 9 5 2 3" xfId="23449" xr:uid="{00000000-0005-0000-0000-0000195D0000}"/>
    <cellStyle name="Percent 9 5 2 4" xfId="23450" xr:uid="{00000000-0005-0000-0000-00001A5D0000}"/>
    <cellStyle name="Percent 9 5 2 5" xfId="23451" xr:uid="{00000000-0005-0000-0000-00001B5D0000}"/>
    <cellStyle name="Percent 9 5 2 6" xfId="23452" xr:uid="{00000000-0005-0000-0000-00001C5D0000}"/>
    <cellStyle name="Percent 9 5 2 7" xfId="23453" xr:uid="{00000000-0005-0000-0000-00001D5D0000}"/>
    <cellStyle name="Percent 9 5 2 8" xfId="23454" xr:uid="{00000000-0005-0000-0000-00001E5D0000}"/>
    <cellStyle name="Percent 9 5 2 9" xfId="23455" xr:uid="{00000000-0005-0000-0000-00001F5D0000}"/>
    <cellStyle name="Percent 9 5 3" xfId="23456" xr:uid="{00000000-0005-0000-0000-0000205D0000}"/>
    <cellStyle name="Percent 9 5 4" xfId="23457" xr:uid="{00000000-0005-0000-0000-0000215D0000}"/>
    <cellStyle name="Percent 9 5 5" xfId="23458" xr:uid="{00000000-0005-0000-0000-0000225D0000}"/>
    <cellStyle name="Percent 9 5 6" xfId="23459" xr:uid="{00000000-0005-0000-0000-0000235D0000}"/>
    <cellStyle name="Percent 9 5 7" xfId="23460" xr:uid="{00000000-0005-0000-0000-0000245D0000}"/>
    <cellStyle name="Percent 9 5 8" xfId="23461" xr:uid="{00000000-0005-0000-0000-0000255D0000}"/>
    <cellStyle name="Percent 9 5 9" xfId="23462" xr:uid="{00000000-0005-0000-0000-0000265D0000}"/>
    <cellStyle name="Percent 9 6" xfId="23463" xr:uid="{00000000-0005-0000-0000-0000275D0000}"/>
    <cellStyle name="Percent 9 6 10" xfId="23464" xr:uid="{00000000-0005-0000-0000-0000285D0000}"/>
    <cellStyle name="Percent 9 6 11" xfId="23465" xr:uid="{00000000-0005-0000-0000-0000295D0000}"/>
    <cellStyle name="Percent 9 6 12" xfId="23466" xr:uid="{00000000-0005-0000-0000-00002A5D0000}"/>
    <cellStyle name="Percent 9 6 13" xfId="23467" xr:uid="{00000000-0005-0000-0000-00002B5D0000}"/>
    <cellStyle name="Percent 9 6 2" xfId="23468" xr:uid="{00000000-0005-0000-0000-00002C5D0000}"/>
    <cellStyle name="Percent 9 6 3" xfId="23469" xr:uid="{00000000-0005-0000-0000-00002D5D0000}"/>
    <cellStyle name="Percent 9 6 4" xfId="23470" xr:uid="{00000000-0005-0000-0000-00002E5D0000}"/>
    <cellStyle name="Percent 9 6 5" xfId="23471" xr:uid="{00000000-0005-0000-0000-00002F5D0000}"/>
    <cellStyle name="Percent 9 6 6" xfId="23472" xr:uid="{00000000-0005-0000-0000-0000305D0000}"/>
    <cellStyle name="Percent 9 6 7" xfId="23473" xr:uid="{00000000-0005-0000-0000-0000315D0000}"/>
    <cellStyle name="Percent 9 6 8" xfId="23474" xr:uid="{00000000-0005-0000-0000-0000325D0000}"/>
    <cellStyle name="Percent 9 6 9" xfId="23475" xr:uid="{00000000-0005-0000-0000-0000335D0000}"/>
    <cellStyle name="Percent 9 7" xfId="23476" xr:uid="{00000000-0005-0000-0000-0000345D0000}"/>
    <cellStyle name="Percent 9 8" xfId="23477" xr:uid="{00000000-0005-0000-0000-0000355D0000}"/>
    <cellStyle name="Percent 9 9" xfId="23478" xr:uid="{00000000-0005-0000-0000-0000365D0000}"/>
    <cellStyle name="Percent Input" xfId="23479" xr:uid="{00000000-0005-0000-0000-0000375D0000}"/>
    <cellStyle name="Percent(0)" xfId="23480" xr:uid="{00000000-0005-0000-0000-0000385D0000}"/>
    <cellStyle name="Percent(1)" xfId="23481" xr:uid="{00000000-0005-0000-0000-0000395D0000}"/>
    <cellStyle name="Percent(2)" xfId="23482" xr:uid="{00000000-0005-0000-0000-00003A5D0000}"/>
    <cellStyle name="Percent*" xfId="23483" xr:uid="{00000000-0005-0000-0000-00003B5D0000}"/>
    <cellStyle name="Percent[1]" xfId="23484" xr:uid="{00000000-0005-0000-0000-00003C5D0000}"/>
    <cellStyle name="Percent[2]" xfId="23485" xr:uid="{00000000-0005-0000-0000-00003D5D0000}"/>
    <cellStyle name="Percent[2D]" xfId="23486" xr:uid="{00000000-0005-0000-0000-00003E5D0000}"/>
    <cellStyle name="Percent1" xfId="23487" xr:uid="{00000000-0005-0000-0000-00003F5D0000}"/>
    <cellStyle name="Percent2" xfId="23488" xr:uid="{00000000-0005-0000-0000-0000405D0000}"/>
    <cellStyle name="percentage" xfId="23489" xr:uid="{00000000-0005-0000-0000-0000415D0000}"/>
    <cellStyle name="PillarText" xfId="23490" xr:uid="{00000000-0005-0000-0000-0000425D0000}"/>
    <cellStyle name="Pre-inputted cells" xfId="23491" xr:uid="{00000000-0005-0000-0000-0000435D0000}"/>
    <cellStyle name="Pre-inputted cells 10" xfId="23492" xr:uid="{00000000-0005-0000-0000-0000445D0000}"/>
    <cellStyle name="Pre-inputted cells 10 10" xfId="23493" xr:uid="{00000000-0005-0000-0000-0000455D0000}"/>
    <cellStyle name="Pre-inputted cells 10 11" xfId="23494" xr:uid="{00000000-0005-0000-0000-0000465D0000}"/>
    <cellStyle name="Pre-inputted cells 10 12" xfId="23495" xr:uid="{00000000-0005-0000-0000-0000475D0000}"/>
    <cellStyle name="Pre-inputted cells 10 13" xfId="23496" xr:uid="{00000000-0005-0000-0000-0000485D0000}"/>
    <cellStyle name="Pre-inputted cells 10 14" xfId="23497" xr:uid="{00000000-0005-0000-0000-0000495D0000}"/>
    <cellStyle name="Pre-inputted cells 10 15" xfId="23498" xr:uid="{00000000-0005-0000-0000-00004A5D0000}"/>
    <cellStyle name="Pre-inputted cells 10 16" xfId="23499" xr:uid="{00000000-0005-0000-0000-00004B5D0000}"/>
    <cellStyle name="Pre-inputted cells 10 17" xfId="23500" xr:uid="{00000000-0005-0000-0000-00004C5D0000}"/>
    <cellStyle name="Pre-inputted cells 10 18" xfId="23501" xr:uid="{00000000-0005-0000-0000-00004D5D0000}"/>
    <cellStyle name="Pre-inputted cells 10 19" xfId="23502" xr:uid="{00000000-0005-0000-0000-00004E5D0000}"/>
    <cellStyle name="Pre-inputted cells 10 2" xfId="23503" xr:uid="{00000000-0005-0000-0000-00004F5D0000}"/>
    <cellStyle name="Pre-inputted cells 10 2 10" xfId="23504" xr:uid="{00000000-0005-0000-0000-0000505D0000}"/>
    <cellStyle name="Pre-inputted cells 10 2 11" xfId="23505" xr:uid="{00000000-0005-0000-0000-0000515D0000}"/>
    <cellStyle name="Pre-inputted cells 10 2 12" xfId="23506" xr:uid="{00000000-0005-0000-0000-0000525D0000}"/>
    <cellStyle name="Pre-inputted cells 10 2 13" xfId="23507" xr:uid="{00000000-0005-0000-0000-0000535D0000}"/>
    <cellStyle name="Pre-inputted cells 10 2 2" xfId="23508" xr:uid="{00000000-0005-0000-0000-0000545D0000}"/>
    <cellStyle name="Pre-inputted cells 10 2 3" xfId="23509" xr:uid="{00000000-0005-0000-0000-0000555D0000}"/>
    <cellStyle name="Pre-inputted cells 10 2 4" xfId="23510" xr:uid="{00000000-0005-0000-0000-0000565D0000}"/>
    <cellStyle name="Pre-inputted cells 10 2 5" xfId="23511" xr:uid="{00000000-0005-0000-0000-0000575D0000}"/>
    <cellStyle name="Pre-inputted cells 10 2 6" xfId="23512" xr:uid="{00000000-0005-0000-0000-0000585D0000}"/>
    <cellStyle name="Pre-inputted cells 10 2 7" xfId="23513" xr:uid="{00000000-0005-0000-0000-0000595D0000}"/>
    <cellStyle name="Pre-inputted cells 10 2 8" xfId="23514" xr:uid="{00000000-0005-0000-0000-00005A5D0000}"/>
    <cellStyle name="Pre-inputted cells 10 2 9" xfId="23515" xr:uid="{00000000-0005-0000-0000-00005B5D0000}"/>
    <cellStyle name="Pre-inputted cells 10 20" xfId="23516" xr:uid="{00000000-0005-0000-0000-00005C5D0000}"/>
    <cellStyle name="Pre-inputted cells 10 21" xfId="23517" xr:uid="{00000000-0005-0000-0000-00005D5D0000}"/>
    <cellStyle name="Pre-inputted cells 10 22" xfId="23518" xr:uid="{00000000-0005-0000-0000-00005E5D0000}"/>
    <cellStyle name="Pre-inputted cells 10 23" xfId="23519" xr:uid="{00000000-0005-0000-0000-00005F5D0000}"/>
    <cellStyle name="Pre-inputted cells 10 24" xfId="23520" xr:uid="{00000000-0005-0000-0000-0000605D0000}"/>
    <cellStyle name="Pre-inputted cells 10 25" xfId="23521" xr:uid="{00000000-0005-0000-0000-0000615D0000}"/>
    <cellStyle name="Pre-inputted cells 10 26" xfId="23522" xr:uid="{00000000-0005-0000-0000-0000625D0000}"/>
    <cellStyle name="Pre-inputted cells 10 27" xfId="23523" xr:uid="{00000000-0005-0000-0000-0000635D0000}"/>
    <cellStyle name="Pre-inputted cells 10 28" xfId="23524" xr:uid="{00000000-0005-0000-0000-0000645D0000}"/>
    <cellStyle name="Pre-inputted cells 10 29" xfId="23525" xr:uid="{00000000-0005-0000-0000-0000655D0000}"/>
    <cellStyle name="Pre-inputted cells 10 3" xfId="23526" xr:uid="{00000000-0005-0000-0000-0000665D0000}"/>
    <cellStyle name="Pre-inputted cells 10 30" xfId="23527" xr:uid="{00000000-0005-0000-0000-0000675D0000}"/>
    <cellStyle name="Pre-inputted cells 10 31" xfId="23528" xr:uid="{00000000-0005-0000-0000-0000685D0000}"/>
    <cellStyle name="Pre-inputted cells 10 32" xfId="23529" xr:uid="{00000000-0005-0000-0000-0000695D0000}"/>
    <cellStyle name="Pre-inputted cells 10 33" xfId="23530" xr:uid="{00000000-0005-0000-0000-00006A5D0000}"/>
    <cellStyle name="Pre-inputted cells 10 34" xfId="23531" xr:uid="{00000000-0005-0000-0000-00006B5D0000}"/>
    <cellStyle name="Pre-inputted cells 10 4" xfId="23532" xr:uid="{00000000-0005-0000-0000-00006C5D0000}"/>
    <cellStyle name="Pre-inputted cells 10 5" xfId="23533" xr:uid="{00000000-0005-0000-0000-00006D5D0000}"/>
    <cellStyle name="Pre-inputted cells 10 6" xfId="23534" xr:uid="{00000000-0005-0000-0000-00006E5D0000}"/>
    <cellStyle name="Pre-inputted cells 10 7" xfId="23535" xr:uid="{00000000-0005-0000-0000-00006F5D0000}"/>
    <cellStyle name="Pre-inputted cells 10 8" xfId="23536" xr:uid="{00000000-0005-0000-0000-0000705D0000}"/>
    <cellStyle name="Pre-inputted cells 10 9" xfId="23537" xr:uid="{00000000-0005-0000-0000-0000715D0000}"/>
    <cellStyle name="Pre-inputted cells 11" xfId="23538" xr:uid="{00000000-0005-0000-0000-0000725D0000}"/>
    <cellStyle name="Pre-inputted cells 11 10" xfId="23539" xr:uid="{00000000-0005-0000-0000-0000735D0000}"/>
    <cellStyle name="Pre-inputted cells 11 11" xfId="23540" xr:uid="{00000000-0005-0000-0000-0000745D0000}"/>
    <cellStyle name="Pre-inputted cells 11 12" xfId="23541" xr:uid="{00000000-0005-0000-0000-0000755D0000}"/>
    <cellStyle name="Pre-inputted cells 11 13" xfId="23542" xr:uid="{00000000-0005-0000-0000-0000765D0000}"/>
    <cellStyle name="Pre-inputted cells 11 14" xfId="23543" xr:uid="{00000000-0005-0000-0000-0000775D0000}"/>
    <cellStyle name="Pre-inputted cells 11 15" xfId="23544" xr:uid="{00000000-0005-0000-0000-0000785D0000}"/>
    <cellStyle name="Pre-inputted cells 11 16" xfId="23545" xr:uid="{00000000-0005-0000-0000-0000795D0000}"/>
    <cellStyle name="Pre-inputted cells 11 17" xfId="23546" xr:uid="{00000000-0005-0000-0000-00007A5D0000}"/>
    <cellStyle name="Pre-inputted cells 11 18" xfId="23547" xr:uid="{00000000-0005-0000-0000-00007B5D0000}"/>
    <cellStyle name="Pre-inputted cells 11 19" xfId="23548" xr:uid="{00000000-0005-0000-0000-00007C5D0000}"/>
    <cellStyle name="Pre-inputted cells 11 2" xfId="23549" xr:uid="{00000000-0005-0000-0000-00007D5D0000}"/>
    <cellStyle name="Pre-inputted cells 11 2 10" xfId="23550" xr:uid="{00000000-0005-0000-0000-00007E5D0000}"/>
    <cellStyle name="Pre-inputted cells 11 2 11" xfId="23551" xr:uid="{00000000-0005-0000-0000-00007F5D0000}"/>
    <cellStyle name="Pre-inputted cells 11 2 12" xfId="23552" xr:uid="{00000000-0005-0000-0000-0000805D0000}"/>
    <cellStyle name="Pre-inputted cells 11 2 13" xfId="23553" xr:uid="{00000000-0005-0000-0000-0000815D0000}"/>
    <cellStyle name="Pre-inputted cells 11 2 2" xfId="23554" xr:uid="{00000000-0005-0000-0000-0000825D0000}"/>
    <cellStyle name="Pre-inputted cells 11 2 3" xfId="23555" xr:uid="{00000000-0005-0000-0000-0000835D0000}"/>
    <cellStyle name="Pre-inputted cells 11 2 4" xfId="23556" xr:uid="{00000000-0005-0000-0000-0000845D0000}"/>
    <cellStyle name="Pre-inputted cells 11 2 5" xfId="23557" xr:uid="{00000000-0005-0000-0000-0000855D0000}"/>
    <cellStyle name="Pre-inputted cells 11 2 6" xfId="23558" xr:uid="{00000000-0005-0000-0000-0000865D0000}"/>
    <cellStyle name="Pre-inputted cells 11 2 7" xfId="23559" xr:uid="{00000000-0005-0000-0000-0000875D0000}"/>
    <cellStyle name="Pre-inputted cells 11 2 8" xfId="23560" xr:uid="{00000000-0005-0000-0000-0000885D0000}"/>
    <cellStyle name="Pre-inputted cells 11 2 9" xfId="23561" xr:uid="{00000000-0005-0000-0000-0000895D0000}"/>
    <cellStyle name="Pre-inputted cells 11 20" xfId="23562" xr:uid="{00000000-0005-0000-0000-00008A5D0000}"/>
    <cellStyle name="Pre-inputted cells 11 21" xfId="23563" xr:uid="{00000000-0005-0000-0000-00008B5D0000}"/>
    <cellStyle name="Pre-inputted cells 11 22" xfId="23564" xr:uid="{00000000-0005-0000-0000-00008C5D0000}"/>
    <cellStyle name="Pre-inputted cells 11 23" xfId="23565" xr:uid="{00000000-0005-0000-0000-00008D5D0000}"/>
    <cellStyle name="Pre-inputted cells 11 24" xfId="23566" xr:uid="{00000000-0005-0000-0000-00008E5D0000}"/>
    <cellStyle name="Pre-inputted cells 11 25" xfId="23567" xr:uid="{00000000-0005-0000-0000-00008F5D0000}"/>
    <cellStyle name="Pre-inputted cells 11 26" xfId="23568" xr:uid="{00000000-0005-0000-0000-0000905D0000}"/>
    <cellStyle name="Pre-inputted cells 11 27" xfId="23569" xr:uid="{00000000-0005-0000-0000-0000915D0000}"/>
    <cellStyle name="Pre-inputted cells 11 28" xfId="23570" xr:uid="{00000000-0005-0000-0000-0000925D0000}"/>
    <cellStyle name="Pre-inputted cells 11 29" xfId="23571" xr:uid="{00000000-0005-0000-0000-0000935D0000}"/>
    <cellStyle name="Pre-inputted cells 11 3" xfId="23572" xr:uid="{00000000-0005-0000-0000-0000945D0000}"/>
    <cellStyle name="Pre-inputted cells 11 30" xfId="23573" xr:uid="{00000000-0005-0000-0000-0000955D0000}"/>
    <cellStyle name="Pre-inputted cells 11 31" xfId="23574" xr:uid="{00000000-0005-0000-0000-0000965D0000}"/>
    <cellStyle name="Pre-inputted cells 11 32" xfId="23575" xr:uid="{00000000-0005-0000-0000-0000975D0000}"/>
    <cellStyle name="Pre-inputted cells 11 33" xfId="23576" xr:uid="{00000000-0005-0000-0000-0000985D0000}"/>
    <cellStyle name="Pre-inputted cells 11 34" xfId="23577" xr:uid="{00000000-0005-0000-0000-0000995D0000}"/>
    <cellStyle name="Pre-inputted cells 11 4" xfId="23578" xr:uid="{00000000-0005-0000-0000-00009A5D0000}"/>
    <cellStyle name="Pre-inputted cells 11 5" xfId="23579" xr:uid="{00000000-0005-0000-0000-00009B5D0000}"/>
    <cellStyle name="Pre-inputted cells 11 6" xfId="23580" xr:uid="{00000000-0005-0000-0000-00009C5D0000}"/>
    <cellStyle name="Pre-inputted cells 11 7" xfId="23581" xr:uid="{00000000-0005-0000-0000-00009D5D0000}"/>
    <cellStyle name="Pre-inputted cells 11 8" xfId="23582" xr:uid="{00000000-0005-0000-0000-00009E5D0000}"/>
    <cellStyle name="Pre-inputted cells 11 9" xfId="23583" xr:uid="{00000000-0005-0000-0000-00009F5D0000}"/>
    <cellStyle name="Pre-inputted cells 12" xfId="23584" xr:uid="{00000000-0005-0000-0000-0000A05D0000}"/>
    <cellStyle name="Pre-inputted cells 12 10" xfId="23585" xr:uid="{00000000-0005-0000-0000-0000A15D0000}"/>
    <cellStyle name="Pre-inputted cells 12 11" xfId="23586" xr:uid="{00000000-0005-0000-0000-0000A25D0000}"/>
    <cellStyle name="Pre-inputted cells 12 12" xfId="23587" xr:uid="{00000000-0005-0000-0000-0000A35D0000}"/>
    <cellStyle name="Pre-inputted cells 12 13" xfId="23588" xr:uid="{00000000-0005-0000-0000-0000A45D0000}"/>
    <cellStyle name="Pre-inputted cells 12 14" xfId="23589" xr:uid="{00000000-0005-0000-0000-0000A55D0000}"/>
    <cellStyle name="Pre-inputted cells 12 15" xfId="23590" xr:uid="{00000000-0005-0000-0000-0000A65D0000}"/>
    <cellStyle name="Pre-inputted cells 12 16" xfId="23591" xr:uid="{00000000-0005-0000-0000-0000A75D0000}"/>
    <cellStyle name="Pre-inputted cells 12 17" xfId="23592" xr:uid="{00000000-0005-0000-0000-0000A85D0000}"/>
    <cellStyle name="Pre-inputted cells 12 18" xfId="23593" xr:uid="{00000000-0005-0000-0000-0000A95D0000}"/>
    <cellStyle name="Pre-inputted cells 12 19" xfId="23594" xr:uid="{00000000-0005-0000-0000-0000AA5D0000}"/>
    <cellStyle name="Pre-inputted cells 12 2" xfId="23595" xr:uid="{00000000-0005-0000-0000-0000AB5D0000}"/>
    <cellStyle name="Pre-inputted cells 12 2 10" xfId="23596" xr:uid="{00000000-0005-0000-0000-0000AC5D0000}"/>
    <cellStyle name="Pre-inputted cells 12 2 11" xfId="23597" xr:uid="{00000000-0005-0000-0000-0000AD5D0000}"/>
    <cellStyle name="Pre-inputted cells 12 2 12" xfId="23598" xr:uid="{00000000-0005-0000-0000-0000AE5D0000}"/>
    <cellStyle name="Pre-inputted cells 12 2 13" xfId="23599" xr:uid="{00000000-0005-0000-0000-0000AF5D0000}"/>
    <cellStyle name="Pre-inputted cells 12 2 2" xfId="23600" xr:uid="{00000000-0005-0000-0000-0000B05D0000}"/>
    <cellStyle name="Pre-inputted cells 12 2 3" xfId="23601" xr:uid="{00000000-0005-0000-0000-0000B15D0000}"/>
    <cellStyle name="Pre-inputted cells 12 2 4" xfId="23602" xr:uid="{00000000-0005-0000-0000-0000B25D0000}"/>
    <cellStyle name="Pre-inputted cells 12 2 5" xfId="23603" xr:uid="{00000000-0005-0000-0000-0000B35D0000}"/>
    <cellStyle name="Pre-inputted cells 12 2 6" xfId="23604" xr:uid="{00000000-0005-0000-0000-0000B45D0000}"/>
    <cellStyle name="Pre-inputted cells 12 2 7" xfId="23605" xr:uid="{00000000-0005-0000-0000-0000B55D0000}"/>
    <cellStyle name="Pre-inputted cells 12 2 8" xfId="23606" xr:uid="{00000000-0005-0000-0000-0000B65D0000}"/>
    <cellStyle name="Pre-inputted cells 12 2 9" xfId="23607" xr:uid="{00000000-0005-0000-0000-0000B75D0000}"/>
    <cellStyle name="Pre-inputted cells 12 20" xfId="23608" xr:uid="{00000000-0005-0000-0000-0000B85D0000}"/>
    <cellStyle name="Pre-inputted cells 12 21" xfId="23609" xr:uid="{00000000-0005-0000-0000-0000B95D0000}"/>
    <cellStyle name="Pre-inputted cells 12 22" xfId="23610" xr:uid="{00000000-0005-0000-0000-0000BA5D0000}"/>
    <cellStyle name="Pre-inputted cells 12 23" xfId="23611" xr:uid="{00000000-0005-0000-0000-0000BB5D0000}"/>
    <cellStyle name="Pre-inputted cells 12 24" xfId="23612" xr:uid="{00000000-0005-0000-0000-0000BC5D0000}"/>
    <cellStyle name="Pre-inputted cells 12 25" xfId="23613" xr:uid="{00000000-0005-0000-0000-0000BD5D0000}"/>
    <cellStyle name="Pre-inputted cells 12 26" xfId="23614" xr:uid="{00000000-0005-0000-0000-0000BE5D0000}"/>
    <cellStyle name="Pre-inputted cells 12 27" xfId="23615" xr:uid="{00000000-0005-0000-0000-0000BF5D0000}"/>
    <cellStyle name="Pre-inputted cells 12 28" xfId="23616" xr:uid="{00000000-0005-0000-0000-0000C05D0000}"/>
    <cellStyle name="Pre-inputted cells 12 29" xfId="23617" xr:uid="{00000000-0005-0000-0000-0000C15D0000}"/>
    <cellStyle name="Pre-inputted cells 12 3" xfId="23618" xr:uid="{00000000-0005-0000-0000-0000C25D0000}"/>
    <cellStyle name="Pre-inputted cells 12 30" xfId="23619" xr:uid="{00000000-0005-0000-0000-0000C35D0000}"/>
    <cellStyle name="Pre-inputted cells 12 31" xfId="23620" xr:uid="{00000000-0005-0000-0000-0000C45D0000}"/>
    <cellStyle name="Pre-inputted cells 12 32" xfId="23621" xr:uid="{00000000-0005-0000-0000-0000C55D0000}"/>
    <cellStyle name="Pre-inputted cells 12 33" xfId="23622" xr:uid="{00000000-0005-0000-0000-0000C65D0000}"/>
    <cellStyle name="Pre-inputted cells 12 34" xfId="23623" xr:uid="{00000000-0005-0000-0000-0000C75D0000}"/>
    <cellStyle name="Pre-inputted cells 12 4" xfId="23624" xr:uid="{00000000-0005-0000-0000-0000C85D0000}"/>
    <cellStyle name="Pre-inputted cells 12 5" xfId="23625" xr:uid="{00000000-0005-0000-0000-0000C95D0000}"/>
    <cellStyle name="Pre-inputted cells 12 6" xfId="23626" xr:uid="{00000000-0005-0000-0000-0000CA5D0000}"/>
    <cellStyle name="Pre-inputted cells 12 7" xfId="23627" xr:uid="{00000000-0005-0000-0000-0000CB5D0000}"/>
    <cellStyle name="Pre-inputted cells 12 8" xfId="23628" xr:uid="{00000000-0005-0000-0000-0000CC5D0000}"/>
    <cellStyle name="Pre-inputted cells 12 9" xfId="23629" xr:uid="{00000000-0005-0000-0000-0000CD5D0000}"/>
    <cellStyle name="Pre-inputted cells 13" xfId="23630" xr:uid="{00000000-0005-0000-0000-0000CE5D0000}"/>
    <cellStyle name="Pre-inputted cells 13 10" xfId="23631" xr:uid="{00000000-0005-0000-0000-0000CF5D0000}"/>
    <cellStyle name="Pre-inputted cells 13 11" xfId="23632" xr:uid="{00000000-0005-0000-0000-0000D05D0000}"/>
    <cellStyle name="Pre-inputted cells 13 12" xfId="23633" xr:uid="{00000000-0005-0000-0000-0000D15D0000}"/>
    <cellStyle name="Pre-inputted cells 13 13" xfId="23634" xr:uid="{00000000-0005-0000-0000-0000D25D0000}"/>
    <cellStyle name="Pre-inputted cells 13 2" xfId="23635" xr:uid="{00000000-0005-0000-0000-0000D35D0000}"/>
    <cellStyle name="Pre-inputted cells 13 3" xfId="23636" xr:uid="{00000000-0005-0000-0000-0000D45D0000}"/>
    <cellStyle name="Pre-inputted cells 13 4" xfId="23637" xr:uid="{00000000-0005-0000-0000-0000D55D0000}"/>
    <cellStyle name="Pre-inputted cells 13 5" xfId="23638" xr:uid="{00000000-0005-0000-0000-0000D65D0000}"/>
    <cellStyle name="Pre-inputted cells 13 6" xfId="23639" xr:uid="{00000000-0005-0000-0000-0000D75D0000}"/>
    <cellStyle name="Pre-inputted cells 13 7" xfId="23640" xr:uid="{00000000-0005-0000-0000-0000D85D0000}"/>
    <cellStyle name="Pre-inputted cells 13 8" xfId="23641" xr:uid="{00000000-0005-0000-0000-0000D95D0000}"/>
    <cellStyle name="Pre-inputted cells 13 9" xfId="23642" xr:uid="{00000000-0005-0000-0000-0000DA5D0000}"/>
    <cellStyle name="Pre-inputted cells 14" xfId="23643" xr:uid="{00000000-0005-0000-0000-0000DB5D0000}"/>
    <cellStyle name="Pre-inputted cells 14 2" xfId="23644" xr:uid="{00000000-0005-0000-0000-0000DC5D0000}"/>
    <cellStyle name="Pre-inputted cells 14 2 2" xfId="23645" xr:uid="{00000000-0005-0000-0000-0000DD5D0000}"/>
    <cellStyle name="Pre-inputted cells 14 2 3" xfId="23646" xr:uid="{00000000-0005-0000-0000-0000DE5D0000}"/>
    <cellStyle name="Pre-inputted cells 14 3" xfId="23647" xr:uid="{00000000-0005-0000-0000-0000DF5D0000}"/>
    <cellStyle name="Pre-inputted cells 14 3 2" xfId="23648" xr:uid="{00000000-0005-0000-0000-0000E05D0000}"/>
    <cellStyle name="Pre-inputted cells 15" xfId="23649" xr:uid="{00000000-0005-0000-0000-0000E15D0000}"/>
    <cellStyle name="Pre-inputted cells 15 2" xfId="23650" xr:uid="{00000000-0005-0000-0000-0000E25D0000}"/>
    <cellStyle name="Pre-inputted cells 15 2 2" xfId="23651" xr:uid="{00000000-0005-0000-0000-0000E35D0000}"/>
    <cellStyle name="Pre-inputted cells 16" xfId="23652" xr:uid="{00000000-0005-0000-0000-0000E45D0000}"/>
    <cellStyle name="Pre-inputted cells 16 2" xfId="23653" xr:uid="{00000000-0005-0000-0000-0000E55D0000}"/>
    <cellStyle name="Pre-inputted cells 17" xfId="23654" xr:uid="{00000000-0005-0000-0000-0000E65D0000}"/>
    <cellStyle name="Pre-inputted cells 18" xfId="23655" xr:uid="{00000000-0005-0000-0000-0000E75D0000}"/>
    <cellStyle name="Pre-inputted cells 19" xfId="23656" xr:uid="{00000000-0005-0000-0000-0000E85D0000}"/>
    <cellStyle name="Pre-inputted cells 2" xfId="23657" xr:uid="{00000000-0005-0000-0000-0000E95D0000}"/>
    <cellStyle name="Pre-inputted cells 2 10" xfId="23658" xr:uid="{00000000-0005-0000-0000-0000EA5D0000}"/>
    <cellStyle name="Pre-inputted cells 2 11" xfId="23659" xr:uid="{00000000-0005-0000-0000-0000EB5D0000}"/>
    <cellStyle name="Pre-inputted cells 2 12" xfId="23660" xr:uid="{00000000-0005-0000-0000-0000EC5D0000}"/>
    <cellStyle name="Pre-inputted cells 2 13" xfId="23661" xr:uid="{00000000-0005-0000-0000-0000ED5D0000}"/>
    <cellStyle name="Pre-inputted cells 2 14" xfId="23662" xr:uid="{00000000-0005-0000-0000-0000EE5D0000}"/>
    <cellStyle name="Pre-inputted cells 2 15" xfId="23663" xr:uid="{00000000-0005-0000-0000-0000EF5D0000}"/>
    <cellStyle name="Pre-inputted cells 2 16" xfId="23664" xr:uid="{00000000-0005-0000-0000-0000F05D0000}"/>
    <cellStyle name="Pre-inputted cells 2 17" xfId="23665" xr:uid="{00000000-0005-0000-0000-0000F15D0000}"/>
    <cellStyle name="Pre-inputted cells 2 18" xfId="23666" xr:uid="{00000000-0005-0000-0000-0000F25D0000}"/>
    <cellStyle name="Pre-inputted cells 2 19" xfId="23667" xr:uid="{00000000-0005-0000-0000-0000F35D0000}"/>
    <cellStyle name="Pre-inputted cells 2 2" xfId="23668" xr:uid="{00000000-0005-0000-0000-0000F45D0000}"/>
    <cellStyle name="Pre-inputted cells 2 2 10" xfId="23669" xr:uid="{00000000-0005-0000-0000-0000F55D0000}"/>
    <cellStyle name="Pre-inputted cells 2 2 11" xfId="23670" xr:uid="{00000000-0005-0000-0000-0000F65D0000}"/>
    <cellStyle name="Pre-inputted cells 2 2 12" xfId="23671" xr:uid="{00000000-0005-0000-0000-0000F75D0000}"/>
    <cellStyle name="Pre-inputted cells 2 2 13" xfId="23672" xr:uid="{00000000-0005-0000-0000-0000F85D0000}"/>
    <cellStyle name="Pre-inputted cells 2 2 14" xfId="23673" xr:uid="{00000000-0005-0000-0000-0000F95D0000}"/>
    <cellStyle name="Pre-inputted cells 2 2 15" xfId="23674" xr:uid="{00000000-0005-0000-0000-0000FA5D0000}"/>
    <cellStyle name="Pre-inputted cells 2 2 16" xfId="23675" xr:uid="{00000000-0005-0000-0000-0000FB5D0000}"/>
    <cellStyle name="Pre-inputted cells 2 2 17" xfId="23676" xr:uid="{00000000-0005-0000-0000-0000FC5D0000}"/>
    <cellStyle name="Pre-inputted cells 2 2 18" xfId="23677" xr:uid="{00000000-0005-0000-0000-0000FD5D0000}"/>
    <cellStyle name="Pre-inputted cells 2 2 19" xfId="23678" xr:uid="{00000000-0005-0000-0000-0000FE5D0000}"/>
    <cellStyle name="Pre-inputted cells 2 2 2" xfId="23679" xr:uid="{00000000-0005-0000-0000-0000FF5D0000}"/>
    <cellStyle name="Pre-inputted cells 2 2 2 10" xfId="23680" xr:uid="{00000000-0005-0000-0000-0000005E0000}"/>
    <cellStyle name="Pre-inputted cells 2 2 2 11" xfId="23681" xr:uid="{00000000-0005-0000-0000-0000015E0000}"/>
    <cellStyle name="Pre-inputted cells 2 2 2 12" xfId="23682" xr:uid="{00000000-0005-0000-0000-0000025E0000}"/>
    <cellStyle name="Pre-inputted cells 2 2 2 13" xfId="23683" xr:uid="{00000000-0005-0000-0000-0000035E0000}"/>
    <cellStyle name="Pre-inputted cells 2 2 2 14" xfId="23684" xr:uid="{00000000-0005-0000-0000-0000045E0000}"/>
    <cellStyle name="Pre-inputted cells 2 2 2 15" xfId="23685" xr:uid="{00000000-0005-0000-0000-0000055E0000}"/>
    <cellStyle name="Pre-inputted cells 2 2 2 16" xfId="23686" xr:uid="{00000000-0005-0000-0000-0000065E0000}"/>
    <cellStyle name="Pre-inputted cells 2 2 2 17" xfId="23687" xr:uid="{00000000-0005-0000-0000-0000075E0000}"/>
    <cellStyle name="Pre-inputted cells 2 2 2 18" xfId="23688" xr:uid="{00000000-0005-0000-0000-0000085E0000}"/>
    <cellStyle name="Pre-inputted cells 2 2 2 19" xfId="23689" xr:uid="{00000000-0005-0000-0000-0000095E0000}"/>
    <cellStyle name="Pre-inputted cells 2 2 2 2" xfId="23690" xr:uid="{00000000-0005-0000-0000-00000A5E0000}"/>
    <cellStyle name="Pre-inputted cells 2 2 2 2 10" xfId="23691" xr:uid="{00000000-0005-0000-0000-00000B5E0000}"/>
    <cellStyle name="Pre-inputted cells 2 2 2 2 11" xfId="23692" xr:uid="{00000000-0005-0000-0000-00000C5E0000}"/>
    <cellStyle name="Pre-inputted cells 2 2 2 2 12" xfId="23693" xr:uid="{00000000-0005-0000-0000-00000D5E0000}"/>
    <cellStyle name="Pre-inputted cells 2 2 2 2 13" xfId="23694" xr:uid="{00000000-0005-0000-0000-00000E5E0000}"/>
    <cellStyle name="Pre-inputted cells 2 2 2 2 14" xfId="23695" xr:uid="{00000000-0005-0000-0000-00000F5E0000}"/>
    <cellStyle name="Pre-inputted cells 2 2 2 2 15" xfId="23696" xr:uid="{00000000-0005-0000-0000-0000105E0000}"/>
    <cellStyle name="Pre-inputted cells 2 2 2 2 16" xfId="23697" xr:uid="{00000000-0005-0000-0000-0000115E0000}"/>
    <cellStyle name="Pre-inputted cells 2 2 2 2 17" xfId="23698" xr:uid="{00000000-0005-0000-0000-0000125E0000}"/>
    <cellStyle name="Pre-inputted cells 2 2 2 2 18" xfId="23699" xr:uid="{00000000-0005-0000-0000-0000135E0000}"/>
    <cellStyle name="Pre-inputted cells 2 2 2 2 19" xfId="23700" xr:uid="{00000000-0005-0000-0000-0000145E0000}"/>
    <cellStyle name="Pre-inputted cells 2 2 2 2 2" xfId="23701" xr:uid="{00000000-0005-0000-0000-0000155E0000}"/>
    <cellStyle name="Pre-inputted cells 2 2 2 2 2 10" xfId="23702" xr:uid="{00000000-0005-0000-0000-0000165E0000}"/>
    <cellStyle name="Pre-inputted cells 2 2 2 2 2 11" xfId="23703" xr:uid="{00000000-0005-0000-0000-0000175E0000}"/>
    <cellStyle name="Pre-inputted cells 2 2 2 2 2 12" xfId="23704" xr:uid="{00000000-0005-0000-0000-0000185E0000}"/>
    <cellStyle name="Pre-inputted cells 2 2 2 2 2 13" xfId="23705" xr:uid="{00000000-0005-0000-0000-0000195E0000}"/>
    <cellStyle name="Pre-inputted cells 2 2 2 2 2 2" xfId="23706" xr:uid="{00000000-0005-0000-0000-00001A5E0000}"/>
    <cellStyle name="Pre-inputted cells 2 2 2 2 2 3" xfId="23707" xr:uid="{00000000-0005-0000-0000-00001B5E0000}"/>
    <cellStyle name="Pre-inputted cells 2 2 2 2 2 4" xfId="23708" xr:uid="{00000000-0005-0000-0000-00001C5E0000}"/>
    <cellStyle name="Pre-inputted cells 2 2 2 2 2 5" xfId="23709" xr:uid="{00000000-0005-0000-0000-00001D5E0000}"/>
    <cellStyle name="Pre-inputted cells 2 2 2 2 2 6" xfId="23710" xr:uid="{00000000-0005-0000-0000-00001E5E0000}"/>
    <cellStyle name="Pre-inputted cells 2 2 2 2 2 7" xfId="23711" xr:uid="{00000000-0005-0000-0000-00001F5E0000}"/>
    <cellStyle name="Pre-inputted cells 2 2 2 2 2 8" xfId="23712" xr:uid="{00000000-0005-0000-0000-0000205E0000}"/>
    <cellStyle name="Pre-inputted cells 2 2 2 2 2 9" xfId="23713" xr:uid="{00000000-0005-0000-0000-0000215E0000}"/>
    <cellStyle name="Pre-inputted cells 2 2 2 2 20" xfId="23714" xr:uid="{00000000-0005-0000-0000-0000225E0000}"/>
    <cellStyle name="Pre-inputted cells 2 2 2 2 21" xfId="23715" xr:uid="{00000000-0005-0000-0000-0000235E0000}"/>
    <cellStyle name="Pre-inputted cells 2 2 2 2 22" xfId="23716" xr:uid="{00000000-0005-0000-0000-0000245E0000}"/>
    <cellStyle name="Pre-inputted cells 2 2 2 2 23" xfId="23717" xr:uid="{00000000-0005-0000-0000-0000255E0000}"/>
    <cellStyle name="Pre-inputted cells 2 2 2 2 24" xfId="23718" xr:uid="{00000000-0005-0000-0000-0000265E0000}"/>
    <cellStyle name="Pre-inputted cells 2 2 2 2 25" xfId="23719" xr:uid="{00000000-0005-0000-0000-0000275E0000}"/>
    <cellStyle name="Pre-inputted cells 2 2 2 2 26" xfId="23720" xr:uid="{00000000-0005-0000-0000-0000285E0000}"/>
    <cellStyle name="Pre-inputted cells 2 2 2 2 27" xfId="23721" xr:uid="{00000000-0005-0000-0000-0000295E0000}"/>
    <cellStyle name="Pre-inputted cells 2 2 2 2 28" xfId="23722" xr:uid="{00000000-0005-0000-0000-00002A5E0000}"/>
    <cellStyle name="Pre-inputted cells 2 2 2 2 29" xfId="23723" xr:uid="{00000000-0005-0000-0000-00002B5E0000}"/>
    <cellStyle name="Pre-inputted cells 2 2 2 2 3" xfId="23724" xr:uid="{00000000-0005-0000-0000-00002C5E0000}"/>
    <cellStyle name="Pre-inputted cells 2 2 2 2 30" xfId="23725" xr:uid="{00000000-0005-0000-0000-00002D5E0000}"/>
    <cellStyle name="Pre-inputted cells 2 2 2 2 31" xfId="23726" xr:uid="{00000000-0005-0000-0000-00002E5E0000}"/>
    <cellStyle name="Pre-inputted cells 2 2 2 2 32" xfId="23727" xr:uid="{00000000-0005-0000-0000-00002F5E0000}"/>
    <cellStyle name="Pre-inputted cells 2 2 2 2 33" xfId="23728" xr:uid="{00000000-0005-0000-0000-0000305E0000}"/>
    <cellStyle name="Pre-inputted cells 2 2 2 2 34" xfId="23729" xr:uid="{00000000-0005-0000-0000-0000315E0000}"/>
    <cellStyle name="Pre-inputted cells 2 2 2 2 4" xfId="23730" xr:uid="{00000000-0005-0000-0000-0000325E0000}"/>
    <cellStyle name="Pre-inputted cells 2 2 2 2 5" xfId="23731" xr:uid="{00000000-0005-0000-0000-0000335E0000}"/>
    <cellStyle name="Pre-inputted cells 2 2 2 2 6" xfId="23732" xr:uid="{00000000-0005-0000-0000-0000345E0000}"/>
    <cellStyle name="Pre-inputted cells 2 2 2 2 7" xfId="23733" xr:uid="{00000000-0005-0000-0000-0000355E0000}"/>
    <cellStyle name="Pre-inputted cells 2 2 2 2 8" xfId="23734" xr:uid="{00000000-0005-0000-0000-0000365E0000}"/>
    <cellStyle name="Pre-inputted cells 2 2 2 2 9" xfId="23735" xr:uid="{00000000-0005-0000-0000-0000375E0000}"/>
    <cellStyle name="Pre-inputted cells 2 2 2 20" xfId="23736" xr:uid="{00000000-0005-0000-0000-0000385E0000}"/>
    <cellStyle name="Pre-inputted cells 2 2 2 21" xfId="23737" xr:uid="{00000000-0005-0000-0000-0000395E0000}"/>
    <cellStyle name="Pre-inputted cells 2 2 2 22" xfId="23738" xr:uid="{00000000-0005-0000-0000-00003A5E0000}"/>
    <cellStyle name="Pre-inputted cells 2 2 2 23" xfId="23739" xr:uid="{00000000-0005-0000-0000-00003B5E0000}"/>
    <cellStyle name="Pre-inputted cells 2 2 2 24" xfId="23740" xr:uid="{00000000-0005-0000-0000-00003C5E0000}"/>
    <cellStyle name="Pre-inputted cells 2 2 2 25" xfId="23741" xr:uid="{00000000-0005-0000-0000-00003D5E0000}"/>
    <cellStyle name="Pre-inputted cells 2 2 2 26" xfId="23742" xr:uid="{00000000-0005-0000-0000-00003E5E0000}"/>
    <cellStyle name="Pre-inputted cells 2 2 2 27" xfId="23743" xr:uid="{00000000-0005-0000-0000-00003F5E0000}"/>
    <cellStyle name="Pre-inputted cells 2 2 2 28" xfId="23744" xr:uid="{00000000-0005-0000-0000-0000405E0000}"/>
    <cellStyle name="Pre-inputted cells 2 2 2 29" xfId="23745" xr:uid="{00000000-0005-0000-0000-0000415E0000}"/>
    <cellStyle name="Pre-inputted cells 2 2 2 3" xfId="23746" xr:uid="{00000000-0005-0000-0000-0000425E0000}"/>
    <cellStyle name="Pre-inputted cells 2 2 2 3 10" xfId="23747" xr:uid="{00000000-0005-0000-0000-0000435E0000}"/>
    <cellStyle name="Pre-inputted cells 2 2 2 3 11" xfId="23748" xr:uid="{00000000-0005-0000-0000-0000445E0000}"/>
    <cellStyle name="Pre-inputted cells 2 2 2 3 12" xfId="23749" xr:uid="{00000000-0005-0000-0000-0000455E0000}"/>
    <cellStyle name="Pre-inputted cells 2 2 2 3 13" xfId="23750" xr:uid="{00000000-0005-0000-0000-0000465E0000}"/>
    <cellStyle name="Pre-inputted cells 2 2 2 3 2" xfId="23751" xr:uid="{00000000-0005-0000-0000-0000475E0000}"/>
    <cellStyle name="Pre-inputted cells 2 2 2 3 3" xfId="23752" xr:uid="{00000000-0005-0000-0000-0000485E0000}"/>
    <cellStyle name="Pre-inputted cells 2 2 2 3 4" xfId="23753" xr:uid="{00000000-0005-0000-0000-0000495E0000}"/>
    <cellStyle name="Pre-inputted cells 2 2 2 3 5" xfId="23754" xr:uid="{00000000-0005-0000-0000-00004A5E0000}"/>
    <cellStyle name="Pre-inputted cells 2 2 2 3 6" xfId="23755" xr:uid="{00000000-0005-0000-0000-00004B5E0000}"/>
    <cellStyle name="Pre-inputted cells 2 2 2 3 7" xfId="23756" xr:uid="{00000000-0005-0000-0000-00004C5E0000}"/>
    <cellStyle name="Pre-inputted cells 2 2 2 3 8" xfId="23757" xr:uid="{00000000-0005-0000-0000-00004D5E0000}"/>
    <cellStyle name="Pre-inputted cells 2 2 2 3 9" xfId="23758" xr:uid="{00000000-0005-0000-0000-00004E5E0000}"/>
    <cellStyle name="Pre-inputted cells 2 2 2 30" xfId="23759" xr:uid="{00000000-0005-0000-0000-00004F5E0000}"/>
    <cellStyle name="Pre-inputted cells 2 2 2 31" xfId="23760" xr:uid="{00000000-0005-0000-0000-0000505E0000}"/>
    <cellStyle name="Pre-inputted cells 2 2 2 32" xfId="23761" xr:uid="{00000000-0005-0000-0000-0000515E0000}"/>
    <cellStyle name="Pre-inputted cells 2 2 2 33" xfId="23762" xr:uid="{00000000-0005-0000-0000-0000525E0000}"/>
    <cellStyle name="Pre-inputted cells 2 2 2 34" xfId="23763" xr:uid="{00000000-0005-0000-0000-0000535E0000}"/>
    <cellStyle name="Pre-inputted cells 2 2 2 35" xfId="23764" xr:uid="{00000000-0005-0000-0000-0000545E0000}"/>
    <cellStyle name="Pre-inputted cells 2 2 2 4" xfId="23765" xr:uid="{00000000-0005-0000-0000-0000555E0000}"/>
    <cellStyle name="Pre-inputted cells 2 2 2 5" xfId="23766" xr:uid="{00000000-0005-0000-0000-0000565E0000}"/>
    <cellStyle name="Pre-inputted cells 2 2 2 6" xfId="23767" xr:uid="{00000000-0005-0000-0000-0000575E0000}"/>
    <cellStyle name="Pre-inputted cells 2 2 2 7" xfId="23768" xr:uid="{00000000-0005-0000-0000-0000585E0000}"/>
    <cellStyle name="Pre-inputted cells 2 2 2 8" xfId="23769" xr:uid="{00000000-0005-0000-0000-0000595E0000}"/>
    <cellStyle name="Pre-inputted cells 2 2 2 9" xfId="23770" xr:uid="{00000000-0005-0000-0000-00005A5E0000}"/>
    <cellStyle name="Pre-inputted cells 2 2 2_4 28 1_Asst_Health_Crit_AllTO_RIIO_20110714pm" xfId="23771" xr:uid="{00000000-0005-0000-0000-00005B5E0000}"/>
    <cellStyle name="Pre-inputted cells 2 2 20" xfId="23772" xr:uid="{00000000-0005-0000-0000-00005C5E0000}"/>
    <cellStyle name="Pre-inputted cells 2 2 21" xfId="23773" xr:uid="{00000000-0005-0000-0000-00005D5E0000}"/>
    <cellStyle name="Pre-inputted cells 2 2 22" xfId="23774" xr:uid="{00000000-0005-0000-0000-00005E5E0000}"/>
    <cellStyle name="Pre-inputted cells 2 2 23" xfId="23775" xr:uid="{00000000-0005-0000-0000-00005F5E0000}"/>
    <cellStyle name="Pre-inputted cells 2 2 24" xfId="23776" xr:uid="{00000000-0005-0000-0000-0000605E0000}"/>
    <cellStyle name="Pre-inputted cells 2 2 25" xfId="23777" xr:uid="{00000000-0005-0000-0000-0000615E0000}"/>
    <cellStyle name="Pre-inputted cells 2 2 26" xfId="23778" xr:uid="{00000000-0005-0000-0000-0000625E0000}"/>
    <cellStyle name="Pre-inputted cells 2 2 27" xfId="23779" xr:uid="{00000000-0005-0000-0000-0000635E0000}"/>
    <cellStyle name="Pre-inputted cells 2 2 28" xfId="23780" xr:uid="{00000000-0005-0000-0000-0000645E0000}"/>
    <cellStyle name="Pre-inputted cells 2 2 29" xfId="23781" xr:uid="{00000000-0005-0000-0000-0000655E0000}"/>
    <cellStyle name="Pre-inputted cells 2 2 3" xfId="23782" xr:uid="{00000000-0005-0000-0000-0000665E0000}"/>
    <cellStyle name="Pre-inputted cells 2 2 3 10" xfId="23783" xr:uid="{00000000-0005-0000-0000-0000675E0000}"/>
    <cellStyle name="Pre-inputted cells 2 2 3 11" xfId="23784" xr:uid="{00000000-0005-0000-0000-0000685E0000}"/>
    <cellStyle name="Pre-inputted cells 2 2 3 12" xfId="23785" xr:uid="{00000000-0005-0000-0000-0000695E0000}"/>
    <cellStyle name="Pre-inputted cells 2 2 3 13" xfId="23786" xr:uid="{00000000-0005-0000-0000-00006A5E0000}"/>
    <cellStyle name="Pre-inputted cells 2 2 3 14" xfId="23787" xr:uid="{00000000-0005-0000-0000-00006B5E0000}"/>
    <cellStyle name="Pre-inputted cells 2 2 3 15" xfId="23788" xr:uid="{00000000-0005-0000-0000-00006C5E0000}"/>
    <cellStyle name="Pre-inputted cells 2 2 3 16" xfId="23789" xr:uid="{00000000-0005-0000-0000-00006D5E0000}"/>
    <cellStyle name="Pre-inputted cells 2 2 3 17" xfId="23790" xr:uid="{00000000-0005-0000-0000-00006E5E0000}"/>
    <cellStyle name="Pre-inputted cells 2 2 3 18" xfId="23791" xr:uid="{00000000-0005-0000-0000-00006F5E0000}"/>
    <cellStyle name="Pre-inputted cells 2 2 3 19" xfId="23792" xr:uid="{00000000-0005-0000-0000-0000705E0000}"/>
    <cellStyle name="Pre-inputted cells 2 2 3 2" xfId="23793" xr:uid="{00000000-0005-0000-0000-0000715E0000}"/>
    <cellStyle name="Pre-inputted cells 2 2 3 2 10" xfId="23794" xr:uid="{00000000-0005-0000-0000-0000725E0000}"/>
    <cellStyle name="Pre-inputted cells 2 2 3 2 11" xfId="23795" xr:uid="{00000000-0005-0000-0000-0000735E0000}"/>
    <cellStyle name="Pre-inputted cells 2 2 3 2 12" xfId="23796" xr:uid="{00000000-0005-0000-0000-0000745E0000}"/>
    <cellStyle name="Pre-inputted cells 2 2 3 2 13" xfId="23797" xr:uid="{00000000-0005-0000-0000-0000755E0000}"/>
    <cellStyle name="Pre-inputted cells 2 2 3 2 2" xfId="23798" xr:uid="{00000000-0005-0000-0000-0000765E0000}"/>
    <cellStyle name="Pre-inputted cells 2 2 3 2 3" xfId="23799" xr:uid="{00000000-0005-0000-0000-0000775E0000}"/>
    <cellStyle name="Pre-inputted cells 2 2 3 2 4" xfId="23800" xr:uid="{00000000-0005-0000-0000-0000785E0000}"/>
    <cellStyle name="Pre-inputted cells 2 2 3 2 5" xfId="23801" xr:uid="{00000000-0005-0000-0000-0000795E0000}"/>
    <cellStyle name="Pre-inputted cells 2 2 3 2 6" xfId="23802" xr:uid="{00000000-0005-0000-0000-00007A5E0000}"/>
    <cellStyle name="Pre-inputted cells 2 2 3 2 7" xfId="23803" xr:uid="{00000000-0005-0000-0000-00007B5E0000}"/>
    <cellStyle name="Pre-inputted cells 2 2 3 2 8" xfId="23804" xr:uid="{00000000-0005-0000-0000-00007C5E0000}"/>
    <cellStyle name="Pre-inputted cells 2 2 3 2 9" xfId="23805" xr:uid="{00000000-0005-0000-0000-00007D5E0000}"/>
    <cellStyle name="Pre-inputted cells 2 2 3 20" xfId="23806" xr:uid="{00000000-0005-0000-0000-00007E5E0000}"/>
    <cellStyle name="Pre-inputted cells 2 2 3 21" xfId="23807" xr:uid="{00000000-0005-0000-0000-00007F5E0000}"/>
    <cellStyle name="Pre-inputted cells 2 2 3 22" xfId="23808" xr:uid="{00000000-0005-0000-0000-0000805E0000}"/>
    <cellStyle name="Pre-inputted cells 2 2 3 23" xfId="23809" xr:uid="{00000000-0005-0000-0000-0000815E0000}"/>
    <cellStyle name="Pre-inputted cells 2 2 3 24" xfId="23810" xr:uid="{00000000-0005-0000-0000-0000825E0000}"/>
    <cellStyle name="Pre-inputted cells 2 2 3 25" xfId="23811" xr:uid="{00000000-0005-0000-0000-0000835E0000}"/>
    <cellStyle name="Pre-inputted cells 2 2 3 26" xfId="23812" xr:uid="{00000000-0005-0000-0000-0000845E0000}"/>
    <cellStyle name="Pre-inputted cells 2 2 3 27" xfId="23813" xr:uid="{00000000-0005-0000-0000-0000855E0000}"/>
    <cellStyle name="Pre-inputted cells 2 2 3 28" xfId="23814" xr:uid="{00000000-0005-0000-0000-0000865E0000}"/>
    <cellStyle name="Pre-inputted cells 2 2 3 29" xfId="23815" xr:uid="{00000000-0005-0000-0000-0000875E0000}"/>
    <cellStyle name="Pre-inputted cells 2 2 3 3" xfId="23816" xr:uid="{00000000-0005-0000-0000-0000885E0000}"/>
    <cellStyle name="Pre-inputted cells 2 2 3 30" xfId="23817" xr:uid="{00000000-0005-0000-0000-0000895E0000}"/>
    <cellStyle name="Pre-inputted cells 2 2 3 31" xfId="23818" xr:uid="{00000000-0005-0000-0000-00008A5E0000}"/>
    <cellStyle name="Pre-inputted cells 2 2 3 32" xfId="23819" xr:uid="{00000000-0005-0000-0000-00008B5E0000}"/>
    <cellStyle name="Pre-inputted cells 2 2 3 33" xfId="23820" xr:uid="{00000000-0005-0000-0000-00008C5E0000}"/>
    <cellStyle name="Pre-inputted cells 2 2 3 34" xfId="23821" xr:uid="{00000000-0005-0000-0000-00008D5E0000}"/>
    <cellStyle name="Pre-inputted cells 2 2 3 4" xfId="23822" xr:uid="{00000000-0005-0000-0000-00008E5E0000}"/>
    <cellStyle name="Pre-inputted cells 2 2 3 5" xfId="23823" xr:uid="{00000000-0005-0000-0000-00008F5E0000}"/>
    <cellStyle name="Pre-inputted cells 2 2 3 6" xfId="23824" xr:uid="{00000000-0005-0000-0000-0000905E0000}"/>
    <cellStyle name="Pre-inputted cells 2 2 3 7" xfId="23825" xr:uid="{00000000-0005-0000-0000-0000915E0000}"/>
    <cellStyle name="Pre-inputted cells 2 2 3 8" xfId="23826" xr:uid="{00000000-0005-0000-0000-0000925E0000}"/>
    <cellStyle name="Pre-inputted cells 2 2 3 9" xfId="23827" xr:uid="{00000000-0005-0000-0000-0000935E0000}"/>
    <cellStyle name="Pre-inputted cells 2 2 30" xfId="23828" xr:uid="{00000000-0005-0000-0000-0000945E0000}"/>
    <cellStyle name="Pre-inputted cells 2 2 31" xfId="23829" xr:uid="{00000000-0005-0000-0000-0000955E0000}"/>
    <cellStyle name="Pre-inputted cells 2 2 32" xfId="23830" xr:uid="{00000000-0005-0000-0000-0000965E0000}"/>
    <cellStyle name="Pre-inputted cells 2 2 33" xfId="23831" xr:uid="{00000000-0005-0000-0000-0000975E0000}"/>
    <cellStyle name="Pre-inputted cells 2 2 34" xfId="23832" xr:uid="{00000000-0005-0000-0000-0000985E0000}"/>
    <cellStyle name="Pre-inputted cells 2 2 35" xfId="23833" xr:uid="{00000000-0005-0000-0000-0000995E0000}"/>
    <cellStyle name="Pre-inputted cells 2 2 36" xfId="23834" xr:uid="{00000000-0005-0000-0000-00009A5E0000}"/>
    <cellStyle name="Pre-inputted cells 2 2 37" xfId="23835" xr:uid="{00000000-0005-0000-0000-00009B5E0000}"/>
    <cellStyle name="Pre-inputted cells 2 2 38" xfId="23836" xr:uid="{00000000-0005-0000-0000-00009C5E0000}"/>
    <cellStyle name="Pre-inputted cells 2 2 4" xfId="23837" xr:uid="{00000000-0005-0000-0000-00009D5E0000}"/>
    <cellStyle name="Pre-inputted cells 2 2 4 10" xfId="23838" xr:uid="{00000000-0005-0000-0000-00009E5E0000}"/>
    <cellStyle name="Pre-inputted cells 2 2 4 11" xfId="23839" xr:uid="{00000000-0005-0000-0000-00009F5E0000}"/>
    <cellStyle name="Pre-inputted cells 2 2 4 12" xfId="23840" xr:uid="{00000000-0005-0000-0000-0000A05E0000}"/>
    <cellStyle name="Pre-inputted cells 2 2 4 13" xfId="23841" xr:uid="{00000000-0005-0000-0000-0000A15E0000}"/>
    <cellStyle name="Pre-inputted cells 2 2 4 14" xfId="23842" xr:uid="{00000000-0005-0000-0000-0000A25E0000}"/>
    <cellStyle name="Pre-inputted cells 2 2 4 15" xfId="23843" xr:uid="{00000000-0005-0000-0000-0000A35E0000}"/>
    <cellStyle name="Pre-inputted cells 2 2 4 16" xfId="23844" xr:uid="{00000000-0005-0000-0000-0000A45E0000}"/>
    <cellStyle name="Pre-inputted cells 2 2 4 17" xfId="23845" xr:uid="{00000000-0005-0000-0000-0000A55E0000}"/>
    <cellStyle name="Pre-inputted cells 2 2 4 18" xfId="23846" xr:uid="{00000000-0005-0000-0000-0000A65E0000}"/>
    <cellStyle name="Pre-inputted cells 2 2 4 19" xfId="23847" xr:uid="{00000000-0005-0000-0000-0000A75E0000}"/>
    <cellStyle name="Pre-inputted cells 2 2 4 2" xfId="23848" xr:uid="{00000000-0005-0000-0000-0000A85E0000}"/>
    <cellStyle name="Pre-inputted cells 2 2 4 2 10" xfId="23849" xr:uid="{00000000-0005-0000-0000-0000A95E0000}"/>
    <cellStyle name="Pre-inputted cells 2 2 4 2 11" xfId="23850" xr:uid="{00000000-0005-0000-0000-0000AA5E0000}"/>
    <cellStyle name="Pre-inputted cells 2 2 4 2 12" xfId="23851" xr:uid="{00000000-0005-0000-0000-0000AB5E0000}"/>
    <cellStyle name="Pre-inputted cells 2 2 4 2 13" xfId="23852" xr:uid="{00000000-0005-0000-0000-0000AC5E0000}"/>
    <cellStyle name="Pre-inputted cells 2 2 4 2 2" xfId="23853" xr:uid="{00000000-0005-0000-0000-0000AD5E0000}"/>
    <cellStyle name="Pre-inputted cells 2 2 4 2 3" xfId="23854" xr:uid="{00000000-0005-0000-0000-0000AE5E0000}"/>
    <cellStyle name="Pre-inputted cells 2 2 4 2 4" xfId="23855" xr:uid="{00000000-0005-0000-0000-0000AF5E0000}"/>
    <cellStyle name="Pre-inputted cells 2 2 4 2 5" xfId="23856" xr:uid="{00000000-0005-0000-0000-0000B05E0000}"/>
    <cellStyle name="Pre-inputted cells 2 2 4 2 6" xfId="23857" xr:uid="{00000000-0005-0000-0000-0000B15E0000}"/>
    <cellStyle name="Pre-inputted cells 2 2 4 2 7" xfId="23858" xr:uid="{00000000-0005-0000-0000-0000B25E0000}"/>
    <cellStyle name="Pre-inputted cells 2 2 4 2 8" xfId="23859" xr:uid="{00000000-0005-0000-0000-0000B35E0000}"/>
    <cellStyle name="Pre-inputted cells 2 2 4 2 9" xfId="23860" xr:uid="{00000000-0005-0000-0000-0000B45E0000}"/>
    <cellStyle name="Pre-inputted cells 2 2 4 20" xfId="23861" xr:uid="{00000000-0005-0000-0000-0000B55E0000}"/>
    <cellStyle name="Pre-inputted cells 2 2 4 21" xfId="23862" xr:uid="{00000000-0005-0000-0000-0000B65E0000}"/>
    <cellStyle name="Pre-inputted cells 2 2 4 22" xfId="23863" xr:uid="{00000000-0005-0000-0000-0000B75E0000}"/>
    <cellStyle name="Pre-inputted cells 2 2 4 23" xfId="23864" xr:uid="{00000000-0005-0000-0000-0000B85E0000}"/>
    <cellStyle name="Pre-inputted cells 2 2 4 24" xfId="23865" xr:uid="{00000000-0005-0000-0000-0000B95E0000}"/>
    <cellStyle name="Pre-inputted cells 2 2 4 25" xfId="23866" xr:uid="{00000000-0005-0000-0000-0000BA5E0000}"/>
    <cellStyle name="Pre-inputted cells 2 2 4 26" xfId="23867" xr:uid="{00000000-0005-0000-0000-0000BB5E0000}"/>
    <cellStyle name="Pre-inputted cells 2 2 4 27" xfId="23868" xr:uid="{00000000-0005-0000-0000-0000BC5E0000}"/>
    <cellStyle name="Pre-inputted cells 2 2 4 28" xfId="23869" xr:uid="{00000000-0005-0000-0000-0000BD5E0000}"/>
    <cellStyle name="Pre-inputted cells 2 2 4 29" xfId="23870" xr:uid="{00000000-0005-0000-0000-0000BE5E0000}"/>
    <cellStyle name="Pre-inputted cells 2 2 4 3" xfId="23871" xr:uid="{00000000-0005-0000-0000-0000BF5E0000}"/>
    <cellStyle name="Pre-inputted cells 2 2 4 30" xfId="23872" xr:uid="{00000000-0005-0000-0000-0000C05E0000}"/>
    <cellStyle name="Pre-inputted cells 2 2 4 31" xfId="23873" xr:uid="{00000000-0005-0000-0000-0000C15E0000}"/>
    <cellStyle name="Pre-inputted cells 2 2 4 32" xfId="23874" xr:uid="{00000000-0005-0000-0000-0000C25E0000}"/>
    <cellStyle name="Pre-inputted cells 2 2 4 33" xfId="23875" xr:uid="{00000000-0005-0000-0000-0000C35E0000}"/>
    <cellStyle name="Pre-inputted cells 2 2 4 34" xfId="23876" xr:uid="{00000000-0005-0000-0000-0000C45E0000}"/>
    <cellStyle name="Pre-inputted cells 2 2 4 4" xfId="23877" xr:uid="{00000000-0005-0000-0000-0000C55E0000}"/>
    <cellStyle name="Pre-inputted cells 2 2 4 5" xfId="23878" xr:uid="{00000000-0005-0000-0000-0000C65E0000}"/>
    <cellStyle name="Pre-inputted cells 2 2 4 6" xfId="23879" xr:uid="{00000000-0005-0000-0000-0000C75E0000}"/>
    <cellStyle name="Pre-inputted cells 2 2 4 7" xfId="23880" xr:uid="{00000000-0005-0000-0000-0000C85E0000}"/>
    <cellStyle name="Pre-inputted cells 2 2 4 8" xfId="23881" xr:uid="{00000000-0005-0000-0000-0000C95E0000}"/>
    <cellStyle name="Pre-inputted cells 2 2 4 9" xfId="23882" xr:uid="{00000000-0005-0000-0000-0000CA5E0000}"/>
    <cellStyle name="Pre-inputted cells 2 2 5" xfId="23883" xr:uid="{00000000-0005-0000-0000-0000CB5E0000}"/>
    <cellStyle name="Pre-inputted cells 2 2 5 10" xfId="23884" xr:uid="{00000000-0005-0000-0000-0000CC5E0000}"/>
    <cellStyle name="Pre-inputted cells 2 2 5 11" xfId="23885" xr:uid="{00000000-0005-0000-0000-0000CD5E0000}"/>
    <cellStyle name="Pre-inputted cells 2 2 5 12" xfId="23886" xr:uid="{00000000-0005-0000-0000-0000CE5E0000}"/>
    <cellStyle name="Pre-inputted cells 2 2 5 13" xfId="23887" xr:uid="{00000000-0005-0000-0000-0000CF5E0000}"/>
    <cellStyle name="Pre-inputted cells 2 2 5 2" xfId="23888" xr:uid="{00000000-0005-0000-0000-0000D05E0000}"/>
    <cellStyle name="Pre-inputted cells 2 2 5 3" xfId="23889" xr:uid="{00000000-0005-0000-0000-0000D15E0000}"/>
    <cellStyle name="Pre-inputted cells 2 2 5 4" xfId="23890" xr:uid="{00000000-0005-0000-0000-0000D25E0000}"/>
    <cellStyle name="Pre-inputted cells 2 2 5 5" xfId="23891" xr:uid="{00000000-0005-0000-0000-0000D35E0000}"/>
    <cellStyle name="Pre-inputted cells 2 2 5 6" xfId="23892" xr:uid="{00000000-0005-0000-0000-0000D45E0000}"/>
    <cellStyle name="Pre-inputted cells 2 2 5 7" xfId="23893" xr:uid="{00000000-0005-0000-0000-0000D55E0000}"/>
    <cellStyle name="Pre-inputted cells 2 2 5 8" xfId="23894" xr:uid="{00000000-0005-0000-0000-0000D65E0000}"/>
    <cellStyle name="Pre-inputted cells 2 2 5 9" xfId="23895" xr:uid="{00000000-0005-0000-0000-0000D75E0000}"/>
    <cellStyle name="Pre-inputted cells 2 2 6" xfId="23896" xr:uid="{00000000-0005-0000-0000-0000D85E0000}"/>
    <cellStyle name="Pre-inputted cells 2 2 7" xfId="23897" xr:uid="{00000000-0005-0000-0000-0000D95E0000}"/>
    <cellStyle name="Pre-inputted cells 2 2 8" xfId="23898" xr:uid="{00000000-0005-0000-0000-0000DA5E0000}"/>
    <cellStyle name="Pre-inputted cells 2 2 9" xfId="23899" xr:uid="{00000000-0005-0000-0000-0000DB5E0000}"/>
    <cellStyle name="Pre-inputted cells 2 2_4 28 1_Asst_Health_Crit_AllTO_RIIO_20110714pm" xfId="23900" xr:uid="{00000000-0005-0000-0000-0000DC5E0000}"/>
    <cellStyle name="Pre-inputted cells 2 20" xfId="23901" xr:uid="{00000000-0005-0000-0000-0000DD5E0000}"/>
    <cellStyle name="Pre-inputted cells 2 21" xfId="23902" xr:uid="{00000000-0005-0000-0000-0000DE5E0000}"/>
    <cellStyle name="Pre-inputted cells 2 22" xfId="23903" xr:uid="{00000000-0005-0000-0000-0000DF5E0000}"/>
    <cellStyle name="Pre-inputted cells 2 23" xfId="23904" xr:uid="{00000000-0005-0000-0000-0000E05E0000}"/>
    <cellStyle name="Pre-inputted cells 2 24" xfId="23905" xr:uid="{00000000-0005-0000-0000-0000E15E0000}"/>
    <cellStyle name="Pre-inputted cells 2 25" xfId="23906" xr:uid="{00000000-0005-0000-0000-0000E25E0000}"/>
    <cellStyle name="Pre-inputted cells 2 26" xfId="23907" xr:uid="{00000000-0005-0000-0000-0000E35E0000}"/>
    <cellStyle name="Pre-inputted cells 2 27" xfId="23908" xr:uid="{00000000-0005-0000-0000-0000E45E0000}"/>
    <cellStyle name="Pre-inputted cells 2 28" xfId="23909" xr:uid="{00000000-0005-0000-0000-0000E55E0000}"/>
    <cellStyle name="Pre-inputted cells 2 29" xfId="23910" xr:uid="{00000000-0005-0000-0000-0000E65E0000}"/>
    <cellStyle name="Pre-inputted cells 2 3" xfId="23911" xr:uid="{00000000-0005-0000-0000-0000E75E0000}"/>
    <cellStyle name="Pre-inputted cells 2 3 10" xfId="23912" xr:uid="{00000000-0005-0000-0000-0000E85E0000}"/>
    <cellStyle name="Pre-inputted cells 2 3 11" xfId="23913" xr:uid="{00000000-0005-0000-0000-0000E95E0000}"/>
    <cellStyle name="Pre-inputted cells 2 3 12" xfId="23914" xr:uid="{00000000-0005-0000-0000-0000EA5E0000}"/>
    <cellStyle name="Pre-inputted cells 2 3 13" xfId="23915" xr:uid="{00000000-0005-0000-0000-0000EB5E0000}"/>
    <cellStyle name="Pre-inputted cells 2 3 14" xfId="23916" xr:uid="{00000000-0005-0000-0000-0000EC5E0000}"/>
    <cellStyle name="Pre-inputted cells 2 3 15" xfId="23917" xr:uid="{00000000-0005-0000-0000-0000ED5E0000}"/>
    <cellStyle name="Pre-inputted cells 2 3 16" xfId="23918" xr:uid="{00000000-0005-0000-0000-0000EE5E0000}"/>
    <cellStyle name="Pre-inputted cells 2 3 17" xfId="23919" xr:uid="{00000000-0005-0000-0000-0000EF5E0000}"/>
    <cellStyle name="Pre-inputted cells 2 3 18" xfId="23920" xr:uid="{00000000-0005-0000-0000-0000F05E0000}"/>
    <cellStyle name="Pre-inputted cells 2 3 19" xfId="23921" xr:uid="{00000000-0005-0000-0000-0000F15E0000}"/>
    <cellStyle name="Pre-inputted cells 2 3 2" xfId="23922" xr:uid="{00000000-0005-0000-0000-0000F25E0000}"/>
    <cellStyle name="Pre-inputted cells 2 3 2 10" xfId="23923" xr:uid="{00000000-0005-0000-0000-0000F35E0000}"/>
    <cellStyle name="Pre-inputted cells 2 3 2 11" xfId="23924" xr:uid="{00000000-0005-0000-0000-0000F45E0000}"/>
    <cellStyle name="Pre-inputted cells 2 3 2 12" xfId="23925" xr:uid="{00000000-0005-0000-0000-0000F55E0000}"/>
    <cellStyle name="Pre-inputted cells 2 3 2 13" xfId="23926" xr:uid="{00000000-0005-0000-0000-0000F65E0000}"/>
    <cellStyle name="Pre-inputted cells 2 3 2 14" xfId="23927" xr:uid="{00000000-0005-0000-0000-0000F75E0000}"/>
    <cellStyle name="Pre-inputted cells 2 3 2 15" xfId="23928" xr:uid="{00000000-0005-0000-0000-0000F85E0000}"/>
    <cellStyle name="Pre-inputted cells 2 3 2 16" xfId="23929" xr:uid="{00000000-0005-0000-0000-0000F95E0000}"/>
    <cellStyle name="Pre-inputted cells 2 3 2 17" xfId="23930" xr:uid="{00000000-0005-0000-0000-0000FA5E0000}"/>
    <cellStyle name="Pre-inputted cells 2 3 2 18" xfId="23931" xr:uid="{00000000-0005-0000-0000-0000FB5E0000}"/>
    <cellStyle name="Pre-inputted cells 2 3 2 19" xfId="23932" xr:uid="{00000000-0005-0000-0000-0000FC5E0000}"/>
    <cellStyle name="Pre-inputted cells 2 3 2 2" xfId="23933" xr:uid="{00000000-0005-0000-0000-0000FD5E0000}"/>
    <cellStyle name="Pre-inputted cells 2 3 2 2 10" xfId="23934" xr:uid="{00000000-0005-0000-0000-0000FE5E0000}"/>
    <cellStyle name="Pre-inputted cells 2 3 2 2 11" xfId="23935" xr:uid="{00000000-0005-0000-0000-0000FF5E0000}"/>
    <cellStyle name="Pre-inputted cells 2 3 2 2 12" xfId="23936" xr:uid="{00000000-0005-0000-0000-0000005F0000}"/>
    <cellStyle name="Pre-inputted cells 2 3 2 2 13" xfId="23937" xr:uid="{00000000-0005-0000-0000-0000015F0000}"/>
    <cellStyle name="Pre-inputted cells 2 3 2 2 2" xfId="23938" xr:uid="{00000000-0005-0000-0000-0000025F0000}"/>
    <cellStyle name="Pre-inputted cells 2 3 2 2 3" xfId="23939" xr:uid="{00000000-0005-0000-0000-0000035F0000}"/>
    <cellStyle name="Pre-inputted cells 2 3 2 2 4" xfId="23940" xr:uid="{00000000-0005-0000-0000-0000045F0000}"/>
    <cellStyle name="Pre-inputted cells 2 3 2 2 5" xfId="23941" xr:uid="{00000000-0005-0000-0000-0000055F0000}"/>
    <cellStyle name="Pre-inputted cells 2 3 2 2 6" xfId="23942" xr:uid="{00000000-0005-0000-0000-0000065F0000}"/>
    <cellStyle name="Pre-inputted cells 2 3 2 2 7" xfId="23943" xr:uid="{00000000-0005-0000-0000-0000075F0000}"/>
    <cellStyle name="Pre-inputted cells 2 3 2 2 8" xfId="23944" xr:uid="{00000000-0005-0000-0000-0000085F0000}"/>
    <cellStyle name="Pre-inputted cells 2 3 2 2 9" xfId="23945" xr:uid="{00000000-0005-0000-0000-0000095F0000}"/>
    <cellStyle name="Pre-inputted cells 2 3 2 20" xfId="23946" xr:uid="{00000000-0005-0000-0000-00000A5F0000}"/>
    <cellStyle name="Pre-inputted cells 2 3 2 21" xfId="23947" xr:uid="{00000000-0005-0000-0000-00000B5F0000}"/>
    <cellStyle name="Pre-inputted cells 2 3 2 22" xfId="23948" xr:uid="{00000000-0005-0000-0000-00000C5F0000}"/>
    <cellStyle name="Pre-inputted cells 2 3 2 23" xfId="23949" xr:uid="{00000000-0005-0000-0000-00000D5F0000}"/>
    <cellStyle name="Pre-inputted cells 2 3 2 24" xfId="23950" xr:uid="{00000000-0005-0000-0000-00000E5F0000}"/>
    <cellStyle name="Pre-inputted cells 2 3 2 25" xfId="23951" xr:uid="{00000000-0005-0000-0000-00000F5F0000}"/>
    <cellStyle name="Pre-inputted cells 2 3 2 26" xfId="23952" xr:uid="{00000000-0005-0000-0000-0000105F0000}"/>
    <cellStyle name="Pre-inputted cells 2 3 2 27" xfId="23953" xr:uid="{00000000-0005-0000-0000-0000115F0000}"/>
    <cellStyle name="Pre-inputted cells 2 3 2 28" xfId="23954" xr:uid="{00000000-0005-0000-0000-0000125F0000}"/>
    <cellStyle name="Pre-inputted cells 2 3 2 29" xfId="23955" xr:uid="{00000000-0005-0000-0000-0000135F0000}"/>
    <cellStyle name="Pre-inputted cells 2 3 2 3" xfId="23956" xr:uid="{00000000-0005-0000-0000-0000145F0000}"/>
    <cellStyle name="Pre-inputted cells 2 3 2 30" xfId="23957" xr:uid="{00000000-0005-0000-0000-0000155F0000}"/>
    <cellStyle name="Pre-inputted cells 2 3 2 31" xfId="23958" xr:uid="{00000000-0005-0000-0000-0000165F0000}"/>
    <cellStyle name="Pre-inputted cells 2 3 2 32" xfId="23959" xr:uid="{00000000-0005-0000-0000-0000175F0000}"/>
    <cellStyle name="Pre-inputted cells 2 3 2 33" xfId="23960" xr:uid="{00000000-0005-0000-0000-0000185F0000}"/>
    <cellStyle name="Pre-inputted cells 2 3 2 34" xfId="23961" xr:uid="{00000000-0005-0000-0000-0000195F0000}"/>
    <cellStyle name="Pre-inputted cells 2 3 2 4" xfId="23962" xr:uid="{00000000-0005-0000-0000-00001A5F0000}"/>
    <cellStyle name="Pre-inputted cells 2 3 2 5" xfId="23963" xr:uid="{00000000-0005-0000-0000-00001B5F0000}"/>
    <cellStyle name="Pre-inputted cells 2 3 2 6" xfId="23964" xr:uid="{00000000-0005-0000-0000-00001C5F0000}"/>
    <cellStyle name="Pre-inputted cells 2 3 2 7" xfId="23965" xr:uid="{00000000-0005-0000-0000-00001D5F0000}"/>
    <cellStyle name="Pre-inputted cells 2 3 2 8" xfId="23966" xr:uid="{00000000-0005-0000-0000-00001E5F0000}"/>
    <cellStyle name="Pre-inputted cells 2 3 2 9" xfId="23967" xr:uid="{00000000-0005-0000-0000-00001F5F0000}"/>
    <cellStyle name="Pre-inputted cells 2 3 20" xfId="23968" xr:uid="{00000000-0005-0000-0000-0000205F0000}"/>
    <cellStyle name="Pre-inputted cells 2 3 21" xfId="23969" xr:uid="{00000000-0005-0000-0000-0000215F0000}"/>
    <cellStyle name="Pre-inputted cells 2 3 22" xfId="23970" xr:uid="{00000000-0005-0000-0000-0000225F0000}"/>
    <cellStyle name="Pre-inputted cells 2 3 23" xfId="23971" xr:uid="{00000000-0005-0000-0000-0000235F0000}"/>
    <cellStyle name="Pre-inputted cells 2 3 24" xfId="23972" xr:uid="{00000000-0005-0000-0000-0000245F0000}"/>
    <cellStyle name="Pre-inputted cells 2 3 25" xfId="23973" xr:uid="{00000000-0005-0000-0000-0000255F0000}"/>
    <cellStyle name="Pre-inputted cells 2 3 26" xfId="23974" xr:uid="{00000000-0005-0000-0000-0000265F0000}"/>
    <cellStyle name="Pre-inputted cells 2 3 27" xfId="23975" xr:uid="{00000000-0005-0000-0000-0000275F0000}"/>
    <cellStyle name="Pre-inputted cells 2 3 28" xfId="23976" xr:uid="{00000000-0005-0000-0000-0000285F0000}"/>
    <cellStyle name="Pre-inputted cells 2 3 29" xfId="23977" xr:uid="{00000000-0005-0000-0000-0000295F0000}"/>
    <cellStyle name="Pre-inputted cells 2 3 3" xfId="23978" xr:uid="{00000000-0005-0000-0000-00002A5F0000}"/>
    <cellStyle name="Pre-inputted cells 2 3 3 10" xfId="23979" xr:uid="{00000000-0005-0000-0000-00002B5F0000}"/>
    <cellStyle name="Pre-inputted cells 2 3 3 11" xfId="23980" xr:uid="{00000000-0005-0000-0000-00002C5F0000}"/>
    <cellStyle name="Pre-inputted cells 2 3 3 12" xfId="23981" xr:uid="{00000000-0005-0000-0000-00002D5F0000}"/>
    <cellStyle name="Pre-inputted cells 2 3 3 13" xfId="23982" xr:uid="{00000000-0005-0000-0000-00002E5F0000}"/>
    <cellStyle name="Pre-inputted cells 2 3 3 2" xfId="23983" xr:uid="{00000000-0005-0000-0000-00002F5F0000}"/>
    <cellStyle name="Pre-inputted cells 2 3 3 3" xfId="23984" xr:uid="{00000000-0005-0000-0000-0000305F0000}"/>
    <cellStyle name="Pre-inputted cells 2 3 3 4" xfId="23985" xr:uid="{00000000-0005-0000-0000-0000315F0000}"/>
    <cellStyle name="Pre-inputted cells 2 3 3 5" xfId="23986" xr:uid="{00000000-0005-0000-0000-0000325F0000}"/>
    <cellStyle name="Pre-inputted cells 2 3 3 6" xfId="23987" xr:uid="{00000000-0005-0000-0000-0000335F0000}"/>
    <cellStyle name="Pre-inputted cells 2 3 3 7" xfId="23988" xr:uid="{00000000-0005-0000-0000-0000345F0000}"/>
    <cellStyle name="Pre-inputted cells 2 3 3 8" xfId="23989" xr:uid="{00000000-0005-0000-0000-0000355F0000}"/>
    <cellStyle name="Pre-inputted cells 2 3 3 9" xfId="23990" xr:uid="{00000000-0005-0000-0000-0000365F0000}"/>
    <cellStyle name="Pre-inputted cells 2 3 30" xfId="23991" xr:uid="{00000000-0005-0000-0000-0000375F0000}"/>
    <cellStyle name="Pre-inputted cells 2 3 31" xfId="23992" xr:uid="{00000000-0005-0000-0000-0000385F0000}"/>
    <cellStyle name="Pre-inputted cells 2 3 32" xfId="23993" xr:uid="{00000000-0005-0000-0000-0000395F0000}"/>
    <cellStyle name="Pre-inputted cells 2 3 33" xfId="23994" xr:uid="{00000000-0005-0000-0000-00003A5F0000}"/>
    <cellStyle name="Pre-inputted cells 2 3 34" xfId="23995" xr:uid="{00000000-0005-0000-0000-00003B5F0000}"/>
    <cellStyle name="Pre-inputted cells 2 3 35" xfId="23996" xr:uid="{00000000-0005-0000-0000-00003C5F0000}"/>
    <cellStyle name="Pre-inputted cells 2 3 4" xfId="23997" xr:uid="{00000000-0005-0000-0000-00003D5F0000}"/>
    <cellStyle name="Pre-inputted cells 2 3 5" xfId="23998" xr:uid="{00000000-0005-0000-0000-00003E5F0000}"/>
    <cellStyle name="Pre-inputted cells 2 3 6" xfId="23999" xr:uid="{00000000-0005-0000-0000-00003F5F0000}"/>
    <cellStyle name="Pre-inputted cells 2 3 7" xfId="24000" xr:uid="{00000000-0005-0000-0000-0000405F0000}"/>
    <cellStyle name="Pre-inputted cells 2 3 8" xfId="24001" xr:uid="{00000000-0005-0000-0000-0000415F0000}"/>
    <cellStyle name="Pre-inputted cells 2 3 9" xfId="24002" xr:uid="{00000000-0005-0000-0000-0000425F0000}"/>
    <cellStyle name="Pre-inputted cells 2 3_4 28 1_Asst_Health_Crit_AllTO_RIIO_20110714pm" xfId="24003" xr:uid="{00000000-0005-0000-0000-0000435F0000}"/>
    <cellStyle name="Pre-inputted cells 2 30" xfId="24004" xr:uid="{00000000-0005-0000-0000-0000445F0000}"/>
    <cellStyle name="Pre-inputted cells 2 31" xfId="24005" xr:uid="{00000000-0005-0000-0000-0000455F0000}"/>
    <cellStyle name="Pre-inputted cells 2 32" xfId="24006" xr:uid="{00000000-0005-0000-0000-0000465F0000}"/>
    <cellStyle name="Pre-inputted cells 2 33" xfId="24007" xr:uid="{00000000-0005-0000-0000-0000475F0000}"/>
    <cellStyle name="Pre-inputted cells 2 34" xfId="24008" xr:uid="{00000000-0005-0000-0000-0000485F0000}"/>
    <cellStyle name="Pre-inputted cells 2 35" xfId="24009" xr:uid="{00000000-0005-0000-0000-0000495F0000}"/>
    <cellStyle name="Pre-inputted cells 2 36" xfId="24010" xr:uid="{00000000-0005-0000-0000-00004A5F0000}"/>
    <cellStyle name="Pre-inputted cells 2 37" xfId="24011" xr:uid="{00000000-0005-0000-0000-00004B5F0000}"/>
    <cellStyle name="Pre-inputted cells 2 38" xfId="24012" xr:uid="{00000000-0005-0000-0000-00004C5F0000}"/>
    <cellStyle name="Pre-inputted cells 2 39" xfId="24013" xr:uid="{00000000-0005-0000-0000-00004D5F0000}"/>
    <cellStyle name="Pre-inputted cells 2 4" xfId="24014" xr:uid="{00000000-0005-0000-0000-00004E5F0000}"/>
    <cellStyle name="Pre-inputted cells 2 4 10" xfId="24015" xr:uid="{00000000-0005-0000-0000-00004F5F0000}"/>
    <cellStyle name="Pre-inputted cells 2 4 11" xfId="24016" xr:uid="{00000000-0005-0000-0000-0000505F0000}"/>
    <cellStyle name="Pre-inputted cells 2 4 12" xfId="24017" xr:uid="{00000000-0005-0000-0000-0000515F0000}"/>
    <cellStyle name="Pre-inputted cells 2 4 13" xfId="24018" xr:uid="{00000000-0005-0000-0000-0000525F0000}"/>
    <cellStyle name="Pre-inputted cells 2 4 14" xfId="24019" xr:uid="{00000000-0005-0000-0000-0000535F0000}"/>
    <cellStyle name="Pre-inputted cells 2 4 15" xfId="24020" xr:uid="{00000000-0005-0000-0000-0000545F0000}"/>
    <cellStyle name="Pre-inputted cells 2 4 16" xfId="24021" xr:uid="{00000000-0005-0000-0000-0000555F0000}"/>
    <cellStyle name="Pre-inputted cells 2 4 17" xfId="24022" xr:uid="{00000000-0005-0000-0000-0000565F0000}"/>
    <cellStyle name="Pre-inputted cells 2 4 18" xfId="24023" xr:uid="{00000000-0005-0000-0000-0000575F0000}"/>
    <cellStyle name="Pre-inputted cells 2 4 19" xfId="24024" xr:uid="{00000000-0005-0000-0000-0000585F0000}"/>
    <cellStyle name="Pre-inputted cells 2 4 2" xfId="24025" xr:uid="{00000000-0005-0000-0000-0000595F0000}"/>
    <cellStyle name="Pre-inputted cells 2 4 2 10" xfId="24026" xr:uid="{00000000-0005-0000-0000-00005A5F0000}"/>
    <cellStyle name="Pre-inputted cells 2 4 2 11" xfId="24027" xr:uid="{00000000-0005-0000-0000-00005B5F0000}"/>
    <cellStyle name="Pre-inputted cells 2 4 2 12" xfId="24028" xr:uid="{00000000-0005-0000-0000-00005C5F0000}"/>
    <cellStyle name="Pre-inputted cells 2 4 2 13" xfId="24029" xr:uid="{00000000-0005-0000-0000-00005D5F0000}"/>
    <cellStyle name="Pre-inputted cells 2 4 2 2" xfId="24030" xr:uid="{00000000-0005-0000-0000-00005E5F0000}"/>
    <cellStyle name="Pre-inputted cells 2 4 2 3" xfId="24031" xr:uid="{00000000-0005-0000-0000-00005F5F0000}"/>
    <cellStyle name="Pre-inputted cells 2 4 2 4" xfId="24032" xr:uid="{00000000-0005-0000-0000-0000605F0000}"/>
    <cellStyle name="Pre-inputted cells 2 4 2 5" xfId="24033" xr:uid="{00000000-0005-0000-0000-0000615F0000}"/>
    <cellStyle name="Pre-inputted cells 2 4 2 6" xfId="24034" xr:uid="{00000000-0005-0000-0000-0000625F0000}"/>
    <cellStyle name="Pre-inputted cells 2 4 2 7" xfId="24035" xr:uid="{00000000-0005-0000-0000-0000635F0000}"/>
    <cellStyle name="Pre-inputted cells 2 4 2 8" xfId="24036" xr:uid="{00000000-0005-0000-0000-0000645F0000}"/>
    <cellStyle name="Pre-inputted cells 2 4 2 9" xfId="24037" xr:uid="{00000000-0005-0000-0000-0000655F0000}"/>
    <cellStyle name="Pre-inputted cells 2 4 20" xfId="24038" xr:uid="{00000000-0005-0000-0000-0000665F0000}"/>
    <cellStyle name="Pre-inputted cells 2 4 21" xfId="24039" xr:uid="{00000000-0005-0000-0000-0000675F0000}"/>
    <cellStyle name="Pre-inputted cells 2 4 22" xfId="24040" xr:uid="{00000000-0005-0000-0000-0000685F0000}"/>
    <cellStyle name="Pre-inputted cells 2 4 23" xfId="24041" xr:uid="{00000000-0005-0000-0000-0000695F0000}"/>
    <cellStyle name="Pre-inputted cells 2 4 24" xfId="24042" xr:uid="{00000000-0005-0000-0000-00006A5F0000}"/>
    <cellStyle name="Pre-inputted cells 2 4 25" xfId="24043" xr:uid="{00000000-0005-0000-0000-00006B5F0000}"/>
    <cellStyle name="Pre-inputted cells 2 4 26" xfId="24044" xr:uid="{00000000-0005-0000-0000-00006C5F0000}"/>
    <cellStyle name="Pre-inputted cells 2 4 27" xfId="24045" xr:uid="{00000000-0005-0000-0000-00006D5F0000}"/>
    <cellStyle name="Pre-inputted cells 2 4 28" xfId="24046" xr:uid="{00000000-0005-0000-0000-00006E5F0000}"/>
    <cellStyle name="Pre-inputted cells 2 4 29" xfId="24047" xr:uid="{00000000-0005-0000-0000-00006F5F0000}"/>
    <cellStyle name="Pre-inputted cells 2 4 3" xfId="24048" xr:uid="{00000000-0005-0000-0000-0000705F0000}"/>
    <cellStyle name="Pre-inputted cells 2 4 30" xfId="24049" xr:uid="{00000000-0005-0000-0000-0000715F0000}"/>
    <cellStyle name="Pre-inputted cells 2 4 31" xfId="24050" xr:uid="{00000000-0005-0000-0000-0000725F0000}"/>
    <cellStyle name="Pre-inputted cells 2 4 32" xfId="24051" xr:uid="{00000000-0005-0000-0000-0000735F0000}"/>
    <cellStyle name="Pre-inputted cells 2 4 33" xfId="24052" xr:uid="{00000000-0005-0000-0000-0000745F0000}"/>
    <cellStyle name="Pre-inputted cells 2 4 34" xfId="24053" xr:uid="{00000000-0005-0000-0000-0000755F0000}"/>
    <cellStyle name="Pre-inputted cells 2 4 4" xfId="24054" xr:uid="{00000000-0005-0000-0000-0000765F0000}"/>
    <cellStyle name="Pre-inputted cells 2 4 5" xfId="24055" xr:uid="{00000000-0005-0000-0000-0000775F0000}"/>
    <cellStyle name="Pre-inputted cells 2 4 6" xfId="24056" xr:uid="{00000000-0005-0000-0000-0000785F0000}"/>
    <cellStyle name="Pre-inputted cells 2 4 7" xfId="24057" xr:uid="{00000000-0005-0000-0000-0000795F0000}"/>
    <cellStyle name="Pre-inputted cells 2 4 8" xfId="24058" xr:uid="{00000000-0005-0000-0000-00007A5F0000}"/>
    <cellStyle name="Pre-inputted cells 2 4 9" xfId="24059" xr:uid="{00000000-0005-0000-0000-00007B5F0000}"/>
    <cellStyle name="Pre-inputted cells 2 5" xfId="24060" xr:uid="{00000000-0005-0000-0000-00007C5F0000}"/>
    <cellStyle name="Pre-inputted cells 2 5 10" xfId="24061" xr:uid="{00000000-0005-0000-0000-00007D5F0000}"/>
    <cellStyle name="Pre-inputted cells 2 5 11" xfId="24062" xr:uid="{00000000-0005-0000-0000-00007E5F0000}"/>
    <cellStyle name="Pre-inputted cells 2 5 12" xfId="24063" xr:uid="{00000000-0005-0000-0000-00007F5F0000}"/>
    <cellStyle name="Pre-inputted cells 2 5 13" xfId="24064" xr:uid="{00000000-0005-0000-0000-0000805F0000}"/>
    <cellStyle name="Pre-inputted cells 2 5 14" xfId="24065" xr:uid="{00000000-0005-0000-0000-0000815F0000}"/>
    <cellStyle name="Pre-inputted cells 2 5 15" xfId="24066" xr:uid="{00000000-0005-0000-0000-0000825F0000}"/>
    <cellStyle name="Pre-inputted cells 2 5 15 2" xfId="24067" xr:uid="{00000000-0005-0000-0000-0000835F0000}"/>
    <cellStyle name="Pre-inputted cells 2 5 15 2 2" xfId="24068" xr:uid="{00000000-0005-0000-0000-0000845F0000}"/>
    <cellStyle name="Pre-inputted cells 2 5 15 2 3" xfId="24069" xr:uid="{00000000-0005-0000-0000-0000855F0000}"/>
    <cellStyle name="Pre-inputted cells 2 5 15 2 3 2" xfId="24070" xr:uid="{00000000-0005-0000-0000-0000865F0000}"/>
    <cellStyle name="Pre-inputted cells 2 5 15 2 4" xfId="24071" xr:uid="{00000000-0005-0000-0000-0000875F0000}"/>
    <cellStyle name="Pre-inputted cells 2 5 15 2 4 2" xfId="24072" xr:uid="{00000000-0005-0000-0000-0000885F0000}"/>
    <cellStyle name="Pre-inputted cells 2 5 16" xfId="24073" xr:uid="{00000000-0005-0000-0000-0000895F0000}"/>
    <cellStyle name="Pre-inputted cells 2 5 17" xfId="24074" xr:uid="{00000000-0005-0000-0000-00008A5F0000}"/>
    <cellStyle name="Pre-inputted cells 2 5 18" xfId="24075" xr:uid="{00000000-0005-0000-0000-00008B5F0000}"/>
    <cellStyle name="Pre-inputted cells 2 5 19" xfId="24076" xr:uid="{00000000-0005-0000-0000-00008C5F0000}"/>
    <cellStyle name="Pre-inputted cells 2 5 2" xfId="24077" xr:uid="{00000000-0005-0000-0000-00008D5F0000}"/>
    <cellStyle name="Pre-inputted cells 2 5 2 10" xfId="24078" xr:uid="{00000000-0005-0000-0000-00008E5F0000}"/>
    <cellStyle name="Pre-inputted cells 2 5 2 11" xfId="24079" xr:uid="{00000000-0005-0000-0000-00008F5F0000}"/>
    <cellStyle name="Pre-inputted cells 2 5 2 12" xfId="24080" xr:uid="{00000000-0005-0000-0000-0000905F0000}"/>
    <cellStyle name="Pre-inputted cells 2 5 2 13" xfId="24081" xr:uid="{00000000-0005-0000-0000-0000915F0000}"/>
    <cellStyle name="Pre-inputted cells 2 5 2 2" xfId="24082" xr:uid="{00000000-0005-0000-0000-0000925F0000}"/>
    <cellStyle name="Pre-inputted cells 2 5 2 3" xfId="24083" xr:uid="{00000000-0005-0000-0000-0000935F0000}"/>
    <cellStyle name="Pre-inputted cells 2 5 2 4" xfId="24084" xr:uid="{00000000-0005-0000-0000-0000945F0000}"/>
    <cellStyle name="Pre-inputted cells 2 5 2 5" xfId="24085" xr:uid="{00000000-0005-0000-0000-0000955F0000}"/>
    <cellStyle name="Pre-inputted cells 2 5 2 6" xfId="24086" xr:uid="{00000000-0005-0000-0000-0000965F0000}"/>
    <cellStyle name="Pre-inputted cells 2 5 2 7" xfId="24087" xr:uid="{00000000-0005-0000-0000-0000975F0000}"/>
    <cellStyle name="Pre-inputted cells 2 5 2 8" xfId="24088" xr:uid="{00000000-0005-0000-0000-0000985F0000}"/>
    <cellStyle name="Pre-inputted cells 2 5 2 9" xfId="24089" xr:uid="{00000000-0005-0000-0000-0000995F0000}"/>
    <cellStyle name="Pre-inputted cells 2 5 20" xfId="24090" xr:uid="{00000000-0005-0000-0000-00009A5F0000}"/>
    <cellStyle name="Pre-inputted cells 2 5 21" xfId="24091" xr:uid="{00000000-0005-0000-0000-00009B5F0000}"/>
    <cellStyle name="Pre-inputted cells 2 5 22" xfId="24092" xr:uid="{00000000-0005-0000-0000-00009C5F0000}"/>
    <cellStyle name="Pre-inputted cells 2 5 23" xfId="24093" xr:uid="{00000000-0005-0000-0000-00009D5F0000}"/>
    <cellStyle name="Pre-inputted cells 2 5 24" xfId="24094" xr:uid="{00000000-0005-0000-0000-00009E5F0000}"/>
    <cellStyle name="Pre-inputted cells 2 5 25" xfId="24095" xr:uid="{00000000-0005-0000-0000-00009F5F0000}"/>
    <cellStyle name="Pre-inputted cells 2 5 26" xfId="24096" xr:uid="{00000000-0005-0000-0000-0000A05F0000}"/>
    <cellStyle name="Pre-inputted cells 2 5 27" xfId="24097" xr:uid="{00000000-0005-0000-0000-0000A15F0000}"/>
    <cellStyle name="Pre-inputted cells 2 5 28" xfId="24098" xr:uid="{00000000-0005-0000-0000-0000A25F0000}"/>
    <cellStyle name="Pre-inputted cells 2 5 29" xfId="24099" xr:uid="{00000000-0005-0000-0000-0000A35F0000}"/>
    <cellStyle name="Pre-inputted cells 2 5 3" xfId="24100" xr:uid="{00000000-0005-0000-0000-0000A45F0000}"/>
    <cellStyle name="Pre-inputted cells 2 5 30" xfId="24101" xr:uid="{00000000-0005-0000-0000-0000A55F0000}"/>
    <cellStyle name="Pre-inputted cells 2 5 31" xfId="24102" xr:uid="{00000000-0005-0000-0000-0000A65F0000}"/>
    <cellStyle name="Pre-inputted cells 2 5 32" xfId="24103" xr:uid="{00000000-0005-0000-0000-0000A75F0000}"/>
    <cellStyle name="Pre-inputted cells 2 5 33" xfId="24104" xr:uid="{00000000-0005-0000-0000-0000A85F0000}"/>
    <cellStyle name="Pre-inputted cells 2 5 34" xfId="24105" xr:uid="{00000000-0005-0000-0000-0000A95F0000}"/>
    <cellStyle name="Pre-inputted cells 2 5 4" xfId="24106" xr:uid="{00000000-0005-0000-0000-0000AA5F0000}"/>
    <cellStyle name="Pre-inputted cells 2 5 5" xfId="24107" xr:uid="{00000000-0005-0000-0000-0000AB5F0000}"/>
    <cellStyle name="Pre-inputted cells 2 5 6" xfId="24108" xr:uid="{00000000-0005-0000-0000-0000AC5F0000}"/>
    <cellStyle name="Pre-inputted cells 2 5 7" xfId="24109" xr:uid="{00000000-0005-0000-0000-0000AD5F0000}"/>
    <cellStyle name="Pre-inputted cells 2 5 8" xfId="24110" xr:uid="{00000000-0005-0000-0000-0000AE5F0000}"/>
    <cellStyle name="Pre-inputted cells 2 5 9" xfId="24111" xr:uid="{00000000-0005-0000-0000-0000AF5F0000}"/>
    <cellStyle name="Pre-inputted cells 2 6" xfId="24112" xr:uid="{00000000-0005-0000-0000-0000B05F0000}"/>
    <cellStyle name="Pre-inputted cells 2 6 10" xfId="24113" xr:uid="{00000000-0005-0000-0000-0000B15F0000}"/>
    <cellStyle name="Pre-inputted cells 2 6 11" xfId="24114" xr:uid="{00000000-0005-0000-0000-0000B25F0000}"/>
    <cellStyle name="Pre-inputted cells 2 6 12" xfId="24115" xr:uid="{00000000-0005-0000-0000-0000B35F0000}"/>
    <cellStyle name="Pre-inputted cells 2 6 13" xfId="24116" xr:uid="{00000000-0005-0000-0000-0000B45F0000}"/>
    <cellStyle name="Pre-inputted cells 2 6 2" xfId="24117" xr:uid="{00000000-0005-0000-0000-0000B55F0000}"/>
    <cellStyle name="Pre-inputted cells 2 6 3" xfId="24118" xr:uid="{00000000-0005-0000-0000-0000B65F0000}"/>
    <cellStyle name="Pre-inputted cells 2 6 4" xfId="24119" xr:uid="{00000000-0005-0000-0000-0000B75F0000}"/>
    <cellStyle name="Pre-inputted cells 2 6 5" xfId="24120" xr:uid="{00000000-0005-0000-0000-0000B85F0000}"/>
    <cellStyle name="Pre-inputted cells 2 6 6" xfId="24121" xr:uid="{00000000-0005-0000-0000-0000B95F0000}"/>
    <cellStyle name="Pre-inputted cells 2 6 7" xfId="24122" xr:uid="{00000000-0005-0000-0000-0000BA5F0000}"/>
    <cellStyle name="Pre-inputted cells 2 6 8" xfId="24123" xr:uid="{00000000-0005-0000-0000-0000BB5F0000}"/>
    <cellStyle name="Pre-inputted cells 2 6 9" xfId="24124" xr:uid="{00000000-0005-0000-0000-0000BC5F0000}"/>
    <cellStyle name="Pre-inputted cells 2 7" xfId="24125" xr:uid="{00000000-0005-0000-0000-0000BD5F0000}"/>
    <cellStyle name="Pre-inputted cells 2 8" xfId="24126" xr:uid="{00000000-0005-0000-0000-0000BE5F0000}"/>
    <cellStyle name="Pre-inputted cells 2 9" xfId="24127" xr:uid="{00000000-0005-0000-0000-0000BF5F0000}"/>
    <cellStyle name="Pre-inputted cells 2_1.3s Accounting C Costs Scots" xfId="24128" xr:uid="{00000000-0005-0000-0000-0000C05F0000}"/>
    <cellStyle name="Pre-inputted cells 20" xfId="24129" xr:uid="{00000000-0005-0000-0000-0000C15F0000}"/>
    <cellStyle name="Pre-inputted cells 21" xfId="24130" xr:uid="{00000000-0005-0000-0000-0000C25F0000}"/>
    <cellStyle name="Pre-inputted cells 22" xfId="24131" xr:uid="{00000000-0005-0000-0000-0000C35F0000}"/>
    <cellStyle name="Pre-inputted cells 23" xfId="24132" xr:uid="{00000000-0005-0000-0000-0000C45F0000}"/>
    <cellStyle name="Pre-inputted cells 24" xfId="24133" xr:uid="{00000000-0005-0000-0000-0000C55F0000}"/>
    <cellStyle name="Pre-inputted cells 25" xfId="24134" xr:uid="{00000000-0005-0000-0000-0000C65F0000}"/>
    <cellStyle name="Pre-inputted cells 26" xfId="24135" xr:uid="{00000000-0005-0000-0000-0000C75F0000}"/>
    <cellStyle name="Pre-inputted cells 27" xfId="24136" xr:uid="{00000000-0005-0000-0000-0000C85F0000}"/>
    <cellStyle name="Pre-inputted cells 28" xfId="24137" xr:uid="{00000000-0005-0000-0000-0000C95F0000}"/>
    <cellStyle name="Pre-inputted cells 29" xfId="24138" xr:uid="{00000000-0005-0000-0000-0000CA5F0000}"/>
    <cellStyle name="Pre-inputted cells 3" xfId="24139" xr:uid="{00000000-0005-0000-0000-0000CB5F0000}"/>
    <cellStyle name="Pre-inputted cells 3 10" xfId="24140" xr:uid="{00000000-0005-0000-0000-0000CC5F0000}"/>
    <cellStyle name="Pre-inputted cells 3 11" xfId="24141" xr:uid="{00000000-0005-0000-0000-0000CD5F0000}"/>
    <cellStyle name="Pre-inputted cells 3 12" xfId="24142" xr:uid="{00000000-0005-0000-0000-0000CE5F0000}"/>
    <cellStyle name="Pre-inputted cells 3 13" xfId="24143" xr:uid="{00000000-0005-0000-0000-0000CF5F0000}"/>
    <cellStyle name="Pre-inputted cells 3 14" xfId="24144" xr:uid="{00000000-0005-0000-0000-0000D05F0000}"/>
    <cellStyle name="Pre-inputted cells 3 15" xfId="24145" xr:uid="{00000000-0005-0000-0000-0000D15F0000}"/>
    <cellStyle name="Pre-inputted cells 3 16" xfId="24146" xr:uid="{00000000-0005-0000-0000-0000D25F0000}"/>
    <cellStyle name="Pre-inputted cells 3 17" xfId="24147" xr:uid="{00000000-0005-0000-0000-0000D35F0000}"/>
    <cellStyle name="Pre-inputted cells 3 18" xfId="24148" xr:uid="{00000000-0005-0000-0000-0000D45F0000}"/>
    <cellStyle name="Pre-inputted cells 3 19" xfId="24149" xr:uid="{00000000-0005-0000-0000-0000D55F0000}"/>
    <cellStyle name="Pre-inputted cells 3 2" xfId="24150" xr:uid="{00000000-0005-0000-0000-0000D65F0000}"/>
    <cellStyle name="Pre-inputted cells 3 2 10" xfId="24151" xr:uid="{00000000-0005-0000-0000-0000D75F0000}"/>
    <cellStyle name="Pre-inputted cells 3 2 11" xfId="24152" xr:uid="{00000000-0005-0000-0000-0000D85F0000}"/>
    <cellStyle name="Pre-inputted cells 3 2 12" xfId="24153" xr:uid="{00000000-0005-0000-0000-0000D95F0000}"/>
    <cellStyle name="Pre-inputted cells 3 2 13" xfId="24154" xr:uid="{00000000-0005-0000-0000-0000DA5F0000}"/>
    <cellStyle name="Pre-inputted cells 3 2 14" xfId="24155" xr:uid="{00000000-0005-0000-0000-0000DB5F0000}"/>
    <cellStyle name="Pre-inputted cells 3 2 15" xfId="24156" xr:uid="{00000000-0005-0000-0000-0000DC5F0000}"/>
    <cellStyle name="Pre-inputted cells 3 2 16" xfId="24157" xr:uid="{00000000-0005-0000-0000-0000DD5F0000}"/>
    <cellStyle name="Pre-inputted cells 3 2 17" xfId="24158" xr:uid="{00000000-0005-0000-0000-0000DE5F0000}"/>
    <cellStyle name="Pre-inputted cells 3 2 18" xfId="24159" xr:uid="{00000000-0005-0000-0000-0000DF5F0000}"/>
    <cellStyle name="Pre-inputted cells 3 2 19" xfId="24160" xr:uid="{00000000-0005-0000-0000-0000E05F0000}"/>
    <cellStyle name="Pre-inputted cells 3 2 2" xfId="24161" xr:uid="{00000000-0005-0000-0000-0000E15F0000}"/>
    <cellStyle name="Pre-inputted cells 3 2 2 10" xfId="24162" xr:uid="{00000000-0005-0000-0000-0000E25F0000}"/>
    <cellStyle name="Pre-inputted cells 3 2 2 11" xfId="24163" xr:uid="{00000000-0005-0000-0000-0000E35F0000}"/>
    <cellStyle name="Pre-inputted cells 3 2 2 12" xfId="24164" xr:uid="{00000000-0005-0000-0000-0000E45F0000}"/>
    <cellStyle name="Pre-inputted cells 3 2 2 13" xfId="24165" xr:uid="{00000000-0005-0000-0000-0000E55F0000}"/>
    <cellStyle name="Pre-inputted cells 3 2 2 14" xfId="24166" xr:uid="{00000000-0005-0000-0000-0000E65F0000}"/>
    <cellStyle name="Pre-inputted cells 3 2 2 15" xfId="24167" xr:uid="{00000000-0005-0000-0000-0000E75F0000}"/>
    <cellStyle name="Pre-inputted cells 3 2 2 16" xfId="24168" xr:uid="{00000000-0005-0000-0000-0000E85F0000}"/>
    <cellStyle name="Pre-inputted cells 3 2 2 17" xfId="24169" xr:uid="{00000000-0005-0000-0000-0000E95F0000}"/>
    <cellStyle name="Pre-inputted cells 3 2 2 18" xfId="24170" xr:uid="{00000000-0005-0000-0000-0000EA5F0000}"/>
    <cellStyle name="Pre-inputted cells 3 2 2 19" xfId="24171" xr:uid="{00000000-0005-0000-0000-0000EB5F0000}"/>
    <cellStyle name="Pre-inputted cells 3 2 2 2" xfId="24172" xr:uid="{00000000-0005-0000-0000-0000EC5F0000}"/>
    <cellStyle name="Pre-inputted cells 3 2 2 2 10" xfId="24173" xr:uid="{00000000-0005-0000-0000-0000ED5F0000}"/>
    <cellStyle name="Pre-inputted cells 3 2 2 2 11" xfId="24174" xr:uid="{00000000-0005-0000-0000-0000EE5F0000}"/>
    <cellStyle name="Pre-inputted cells 3 2 2 2 12" xfId="24175" xr:uid="{00000000-0005-0000-0000-0000EF5F0000}"/>
    <cellStyle name="Pre-inputted cells 3 2 2 2 13" xfId="24176" xr:uid="{00000000-0005-0000-0000-0000F05F0000}"/>
    <cellStyle name="Pre-inputted cells 3 2 2 2 14" xfId="24177" xr:uid="{00000000-0005-0000-0000-0000F15F0000}"/>
    <cellStyle name="Pre-inputted cells 3 2 2 2 15" xfId="24178" xr:uid="{00000000-0005-0000-0000-0000F25F0000}"/>
    <cellStyle name="Pre-inputted cells 3 2 2 2 16" xfId="24179" xr:uid="{00000000-0005-0000-0000-0000F35F0000}"/>
    <cellStyle name="Pre-inputted cells 3 2 2 2 17" xfId="24180" xr:uid="{00000000-0005-0000-0000-0000F45F0000}"/>
    <cellStyle name="Pre-inputted cells 3 2 2 2 18" xfId="24181" xr:uid="{00000000-0005-0000-0000-0000F55F0000}"/>
    <cellStyle name="Pre-inputted cells 3 2 2 2 19" xfId="24182" xr:uid="{00000000-0005-0000-0000-0000F65F0000}"/>
    <cellStyle name="Pre-inputted cells 3 2 2 2 2" xfId="24183" xr:uid="{00000000-0005-0000-0000-0000F75F0000}"/>
    <cellStyle name="Pre-inputted cells 3 2 2 2 2 10" xfId="24184" xr:uid="{00000000-0005-0000-0000-0000F85F0000}"/>
    <cellStyle name="Pre-inputted cells 3 2 2 2 2 11" xfId="24185" xr:uid="{00000000-0005-0000-0000-0000F95F0000}"/>
    <cellStyle name="Pre-inputted cells 3 2 2 2 2 12" xfId="24186" xr:uid="{00000000-0005-0000-0000-0000FA5F0000}"/>
    <cellStyle name="Pre-inputted cells 3 2 2 2 2 13" xfId="24187" xr:uid="{00000000-0005-0000-0000-0000FB5F0000}"/>
    <cellStyle name="Pre-inputted cells 3 2 2 2 2 2" xfId="24188" xr:uid="{00000000-0005-0000-0000-0000FC5F0000}"/>
    <cellStyle name="Pre-inputted cells 3 2 2 2 2 3" xfId="24189" xr:uid="{00000000-0005-0000-0000-0000FD5F0000}"/>
    <cellStyle name="Pre-inputted cells 3 2 2 2 2 4" xfId="24190" xr:uid="{00000000-0005-0000-0000-0000FE5F0000}"/>
    <cellStyle name="Pre-inputted cells 3 2 2 2 2 5" xfId="24191" xr:uid="{00000000-0005-0000-0000-0000FF5F0000}"/>
    <cellStyle name="Pre-inputted cells 3 2 2 2 2 6" xfId="24192" xr:uid="{00000000-0005-0000-0000-000000600000}"/>
    <cellStyle name="Pre-inputted cells 3 2 2 2 2 7" xfId="24193" xr:uid="{00000000-0005-0000-0000-000001600000}"/>
    <cellStyle name="Pre-inputted cells 3 2 2 2 2 8" xfId="24194" xr:uid="{00000000-0005-0000-0000-000002600000}"/>
    <cellStyle name="Pre-inputted cells 3 2 2 2 2 9" xfId="24195" xr:uid="{00000000-0005-0000-0000-000003600000}"/>
    <cellStyle name="Pre-inputted cells 3 2 2 2 20" xfId="24196" xr:uid="{00000000-0005-0000-0000-000004600000}"/>
    <cellStyle name="Pre-inputted cells 3 2 2 2 21" xfId="24197" xr:uid="{00000000-0005-0000-0000-000005600000}"/>
    <cellStyle name="Pre-inputted cells 3 2 2 2 22" xfId="24198" xr:uid="{00000000-0005-0000-0000-000006600000}"/>
    <cellStyle name="Pre-inputted cells 3 2 2 2 23" xfId="24199" xr:uid="{00000000-0005-0000-0000-000007600000}"/>
    <cellStyle name="Pre-inputted cells 3 2 2 2 24" xfId="24200" xr:uid="{00000000-0005-0000-0000-000008600000}"/>
    <cellStyle name="Pre-inputted cells 3 2 2 2 25" xfId="24201" xr:uid="{00000000-0005-0000-0000-000009600000}"/>
    <cellStyle name="Pre-inputted cells 3 2 2 2 26" xfId="24202" xr:uid="{00000000-0005-0000-0000-00000A600000}"/>
    <cellStyle name="Pre-inputted cells 3 2 2 2 27" xfId="24203" xr:uid="{00000000-0005-0000-0000-00000B600000}"/>
    <cellStyle name="Pre-inputted cells 3 2 2 2 28" xfId="24204" xr:uid="{00000000-0005-0000-0000-00000C600000}"/>
    <cellStyle name="Pre-inputted cells 3 2 2 2 29" xfId="24205" xr:uid="{00000000-0005-0000-0000-00000D600000}"/>
    <cellStyle name="Pre-inputted cells 3 2 2 2 3" xfId="24206" xr:uid="{00000000-0005-0000-0000-00000E600000}"/>
    <cellStyle name="Pre-inputted cells 3 2 2 2 30" xfId="24207" xr:uid="{00000000-0005-0000-0000-00000F600000}"/>
    <cellStyle name="Pre-inputted cells 3 2 2 2 31" xfId="24208" xr:uid="{00000000-0005-0000-0000-000010600000}"/>
    <cellStyle name="Pre-inputted cells 3 2 2 2 32" xfId="24209" xr:uid="{00000000-0005-0000-0000-000011600000}"/>
    <cellStyle name="Pre-inputted cells 3 2 2 2 33" xfId="24210" xr:uid="{00000000-0005-0000-0000-000012600000}"/>
    <cellStyle name="Pre-inputted cells 3 2 2 2 34" xfId="24211" xr:uid="{00000000-0005-0000-0000-000013600000}"/>
    <cellStyle name="Pre-inputted cells 3 2 2 2 4" xfId="24212" xr:uid="{00000000-0005-0000-0000-000014600000}"/>
    <cellStyle name="Pre-inputted cells 3 2 2 2 5" xfId="24213" xr:uid="{00000000-0005-0000-0000-000015600000}"/>
    <cellStyle name="Pre-inputted cells 3 2 2 2 6" xfId="24214" xr:uid="{00000000-0005-0000-0000-000016600000}"/>
    <cellStyle name="Pre-inputted cells 3 2 2 2 7" xfId="24215" xr:uid="{00000000-0005-0000-0000-000017600000}"/>
    <cellStyle name="Pre-inputted cells 3 2 2 2 8" xfId="24216" xr:uid="{00000000-0005-0000-0000-000018600000}"/>
    <cellStyle name="Pre-inputted cells 3 2 2 2 9" xfId="24217" xr:uid="{00000000-0005-0000-0000-000019600000}"/>
    <cellStyle name="Pre-inputted cells 3 2 2 20" xfId="24218" xr:uid="{00000000-0005-0000-0000-00001A600000}"/>
    <cellStyle name="Pre-inputted cells 3 2 2 21" xfId="24219" xr:uid="{00000000-0005-0000-0000-00001B600000}"/>
    <cellStyle name="Pre-inputted cells 3 2 2 22" xfId="24220" xr:uid="{00000000-0005-0000-0000-00001C600000}"/>
    <cellStyle name="Pre-inputted cells 3 2 2 23" xfId="24221" xr:uid="{00000000-0005-0000-0000-00001D600000}"/>
    <cellStyle name="Pre-inputted cells 3 2 2 24" xfId="24222" xr:uid="{00000000-0005-0000-0000-00001E600000}"/>
    <cellStyle name="Pre-inputted cells 3 2 2 25" xfId="24223" xr:uid="{00000000-0005-0000-0000-00001F600000}"/>
    <cellStyle name="Pre-inputted cells 3 2 2 26" xfId="24224" xr:uid="{00000000-0005-0000-0000-000020600000}"/>
    <cellStyle name="Pre-inputted cells 3 2 2 27" xfId="24225" xr:uid="{00000000-0005-0000-0000-000021600000}"/>
    <cellStyle name="Pre-inputted cells 3 2 2 28" xfId="24226" xr:uid="{00000000-0005-0000-0000-000022600000}"/>
    <cellStyle name="Pre-inputted cells 3 2 2 29" xfId="24227" xr:uid="{00000000-0005-0000-0000-000023600000}"/>
    <cellStyle name="Pre-inputted cells 3 2 2 3" xfId="24228" xr:uid="{00000000-0005-0000-0000-000024600000}"/>
    <cellStyle name="Pre-inputted cells 3 2 2 3 10" xfId="24229" xr:uid="{00000000-0005-0000-0000-000025600000}"/>
    <cellStyle name="Pre-inputted cells 3 2 2 3 11" xfId="24230" xr:uid="{00000000-0005-0000-0000-000026600000}"/>
    <cellStyle name="Pre-inputted cells 3 2 2 3 12" xfId="24231" xr:uid="{00000000-0005-0000-0000-000027600000}"/>
    <cellStyle name="Pre-inputted cells 3 2 2 3 13" xfId="24232" xr:uid="{00000000-0005-0000-0000-000028600000}"/>
    <cellStyle name="Pre-inputted cells 3 2 2 3 2" xfId="24233" xr:uid="{00000000-0005-0000-0000-000029600000}"/>
    <cellStyle name="Pre-inputted cells 3 2 2 3 3" xfId="24234" xr:uid="{00000000-0005-0000-0000-00002A600000}"/>
    <cellStyle name="Pre-inputted cells 3 2 2 3 4" xfId="24235" xr:uid="{00000000-0005-0000-0000-00002B600000}"/>
    <cellStyle name="Pre-inputted cells 3 2 2 3 5" xfId="24236" xr:uid="{00000000-0005-0000-0000-00002C600000}"/>
    <cellStyle name="Pre-inputted cells 3 2 2 3 6" xfId="24237" xr:uid="{00000000-0005-0000-0000-00002D600000}"/>
    <cellStyle name="Pre-inputted cells 3 2 2 3 7" xfId="24238" xr:uid="{00000000-0005-0000-0000-00002E600000}"/>
    <cellStyle name="Pre-inputted cells 3 2 2 3 8" xfId="24239" xr:uid="{00000000-0005-0000-0000-00002F600000}"/>
    <cellStyle name="Pre-inputted cells 3 2 2 3 9" xfId="24240" xr:uid="{00000000-0005-0000-0000-000030600000}"/>
    <cellStyle name="Pre-inputted cells 3 2 2 30" xfId="24241" xr:uid="{00000000-0005-0000-0000-000031600000}"/>
    <cellStyle name="Pre-inputted cells 3 2 2 31" xfId="24242" xr:uid="{00000000-0005-0000-0000-000032600000}"/>
    <cellStyle name="Pre-inputted cells 3 2 2 32" xfId="24243" xr:uid="{00000000-0005-0000-0000-000033600000}"/>
    <cellStyle name="Pre-inputted cells 3 2 2 33" xfId="24244" xr:uid="{00000000-0005-0000-0000-000034600000}"/>
    <cellStyle name="Pre-inputted cells 3 2 2 34" xfId="24245" xr:uid="{00000000-0005-0000-0000-000035600000}"/>
    <cellStyle name="Pre-inputted cells 3 2 2 35" xfId="24246" xr:uid="{00000000-0005-0000-0000-000036600000}"/>
    <cellStyle name="Pre-inputted cells 3 2 2 4" xfId="24247" xr:uid="{00000000-0005-0000-0000-000037600000}"/>
    <cellStyle name="Pre-inputted cells 3 2 2 5" xfId="24248" xr:uid="{00000000-0005-0000-0000-000038600000}"/>
    <cellStyle name="Pre-inputted cells 3 2 2 6" xfId="24249" xr:uid="{00000000-0005-0000-0000-000039600000}"/>
    <cellStyle name="Pre-inputted cells 3 2 2 7" xfId="24250" xr:uid="{00000000-0005-0000-0000-00003A600000}"/>
    <cellStyle name="Pre-inputted cells 3 2 2 8" xfId="24251" xr:uid="{00000000-0005-0000-0000-00003B600000}"/>
    <cellStyle name="Pre-inputted cells 3 2 2 9" xfId="24252" xr:uid="{00000000-0005-0000-0000-00003C600000}"/>
    <cellStyle name="Pre-inputted cells 3 2 2_4 28 1_Asst_Health_Crit_AllTO_RIIO_20110714pm" xfId="24253" xr:uid="{00000000-0005-0000-0000-00003D600000}"/>
    <cellStyle name="Pre-inputted cells 3 2 20" xfId="24254" xr:uid="{00000000-0005-0000-0000-00003E600000}"/>
    <cellStyle name="Pre-inputted cells 3 2 21" xfId="24255" xr:uid="{00000000-0005-0000-0000-00003F600000}"/>
    <cellStyle name="Pre-inputted cells 3 2 22" xfId="24256" xr:uid="{00000000-0005-0000-0000-000040600000}"/>
    <cellStyle name="Pre-inputted cells 3 2 23" xfId="24257" xr:uid="{00000000-0005-0000-0000-000041600000}"/>
    <cellStyle name="Pre-inputted cells 3 2 24" xfId="24258" xr:uid="{00000000-0005-0000-0000-000042600000}"/>
    <cellStyle name="Pre-inputted cells 3 2 25" xfId="24259" xr:uid="{00000000-0005-0000-0000-000043600000}"/>
    <cellStyle name="Pre-inputted cells 3 2 26" xfId="24260" xr:uid="{00000000-0005-0000-0000-000044600000}"/>
    <cellStyle name="Pre-inputted cells 3 2 27" xfId="24261" xr:uid="{00000000-0005-0000-0000-000045600000}"/>
    <cellStyle name="Pre-inputted cells 3 2 28" xfId="24262" xr:uid="{00000000-0005-0000-0000-000046600000}"/>
    <cellStyle name="Pre-inputted cells 3 2 29" xfId="24263" xr:uid="{00000000-0005-0000-0000-000047600000}"/>
    <cellStyle name="Pre-inputted cells 3 2 3" xfId="24264" xr:uid="{00000000-0005-0000-0000-000048600000}"/>
    <cellStyle name="Pre-inputted cells 3 2 3 10" xfId="24265" xr:uid="{00000000-0005-0000-0000-000049600000}"/>
    <cellStyle name="Pre-inputted cells 3 2 3 11" xfId="24266" xr:uid="{00000000-0005-0000-0000-00004A600000}"/>
    <cellStyle name="Pre-inputted cells 3 2 3 12" xfId="24267" xr:uid="{00000000-0005-0000-0000-00004B600000}"/>
    <cellStyle name="Pre-inputted cells 3 2 3 13" xfId="24268" xr:uid="{00000000-0005-0000-0000-00004C600000}"/>
    <cellStyle name="Pre-inputted cells 3 2 3 14" xfId="24269" xr:uid="{00000000-0005-0000-0000-00004D600000}"/>
    <cellStyle name="Pre-inputted cells 3 2 3 15" xfId="24270" xr:uid="{00000000-0005-0000-0000-00004E600000}"/>
    <cellStyle name="Pre-inputted cells 3 2 3 16" xfId="24271" xr:uid="{00000000-0005-0000-0000-00004F600000}"/>
    <cellStyle name="Pre-inputted cells 3 2 3 17" xfId="24272" xr:uid="{00000000-0005-0000-0000-000050600000}"/>
    <cellStyle name="Pre-inputted cells 3 2 3 18" xfId="24273" xr:uid="{00000000-0005-0000-0000-000051600000}"/>
    <cellStyle name="Pre-inputted cells 3 2 3 19" xfId="24274" xr:uid="{00000000-0005-0000-0000-000052600000}"/>
    <cellStyle name="Pre-inputted cells 3 2 3 2" xfId="24275" xr:uid="{00000000-0005-0000-0000-000053600000}"/>
    <cellStyle name="Pre-inputted cells 3 2 3 2 10" xfId="24276" xr:uid="{00000000-0005-0000-0000-000054600000}"/>
    <cellStyle name="Pre-inputted cells 3 2 3 2 11" xfId="24277" xr:uid="{00000000-0005-0000-0000-000055600000}"/>
    <cellStyle name="Pre-inputted cells 3 2 3 2 12" xfId="24278" xr:uid="{00000000-0005-0000-0000-000056600000}"/>
    <cellStyle name="Pre-inputted cells 3 2 3 2 13" xfId="24279" xr:uid="{00000000-0005-0000-0000-000057600000}"/>
    <cellStyle name="Pre-inputted cells 3 2 3 2 2" xfId="24280" xr:uid="{00000000-0005-0000-0000-000058600000}"/>
    <cellStyle name="Pre-inputted cells 3 2 3 2 3" xfId="24281" xr:uid="{00000000-0005-0000-0000-000059600000}"/>
    <cellStyle name="Pre-inputted cells 3 2 3 2 4" xfId="24282" xr:uid="{00000000-0005-0000-0000-00005A600000}"/>
    <cellStyle name="Pre-inputted cells 3 2 3 2 5" xfId="24283" xr:uid="{00000000-0005-0000-0000-00005B600000}"/>
    <cellStyle name="Pre-inputted cells 3 2 3 2 6" xfId="24284" xr:uid="{00000000-0005-0000-0000-00005C600000}"/>
    <cellStyle name="Pre-inputted cells 3 2 3 2 7" xfId="24285" xr:uid="{00000000-0005-0000-0000-00005D600000}"/>
    <cellStyle name="Pre-inputted cells 3 2 3 2 8" xfId="24286" xr:uid="{00000000-0005-0000-0000-00005E600000}"/>
    <cellStyle name="Pre-inputted cells 3 2 3 2 9" xfId="24287" xr:uid="{00000000-0005-0000-0000-00005F600000}"/>
    <cellStyle name="Pre-inputted cells 3 2 3 20" xfId="24288" xr:uid="{00000000-0005-0000-0000-000060600000}"/>
    <cellStyle name="Pre-inputted cells 3 2 3 21" xfId="24289" xr:uid="{00000000-0005-0000-0000-000061600000}"/>
    <cellStyle name="Pre-inputted cells 3 2 3 22" xfId="24290" xr:uid="{00000000-0005-0000-0000-000062600000}"/>
    <cellStyle name="Pre-inputted cells 3 2 3 23" xfId="24291" xr:uid="{00000000-0005-0000-0000-000063600000}"/>
    <cellStyle name="Pre-inputted cells 3 2 3 24" xfId="24292" xr:uid="{00000000-0005-0000-0000-000064600000}"/>
    <cellStyle name="Pre-inputted cells 3 2 3 25" xfId="24293" xr:uid="{00000000-0005-0000-0000-000065600000}"/>
    <cellStyle name="Pre-inputted cells 3 2 3 26" xfId="24294" xr:uid="{00000000-0005-0000-0000-000066600000}"/>
    <cellStyle name="Pre-inputted cells 3 2 3 27" xfId="24295" xr:uid="{00000000-0005-0000-0000-000067600000}"/>
    <cellStyle name="Pre-inputted cells 3 2 3 28" xfId="24296" xr:uid="{00000000-0005-0000-0000-000068600000}"/>
    <cellStyle name="Pre-inputted cells 3 2 3 29" xfId="24297" xr:uid="{00000000-0005-0000-0000-000069600000}"/>
    <cellStyle name="Pre-inputted cells 3 2 3 3" xfId="24298" xr:uid="{00000000-0005-0000-0000-00006A600000}"/>
    <cellStyle name="Pre-inputted cells 3 2 3 30" xfId="24299" xr:uid="{00000000-0005-0000-0000-00006B600000}"/>
    <cellStyle name="Pre-inputted cells 3 2 3 31" xfId="24300" xr:uid="{00000000-0005-0000-0000-00006C600000}"/>
    <cellStyle name="Pre-inputted cells 3 2 3 32" xfId="24301" xr:uid="{00000000-0005-0000-0000-00006D600000}"/>
    <cellStyle name="Pre-inputted cells 3 2 3 33" xfId="24302" xr:uid="{00000000-0005-0000-0000-00006E600000}"/>
    <cellStyle name="Pre-inputted cells 3 2 3 34" xfId="24303" xr:uid="{00000000-0005-0000-0000-00006F600000}"/>
    <cellStyle name="Pre-inputted cells 3 2 3 4" xfId="24304" xr:uid="{00000000-0005-0000-0000-000070600000}"/>
    <cellStyle name="Pre-inputted cells 3 2 3 5" xfId="24305" xr:uid="{00000000-0005-0000-0000-000071600000}"/>
    <cellStyle name="Pre-inputted cells 3 2 3 6" xfId="24306" xr:uid="{00000000-0005-0000-0000-000072600000}"/>
    <cellStyle name="Pre-inputted cells 3 2 3 7" xfId="24307" xr:uid="{00000000-0005-0000-0000-000073600000}"/>
    <cellStyle name="Pre-inputted cells 3 2 3 8" xfId="24308" xr:uid="{00000000-0005-0000-0000-000074600000}"/>
    <cellStyle name="Pre-inputted cells 3 2 3 9" xfId="24309" xr:uid="{00000000-0005-0000-0000-000075600000}"/>
    <cellStyle name="Pre-inputted cells 3 2 30" xfId="24310" xr:uid="{00000000-0005-0000-0000-000076600000}"/>
    <cellStyle name="Pre-inputted cells 3 2 31" xfId="24311" xr:uid="{00000000-0005-0000-0000-000077600000}"/>
    <cellStyle name="Pre-inputted cells 3 2 32" xfId="24312" xr:uid="{00000000-0005-0000-0000-000078600000}"/>
    <cellStyle name="Pre-inputted cells 3 2 33" xfId="24313" xr:uid="{00000000-0005-0000-0000-000079600000}"/>
    <cellStyle name="Pre-inputted cells 3 2 34" xfId="24314" xr:uid="{00000000-0005-0000-0000-00007A600000}"/>
    <cellStyle name="Pre-inputted cells 3 2 35" xfId="24315" xr:uid="{00000000-0005-0000-0000-00007B600000}"/>
    <cellStyle name="Pre-inputted cells 3 2 36" xfId="24316" xr:uid="{00000000-0005-0000-0000-00007C600000}"/>
    <cellStyle name="Pre-inputted cells 3 2 37" xfId="24317" xr:uid="{00000000-0005-0000-0000-00007D600000}"/>
    <cellStyle name="Pre-inputted cells 3 2 38" xfId="24318" xr:uid="{00000000-0005-0000-0000-00007E600000}"/>
    <cellStyle name="Pre-inputted cells 3 2 4" xfId="24319" xr:uid="{00000000-0005-0000-0000-00007F600000}"/>
    <cellStyle name="Pre-inputted cells 3 2 4 10" xfId="24320" xr:uid="{00000000-0005-0000-0000-000080600000}"/>
    <cellStyle name="Pre-inputted cells 3 2 4 11" xfId="24321" xr:uid="{00000000-0005-0000-0000-000081600000}"/>
    <cellStyle name="Pre-inputted cells 3 2 4 12" xfId="24322" xr:uid="{00000000-0005-0000-0000-000082600000}"/>
    <cellStyle name="Pre-inputted cells 3 2 4 13" xfId="24323" xr:uid="{00000000-0005-0000-0000-000083600000}"/>
    <cellStyle name="Pre-inputted cells 3 2 4 14" xfId="24324" xr:uid="{00000000-0005-0000-0000-000084600000}"/>
    <cellStyle name="Pre-inputted cells 3 2 4 15" xfId="24325" xr:uid="{00000000-0005-0000-0000-000085600000}"/>
    <cellStyle name="Pre-inputted cells 3 2 4 16" xfId="24326" xr:uid="{00000000-0005-0000-0000-000086600000}"/>
    <cellStyle name="Pre-inputted cells 3 2 4 17" xfId="24327" xr:uid="{00000000-0005-0000-0000-000087600000}"/>
    <cellStyle name="Pre-inputted cells 3 2 4 18" xfId="24328" xr:uid="{00000000-0005-0000-0000-000088600000}"/>
    <cellStyle name="Pre-inputted cells 3 2 4 19" xfId="24329" xr:uid="{00000000-0005-0000-0000-000089600000}"/>
    <cellStyle name="Pre-inputted cells 3 2 4 2" xfId="24330" xr:uid="{00000000-0005-0000-0000-00008A600000}"/>
    <cellStyle name="Pre-inputted cells 3 2 4 2 10" xfId="24331" xr:uid="{00000000-0005-0000-0000-00008B600000}"/>
    <cellStyle name="Pre-inputted cells 3 2 4 2 11" xfId="24332" xr:uid="{00000000-0005-0000-0000-00008C600000}"/>
    <cellStyle name="Pre-inputted cells 3 2 4 2 12" xfId="24333" xr:uid="{00000000-0005-0000-0000-00008D600000}"/>
    <cellStyle name="Pre-inputted cells 3 2 4 2 13" xfId="24334" xr:uid="{00000000-0005-0000-0000-00008E600000}"/>
    <cellStyle name="Pre-inputted cells 3 2 4 2 2" xfId="24335" xr:uid="{00000000-0005-0000-0000-00008F600000}"/>
    <cellStyle name="Pre-inputted cells 3 2 4 2 3" xfId="24336" xr:uid="{00000000-0005-0000-0000-000090600000}"/>
    <cellStyle name="Pre-inputted cells 3 2 4 2 4" xfId="24337" xr:uid="{00000000-0005-0000-0000-000091600000}"/>
    <cellStyle name="Pre-inputted cells 3 2 4 2 5" xfId="24338" xr:uid="{00000000-0005-0000-0000-000092600000}"/>
    <cellStyle name="Pre-inputted cells 3 2 4 2 6" xfId="24339" xr:uid="{00000000-0005-0000-0000-000093600000}"/>
    <cellStyle name="Pre-inputted cells 3 2 4 2 7" xfId="24340" xr:uid="{00000000-0005-0000-0000-000094600000}"/>
    <cellStyle name="Pre-inputted cells 3 2 4 2 8" xfId="24341" xr:uid="{00000000-0005-0000-0000-000095600000}"/>
    <cellStyle name="Pre-inputted cells 3 2 4 2 9" xfId="24342" xr:uid="{00000000-0005-0000-0000-000096600000}"/>
    <cellStyle name="Pre-inputted cells 3 2 4 20" xfId="24343" xr:uid="{00000000-0005-0000-0000-000097600000}"/>
    <cellStyle name="Pre-inputted cells 3 2 4 21" xfId="24344" xr:uid="{00000000-0005-0000-0000-000098600000}"/>
    <cellStyle name="Pre-inputted cells 3 2 4 22" xfId="24345" xr:uid="{00000000-0005-0000-0000-000099600000}"/>
    <cellStyle name="Pre-inputted cells 3 2 4 23" xfId="24346" xr:uid="{00000000-0005-0000-0000-00009A600000}"/>
    <cellStyle name="Pre-inputted cells 3 2 4 24" xfId="24347" xr:uid="{00000000-0005-0000-0000-00009B600000}"/>
    <cellStyle name="Pre-inputted cells 3 2 4 25" xfId="24348" xr:uid="{00000000-0005-0000-0000-00009C600000}"/>
    <cellStyle name="Pre-inputted cells 3 2 4 26" xfId="24349" xr:uid="{00000000-0005-0000-0000-00009D600000}"/>
    <cellStyle name="Pre-inputted cells 3 2 4 27" xfId="24350" xr:uid="{00000000-0005-0000-0000-00009E600000}"/>
    <cellStyle name="Pre-inputted cells 3 2 4 28" xfId="24351" xr:uid="{00000000-0005-0000-0000-00009F600000}"/>
    <cellStyle name="Pre-inputted cells 3 2 4 29" xfId="24352" xr:uid="{00000000-0005-0000-0000-0000A0600000}"/>
    <cellStyle name="Pre-inputted cells 3 2 4 3" xfId="24353" xr:uid="{00000000-0005-0000-0000-0000A1600000}"/>
    <cellStyle name="Pre-inputted cells 3 2 4 30" xfId="24354" xr:uid="{00000000-0005-0000-0000-0000A2600000}"/>
    <cellStyle name="Pre-inputted cells 3 2 4 31" xfId="24355" xr:uid="{00000000-0005-0000-0000-0000A3600000}"/>
    <cellStyle name="Pre-inputted cells 3 2 4 32" xfId="24356" xr:uid="{00000000-0005-0000-0000-0000A4600000}"/>
    <cellStyle name="Pre-inputted cells 3 2 4 33" xfId="24357" xr:uid="{00000000-0005-0000-0000-0000A5600000}"/>
    <cellStyle name="Pre-inputted cells 3 2 4 34" xfId="24358" xr:uid="{00000000-0005-0000-0000-0000A6600000}"/>
    <cellStyle name="Pre-inputted cells 3 2 4 4" xfId="24359" xr:uid="{00000000-0005-0000-0000-0000A7600000}"/>
    <cellStyle name="Pre-inputted cells 3 2 4 5" xfId="24360" xr:uid="{00000000-0005-0000-0000-0000A8600000}"/>
    <cellStyle name="Pre-inputted cells 3 2 4 6" xfId="24361" xr:uid="{00000000-0005-0000-0000-0000A9600000}"/>
    <cellStyle name="Pre-inputted cells 3 2 4 7" xfId="24362" xr:uid="{00000000-0005-0000-0000-0000AA600000}"/>
    <cellStyle name="Pre-inputted cells 3 2 4 8" xfId="24363" xr:uid="{00000000-0005-0000-0000-0000AB600000}"/>
    <cellStyle name="Pre-inputted cells 3 2 4 9" xfId="24364" xr:uid="{00000000-0005-0000-0000-0000AC600000}"/>
    <cellStyle name="Pre-inputted cells 3 2 5" xfId="24365" xr:uid="{00000000-0005-0000-0000-0000AD600000}"/>
    <cellStyle name="Pre-inputted cells 3 2 5 10" xfId="24366" xr:uid="{00000000-0005-0000-0000-0000AE600000}"/>
    <cellStyle name="Pre-inputted cells 3 2 5 11" xfId="24367" xr:uid="{00000000-0005-0000-0000-0000AF600000}"/>
    <cellStyle name="Pre-inputted cells 3 2 5 12" xfId="24368" xr:uid="{00000000-0005-0000-0000-0000B0600000}"/>
    <cellStyle name="Pre-inputted cells 3 2 5 13" xfId="24369" xr:uid="{00000000-0005-0000-0000-0000B1600000}"/>
    <cellStyle name="Pre-inputted cells 3 2 5 2" xfId="24370" xr:uid="{00000000-0005-0000-0000-0000B2600000}"/>
    <cellStyle name="Pre-inputted cells 3 2 5 3" xfId="24371" xr:uid="{00000000-0005-0000-0000-0000B3600000}"/>
    <cellStyle name="Pre-inputted cells 3 2 5 4" xfId="24372" xr:uid="{00000000-0005-0000-0000-0000B4600000}"/>
    <cellStyle name="Pre-inputted cells 3 2 5 5" xfId="24373" xr:uid="{00000000-0005-0000-0000-0000B5600000}"/>
    <cellStyle name="Pre-inputted cells 3 2 5 6" xfId="24374" xr:uid="{00000000-0005-0000-0000-0000B6600000}"/>
    <cellStyle name="Pre-inputted cells 3 2 5 7" xfId="24375" xr:uid="{00000000-0005-0000-0000-0000B7600000}"/>
    <cellStyle name="Pre-inputted cells 3 2 5 8" xfId="24376" xr:uid="{00000000-0005-0000-0000-0000B8600000}"/>
    <cellStyle name="Pre-inputted cells 3 2 5 9" xfId="24377" xr:uid="{00000000-0005-0000-0000-0000B9600000}"/>
    <cellStyle name="Pre-inputted cells 3 2 6" xfId="24378" xr:uid="{00000000-0005-0000-0000-0000BA600000}"/>
    <cellStyle name="Pre-inputted cells 3 2 7" xfId="24379" xr:uid="{00000000-0005-0000-0000-0000BB600000}"/>
    <cellStyle name="Pre-inputted cells 3 2 8" xfId="24380" xr:uid="{00000000-0005-0000-0000-0000BC600000}"/>
    <cellStyle name="Pre-inputted cells 3 2 9" xfId="24381" xr:uid="{00000000-0005-0000-0000-0000BD600000}"/>
    <cellStyle name="Pre-inputted cells 3 2_4 28 1_Asst_Health_Crit_AllTO_RIIO_20110714pm" xfId="24382" xr:uid="{00000000-0005-0000-0000-0000BE600000}"/>
    <cellStyle name="Pre-inputted cells 3 20" xfId="24383" xr:uid="{00000000-0005-0000-0000-0000BF600000}"/>
    <cellStyle name="Pre-inputted cells 3 21" xfId="24384" xr:uid="{00000000-0005-0000-0000-0000C0600000}"/>
    <cellStyle name="Pre-inputted cells 3 22" xfId="24385" xr:uid="{00000000-0005-0000-0000-0000C1600000}"/>
    <cellStyle name="Pre-inputted cells 3 23" xfId="24386" xr:uid="{00000000-0005-0000-0000-0000C2600000}"/>
    <cellStyle name="Pre-inputted cells 3 24" xfId="24387" xr:uid="{00000000-0005-0000-0000-0000C3600000}"/>
    <cellStyle name="Pre-inputted cells 3 25" xfId="24388" xr:uid="{00000000-0005-0000-0000-0000C4600000}"/>
    <cellStyle name="Pre-inputted cells 3 26" xfId="24389" xr:uid="{00000000-0005-0000-0000-0000C5600000}"/>
    <cellStyle name="Pre-inputted cells 3 27" xfId="24390" xr:uid="{00000000-0005-0000-0000-0000C6600000}"/>
    <cellStyle name="Pre-inputted cells 3 28" xfId="24391" xr:uid="{00000000-0005-0000-0000-0000C7600000}"/>
    <cellStyle name="Pre-inputted cells 3 29" xfId="24392" xr:uid="{00000000-0005-0000-0000-0000C8600000}"/>
    <cellStyle name="Pre-inputted cells 3 3" xfId="24393" xr:uid="{00000000-0005-0000-0000-0000C9600000}"/>
    <cellStyle name="Pre-inputted cells 3 3 10" xfId="24394" xr:uid="{00000000-0005-0000-0000-0000CA600000}"/>
    <cellStyle name="Pre-inputted cells 3 3 11" xfId="24395" xr:uid="{00000000-0005-0000-0000-0000CB600000}"/>
    <cellStyle name="Pre-inputted cells 3 3 12" xfId="24396" xr:uid="{00000000-0005-0000-0000-0000CC600000}"/>
    <cellStyle name="Pre-inputted cells 3 3 13" xfId="24397" xr:uid="{00000000-0005-0000-0000-0000CD600000}"/>
    <cellStyle name="Pre-inputted cells 3 3 14" xfId="24398" xr:uid="{00000000-0005-0000-0000-0000CE600000}"/>
    <cellStyle name="Pre-inputted cells 3 3 15" xfId="24399" xr:uid="{00000000-0005-0000-0000-0000CF600000}"/>
    <cellStyle name="Pre-inputted cells 3 3 16" xfId="24400" xr:uid="{00000000-0005-0000-0000-0000D0600000}"/>
    <cellStyle name="Pre-inputted cells 3 3 17" xfId="24401" xr:uid="{00000000-0005-0000-0000-0000D1600000}"/>
    <cellStyle name="Pre-inputted cells 3 3 18" xfId="24402" xr:uid="{00000000-0005-0000-0000-0000D2600000}"/>
    <cellStyle name="Pre-inputted cells 3 3 19" xfId="24403" xr:uid="{00000000-0005-0000-0000-0000D3600000}"/>
    <cellStyle name="Pre-inputted cells 3 3 2" xfId="24404" xr:uid="{00000000-0005-0000-0000-0000D4600000}"/>
    <cellStyle name="Pre-inputted cells 3 3 2 10" xfId="24405" xr:uid="{00000000-0005-0000-0000-0000D5600000}"/>
    <cellStyle name="Pre-inputted cells 3 3 2 11" xfId="24406" xr:uid="{00000000-0005-0000-0000-0000D6600000}"/>
    <cellStyle name="Pre-inputted cells 3 3 2 12" xfId="24407" xr:uid="{00000000-0005-0000-0000-0000D7600000}"/>
    <cellStyle name="Pre-inputted cells 3 3 2 13" xfId="24408" xr:uid="{00000000-0005-0000-0000-0000D8600000}"/>
    <cellStyle name="Pre-inputted cells 3 3 2 14" xfId="24409" xr:uid="{00000000-0005-0000-0000-0000D9600000}"/>
    <cellStyle name="Pre-inputted cells 3 3 2 15" xfId="24410" xr:uid="{00000000-0005-0000-0000-0000DA600000}"/>
    <cellStyle name="Pre-inputted cells 3 3 2 16" xfId="24411" xr:uid="{00000000-0005-0000-0000-0000DB600000}"/>
    <cellStyle name="Pre-inputted cells 3 3 2 17" xfId="24412" xr:uid="{00000000-0005-0000-0000-0000DC600000}"/>
    <cellStyle name="Pre-inputted cells 3 3 2 18" xfId="24413" xr:uid="{00000000-0005-0000-0000-0000DD600000}"/>
    <cellStyle name="Pre-inputted cells 3 3 2 19" xfId="24414" xr:uid="{00000000-0005-0000-0000-0000DE600000}"/>
    <cellStyle name="Pre-inputted cells 3 3 2 2" xfId="24415" xr:uid="{00000000-0005-0000-0000-0000DF600000}"/>
    <cellStyle name="Pre-inputted cells 3 3 2 2 10" xfId="24416" xr:uid="{00000000-0005-0000-0000-0000E0600000}"/>
    <cellStyle name="Pre-inputted cells 3 3 2 2 11" xfId="24417" xr:uid="{00000000-0005-0000-0000-0000E1600000}"/>
    <cellStyle name="Pre-inputted cells 3 3 2 2 12" xfId="24418" xr:uid="{00000000-0005-0000-0000-0000E2600000}"/>
    <cellStyle name="Pre-inputted cells 3 3 2 2 13" xfId="24419" xr:uid="{00000000-0005-0000-0000-0000E3600000}"/>
    <cellStyle name="Pre-inputted cells 3 3 2 2 2" xfId="24420" xr:uid="{00000000-0005-0000-0000-0000E4600000}"/>
    <cellStyle name="Pre-inputted cells 3 3 2 2 3" xfId="24421" xr:uid="{00000000-0005-0000-0000-0000E5600000}"/>
    <cellStyle name="Pre-inputted cells 3 3 2 2 4" xfId="24422" xr:uid="{00000000-0005-0000-0000-0000E6600000}"/>
    <cellStyle name="Pre-inputted cells 3 3 2 2 5" xfId="24423" xr:uid="{00000000-0005-0000-0000-0000E7600000}"/>
    <cellStyle name="Pre-inputted cells 3 3 2 2 6" xfId="24424" xr:uid="{00000000-0005-0000-0000-0000E8600000}"/>
    <cellStyle name="Pre-inputted cells 3 3 2 2 7" xfId="24425" xr:uid="{00000000-0005-0000-0000-0000E9600000}"/>
    <cellStyle name="Pre-inputted cells 3 3 2 2 8" xfId="24426" xr:uid="{00000000-0005-0000-0000-0000EA600000}"/>
    <cellStyle name="Pre-inputted cells 3 3 2 2 9" xfId="24427" xr:uid="{00000000-0005-0000-0000-0000EB600000}"/>
    <cellStyle name="Pre-inputted cells 3 3 2 20" xfId="24428" xr:uid="{00000000-0005-0000-0000-0000EC600000}"/>
    <cellStyle name="Pre-inputted cells 3 3 2 21" xfId="24429" xr:uid="{00000000-0005-0000-0000-0000ED600000}"/>
    <cellStyle name="Pre-inputted cells 3 3 2 22" xfId="24430" xr:uid="{00000000-0005-0000-0000-0000EE600000}"/>
    <cellStyle name="Pre-inputted cells 3 3 2 23" xfId="24431" xr:uid="{00000000-0005-0000-0000-0000EF600000}"/>
    <cellStyle name="Pre-inputted cells 3 3 2 24" xfId="24432" xr:uid="{00000000-0005-0000-0000-0000F0600000}"/>
    <cellStyle name="Pre-inputted cells 3 3 2 25" xfId="24433" xr:uid="{00000000-0005-0000-0000-0000F1600000}"/>
    <cellStyle name="Pre-inputted cells 3 3 2 26" xfId="24434" xr:uid="{00000000-0005-0000-0000-0000F2600000}"/>
    <cellStyle name="Pre-inputted cells 3 3 2 27" xfId="24435" xr:uid="{00000000-0005-0000-0000-0000F3600000}"/>
    <cellStyle name="Pre-inputted cells 3 3 2 28" xfId="24436" xr:uid="{00000000-0005-0000-0000-0000F4600000}"/>
    <cellStyle name="Pre-inputted cells 3 3 2 29" xfId="24437" xr:uid="{00000000-0005-0000-0000-0000F5600000}"/>
    <cellStyle name="Pre-inputted cells 3 3 2 3" xfId="24438" xr:uid="{00000000-0005-0000-0000-0000F6600000}"/>
    <cellStyle name="Pre-inputted cells 3 3 2 30" xfId="24439" xr:uid="{00000000-0005-0000-0000-0000F7600000}"/>
    <cellStyle name="Pre-inputted cells 3 3 2 31" xfId="24440" xr:uid="{00000000-0005-0000-0000-0000F8600000}"/>
    <cellStyle name="Pre-inputted cells 3 3 2 32" xfId="24441" xr:uid="{00000000-0005-0000-0000-0000F9600000}"/>
    <cellStyle name="Pre-inputted cells 3 3 2 33" xfId="24442" xr:uid="{00000000-0005-0000-0000-0000FA600000}"/>
    <cellStyle name="Pre-inputted cells 3 3 2 34" xfId="24443" xr:uid="{00000000-0005-0000-0000-0000FB600000}"/>
    <cellStyle name="Pre-inputted cells 3 3 2 4" xfId="24444" xr:uid="{00000000-0005-0000-0000-0000FC600000}"/>
    <cellStyle name="Pre-inputted cells 3 3 2 5" xfId="24445" xr:uid="{00000000-0005-0000-0000-0000FD600000}"/>
    <cellStyle name="Pre-inputted cells 3 3 2 6" xfId="24446" xr:uid="{00000000-0005-0000-0000-0000FE600000}"/>
    <cellStyle name="Pre-inputted cells 3 3 2 7" xfId="24447" xr:uid="{00000000-0005-0000-0000-0000FF600000}"/>
    <cellStyle name="Pre-inputted cells 3 3 2 8" xfId="24448" xr:uid="{00000000-0005-0000-0000-000000610000}"/>
    <cellStyle name="Pre-inputted cells 3 3 2 9" xfId="24449" xr:uid="{00000000-0005-0000-0000-000001610000}"/>
    <cellStyle name="Pre-inputted cells 3 3 20" xfId="24450" xr:uid="{00000000-0005-0000-0000-000002610000}"/>
    <cellStyle name="Pre-inputted cells 3 3 21" xfId="24451" xr:uid="{00000000-0005-0000-0000-000003610000}"/>
    <cellStyle name="Pre-inputted cells 3 3 22" xfId="24452" xr:uid="{00000000-0005-0000-0000-000004610000}"/>
    <cellStyle name="Pre-inputted cells 3 3 23" xfId="24453" xr:uid="{00000000-0005-0000-0000-000005610000}"/>
    <cellStyle name="Pre-inputted cells 3 3 24" xfId="24454" xr:uid="{00000000-0005-0000-0000-000006610000}"/>
    <cellStyle name="Pre-inputted cells 3 3 25" xfId="24455" xr:uid="{00000000-0005-0000-0000-000007610000}"/>
    <cellStyle name="Pre-inputted cells 3 3 26" xfId="24456" xr:uid="{00000000-0005-0000-0000-000008610000}"/>
    <cellStyle name="Pre-inputted cells 3 3 27" xfId="24457" xr:uid="{00000000-0005-0000-0000-000009610000}"/>
    <cellStyle name="Pre-inputted cells 3 3 28" xfId="24458" xr:uid="{00000000-0005-0000-0000-00000A610000}"/>
    <cellStyle name="Pre-inputted cells 3 3 29" xfId="24459" xr:uid="{00000000-0005-0000-0000-00000B610000}"/>
    <cellStyle name="Pre-inputted cells 3 3 3" xfId="24460" xr:uid="{00000000-0005-0000-0000-00000C610000}"/>
    <cellStyle name="Pre-inputted cells 3 3 3 10" xfId="24461" xr:uid="{00000000-0005-0000-0000-00000D610000}"/>
    <cellStyle name="Pre-inputted cells 3 3 3 11" xfId="24462" xr:uid="{00000000-0005-0000-0000-00000E610000}"/>
    <cellStyle name="Pre-inputted cells 3 3 3 12" xfId="24463" xr:uid="{00000000-0005-0000-0000-00000F610000}"/>
    <cellStyle name="Pre-inputted cells 3 3 3 13" xfId="24464" xr:uid="{00000000-0005-0000-0000-000010610000}"/>
    <cellStyle name="Pre-inputted cells 3 3 3 2" xfId="24465" xr:uid="{00000000-0005-0000-0000-000011610000}"/>
    <cellStyle name="Pre-inputted cells 3 3 3 3" xfId="24466" xr:uid="{00000000-0005-0000-0000-000012610000}"/>
    <cellStyle name="Pre-inputted cells 3 3 3 4" xfId="24467" xr:uid="{00000000-0005-0000-0000-000013610000}"/>
    <cellStyle name="Pre-inputted cells 3 3 3 5" xfId="24468" xr:uid="{00000000-0005-0000-0000-000014610000}"/>
    <cellStyle name="Pre-inputted cells 3 3 3 6" xfId="24469" xr:uid="{00000000-0005-0000-0000-000015610000}"/>
    <cellStyle name="Pre-inputted cells 3 3 3 7" xfId="24470" xr:uid="{00000000-0005-0000-0000-000016610000}"/>
    <cellStyle name="Pre-inputted cells 3 3 3 8" xfId="24471" xr:uid="{00000000-0005-0000-0000-000017610000}"/>
    <cellStyle name="Pre-inputted cells 3 3 3 9" xfId="24472" xr:uid="{00000000-0005-0000-0000-000018610000}"/>
    <cellStyle name="Pre-inputted cells 3 3 30" xfId="24473" xr:uid="{00000000-0005-0000-0000-000019610000}"/>
    <cellStyle name="Pre-inputted cells 3 3 31" xfId="24474" xr:uid="{00000000-0005-0000-0000-00001A610000}"/>
    <cellStyle name="Pre-inputted cells 3 3 32" xfId="24475" xr:uid="{00000000-0005-0000-0000-00001B610000}"/>
    <cellStyle name="Pre-inputted cells 3 3 33" xfId="24476" xr:uid="{00000000-0005-0000-0000-00001C610000}"/>
    <cellStyle name="Pre-inputted cells 3 3 34" xfId="24477" xr:uid="{00000000-0005-0000-0000-00001D610000}"/>
    <cellStyle name="Pre-inputted cells 3 3 35" xfId="24478" xr:uid="{00000000-0005-0000-0000-00001E610000}"/>
    <cellStyle name="Pre-inputted cells 3 3 4" xfId="24479" xr:uid="{00000000-0005-0000-0000-00001F610000}"/>
    <cellStyle name="Pre-inputted cells 3 3 5" xfId="24480" xr:uid="{00000000-0005-0000-0000-000020610000}"/>
    <cellStyle name="Pre-inputted cells 3 3 6" xfId="24481" xr:uid="{00000000-0005-0000-0000-000021610000}"/>
    <cellStyle name="Pre-inputted cells 3 3 7" xfId="24482" xr:uid="{00000000-0005-0000-0000-000022610000}"/>
    <cellStyle name="Pre-inputted cells 3 3 8" xfId="24483" xr:uid="{00000000-0005-0000-0000-000023610000}"/>
    <cellStyle name="Pre-inputted cells 3 3 9" xfId="24484" xr:uid="{00000000-0005-0000-0000-000024610000}"/>
    <cellStyle name="Pre-inputted cells 3 3_4 28 1_Asst_Health_Crit_AllTO_RIIO_20110714pm" xfId="24485" xr:uid="{00000000-0005-0000-0000-000025610000}"/>
    <cellStyle name="Pre-inputted cells 3 30" xfId="24486" xr:uid="{00000000-0005-0000-0000-000026610000}"/>
    <cellStyle name="Pre-inputted cells 3 31" xfId="24487" xr:uid="{00000000-0005-0000-0000-000027610000}"/>
    <cellStyle name="Pre-inputted cells 3 32" xfId="24488" xr:uid="{00000000-0005-0000-0000-000028610000}"/>
    <cellStyle name="Pre-inputted cells 3 33" xfId="24489" xr:uid="{00000000-0005-0000-0000-000029610000}"/>
    <cellStyle name="Pre-inputted cells 3 34" xfId="24490" xr:uid="{00000000-0005-0000-0000-00002A610000}"/>
    <cellStyle name="Pre-inputted cells 3 35" xfId="24491" xr:uid="{00000000-0005-0000-0000-00002B610000}"/>
    <cellStyle name="Pre-inputted cells 3 36" xfId="24492" xr:uid="{00000000-0005-0000-0000-00002C610000}"/>
    <cellStyle name="Pre-inputted cells 3 37" xfId="24493" xr:uid="{00000000-0005-0000-0000-00002D610000}"/>
    <cellStyle name="Pre-inputted cells 3 38" xfId="24494" xr:uid="{00000000-0005-0000-0000-00002E610000}"/>
    <cellStyle name="Pre-inputted cells 3 39" xfId="24495" xr:uid="{00000000-0005-0000-0000-00002F610000}"/>
    <cellStyle name="Pre-inputted cells 3 4" xfId="24496" xr:uid="{00000000-0005-0000-0000-000030610000}"/>
    <cellStyle name="Pre-inputted cells 3 4 10" xfId="24497" xr:uid="{00000000-0005-0000-0000-000031610000}"/>
    <cellStyle name="Pre-inputted cells 3 4 11" xfId="24498" xr:uid="{00000000-0005-0000-0000-000032610000}"/>
    <cellStyle name="Pre-inputted cells 3 4 12" xfId="24499" xr:uid="{00000000-0005-0000-0000-000033610000}"/>
    <cellStyle name="Pre-inputted cells 3 4 13" xfId="24500" xr:uid="{00000000-0005-0000-0000-000034610000}"/>
    <cellStyle name="Pre-inputted cells 3 4 14" xfId="24501" xr:uid="{00000000-0005-0000-0000-000035610000}"/>
    <cellStyle name="Pre-inputted cells 3 4 15" xfId="24502" xr:uid="{00000000-0005-0000-0000-000036610000}"/>
    <cellStyle name="Pre-inputted cells 3 4 16" xfId="24503" xr:uid="{00000000-0005-0000-0000-000037610000}"/>
    <cellStyle name="Pre-inputted cells 3 4 17" xfId="24504" xr:uid="{00000000-0005-0000-0000-000038610000}"/>
    <cellStyle name="Pre-inputted cells 3 4 18" xfId="24505" xr:uid="{00000000-0005-0000-0000-000039610000}"/>
    <cellStyle name="Pre-inputted cells 3 4 19" xfId="24506" xr:uid="{00000000-0005-0000-0000-00003A610000}"/>
    <cellStyle name="Pre-inputted cells 3 4 2" xfId="24507" xr:uid="{00000000-0005-0000-0000-00003B610000}"/>
    <cellStyle name="Pre-inputted cells 3 4 2 10" xfId="24508" xr:uid="{00000000-0005-0000-0000-00003C610000}"/>
    <cellStyle name="Pre-inputted cells 3 4 2 11" xfId="24509" xr:uid="{00000000-0005-0000-0000-00003D610000}"/>
    <cellStyle name="Pre-inputted cells 3 4 2 12" xfId="24510" xr:uid="{00000000-0005-0000-0000-00003E610000}"/>
    <cellStyle name="Pre-inputted cells 3 4 2 13" xfId="24511" xr:uid="{00000000-0005-0000-0000-00003F610000}"/>
    <cellStyle name="Pre-inputted cells 3 4 2 2" xfId="24512" xr:uid="{00000000-0005-0000-0000-000040610000}"/>
    <cellStyle name="Pre-inputted cells 3 4 2 3" xfId="24513" xr:uid="{00000000-0005-0000-0000-000041610000}"/>
    <cellStyle name="Pre-inputted cells 3 4 2 4" xfId="24514" xr:uid="{00000000-0005-0000-0000-000042610000}"/>
    <cellStyle name="Pre-inputted cells 3 4 2 5" xfId="24515" xr:uid="{00000000-0005-0000-0000-000043610000}"/>
    <cellStyle name="Pre-inputted cells 3 4 2 6" xfId="24516" xr:uid="{00000000-0005-0000-0000-000044610000}"/>
    <cellStyle name="Pre-inputted cells 3 4 2 7" xfId="24517" xr:uid="{00000000-0005-0000-0000-000045610000}"/>
    <cellStyle name="Pre-inputted cells 3 4 2 8" xfId="24518" xr:uid="{00000000-0005-0000-0000-000046610000}"/>
    <cellStyle name="Pre-inputted cells 3 4 2 9" xfId="24519" xr:uid="{00000000-0005-0000-0000-000047610000}"/>
    <cellStyle name="Pre-inputted cells 3 4 20" xfId="24520" xr:uid="{00000000-0005-0000-0000-000048610000}"/>
    <cellStyle name="Pre-inputted cells 3 4 21" xfId="24521" xr:uid="{00000000-0005-0000-0000-000049610000}"/>
    <cellStyle name="Pre-inputted cells 3 4 22" xfId="24522" xr:uid="{00000000-0005-0000-0000-00004A610000}"/>
    <cellStyle name="Pre-inputted cells 3 4 23" xfId="24523" xr:uid="{00000000-0005-0000-0000-00004B610000}"/>
    <cellStyle name="Pre-inputted cells 3 4 24" xfId="24524" xr:uid="{00000000-0005-0000-0000-00004C610000}"/>
    <cellStyle name="Pre-inputted cells 3 4 25" xfId="24525" xr:uid="{00000000-0005-0000-0000-00004D610000}"/>
    <cellStyle name="Pre-inputted cells 3 4 26" xfId="24526" xr:uid="{00000000-0005-0000-0000-00004E610000}"/>
    <cellStyle name="Pre-inputted cells 3 4 27" xfId="24527" xr:uid="{00000000-0005-0000-0000-00004F610000}"/>
    <cellStyle name="Pre-inputted cells 3 4 28" xfId="24528" xr:uid="{00000000-0005-0000-0000-000050610000}"/>
    <cellStyle name="Pre-inputted cells 3 4 29" xfId="24529" xr:uid="{00000000-0005-0000-0000-000051610000}"/>
    <cellStyle name="Pre-inputted cells 3 4 3" xfId="24530" xr:uid="{00000000-0005-0000-0000-000052610000}"/>
    <cellStyle name="Pre-inputted cells 3 4 30" xfId="24531" xr:uid="{00000000-0005-0000-0000-000053610000}"/>
    <cellStyle name="Pre-inputted cells 3 4 31" xfId="24532" xr:uid="{00000000-0005-0000-0000-000054610000}"/>
    <cellStyle name="Pre-inputted cells 3 4 32" xfId="24533" xr:uid="{00000000-0005-0000-0000-000055610000}"/>
    <cellStyle name="Pre-inputted cells 3 4 33" xfId="24534" xr:uid="{00000000-0005-0000-0000-000056610000}"/>
    <cellStyle name="Pre-inputted cells 3 4 34" xfId="24535" xr:uid="{00000000-0005-0000-0000-000057610000}"/>
    <cellStyle name="Pre-inputted cells 3 4 4" xfId="24536" xr:uid="{00000000-0005-0000-0000-000058610000}"/>
    <cellStyle name="Pre-inputted cells 3 4 5" xfId="24537" xr:uid="{00000000-0005-0000-0000-000059610000}"/>
    <cellStyle name="Pre-inputted cells 3 4 6" xfId="24538" xr:uid="{00000000-0005-0000-0000-00005A610000}"/>
    <cellStyle name="Pre-inputted cells 3 4 7" xfId="24539" xr:uid="{00000000-0005-0000-0000-00005B610000}"/>
    <cellStyle name="Pre-inputted cells 3 4 8" xfId="24540" xr:uid="{00000000-0005-0000-0000-00005C610000}"/>
    <cellStyle name="Pre-inputted cells 3 4 9" xfId="24541" xr:uid="{00000000-0005-0000-0000-00005D610000}"/>
    <cellStyle name="Pre-inputted cells 3 5" xfId="24542" xr:uid="{00000000-0005-0000-0000-00005E610000}"/>
    <cellStyle name="Pre-inputted cells 3 5 10" xfId="24543" xr:uid="{00000000-0005-0000-0000-00005F610000}"/>
    <cellStyle name="Pre-inputted cells 3 5 11" xfId="24544" xr:uid="{00000000-0005-0000-0000-000060610000}"/>
    <cellStyle name="Pre-inputted cells 3 5 12" xfId="24545" xr:uid="{00000000-0005-0000-0000-000061610000}"/>
    <cellStyle name="Pre-inputted cells 3 5 13" xfId="24546" xr:uid="{00000000-0005-0000-0000-000062610000}"/>
    <cellStyle name="Pre-inputted cells 3 5 14" xfId="24547" xr:uid="{00000000-0005-0000-0000-000063610000}"/>
    <cellStyle name="Pre-inputted cells 3 5 15" xfId="24548" xr:uid="{00000000-0005-0000-0000-000064610000}"/>
    <cellStyle name="Pre-inputted cells 3 5 16" xfId="24549" xr:uid="{00000000-0005-0000-0000-000065610000}"/>
    <cellStyle name="Pre-inputted cells 3 5 17" xfId="24550" xr:uid="{00000000-0005-0000-0000-000066610000}"/>
    <cellStyle name="Pre-inputted cells 3 5 18" xfId="24551" xr:uid="{00000000-0005-0000-0000-000067610000}"/>
    <cellStyle name="Pre-inputted cells 3 5 19" xfId="24552" xr:uid="{00000000-0005-0000-0000-000068610000}"/>
    <cellStyle name="Pre-inputted cells 3 5 2" xfId="24553" xr:uid="{00000000-0005-0000-0000-000069610000}"/>
    <cellStyle name="Pre-inputted cells 3 5 2 10" xfId="24554" xr:uid="{00000000-0005-0000-0000-00006A610000}"/>
    <cellStyle name="Pre-inputted cells 3 5 2 11" xfId="24555" xr:uid="{00000000-0005-0000-0000-00006B610000}"/>
    <cellStyle name="Pre-inputted cells 3 5 2 12" xfId="24556" xr:uid="{00000000-0005-0000-0000-00006C610000}"/>
    <cellStyle name="Pre-inputted cells 3 5 2 13" xfId="24557" xr:uid="{00000000-0005-0000-0000-00006D610000}"/>
    <cellStyle name="Pre-inputted cells 3 5 2 2" xfId="24558" xr:uid="{00000000-0005-0000-0000-00006E610000}"/>
    <cellStyle name="Pre-inputted cells 3 5 2 3" xfId="24559" xr:uid="{00000000-0005-0000-0000-00006F610000}"/>
    <cellStyle name="Pre-inputted cells 3 5 2 4" xfId="24560" xr:uid="{00000000-0005-0000-0000-000070610000}"/>
    <cellStyle name="Pre-inputted cells 3 5 2 5" xfId="24561" xr:uid="{00000000-0005-0000-0000-000071610000}"/>
    <cellStyle name="Pre-inputted cells 3 5 2 6" xfId="24562" xr:uid="{00000000-0005-0000-0000-000072610000}"/>
    <cellStyle name="Pre-inputted cells 3 5 2 7" xfId="24563" xr:uid="{00000000-0005-0000-0000-000073610000}"/>
    <cellStyle name="Pre-inputted cells 3 5 2 8" xfId="24564" xr:uid="{00000000-0005-0000-0000-000074610000}"/>
    <cellStyle name="Pre-inputted cells 3 5 2 9" xfId="24565" xr:uid="{00000000-0005-0000-0000-000075610000}"/>
    <cellStyle name="Pre-inputted cells 3 5 20" xfId="24566" xr:uid="{00000000-0005-0000-0000-000076610000}"/>
    <cellStyle name="Pre-inputted cells 3 5 21" xfId="24567" xr:uid="{00000000-0005-0000-0000-000077610000}"/>
    <cellStyle name="Pre-inputted cells 3 5 22" xfId="24568" xr:uid="{00000000-0005-0000-0000-000078610000}"/>
    <cellStyle name="Pre-inputted cells 3 5 23" xfId="24569" xr:uid="{00000000-0005-0000-0000-000079610000}"/>
    <cellStyle name="Pre-inputted cells 3 5 24" xfId="24570" xr:uid="{00000000-0005-0000-0000-00007A610000}"/>
    <cellStyle name="Pre-inputted cells 3 5 25" xfId="24571" xr:uid="{00000000-0005-0000-0000-00007B610000}"/>
    <cellStyle name="Pre-inputted cells 3 5 26" xfId="24572" xr:uid="{00000000-0005-0000-0000-00007C610000}"/>
    <cellStyle name="Pre-inputted cells 3 5 27" xfId="24573" xr:uid="{00000000-0005-0000-0000-00007D610000}"/>
    <cellStyle name="Pre-inputted cells 3 5 28" xfId="24574" xr:uid="{00000000-0005-0000-0000-00007E610000}"/>
    <cellStyle name="Pre-inputted cells 3 5 29" xfId="24575" xr:uid="{00000000-0005-0000-0000-00007F610000}"/>
    <cellStyle name="Pre-inputted cells 3 5 3" xfId="24576" xr:uid="{00000000-0005-0000-0000-000080610000}"/>
    <cellStyle name="Pre-inputted cells 3 5 30" xfId="24577" xr:uid="{00000000-0005-0000-0000-000081610000}"/>
    <cellStyle name="Pre-inputted cells 3 5 31" xfId="24578" xr:uid="{00000000-0005-0000-0000-000082610000}"/>
    <cellStyle name="Pre-inputted cells 3 5 32" xfId="24579" xr:uid="{00000000-0005-0000-0000-000083610000}"/>
    <cellStyle name="Pre-inputted cells 3 5 33" xfId="24580" xr:uid="{00000000-0005-0000-0000-000084610000}"/>
    <cellStyle name="Pre-inputted cells 3 5 34" xfId="24581" xr:uid="{00000000-0005-0000-0000-000085610000}"/>
    <cellStyle name="Pre-inputted cells 3 5 4" xfId="24582" xr:uid="{00000000-0005-0000-0000-000086610000}"/>
    <cellStyle name="Pre-inputted cells 3 5 5" xfId="24583" xr:uid="{00000000-0005-0000-0000-000087610000}"/>
    <cellStyle name="Pre-inputted cells 3 5 6" xfId="24584" xr:uid="{00000000-0005-0000-0000-000088610000}"/>
    <cellStyle name="Pre-inputted cells 3 5 7" xfId="24585" xr:uid="{00000000-0005-0000-0000-000089610000}"/>
    <cellStyle name="Pre-inputted cells 3 5 8" xfId="24586" xr:uid="{00000000-0005-0000-0000-00008A610000}"/>
    <cellStyle name="Pre-inputted cells 3 5 9" xfId="24587" xr:uid="{00000000-0005-0000-0000-00008B610000}"/>
    <cellStyle name="Pre-inputted cells 3 6" xfId="24588" xr:uid="{00000000-0005-0000-0000-00008C610000}"/>
    <cellStyle name="Pre-inputted cells 3 6 10" xfId="24589" xr:uid="{00000000-0005-0000-0000-00008D610000}"/>
    <cellStyle name="Pre-inputted cells 3 6 11" xfId="24590" xr:uid="{00000000-0005-0000-0000-00008E610000}"/>
    <cellStyle name="Pre-inputted cells 3 6 12" xfId="24591" xr:uid="{00000000-0005-0000-0000-00008F610000}"/>
    <cellStyle name="Pre-inputted cells 3 6 13" xfId="24592" xr:uid="{00000000-0005-0000-0000-000090610000}"/>
    <cellStyle name="Pre-inputted cells 3 6 2" xfId="24593" xr:uid="{00000000-0005-0000-0000-000091610000}"/>
    <cellStyle name="Pre-inputted cells 3 6 3" xfId="24594" xr:uid="{00000000-0005-0000-0000-000092610000}"/>
    <cellStyle name="Pre-inputted cells 3 6 4" xfId="24595" xr:uid="{00000000-0005-0000-0000-000093610000}"/>
    <cellStyle name="Pre-inputted cells 3 6 5" xfId="24596" xr:uid="{00000000-0005-0000-0000-000094610000}"/>
    <cellStyle name="Pre-inputted cells 3 6 6" xfId="24597" xr:uid="{00000000-0005-0000-0000-000095610000}"/>
    <cellStyle name="Pre-inputted cells 3 6 7" xfId="24598" xr:uid="{00000000-0005-0000-0000-000096610000}"/>
    <cellStyle name="Pre-inputted cells 3 6 8" xfId="24599" xr:uid="{00000000-0005-0000-0000-000097610000}"/>
    <cellStyle name="Pre-inputted cells 3 6 9" xfId="24600" xr:uid="{00000000-0005-0000-0000-000098610000}"/>
    <cellStyle name="Pre-inputted cells 3 7" xfId="24601" xr:uid="{00000000-0005-0000-0000-000099610000}"/>
    <cellStyle name="Pre-inputted cells 3 7 2" xfId="24602" xr:uid="{00000000-0005-0000-0000-00009A610000}"/>
    <cellStyle name="Pre-inputted cells 3 7 2 2" xfId="24603" xr:uid="{00000000-0005-0000-0000-00009B610000}"/>
    <cellStyle name="Pre-inputted cells 3 8" xfId="24604" xr:uid="{00000000-0005-0000-0000-00009C610000}"/>
    <cellStyle name="Pre-inputted cells 3 9" xfId="24605" xr:uid="{00000000-0005-0000-0000-00009D610000}"/>
    <cellStyle name="Pre-inputted cells 3_1.3s Accounting C Costs Scots" xfId="24606" xr:uid="{00000000-0005-0000-0000-00009E610000}"/>
    <cellStyle name="Pre-inputted cells 30" xfId="24607" xr:uid="{00000000-0005-0000-0000-00009F610000}"/>
    <cellStyle name="Pre-inputted cells 31" xfId="24608" xr:uid="{00000000-0005-0000-0000-0000A0610000}"/>
    <cellStyle name="Pre-inputted cells 32" xfId="24609" xr:uid="{00000000-0005-0000-0000-0000A1610000}"/>
    <cellStyle name="Pre-inputted cells 33" xfId="24610" xr:uid="{00000000-0005-0000-0000-0000A2610000}"/>
    <cellStyle name="Pre-inputted cells 34" xfId="24611" xr:uid="{00000000-0005-0000-0000-0000A3610000}"/>
    <cellStyle name="Pre-inputted cells 35" xfId="24612" xr:uid="{00000000-0005-0000-0000-0000A4610000}"/>
    <cellStyle name="Pre-inputted cells 36" xfId="24613" xr:uid="{00000000-0005-0000-0000-0000A5610000}"/>
    <cellStyle name="Pre-inputted cells 37" xfId="24614" xr:uid="{00000000-0005-0000-0000-0000A6610000}"/>
    <cellStyle name="Pre-inputted cells 38" xfId="24615" xr:uid="{00000000-0005-0000-0000-0000A7610000}"/>
    <cellStyle name="Pre-inputted cells 39" xfId="24616" xr:uid="{00000000-0005-0000-0000-0000A8610000}"/>
    <cellStyle name="Pre-inputted cells 4" xfId="24617" xr:uid="{00000000-0005-0000-0000-0000A9610000}"/>
    <cellStyle name="Pre-inputted cells 4 10" xfId="24618" xr:uid="{00000000-0005-0000-0000-0000AA610000}"/>
    <cellStyle name="Pre-inputted cells 4 11" xfId="24619" xr:uid="{00000000-0005-0000-0000-0000AB610000}"/>
    <cellStyle name="Pre-inputted cells 4 12" xfId="24620" xr:uid="{00000000-0005-0000-0000-0000AC610000}"/>
    <cellStyle name="Pre-inputted cells 4 13" xfId="24621" xr:uid="{00000000-0005-0000-0000-0000AD610000}"/>
    <cellStyle name="Pre-inputted cells 4 14" xfId="24622" xr:uid="{00000000-0005-0000-0000-0000AE610000}"/>
    <cellStyle name="Pre-inputted cells 4 15" xfId="24623" xr:uid="{00000000-0005-0000-0000-0000AF610000}"/>
    <cellStyle name="Pre-inputted cells 4 16" xfId="24624" xr:uid="{00000000-0005-0000-0000-0000B0610000}"/>
    <cellStyle name="Pre-inputted cells 4 17" xfId="24625" xr:uid="{00000000-0005-0000-0000-0000B1610000}"/>
    <cellStyle name="Pre-inputted cells 4 18" xfId="24626" xr:uid="{00000000-0005-0000-0000-0000B2610000}"/>
    <cellStyle name="Pre-inputted cells 4 19" xfId="24627" xr:uid="{00000000-0005-0000-0000-0000B3610000}"/>
    <cellStyle name="Pre-inputted cells 4 2" xfId="24628" xr:uid="{00000000-0005-0000-0000-0000B4610000}"/>
    <cellStyle name="Pre-inputted cells 4 2 10" xfId="24629" xr:uid="{00000000-0005-0000-0000-0000B5610000}"/>
    <cellStyle name="Pre-inputted cells 4 2 11" xfId="24630" xr:uid="{00000000-0005-0000-0000-0000B6610000}"/>
    <cellStyle name="Pre-inputted cells 4 2 12" xfId="24631" xr:uid="{00000000-0005-0000-0000-0000B7610000}"/>
    <cellStyle name="Pre-inputted cells 4 2 13" xfId="24632" xr:uid="{00000000-0005-0000-0000-0000B8610000}"/>
    <cellStyle name="Pre-inputted cells 4 2 14" xfId="24633" xr:uid="{00000000-0005-0000-0000-0000B9610000}"/>
    <cellStyle name="Pre-inputted cells 4 2 15" xfId="24634" xr:uid="{00000000-0005-0000-0000-0000BA610000}"/>
    <cellStyle name="Pre-inputted cells 4 2 16" xfId="24635" xr:uid="{00000000-0005-0000-0000-0000BB610000}"/>
    <cellStyle name="Pre-inputted cells 4 2 17" xfId="24636" xr:uid="{00000000-0005-0000-0000-0000BC610000}"/>
    <cellStyle name="Pre-inputted cells 4 2 18" xfId="24637" xr:uid="{00000000-0005-0000-0000-0000BD610000}"/>
    <cellStyle name="Pre-inputted cells 4 2 19" xfId="24638" xr:uid="{00000000-0005-0000-0000-0000BE610000}"/>
    <cellStyle name="Pre-inputted cells 4 2 2" xfId="24639" xr:uid="{00000000-0005-0000-0000-0000BF610000}"/>
    <cellStyle name="Pre-inputted cells 4 2 2 10" xfId="24640" xr:uid="{00000000-0005-0000-0000-0000C0610000}"/>
    <cellStyle name="Pre-inputted cells 4 2 2 11" xfId="24641" xr:uid="{00000000-0005-0000-0000-0000C1610000}"/>
    <cellStyle name="Pre-inputted cells 4 2 2 12" xfId="24642" xr:uid="{00000000-0005-0000-0000-0000C2610000}"/>
    <cellStyle name="Pre-inputted cells 4 2 2 13" xfId="24643" xr:uid="{00000000-0005-0000-0000-0000C3610000}"/>
    <cellStyle name="Pre-inputted cells 4 2 2 14" xfId="24644" xr:uid="{00000000-0005-0000-0000-0000C4610000}"/>
    <cellStyle name="Pre-inputted cells 4 2 2 15" xfId="24645" xr:uid="{00000000-0005-0000-0000-0000C5610000}"/>
    <cellStyle name="Pre-inputted cells 4 2 2 16" xfId="24646" xr:uid="{00000000-0005-0000-0000-0000C6610000}"/>
    <cellStyle name="Pre-inputted cells 4 2 2 17" xfId="24647" xr:uid="{00000000-0005-0000-0000-0000C7610000}"/>
    <cellStyle name="Pre-inputted cells 4 2 2 18" xfId="24648" xr:uid="{00000000-0005-0000-0000-0000C8610000}"/>
    <cellStyle name="Pre-inputted cells 4 2 2 19" xfId="24649" xr:uid="{00000000-0005-0000-0000-0000C9610000}"/>
    <cellStyle name="Pre-inputted cells 4 2 2 2" xfId="24650" xr:uid="{00000000-0005-0000-0000-0000CA610000}"/>
    <cellStyle name="Pre-inputted cells 4 2 2 2 10" xfId="24651" xr:uid="{00000000-0005-0000-0000-0000CB610000}"/>
    <cellStyle name="Pre-inputted cells 4 2 2 2 11" xfId="24652" xr:uid="{00000000-0005-0000-0000-0000CC610000}"/>
    <cellStyle name="Pre-inputted cells 4 2 2 2 12" xfId="24653" xr:uid="{00000000-0005-0000-0000-0000CD610000}"/>
    <cellStyle name="Pre-inputted cells 4 2 2 2 13" xfId="24654" xr:uid="{00000000-0005-0000-0000-0000CE610000}"/>
    <cellStyle name="Pre-inputted cells 4 2 2 2 14" xfId="24655" xr:uid="{00000000-0005-0000-0000-0000CF610000}"/>
    <cellStyle name="Pre-inputted cells 4 2 2 2 15" xfId="24656" xr:uid="{00000000-0005-0000-0000-0000D0610000}"/>
    <cellStyle name="Pre-inputted cells 4 2 2 2 16" xfId="24657" xr:uid="{00000000-0005-0000-0000-0000D1610000}"/>
    <cellStyle name="Pre-inputted cells 4 2 2 2 17" xfId="24658" xr:uid="{00000000-0005-0000-0000-0000D2610000}"/>
    <cellStyle name="Pre-inputted cells 4 2 2 2 18" xfId="24659" xr:uid="{00000000-0005-0000-0000-0000D3610000}"/>
    <cellStyle name="Pre-inputted cells 4 2 2 2 19" xfId="24660" xr:uid="{00000000-0005-0000-0000-0000D4610000}"/>
    <cellStyle name="Pre-inputted cells 4 2 2 2 2" xfId="24661" xr:uid="{00000000-0005-0000-0000-0000D5610000}"/>
    <cellStyle name="Pre-inputted cells 4 2 2 2 2 10" xfId="24662" xr:uid="{00000000-0005-0000-0000-0000D6610000}"/>
    <cellStyle name="Pre-inputted cells 4 2 2 2 2 11" xfId="24663" xr:uid="{00000000-0005-0000-0000-0000D7610000}"/>
    <cellStyle name="Pre-inputted cells 4 2 2 2 2 12" xfId="24664" xr:uid="{00000000-0005-0000-0000-0000D8610000}"/>
    <cellStyle name="Pre-inputted cells 4 2 2 2 2 13" xfId="24665" xr:uid="{00000000-0005-0000-0000-0000D9610000}"/>
    <cellStyle name="Pre-inputted cells 4 2 2 2 2 2" xfId="24666" xr:uid="{00000000-0005-0000-0000-0000DA610000}"/>
    <cellStyle name="Pre-inputted cells 4 2 2 2 2 3" xfId="24667" xr:uid="{00000000-0005-0000-0000-0000DB610000}"/>
    <cellStyle name="Pre-inputted cells 4 2 2 2 2 4" xfId="24668" xr:uid="{00000000-0005-0000-0000-0000DC610000}"/>
    <cellStyle name="Pre-inputted cells 4 2 2 2 2 5" xfId="24669" xr:uid="{00000000-0005-0000-0000-0000DD610000}"/>
    <cellStyle name="Pre-inputted cells 4 2 2 2 2 6" xfId="24670" xr:uid="{00000000-0005-0000-0000-0000DE610000}"/>
    <cellStyle name="Pre-inputted cells 4 2 2 2 2 7" xfId="24671" xr:uid="{00000000-0005-0000-0000-0000DF610000}"/>
    <cellStyle name="Pre-inputted cells 4 2 2 2 2 8" xfId="24672" xr:uid="{00000000-0005-0000-0000-0000E0610000}"/>
    <cellStyle name="Pre-inputted cells 4 2 2 2 2 9" xfId="24673" xr:uid="{00000000-0005-0000-0000-0000E1610000}"/>
    <cellStyle name="Pre-inputted cells 4 2 2 2 20" xfId="24674" xr:uid="{00000000-0005-0000-0000-0000E2610000}"/>
    <cellStyle name="Pre-inputted cells 4 2 2 2 21" xfId="24675" xr:uid="{00000000-0005-0000-0000-0000E3610000}"/>
    <cellStyle name="Pre-inputted cells 4 2 2 2 22" xfId="24676" xr:uid="{00000000-0005-0000-0000-0000E4610000}"/>
    <cellStyle name="Pre-inputted cells 4 2 2 2 23" xfId="24677" xr:uid="{00000000-0005-0000-0000-0000E5610000}"/>
    <cellStyle name="Pre-inputted cells 4 2 2 2 24" xfId="24678" xr:uid="{00000000-0005-0000-0000-0000E6610000}"/>
    <cellStyle name="Pre-inputted cells 4 2 2 2 25" xfId="24679" xr:uid="{00000000-0005-0000-0000-0000E7610000}"/>
    <cellStyle name="Pre-inputted cells 4 2 2 2 26" xfId="24680" xr:uid="{00000000-0005-0000-0000-0000E8610000}"/>
    <cellStyle name="Pre-inputted cells 4 2 2 2 27" xfId="24681" xr:uid="{00000000-0005-0000-0000-0000E9610000}"/>
    <cellStyle name="Pre-inputted cells 4 2 2 2 28" xfId="24682" xr:uid="{00000000-0005-0000-0000-0000EA610000}"/>
    <cellStyle name="Pre-inputted cells 4 2 2 2 29" xfId="24683" xr:uid="{00000000-0005-0000-0000-0000EB610000}"/>
    <cellStyle name="Pre-inputted cells 4 2 2 2 3" xfId="24684" xr:uid="{00000000-0005-0000-0000-0000EC610000}"/>
    <cellStyle name="Pre-inputted cells 4 2 2 2 30" xfId="24685" xr:uid="{00000000-0005-0000-0000-0000ED610000}"/>
    <cellStyle name="Pre-inputted cells 4 2 2 2 31" xfId="24686" xr:uid="{00000000-0005-0000-0000-0000EE610000}"/>
    <cellStyle name="Pre-inputted cells 4 2 2 2 32" xfId="24687" xr:uid="{00000000-0005-0000-0000-0000EF610000}"/>
    <cellStyle name="Pre-inputted cells 4 2 2 2 33" xfId="24688" xr:uid="{00000000-0005-0000-0000-0000F0610000}"/>
    <cellStyle name="Pre-inputted cells 4 2 2 2 34" xfId="24689" xr:uid="{00000000-0005-0000-0000-0000F1610000}"/>
    <cellStyle name="Pre-inputted cells 4 2 2 2 4" xfId="24690" xr:uid="{00000000-0005-0000-0000-0000F2610000}"/>
    <cellStyle name="Pre-inputted cells 4 2 2 2 5" xfId="24691" xr:uid="{00000000-0005-0000-0000-0000F3610000}"/>
    <cellStyle name="Pre-inputted cells 4 2 2 2 6" xfId="24692" xr:uid="{00000000-0005-0000-0000-0000F4610000}"/>
    <cellStyle name="Pre-inputted cells 4 2 2 2 7" xfId="24693" xr:uid="{00000000-0005-0000-0000-0000F5610000}"/>
    <cellStyle name="Pre-inputted cells 4 2 2 2 8" xfId="24694" xr:uid="{00000000-0005-0000-0000-0000F6610000}"/>
    <cellStyle name="Pre-inputted cells 4 2 2 2 9" xfId="24695" xr:uid="{00000000-0005-0000-0000-0000F7610000}"/>
    <cellStyle name="Pre-inputted cells 4 2 2 20" xfId="24696" xr:uid="{00000000-0005-0000-0000-0000F8610000}"/>
    <cellStyle name="Pre-inputted cells 4 2 2 21" xfId="24697" xr:uid="{00000000-0005-0000-0000-0000F9610000}"/>
    <cellStyle name="Pre-inputted cells 4 2 2 22" xfId="24698" xr:uid="{00000000-0005-0000-0000-0000FA610000}"/>
    <cellStyle name="Pre-inputted cells 4 2 2 23" xfId="24699" xr:uid="{00000000-0005-0000-0000-0000FB610000}"/>
    <cellStyle name="Pre-inputted cells 4 2 2 24" xfId="24700" xr:uid="{00000000-0005-0000-0000-0000FC610000}"/>
    <cellStyle name="Pre-inputted cells 4 2 2 25" xfId="24701" xr:uid="{00000000-0005-0000-0000-0000FD610000}"/>
    <cellStyle name="Pre-inputted cells 4 2 2 26" xfId="24702" xr:uid="{00000000-0005-0000-0000-0000FE610000}"/>
    <cellStyle name="Pre-inputted cells 4 2 2 27" xfId="24703" xr:uid="{00000000-0005-0000-0000-0000FF610000}"/>
    <cellStyle name="Pre-inputted cells 4 2 2 28" xfId="24704" xr:uid="{00000000-0005-0000-0000-000000620000}"/>
    <cellStyle name="Pre-inputted cells 4 2 2 29" xfId="24705" xr:uid="{00000000-0005-0000-0000-000001620000}"/>
    <cellStyle name="Pre-inputted cells 4 2 2 3" xfId="24706" xr:uid="{00000000-0005-0000-0000-000002620000}"/>
    <cellStyle name="Pre-inputted cells 4 2 2 3 10" xfId="24707" xr:uid="{00000000-0005-0000-0000-000003620000}"/>
    <cellStyle name="Pre-inputted cells 4 2 2 3 11" xfId="24708" xr:uid="{00000000-0005-0000-0000-000004620000}"/>
    <cellStyle name="Pre-inputted cells 4 2 2 3 12" xfId="24709" xr:uid="{00000000-0005-0000-0000-000005620000}"/>
    <cellStyle name="Pre-inputted cells 4 2 2 3 13" xfId="24710" xr:uid="{00000000-0005-0000-0000-000006620000}"/>
    <cellStyle name="Pre-inputted cells 4 2 2 3 2" xfId="24711" xr:uid="{00000000-0005-0000-0000-000007620000}"/>
    <cellStyle name="Pre-inputted cells 4 2 2 3 3" xfId="24712" xr:uid="{00000000-0005-0000-0000-000008620000}"/>
    <cellStyle name="Pre-inputted cells 4 2 2 3 4" xfId="24713" xr:uid="{00000000-0005-0000-0000-000009620000}"/>
    <cellStyle name="Pre-inputted cells 4 2 2 3 5" xfId="24714" xr:uid="{00000000-0005-0000-0000-00000A620000}"/>
    <cellStyle name="Pre-inputted cells 4 2 2 3 6" xfId="24715" xr:uid="{00000000-0005-0000-0000-00000B620000}"/>
    <cellStyle name="Pre-inputted cells 4 2 2 3 7" xfId="24716" xr:uid="{00000000-0005-0000-0000-00000C620000}"/>
    <cellStyle name="Pre-inputted cells 4 2 2 3 8" xfId="24717" xr:uid="{00000000-0005-0000-0000-00000D620000}"/>
    <cellStyle name="Pre-inputted cells 4 2 2 3 9" xfId="24718" xr:uid="{00000000-0005-0000-0000-00000E620000}"/>
    <cellStyle name="Pre-inputted cells 4 2 2 30" xfId="24719" xr:uid="{00000000-0005-0000-0000-00000F620000}"/>
    <cellStyle name="Pre-inputted cells 4 2 2 31" xfId="24720" xr:uid="{00000000-0005-0000-0000-000010620000}"/>
    <cellStyle name="Pre-inputted cells 4 2 2 32" xfId="24721" xr:uid="{00000000-0005-0000-0000-000011620000}"/>
    <cellStyle name="Pre-inputted cells 4 2 2 33" xfId="24722" xr:uid="{00000000-0005-0000-0000-000012620000}"/>
    <cellStyle name="Pre-inputted cells 4 2 2 34" xfId="24723" xr:uid="{00000000-0005-0000-0000-000013620000}"/>
    <cellStyle name="Pre-inputted cells 4 2 2 35" xfId="24724" xr:uid="{00000000-0005-0000-0000-000014620000}"/>
    <cellStyle name="Pre-inputted cells 4 2 2 4" xfId="24725" xr:uid="{00000000-0005-0000-0000-000015620000}"/>
    <cellStyle name="Pre-inputted cells 4 2 2 5" xfId="24726" xr:uid="{00000000-0005-0000-0000-000016620000}"/>
    <cellStyle name="Pre-inputted cells 4 2 2 6" xfId="24727" xr:uid="{00000000-0005-0000-0000-000017620000}"/>
    <cellStyle name="Pre-inputted cells 4 2 2 7" xfId="24728" xr:uid="{00000000-0005-0000-0000-000018620000}"/>
    <cellStyle name="Pre-inputted cells 4 2 2 8" xfId="24729" xr:uid="{00000000-0005-0000-0000-000019620000}"/>
    <cellStyle name="Pre-inputted cells 4 2 2 9" xfId="24730" xr:uid="{00000000-0005-0000-0000-00001A620000}"/>
    <cellStyle name="Pre-inputted cells 4 2 2_4 28 1_Asst_Health_Crit_AllTO_RIIO_20110714pm" xfId="24731" xr:uid="{00000000-0005-0000-0000-00001B620000}"/>
    <cellStyle name="Pre-inputted cells 4 2 20" xfId="24732" xr:uid="{00000000-0005-0000-0000-00001C620000}"/>
    <cellStyle name="Pre-inputted cells 4 2 21" xfId="24733" xr:uid="{00000000-0005-0000-0000-00001D620000}"/>
    <cellStyle name="Pre-inputted cells 4 2 22" xfId="24734" xr:uid="{00000000-0005-0000-0000-00001E620000}"/>
    <cellStyle name="Pre-inputted cells 4 2 23" xfId="24735" xr:uid="{00000000-0005-0000-0000-00001F620000}"/>
    <cellStyle name="Pre-inputted cells 4 2 24" xfId="24736" xr:uid="{00000000-0005-0000-0000-000020620000}"/>
    <cellStyle name="Pre-inputted cells 4 2 25" xfId="24737" xr:uid="{00000000-0005-0000-0000-000021620000}"/>
    <cellStyle name="Pre-inputted cells 4 2 26" xfId="24738" xr:uid="{00000000-0005-0000-0000-000022620000}"/>
    <cellStyle name="Pre-inputted cells 4 2 27" xfId="24739" xr:uid="{00000000-0005-0000-0000-000023620000}"/>
    <cellStyle name="Pre-inputted cells 4 2 28" xfId="24740" xr:uid="{00000000-0005-0000-0000-000024620000}"/>
    <cellStyle name="Pre-inputted cells 4 2 29" xfId="24741" xr:uid="{00000000-0005-0000-0000-000025620000}"/>
    <cellStyle name="Pre-inputted cells 4 2 3" xfId="24742" xr:uid="{00000000-0005-0000-0000-000026620000}"/>
    <cellStyle name="Pre-inputted cells 4 2 3 10" xfId="24743" xr:uid="{00000000-0005-0000-0000-000027620000}"/>
    <cellStyle name="Pre-inputted cells 4 2 3 11" xfId="24744" xr:uid="{00000000-0005-0000-0000-000028620000}"/>
    <cellStyle name="Pre-inputted cells 4 2 3 12" xfId="24745" xr:uid="{00000000-0005-0000-0000-000029620000}"/>
    <cellStyle name="Pre-inputted cells 4 2 3 13" xfId="24746" xr:uid="{00000000-0005-0000-0000-00002A620000}"/>
    <cellStyle name="Pre-inputted cells 4 2 3 14" xfId="24747" xr:uid="{00000000-0005-0000-0000-00002B620000}"/>
    <cellStyle name="Pre-inputted cells 4 2 3 15" xfId="24748" xr:uid="{00000000-0005-0000-0000-00002C620000}"/>
    <cellStyle name="Pre-inputted cells 4 2 3 16" xfId="24749" xr:uid="{00000000-0005-0000-0000-00002D620000}"/>
    <cellStyle name="Pre-inputted cells 4 2 3 17" xfId="24750" xr:uid="{00000000-0005-0000-0000-00002E620000}"/>
    <cellStyle name="Pre-inputted cells 4 2 3 18" xfId="24751" xr:uid="{00000000-0005-0000-0000-00002F620000}"/>
    <cellStyle name="Pre-inputted cells 4 2 3 19" xfId="24752" xr:uid="{00000000-0005-0000-0000-000030620000}"/>
    <cellStyle name="Pre-inputted cells 4 2 3 2" xfId="24753" xr:uid="{00000000-0005-0000-0000-000031620000}"/>
    <cellStyle name="Pre-inputted cells 4 2 3 2 10" xfId="24754" xr:uid="{00000000-0005-0000-0000-000032620000}"/>
    <cellStyle name="Pre-inputted cells 4 2 3 2 11" xfId="24755" xr:uid="{00000000-0005-0000-0000-000033620000}"/>
    <cellStyle name="Pre-inputted cells 4 2 3 2 12" xfId="24756" xr:uid="{00000000-0005-0000-0000-000034620000}"/>
    <cellStyle name="Pre-inputted cells 4 2 3 2 13" xfId="24757" xr:uid="{00000000-0005-0000-0000-000035620000}"/>
    <cellStyle name="Pre-inputted cells 4 2 3 2 2" xfId="24758" xr:uid="{00000000-0005-0000-0000-000036620000}"/>
    <cellStyle name="Pre-inputted cells 4 2 3 2 3" xfId="24759" xr:uid="{00000000-0005-0000-0000-000037620000}"/>
    <cellStyle name="Pre-inputted cells 4 2 3 2 4" xfId="24760" xr:uid="{00000000-0005-0000-0000-000038620000}"/>
    <cellStyle name="Pre-inputted cells 4 2 3 2 5" xfId="24761" xr:uid="{00000000-0005-0000-0000-000039620000}"/>
    <cellStyle name="Pre-inputted cells 4 2 3 2 6" xfId="24762" xr:uid="{00000000-0005-0000-0000-00003A620000}"/>
    <cellStyle name="Pre-inputted cells 4 2 3 2 7" xfId="24763" xr:uid="{00000000-0005-0000-0000-00003B620000}"/>
    <cellStyle name="Pre-inputted cells 4 2 3 2 8" xfId="24764" xr:uid="{00000000-0005-0000-0000-00003C620000}"/>
    <cellStyle name="Pre-inputted cells 4 2 3 2 9" xfId="24765" xr:uid="{00000000-0005-0000-0000-00003D620000}"/>
    <cellStyle name="Pre-inputted cells 4 2 3 20" xfId="24766" xr:uid="{00000000-0005-0000-0000-00003E620000}"/>
    <cellStyle name="Pre-inputted cells 4 2 3 21" xfId="24767" xr:uid="{00000000-0005-0000-0000-00003F620000}"/>
    <cellStyle name="Pre-inputted cells 4 2 3 22" xfId="24768" xr:uid="{00000000-0005-0000-0000-000040620000}"/>
    <cellStyle name="Pre-inputted cells 4 2 3 23" xfId="24769" xr:uid="{00000000-0005-0000-0000-000041620000}"/>
    <cellStyle name="Pre-inputted cells 4 2 3 24" xfId="24770" xr:uid="{00000000-0005-0000-0000-000042620000}"/>
    <cellStyle name="Pre-inputted cells 4 2 3 25" xfId="24771" xr:uid="{00000000-0005-0000-0000-000043620000}"/>
    <cellStyle name="Pre-inputted cells 4 2 3 26" xfId="24772" xr:uid="{00000000-0005-0000-0000-000044620000}"/>
    <cellStyle name="Pre-inputted cells 4 2 3 27" xfId="24773" xr:uid="{00000000-0005-0000-0000-000045620000}"/>
    <cellStyle name="Pre-inputted cells 4 2 3 28" xfId="24774" xr:uid="{00000000-0005-0000-0000-000046620000}"/>
    <cellStyle name="Pre-inputted cells 4 2 3 29" xfId="24775" xr:uid="{00000000-0005-0000-0000-000047620000}"/>
    <cellStyle name="Pre-inputted cells 4 2 3 3" xfId="24776" xr:uid="{00000000-0005-0000-0000-000048620000}"/>
    <cellStyle name="Pre-inputted cells 4 2 3 30" xfId="24777" xr:uid="{00000000-0005-0000-0000-000049620000}"/>
    <cellStyle name="Pre-inputted cells 4 2 3 31" xfId="24778" xr:uid="{00000000-0005-0000-0000-00004A620000}"/>
    <cellStyle name="Pre-inputted cells 4 2 3 32" xfId="24779" xr:uid="{00000000-0005-0000-0000-00004B620000}"/>
    <cellStyle name="Pre-inputted cells 4 2 3 33" xfId="24780" xr:uid="{00000000-0005-0000-0000-00004C620000}"/>
    <cellStyle name="Pre-inputted cells 4 2 3 34" xfId="24781" xr:uid="{00000000-0005-0000-0000-00004D620000}"/>
    <cellStyle name="Pre-inputted cells 4 2 3 4" xfId="24782" xr:uid="{00000000-0005-0000-0000-00004E620000}"/>
    <cellStyle name="Pre-inputted cells 4 2 3 5" xfId="24783" xr:uid="{00000000-0005-0000-0000-00004F620000}"/>
    <cellStyle name="Pre-inputted cells 4 2 3 6" xfId="24784" xr:uid="{00000000-0005-0000-0000-000050620000}"/>
    <cellStyle name="Pre-inputted cells 4 2 3 7" xfId="24785" xr:uid="{00000000-0005-0000-0000-000051620000}"/>
    <cellStyle name="Pre-inputted cells 4 2 3 8" xfId="24786" xr:uid="{00000000-0005-0000-0000-000052620000}"/>
    <cellStyle name="Pre-inputted cells 4 2 3 9" xfId="24787" xr:uid="{00000000-0005-0000-0000-000053620000}"/>
    <cellStyle name="Pre-inputted cells 4 2 30" xfId="24788" xr:uid="{00000000-0005-0000-0000-000054620000}"/>
    <cellStyle name="Pre-inputted cells 4 2 31" xfId="24789" xr:uid="{00000000-0005-0000-0000-000055620000}"/>
    <cellStyle name="Pre-inputted cells 4 2 32" xfId="24790" xr:uid="{00000000-0005-0000-0000-000056620000}"/>
    <cellStyle name="Pre-inputted cells 4 2 33" xfId="24791" xr:uid="{00000000-0005-0000-0000-000057620000}"/>
    <cellStyle name="Pre-inputted cells 4 2 34" xfId="24792" xr:uid="{00000000-0005-0000-0000-000058620000}"/>
    <cellStyle name="Pre-inputted cells 4 2 35" xfId="24793" xr:uid="{00000000-0005-0000-0000-000059620000}"/>
    <cellStyle name="Pre-inputted cells 4 2 36" xfId="24794" xr:uid="{00000000-0005-0000-0000-00005A620000}"/>
    <cellStyle name="Pre-inputted cells 4 2 37" xfId="24795" xr:uid="{00000000-0005-0000-0000-00005B620000}"/>
    <cellStyle name="Pre-inputted cells 4 2 38" xfId="24796" xr:uid="{00000000-0005-0000-0000-00005C620000}"/>
    <cellStyle name="Pre-inputted cells 4 2 4" xfId="24797" xr:uid="{00000000-0005-0000-0000-00005D620000}"/>
    <cellStyle name="Pre-inputted cells 4 2 4 10" xfId="24798" xr:uid="{00000000-0005-0000-0000-00005E620000}"/>
    <cellStyle name="Pre-inputted cells 4 2 4 11" xfId="24799" xr:uid="{00000000-0005-0000-0000-00005F620000}"/>
    <cellStyle name="Pre-inputted cells 4 2 4 12" xfId="24800" xr:uid="{00000000-0005-0000-0000-000060620000}"/>
    <cellStyle name="Pre-inputted cells 4 2 4 13" xfId="24801" xr:uid="{00000000-0005-0000-0000-000061620000}"/>
    <cellStyle name="Pre-inputted cells 4 2 4 14" xfId="24802" xr:uid="{00000000-0005-0000-0000-000062620000}"/>
    <cellStyle name="Pre-inputted cells 4 2 4 15" xfId="24803" xr:uid="{00000000-0005-0000-0000-000063620000}"/>
    <cellStyle name="Pre-inputted cells 4 2 4 16" xfId="24804" xr:uid="{00000000-0005-0000-0000-000064620000}"/>
    <cellStyle name="Pre-inputted cells 4 2 4 17" xfId="24805" xr:uid="{00000000-0005-0000-0000-000065620000}"/>
    <cellStyle name="Pre-inputted cells 4 2 4 18" xfId="24806" xr:uid="{00000000-0005-0000-0000-000066620000}"/>
    <cellStyle name="Pre-inputted cells 4 2 4 19" xfId="24807" xr:uid="{00000000-0005-0000-0000-000067620000}"/>
    <cellStyle name="Pre-inputted cells 4 2 4 2" xfId="24808" xr:uid="{00000000-0005-0000-0000-000068620000}"/>
    <cellStyle name="Pre-inputted cells 4 2 4 2 10" xfId="24809" xr:uid="{00000000-0005-0000-0000-000069620000}"/>
    <cellStyle name="Pre-inputted cells 4 2 4 2 11" xfId="24810" xr:uid="{00000000-0005-0000-0000-00006A620000}"/>
    <cellStyle name="Pre-inputted cells 4 2 4 2 12" xfId="24811" xr:uid="{00000000-0005-0000-0000-00006B620000}"/>
    <cellStyle name="Pre-inputted cells 4 2 4 2 13" xfId="24812" xr:uid="{00000000-0005-0000-0000-00006C620000}"/>
    <cellStyle name="Pre-inputted cells 4 2 4 2 2" xfId="24813" xr:uid="{00000000-0005-0000-0000-00006D620000}"/>
    <cellStyle name="Pre-inputted cells 4 2 4 2 3" xfId="24814" xr:uid="{00000000-0005-0000-0000-00006E620000}"/>
    <cellStyle name="Pre-inputted cells 4 2 4 2 4" xfId="24815" xr:uid="{00000000-0005-0000-0000-00006F620000}"/>
    <cellStyle name="Pre-inputted cells 4 2 4 2 5" xfId="24816" xr:uid="{00000000-0005-0000-0000-000070620000}"/>
    <cellStyle name="Pre-inputted cells 4 2 4 2 6" xfId="24817" xr:uid="{00000000-0005-0000-0000-000071620000}"/>
    <cellStyle name="Pre-inputted cells 4 2 4 2 7" xfId="24818" xr:uid="{00000000-0005-0000-0000-000072620000}"/>
    <cellStyle name="Pre-inputted cells 4 2 4 2 8" xfId="24819" xr:uid="{00000000-0005-0000-0000-000073620000}"/>
    <cellStyle name="Pre-inputted cells 4 2 4 2 9" xfId="24820" xr:uid="{00000000-0005-0000-0000-000074620000}"/>
    <cellStyle name="Pre-inputted cells 4 2 4 20" xfId="24821" xr:uid="{00000000-0005-0000-0000-000075620000}"/>
    <cellStyle name="Pre-inputted cells 4 2 4 21" xfId="24822" xr:uid="{00000000-0005-0000-0000-000076620000}"/>
    <cellStyle name="Pre-inputted cells 4 2 4 22" xfId="24823" xr:uid="{00000000-0005-0000-0000-000077620000}"/>
    <cellStyle name="Pre-inputted cells 4 2 4 23" xfId="24824" xr:uid="{00000000-0005-0000-0000-000078620000}"/>
    <cellStyle name="Pre-inputted cells 4 2 4 24" xfId="24825" xr:uid="{00000000-0005-0000-0000-000079620000}"/>
    <cellStyle name="Pre-inputted cells 4 2 4 25" xfId="24826" xr:uid="{00000000-0005-0000-0000-00007A620000}"/>
    <cellStyle name="Pre-inputted cells 4 2 4 26" xfId="24827" xr:uid="{00000000-0005-0000-0000-00007B620000}"/>
    <cellStyle name="Pre-inputted cells 4 2 4 27" xfId="24828" xr:uid="{00000000-0005-0000-0000-00007C620000}"/>
    <cellStyle name="Pre-inputted cells 4 2 4 28" xfId="24829" xr:uid="{00000000-0005-0000-0000-00007D620000}"/>
    <cellStyle name="Pre-inputted cells 4 2 4 29" xfId="24830" xr:uid="{00000000-0005-0000-0000-00007E620000}"/>
    <cellStyle name="Pre-inputted cells 4 2 4 3" xfId="24831" xr:uid="{00000000-0005-0000-0000-00007F620000}"/>
    <cellStyle name="Pre-inputted cells 4 2 4 30" xfId="24832" xr:uid="{00000000-0005-0000-0000-000080620000}"/>
    <cellStyle name="Pre-inputted cells 4 2 4 31" xfId="24833" xr:uid="{00000000-0005-0000-0000-000081620000}"/>
    <cellStyle name="Pre-inputted cells 4 2 4 32" xfId="24834" xr:uid="{00000000-0005-0000-0000-000082620000}"/>
    <cellStyle name="Pre-inputted cells 4 2 4 33" xfId="24835" xr:uid="{00000000-0005-0000-0000-000083620000}"/>
    <cellStyle name="Pre-inputted cells 4 2 4 34" xfId="24836" xr:uid="{00000000-0005-0000-0000-000084620000}"/>
    <cellStyle name="Pre-inputted cells 4 2 4 4" xfId="24837" xr:uid="{00000000-0005-0000-0000-000085620000}"/>
    <cellStyle name="Pre-inputted cells 4 2 4 5" xfId="24838" xr:uid="{00000000-0005-0000-0000-000086620000}"/>
    <cellStyle name="Pre-inputted cells 4 2 4 6" xfId="24839" xr:uid="{00000000-0005-0000-0000-000087620000}"/>
    <cellStyle name="Pre-inputted cells 4 2 4 7" xfId="24840" xr:uid="{00000000-0005-0000-0000-000088620000}"/>
    <cellStyle name="Pre-inputted cells 4 2 4 8" xfId="24841" xr:uid="{00000000-0005-0000-0000-000089620000}"/>
    <cellStyle name="Pre-inputted cells 4 2 4 9" xfId="24842" xr:uid="{00000000-0005-0000-0000-00008A620000}"/>
    <cellStyle name="Pre-inputted cells 4 2 5" xfId="24843" xr:uid="{00000000-0005-0000-0000-00008B620000}"/>
    <cellStyle name="Pre-inputted cells 4 2 5 10" xfId="24844" xr:uid="{00000000-0005-0000-0000-00008C620000}"/>
    <cellStyle name="Pre-inputted cells 4 2 5 11" xfId="24845" xr:uid="{00000000-0005-0000-0000-00008D620000}"/>
    <cellStyle name="Pre-inputted cells 4 2 5 12" xfId="24846" xr:uid="{00000000-0005-0000-0000-00008E620000}"/>
    <cellStyle name="Pre-inputted cells 4 2 5 13" xfId="24847" xr:uid="{00000000-0005-0000-0000-00008F620000}"/>
    <cellStyle name="Pre-inputted cells 4 2 5 2" xfId="24848" xr:uid="{00000000-0005-0000-0000-000090620000}"/>
    <cellStyle name="Pre-inputted cells 4 2 5 3" xfId="24849" xr:uid="{00000000-0005-0000-0000-000091620000}"/>
    <cellStyle name="Pre-inputted cells 4 2 5 4" xfId="24850" xr:uid="{00000000-0005-0000-0000-000092620000}"/>
    <cellStyle name="Pre-inputted cells 4 2 5 5" xfId="24851" xr:uid="{00000000-0005-0000-0000-000093620000}"/>
    <cellStyle name="Pre-inputted cells 4 2 5 6" xfId="24852" xr:uid="{00000000-0005-0000-0000-000094620000}"/>
    <cellStyle name="Pre-inputted cells 4 2 5 7" xfId="24853" xr:uid="{00000000-0005-0000-0000-000095620000}"/>
    <cellStyle name="Pre-inputted cells 4 2 5 8" xfId="24854" xr:uid="{00000000-0005-0000-0000-000096620000}"/>
    <cellStyle name="Pre-inputted cells 4 2 5 9" xfId="24855" xr:uid="{00000000-0005-0000-0000-000097620000}"/>
    <cellStyle name="Pre-inputted cells 4 2 6" xfId="24856" xr:uid="{00000000-0005-0000-0000-000098620000}"/>
    <cellStyle name="Pre-inputted cells 4 2 7" xfId="24857" xr:uid="{00000000-0005-0000-0000-000099620000}"/>
    <cellStyle name="Pre-inputted cells 4 2 8" xfId="24858" xr:uid="{00000000-0005-0000-0000-00009A620000}"/>
    <cellStyle name="Pre-inputted cells 4 2 9" xfId="24859" xr:uid="{00000000-0005-0000-0000-00009B620000}"/>
    <cellStyle name="Pre-inputted cells 4 2_4 28 1_Asst_Health_Crit_AllTO_RIIO_20110714pm" xfId="24860" xr:uid="{00000000-0005-0000-0000-00009C620000}"/>
    <cellStyle name="Pre-inputted cells 4 20" xfId="24861" xr:uid="{00000000-0005-0000-0000-00009D620000}"/>
    <cellStyle name="Pre-inputted cells 4 21" xfId="24862" xr:uid="{00000000-0005-0000-0000-00009E620000}"/>
    <cellStyle name="Pre-inputted cells 4 22" xfId="24863" xr:uid="{00000000-0005-0000-0000-00009F620000}"/>
    <cellStyle name="Pre-inputted cells 4 23" xfId="24864" xr:uid="{00000000-0005-0000-0000-0000A0620000}"/>
    <cellStyle name="Pre-inputted cells 4 24" xfId="24865" xr:uid="{00000000-0005-0000-0000-0000A1620000}"/>
    <cellStyle name="Pre-inputted cells 4 25" xfId="24866" xr:uid="{00000000-0005-0000-0000-0000A2620000}"/>
    <cellStyle name="Pre-inputted cells 4 26" xfId="24867" xr:uid="{00000000-0005-0000-0000-0000A3620000}"/>
    <cellStyle name="Pre-inputted cells 4 27" xfId="24868" xr:uid="{00000000-0005-0000-0000-0000A4620000}"/>
    <cellStyle name="Pre-inputted cells 4 28" xfId="24869" xr:uid="{00000000-0005-0000-0000-0000A5620000}"/>
    <cellStyle name="Pre-inputted cells 4 29" xfId="24870" xr:uid="{00000000-0005-0000-0000-0000A6620000}"/>
    <cellStyle name="Pre-inputted cells 4 3" xfId="24871" xr:uid="{00000000-0005-0000-0000-0000A7620000}"/>
    <cellStyle name="Pre-inputted cells 4 3 10" xfId="24872" xr:uid="{00000000-0005-0000-0000-0000A8620000}"/>
    <cellStyle name="Pre-inputted cells 4 3 11" xfId="24873" xr:uid="{00000000-0005-0000-0000-0000A9620000}"/>
    <cellStyle name="Pre-inputted cells 4 3 12" xfId="24874" xr:uid="{00000000-0005-0000-0000-0000AA620000}"/>
    <cellStyle name="Pre-inputted cells 4 3 13" xfId="24875" xr:uid="{00000000-0005-0000-0000-0000AB620000}"/>
    <cellStyle name="Pre-inputted cells 4 3 14" xfId="24876" xr:uid="{00000000-0005-0000-0000-0000AC620000}"/>
    <cellStyle name="Pre-inputted cells 4 3 15" xfId="24877" xr:uid="{00000000-0005-0000-0000-0000AD620000}"/>
    <cellStyle name="Pre-inputted cells 4 3 16" xfId="24878" xr:uid="{00000000-0005-0000-0000-0000AE620000}"/>
    <cellStyle name="Pre-inputted cells 4 3 17" xfId="24879" xr:uid="{00000000-0005-0000-0000-0000AF620000}"/>
    <cellStyle name="Pre-inputted cells 4 3 18" xfId="24880" xr:uid="{00000000-0005-0000-0000-0000B0620000}"/>
    <cellStyle name="Pre-inputted cells 4 3 19" xfId="24881" xr:uid="{00000000-0005-0000-0000-0000B1620000}"/>
    <cellStyle name="Pre-inputted cells 4 3 2" xfId="24882" xr:uid="{00000000-0005-0000-0000-0000B2620000}"/>
    <cellStyle name="Pre-inputted cells 4 3 2 10" xfId="24883" xr:uid="{00000000-0005-0000-0000-0000B3620000}"/>
    <cellStyle name="Pre-inputted cells 4 3 2 11" xfId="24884" xr:uid="{00000000-0005-0000-0000-0000B4620000}"/>
    <cellStyle name="Pre-inputted cells 4 3 2 12" xfId="24885" xr:uid="{00000000-0005-0000-0000-0000B5620000}"/>
    <cellStyle name="Pre-inputted cells 4 3 2 13" xfId="24886" xr:uid="{00000000-0005-0000-0000-0000B6620000}"/>
    <cellStyle name="Pre-inputted cells 4 3 2 14" xfId="24887" xr:uid="{00000000-0005-0000-0000-0000B7620000}"/>
    <cellStyle name="Pre-inputted cells 4 3 2 15" xfId="24888" xr:uid="{00000000-0005-0000-0000-0000B8620000}"/>
    <cellStyle name="Pre-inputted cells 4 3 2 16" xfId="24889" xr:uid="{00000000-0005-0000-0000-0000B9620000}"/>
    <cellStyle name="Pre-inputted cells 4 3 2 17" xfId="24890" xr:uid="{00000000-0005-0000-0000-0000BA620000}"/>
    <cellStyle name="Pre-inputted cells 4 3 2 18" xfId="24891" xr:uid="{00000000-0005-0000-0000-0000BB620000}"/>
    <cellStyle name="Pre-inputted cells 4 3 2 19" xfId="24892" xr:uid="{00000000-0005-0000-0000-0000BC620000}"/>
    <cellStyle name="Pre-inputted cells 4 3 2 2" xfId="24893" xr:uid="{00000000-0005-0000-0000-0000BD620000}"/>
    <cellStyle name="Pre-inputted cells 4 3 2 2 10" xfId="24894" xr:uid="{00000000-0005-0000-0000-0000BE620000}"/>
    <cellStyle name="Pre-inputted cells 4 3 2 2 11" xfId="24895" xr:uid="{00000000-0005-0000-0000-0000BF620000}"/>
    <cellStyle name="Pre-inputted cells 4 3 2 2 12" xfId="24896" xr:uid="{00000000-0005-0000-0000-0000C0620000}"/>
    <cellStyle name="Pre-inputted cells 4 3 2 2 13" xfId="24897" xr:uid="{00000000-0005-0000-0000-0000C1620000}"/>
    <cellStyle name="Pre-inputted cells 4 3 2 2 2" xfId="24898" xr:uid="{00000000-0005-0000-0000-0000C2620000}"/>
    <cellStyle name="Pre-inputted cells 4 3 2 2 3" xfId="24899" xr:uid="{00000000-0005-0000-0000-0000C3620000}"/>
    <cellStyle name="Pre-inputted cells 4 3 2 2 4" xfId="24900" xr:uid="{00000000-0005-0000-0000-0000C4620000}"/>
    <cellStyle name="Pre-inputted cells 4 3 2 2 5" xfId="24901" xr:uid="{00000000-0005-0000-0000-0000C5620000}"/>
    <cellStyle name="Pre-inputted cells 4 3 2 2 6" xfId="24902" xr:uid="{00000000-0005-0000-0000-0000C6620000}"/>
    <cellStyle name="Pre-inputted cells 4 3 2 2 7" xfId="24903" xr:uid="{00000000-0005-0000-0000-0000C7620000}"/>
    <cellStyle name="Pre-inputted cells 4 3 2 2 8" xfId="24904" xr:uid="{00000000-0005-0000-0000-0000C8620000}"/>
    <cellStyle name="Pre-inputted cells 4 3 2 2 9" xfId="24905" xr:uid="{00000000-0005-0000-0000-0000C9620000}"/>
    <cellStyle name="Pre-inputted cells 4 3 2 20" xfId="24906" xr:uid="{00000000-0005-0000-0000-0000CA620000}"/>
    <cellStyle name="Pre-inputted cells 4 3 2 21" xfId="24907" xr:uid="{00000000-0005-0000-0000-0000CB620000}"/>
    <cellStyle name="Pre-inputted cells 4 3 2 22" xfId="24908" xr:uid="{00000000-0005-0000-0000-0000CC620000}"/>
    <cellStyle name="Pre-inputted cells 4 3 2 23" xfId="24909" xr:uid="{00000000-0005-0000-0000-0000CD620000}"/>
    <cellStyle name="Pre-inputted cells 4 3 2 24" xfId="24910" xr:uid="{00000000-0005-0000-0000-0000CE620000}"/>
    <cellStyle name="Pre-inputted cells 4 3 2 25" xfId="24911" xr:uid="{00000000-0005-0000-0000-0000CF620000}"/>
    <cellStyle name="Pre-inputted cells 4 3 2 26" xfId="24912" xr:uid="{00000000-0005-0000-0000-0000D0620000}"/>
    <cellStyle name="Pre-inputted cells 4 3 2 27" xfId="24913" xr:uid="{00000000-0005-0000-0000-0000D1620000}"/>
    <cellStyle name="Pre-inputted cells 4 3 2 28" xfId="24914" xr:uid="{00000000-0005-0000-0000-0000D2620000}"/>
    <cellStyle name="Pre-inputted cells 4 3 2 29" xfId="24915" xr:uid="{00000000-0005-0000-0000-0000D3620000}"/>
    <cellStyle name="Pre-inputted cells 4 3 2 3" xfId="24916" xr:uid="{00000000-0005-0000-0000-0000D4620000}"/>
    <cellStyle name="Pre-inputted cells 4 3 2 30" xfId="24917" xr:uid="{00000000-0005-0000-0000-0000D5620000}"/>
    <cellStyle name="Pre-inputted cells 4 3 2 31" xfId="24918" xr:uid="{00000000-0005-0000-0000-0000D6620000}"/>
    <cellStyle name="Pre-inputted cells 4 3 2 32" xfId="24919" xr:uid="{00000000-0005-0000-0000-0000D7620000}"/>
    <cellStyle name="Pre-inputted cells 4 3 2 33" xfId="24920" xr:uid="{00000000-0005-0000-0000-0000D8620000}"/>
    <cellStyle name="Pre-inputted cells 4 3 2 34" xfId="24921" xr:uid="{00000000-0005-0000-0000-0000D9620000}"/>
    <cellStyle name="Pre-inputted cells 4 3 2 4" xfId="24922" xr:uid="{00000000-0005-0000-0000-0000DA620000}"/>
    <cellStyle name="Pre-inputted cells 4 3 2 5" xfId="24923" xr:uid="{00000000-0005-0000-0000-0000DB620000}"/>
    <cellStyle name="Pre-inputted cells 4 3 2 6" xfId="24924" xr:uid="{00000000-0005-0000-0000-0000DC620000}"/>
    <cellStyle name="Pre-inputted cells 4 3 2 7" xfId="24925" xr:uid="{00000000-0005-0000-0000-0000DD620000}"/>
    <cellStyle name="Pre-inputted cells 4 3 2 8" xfId="24926" xr:uid="{00000000-0005-0000-0000-0000DE620000}"/>
    <cellStyle name="Pre-inputted cells 4 3 2 9" xfId="24927" xr:uid="{00000000-0005-0000-0000-0000DF620000}"/>
    <cellStyle name="Pre-inputted cells 4 3 20" xfId="24928" xr:uid="{00000000-0005-0000-0000-0000E0620000}"/>
    <cellStyle name="Pre-inputted cells 4 3 21" xfId="24929" xr:uid="{00000000-0005-0000-0000-0000E1620000}"/>
    <cellStyle name="Pre-inputted cells 4 3 22" xfId="24930" xr:uid="{00000000-0005-0000-0000-0000E2620000}"/>
    <cellStyle name="Pre-inputted cells 4 3 23" xfId="24931" xr:uid="{00000000-0005-0000-0000-0000E3620000}"/>
    <cellStyle name="Pre-inputted cells 4 3 24" xfId="24932" xr:uid="{00000000-0005-0000-0000-0000E4620000}"/>
    <cellStyle name="Pre-inputted cells 4 3 25" xfId="24933" xr:uid="{00000000-0005-0000-0000-0000E5620000}"/>
    <cellStyle name="Pre-inputted cells 4 3 26" xfId="24934" xr:uid="{00000000-0005-0000-0000-0000E6620000}"/>
    <cellStyle name="Pre-inputted cells 4 3 27" xfId="24935" xr:uid="{00000000-0005-0000-0000-0000E7620000}"/>
    <cellStyle name="Pre-inputted cells 4 3 28" xfId="24936" xr:uid="{00000000-0005-0000-0000-0000E8620000}"/>
    <cellStyle name="Pre-inputted cells 4 3 29" xfId="24937" xr:uid="{00000000-0005-0000-0000-0000E9620000}"/>
    <cellStyle name="Pre-inputted cells 4 3 3" xfId="24938" xr:uid="{00000000-0005-0000-0000-0000EA620000}"/>
    <cellStyle name="Pre-inputted cells 4 3 3 10" xfId="24939" xr:uid="{00000000-0005-0000-0000-0000EB620000}"/>
    <cellStyle name="Pre-inputted cells 4 3 3 11" xfId="24940" xr:uid="{00000000-0005-0000-0000-0000EC620000}"/>
    <cellStyle name="Pre-inputted cells 4 3 3 12" xfId="24941" xr:uid="{00000000-0005-0000-0000-0000ED620000}"/>
    <cellStyle name="Pre-inputted cells 4 3 3 13" xfId="24942" xr:uid="{00000000-0005-0000-0000-0000EE620000}"/>
    <cellStyle name="Pre-inputted cells 4 3 3 2" xfId="24943" xr:uid="{00000000-0005-0000-0000-0000EF620000}"/>
    <cellStyle name="Pre-inputted cells 4 3 3 3" xfId="24944" xr:uid="{00000000-0005-0000-0000-0000F0620000}"/>
    <cellStyle name="Pre-inputted cells 4 3 3 4" xfId="24945" xr:uid="{00000000-0005-0000-0000-0000F1620000}"/>
    <cellStyle name="Pre-inputted cells 4 3 3 5" xfId="24946" xr:uid="{00000000-0005-0000-0000-0000F2620000}"/>
    <cellStyle name="Pre-inputted cells 4 3 3 6" xfId="24947" xr:uid="{00000000-0005-0000-0000-0000F3620000}"/>
    <cellStyle name="Pre-inputted cells 4 3 3 7" xfId="24948" xr:uid="{00000000-0005-0000-0000-0000F4620000}"/>
    <cellStyle name="Pre-inputted cells 4 3 3 8" xfId="24949" xr:uid="{00000000-0005-0000-0000-0000F5620000}"/>
    <cellStyle name="Pre-inputted cells 4 3 3 9" xfId="24950" xr:uid="{00000000-0005-0000-0000-0000F6620000}"/>
    <cellStyle name="Pre-inputted cells 4 3 30" xfId="24951" xr:uid="{00000000-0005-0000-0000-0000F7620000}"/>
    <cellStyle name="Pre-inputted cells 4 3 31" xfId="24952" xr:uid="{00000000-0005-0000-0000-0000F8620000}"/>
    <cellStyle name="Pre-inputted cells 4 3 32" xfId="24953" xr:uid="{00000000-0005-0000-0000-0000F9620000}"/>
    <cellStyle name="Pre-inputted cells 4 3 33" xfId="24954" xr:uid="{00000000-0005-0000-0000-0000FA620000}"/>
    <cellStyle name="Pre-inputted cells 4 3 34" xfId="24955" xr:uid="{00000000-0005-0000-0000-0000FB620000}"/>
    <cellStyle name="Pre-inputted cells 4 3 35" xfId="24956" xr:uid="{00000000-0005-0000-0000-0000FC620000}"/>
    <cellStyle name="Pre-inputted cells 4 3 4" xfId="24957" xr:uid="{00000000-0005-0000-0000-0000FD620000}"/>
    <cellStyle name="Pre-inputted cells 4 3 5" xfId="24958" xr:uid="{00000000-0005-0000-0000-0000FE620000}"/>
    <cellStyle name="Pre-inputted cells 4 3 6" xfId="24959" xr:uid="{00000000-0005-0000-0000-0000FF620000}"/>
    <cellStyle name="Pre-inputted cells 4 3 7" xfId="24960" xr:uid="{00000000-0005-0000-0000-000000630000}"/>
    <cellStyle name="Pre-inputted cells 4 3 8" xfId="24961" xr:uid="{00000000-0005-0000-0000-000001630000}"/>
    <cellStyle name="Pre-inputted cells 4 3 9" xfId="24962" xr:uid="{00000000-0005-0000-0000-000002630000}"/>
    <cellStyle name="Pre-inputted cells 4 3_4 28 1_Asst_Health_Crit_AllTO_RIIO_20110714pm" xfId="24963" xr:uid="{00000000-0005-0000-0000-000003630000}"/>
    <cellStyle name="Pre-inputted cells 4 30" xfId="24964" xr:uid="{00000000-0005-0000-0000-000004630000}"/>
    <cellStyle name="Pre-inputted cells 4 31" xfId="24965" xr:uid="{00000000-0005-0000-0000-000005630000}"/>
    <cellStyle name="Pre-inputted cells 4 32" xfId="24966" xr:uid="{00000000-0005-0000-0000-000006630000}"/>
    <cellStyle name="Pre-inputted cells 4 33" xfId="24967" xr:uid="{00000000-0005-0000-0000-000007630000}"/>
    <cellStyle name="Pre-inputted cells 4 34" xfId="24968" xr:uid="{00000000-0005-0000-0000-000008630000}"/>
    <cellStyle name="Pre-inputted cells 4 35" xfId="24969" xr:uid="{00000000-0005-0000-0000-000009630000}"/>
    <cellStyle name="Pre-inputted cells 4 36" xfId="24970" xr:uid="{00000000-0005-0000-0000-00000A630000}"/>
    <cellStyle name="Pre-inputted cells 4 37" xfId="24971" xr:uid="{00000000-0005-0000-0000-00000B630000}"/>
    <cellStyle name="Pre-inputted cells 4 38" xfId="24972" xr:uid="{00000000-0005-0000-0000-00000C630000}"/>
    <cellStyle name="Pre-inputted cells 4 39" xfId="24973" xr:uid="{00000000-0005-0000-0000-00000D630000}"/>
    <cellStyle name="Pre-inputted cells 4 4" xfId="24974" xr:uid="{00000000-0005-0000-0000-00000E630000}"/>
    <cellStyle name="Pre-inputted cells 4 4 10" xfId="24975" xr:uid="{00000000-0005-0000-0000-00000F630000}"/>
    <cellStyle name="Pre-inputted cells 4 4 11" xfId="24976" xr:uid="{00000000-0005-0000-0000-000010630000}"/>
    <cellStyle name="Pre-inputted cells 4 4 12" xfId="24977" xr:uid="{00000000-0005-0000-0000-000011630000}"/>
    <cellStyle name="Pre-inputted cells 4 4 13" xfId="24978" xr:uid="{00000000-0005-0000-0000-000012630000}"/>
    <cellStyle name="Pre-inputted cells 4 4 14" xfId="24979" xr:uid="{00000000-0005-0000-0000-000013630000}"/>
    <cellStyle name="Pre-inputted cells 4 4 15" xfId="24980" xr:uid="{00000000-0005-0000-0000-000014630000}"/>
    <cellStyle name="Pre-inputted cells 4 4 16" xfId="24981" xr:uid="{00000000-0005-0000-0000-000015630000}"/>
    <cellStyle name="Pre-inputted cells 4 4 17" xfId="24982" xr:uid="{00000000-0005-0000-0000-000016630000}"/>
    <cellStyle name="Pre-inputted cells 4 4 18" xfId="24983" xr:uid="{00000000-0005-0000-0000-000017630000}"/>
    <cellStyle name="Pre-inputted cells 4 4 19" xfId="24984" xr:uid="{00000000-0005-0000-0000-000018630000}"/>
    <cellStyle name="Pre-inputted cells 4 4 2" xfId="24985" xr:uid="{00000000-0005-0000-0000-000019630000}"/>
    <cellStyle name="Pre-inputted cells 4 4 2 10" xfId="24986" xr:uid="{00000000-0005-0000-0000-00001A630000}"/>
    <cellStyle name="Pre-inputted cells 4 4 2 11" xfId="24987" xr:uid="{00000000-0005-0000-0000-00001B630000}"/>
    <cellStyle name="Pre-inputted cells 4 4 2 12" xfId="24988" xr:uid="{00000000-0005-0000-0000-00001C630000}"/>
    <cellStyle name="Pre-inputted cells 4 4 2 13" xfId="24989" xr:uid="{00000000-0005-0000-0000-00001D630000}"/>
    <cellStyle name="Pre-inputted cells 4 4 2 2" xfId="24990" xr:uid="{00000000-0005-0000-0000-00001E630000}"/>
    <cellStyle name="Pre-inputted cells 4 4 2 3" xfId="24991" xr:uid="{00000000-0005-0000-0000-00001F630000}"/>
    <cellStyle name="Pre-inputted cells 4 4 2 4" xfId="24992" xr:uid="{00000000-0005-0000-0000-000020630000}"/>
    <cellStyle name="Pre-inputted cells 4 4 2 5" xfId="24993" xr:uid="{00000000-0005-0000-0000-000021630000}"/>
    <cellStyle name="Pre-inputted cells 4 4 2 6" xfId="24994" xr:uid="{00000000-0005-0000-0000-000022630000}"/>
    <cellStyle name="Pre-inputted cells 4 4 2 7" xfId="24995" xr:uid="{00000000-0005-0000-0000-000023630000}"/>
    <cellStyle name="Pre-inputted cells 4 4 2 8" xfId="24996" xr:uid="{00000000-0005-0000-0000-000024630000}"/>
    <cellStyle name="Pre-inputted cells 4 4 2 9" xfId="24997" xr:uid="{00000000-0005-0000-0000-000025630000}"/>
    <cellStyle name="Pre-inputted cells 4 4 20" xfId="24998" xr:uid="{00000000-0005-0000-0000-000026630000}"/>
    <cellStyle name="Pre-inputted cells 4 4 21" xfId="24999" xr:uid="{00000000-0005-0000-0000-000027630000}"/>
    <cellStyle name="Pre-inputted cells 4 4 22" xfId="25000" xr:uid="{00000000-0005-0000-0000-000028630000}"/>
    <cellStyle name="Pre-inputted cells 4 4 23" xfId="25001" xr:uid="{00000000-0005-0000-0000-000029630000}"/>
    <cellStyle name="Pre-inputted cells 4 4 24" xfId="25002" xr:uid="{00000000-0005-0000-0000-00002A630000}"/>
    <cellStyle name="Pre-inputted cells 4 4 25" xfId="25003" xr:uid="{00000000-0005-0000-0000-00002B630000}"/>
    <cellStyle name="Pre-inputted cells 4 4 26" xfId="25004" xr:uid="{00000000-0005-0000-0000-00002C630000}"/>
    <cellStyle name="Pre-inputted cells 4 4 27" xfId="25005" xr:uid="{00000000-0005-0000-0000-00002D630000}"/>
    <cellStyle name="Pre-inputted cells 4 4 28" xfId="25006" xr:uid="{00000000-0005-0000-0000-00002E630000}"/>
    <cellStyle name="Pre-inputted cells 4 4 29" xfId="25007" xr:uid="{00000000-0005-0000-0000-00002F630000}"/>
    <cellStyle name="Pre-inputted cells 4 4 3" xfId="25008" xr:uid="{00000000-0005-0000-0000-000030630000}"/>
    <cellStyle name="Pre-inputted cells 4 4 30" xfId="25009" xr:uid="{00000000-0005-0000-0000-000031630000}"/>
    <cellStyle name="Pre-inputted cells 4 4 31" xfId="25010" xr:uid="{00000000-0005-0000-0000-000032630000}"/>
    <cellStyle name="Pre-inputted cells 4 4 32" xfId="25011" xr:uid="{00000000-0005-0000-0000-000033630000}"/>
    <cellStyle name="Pre-inputted cells 4 4 33" xfId="25012" xr:uid="{00000000-0005-0000-0000-000034630000}"/>
    <cellStyle name="Pre-inputted cells 4 4 34" xfId="25013" xr:uid="{00000000-0005-0000-0000-000035630000}"/>
    <cellStyle name="Pre-inputted cells 4 4 4" xfId="25014" xr:uid="{00000000-0005-0000-0000-000036630000}"/>
    <cellStyle name="Pre-inputted cells 4 4 5" xfId="25015" xr:uid="{00000000-0005-0000-0000-000037630000}"/>
    <cellStyle name="Pre-inputted cells 4 4 6" xfId="25016" xr:uid="{00000000-0005-0000-0000-000038630000}"/>
    <cellStyle name="Pre-inputted cells 4 4 7" xfId="25017" xr:uid="{00000000-0005-0000-0000-000039630000}"/>
    <cellStyle name="Pre-inputted cells 4 4 8" xfId="25018" xr:uid="{00000000-0005-0000-0000-00003A630000}"/>
    <cellStyle name="Pre-inputted cells 4 4 9" xfId="25019" xr:uid="{00000000-0005-0000-0000-00003B630000}"/>
    <cellStyle name="Pre-inputted cells 4 5" xfId="25020" xr:uid="{00000000-0005-0000-0000-00003C630000}"/>
    <cellStyle name="Pre-inputted cells 4 5 10" xfId="25021" xr:uid="{00000000-0005-0000-0000-00003D630000}"/>
    <cellStyle name="Pre-inputted cells 4 5 11" xfId="25022" xr:uid="{00000000-0005-0000-0000-00003E630000}"/>
    <cellStyle name="Pre-inputted cells 4 5 12" xfId="25023" xr:uid="{00000000-0005-0000-0000-00003F630000}"/>
    <cellStyle name="Pre-inputted cells 4 5 13" xfId="25024" xr:uid="{00000000-0005-0000-0000-000040630000}"/>
    <cellStyle name="Pre-inputted cells 4 5 14" xfId="25025" xr:uid="{00000000-0005-0000-0000-000041630000}"/>
    <cellStyle name="Pre-inputted cells 4 5 15" xfId="25026" xr:uid="{00000000-0005-0000-0000-000042630000}"/>
    <cellStyle name="Pre-inputted cells 4 5 16" xfId="25027" xr:uid="{00000000-0005-0000-0000-000043630000}"/>
    <cellStyle name="Pre-inputted cells 4 5 17" xfId="25028" xr:uid="{00000000-0005-0000-0000-000044630000}"/>
    <cellStyle name="Pre-inputted cells 4 5 18" xfId="25029" xr:uid="{00000000-0005-0000-0000-000045630000}"/>
    <cellStyle name="Pre-inputted cells 4 5 19" xfId="25030" xr:uid="{00000000-0005-0000-0000-000046630000}"/>
    <cellStyle name="Pre-inputted cells 4 5 2" xfId="25031" xr:uid="{00000000-0005-0000-0000-000047630000}"/>
    <cellStyle name="Pre-inputted cells 4 5 2 10" xfId="25032" xr:uid="{00000000-0005-0000-0000-000048630000}"/>
    <cellStyle name="Pre-inputted cells 4 5 2 11" xfId="25033" xr:uid="{00000000-0005-0000-0000-000049630000}"/>
    <cellStyle name="Pre-inputted cells 4 5 2 12" xfId="25034" xr:uid="{00000000-0005-0000-0000-00004A630000}"/>
    <cellStyle name="Pre-inputted cells 4 5 2 13" xfId="25035" xr:uid="{00000000-0005-0000-0000-00004B630000}"/>
    <cellStyle name="Pre-inputted cells 4 5 2 2" xfId="25036" xr:uid="{00000000-0005-0000-0000-00004C630000}"/>
    <cellStyle name="Pre-inputted cells 4 5 2 3" xfId="25037" xr:uid="{00000000-0005-0000-0000-00004D630000}"/>
    <cellStyle name="Pre-inputted cells 4 5 2 4" xfId="25038" xr:uid="{00000000-0005-0000-0000-00004E630000}"/>
    <cellStyle name="Pre-inputted cells 4 5 2 5" xfId="25039" xr:uid="{00000000-0005-0000-0000-00004F630000}"/>
    <cellStyle name="Pre-inputted cells 4 5 2 6" xfId="25040" xr:uid="{00000000-0005-0000-0000-000050630000}"/>
    <cellStyle name="Pre-inputted cells 4 5 2 7" xfId="25041" xr:uid="{00000000-0005-0000-0000-000051630000}"/>
    <cellStyle name="Pre-inputted cells 4 5 2 8" xfId="25042" xr:uid="{00000000-0005-0000-0000-000052630000}"/>
    <cellStyle name="Pre-inputted cells 4 5 2 9" xfId="25043" xr:uid="{00000000-0005-0000-0000-000053630000}"/>
    <cellStyle name="Pre-inputted cells 4 5 20" xfId="25044" xr:uid="{00000000-0005-0000-0000-000054630000}"/>
    <cellStyle name="Pre-inputted cells 4 5 21" xfId="25045" xr:uid="{00000000-0005-0000-0000-000055630000}"/>
    <cellStyle name="Pre-inputted cells 4 5 22" xfId="25046" xr:uid="{00000000-0005-0000-0000-000056630000}"/>
    <cellStyle name="Pre-inputted cells 4 5 23" xfId="25047" xr:uid="{00000000-0005-0000-0000-000057630000}"/>
    <cellStyle name="Pre-inputted cells 4 5 24" xfId="25048" xr:uid="{00000000-0005-0000-0000-000058630000}"/>
    <cellStyle name="Pre-inputted cells 4 5 25" xfId="25049" xr:uid="{00000000-0005-0000-0000-000059630000}"/>
    <cellStyle name="Pre-inputted cells 4 5 26" xfId="25050" xr:uid="{00000000-0005-0000-0000-00005A630000}"/>
    <cellStyle name="Pre-inputted cells 4 5 27" xfId="25051" xr:uid="{00000000-0005-0000-0000-00005B630000}"/>
    <cellStyle name="Pre-inputted cells 4 5 28" xfId="25052" xr:uid="{00000000-0005-0000-0000-00005C630000}"/>
    <cellStyle name="Pre-inputted cells 4 5 29" xfId="25053" xr:uid="{00000000-0005-0000-0000-00005D630000}"/>
    <cellStyle name="Pre-inputted cells 4 5 3" xfId="25054" xr:uid="{00000000-0005-0000-0000-00005E630000}"/>
    <cellStyle name="Pre-inputted cells 4 5 30" xfId="25055" xr:uid="{00000000-0005-0000-0000-00005F630000}"/>
    <cellStyle name="Pre-inputted cells 4 5 31" xfId="25056" xr:uid="{00000000-0005-0000-0000-000060630000}"/>
    <cellStyle name="Pre-inputted cells 4 5 32" xfId="25057" xr:uid="{00000000-0005-0000-0000-000061630000}"/>
    <cellStyle name="Pre-inputted cells 4 5 33" xfId="25058" xr:uid="{00000000-0005-0000-0000-000062630000}"/>
    <cellStyle name="Pre-inputted cells 4 5 34" xfId="25059" xr:uid="{00000000-0005-0000-0000-000063630000}"/>
    <cellStyle name="Pre-inputted cells 4 5 4" xfId="25060" xr:uid="{00000000-0005-0000-0000-000064630000}"/>
    <cellStyle name="Pre-inputted cells 4 5 5" xfId="25061" xr:uid="{00000000-0005-0000-0000-000065630000}"/>
    <cellStyle name="Pre-inputted cells 4 5 6" xfId="25062" xr:uid="{00000000-0005-0000-0000-000066630000}"/>
    <cellStyle name="Pre-inputted cells 4 5 7" xfId="25063" xr:uid="{00000000-0005-0000-0000-000067630000}"/>
    <cellStyle name="Pre-inputted cells 4 5 8" xfId="25064" xr:uid="{00000000-0005-0000-0000-000068630000}"/>
    <cellStyle name="Pre-inputted cells 4 5 9" xfId="25065" xr:uid="{00000000-0005-0000-0000-000069630000}"/>
    <cellStyle name="Pre-inputted cells 4 6" xfId="25066" xr:uid="{00000000-0005-0000-0000-00006A630000}"/>
    <cellStyle name="Pre-inputted cells 4 6 10" xfId="25067" xr:uid="{00000000-0005-0000-0000-00006B630000}"/>
    <cellStyle name="Pre-inputted cells 4 6 11" xfId="25068" xr:uid="{00000000-0005-0000-0000-00006C630000}"/>
    <cellStyle name="Pre-inputted cells 4 6 12" xfId="25069" xr:uid="{00000000-0005-0000-0000-00006D630000}"/>
    <cellStyle name="Pre-inputted cells 4 6 13" xfId="25070" xr:uid="{00000000-0005-0000-0000-00006E630000}"/>
    <cellStyle name="Pre-inputted cells 4 6 2" xfId="25071" xr:uid="{00000000-0005-0000-0000-00006F630000}"/>
    <cellStyle name="Pre-inputted cells 4 6 3" xfId="25072" xr:uid="{00000000-0005-0000-0000-000070630000}"/>
    <cellStyle name="Pre-inputted cells 4 6 4" xfId="25073" xr:uid="{00000000-0005-0000-0000-000071630000}"/>
    <cellStyle name="Pre-inputted cells 4 6 5" xfId="25074" xr:uid="{00000000-0005-0000-0000-000072630000}"/>
    <cellStyle name="Pre-inputted cells 4 6 6" xfId="25075" xr:uid="{00000000-0005-0000-0000-000073630000}"/>
    <cellStyle name="Pre-inputted cells 4 6 7" xfId="25076" xr:uid="{00000000-0005-0000-0000-000074630000}"/>
    <cellStyle name="Pre-inputted cells 4 6 8" xfId="25077" xr:uid="{00000000-0005-0000-0000-000075630000}"/>
    <cellStyle name="Pre-inputted cells 4 6 9" xfId="25078" xr:uid="{00000000-0005-0000-0000-000076630000}"/>
    <cellStyle name="Pre-inputted cells 4 7" xfId="25079" xr:uid="{00000000-0005-0000-0000-000077630000}"/>
    <cellStyle name="Pre-inputted cells 4 7 2" xfId="25080" xr:uid="{00000000-0005-0000-0000-000078630000}"/>
    <cellStyle name="Pre-inputted cells 4 7 2 2" xfId="25081" xr:uid="{00000000-0005-0000-0000-000079630000}"/>
    <cellStyle name="Pre-inputted cells 4 8" xfId="25082" xr:uid="{00000000-0005-0000-0000-00007A630000}"/>
    <cellStyle name="Pre-inputted cells 4 9" xfId="25083" xr:uid="{00000000-0005-0000-0000-00007B630000}"/>
    <cellStyle name="Pre-inputted cells 4_1.3s Accounting C Costs Scots" xfId="25084" xr:uid="{00000000-0005-0000-0000-00007C630000}"/>
    <cellStyle name="Pre-inputted cells 40" xfId="25085" xr:uid="{00000000-0005-0000-0000-00007D630000}"/>
    <cellStyle name="Pre-inputted cells 41" xfId="25086" xr:uid="{00000000-0005-0000-0000-00007E630000}"/>
    <cellStyle name="Pre-inputted cells 42" xfId="25087" xr:uid="{00000000-0005-0000-0000-00007F630000}"/>
    <cellStyle name="Pre-inputted cells 43" xfId="25088" xr:uid="{00000000-0005-0000-0000-000080630000}"/>
    <cellStyle name="Pre-inputted cells 44" xfId="25089" xr:uid="{00000000-0005-0000-0000-000081630000}"/>
    <cellStyle name="Pre-inputted cells 45" xfId="25090" xr:uid="{00000000-0005-0000-0000-000082630000}"/>
    <cellStyle name="Pre-inputted cells 46" xfId="25091" xr:uid="{00000000-0005-0000-0000-000083630000}"/>
    <cellStyle name="Pre-inputted cells 5" xfId="25092" xr:uid="{00000000-0005-0000-0000-000084630000}"/>
    <cellStyle name="Pre-inputted cells 5 10" xfId="25093" xr:uid="{00000000-0005-0000-0000-000085630000}"/>
    <cellStyle name="Pre-inputted cells 5 11" xfId="25094" xr:uid="{00000000-0005-0000-0000-000086630000}"/>
    <cellStyle name="Pre-inputted cells 5 12" xfId="25095" xr:uid="{00000000-0005-0000-0000-000087630000}"/>
    <cellStyle name="Pre-inputted cells 5 13" xfId="25096" xr:uid="{00000000-0005-0000-0000-000088630000}"/>
    <cellStyle name="Pre-inputted cells 5 14" xfId="25097" xr:uid="{00000000-0005-0000-0000-000089630000}"/>
    <cellStyle name="Pre-inputted cells 5 15" xfId="25098" xr:uid="{00000000-0005-0000-0000-00008A630000}"/>
    <cellStyle name="Pre-inputted cells 5 16" xfId="25099" xr:uid="{00000000-0005-0000-0000-00008B630000}"/>
    <cellStyle name="Pre-inputted cells 5 17" xfId="25100" xr:uid="{00000000-0005-0000-0000-00008C630000}"/>
    <cellStyle name="Pre-inputted cells 5 18" xfId="25101" xr:uid="{00000000-0005-0000-0000-00008D630000}"/>
    <cellStyle name="Pre-inputted cells 5 19" xfId="25102" xr:uid="{00000000-0005-0000-0000-00008E630000}"/>
    <cellStyle name="Pre-inputted cells 5 2" xfId="25103" xr:uid="{00000000-0005-0000-0000-00008F630000}"/>
    <cellStyle name="Pre-inputted cells 5 2 10" xfId="25104" xr:uid="{00000000-0005-0000-0000-000090630000}"/>
    <cellStyle name="Pre-inputted cells 5 2 11" xfId="25105" xr:uid="{00000000-0005-0000-0000-000091630000}"/>
    <cellStyle name="Pre-inputted cells 5 2 12" xfId="25106" xr:uid="{00000000-0005-0000-0000-000092630000}"/>
    <cellStyle name="Pre-inputted cells 5 2 13" xfId="25107" xr:uid="{00000000-0005-0000-0000-000093630000}"/>
    <cellStyle name="Pre-inputted cells 5 2 14" xfId="25108" xr:uid="{00000000-0005-0000-0000-000094630000}"/>
    <cellStyle name="Pre-inputted cells 5 2 15" xfId="25109" xr:uid="{00000000-0005-0000-0000-000095630000}"/>
    <cellStyle name="Pre-inputted cells 5 2 16" xfId="25110" xr:uid="{00000000-0005-0000-0000-000096630000}"/>
    <cellStyle name="Pre-inputted cells 5 2 17" xfId="25111" xr:uid="{00000000-0005-0000-0000-000097630000}"/>
    <cellStyle name="Pre-inputted cells 5 2 18" xfId="25112" xr:uid="{00000000-0005-0000-0000-000098630000}"/>
    <cellStyle name="Pre-inputted cells 5 2 19" xfId="25113" xr:uid="{00000000-0005-0000-0000-000099630000}"/>
    <cellStyle name="Pre-inputted cells 5 2 2" xfId="25114" xr:uid="{00000000-0005-0000-0000-00009A630000}"/>
    <cellStyle name="Pre-inputted cells 5 2 2 10" xfId="25115" xr:uid="{00000000-0005-0000-0000-00009B630000}"/>
    <cellStyle name="Pre-inputted cells 5 2 2 11" xfId="25116" xr:uid="{00000000-0005-0000-0000-00009C630000}"/>
    <cellStyle name="Pre-inputted cells 5 2 2 12" xfId="25117" xr:uid="{00000000-0005-0000-0000-00009D630000}"/>
    <cellStyle name="Pre-inputted cells 5 2 2 13" xfId="25118" xr:uid="{00000000-0005-0000-0000-00009E630000}"/>
    <cellStyle name="Pre-inputted cells 5 2 2 14" xfId="25119" xr:uid="{00000000-0005-0000-0000-00009F630000}"/>
    <cellStyle name="Pre-inputted cells 5 2 2 15" xfId="25120" xr:uid="{00000000-0005-0000-0000-0000A0630000}"/>
    <cellStyle name="Pre-inputted cells 5 2 2 16" xfId="25121" xr:uid="{00000000-0005-0000-0000-0000A1630000}"/>
    <cellStyle name="Pre-inputted cells 5 2 2 17" xfId="25122" xr:uid="{00000000-0005-0000-0000-0000A2630000}"/>
    <cellStyle name="Pre-inputted cells 5 2 2 18" xfId="25123" xr:uid="{00000000-0005-0000-0000-0000A3630000}"/>
    <cellStyle name="Pre-inputted cells 5 2 2 19" xfId="25124" xr:uid="{00000000-0005-0000-0000-0000A4630000}"/>
    <cellStyle name="Pre-inputted cells 5 2 2 2" xfId="25125" xr:uid="{00000000-0005-0000-0000-0000A5630000}"/>
    <cellStyle name="Pre-inputted cells 5 2 2 2 10" xfId="25126" xr:uid="{00000000-0005-0000-0000-0000A6630000}"/>
    <cellStyle name="Pre-inputted cells 5 2 2 2 11" xfId="25127" xr:uid="{00000000-0005-0000-0000-0000A7630000}"/>
    <cellStyle name="Pre-inputted cells 5 2 2 2 12" xfId="25128" xr:uid="{00000000-0005-0000-0000-0000A8630000}"/>
    <cellStyle name="Pre-inputted cells 5 2 2 2 13" xfId="25129" xr:uid="{00000000-0005-0000-0000-0000A9630000}"/>
    <cellStyle name="Pre-inputted cells 5 2 2 2 14" xfId="25130" xr:uid="{00000000-0005-0000-0000-0000AA630000}"/>
    <cellStyle name="Pre-inputted cells 5 2 2 2 15" xfId="25131" xr:uid="{00000000-0005-0000-0000-0000AB630000}"/>
    <cellStyle name="Pre-inputted cells 5 2 2 2 16" xfId="25132" xr:uid="{00000000-0005-0000-0000-0000AC630000}"/>
    <cellStyle name="Pre-inputted cells 5 2 2 2 17" xfId="25133" xr:uid="{00000000-0005-0000-0000-0000AD630000}"/>
    <cellStyle name="Pre-inputted cells 5 2 2 2 18" xfId="25134" xr:uid="{00000000-0005-0000-0000-0000AE630000}"/>
    <cellStyle name="Pre-inputted cells 5 2 2 2 19" xfId="25135" xr:uid="{00000000-0005-0000-0000-0000AF630000}"/>
    <cellStyle name="Pre-inputted cells 5 2 2 2 2" xfId="25136" xr:uid="{00000000-0005-0000-0000-0000B0630000}"/>
    <cellStyle name="Pre-inputted cells 5 2 2 2 2 10" xfId="25137" xr:uid="{00000000-0005-0000-0000-0000B1630000}"/>
    <cellStyle name="Pre-inputted cells 5 2 2 2 2 11" xfId="25138" xr:uid="{00000000-0005-0000-0000-0000B2630000}"/>
    <cellStyle name="Pre-inputted cells 5 2 2 2 2 12" xfId="25139" xr:uid="{00000000-0005-0000-0000-0000B3630000}"/>
    <cellStyle name="Pre-inputted cells 5 2 2 2 2 13" xfId="25140" xr:uid="{00000000-0005-0000-0000-0000B4630000}"/>
    <cellStyle name="Pre-inputted cells 5 2 2 2 2 14" xfId="25141" xr:uid="{00000000-0005-0000-0000-0000B5630000}"/>
    <cellStyle name="Pre-inputted cells 5 2 2 2 2 15" xfId="25142" xr:uid="{00000000-0005-0000-0000-0000B6630000}"/>
    <cellStyle name="Pre-inputted cells 5 2 2 2 2 16" xfId="25143" xr:uid="{00000000-0005-0000-0000-0000B7630000}"/>
    <cellStyle name="Pre-inputted cells 5 2 2 2 2 17" xfId="25144" xr:uid="{00000000-0005-0000-0000-0000B8630000}"/>
    <cellStyle name="Pre-inputted cells 5 2 2 2 2 18" xfId="25145" xr:uid="{00000000-0005-0000-0000-0000B9630000}"/>
    <cellStyle name="Pre-inputted cells 5 2 2 2 2 19" xfId="25146" xr:uid="{00000000-0005-0000-0000-0000BA630000}"/>
    <cellStyle name="Pre-inputted cells 5 2 2 2 2 2" xfId="25147" xr:uid="{00000000-0005-0000-0000-0000BB630000}"/>
    <cellStyle name="Pre-inputted cells 5 2 2 2 2 2 10" xfId="25148" xr:uid="{00000000-0005-0000-0000-0000BC630000}"/>
    <cellStyle name="Pre-inputted cells 5 2 2 2 2 2 11" xfId="25149" xr:uid="{00000000-0005-0000-0000-0000BD630000}"/>
    <cellStyle name="Pre-inputted cells 5 2 2 2 2 2 12" xfId="25150" xr:uid="{00000000-0005-0000-0000-0000BE630000}"/>
    <cellStyle name="Pre-inputted cells 5 2 2 2 2 2 13" xfId="25151" xr:uid="{00000000-0005-0000-0000-0000BF630000}"/>
    <cellStyle name="Pre-inputted cells 5 2 2 2 2 2 2" xfId="25152" xr:uid="{00000000-0005-0000-0000-0000C0630000}"/>
    <cellStyle name="Pre-inputted cells 5 2 2 2 2 2 3" xfId="25153" xr:uid="{00000000-0005-0000-0000-0000C1630000}"/>
    <cellStyle name="Pre-inputted cells 5 2 2 2 2 2 4" xfId="25154" xr:uid="{00000000-0005-0000-0000-0000C2630000}"/>
    <cellStyle name="Pre-inputted cells 5 2 2 2 2 2 5" xfId="25155" xr:uid="{00000000-0005-0000-0000-0000C3630000}"/>
    <cellStyle name="Pre-inputted cells 5 2 2 2 2 2 6" xfId="25156" xr:uid="{00000000-0005-0000-0000-0000C4630000}"/>
    <cellStyle name="Pre-inputted cells 5 2 2 2 2 2 7" xfId="25157" xr:uid="{00000000-0005-0000-0000-0000C5630000}"/>
    <cellStyle name="Pre-inputted cells 5 2 2 2 2 2 8" xfId="25158" xr:uid="{00000000-0005-0000-0000-0000C6630000}"/>
    <cellStyle name="Pre-inputted cells 5 2 2 2 2 2 9" xfId="25159" xr:uid="{00000000-0005-0000-0000-0000C7630000}"/>
    <cellStyle name="Pre-inputted cells 5 2 2 2 2 20" xfId="25160" xr:uid="{00000000-0005-0000-0000-0000C8630000}"/>
    <cellStyle name="Pre-inputted cells 5 2 2 2 2 21" xfId="25161" xr:uid="{00000000-0005-0000-0000-0000C9630000}"/>
    <cellStyle name="Pre-inputted cells 5 2 2 2 2 22" xfId="25162" xr:uid="{00000000-0005-0000-0000-0000CA630000}"/>
    <cellStyle name="Pre-inputted cells 5 2 2 2 2 23" xfId="25163" xr:uid="{00000000-0005-0000-0000-0000CB630000}"/>
    <cellStyle name="Pre-inputted cells 5 2 2 2 2 24" xfId="25164" xr:uid="{00000000-0005-0000-0000-0000CC630000}"/>
    <cellStyle name="Pre-inputted cells 5 2 2 2 2 25" xfId="25165" xr:uid="{00000000-0005-0000-0000-0000CD630000}"/>
    <cellStyle name="Pre-inputted cells 5 2 2 2 2 26" xfId="25166" xr:uid="{00000000-0005-0000-0000-0000CE630000}"/>
    <cellStyle name="Pre-inputted cells 5 2 2 2 2 27" xfId="25167" xr:uid="{00000000-0005-0000-0000-0000CF630000}"/>
    <cellStyle name="Pre-inputted cells 5 2 2 2 2 28" xfId="25168" xr:uid="{00000000-0005-0000-0000-0000D0630000}"/>
    <cellStyle name="Pre-inputted cells 5 2 2 2 2 29" xfId="25169" xr:uid="{00000000-0005-0000-0000-0000D1630000}"/>
    <cellStyle name="Pre-inputted cells 5 2 2 2 2 3" xfId="25170" xr:uid="{00000000-0005-0000-0000-0000D2630000}"/>
    <cellStyle name="Pre-inputted cells 5 2 2 2 2 30" xfId="25171" xr:uid="{00000000-0005-0000-0000-0000D3630000}"/>
    <cellStyle name="Pre-inputted cells 5 2 2 2 2 31" xfId="25172" xr:uid="{00000000-0005-0000-0000-0000D4630000}"/>
    <cellStyle name="Pre-inputted cells 5 2 2 2 2 32" xfId="25173" xr:uid="{00000000-0005-0000-0000-0000D5630000}"/>
    <cellStyle name="Pre-inputted cells 5 2 2 2 2 33" xfId="25174" xr:uid="{00000000-0005-0000-0000-0000D6630000}"/>
    <cellStyle name="Pre-inputted cells 5 2 2 2 2 34" xfId="25175" xr:uid="{00000000-0005-0000-0000-0000D7630000}"/>
    <cellStyle name="Pre-inputted cells 5 2 2 2 2 4" xfId="25176" xr:uid="{00000000-0005-0000-0000-0000D8630000}"/>
    <cellStyle name="Pre-inputted cells 5 2 2 2 2 5" xfId="25177" xr:uid="{00000000-0005-0000-0000-0000D9630000}"/>
    <cellStyle name="Pre-inputted cells 5 2 2 2 2 6" xfId="25178" xr:uid="{00000000-0005-0000-0000-0000DA630000}"/>
    <cellStyle name="Pre-inputted cells 5 2 2 2 2 7" xfId="25179" xr:uid="{00000000-0005-0000-0000-0000DB630000}"/>
    <cellStyle name="Pre-inputted cells 5 2 2 2 2 8" xfId="25180" xr:uid="{00000000-0005-0000-0000-0000DC630000}"/>
    <cellStyle name="Pre-inputted cells 5 2 2 2 2 9" xfId="25181" xr:uid="{00000000-0005-0000-0000-0000DD630000}"/>
    <cellStyle name="Pre-inputted cells 5 2 2 2 20" xfId="25182" xr:uid="{00000000-0005-0000-0000-0000DE630000}"/>
    <cellStyle name="Pre-inputted cells 5 2 2 2 21" xfId="25183" xr:uid="{00000000-0005-0000-0000-0000DF630000}"/>
    <cellStyle name="Pre-inputted cells 5 2 2 2 22" xfId="25184" xr:uid="{00000000-0005-0000-0000-0000E0630000}"/>
    <cellStyle name="Pre-inputted cells 5 2 2 2 23" xfId="25185" xr:uid="{00000000-0005-0000-0000-0000E1630000}"/>
    <cellStyle name="Pre-inputted cells 5 2 2 2 24" xfId="25186" xr:uid="{00000000-0005-0000-0000-0000E2630000}"/>
    <cellStyle name="Pre-inputted cells 5 2 2 2 25" xfId="25187" xr:uid="{00000000-0005-0000-0000-0000E3630000}"/>
    <cellStyle name="Pre-inputted cells 5 2 2 2 26" xfId="25188" xr:uid="{00000000-0005-0000-0000-0000E4630000}"/>
    <cellStyle name="Pre-inputted cells 5 2 2 2 27" xfId="25189" xr:uid="{00000000-0005-0000-0000-0000E5630000}"/>
    <cellStyle name="Pre-inputted cells 5 2 2 2 28" xfId="25190" xr:uid="{00000000-0005-0000-0000-0000E6630000}"/>
    <cellStyle name="Pre-inputted cells 5 2 2 2 29" xfId="25191" xr:uid="{00000000-0005-0000-0000-0000E7630000}"/>
    <cellStyle name="Pre-inputted cells 5 2 2 2 3" xfId="25192" xr:uid="{00000000-0005-0000-0000-0000E8630000}"/>
    <cellStyle name="Pre-inputted cells 5 2 2 2 3 10" xfId="25193" xr:uid="{00000000-0005-0000-0000-0000E9630000}"/>
    <cellStyle name="Pre-inputted cells 5 2 2 2 3 11" xfId="25194" xr:uid="{00000000-0005-0000-0000-0000EA630000}"/>
    <cellStyle name="Pre-inputted cells 5 2 2 2 3 12" xfId="25195" xr:uid="{00000000-0005-0000-0000-0000EB630000}"/>
    <cellStyle name="Pre-inputted cells 5 2 2 2 3 13" xfId="25196" xr:uid="{00000000-0005-0000-0000-0000EC630000}"/>
    <cellStyle name="Pre-inputted cells 5 2 2 2 3 2" xfId="25197" xr:uid="{00000000-0005-0000-0000-0000ED630000}"/>
    <cellStyle name="Pre-inputted cells 5 2 2 2 3 3" xfId="25198" xr:uid="{00000000-0005-0000-0000-0000EE630000}"/>
    <cellStyle name="Pre-inputted cells 5 2 2 2 3 4" xfId="25199" xr:uid="{00000000-0005-0000-0000-0000EF630000}"/>
    <cellStyle name="Pre-inputted cells 5 2 2 2 3 5" xfId="25200" xr:uid="{00000000-0005-0000-0000-0000F0630000}"/>
    <cellStyle name="Pre-inputted cells 5 2 2 2 3 6" xfId="25201" xr:uid="{00000000-0005-0000-0000-0000F1630000}"/>
    <cellStyle name="Pre-inputted cells 5 2 2 2 3 7" xfId="25202" xr:uid="{00000000-0005-0000-0000-0000F2630000}"/>
    <cellStyle name="Pre-inputted cells 5 2 2 2 3 8" xfId="25203" xr:uid="{00000000-0005-0000-0000-0000F3630000}"/>
    <cellStyle name="Pre-inputted cells 5 2 2 2 3 9" xfId="25204" xr:uid="{00000000-0005-0000-0000-0000F4630000}"/>
    <cellStyle name="Pre-inputted cells 5 2 2 2 30" xfId="25205" xr:uid="{00000000-0005-0000-0000-0000F5630000}"/>
    <cellStyle name="Pre-inputted cells 5 2 2 2 31" xfId="25206" xr:uid="{00000000-0005-0000-0000-0000F6630000}"/>
    <cellStyle name="Pre-inputted cells 5 2 2 2 4" xfId="25207" xr:uid="{00000000-0005-0000-0000-0000F7630000}"/>
    <cellStyle name="Pre-inputted cells 5 2 2 2 5" xfId="25208" xr:uid="{00000000-0005-0000-0000-0000F8630000}"/>
    <cellStyle name="Pre-inputted cells 5 2 2 2 6" xfId="25209" xr:uid="{00000000-0005-0000-0000-0000F9630000}"/>
    <cellStyle name="Pre-inputted cells 5 2 2 2 7" xfId="25210" xr:uid="{00000000-0005-0000-0000-0000FA630000}"/>
    <cellStyle name="Pre-inputted cells 5 2 2 2 8" xfId="25211" xr:uid="{00000000-0005-0000-0000-0000FB630000}"/>
    <cellStyle name="Pre-inputted cells 5 2 2 2 9" xfId="25212" xr:uid="{00000000-0005-0000-0000-0000FC630000}"/>
    <cellStyle name="Pre-inputted cells 5 2 2 2_4 28 1_Asst_Health_Crit_AllTO_RIIO_20110714pm" xfId="25213" xr:uid="{00000000-0005-0000-0000-0000FD630000}"/>
    <cellStyle name="Pre-inputted cells 5 2 2 20" xfId="25214" xr:uid="{00000000-0005-0000-0000-0000FE630000}"/>
    <cellStyle name="Pre-inputted cells 5 2 2 21" xfId="25215" xr:uid="{00000000-0005-0000-0000-0000FF630000}"/>
    <cellStyle name="Pre-inputted cells 5 2 2 22" xfId="25216" xr:uid="{00000000-0005-0000-0000-000000640000}"/>
    <cellStyle name="Pre-inputted cells 5 2 2 23" xfId="25217" xr:uid="{00000000-0005-0000-0000-000001640000}"/>
    <cellStyle name="Pre-inputted cells 5 2 2 24" xfId="25218" xr:uid="{00000000-0005-0000-0000-000002640000}"/>
    <cellStyle name="Pre-inputted cells 5 2 2 25" xfId="25219" xr:uid="{00000000-0005-0000-0000-000003640000}"/>
    <cellStyle name="Pre-inputted cells 5 2 2 26" xfId="25220" xr:uid="{00000000-0005-0000-0000-000004640000}"/>
    <cellStyle name="Pre-inputted cells 5 2 2 27" xfId="25221" xr:uid="{00000000-0005-0000-0000-000005640000}"/>
    <cellStyle name="Pre-inputted cells 5 2 2 28" xfId="25222" xr:uid="{00000000-0005-0000-0000-000006640000}"/>
    <cellStyle name="Pre-inputted cells 5 2 2 29" xfId="25223" xr:uid="{00000000-0005-0000-0000-000007640000}"/>
    <cellStyle name="Pre-inputted cells 5 2 2 3" xfId="25224" xr:uid="{00000000-0005-0000-0000-000008640000}"/>
    <cellStyle name="Pre-inputted cells 5 2 2 3 10" xfId="25225" xr:uid="{00000000-0005-0000-0000-000009640000}"/>
    <cellStyle name="Pre-inputted cells 5 2 2 3 11" xfId="25226" xr:uid="{00000000-0005-0000-0000-00000A640000}"/>
    <cellStyle name="Pre-inputted cells 5 2 2 3 12" xfId="25227" xr:uid="{00000000-0005-0000-0000-00000B640000}"/>
    <cellStyle name="Pre-inputted cells 5 2 2 3 13" xfId="25228" xr:uid="{00000000-0005-0000-0000-00000C640000}"/>
    <cellStyle name="Pre-inputted cells 5 2 2 3 14" xfId="25229" xr:uid="{00000000-0005-0000-0000-00000D640000}"/>
    <cellStyle name="Pre-inputted cells 5 2 2 3 15" xfId="25230" xr:uid="{00000000-0005-0000-0000-00000E640000}"/>
    <cellStyle name="Pre-inputted cells 5 2 2 3 16" xfId="25231" xr:uid="{00000000-0005-0000-0000-00000F640000}"/>
    <cellStyle name="Pre-inputted cells 5 2 2 3 17" xfId="25232" xr:uid="{00000000-0005-0000-0000-000010640000}"/>
    <cellStyle name="Pre-inputted cells 5 2 2 3 18" xfId="25233" xr:uid="{00000000-0005-0000-0000-000011640000}"/>
    <cellStyle name="Pre-inputted cells 5 2 2 3 19" xfId="25234" xr:uid="{00000000-0005-0000-0000-000012640000}"/>
    <cellStyle name="Pre-inputted cells 5 2 2 3 2" xfId="25235" xr:uid="{00000000-0005-0000-0000-000013640000}"/>
    <cellStyle name="Pre-inputted cells 5 2 2 3 2 10" xfId="25236" xr:uid="{00000000-0005-0000-0000-000014640000}"/>
    <cellStyle name="Pre-inputted cells 5 2 2 3 2 11" xfId="25237" xr:uid="{00000000-0005-0000-0000-000015640000}"/>
    <cellStyle name="Pre-inputted cells 5 2 2 3 2 12" xfId="25238" xr:uid="{00000000-0005-0000-0000-000016640000}"/>
    <cellStyle name="Pre-inputted cells 5 2 2 3 2 13" xfId="25239" xr:uid="{00000000-0005-0000-0000-000017640000}"/>
    <cellStyle name="Pre-inputted cells 5 2 2 3 2 2" xfId="25240" xr:uid="{00000000-0005-0000-0000-000018640000}"/>
    <cellStyle name="Pre-inputted cells 5 2 2 3 2 3" xfId="25241" xr:uid="{00000000-0005-0000-0000-000019640000}"/>
    <cellStyle name="Pre-inputted cells 5 2 2 3 2 4" xfId="25242" xr:uid="{00000000-0005-0000-0000-00001A640000}"/>
    <cellStyle name="Pre-inputted cells 5 2 2 3 2 5" xfId="25243" xr:uid="{00000000-0005-0000-0000-00001B640000}"/>
    <cellStyle name="Pre-inputted cells 5 2 2 3 2 6" xfId="25244" xr:uid="{00000000-0005-0000-0000-00001C640000}"/>
    <cellStyle name="Pre-inputted cells 5 2 2 3 2 7" xfId="25245" xr:uid="{00000000-0005-0000-0000-00001D640000}"/>
    <cellStyle name="Pre-inputted cells 5 2 2 3 2 8" xfId="25246" xr:uid="{00000000-0005-0000-0000-00001E640000}"/>
    <cellStyle name="Pre-inputted cells 5 2 2 3 2 9" xfId="25247" xr:uid="{00000000-0005-0000-0000-00001F640000}"/>
    <cellStyle name="Pre-inputted cells 5 2 2 3 20" xfId="25248" xr:uid="{00000000-0005-0000-0000-000020640000}"/>
    <cellStyle name="Pre-inputted cells 5 2 2 3 21" xfId="25249" xr:uid="{00000000-0005-0000-0000-000021640000}"/>
    <cellStyle name="Pre-inputted cells 5 2 2 3 22" xfId="25250" xr:uid="{00000000-0005-0000-0000-000022640000}"/>
    <cellStyle name="Pre-inputted cells 5 2 2 3 23" xfId="25251" xr:uid="{00000000-0005-0000-0000-000023640000}"/>
    <cellStyle name="Pre-inputted cells 5 2 2 3 24" xfId="25252" xr:uid="{00000000-0005-0000-0000-000024640000}"/>
    <cellStyle name="Pre-inputted cells 5 2 2 3 25" xfId="25253" xr:uid="{00000000-0005-0000-0000-000025640000}"/>
    <cellStyle name="Pre-inputted cells 5 2 2 3 26" xfId="25254" xr:uid="{00000000-0005-0000-0000-000026640000}"/>
    <cellStyle name="Pre-inputted cells 5 2 2 3 27" xfId="25255" xr:uid="{00000000-0005-0000-0000-000027640000}"/>
    <cellStyle name="Pre-inputted cells 5 2 2 3 28" xfId="25256" xr:uid="{00000000-0005-0000-0000-000028640000}"/>
    <cellStyle name="Pre-inputted cells 5 2 2 3 29" xfId="25257" xr:uid="{00000000-0005-0000-0000-000029640000}"/>
    <cellStyle name="Pre-inputted cells 5 2 2 3 3" xfId="25258" xr:uid="{00000000-0005-0000-0000-00002A640000}"/>
    <cellStyle name="Pre-inputted cells 5 2 2 3 30" xfId="25259" xr:uid="{00000000-0005-0000-0000-00002B640000}"/>
    <cellStyle name="Pre-inputted cells 5 2 2 3 4" xfId="25260" xr:uid="{00000000-0005-0000-0000-00002C640000}"/>
    <cellStyle name="Pre-inputted cells 5 2 2 3 5" xfId="25261" xr:uid="{00000000-0005-0000-0000-00002D640000}"/>
    <cellStyle name="Pre-inputted cells 5 2 2 3 6" xfId="25262" xr:uid="{00000000-0005-0000-0000-00002E640000}"/>
    <cellStyle name="Pre-inputted cells 5 2 2 3 7" xfId="25263" xr:uid="{00000000-0005-0000-0000-00002F640000}"/>
    <cellStyle name="Pre-inputted cells 5 2 2 3 8" xfId="25264" xr:uid="{00000000-0005-0000-0000-000030640000}"/>
    <cellStyle name="Pre-inputted cells 5 2 2 3 9" xfId="25265" xr:uid="{00000000-0005-0000-0000-000031640000}"/>
    <cellStyle name="Pre-inputted cells 5 2 2 30" xfId="25266" xr:uid="{00000000-0005-0000-0000-000032640000}"/>
    <cellStyle name="Pre-inputted cells 5 2 2 31" xfId="25267" xr:uid="{00000000-0005-0000-0000-000033640000}"/>
    <cellStyle name="Pre-inputted cells 5 2 2 32" xfId="25268" xr:uid="{00000000-0005-0000-0000-000034640000}"/>
    <cellStyle name="Pre-inputted cells 5 2 2 33" xfId="25269" xr:uid="{00000000-0005-0000-0000-000035640000}"/>
    <cellStyle name="Pre-inputted cells 5 2 2 4" xfId="25270" xr:uid="{00000000-0005-0000-0000-000036640000}"/>
    <cellStyle name="Pre-inputted cells 5 2 2 4 10" xfId="25271" xr:uid="{00000000-0005-0000-0000-000037640000}"/>
    <cellStyle name="Pre-inputted cells 5 2 2 4 11" xfId="25272" xr:uid="{00000000-0005-0000-0000-000038640000}"/>
    <cellStyle name="Pre-inputted cells 5 2 2 4 12" xfId="25273" xr:uid="{00000000-0005-0000-0000-000039640000}"/>
    <cellStyle name="Pre-inputted cells 5 2 2 4 13" xfId="25274" xr:uid="{00000000-0005-0000-0000-00003A640000}"/>
    <cellStyle name="Pre-inputted cells 5 2 2 4 14" xfId="25275" xr:uid="{00000000-0005-0000-0000-00003B640000}"/>
    <cellStyle name="Pre-inputted cells 5 2 2 4 15" xfId="25276" xr:uid="{00000000-0005-0000-0000-00003C640000}"/>
    <cellStyle name="Pre-inputted cells 5 2 2 4 16" xfId="25277" xr:uid="{00000000-0005-0000-0000-00003D640000}"/>
    <cellStyle name="Pre-inputted cells 5 2 2 4 17" xfId="25278" xr:uid="{00000000-0005-0000-0000-00003E640000}"/>
    <cellStyle name="Pre-inputted cells 5 2 2 4 18" xfId="25279" xr:uid="{00000000-0005-0000-0000-00003F640000}"/>
    <cellStyle name="Pre-inputted cells 5 2 2 4 19" xfId="25280" xr:uid="{00000000-0005-0000-0000-000040640000}"/>
    <cellStyle name="Pre-inputted cells 5 2 2 4 2" xfId="25281" xr:uid="{00000000-0005-0000-0000-000041640000}"/>
    <cellStyle name="Pre-inputted cells 5 2 2 4 2 10" xfId="25282" xr:uid="{00000000-0005-0000-0000-000042640000}"/>
    <cellStyle name="Pre-inputted cells 5 2 2 4 2 11" xfId="25283" xr:uid="{00000000-0005-0000-0000-000043640000}"/>
    <cellStyle name="Pre-inputted cells 5 2 2 4 2 12" xfId="25284" xr:uid="{00000000-0005-0000-0000-000044640000}"/>
    <cellStyle name="Pre-inputted cells 5 2 2 4 2 13" xfId="25285" xr:uid="{00000000-0005-0000-0000-000045640000}"/>
    <cellStyle name="Pre-inputted cells 5 2 2 4 2 2" xfId="25286" xr:uid="{00000000-0005-0000-0000-000046640000}"/>
    <cellStyle name="Pre-inputted cells 5 2 2 4 2 3" xfId="25287" xr:uid="{00000000-0005-0000-0000-000047640000}"/>
    <cellStyle name="Pre-inputted cells 5 2 2 4 2 4" xfId="25288" xr:uid="{00000000-0005-0000-0000-000048640000}"/>
    <cellStyle name="Pre-inputted cells 5 2 2 4 2 5" xfId="25289" xr:uid="{00000000-0005-0000-0000-000049640000}"/>
    <cellStyle name="Pre-inputted cells 5 2 2 4 2 6" xfId="25290" xr:uid="{00000000-0005-0000-0000-00004A640000}"/>
    <cellStyle name="Pre-inputted cells 5 2 2 4 2 7" xfId="25291" xr:uid="{00000000-0005-0000-0000-00004B640000}"/>
    <cellStyle name="Pre-inputted cells 5 2 2 4 2 8" xfId="25292" xr:uid="{00000000-0005-0000-0000-00004C640000}"/>
    <cellStyle name="Pre-inputted cells 5 2 2 4 2 9" xfId="25293" xr:uid="{00000000-0005-0000-0000-00004D640000}"/>
    <cellStyle name="Pre-inputted cells 5 2 2 4 20" xfId="25294" xr:uid="{00000000-0005-0000-0000-00004E640000}"/>
    <cellStyle name="Pre-inputted cells 5 2 2 4 21" xfId="25295" xr:uid="{00000000-0005-0000-0000-00004F640000}"/>
    <cellStyle name="Pre-inputted cells 5 2 2 4 22" xfId="25296" xr:uid="{00000000-0005-0000-0000-000050640000}"/>
    <cellStyle name="Pre-inputted cells 5 2 2 4 23" xfId="25297" xr:uid="{00000000-0005-0000-0000-000051640000}"/>
    <cellStyle name="Pre-inputted cells 5 2 2 4 24" xfId="25298" xr:uid="{00000000-0005-0000-0000-000052640000}"/>
    <cellStyle name="Pre-inputted cells 5 2 2 4 25" xfId="25299" xr:uid="{00000000-0005-0000-0000-000053640000}"/>
    <cellStyle name="Pre-inputted cells 5 2 2 4 26" xfId="25300" xr:uid="{00000000-0005-0000-0000-000054640000}"/>
    <cellStyle name="Pre-inputted cells 5 2 2 4 27" xfId="25301" xr:uid="{00000000-0005-0000-0000-000055640000}"/>
    <cellStyle name="Pre-inputted cells 5 2 2 4 28" xfId="25302" xr:uid="{00000000-0005-0000-0000-000056640000}"/>
    <cellStyle name="Pre-inputted cells 5 2 2 4 29" xfId="25303" xr:uid="{00000000-0005-0000-0000-000057640000}"/>
    <cellStyle name="Pre-inputted cells 5 2 2 4 3" xfId="25304" xr:uid="{00000000-0005-0000-0000-000058640000}"/>
    <cellStyle name="Pre-inputted cells 5 2 2 4 30" xfId="25305" xr:uid="{00000000-0005-0000-0000-000059640000}"/>
    <cellStyle name="Pre-inputted cells 5 2 2 4 4" xfId="25306" xr:uid="{00000000-0005-0000-0000-00005A640000}"/>
    <cellStyle name="Pre-inputted cells 5 2 2 4 5" xfId="25307" xr:uid="{00000000-0005-0000-0000-00005B640000}"/>
    <cellStyle name="Pre-inputted cells 5 2 2 4 6" xfId="25308" xr:uid="{00000000-0005-0000-0000-00005C640000}"/>
    <cellStyle name="Pre-inputted cells 5 2 2 4 7" xfId="25309" xr:uid="{00000000-0005-0000-0000-00005D640000}"/>
    <cellStyle name="Pre-inputted cells 5 2 2 4 8" xfId="25310" xr:uid="{00000000-0005-0000-0000-00005E640000}"/>
    <cellStyle name="Pre-inputted cells 5 2 2 4 9" xfId="25311" xr:uid="{00000000-0005-0000-0000-00005F640000}"/>
    <cellStyle name="Pre-inputted cells 5 2 2 5" xfId="25312" xr:uid="{00000000-0005-0000-0000-000060640000}"/>
    <cellStyle name="Pre-inputted cells 5 2 2 5 10" xfId="25313" xr:uid="{00000000-0005-0000-0000-000061640000}"/>
    <cellStyle name="Pre-inputted cells 5 2 2 5 11" xfId="25314" xr:uid="{00000000-0005-0000-0000-000062640000}"/>
    <cellStyle name="Pre-inputted cells 5 2 2 5 12" xfId="25315" xr:uid="{00000000-0005-0000-0000-000063640000}"/>
    <cellStyle name="Pre-inputted cells 5 2 2 5 13" xfId="25316" xr:uid="{00000000-0005-0000-0000-000064640000}"/>
    <cellStyle name="Pre-inputted cells 5 2 2 5 2" xfId="25317" xr:uid="{00000000-0005-0000-0000-000065640000}"/>
    <cellStyle name="Pre-inputted cells 5 2 2 5 3" xfId="25318" xr:uid="{00000000-0005-0000-0000-000066640000}"/>
    <cellStyle name="Pre-inputted cells 5 2 2 5 4" xfId="25319" xr:uid="{00000000-0005-0000-0000-000067640000}"/>
    <cellStyle name="Pre-inputted cells 5 2 2 5 5" xfId="25320" xr:uid="{00000000-0005-0000-0000-000068640000}"/>
    <cellStyle name="Pre-inputted cells 5 2 2 5 6" xfId="25321" xr:uid="{00000000-0005-0000-0000-000069640000}"/>
    <cellStyle name="Pre-inputted cells 5 2 2 5 7" xfId="25322" xr:uid="{00000000-0005-0000-0000-00006A640000}"/>
    <cellStyle name="Pre-inputted cells 5 2 2 5 8" xfId="25323" xr:uid="{00000000-0005-0000-0000-00006B640000}"/>
    <cellStyle name="Pre-inputted cells 5 2 2 5 9" xfId="25324" xr:uid="{00000000-0005-0000-0000-00006C640000}"/>
    <cellStyle name="Pre-inputted cells 5 2 2 6" xfId="25325" xr:uid="{00000000-0005-0000-0000-00006D640000}"/>
    <cellStyle name="Pre-inputted cells 5 2 2 7" xfId="25326" xr:uid="{00000000-0005-0000-0000-00006E640000}"/>
    <cellStyle name="Pre-inputted cells 5 2 2 8" xfId="25327" xr:uid="{00000000-0005-0000-0000-00006F640000}"/>
    <cellStyle name="Pre-inputted cells 5 2 2 9" xfId="25328" xr:uid="{00000000-0005-0000-0000-000070640000}"/>
    <cellStyle name="Pre-inputted cells 5 2 2_4 28 1_Asst_Health_Crit_AllTO_RIIO_20110714pm" xfId="25329" xr:uid="{00000000-0005-0000-0000-000071640000}"/>
    <cellStyle name="Pre-inputted cells 5 2 20" xfId="25330" xr:uid="{00000000-0005-0000-0000-000072640000}"/>
    <cellStyle name="Pre-inputted cells 5 2 21" xfId="25331" xr:uid="{00000000-0005-0000-0000-000073640000}"/>
    <cellStyle name="Pre-inputted cells 5 2 22" xfId="25332" xr:uid="{00000000-0005-0000-0000-000074640000}"/>
    <cellStyle name="Pre-inputted cells 5 2 23" xfId="25333" xr:uid="{00000000-0005-0000-0000-000075640000}"/>
    <cellStyle name="Pre-inputted cells 5 2 24" xfId="25334" xr:uid="{00000000-0005-0000-0000-000076640000}"/>
    <cellStyle name="Pre-inputted cells 5 2 25" xfId="25335" xr:uid="{00000000-0005-0000-0000-000077640000}"/>
    <cellStyle name="Pre-inputted cells 5 2 26" xfId="25336" xr:uid="{00000000-0005-0000-0000-000078640000}"/>
    <cellStyle name="Pre-inputted cells 5 2 27" xfId="25337" xr:uid="{00000000-0005-0000-0000-000079640000}"/>
    <cellStyle name="Pre-inputted cells 5 2 28" xfId="25338" xr:uid="{00000000-0005-0000-0000-00007A640000}"/>
    <cellStyle name="Pre-inputted cells 5 2 29" xfId="25339" xr:uid="{00000000-0005-0000-0000-00007B640000}"/>
    <cellStyle name="Pre-inputted cells 5 2 3" xfId="25340" xr:uid="{00000000-0005-0000-0000-00007C640000}"/>
    <cellStyle name="Pre-inputted cells 5 2 3 10" xfId="25341" xr:uid="{00000000-0005-0000-0000-00007D640000}"/>
    <cellStyle name="Pre-inputted cells 5 2 3 11" xfId="25342" xr:uid="{00000000-0005-0000-0000-00007E640000}"/>
    <cellStyle name="Pre-inputted cells 5 2 3 12" xfId="25343" xr:uid="{00000000-0005-0000-0000-00007F640000}"/>
    <cellStyle name="Pre-inputted cells 5 2 3 13" xfId="25344" xr:uid="{00000000-0005-0000-0000-000080640000}"/>
    <cellStyle name="Pre-inputted cells 5 2 3 14" xfId="25345" xr:uid="{00000000-0005-0000-0000-000081640000}"/>
    <cellStyle name="Pre-inputted cells 5 2 3 15" xfId="25346" xr:uid="{00000000-0005-0000-0000-000082640000}"/>
    <cellStyle name="Pre-inputted cells 5 2 3 16" xfId="25347" xr:uid="{00000000-0005-0000-0000-000083640000}"/>
    <cellStyle name="Pre-inputted cells 5 2 3 17" xfId="25348" xr:uid="{00000000-0005-0000-0000-000084640000}"/>
    <cellStyle name="Pre-inputted cells 5 2 3 18" xfId="25349" xr:uid="{00000000-0005-0000-0000-000085640000}"/>
    <cellStyle name="Pre-inputted cells 5 2 3 19" xfId="25350" xr:uid="{00000000-0005-0000-0000-000086640000}"/>
    <cellStyle name="Pre-inputted cells 5 2 3 2" xfId="25351" xr:uid="{00000000-0005-0000-0000-000087640000}"/>
    <cellStyle name="Pre-inputted cells 5 2 3 2 10" xfId="25352" xr:uid="{00000000-0005-0000-0000-000088640000}"/>
    <cellStyle name="Pre-inputted cells 5 2 3 2 11" xfId="25353" xr:uid="{00000000-0005-0000-0000-000089640000}"/>
    <cellStyle name="Pre-inputted cells 5 2 3 2 12" xfId="25354" xr:uid="{00000000-0005-0000-0000-00008A640000}"/>
    <cellStyle name="Pre-inputted cells 5 2 3 2 13" xfId="25355" xr:uid="{00000000-0005-0000-0000-00008B640000}"/>
    <cellStyle name="Pre-inputted cells 5 2 3 2 14" xfId="25356" xr:uid="{00000000-0005-0000-0000-00008C640000}"/>
    <cellStyle name="Pre-inputted cells 5 2 3 2 15" xfId="25357" xr:uid="{00000000-0005-0000-0000-00008D640000}"/>
    <cellStyle name="Pre-inputted cells 5 2 3 2 16" xfId="25358" xr:uid="{00000000-0005-0000-0000-00008E640000}"/>
    <cellStyle name="Pre-inputted cells 5 2 3 2 17" xfId="25359" xr:uid="{00000000-0005-0000-0000-00008F640000}"/>
    <cellStyle name="Pre-inputted cells 5 2 3 2 18" xfId="25360" xr:uid="{00000000-0005-0000-0000-000090640000}"/>
    <cellStyle name="Pre-inputted cells 5 2 3 2 19" xfId="25361" xr:uid="{00000000-0005-0000-0000-000091640000}"/>
    <cellStyle name="Pre-inputted cells 5 2 3 2 2" xfId="25362" xr:uid="{00000000-0005-0000-0000-000092640000}"/>
    <cellStyle name="Pre-inputted cells 5 2 3 2 2 10" xfId="25363" xr:uid="{00000000-0005-0000-0000-000093640000}"/>
    <cellStyle name="Pre-inputted cells 5 2 3 2 2 11" xfId="25364" xr:uid="{00000000-0005-0000-0000-000094640000}"/>
    <cellStyle name="Pre-inputted cells 5 2 3 2 2 12" xfId="25365" xr:uid="{00000000-0005-0000-0000-000095640000}"/>
    <cellStyle name="Pre-inputted cells 5 2 3 2 2 13" xfId="25366" xr:uid="{00000000-0005-0000-0000-000096640000}"/>
    <cellStyle name="Pre-inputted cells 5 2 3 2 2 2" xfId="25367" xr:uid="{00000000-0005-0000-0000-000097640000}"/>
    <cellStyle name="Pre-inputted cells 5 2 3 2 2 3" xfId="25368" xr:uid="{00000000-0005-0000-0000-000098640000}"/>
    <cellStyle name="Pre-inputted cells 5 2 3 2 2 4" xfId="25369" xr:uid="{00000000-0005-0000-0000-000099640000}"/>
    <cellStyle name="Pre-inputted cells 5 2 3 2 2 5" xfId="25370" xr:uid="{00000000-0005-0000-0000-00009A640000}"/>
    <cellStyle name="Pre-inputted cells 5 2 3 2 2 6" xfId="25371" xr:uid="{00000000-0005-0000-0000-00009B640000}"/>
    <cellStyle name="Pre-inputted cells 5 2 3 2 2 7" xfId="25372" xr:uid="{00000000-0005-0000-0000-00009C640000}"/>
    <cellStyle name="Pre-inputted cells 5 2 3 2 2 8" xfId="25373" xr:uid="{00000000-0005-0000-0000-00009D640000}"/>
    <cellStyle name="Pre-inputted cells 5 2 3 2 2 9" xfId="25374" xr:uid="{00000000-0005-0000-0000-00009E640000}"/>
    <cellStyle name="Pre-inputted cells 5 2 3 2 20" xfId="25375" xr:uid="{00000000-0005-0000-0000-00009F640000}"/>
    <cellStyle name="Pre-inputted cells 5 2 3 2 21" xfId="25376" xr:uid="{00000000-0005-0000-0000-0000A0640000}"/>
    <cellStyle name="Pre-inputted cells 5 2 3 2 22" xfId="25377" xr:uid="{00000000-0005-0000-0000-0000A1640000}"/>
    <cellStyle name="Pre-inputted cells 5 2 3 2 23" xfId="25378" xr:uid="{00000000-0005-0000-0000-0000A2640000}"/>
    <cellStyle name="Pre-inputted cells 5 2 3 2 24" xfId="25379" xr:uid="{00000000-0005-0000-0000-0000A3640000}"/>
    <cellStyle name="Pre-inputted cells 5 2 3 2 25" xfId="25380" xr:uid="{00000000-0005-0000-0000-0000A4640000}"/>
    <cellStyle name="Pre-inputted cells 5 2 3 2 26" xfId="25381" xr:uid="{00000000-0005-0000-0000-0000A5640000}"/>
    <cellStyle name="Pre-inputted cells 5 2 3 2 27" xfId="25382" xr:uid="{00000000-0005-0000-0000-0000A6640000}"/>
    <cellStyle name="Pre-inputted cells 5 2 3 2 28" xfId="25383" xr:uid="{00000000-0005-0000-0000-0000A7640000}"/>
    <cellStyle name="Pre-inputted cells 5 2 3 2 29" xfId="25384" xr:uid="{00000000-0005-0000-0000-0000A8640000}"/>
    <cellStyle name="Pre-inputted cells 5 2 3 2 3" xfId="25385" xr:uid="{00000000-0005-0000-0000-0000A9640000}"/>
    <cellStyle name="Pre-inputted cells 5 2 3 2 30" xfId="25386" xr:uid="{00000000-0005-0000-0000-0000AA640000}"/>
    <cellStyle name="Pre-inputted cells 5 2 3 2 31" xfId="25387" xr:uid="{00000000-0005-0000-0000-0000AB640000}"/>
    <cellStyle name="Pre-inputted cells 5 2 3 2 32" xfId="25388" xr:uid="{00000000-0005-0000-0000-0000AC640000}"/>
    <cellStyle name="Pre-inputted cells 5 2 3 2 33" xfId="25389" xr:uid="{00000000-0005-0000-0000-0000AD640000}"/>
    <cellStyle name="Pre-inputted cells 5 2 3 2 34" xfId="25390" xr:uid="{00000000-0005-0000-0000-0000AE640000}"/>
    <cellStyle name="Pre-inputted cells 5 2 3 2 4" xfId="25391" xr:uid="{00000000-0005-0000-0000-0000AF640000}"/>
    <cellStyle name="Pre-inputted cells 5 2 3 2 5" xfId="25392" xr:uid="{00000000-0005-0000-0000-0000B0640000}"/>
    <cellStyle name="Pre-inputted cells 5 2 3 2 6" xfId="25393" xr:uid="{00000000-0005-0000-0000-0000B1640000}"/>
    <cellStyle name="Pre-inputted cells 5 2 3 2 7" xfId="25394" xr:uid="{00000000-0005-0000-0000-0000B2640000}"/>
    <cellStyle name="Pre-inputted cells 5 2 3 2 8" xfId="25395" xr:uid="{00000000-0005-0000-0000-0000B3640000}"/>
    <cellStyle name="Pre-inputted cells 5 2 3 2 9" xfId="25396" xr:uid="{00000000-0005-0000-0000-0000B4640000}"/>
    <cellStyle name="Pre-inputted cells 5 2 3 20" xfId="25397" xr:uid="{00000000-0005-0000-0000-0000B5640000}"/>
    <cellStyle name="Pre-inputted cells 5 2 3 21" xfId="25398" xr:uid="{00000000-0005-0000-0000-0000B6640000}"/>
    <cellStyle name="Pre-inputted cells 5 2 3 22" xfId="25399" xr:uid="{00000000-0005-0000-0000-0000B7640000}"/>
    <cellStyle name="Pre-inputted cells 5 2 3 23" xfId="25400" xr:uid="{00000000-0005-0000-0000-0000B8640000}"/>
    <cellStyle name="Pre-inputted cells 5 2 3 24" xfId="25401" xr:uid="{00000000-0005-0000-0000-0000B9640000}"/>
    <cellStyle name="Pre-inputted cells 5 2 3 25" xfId="25402" xr:uid="{00000000-0005-0000-0000-0000BA640000}"/>
    <cellStyle name="Pre-inputted cells 5 2 3 26" xfId="25403" xr:uid="{00000000-0005-0000-0000-0000BB640000}"/>
    <cellStyle name="Pre-inputted cells 5 2 3 27" xfId="25404" xr:uid="{00000000-0005-0000-0000-0000BC640000}"/>
    <cellStyle name="Pre-inputted cells 5 2 3 28" xfId="25405" xr:uid="{00000000-0005-0000-0000-0000BD640000}"/>
    <cellStyle name="Pre-inputted cells 5 2 3 29" xfId="25406" xr:uid="{00000000-0005-0000-0000-0000BE640000}"/>
    <cellStyle name="Pre-inputted cells 5 2 3 3" xfId="25407" xr:uid="{00000000-0005-0000-0000-0000BF640000}"/>
    <cellStyle name="Pre-inputted cells 5 2 3 3 10" xfId="25408" xr:uid="{00000000-0005-0000-0000-0000C0640000}"/>
    <cellStyle name="Pre-inputted cells 5 2 3 3 11" xfId="25409" xr:uid="{00000000-0005-0000-0000-0000C1640000}"/>
    <cellStyle name="Pre-inputted cells 5 2 3 3 12" xfId="25410" xr:uid="{00000000-0005-0000-0000-0000C2640000}"/>
    <cellStyle name="Pre-inputted cells 5 2 3 3 13" xfId="25411" xr:uid="{00000000-0005-0000-0000-0000C3640000}"/>
    <cellStyle name="Pre-inputted cells 5 2 3 3 2" xfId="25412" xr:uid="{00000000-0005-0000-0000-0000C4640000}"/>
    <cellStyle name="Pre-inputted cells 5 2 3 3 3" xfId="25413" xr:uid="{00000000-0005-0000-0000-0000C5640000}"/>
    <cellStyle name="Pre-inputted cells 5 2 3 3 4" xfId="25414" xr:uid="{00000000-0005-0000-0000-0000C6640000}"/>
    <cellStyle name="Pre-inputted cells 5 2 3 3 5" xfId="25415" xr:uid="{00000000-0005-0000-0000-0000C7640000}"/>
    <cellStyle name="Pre-inputted cells 5 2 3 3 6" xfId="25416" xr:uid="{00000000-0005-0000-0000-0000C8640000}"/>
    <cellStyle name="Pre-inputted cells 5 2 3 3 7" xfId="25417" xr:uid="{00000000-0005-0000-0000-0000C9640000}"/>
    <cellStyle name="Pre-inputted cells 5 2 3 3 8" xfId="25418" xr:uid="{00000000-0005-0000-0000-0000CA640000}"/>
    <cellStyle name="Pre-inputted cells 5 2 3 3 9" xfId="25419" xr:uid="{00000000-0005-0000-0000-0000CB640000}"/>
    <cellStyle name="Pre-inputted cells 5 2 3 30" xfId="25420" xr:uid="{00000000-0005-0000-0000-0000CC640000}"/>
    <cellStyle name="Pre-inputted cells 5 2 3 31" xfId="25421" xr:uid="{00000000-0005-0000-0000-0000CD640000}"/>
    <cellStyle name="Pre-inputted cells 5 2 3 32" xfId="25422" xr:uid="{00000000-0005-0000-0000-0000CE640000}"/>
    <cellStyle name="Pre-inputted cells 5 2 3 33" xfId="25423" xr:uid="{00000000-0005-0000-0000-0000CF640000}"/>
    <cellStyle name="Pre-inputted cells 5 2 3 34" xfId="25424" xr:uid="{00000000-0005-0000-0000-0000D0640000}"/>
    <cellStyle name="Pre-inputted cells 5 2 3 35" xfId="25425" xr:uid="{00000000-0005-0000-0000-0000D1640000}"/>
    <cellStyle name="Pre-inputted cells 5 2 3 4" xfId="25426" xr:uid="{00000000-0005-0000-0000-0000D2640000}"/>
    <cellStyle name="Pre-inputted cells 5 2 3 5" xfId="25427" xr:uid="{00000000-0005-0000-0000-0000D3640000}"/>
    <cellStyle name="Pre-inputted cells 5 2 3 6" xfId="25428" xr:uid="{00000000-0005-0000-0000-0000D4640000}"/>
    <cellStyle name="Pre-inputted cells 5 2 3 7" xfId="25429" xr:uid="{00000000-0005-0000-0000-0000D5640000}"/>
    <cellStyle name="Pre-inputted cells 5 2 3 8" xfId="25430" xr:uid="{00000000-0005-0000-0000-0000D6640000}"/>
    <cellStyle name="Pre-inputted cells 5 2 3 9" xfId="25431" xr:uid="{00000000-0005-0000-0000-0000D7640000}"/>
    <cellStyle name="Pre-inputted cells 5 2 3_4 28 1_Asst_Health_Crit_AllTO_RIIO_20110714pm" xfId="25432" xr:uid="{00000000-0005-0000-0000-0000D8640000}"/>
    <cellStyle name="Pre-inputted cells 5 2 30" xfId="25433" xr:uid="{00000000-0005-0000-0000-0000D9640000}"/>
    <cellStyle name="Pre-inputted cells 5 2 31" xfId="25434" xr:uid="{00000000-0005-0000-0000-0000DA640000}"/>
    <cellStyle name="Pre-inputted cells 5 2 32" xfId="25435" xr:uid="{00000000-0005-0000-0000-0000DB640000}"/>
    <cellStyle name="Pre-inputted cells 5 2 33" xfId="25436" xr:uid="{00000000-0005-0000-0000-0000DC640000}"/>
    <cellStyle name="Pre-inputted cells 5 2 34" xfId="25437" xr:uid="{00000000-0005-0000-0000-0000DD640000}"/>
    <cellStyle name="Pre-inputted cells 5 2 35" xfId="25438" xr:uid="{00000000-0005-0000-0000-0000DE640000}"/>
    <cellStyle name="Pre-inputted cells 5 2 36" xfId="25439" xr:uid="{00000000-0005-0000-0000-0000DF640000}"/>
    <cellStyle name="Pre-inputted cells 5 2 37" xfId="25440" xr:uid="{00000000-0005-0000-0000-0000E0640000}"/>
    <cellStyle name="Pre-inputted cells 5 2 38" xfId="25441" xr:uid="{00000000-0005-0000-0000-0000E1640000}"/>
    <cellStyle name="Pre-inputted cells 5 2 39" xfId="25442" xr:uid="{00000000-0005-0000-0000-0000E2640000}"/>
    <cellStyle name="Pre-inputted cells 5 2 4" xfId="25443" xr:uid="{00000000-0005-0000-0000-0000E3640000}"/>
    <cellStyle name="Pre-inputted cells 5 2 4 10" xfId="25444" xr:uid="{00000000-0005-0000-0000-0000E4640000}"/>
    <cellStyle name="Pre-inputted cells 5 2 4 11" xfId="25445" xr:uid="{00000000-0005-0000-0000-0000E5640000}"/>
    <cellStyle name="Pre-inputted cells 5 2 4 12" xfId="25446" xr:uid="{00000000-0005-0000-0000-0000E6640000}"/>
    <cellStyle name="Pre-inputted cells 5 2 4 13" xfId="25447" xr:uid="{00000000-0005-0000-0000-0000E7640000}"/>
    <cellStyle name="Pre-inputted cells 5 2 4 14" xfId="25448" xr:uid="{00000000-0005-0000-0000-0000E8640000}"/>
    <cellStyle name="Pre-inputted cells 5 2 4 15" xfId="25449" xr:uid="{00000000-0005-0000-0000-0000E9640000}"/>
    <cellStyle name="Pre-inputted cells 5 2 4 16" xfId="25450" xr:uid="{00000000-0005-0000-0000-0000EA640000}"/>
    <cellStyle name="Pre-inputted cells 5 2 4 17" xfId="25451" xr:uid="{00000000-0005-0000-0000-0000EB640000}"/>
    <cellStyle name="Pre-inputted cells 5 2 4 18" xfId="25452" xr:uid="{00000000-0005-0000-0000-0000EC640000}"/>
    <cellStyle name="Pre-inputted cells 5 2 4 19" xfId="25453" xr:uid="{00000000-0005-0000-0000-0000ED640000}"/>
    <cellStyle name="Pre-inputted cells 5 2 4 2" xfId="25454" xr:uid="{00000000-0005-0000-0000-0000EE640000}"/>
    <cellStyle name="Pre-inputted cells 5 2 4 2 10" xfId="25455" xr:uid="{00000000-0005-0000-0000-0000EF640000}"/>
    <cellStyle name="Pre-inputted cells 5 2 4 2 11" xfId="25456" xr:uid="{00000000-0005-0000-0000-0000F0640000}"/>
    <cellStyle name="Pre-inputted cells 5 2 4 2 12" xfId="25457" xr:uid="{00000000-0005-0000-0000-0000F1640000}"/>
    <cellStyle name="Pre-inputted cells 5 2 4 2 13" xfId="25458" xr:uid="{00000000-0005-0000-0000-0000F2640000}"/>
    <cellStyle name="Pre-inputted cells 5 2 4 2 2" xfId="25459" xr:uid="{00000000-0005-0000-0000-0000F3640000}"/>
    <cellStyle name="Pre-inputted cells 5 2 4 2 3" xfId="25460" xr:uid="{00000000-0005-0000-0000-0000F4640000}"/>
    <cellStyle name="Pre-inputted cells 5 2 4 2 4" xfId="25461" xr:uid="{00000000-0005-0000-0000-0000F5640000}"/>
    <cellStyle name="Pre-inputted cells 5 2 4 2 5" xfId="25462" xr:uid="{00000000-0005-0000-0000-0000F6640000}"/>
    <cellStyle name="Pre-inputted cells 5 2 4 2 6" xfId="25463" xr:uid="{00000000-0005-0000-0000-0000F7640000}"/>
    <cellStyle name="Pre-inputted cells 5 2 4 2 7" xfId="25464" xr:uid="{00000000-0005-0000-0000-0000F8640000}"/>
    <cellStyle name="Pre-inputted cells 5 2 4 2 8" xfId="25465" xr:uid="{00000000-0005-0000-0000-0000F9640000}"/>
    <cellStyle name="Pre-inputted cells 5 2 4 2 9" xfId="25466" xr:uid="{00000000-0005-0000-0000-0000FA640000}"/>
    <cellStyle name="Pre-inputted cells 5 2 4 20" xfId="25467" xr:uid="{00000000-0005-0000-0000-0000FB640000}"/>
    <cellStyle name="Pre-inputted cells 5 2 4 21" xfId="25468" xr:uid="{00000000-0005-0000-0000-0000FC640000}"/>
    <cellStyle name="Pre-inputted cells 5 2 4 22" xfId="25469" xr:uid="{00000000-0005-0000-0000-0000FD640000}"/>
    <cellStyle name="Pre-inputted cells 5 2 4 23" xfId="25470" xr:uid="{00000000-0005-0000-0000-0000FE640000}"/>
    <cellStyle name="Pre-inputted cells 5 2 4 24" xfId="25471" xr:uid="{00000000-0005-0000-0000-0000FF640000}"/>
    <cellStyle name="Pre-inputted cells 5 2 4 25" xfId="25472" xr:uid="{00000000-0005-0000-0000-000000650000}"/>
    <cellStyle name="Pre-inputted cells 5 2 4 26" xfId="25473" xr:uid="{00000000-0005-0000-0000-000001650000}"/>
    <cellStyle name="Pre-inputted cells 5 2 4 27" xfId="25474" xr:uid="{00000000-0005-0000-0000-000002650000}"/>
    <cellStyle name="Pre-inputted cells 5 2 4 28" xfId="25475" xr:uid="{00000000-0005-0000-0000-000003650000}"/>
    <cellStyle name="Pre-inputted cells 5 2 4 29" xfId="25476" xr:uid="{00000000-0005-0000-0000-000004650000}"/>
    <cellStyle name="Pre-inputted cells 5 2 4 3" xfId="25477" xr:uid="{00000000-0005-0000-0000-000005650000}"/>
    <cellStyle name="Pre-inputted cells 5 2 4 30" xfId="25478" xr:uid="{00000000-0005-0000-0000-000006650000}"/>
    <cellStyle name="Pre-inputted cells 5 2 4 31" xfId="25479" xr:uid="{00000000-0005-0000-0000-000007650000}"/>
    <cellStyle name="Pre-inputted cells 5 2 4 32" xfId="25480" xr:uid="{00000000-0005-0000-0000-000008650000}"/>
    <cellStyle name="Pre-inputted cells 5 2 4 33" xfId="25481" xr:uid="{00000000-0005-0000-0000-000009650000}"/>
    <cellStyle name="Pre-inputted cells 5 2 4 34" xfId="25482" xr:uid="{00000000-0005-0000-0000-00000A650000}"/>
    <cellStyle name="Pre-inputted cells 5 2 4 4" xfId="25483" xr:uid="{00000000-0005-0000-0000-00000B650000}"/>
    <cellStyle name="Pre-inputted cells 5 2 4 5" xfId="25484" xr:uid="{00000000-0005-0000-0000-00000C650000}"/>
    <cellStyle name="Pre-inputted cells 5 2 4 6" xfId="25485" xr:uid="{00000000-0005-0000-0000-00000D650000}"/>
    <cellStyle name="Pre-inputted cells 5 2 4 7" xfId="25486" xr:uid="{00000000-0005-0000-0000-00000E650000}"/>
    <cellStyle name="Pre-inputted cells 5 2 4 8" xfId="25487" xr:uid="{00000000-0005-0000-0000-00000F650000}"/>
    <cellStyle name="Pre-inputted cells 5 2 4 9" xfId="25488" xr:uid="{00000000-0005-0000-0000-000010650000}"/>
    <cellStyle name="Pre-inputted cells 5 2 5" xfId="25489" xr:uid="{00000000-0005-0000-0000-000011650000}"/>
    <cellStyle name="Pre-inputted cells 5 2 5 10" xfId="25490" xr:uid="{00000000-0005-0000-0000-000012650000}"/>
    <cellStyle name="Pre-inputted cells 5 2 5 11" xfId="25491" xr:uid="{00000000-0005-0000-0000-000013650000}"/>
    <cellStyle name="Pre-inputted cells 5 2 5 12" xfId="25492" xr:uid="{00000000-0005-0000-0000-000014650000}"/>
    <cellStyle name="Pre-inputted cells 5 2 5 13" xfId="25493" xr:uid="{00000000-0005-0000-0000-000015650000}"/>
    <cellStyle name="Pre-inputted cells 5 2 5 14" xfId="25494" xr:uid="{00000000-0005-0000-0000-000016650000}"/>
    <cellStyle name="Pre-inputted cells 5 2 5 15" xfId="25495" xr:uid="{00000000-0005-0000-0000-000017650000}"/>
    <cellStyle name="Pre-inputted cells 5 2 5 16" xfId="25496" xr:uid="{00000000-0005-0000-0000-000018650000}"/>
    <cellStyle name="Pre-inputted cells 5 2 5 17" xfId="25497" xr:uid="{00000000-0005-0000-0000-000019650000}"/>
    <cellStyle name="Pre-inputted cells 5 2 5 18" xfId="25498" xr:uid="{00000000-0005-0000-0000-00001A650000}"/>
    <cellStyle name="Pre-inputted cells 5 2 5 19" xfId="25499" xr:uid="{00000000-0005-0000-0000-00001B650000}"/>
    <cellStyle name="Pre-inputted cells 5 2 5 2" xfId="25500" xr:uid="{00000000-0005-0000-0000-00001C650000}"/>
    <cellStyle name="Pre-inputted cells 5 2 5 2 10" xfId="25501" xr:uid="{00000000-0005-0000-0000-00001D650000}"/>
    <cellStyle name="Pre-inputted cells 5 2 5 2 11" xfId="25502" xr:uid="{00000000-0005-0000-0000-00001E650000}"/>
    <cellStyle name="Pre-inputted cells 5 2 5 2 12" xfId="25503" xr:uid="{00000000-0005-0000-0000-00001F650000}"/>
    <cellStyle name="Pre-inputted cells 5 2 5 2 13" xfId="25504" xr:uid="{00000000-0005-0000-0000-000020650000}"/>
    <cellStyle name="Pre-inputted cells 5 2 5 2 2" xfId="25505" xr:uid="{00000000-0005-0000-0000-000021650000}"/>
    <cellStyle name="Pre-inputted cells 5 2 5 2 3" xfId="25506" xr:uid="{00000000-0005-0000-0000-000022650000}"/>
    <cellStyle name="Pre-inputted cells 5 2 5 2 4" xfId="25507" xr:uid="{00000000-0005-0000-0000-000023650000}"/>
    <cellStyle name="Pre-inputted cells 5 2 5 2 5" xfId="25508" xr:uid="{00000000-0005-0000-0000-000024650000}"/>
    <cellStyle name="Pre-inputted cells 5 2 5 2 6" xfId="25509" xr:uid="{00000000-0005-0000-0000-000025650000}"/>
    <cellStyle name="Pre-inputted cells 5 2 5 2 7" xfId="25510" xr:uid="{00000000-0005-0000-0000-000026650000}"/>
    <cellStyle name="Pre-inputted cells 5 2 5 2 8" xfId="25511" xr:uid="{00000000-0005-0000-0000-000027650000}"/>
    <cellStyle name="Pre-inputted cells 5 2 5 2 9" xfId="25512" xr:uid="{00000000-0005-0000-0000-000028650000}"/>
    <cellStyle name="Pre-inputted cells 5 2 5 20" xfId="25513" xr:uid="{00000000-0005-0000-0000-000029650000}"/>
    <cellStyle name="Pre-inputted cells 5 2 5 21" xfId="25514" xr:uid="{00000000-0005-0000-0000-00002A650000}"/>
    <cellStyle name="Pre-inputted cells 5 2 5 22" xfId="25515" xr:uid="{00000000-0005-0000-0000-00002B650000}"/>
    <cellStyle name="Pre-inputted cells 5 2 5 23" xfId="25516" xr:uid="{00000000-0005-0000-0000-00002C650000}"/>
    <cellStyle name="Pre-inputted cells 5 2 5 24" xfId="25517" xr:uid="{00000000-0005-0000-0000-00002D650000}"/>
    <cellStyle name="Pre-inputted cells 5 2 5 25" xfId="25518" xr:uid="{00000000-0005-0000-0000-00002E650000}"/>
    <cellStyle name="Pre-inputted cells 5 2 5 26" xfId="25519" xr:uid="{00000000-0005-0000-0000-00002F650000}"/>
    <cellStyle name="Pre-inputted cells 5 2 5 27" xfId="25520" xr:uid="{00000000-0005-0000-0000-000030650000}"/>
    <cellStyle name="Pre-inputted cells 5 2 5 28" xfId="25521" xr:uid="{00000000-0005-0000-0000-000031650000}"/>
    <cellStyle name="Pre-inputted cells 5 2 5 29" xfId="25522" xr:uid="{00000000-0005-0000-0000-000032650000}"/>
    <cellStyle name="Pre-inputted cells 5 2 5 3" xfId="25523" xr:uid="{00000000-0005-0000-0000-000033650000}"/>
    <cellStyle name="Pre-inputted cells 5 2 5 30" xfId="25524" xr:uid="{00000000-0005-0000-0000-000034650000}"/>
    <cellStyle name="Pre-inputted cells 5 2 5 31" xfId="25525" xr:uid="{00000000-0005-0000-0000-000035650000}"/>
    <cellStyle name="Pre-inputted cells 5 2 5 32" xfId="25526" xr:uid="{00000000-0005-0000-0000-000036650000}"/>
    <cellStyle name="Pre-inputted cells 5 2 5 33" xfId="25527" xr:uid="{00000000-0005-0000-0000-000037650000}"/>
    <cellStyle name="Pre-inputted cells 5 2 5 34" xfId="25528" xr:uid="{00000000-0005-0000-0000-000038650000}"/>
    <cellStyle name="Pre-inputted cells 5 2 5 4" xfId="25529" xr:uid="{00000000-0005-0000-0000-000039650000}"/>
    <cellStyle name="Pre-inputted cells 5 2 5 5" xfId="25530" xr:uid="{00000000-0005-0000-0000-00003A650000}"/>
    <cellStyle name="Pre-inputted cells 5 2 5 6" xfId="25531" xr:uid="{00000000-0005-0000-0000-00003B650000}"/>
    <cellStyle name="Pre-inputted cells 5 2 5 7" xfId="25532" xr:uid="{00000000-0005-0000-0000-00003C650000}"/>
    <cellStyle name="Pre-inputted cells 5 2 5 8" xfId="25533" xr:uid="{00000000-0005-0000-0000-00003D650000}"/>
    <cellStyle name="Pre-inputted cells 5 2 5 9" xfId="25534" xr:uid="{00000000-0005-0000-0000-00003E650000}"/>
    <cellStyle name="Pre-inputted cells 5 2 6" xfId="25535" xr:uid="{00000000-0005-0000-0000-00003F650000}"/>
    <cellStyle name="Pre-inputted cells 5 2 6 10" xfId="25536" xr:uid="{00000000-0005-0000-0000-000040650000}"/>
    <cellStyle name="Pre-inputted cells 5 2 6 11" xfId="25537" xr:uid="{00000000-0005-0000-0000-000041650000}"/>
    <cellStyle name="Pre-inputted cells 5 2 6 12" xfId="25538" xr:uid="{00000000-0005-0000-0000-000042650000}"/>
    <cellStyle name="Pre-inputted cells 5 2 6 13" xfId="25539" xr:uid="{00000000-0005-0000-0000-000043650000}"/>
    <cellStyle name="Pre-inputted cells 5 2 6 2" xfId="25540" xr:uid="{00000000-0005-0000-0000-000044650000}"/>
    <cellStyle name="Pre-inputted cells 5 2 6 3" xfId="25541" xr:uid="{00000000-0005-0000-0000-000045650000}"/>
    <cellStyle name="Pre-inputted cells 5 2 6 4" xfId="25542" xr:uid="{00000000-0005-0000-0000-000046650000}"/>
    <cellStyle name="Pre-inputted cells 5 2 6 5" xfId="25543" xr:uid="{00000000-0005-0000-0000-000047650000}"/>
    <cellStyle name="Pre-inputted cells 5 2 6 6" xfId="25544" xr:uid="{00000000-0005-0000-0000-000048650000}"/>
    <cellStyle name="Pre-inputted cells 5 2 6 7" xfId="25545" xr:uid="{00000000-0005-0000-0000-000049650000}"/>
    <cellStyle name="Pre-inputted cells 5 2 6 8" xfId="25546" xr:uid="{00000000-0005-0000-0000-00004A650000}"/>
    <cellStyle name="Pre-inputted cells 5 2 6 9" xfId="25547" xr:uid="{00000000-0005-0000-0000-00004B650000}"/>
    <cellStyle name="Pre-inputted cells 5 2 7" xfId="25548" xr:uid="{00000000-0005-0000-0000-00004C650000}"/>
    <cellStyle name="Pre-inputted cells 5 2 8" xfId="25549" xr:uid="{00000000-0005-0000-0000-00004D650000}"/>
    <cellStyle name="Pre-inputted cells 5 2 9" xfId="25550" xr:uid="{00000000-0005-0000-0000-00004E650000}"/>
    <cellStyle name="Pre-inputted cells 5 2_3.15 Additional Data" xfId="42403" xr:uid="{00000000-0005-0000-0000-00004F650000}"/>
    <cellStyle name="Pre-inputted cells 5 20" xfId="25551" xr:uid="{00000000-0005-0000-0000-000050650000}"/>
    <cellStyle name="Pre-inputted cells 5 21" xfId="25552" xr:uid="{00000000-0005-0000-0000-000051650000}"/>
    <cellStyle name="Pre-inputted cells 5 22" xfId="25553" xr:uid="{00000000-0005-0000-0000-000052650000}"/>
    <cellStyle name="Pre-inputted cells 5 23" xfId="25554" xr:uid="{00000000-0005-0000-0000-000053650000}"/>
    <cellStyle name="Pre-inputted cells 5 24" xfId="25555" xr:uid="{00000000-0005-0000-0000-000054650000}"/>
    <cellStyle name="Pre-inputted cells 5 25" xfId="25556" xr:uid="{00000000-0005-0000-0000-000055650000}"/>
    <cellStyle name="Pre-inputted cells 5 26" xfId="25557" xr:uid="{00000000-0005-0000-0000-000056650000}"/>
    <cellStyle name="Pre-inputted cells 5 27" xfId="25558" xr:uid="{00000000-0005-0000-0000-000057650000}"/>
    <cellStyle name="Pre-inputted cells 5 28" xfId="25559" xr:uid="{00000000-0005-0000-0000-000058650000}"/>
    <cellStyle name="Pre-inputted cells 5 29" xfId="25560" xr:uid="{00000000-0005-0000-0000-000059650000}"/>
    <cellStyle name="Pre-inputted cells 5 3" xfId="25561" xr:uid="{00000000-0005-0000-0000-00005A650000}"/>
    <cellStyle name="Pre-inputted cells 5 3 10" xfId="25562" xr:uid="{00000000-0005-0000-0000-00005B650000}"/>
    <cellStyle name="Pre-inputted cells 5 3 11" xfId="25563" xr:uid="{00000000-0005-0000-0000-00005C650000}"/>
    <cellStyle name="Pre-inputted cells 5 3 12" xfId="25564" xr:uid="{00000000-0005-0000-0000-00005D650000}"/>
    <cellStyle name="Pre-inputted cells 5 3 13" xfId="25565" xr:uid="{00000000-0005-0000-0000-00005E650000}"/>
    <cellStyle name="Pre-inputted cells 5 3 14" xfId="25566" xr:uid="{00000000-0005-0000-0000-00005F650000}"/>
    <cellStyle name="Pre-inputted cells 5 3 15" xfId="25567" xr:uid="{00000000-0005-0000-0000-000060650000}"/>
    <cellStyle name="Pre-inputted cells 5 3 16" xfId="25568" xr:uid="{00000000-0005-0000-0000-000061650000}"/>
    <cellStyle name="Pre-inputted cells 5 3 17" xfId="25569" xr:uid="{00000000-0005-0000-0000-000062650000}"/>
    <cellStyle name="Pre-inputted cells 5 3 18" xfId="25570" xr:uid="{00000000-0005-0000-0000-000063650000}"/>
    <cellStyle name="Pre-inputted cells 5 3 19" xfId="25571" xr:uid="{00000000-0005-0000-0000-000064650000}"/>
    <cellStyle name="Pre-inputted cells 5 3 2" xfId="25572" xr:uid="{00000000-0005-0000-0000-000065650000}"/>
    <cellStyle name="Pre-inputted cells 5 3 2 10" xfId="25573" xr:uid="{00000000-0005-0000-0000-000066650000}"/>
    <cellStyle name="Pre-inputted cells 5 3 2 11" xfId="25574" xr:uid="{00000000-0005-0000-0000-000067650000}"/>
    <cellStyle name="Pre-inputted cells 5 3 2 12" xfId="25575" xr:uid="{00000000-0005-0000-0000-000068650000}"/>
    <cellStyle name="Pre-inputted cells 5 3 2 13" xfId="25576" xr:uid="{00000000-0005-0000-0000-000069650000}"/>
    <cellStyle name="Pre-inputted cells 5 3 2 14" xfId="25577" xr:uid="{00000000-0005-0000-0000-00006A650000}"/>
    <cellStyle name="Pre-inputted cells 5 3 2 15" xfId="25578" xr:uid="{00000000-0005-0000-0000-00006B650000}"/>
    <cellStyle name="Pre-inputted cells 5 3 2 16" xfId="25579" xr:uid="{00000000-0005-0000-0000-00006C650000}"/>
    <cellStyle name="Pre-inputted cells 5 3 2 17" xfId="25580" xr:uid="{00000000-0005-0000-0000-00006D650000}"/>
    <cellStyle name="Pre-inputted cells 5 3 2 18" xfId="25581" xr:uid="{00000000-0005-0000-0000-00006E650000}"/>
    <cellStyle name="Pre-inputted cells 5 3 2 19" xfId="25582" xr:uid="{00000000-0005-0000-0000-00006F650000}"/>
    <cellStyle name="Pre-inputted cells 5 3 2 2" xfId="25583" xr:uid="{00000000-0005-0000-0000-000070650000}"/>
    <cellStyle name="Pre-inputted cells 5 3 2 2 10" xfId="25584" xr:uid="{00000000-0005-0000-0000-000071650000}"/>
    <cellStyle name="Pre-inputted cells 5 3 2 2 11" xfId="25585" xr:uid="{00000000-0005-0000-0000-000072650000}"/>
    <cellStyle name="Pre-inputted cells 5 3 2 2 12" xfId="25586" xr:uid="{00000000-0005-0000-0000-000073650000}"/>
    <cellStyle name="Pre-inputted cells 5 3 2 2 13" xfId="25587" xr:uid="{00000000-0005-0000-0000-000074650000}"/>
    <cellStyle name="Pre-inputted cells 5 3 2 2 2" xfId="25588" xr:uid="{00000000-0005-0000-0000-000075650000}"/>
    <cellStyle name="Pre-inputted cells 5 3 2 2 3" xfId="25589" xr:uid="{00000000-0005-0000-0000-000076650000}"/>
    <cellStyle name="Pre-inputted cells 5 3 2 2 4" xfId="25590" xr:uid="{00000000-0005-0000-0000-000077650000}"/>
    <cellStyle name="Pre-inputted cells 5 3 2 2 5" xfId="25591" xr:uid="{00000000-0005-0000-0000-000078650000}"/>
    <cellStyle name="Pre-inputted cells 5 3 2 2 6" xfId="25592" xr:uid="{00000000-0005-0000-0000-000079650000}"/>
    <cellStyle name="Pre-inputted cells 5 3 2 2 7" xfId="25593" xr:uid="{00000000-0005-0000-0000-00007A650000}"/>
    <cellStyle name="Pre-inputted cells 5 3 2 2 8" xfId="25594" xr:uid="{00000000-0005-0000-0000-00007B650000}"/>
    <cellStyle name="Pre-inputted cells 5 3 2 2 9" xfId="25595" xr:uid="{00000000-0005-0000-0000-00007C650000}"/>
    <cellStyle name="Pre-inputted cells 5 3 2 20" xfId="25596" xr:uid="{00000000-0005-0000-0000-00007D650000}"/>
    <cellStyle name="Pre-inputted cells 5 3 2 21" xfId="25597" xr:uid="{00000000-0005-0000-0000-00007E650000}"/>
    <cellStyle name="Pre-inputted cells 5 3 2 22" xfId="25598" xr:uid="{00000000-0005-0000-0000-00007F650000}"/>
    <cellStyle name="Pre-inputted cells 5 3 2 23" xfId="25599" xr:uid="{00000000-0005-0000-0000-000080650000}"/>
    <cellStyle name="Pre-inputted cells 5 3 2 24" xfId="25600" xr:uid="{00000000-0005-0000-0000-000081650000}"/>
    <cellStyle name="Pre-inputted cells 5 3 2 25" xfId="25601" xr:uid="{00000000-0005-0000-0000-000082650000}"/>
    <cellStyle name="Pre-inputted cells 5 3 2 26" xfId="25602" xr:uid="{00000000-0005-0000-0000-000083650000}"/>
    <cellStyle name="Pre-inputted cells 5 3 2 27" xfId="25603" xr:uid="{00000000-0005-0000-0000-000084650000}"/>
    <cellStyle name="Pre-inputted cells 5 3 2 28" xfId="25604" xr:uid="{00000000-0005-0000-0000-000085650000}"/>
    <cellStyle name="Pre-inputted cells 5 3 2 29" xfId="25605" xr:uid="{00000000-0005-0000-0000-000086650000}"/>
    <cellStyle name="Pre-inputted cells 5 3 2 3" xfId="25606" xr:uid="{00000000-0005-0000-0000-000087650000}"/>
    <cellStyle name="Pre-inputted cells 5 3 2 30" xfId="25607" xr:uid="{00000000-0005-0000-0000-000088650000}"/>
    <cellStyle name="Pre-inputted cells 5 3 2 31" xfId="25608" xr:uid="{00000000-0005-0000-0000-000089650000}"/>
    <cellStyle name="Pre-inputted cells 5 3 2 32" xfId="25609" xr:uid="{00000000-0005-0000-0000-00008A650000}"/>
    <cellStyle name="Pre-inputted cells 5 3 2 33" xfId="25610" xr:uid="{00000000-0005-0000-0000-00008B650000}"/>
    <cellStyle name="Pre-inputted cells 5 3 2 34" xfId="25611" xr:uid="{00000000-0005-0000-0000-00008C650000}"/>
    <cellStyle name="Pre-inputted cells 5 3 2 4" xfId="25612" xr:uid="{00000000-0005-0000-0000-00008D650000}"/>
    <cellStyle name="Pre-inputted cells 5 3 2 5" xfId="25613" xr:uid="{00000000-0005-0000-0000-00008E650000}"/>
    <cellStyle name="Pre-inputted cells 5 3 2 6" xfId="25614" xr:uid="{00000000-0005-0000-0000-00008F650000}"/>
    <cellStyle name="Pre-inputted cells 5 3 2 7" xfId="25615" xr:uid="{00000000-0005-0000-0000-000090650000}"/>
    <cellStyle name="Pre-inputted cells 5 3 2 8" xfId="25616" xr:uid="{00000000-0005-0000-0000-000091650000}"/>
    <cellStyle name="Pre-inputted cells 5 3 2 9" xfId="25617" xr:uid="{00000000-0005-0000-0000-000092650000}"/>
    <cellStyle name="Pre-inputted cells 5 3 20" xfId="25618" xr:uid="{00000000-0005-0000-0000-000093650000}"/>
    <cellStyle name="Pre-inputted cells 5 3 21" xfId="25619" xr:uid="{00000000-0005-0000-0000-000094650000}"/>
    <cellStyle name="Pre-inputted cells 5 3 22" xfId="25620" xr:uid="{00000000-0005-0000-0000-000095650000}"/>
    <cellStyle name="Pre-inputted cells 5 3 23" xfId="25621" xr:uid="{00000000-0005-0000-0000-000096650000}"/>
    <cellStyle name="Pre-inputted cells 5 3 24" xfId="25622" xr:uid="{00000000-0005-0000-0000-000097650000}"/>
    <cellStyle name="Pre-inputted cells 5 3 25" xfId="25623" xr:uid="{00000000-0005-0000-0000-000098650000}"/>
    <cellStyle name="Pre-inputted cells 5 3 26" xfId="25624" xr:uid="{00000000-0005-0000-0000-000099650000}"/>
    <cellStyle name="Pre-inputted cells 5 3 27" xfId="25625" xr:uid="{00000000-0005-0000-0000-00009A650000}"/>
    <cellStyle name="Pre-inputted cells 5 3 28" xfId="25626" xr:uid="{00000000-0005-0000-0000-00009B650000}"/>
    <cellStyle name="Pre-inputted cells 5 3 29" xfId="25627" xr:uid="{00000000-0005-0000-0000-00009C650000}"/>
    <cellStyle name="Pre-inputted cells 5 3 3" xfId="25628" xr:uid="{00000000-0005-0000-0000-00009D650000}"/>
    <cellStyle name="Pre-inputted cells 5 3 3 10" xfId="25629" xr:uid="{00000000-0005-0000-0000-00009E650000}"/>
    <cellStyle name="Pre-inputted cells 5 3 3 11" xfId="25630" xr:uid="{00000000-0005-0000-0000-00009F650000}"/>
    <cellStyle name="Pre-inputted cells 5 3 3 12" xfId="25631" xr:uid="{00000000-0005-0000-0000-0000A0650000}"/>
    <cellStyle name="Pre-inputted cells 5 3 3 13" xfId="25632" xr:uid="{00000000-0005-0000-0000-0000A1650000}"/>
    <cellStyle name="Pre-inputted cells 5 3 3 2" xfId="25633" xr:uid="{00000000-0005-0000-0000-0000A2650000}"/>
    <cellStyle name="Pre-inputted cells 5 3 3 3" xfId="25634" xr:uid="{00000000-0005-0000-0000-0000A3650000}"/>
    <cellStyle name="Pre-inputted cells 5 3 3 4" xfId="25635" xr:uid="{00000000-0005-0000-0000-0000A4650000}"/>
    <cellStyle name="Pre-inputted cells 5 3 3 5" xfId="25636" xr:uid="{00000000-0005-0000-0000-0000A5650000}"/>
    <cellStyle name="Pre-inputted cells 5 3 3 6" xfId="25637" xr:uid="{00000000-0005-0000-0000-0000A6650000}"/>
    <cellStyle name="Pre-inputted cells 5 3 3 7" xfId="25638" xr:uid="{00000000-0005-0000-0000-0000A7650000}"/>
    <cellStyle name="Pre-inputted cells 5 3 3 8" xfId="25639" xr:uid="{00000000-0005-0000-0000-0000A8650000}"/>
    <cellStyle name="Pre-inputted cells 5 3 3 9" xfId="25640" xr:uid="{00000000-0005-0000-0000-0000A9650000}"/>
    <cellStyle name="Pre-inputted cells 5 3 30" xfId="25641" xr:uid="{00000000-0005-0000-0000-0000AA650000}"/>
    <cellStyle name="Pre-inputted cells 5 3 31" xfId="25642" xr:uid="{00000000-0005-0000-0000-0000AB650000}"/>
    <cellStyle name="Pre-inputted cells 5 3 32" xfId="25643" xr:uid="{00000000-0005-0000-0000-0000AC650000}"/>
    <cellStyle name="Pre-inputted cells 5 3 33" xfId="25644" xr:uid="{00000000-0005-0000-0000-0000AD650000}"/>
    <cellStyle name="Pre-inputted cells 5 3 34" xfId="25645" xr:uid="{00000000-0005-0000-0000-0000AE650000}"/>
    <cellStyle name="Pre-inputted cells 5 3 35" xfId="25646" xr:uid="{00000000-0005-0000-0000-0000AF650000}"/>
    <cellStyle name="Pre-inputted cells 5 3 4" xfId="25647" xr:uid="{00000000-0005-0000-0000-0000B0650000}"/>
    <cellStyle name="Pre-inputted cells 5 3 5" xfId="25648" xr:uid="{00000000-0005-0000-0000-0000B1650000}"/>
    <cellStyle name="Pre-inputted cells 5 3 6" xfId="25649" xr:uid="{00000000-0005-0000-0000-0000B2650000}"/>
    <cellStyle name="Pre-inputted cells 5 3 7" xfId="25650" xr:uid="{00000000-0005-0000-0000-0000B3650000}"/>
    <cellStyle name="Pre-inputted cells 5 3 8" xfId="25651" xr:uid="{00000000-0005-0000-0000-0000B4650000}"/>
    <cellStyle name="Pre-inputted cells 5 3 9" xfId="25652" xr:uid="{00000000-0005-0000-0000-0000B5650000}"/>
    <cellStyle name="Pre-inputted cells 5 3_4 28 1_Asst_Health_Crit_AllTO_RIIO_20110714pm" xfId="25653" xr:uid="{00000000-0005-0000-0000-0000B6650000}"/>
    <cellStyle name="Pre-inputted cells 5 30" xfId="25654" xr:uid="{00000000-0005-0000-0000-0000B7650000}"/>
    <cellStyle name="Pre-inputted cells 5 31" xfId="25655" xr:uid="{00000000-0005-0000-0000-0000B8650000}"/>
    <cellStyle name="Pre-inputted cells 5 32" xfId="25656" xr:uid="{00000000-0005-0000-0000-0000B9650000}"/>
    <cellStyle name="Pre-inputted cells 5 33" xfId="25657" xr:uid="{00000000-0005-0000-0000-0000BA650000}"/>
    <cellStyle name="Pre-inputted cells 5 34" xfId="25658" xr:uid="{00000000-0005-0000-0000-0000BB650000}"/>
    <cellStyle name="Pre-inputted cells 5 35" xfId="25659" xr:uid="{00000000-0005-0000-0000-0000BC650000}"/>
    <cellStyle name="Pre-inputted cells 5 36" xfId="25660" xr:uid="{00000000-0005-0000-0000-0000BD650000}"/>
    <cellStyle name="Pre-inputted cells 5 37" xfId="25661" xr:uid="{00000000-0005-0000-0000-0000BE650000}"/>
    <cellStyle name="Pre-inputted cells 5 38" xfId="25662" xr:uid="{00000000-0005-0000-0000-0000BF650000}"/>
    <cellStyle name="Pre-inputted cells 5 39" xfId="25663" xr:uid="{00000000-0005-0000-0000-0000C0650000}"/>
    <cellStyle name="Pre-inputted cells 5 4" xfId="25664" xr:uid="{00000000-0005-0000-0000-0000C1650000}"/>
    <cellStyle name="Pre-inputted cells 5 4 10" xfId="25665" xr:uid="{00000000-0005-0000-0000-0000C2650000}"/>
    <cellStyle name="Pre-inputted cells 5 4 11" xfId="25666" xr:uid="{00000000-0005-0000-0000-0000C3650000}"/>
    <cellStyle name="Pre-inputted cells 5 4 12" xfId="25667" xr:uid="{00000000-0005-0000-0000-0000C4650000}"/>
    <cellStyle name="Pre-inputted cells 5 4 13" xfId="25668" xr:uid="{00000000-0005-0000-0000-0000C5650000}"/>
    <cellStyle name="Pre-inputted cells 5 4 14" xfId="25669" xr:uid="{00000000-0005-0000-0000-0000C6650000}"/>
    <cellStyle name="Pre-inputted cells 5 4 15" xfId="25670" xr:uid="{00000000-0005-0000-0000-0000C7650000}"/>
    <cellStyle name="Pre-inputted cells 5 4 16" xfId="25671" xr:uid="{00000000-0005-0000-0000-0000C8650000}"/>
    <cellStyle name="Pre-inputted cells 5 4 17" xfId="25672" xr:uid="{00000000-0005-0000-0000-0000C9650000}"/>
    <cellStyle name="Pre-inputted cells 5 4 18" xfId="25673" xr:uid="{00000000-0005-0000-0000-0000CA650000}"/>
    <cellStyle name="Pre-inputted cells 5 4 19" xfId="25674" xr:uid="{00000000-0005-0000-0000-0000CB650000}"/>
    <cellStyle name="Pre-inputted cells 5 4 2" xfId="25675" xr:uid="{00000000-0005-0000-0000-0000CC650000}"/>
    <cellStyle name="Pre-inputted cells 5 4 2 10" xfId="25676" xr:uid="{00000000-0005-0000-0000-0000CD650000}"/>
    <cellStyle name="Pre-inputted cells 5 4 2 11" xfId="25677" xr:uid="{00000000-0005-0000-0000-0000CE650000}"/>
    <cellStyle name="Pre-inputted cells 5 4 2 12" xfId="25678" xr:uid="{00000000-0005-0000-0000-0000CF650000}"/>
    <cellStyle name="Pre-inputted cells 5 4 2 13" xfId="25679" xr:uid="{00000000-0005-0000-0000-0000D0650000}"/>
    <cellStyle name="Pre-inputted cells 5 4 2 2" xfId="25680" xr:uid="{00000000-0005-0000-0000-0000D1650000}"/>
    <cellStyle name="Pre-inputted cells 5 4 2 3" xfId="25681" xr:uid="{00000000-0005-0000-0000-0000D2650000}"/>
    <cellStyle name="Pre-inputted cells 5 4 2 4" xfId="25682" xr:uid="{00000000-0005-0000-0000-0000D3650000}"/>
    <cellStyle name="Pre-inputted cells 5 4 2 5" xfId="25683" xr:uid="{00000000-0005-0000-0000-0000D4650000}"/>
    <cellStyle name="Pre-inputted cells 5 4 2 6" xfId="25684" xr:uid="{00000000-0005-0000-0000-0000D5650000}"/>
    <cellStyle name="Pre-inputted cells 5 4 2 7" xfId="25685" xr:uid="{00000000-0005-0000-0000-0000D6650000}"/>
    <cellStyle name="Pre-inputted cells 5 4 2 8" xfId="25686" xr:uid="{00000000-0005-0000-0000-0000D7650000}"/>
    <cellStyle name="Pre-inputted cells 5 4 2 9" xfId="25687" xr:uid="{00000000-0005-0000-0000-0000D8650000}"/>
    <cellStyle name="Pre-inputted cells 5 4 20" xfId="25688" xr:uid="{00000000-0005-0000-0000-0000D9650000}"/>
    <cellStyle name="Pre-inputted cells 5 4 21" xfId="25689" xr:uid="{00000000-0005-0000-0000-0000DA650000}"/>
    <cellStyle name="Pre-inputted cells 5 4 22" xfId="25690" xr:uid="{00000000-0005-0000-0000-0000DB650000}"/>
    <cellStyle name="Pre-inputted cells 5 4 23" xfId="25691" xr:uid="{00000000-0005-0000-0000-0000DC650000}"/>
    <cellStyle name="Pre-inputted cells 5 4 24" xfId="25692" xr:uid="{00000000-0005-0000-0000-0000DD650000}"/>
    <cellStyle name="Pre-inputted cells 5 4 25" xfId="25693" xr:uid="{00000000-0005-0000-0000-0000DE650000}"/>
    <cellStyle name="Pre-inputted cells 5 4 26" xfId="25694" xr:uid="{00000000-0005-0000-0000-0000DF650000}"/>
    <cellStyle name="Pre-inputted cells 5 4 27" xfId="25695" xr:uid="{00000000-0005-0000-0000-0000E0650000}"/>
    <cellStyle name="Pre-inputted cells 5 4 28" xfId="25696" xr:uid="{00000000-0005-0000-0000-0000E1650000}"/>
    <cellStyle name="Pre-inputted cells 5 4 29" xfId="25697" xr:uid="{00000000-0005-0000-0000-0000E2650000}"/>
    <cellStyle name="Pre-inputted cells 5 4 3" xfId="25698" xr:uid="{00000000-0005-0000-0000-0000E3650000}"/>
    <cellStyle name="Pre-inputted cells 5 4 30" xfId="25699" xr:uid="{00000000-0005-0000-0000-0000E4650000}"/>
    <cellStyle name="Pre-inputted cells 5 4 31" xfId="25700" xr:uid="{00000000-0005-0000-0000-0000E5650000}"/>
    <cellStyle name="Pre-inputted cells 5 4 32" xfId="25701" xr:uid="{00000000-0005-0000-0000-0000E6650000}"/>
    <cellStyle name="Pre-inputted cells 5 4 33" xfId="25702" xr:uid="{00000000-0005-0000-0000-0000E7650000}"/>
    <cellStyle name="Pre-inputted cells 5 4 34" xfId="25703" xr:uid="{00000000-0005-0000-0000-0000E8650000}"/>
    <cellStyle name="Pre-inputted cells 5 4 4" xfId="25704" xr:uid="{00000000-0005-0000-0000-0000E9650000}"/>
    <cellStyle name="Pre-inputted cells 5 4 5" xfId="25705" xr:uid="{00000000-0005-0000-0000-0000EA650000}"/>
    <cellStyle name="Pre-inputted cells 5 4 6" xfId="25706" xr:uid="{00000000-0005-0000-0000-0000EB650000}"/>
    <cellStyle name="Pre-inputted cells 5 4 7" xfId="25707" xr:uid="{00000000-0005-0000-0000-0000EC650000}"/>
    <cellStyle name="Pre-inputted cells 5 4 8" xfId="25708" xr:uid="{00000000-0005-0000-0000-0000ED650000}"/>
    <cellStyle name="Pre-inputted cells 5 4 9" xfId="25709" xr:uid="{00000000-0005-0000-0000-0000EE650000}"/>
    <cellStyle name="Pre-inputted cells 5 5" xfId="25710" xr:uid="{00000000-0005-0000-0000-0000EF650000}"/>
    <cellStyle name="Pre-inputted cells 5 5 10" xfId="25711" xr:uid="{00000000-0005-0000-0000-0000F0650000}"/>
    <cellStyle name="Pre-inputted cells 5 5 11" xfId="25712" xr:uid="{00000000-0005-0000-0000-0000F1650000}"/>
    <cellStyle name="Pre-inputted cells 5 5 12" xfId="25713" xr:uid="{00000000-0005-0000-0000-0000F2650000}"/>
    <cellStyle name="Pre-inputted cells 5 5 13" xfId="25714" xr:uid="{00000000-0005-0000-0000-0000F3650000}"/>
    <cellStyle name="Pre-inputted cells 5 5 14" xfId="25715" xr:uid="{00000000-0005-0000-0000-0000F4650000}"/>
    <cellStyle name="Pre-inputted cells 5 5 15" xfId="25716" xr:uid="{00000000-0005-0000-0000-0000F5650000}"/>
    <cellStyle name="Pre-inputted cells 5 5 16" xfId="25717" xr:uid="{00000000-0005-0000-0000-0000F6650000}"/>
    <cellStyle name="Pre-inputted cells 5 5 17" xfId="25718" xr:uid="{00000000-0005-0000-0000-0000F7650000}"/>
    <cellStyle name="Pre-inputted cells 5 5 18" xfId="25719" xr:uid="{00000000-0005-0000-0000-0000F8650000}"/>
    <cellStyle name="Pre-inputted cells 5 5 19" xfId="25720" xr:uid="{00000000-0005-0000-0000-0000F9650000}"/>
    <cellStyle name="Pre-inputted cells 5 5 2" xfId="25721" xr:uid="{00000000-0005-0000-0000-0000FA650000}"/>
    <cellStyle name="Pre-inputted cells 5 5 2 10" xfId="25722" xr:uid="{00000000-0005-0000-0000-0000FB650000}"/>
    <cellStyle name="Pre-inputted cells 5 5 2 11" xfId="25723" xr:uid="{00000000-0005-0000-0000-0000FC650000}"/>
    <cellStyle name="Pre-inputted cells 5 5 2 12" xfId="25724" xr:uid="{00000000-0005-0000-0000-0000FD650000}"/>
    <cellStyle name="Pre-inputted cells 5 5 2 13" xfId="25725" xr:uid="{00000000-0005-0000-0000-0000FE650000}"/>
    <cellStyle name="Pre-inputted cells 5 5 2 2" xfId="25726" xr:uid="{00000000-0005-0000-0000-0000FF650000}"/>
    <cellStyle name="Pre-inputted cells 5 5 2 3" xfId="25727" xr:uid="{00000000-0005-0000-0000-000000660000}"/>
    <cellStyle name="Pre-inputted cells 5 5 2 4" xfId="25728" xr:uid="{00000000-0005-0000-0000-000001660000}"/>
    <cellStyle name="Pre-inputted cells 5 5 2 5" xfId="25729" xr:uid="{00000000-0005-0000-0000-000002660000}"/>
    <cellStyle name="Pre-inputted cells 5 5 2 6" xfId="25730" xr:uid="{00000000-0005-0000-0000-000003660000}"/>
    <cellStyle name="Pre-inputted cells 5 5 2 7" xfId="25731" xr:uid="{00000000-0005-0000-0000-000004660000}"/>
    <cellStyle name="Pre-inputted cells 5 5 2 8" xfId="25732" xr:uid="{00000000-0005-0000-0000-000005660000}"/>
    <cellStyle name="Pre-inputted cells 5 5 2 9" xfId="25733" xr:uid="{00000000-0005-0000-0000-000006660000}"/>
    <cellStyle name="Pre-inputted cells 5 5 20" xfId="25734" xr:uid="{00000000-0005-0000-0000-000007660000}"/>
    <cellStyle name="Pre-inputted cells 5 5 21" xfId="25735" xr:uid="{00000000-0005-0000-0000-000008660000}"/>
    <cellStyle name="Pre-inputted cells 5 5 22" xfId="25736" xr:uid="{00000000-0005-0000-0000-000009660000}"/>
    <cellStyle name="Pre-inputted cells 5 5 23" xfId="25737" xr:uid="{00000000-0005-0000-0000-00000A660000}"/>
    <cellStyle name="Pre-inputted cells 5 5 24" xfId="25738" xr:uid="{00000000-0005-0000-0000-00000B660000}"/>
    <cellStyle name="Pre-inputted cells 5 5 25" xfId="25739" xr:uid="{00000000-0005-0000-0000-00000C660000}"/>
    <cellStyle name="Pre-inputted cells 5 5 26" xfId="25740" xr:uid="{00000000-0005-0000-0000-00000D660000}"/>
    <cellStyle name="Pre-inputted cells 5 5 27" xfId="25741" xr:uid="{00000000-0005-0000-0000-00000E660000}"/>
    <cellStyle name="Pre-inputted cells 5 5 28" xfId="25742" xr:uid="{00000000-0005-0000-0000-00000F660000}"/>
    <cellStyle name="Pre-inputted cells 5 5 29" xfId="25743" xr:uid="{00000000-0005-0000-0000-000010660000}"/>
    <cellStyle name="Pre-inputted cells 5 5 3" xfId="25744" xr:uid="{00000000-0005-0000-0000-000011660000}"/>
    <cellStyle name="Pre-inputted cells 5 5 30" xfId="25745" xr:uid="{00000000-0005-0000-0000-000012660000}"/>
    <cellStyle name="Pre-inputted cells 5 5 31" xfId="25746" xr:uid="{00000000-0005-0000-0000-000013660000}"/>
    <cellStyle name="Pre-inputted cells 5 5 32" xfId="25747" xr:uid="{00000000-0005-0000-0000-000014660000}"/>
    <cellStyle name="Pre-inputted cells 5 5 33" xfId="25748" xr:uid="{00000000-0005-0000-0000-000015660000}"/>
    <cellStyle name="Pre-inputted cells 5 5 34" xfId="25749" xr:uid="{00000000-0005-0000-0000-000016660000}"/>
    <cellStyle name="Pre-inputted cells 5 5 4" xfId="25750" xr:uid="{00000000-0005-0000-0000-000017660000}"/>
    <cellStyle name="Pre-inputted cells 5 5 5" xfId="25751" xr:uid="{00000000-0005-0000-0000-000018660000}"/>
    <cellStyle name="Pre-inputted cells 5 5 6" xfId="25752" xr:uid="{00000000-0005-0000-0000-000019660000}"/>
    <cellStyle name="Pre-inputted cells 5 5 7" xfId="25753" xr:uid="{00000000-0005-0000-0000-00001A660000}"/>
    <cellStyle name="Pre-inputted cells 5 5 8" xfId="25754" xr:uid="{00000000-0005-0000-0000-00001B660000}"/>
    <cellStyle name="Pre-inputted cells 5 5 9" xfId="25755" xr:uid="{00000000-0005-0000-0000-00001C660000}"/>
    <cellStyle name="Pre-inputted cells 5 6" xfId="25756" xr:uid="{00000000-0005-0000-0000-00001D660000}"/>
    <cellStyle name="Pre-inputted cells 5 6 10" xfId="25757" xr:uid="{00000000-0005-0000-0000-00001E660000}"/>
    <cellStyle name="Pre-inputted cells 5 6 11" xfId="25758" xr:uid="{00000000-0005-0000-0000-00001F660000}"/>
    <cellStyle name="Pre-inputted cells 5 6 12" xfId="25759" xr:uid="{00000000-0005-0000-0000-000020660000}"/>
    <cellStyle name="Pre-inputted cells 5 6 13" xfId="25760" xr:uid="{00000000-0005-0000-0000-000021660000}"/>
    <cellStyle name="Pre-inputted cells 5 6 2" xfId="25761" xr:uid="{00000000-0005-0000-0000-000022660000}"/>
    <cellStyle name="Pre-inputted cells 5 6 3" xfId="25762" xr:uid="{00000000-0005-0000-0000-000023660000}"/>
    <cellStyle name="Pre-inputted cells 5 6 4" xfId="25763" xr:uid="{00000000-0005-0000-0000-000024660000}"/>
    <cellStyle name="Pre-inputted cells 5 6 5" xfId="25764" xr:uid="{00000000-0005-0000-0000-000025660000}"/>
    <cellStyle name="Pre-inputted cells 5 6 6" xfId="25765" xr:uid="{00000000-0005-0000-0000-000026660000}"/>
    <cellStyle name="Pre-inputted cells 5 6 7" xfId="25766" xr:uid="{00000000-0005-0000-0000-000027660000}"/>
    <cellStyle name="Pre-inputted cells 5 6 8" xfId="25767" xr:uid="{00000000-0005-0000-0000-000028660000}"/>
    <cellStyle name="Pre-inputted cells 5 6 9" xfId="25768" xr:uid="{00000000-0005-0000-0000-000029660000}"/>
    <cellStyle name="Pre-inputted cells 5 7" xfId="25769" xr:uid="{00000000-0005-0000-0000-00002A660000}"/>
    <cellStyle name="Pre-inputted cells 5 8" xfId="25770" xr:uid="{00000000-0005-0000-0000-00002B660000}"/>
    <cellStyle name="Pre-inputted cells 5 9" xfId="25771" xr:uid="{00000000-0005-0000-0000-00002C660000}"/>
    <cellStyle name="Pre-inputted cells 5_1.3s Accounting C Costs Scots" xfId="25772" xr:uid="{00000000-0005-0000-0000-00002D660000}"/>
    <cellStyle name="Pre-inputted cells 6" xfId="25773" xr:uid="{00000000-0005-0000-0000-00002E660000}"/>
    <cellStyle name="Pre-inputted cells 6 10" xfId="25774" xr:uid="{00000000-0005-0000-0000-00002F660000}"/>
    <cellStyle name="Pre-inputted cells 6 11" xfId="25775" xr:uid="{00000000-0005-0000-0000-000030660000}"/>
    <cellStyle name="Pre-inputted cells 6 12" xfId="25776" xr:uid="{00000000-0005-0000-0000-000031660000}"/>
    <cellStyle name="Pre-inputted cells 6 13" xfId="25777" xr:uid="{00000000-0005-0000-0000-000032660000}"/>
    <cellStyle name="Pre-inputted cells 6 14" xfId="25778" xr:uid="{00000000-0005-0000-0000-000033660000}"/>
    <cellStyle name="Pre-inputted cells 6 15" xfId="25779" xr:uid="{00000000-0005-0000-0000-000034660000}"/>
    <cellStyle name="Pre-inputted cells 6 16" xfId="25780" xr:uid="{00000000-0005-0000-0000-000035660000}"/>
    <cellStyle name="Pre-inputted cells 6 17" xfId="25781" xr:uid="{00000000-0005-0000-0000-000036660000}"/>
    <cellStyle name="Pre-inputted cells 6 18" xfId="25782" xr:uid="{00000000-0005-0000-0000-000037660000}"/>
    <cellStyle name="Pre-inputted cells 6 19" xfId="25783" xr:uid="{00000000-0005-0000-0000-000038660000}"/>
    <cellStyle name="Pre-inputted cells 6 2" xfId="25784" xr:uid="{00000000-0005-0000-0000-000039660000}"/>
    <cellStyle name="Pre-inputted cells 6 2 10" xfId="25785" xr:uid="{00000000-0005-0000-0000-00003A660000}"/>
    <cellStyle name="Pre-inputted cells 6 2 11" xfId="25786" xr:uid="{00000000-0005-0000-0000-00003B660000}"/>
    <cellStyle name="Pre-inputted cells 6 2 12" xfId="25787" xr:uid="{00000000-0005-0000-0000-00003C660000}"/>
    <cellStyle name="Pre-inputted cells 6 2 13" xfId="25788" xr:uid="{00000000-0005-0000-0000-00003D660000}"/>
    <cellStyle name="Pre-inputted cells 6 2 14" xfId="25789" xr:uid="{00000000-0005-0000-0000-00003E660000}"/>
    <cellStyle name="Pre-inputted cells 6 2 15" xfId="25790" xr:uid="{00000000-0005-0000-0000-00003F660000}"/>
    <cellStyle name="Pre-inputted cells 6 2 16" xfId="25791" xr:uid="{00000000-0005-0000-0000-000040660000}"/>
    <cellStyle name="Pre-inputted cells 6 2 17" xfId="25792" xr:uid="{00000000-0005-0000-0000-000041660000}"/>
    <cellStyle name="Pre-inputted cells 6 2 18" xfId="25793" xr:uid="{00000000-0005-0000-0000-000042660000}"/>
    <cellStyle name="Pre-inputted cells 6 2 19" xfId="25794" xr:uid="{00000000-0005-0000-0000-000043660000}"/>
    <cellStyle name="Pre-inputted cells 6 2 2" xfId="25795" xr:uid="{00000000-0005-0000-0000-000044660000}"/>
    <cellStyle name="Pre-inputted cells 6 2 2 10" xfId="25796" xr:uid="{00000000-0005-0000-0000-000045660000}"/>
    <cellStyle name="Pre-inputted cells 6 2 2 11" xfId="25797" xr:uid="{00000000-0005-0000-0000-000046660000}"/>
    <cellStyle name="Pre-inputted cells 6 2 2 12" xfId="25798" xr:uid="{00000000-0005-0000-0000-000047660000}"/>
    <cellStyle name="Pre-inputted cells 6 2 2 13" xfId="25799" xr:uid="{00000000-0005-0000-0000-000048660000}"/>
    <cellStyle name="Pre-inputted cells 6 2 2 14" xfId="25800" xr:uid="{00000000-0005-0000-0000-000049660000}"/>
    <cellStyle name="Pre-inputted cells 6 2 2 15" xfId="25801" xr:uid="{00000000-0005-0000-0000-00004A660000}"/>
    <cellStyle name="Pre-inputted cells 6 2 2 16" xfId="25802" xr:uid="{00000000-0005-0000-0000-00004B660000}"/>
    <cellStyle name="Pre-inputted cells 6 2 2 17" xfId="25803" xr:uid="{00000000-0005-0000-0000-00004C660000}"/>
    <cellStyle name="Pre-inputted cells 6 2 2 18" xfId="25804" xr:uid="{00000000-0005-0000-0000-00004D660000}"/>
    <cellStyle name="Pre-inputted cells 6 2 2 19" xfId="25805" xr:uid="{00000000-0005-0000-0000-00004E660000}"/>
    <cellStyle name="Pre-inputted cells 6 2 2 2" xfId="25806" xr:uid="{00000000-0005-0000-0000-00004F660000}"/>
    <cellStyle name="Pre-inputted cells 6 2 2 2 10" xfId="25807" xr:uid="{00000000-0005-0000-0000-000050660000}"/>
    <cellStyle name="Pre-inputted cells 6 2 2 2 11" xfId="25808" xr:uid="{00000000-0005-0000-0000-000051660000}"/>
    <cellStyle name="Pre-inputted cells 6 2 2 2 12" xfId="25809" xr:uid="{00000000-0005-0000-0000-000052660000}"/>
    <cellStyle name="Pre-inputted cells 6 2 2 2 13" xfId="25810" xr:uid="{00000000-0005-0000-0000-000053660000}"/>
    <cellStyle name="Pre-inputted cells 6 2 2 2 14" xfId="25811" xr:uid="{00000000-0005-0000-0000-000054660000}"/>
    <cellStyle name="Pre-inputted cells 6 2 2 2 15" xfId="25812" xr:uid="{00000000-0005-0000-0000-000055660000}"/>
    <cellStyle name="Pre-inputted cells 6 2 2 2 16" xfId="25813" xr:uid="{00000000-0005-0000-0000-000056660000}"/>
    <cellStyle name="Pre-inputted cells 6 2 2 2 17" xfId="25814" xr:uid="{00000000-0005-0000-0000-000057660000}"/>
    <cellStyle name="Pre-inputted cells 6 2 2 2 18" xfId="25815" xr:uid="{00000000-0005-0000-0000-000058660000}"/>
    <cellStyle name="Pre-inputted cells 6 2 2 2 19" xfId="25816" xr:uid="{00000000-0005-0000-0000-000059660000}"/>
    <cellStyle name="Pre-inputted cells 6 2 2 2 2" xfId="25817" xr:uid="{00000000-0005-0000-0000-00005A660000}"/>
    <cellStyle name="Pre-inputted cells 6 2 2 2 2 10" xfId="25818" xr:uid="{00000000-0005-0000-0000-00005B660000}"/>
    <cellStyle name="Pre-inputted cells 6 2 2 2 2 11" xfId="25819" xr:uid="{00000000-0005-0000-0000-00005C660000}"/>
    <cellStyle name="Pre-inputted cells 6 2 2 2 2 12" xfId="25820" xr:uid="{00000000-0005-0000-0000-00005D660000}"/>
    <cellStyle name="Pre-inputted cells 6 2 2 2 2 13" xfId="25821" xr:uid="{00000000-0005-0000-0000-00005E660000}"/>
    <cellStyle name="Pre-inputted cells 6 2 2 2 2 2" xfId="25822" xr:uid="{00000000-0005-0000-0000-00005F660000}"/>
    <cellStyle name="Pre-inputted cells 6 2 2 2 2 3" xfId="25823" xr:uid="{00000000-0005-0000-0000-000060660000}"/>
    <cellStyle name="Pre-inputted cells 6 2 2 2 2 4" xfId="25824" xr:uid="{00000000-0005-0000-0000-000061660000}"/>
    <cellStyle name="Pre-inputted cells 6 2 2 2 2 5" xfId="25825" xr:uid="{00000000-0005-0000-0000-000062660000}"/>
    <cellStyle name="Pre-inputted cells 6 2 2 2 2 6" xfId="25826" xr:uid="{00000000-0005-0000-0000-000063660000}"/>
    <cellStyle name="Pre-inputted cells 6 2 2 2 2 7" xfId="25827" xr:uid="{00000000-0005-0000-0000-000064660000}"/>
    <cellStyle name="Pre-inputted cells 6 2 2 2 2 8" xfId="25828" xr:uid="{00000000-0005-0000-0000-000065660000}"/>
    <cellStyle name="Pre-inputted cells 6 2 2 2 2 9" xfId="25829" xr:uid="{00000000-0005-0000-0000-000066660000}"/>
    <cellStyle name="Pre-inputted cells 6 2 2 2 20" xfId="25830" xr:uid="{00000000-0005-0000-0000-000067660000}"/>
    <cellStyle name="Pre-inputted cells 6 2 2 2 21" xfId="25831" xr:uid="{00000000-0005-0000-0000-000068660000}"/>
    <cellStyle name="Pre-inputted cells 6 2 2 2 22" xfId="25832" xr:uid="{00000000-0005-0000-0000-000069660000}"/>
    <cellStyle name="Pre-inputted cells 6 2 2 2 23" xfId="25833" xr:uid="{00000000-0005-0000-0000-00006A660000}"/>
    <cellStyle name="Pre-inputted cells 6 2 2 2 24" xfId="25834" xr:uid="{00000000-0005-0000-0000-00006B660000}"/>
    <cellStyle name="Pre-inputted cells 6 2 2 2 25" xfId="25835" xr:uid="{00000000-0005-0000-0000-00006C660000}"/>
    <cellStyle name="Pre-inputted cells 6 2 2 2 26" xfId="25836" xr:uid="{00000000-0005-0000-0000-00006D660000}"/>
    <cellStyle name="Pre-inputted cells 6 2 2 2 27" xfId="25837" xr:uid="{00000000-0005-0000-0000-00006E660000}"/>
    <cellStyle name="Pre-inputted cells 6 2 2 2 28" xfId="25838" xr:uid="{00000000-0005-0000-0000-00006F660000}"/>
    <cellStyle name="Pre-inputted cells 6 2 2 2 29" xfId="25839" xr:uid="{00000000-0005-0000-0000-000070660000}"/>
    <cellStyle name="Pre-inputted cells 6 2 2 2 3" xfId="25840" xr:uid="{00000000-0005-0000-0000-000071660000}"/>
    <cellStyle name="Pre-inputted cells 6 2 2 2 30" xfId="25841" xr:uid="{00000000-0005-0000-0000-000072660000}"/>
    <cellStyle name="Pre-inputted cells 6 2 2 2 31" xfId="25842" xr:uid="{00000000-0005-0000-0000-000073660000}"/>
    <cellStyle name="Pre-inputted cells 6 2 2 2 32" xfId="25843" xr:uid="{00000000-0005-0000-0000-000074660000}"/>
    <cellStyle name="Pre-inputted cells 6 2 2 2 33" xfId="25844" xr:uid="{00000000-0005-0000-0000-000075660000}"/>
    <cellStyle name="Pre-inputted cells 6 2 2 2 34" xfId="25845" xr:uid="{00000000-0005-0000-0000-000076660000}"/>
    <cellStyle name="Pre-inputted cells 6 2 2 2 4" xfId="25846" xr:uid="{00000000-0005-0000-0000-000077660000}"/>
    <cellStyle name="Pre-inputted cells 6 2 2 2 5" xfId="25847" xr:uid="{00000000-0005-0000-0000-000078660000}"/>
    <cellStyle name="Pre-inputted cells 6 2 2 2 6" xfId="25848" xr:uid="{00000000-0005-0000-0000-000079660000}"/>
    <cellStyle name="Pre-inputted cells 6 2 2 2 7" xfId="25849" xr:uid="{00000000-0005-0000-0000-00007A660000}"/>
    <cellStyle name="Pre-inputted cells 6 2 2 2 8" xfId="25850" xr:uid="{00000000-0005-0000-0000-00007B660000}"/>
    <cellStyle name="Pre-inputted cells 6 2 2 2 9" xfId="25851" xr:uid="{00000000-0005-0000-0000-00007C660000}"/>
    <cellStyle name="Pre-inputted cells 6 2 2 20" xfId="25852" xr:uid="{00000000-0005-0000-0000-00007D660000}"/>
    <cellStyle name="Pre-inputted cells 6 2 2 21" xfId="25853" xr:uid="{00000000-0005-0000-0000-00007E660000}"/>
    <cellStyle name="Pre-inputted cells 6 2 2 22" xfId="25854" xr:uid="{00000000-0005-0000-0000-00007F660000}"/>
    <cellStyle name="Pre-inputted cells 6 2 2 23" xfId="25855" xr:uid="{00000000-0005-0000-0000-000080660000}"/>
    <cellStyle name="Pre-inputted cells 6 2 2 24" xfId="25856" xr:uid="{00000000-0005-0000-0000-000081660000}"/>
    <cellStyle name="Pre-inputted cells 6 2 2 25" xfId="25857" xr:uid="{00000000-0005-0000-0000-000082660000}"/>
    <cellStyle name="Pre-inputted cells 6 2 2 26" xfId="25858" xr:uid="{00000000-0005-0000-0000-000083660000}"/>
    <cellStyle name="Pre-inputted cells 6 2 2 27" xfId="25859" xr:uid="{00000000-0005-0000-0000-000084660000}"/>
    <cellStyle name="Pre-inputted cells 6 2 2 28" xfId="25860" xr:uid="{00000000-0005-0000-0000-000085660000}"/>
    <cellStyle name="Pre-inputted cells 6 2 2 29" xfId="25861" xr:uid="{00000000-0005-0000-0000-000086660000}"/>
    <cellStyle name="Pre-inputted cells 6 2 2 3" xfId="25862" xr:uid="{00000000-0005-0000-0000-000087660000}"/>
    <cellStyle name="Pre-inputted cells 6 2 2 3 10" xfId="25863" xr:uid="{00000000-0005-0000-0000-000088660000}"/>
    <cellStyle name="Pre-inputted cells 6 2 2 3 11" xfId="25864" xr:uid="{00000000-0005-0000-0000-000089660000}"/>
    <cellStyle name="Pre-inputted cells 6 2 2 3 12" xfId="25865" xr:uid="{00000000-0005-0000-0000-00008A660000}"/>
    <cellStyle name="Pre-inputted cells 6 2 2 3 13" xfId="25866" xr:uid="{00000000-0005-0000-0000-00008B660000}"/>
    <cellStyle name="Pre-inputted cells 6 2 2 3 2" xfId="25867" xr:uid="{00000000-0005-0000-0000-00008C660000}"/>
    <cellStyle name="Pre-inputted cells 6 2 2 3 3" xfId="25868" xr:uid="{00000000-0005-0000-0000-00008D660000}"/>
    <cellStyle name="Pre-inputted cells 6 2 2 3 4" xfId="25869" xr:uid="{00000000-0005-0000-0000-00008E660000}"/>
    <cellStyle name="Pre-inputted cells 6 2 2 3 5" xfId="25870" xr:uid="{00000000-0005-0000-0000-00008F660000}"/>
    <cellStyle name="Pre-inputted cells 6 2 2 3 6" xfId="25871" xr:uid="{00000000-0005-0000-0000-000090660000}"/>
    <cellStyle name="Pre-inputted cells 6 2 2 3 7" xfId="25872" xr:uid="{00000000-0005-0000-0000-000091660000}"/>
    <cellStyle name="Pre-inputted cells 6 2 2 3 8" xfId="25873" xr:uid="{00000000-0005-0000-0000-000092660000}"/>
    <cellStyle name="Pre-inputted cells 6 2 2 3 9" xfId="25874" xr:uid="{00000000-0005-0000-0000-000093660000}"/>
    <cellStyle name="Pre-inputted cells 6 2 2 30" xfId="25875" xr:uid="{00000000-0005-0000-0000-000094660000}"/>
    <cellStyle name="Pre-inputted cells 6 2 2 31" xfId="25876" xr:uid="{00000000-0005-0000-0000-000095660000}"/>
    <cellStyle name="Pre-inputted cells 6 2 2 4" xfId="25877" xr:uid="{00000000-0005-0000-0000-000096660000}"/>
    <cellStyle name="Pre-inputted cells 6 2 2 5" xfId="25878" xr:uid="{00000000-0005-0000-0000-000097660000}"/>
    <cellStyle name="Pre-inputted cells 6 2 2 6" xfId="25879" xr:uid="{00000000-0005-0000-0000-000098660000}"/>
    <cellStyle name="Pre-inputted cells 6 2 2 7" xfId="25880" xr:uid="{00000000-0005-0000-0000-000099660000}"/>
    <cellStyle name="Pre-inputted cells 6 2 2 8" xfId="25881" xr:uid="{00000000-0005-0000-0000-00009A660000}"/>
    <cellStyle name="Pre-inputted cells 6 2 2 9" xfId="25882" xr:uid="{00000000-0005-0000-0000-00009B660000}"/>
    <cellStyle name="Pre-inputted cells 6 2 2_4 28 1_Asst_Health_Crit_AllTO_RIIO_20110714pm" xfId="25883" xr:uid="{00000000-0005-0000-0000-00009C660000}"/>
    <cellStyle name="Pre-inputted cells 6 2 20" xfId="25884" xr:uid="{00000000-0005-0000-0000-00009D660000}"/>
    <cellStyle name="Pre-inputted cells 6 2 21" xfId="25885" xr:uid="{00000000-0005-0000-0000-00009E660000}"/>
    <cellStyle name="Pre-inputted cells 6 2 22" xfId="25886" xr:uid="{00000000-0005-0000-0000-00009F660000}"/>
    <cellStyle name="Pre-inputted cells 6 2 23" xfId="25887" xr:uid="{00000000-0005-0000-0000-0000A0660000}"/>
    <cellStyle name="Pre-inputted cells 6 2 24" xfId="25888" xr:uid="{00000000-0005-0000-0000-0000A1660000}"/>
    <cellStyle name="Pre-inputted cells 6 2 25" xfId="25889" xr:uid="{00000000-0005-0000-0000-0000A2660000}"/>
    <cellStyle name="Pre-inputted cells 6 2 26" xfId="25890" xr:uid="{00000000-0005-0000-0000-0000A3660000}"/>
    <cellStyle name="Pre-inputted cells 6 2 27" xfId="25891" xr:uid="{00000000-0005-0000-0000-0000A4660000}"/>
    <cellStyle name="Pre-inputted cells 6 2 28" xfId="25892" xr:uid="{00000000-0005-0000-0000-0000A5660000}"/>
    <cellStyle name="Pre-inputted cells 6 2 29" xfId="25893" xr:uid="{00000000-0005-0000-0000-0000A6660000}"/>
    <cellStyle name="Pre-inputted cells 6 2 3" xfId="25894" xr:uid="{00000000-0005-0000-0000-0000A7660000}"/>
    <cellStyle name="Pre-inputted cells 6 2 3 10" xfId="25895" xr:uid="{00000000-0005-0000-0000-0000A8660000}"/>
    <cellStyle name="Pre-inputted cells 6 2 3 11" xfId="25896" xr:uid="{00000000-0005-0000-0000-0000A9660000}"/>
    <cellStyle name="Pre-inputted cells 6 2 3 12" xfId="25897" xr:uid="{00000000-0005-0000-0000-0000AA660000}"/>
    <cellStyle name="Pre-inputted cells 6 2 3 13" xfId="25898" xr:uid="{00000000-0005-0000-0000-0000AB660000}"/>
    <cellStyle name="Pre-inputted cells 6 2 3 14" xfId="25899" xr:uid="{00000000-0005-0000-0000-0000AC660000}"/>
    <cellStyle name="Pre-inputted cells 6 2 3 15" xfId="25900" xr:uid="{00000000-0005-0000-0000-0000AD660000}"/>
    <cellStyle name="Pre-inputted cells 6 2 3 16" xfId="25901" xr:uid="{00000000-0005-0000-0000-0000AE660000}"/>
    <cellStyle name="Pre-inputted cells 6 2 3 17" xfId="25902" xr:uid="{00000000-0005-0000-0000-0000AF660000}"/>
    <cellStyle name="Pre-inputted cells 6 2 3 18" xfId="25903" xr:uid="{00000000-0005-0000-0000-0000B0660000}"/>
    <cellStyle name="Pre-inputted cells 6 2 3 19" xfId="25904" xr:uid="{00000000-0005-0000-0000-0000B1660000}"/>
    <cellStyle name="Pre-inputted cells 6 2 3 2" xfId="25905" xr:uid="{00000000-0005-0000-0000-0000B2660000}"/>
    <cellStyle name="Pre-inputted cells 6 2 3 2 10" xfId="25906" xr:uid="{00000000-0005-0000-0000-0000B3660000}"/>
    <cellStyle name="Pre-inputted cells 6 2 3 2 11" xfId="25907" xr:uid="{00000000-0005-0000-0000-0000B4660000}"/>
    <cellStyle name="Pre-inputted cells 6 2 3 2 12" xfId="25908" xr:uid="{00000000-0005-0000-0000-0000B5660000}"/>
    <cellStyle name="Pre-inputted cells 6 2 3 2 13" xfId="25909" xr:uid="{00000000-0005-0000-0000-0000B6660000}"/>
    <cellStyle name="Pre-inputted cells 6 2 3 2 2" xfId="25910" xr:uid="{00000000-0005-0000-0000-0000B7660000}"/>
    <cellStyle name="Pre-inputted cells 6 2 3 2 3" xfId="25911" xr:uid="{00000000-0005-0000-0000-0000B8660000}"/>
    <cellStyle name="Pre-inputted cells 6 2 3 2 4" xfId="25912" xr:uid="{00000000-0005-0000-0000-0000B9660000}"/>
    <cellStyle name="Pre-inputted cells 6 2 3 2 5" xfId="25913" xr:uid="{00000000-0005-0000-0000-0000BA660000}"/>
    <cellStyle name="Pre-inputted cells 6 2 3 2 6" xfId="25914" xr:uid="{00000000-0005-0000-0000-0000BB660000}"/>
    <cellStyle name="Pre-inputted cells 6 2 3 2 7" xfId="25915" xr:uid="{00000000-0005-0000-0000-0000BC660000}"/>
    <cellStyle name="Pre-inputted cells 6 2 3 2 8" xfId="25916" xr:uid="{00000000-0005-0000-0000-0000BD660000}"/>
    <cellStyle name="Pre-inputted cells 6 2 3 2 9" xfId="25917" xr:uid="{00000000-0005-0000-0000-0000BE660000}"/>
    <cellStyle name="Pre-inputted cells 6 2 3 20" xfId="25918" xr:uid="{00000000-0005-0000-0000-0000BF660000}"/>
    <cellStyle name="Pre-inputted cells 6 2 3 21" xfId="25919" xr:uid="{00000000-0005-0000-0000-0000C0660000}"/>
    <cellStyle name="Pre-inputted cells 6 2 3 22" xfId="25920" xr:uid="{00000000-0005-0000-0000-0000C1660000}"/>
    <cellStyle name="Pre-inputted cells 6 2 3 23" xfId="25921" xr:uid="{00000000-0005-0000-0000-0000C2660000}"/>
    <cellStyle name="Pre-inputted cells 6 2 3 24" xfId="25922" xr:uid="{00000000-0005-0000-0000-0000C3660000}"/>
    <cellStyle name="Pre-inputted cells 6 2 3 25" xfId="25923" xr:uid="{00000000-0005-0000-0000-0000C4660000}"/>
    <cellStyle name="Pre-inputted cells 6 2 3 26" xfId="25924" xr:uid="{00000000-0005-0000-0000-0000C5660000}"/>
    <cellStyle name="Pre-inputted cells 6 2 3 27" xfId="25925" xr:uid="{00000000-0005-0000-0000-0000C6660000}"/>
    <cellStyle name="Pre-inputted cells 6 2 3 28" xfId="25926" xr:uid="{00000000-0005-0000-0000-0000C7660000}"/>
    <cellStyle name="Pre-inputted cells 6 2 3 29" xfId="25927" xr:uid="{00000000-0005-0000-0000-0000C8660000}"/>
    <cellStyle name="Pre-inputted cells 6 2 3 3" xfId="25928" xr:uid="{00000000-0005-0000-0000-0000C9660000}"/>
    <cellStyle name="Pre-inputted cells 6 2 3 30" xfId="25929" xr:uid="{00000000-0005-0000-0000-0000CA660000}"/>
    <cellStyle name="Pre-inputted cells 6 2 3 4" xfId="25930" xr:uid="{00000000-0005-0000-0000-0000CB660000}"/>
    <cellStyle name="Pre-inputted cells 6 2 3 5" xfId="25931" xr:uid="{00000000-0005-0000-0000-0000CC660000}"/>
    <cellStyle name="Pre-inputted cells 6 2 3 6" xfId="25932" xr:uid="{00000000-0005-0000-0000-0000CD660000}"/>
    <cellStyle name="Pre-inputted cells 6 2 3 7" xfId="25933" xr:uid="{00000000-0005-0000-0000-0000CE660000}"/>
    <cellStyle name="Pre-inputted cells 6 2 3 8" xfId="25934" xr:uid="{00000000-0005-0000-0000-0000CF660000}"/>
    <cellStyle name="Pre-inputted cells 6 2 3 9" xfId="25935" xr:uid="{00000000-0005-0000-0000-0000D0660000}"/>
    <cellStyle name="Pre-inputted cells 6 2 30" xfId="25936" xr:uid="{00000000-0005-0000-0000-0000D1660000}"/>
    <cellStyle name="Pre-inputted cells 6 2 31" xfId="25937" xr:uid="{00000000-0005-0000-0000-0000D2660000}"/>
    <cellStyle name="Pre-inputted cells 6 2 32" xfId="25938" xr:uid="{00000000-0005-0000-0000-0000D3660000}"/>
    <cellStyle name="Pre-inputted cells 6 2 33" xfId="25939" xr:uid="{00000000-0005-0000-0000-0000D4660000}"/>
    <cellStyle name="Pre-inputted cells 6 2 4" xfId="25940" xr:uid="{00000000-0005-0000-0000-0000D5660000}"/>
    <cellStyle name="Pre-inputted cells 6 2 4 10" xfId="25941" xr:uid="{00000000-0005-0000-0000-0000D6660000}"/>
    <cellStyle name="Pre-inputted cells 6 2 4 11" xfId="25942" xr:uid="{00000000-0005-0000-0000-0000D7660000}"/>
    <cellStyle name="Pre-inputted cells 6 2 4 12" xfId="25943" xr:uid="{00000000-0005-0000-0000-0000D8660000}"/>
    <cellStyle name="Pre-inputted cells 6 2 4 13" xfId="25944" xr:uid="{00000000-0005-0000-0000-0000D9660000}"/>
    <cellStyle name="Pre-inputted cells 6 2 4 14" xfId="25945" xr:uid="{00000000-0005-0000-0000-0000DA660000}"/>
    <cellStyle name="Pre-inputted cells 6 2 4 15" xfId="25946" xr:uid="{00000000-0005-0000-0000-0000DB660000}"/>
    <cellStyle name="Pre-inputted cells 6 2 4 16" xfId="25947" xr:uid="{00000000-0005-0000-0000-0000DC660000}"/>
    <cellStyle name="Pre-inputted cells 6 2 4 17" xfId="25948" xr:uid="{00000000-0005-0000-0000-0000DD660000}"/>
    <cellStyle name="Pre-inputted cells 6 2 4 18" xfId="25949" xr:uid="{00000000-0005-0000-0000-0000DE660000}"/>
    <cellStyle name="Pre-inputted cells 6 2 4 19" xfId="25950" xr:uid="{00000000-0005-0000-0000-0000DF660000}"/>
    <cellStyle name="Pre-inputted cells 6 2 4 2" xfId="25951" xr:uid="{00000000-0005-0000-0000-0000E0660000}"/>
    <cellStyle name="Pre-inputted cells 6 2 4 2 10" xfId="25952" xr:uid="{00000000-0005-0000-0000-0000E1660000}"/>
    <cellStyle name="Pre-inputted cells 6 2 4 2 11" xfId="25953" xr:uid="{00000000-0005-0000-0000-0000E2660000}"/>
    <cellStyle name="Pre-inputted cells 6 2 4 2 12" xfId="25954" xr:uid="{00000000-0005-0000-0000-0000E3660000}"/>
    <cellStyle name="Pre-inputted cells 6 2 4 2 13" xfId="25955" xr:uid="{00000000-0005-0000-0000-0000E4660000}"/>
    <cellStyle name="Pre-inputted cells 6 2 4 2 2" xfId="25956" xr:uid="{00000000-0005-0000-0000-0000E5660000}"/>
    <cellStyle name="Pre-inputted cells 6 2 4 2 3" xfId="25957" xr:uid="{00000000-0005-0000-0000-0000E6660000}"/>
    <cellStyle name="Pre-inputted cells 6 2 4 2 4" xfId="25958" xr:uid="{00000000-0005-0000-0000-0000E7660000}"/>
    <cellStyle name="Pre-inputted cells 6 2 4 2 5" xfId="25959" xr:uid="{00000000-0005-0000-0000-0000E8660000}"/>
    <cellStyle name="Pre-inputted cells 6 2 4 2 6" xfId="25960" xr:uid="{00000000-0005-0000-0000-0000E9660000}"/>
    <cellStyle name="Pre-inputted cells 6 2 4 2 7" xfId="25961" xr:uid="{00000000-0005-0000-0000-0000EA660000}"/>
    <cellStyle name="Pre-inputted cells 6 2 4 2 8" xfId="25962" xr:uid="{00000000-0005-0000-0000-0000EB660000}"/>
    <cellStyle name="Pre-inputted cells 6 2 4 2 9" xfId="25963" xr:uid="{00000000-0005-0000-0000-0000EC660000}"/>
    <cellStyle name="Pre-inputted cells 6 2 4 20" xfId="25964" xr:uid="{00000000-0005-0000-0000-0000ED660000}"/>
    <cellStyle name="Pre-inputted cells 6 2 4 21" xfId="25965" xr:uid="{00000000-0005-0000-0000-0000EE660000}"/>
    <cellStyle name="Pre-inputted cells 6 2 4 22" xfId="25966" xr:uid="{00000000-0005-0000-0000-0000EF660000}"/>
    <cellStyle name="Pre-inputted cells 6 2 4 23" xfId="25967" xr:uid="{00000000-0005-0000-0000-0000F0660000}"/>
    <cellStyle name="Pre-inputted cells 6 2 4 24" xfId="25968" xr:uid="{00000000-0005-0000-0000-0000F1660000}"/>
    <cellStyle name="Pre-inputted cells 6 2 4 25" xfId="25969" xr:uid="{00000000-0005-0000-0000-0000F2660000}"/>
    <cellStyle name="Pre-inputted cells 6 2 4 26" xfId="25970" xr:uid="{00000000-0005-0000-0000-0000F3660000}"/>
    <cellStyle name="Pre-inputted cells 6 2 4 27" xfId="25971" xr:uid="{00000000-0005-0000-0000-0000F4660000}"/>
    <cellStyle name="Pre-inputted cells 6 2 4 28" xfId="25972" xr:uid="{00000000-0005-0000-0000-0000F5660000}"/>
    <cellStyle name="Pre-inputted cells 6 2 4 29" xfId="25973" xr:uid="{00000000-0005-0000-0000-0000F6660000}"/>
    <cellStyle name="Pre-inputted cells 6 2 4 3" xfId="25974" xr:uid="{00000000-0005-0000-0000-0000F7660000}"/>
    <cellStyle name="Pre-inputted cells 6 2 4 30" xfId="25975" xr:uid="{00000000-0005-0000-0000-0000F8660000}"/>
    <cellStyle name="Pre-inputted cells 6 2 4 4" xfId="25976" xr:uid="{00000000-0005-0000-0000-0000F9660000}"/>
    <cellStyle name="Pre-inputted cells 6 2 4 5" xfId="25977" xr:uid="{00000000-0005-0000-0000-0000FA660000}"/>
    <cellStyle name="Pre-inputted cells 6 2 4 6" xfId="25978" xr:uid="{00000000-0005-0000-0000-0000FB660000}"/>
    <cellStyle name="Pre-inputted cells 6 2 4 7" xfId="25979" xr:uid="{00000000-0005-0000-0000-0000FC660000}"/>
    <cellStyle name="Pre-inputted cells 6 2 4 8" xfId="25980" xr:uid="{00000000-0005-0000-0000-0000FD660000}"/>
    <cellStyle name="Pre-inputted cells 6 2 4 9" xfId="25981" xr:uid="{00000000-0005-0000-0000-0000FE660000}"/>
    <cellStyle name="Pre-inputted cells 6 2 5" xfId="25982" xr:uid="{00000000-0005-0000-0000-0000FF660000}"/>
    <cellStyle name="Pre-inputted cells 6 2 5 10" xfId="25983" xr:uid="{00000000-0005-0000-0000-000000670000}"/>
    <cellStyle name="Pre-inputted cells 6 2 5 11" xfId="25984" xr:uid="{00000000-0005-0000-0000-000001670000}"/>
    <cellStyle name="Pre-inputted cells 6 2 5 12" xfId="25985" xr:uid="{00000000-0005-0000-0000-000002670000}"/>
    <cellStyle name="Pre-inputted cells 6 2 5 13" xfId="25986" xr:uid="{00000000-0005-0000-0000-000003670000}"/>
    <cellStyle name="Pre-inputted cells 6 2 5 2" xfId="25987" xr:uid="{00000000-0005-0000-0000-000004670000}"/>
    <cellStyle name="Pre-inputted cells 6 2 5 3" xfId="25988" xr:uid="{00000000-0005-0000-0000-000005670000}"/>
    <cellStyle name="Pre-inputted cells 6 2 5 4" xfId="25989" xr:uid="{00000000-0005-0000-0000-000006670000}"/>
    <cellStyle name="Pre-inputted cells 6 2 5 5" xfId="25990" xr:uid="{00000000-0005-0000-0000-000007670000}"/>
    <cellStyle name="Pre-inputted cells 6 2 5 6" xfId="25991" xr:uid="{00000000-0005-0000-0000-000008670000}"/>
    <cellStyle name="Pre-inputted cells 6 2 5 7" xfId="25992" xr:uid="{00000000-0005-0000-0000-000009670000}"/>
    <cellStyle name="Pre-inputted cells 6 2 5 8" xfId="25993" xr:uid="{00000000-0005-0000-0000-00000A670000}"/>
    <cellStyle name="Pre-inputted cells 6 2 5 9" xfId="25994" xr:uid="{00000000-0005-0000-0000-00000B670000}"/>
    <cellStyle name="Pre-inputted cells 6 2 6" xfId="25995" xr:uid="{00000000-0005-0000-0000-00000C670000}"/>
    <cellStyle name="Pre-inputted cells 6 2 7" xfId="25996" xr:uid="{00000000-0005-0000-0000-00000D670000}"/>
    <cellStyle name="Pre-inputted cells 6 2 8" xfId="25997" xr:uid="{00000000-0005-0000-0000-00000E670000}"/>
    <cellStyle name="Pre-inputted cells 6 2 9" xfId="25998" xr:uid="{00000000-0005-0000-0000-00000F670000}"/>
    <cellStyle name="Pre-inputted cells 6 2_4 28 1_Asst_Health_Crit_AllTO_RIIO_20110714pm" xfId="25999" xr:uid="{00000000-0005-0000-0000-000010670000}"/>
    <cellStyle name="Pre-inputted cells 6 20" xfId="26000" xr:uid="{00000000-0005-0000-0000-000011670000}"/>
    <cellStyle name="Pre-inputted cells 6 21" xfId="26001" xr:uid="{00000000-0005-0000-0000-000012670000}"/>
    <cellStyle name="Pre-inputted cells 6 22" xfId="26002" xr:uid="{00000000-0005-0000-0000-000013670000}"/>
    <cellStyle name="Pre-inputted cells 6 23" xfId="26003" xr:uid="{00000000-0005-0000-0000-000014670000}"/>
    <cellStyle name="Pre-inputted cells 6 24" xfId="26004" xr:uid="{00000000-0005-0000-0000-000015670000}"/>
    <cellStyle name="Pre-inputted cells 6 25" xfId="26005" xr:uid="{00000000-0005-0000-0000-000016670000}"/>
    <cellStyle name="Pre-inputted cells 6 26" xfId="26006" xr:uid="{00000000-0005-0000-0000-000017670000}"/>
    <cellStyle name="Pre-inputted cells 6 27" xfId="26007" xr:uid="{00000000-0005-0000-0000-000018670000}"/>
    <cellStyle name="Pre-inputted cells 6 28" xfId="26008" xr:uid="{00000000-0005-0000-0000-000019670000}"/>
    <cellStyle name="Pre-inputted cells 6 29" xfId="26009" xr:uid="{00000000-0005-0000-0000-00001A670000}"/>
    <cellStyle name="Pre-inputted cells 6 3" xfId="26010" xr:uid="{00000000-0005-0000-0000-00001B670000}"/>
    <cellStyle name="Pre-inputted cells 6 3 10" xfId="26011" xr:uid="{00000000-0005-0000-0000-00001C670000}"/>
    <cellStyle name="Pre-inputted cells 6 3 11" xfId="26012" xr:uid="{00000000-0005-0000-0000-00001D670000}"/>
    <cellStyle name="Pre-inputted cells 6 3 12" xfId="26013" xr:uid="{00000000-0005-0000-0000-00001E670000}"/>
    <cellStyle name="Pre-inputted cells 6 3 13" xfId="26014" xr:uid="{00000000-0005-0000-0000-00001F670000}"/>
    <cellStyle name="Pre-inputted cells 6 3 14" xfId="26015" xr:uid="{00000000-0005-0000-0000-000020670000}"/>
    <cellStyle name="Pre-inputted cells 6 3 15" xfId="26016" xr:uid="{00000000-0005-0000-0000-000021670000}"/>
    <cellStyle name="Pre-inputted cells 6 3 16" xfId="26017" xr:uid="{00000000-0005-0000-0000-000022670000}"/>
    <cellStyle name="Pre-inputted cells 6 3 17" xfId="26018" xr:uid="{00000000-0005-0000-0000-000023670000}"/>
    <cellStyle name="Pre-inputted cells 6 3 18" xfId="26019" xr:uid="{00000000-0005-0000-0000-000024670000}"/>
    <cellStyle name="Pre-inputted cells 6 3 19" xfId="26020" xr:uid="{00000000-0005-0000-0000-000025670000}"/>
    <cellStyle name="Pre-inputted cells 6 3 2" xfId="26021" xr:uid="{00000000-0005-0000-0000-000026670000}"/>
    <cellStyle name="Pre-inputted cells 6 3 2 10" xfId="26022" xr:uid="{00000000-0005-0000-0000-000027670000}"/>
    <cellStyle name="Pre-inputted cells 6 3 2 11" xfId="26023" xr:uid="{00000000-0005-0000-0000-000028670000}"/>
    <cellStyle name="Pre-inputted cells 6 3 2 12" xfId="26024" xr:uid="{00000000-0005-0000-0000-000029670000}"/>
    <cellStyle name="Pre-inputted cells 6 3 2 13" xfId="26025" xr:uid="{00000000-0005-0000-0000-00002A670000}"/>
    <cellStyle name="Pre-inputted cells 6 3 2 14" xfId="26026" xr:uid="{00000000-0005-0000-0000-00002B670000}"/>
    <cellStyle name="Pre-inputted cells 6 3 2 15" xfId="26027" xr:uid="{00000000-0005-0000-0000-00002C670000}"/>
    <cellStyle name="Pre-inputted cells 6 3 2 16" xfId="26028" xr:uid="{00000000-0005-0000-0000-00002D670000}"/>
    <cellStyle name="Pre-inputted cells 6 3 2 17" xfId="26029" xr:uid="{00000000-0005-0000-0000-00002E670000}"/>
    <cellStyle name="Pre-inputted cells 6 3 2 18" xfId="26030" xr:uid="{00000000-0005-0000-0000-00002F670000}"/>
    <cellStyle name="Pre-inputted cells 6 3 2 19" xfId="26031" xr:uid="{00000000-0005-0000-0000-000030670000}"/>
    <cellStyle name="Pre-inputted cells 6 3 2 2" xfId="26032" xr:uid="{00000000-0005-0000-0000-000031670000}"/>
    <cellStyle name="Pre-inputted cells 6 3 2 2 10" xfId="26033" xr:uid="{00000000-0005-0000-0000-000032670000}"/>
    <cellStyle name="Pre-inputted cells 6 3 2 2 11" xfId="26034" xr:uid="{00000000-0005-0000-0000-000033670000}"/>
    <cellStyle name="Pre-inputted cells 6 3 2 2 12" xfId="26035" xr:uid="{00000000-0005-0000-0000-000034670000}"/>
    <cellStyle name="Pre-inputted cells 6 3 2 2 13" xfId="26036" xr:uid="{00000000-0005-0000-0000-000035670000}"/>
    <cellStyle name="Pre-inputted cells 6 3 2 2 2" xfId="26037" xr:uid="{00000000-0005-0000-0000-000036670000}"/>
    <cellStyle name="Pre-inputted cells 6 3 2 2 3" xfId="26038" xr:uid="{00000000-0005-0000-0000-000037670000}"/>
    <cellStyle name="Pre-inputted cells 6 3 2 2 4" xfId="26039" xr:uid="{00000000-0005-0000-0000-000038670000}"/>
    <cellStyle name="Pre-inputted cells 6 3 2 2 5" xfId="26040" xr:uid="{00000000-0005-0000-0000-000039670000}"/>
    <cellStyle name="Pre-inputted cells 6 3 2 2 6" xfId="26041" xr:uid="{00000000-0005-0000-0000-00003A670000}"/>
    <cellStyle name="Pre-inputted cells 6 3 2 2 7" xfId="26042" xr:uid="{00000000-0005-0000-0000-00003B670000}"/>
    <cellStyle name="Pre-inputted cells 6 3 2 2 8" xfId="26043" xr:uid="{00000000-0005-0000-0000-00003C670000}"/>
    <cellStyle name="Pre-inputted cells 6 3 2 2 9" xfId="26044" xr:uid="{00000000-0005-0000-0000-00003D670000}"/>
    <cellStyle name="Pre-inputted cells 6 3 2 20" xfId="26045" xr:uid="{00000000-0005-0000-0000-00003E670000}"/>
    <cellStyle name="Pre-inputted cells 6 3 2 21" xfId="26046" xr:uid="{00000000-0005-0000-0000-00003F670000}"/>
    <cellStyle name="Pre-inputted cells 6 3 2 22" xfId="26047" xr:uid="{00000000-0005-0000-0000-000040670000}"/>
    <cellStyle name="Pre-inputted cells 6 3 2 23" xfId="26048" xr:uid="{00000000-0005-0000-0000-000041670000}"/>
    <cellStyle name="Pre-inputted cells 6 3 2 24" xfId="26049" xr:uid="{00000000-0005-0000-0000-000042670000}"/>
    <cellStyle name="Pre-inputted cells 6 3 2 25" xfId="26050" xr:uid="{00000000-0005-0000-0000-000043670000}"/>
    <cellStyle name="Pre-inputted cells 6 3 2 26" xfId="26051" xr:uid="{00000000-0005-0000-0000-000044670000}"/>
    <cellStyle name="Pre-inputted cells 6 3 2 27" xfId="26052" xr:uid="{00000000-0005-0000-0000-000045670000}"/>
    <cellStyle name="Pre-inputted cells 6 3 2 28" xfId="26053" xr:uid="{00000000-0005-0000-0000-000046670000}"/>
    <cellStyle name="Pre-inputted cells 6 3 2 29" xfId="26054" xr:uid="{00000000-0005-0000-0000-000047670000}"/>
    <cellStyle name="Pre-inputted cells 6 3 2 3" xfId="26055" xr:uid="{00000000-0005-0000-0000-000048670000}"/>
    <cellStyle name="Pre-inputted cells 6 3 2 30" xfId="26056" xr:uid="{00000000-0005-0000-0000-000049670000}"/>
    <cellStyle name="Pre-inputted cells 6 3 2 31" xfId="26057" xr:uid="{00000000-0005-0000-0000-00004A670000}"/>
    <cellStyle name="Pre-inputted cells 6 3 2 32" xfId="26058" xr:uid="{00000000-0005-0000-0000-00004B670000}"/>
    <cellStyle name="Pre-inputted cells 6 3 2 33" xfId="26059" xr:uid="{00000000-0005-0000-0000-00004C670000}"/>
    <cellStyle name="Pre-inputted cells 6 3 2 34" xfId="26060" xr:uid="{00000000-0005-0000-0000-00004D670000}"/>
    <cellStyle name="Pre-inputted cells 6 3 2 4" xfId="26061" xr:uid="{00000000-0005-0000-0000-00004E670000}"/>
    <cellStyle name="Pre-inputted cells 6 3 2 5" xfId="26062" xr:uid="{00000000-0005-0000-0000-00004F670000}"/>
    <cellStyle name="Pre-inputted cells 6 3 2 6" xfId="26063" xr:uid="{00000000-0005-0000-0000-000050670000}"/>
    <cellStyle name="Pre-inputted cells 6 3 2 7" xfId="26064" xr:uid="{00000000-0005-0000-0000-000051670000}"/>
    <cellStyle name="Pre-inputted cells 6 3 2 8" xfId="26065" xr:uid="{00000000-0005-0000-0000-000052670000}"/>
    <cellStyle name="Pre-inputted cells 6 3 2 9" xfId="26066" xr:uid="{00000000-0005-0000-0000-000053670000}"/>
    <cellStyle name="Pre-inputted cells 6 3 20" xfId="26067" xr:uid="{00000000-0005-0000-0000-000054670000}"/>
    <cellStyle name="Pre-inputted cells 6 3 21" xfId="26068" xr:uid="{00000000-0005-0000-0000-000055670000}"/>
    <cellStyle name="Pre-inputted cells 6 3 22" xfId="26069" xr:uid="{00000000-0005-0000-0000-000056670000}"/>
    <cellStyle name="Pre-inputted cells 6 3 23" xfId="26070" xr:uid="{00000000-0005-0000-0000-000057670000}"/>
    <cellStyle name="Pre-inputted cells 6 3 24" xfId="26071" xr:uid="{00000000-0005-0000-0000-000058670000}"/>
    <cellStyle name="Pre-inputted cells 6 3 25" xfId="26072" xr:uid="{00000000-0005-0000-0000-000059670000}"/>
    <cellStyle name="Pre-inputted cells 6 3 26" xfId="26073" xr:uid="{00000000-0005-0000-0000-00005A670000}"/>
    <cellStyle name="Pre-inputted cells 6 3 27" xfId="26074" xr:uid="{00000000-0005-0000-0000-00005B670000}"/>
    <cellStyle name="Pre-inputted cells 6 3 28" xfId="26075" xr:uid="{00000000-0005-0000-0000-00005C670000}"/>
    <cellStyle name="Pre-inputted cells 6 3 29" xfId="26076" xr:uid="{00000000-0005-0000-0000-00005D670000}"/>
    <cellStyle name="Pre-inputted cells 6 3 3" xfId="26077" xr:uid="{00000000-0005-0000-0000-00005E670000}"/>
    <cellStyle name="Pre-inputted cells 6 3 3 10" xfId="26078" xr:uid="{00000000-0005-0000-0000-00005F670000}"/>
    <cellStyle name="Pre-inputted cells 6 3 3 11" xfId="26079" xr:uid="{00000000-0005-0000-0000-000060670000}"/>
    <cellStyle name="Pre-inputted cells 6 3 3 12" xfId="26080" xr:uid="{00000000-0005-0000-0000-000061670000}"/>
    <cellStyle name="Pre-inputted cells 6 3 3 13" xfId="26081" xr:uid="{00000000-0005-0000-0000-000062670000}"/>
    <cellStyle name="Pre-inputted cells 6 3 3 2" xfId="26082" xr:uid="{00000000-0005-0000-0000-000063670000}"/>
    <cellStyle name="Pre-inputted cells 6 3 3 3" xfId="26083" xr:uid="{00000000-0005-0000-0000-000064670000}"/>
    <cellStyle name="Pre-inputted cells 6 3 3 4" xfId="26084" xr:uid="{00000000-0005-0000-0000-000065670000}"/>
    <cellStyle name="Pre-inputted cells 6 3 3 5" xfId="26085" xr:uid="{00000000-0005-0000-0000-000066670000}"/>
    <cellStyle name="Pre-inputted cells 6 3 3 6" xfId="26086" xr:uid="{00000000-0005-0000-0000-000067670000}"/>
    <cellStyle name="Pre-inputted cells 6 3 3 7" xfId="26087" xr:uid="{00000000-0005-0000-0000-000068670000}"/>
    <cellStyle name="Pre-inputted cells 6 3 3 8" xfId="26088" xr:uid="{00000000-0005-0000-0000-000069670000}"/>
    <cellStyle name="Pre-inputted cells 6 3 3 9" xfId="26089" xr:uid="{00000000-0005-0000-0000-00006A670000}"/>
    <cellStyle name="Pre-inputted cells 6 3 30" xfId="26090" xr:uid="{00000000-0005-0000-0000-00006B670000}"/>
    <cellStyle name="Pre-inputted cells 6 3 31" xfId="26091" xr:uid="{00000000-0005-0000-0000-00006C670000}"/>
    <cellStyle name="Pre-inputted cells 6 3 32" xfId="26092" xr:uid="{00000000-0005-0000-0000-00006D670000}"/>
    <cellStyle name="Pre-inputted cells 6 3 33" xfId="26093" xr:uid="{00000000-0005-0000-0000-00006E670000}"/>
    <cellStyle name="Pre-inputted cells 6 3 34" xfId="26094" xr:uid="{00000000-0005-0000-0000-00006F670000}"/>
    <cellStyle name="Pre-inputted cells 6 3 35" xfId="26095" xr:uid="{00000000-0005-0000-0000-000070670000}"/>
    <cellStyle name="Pre-inputted cells 6 3 4" xfId="26096" xr:uid="{00000000-0005-0000-0000-000071670000}"/>
    <cellStyle name="Pre-inputted cells 6 3 5" xfId="26097" xr:uid="{00000000-0005-0000-0000-000072670000}"/>
    <cellStyle name="Pre-inputted cells 6 3 6" xfId="26098" xr:uid="{00000000-0005-0000-0000-000073670000}"/>
    <cellStyle name="Pre-inputted cells 6 3 7" xfId="26099" xr:uid="{00000000-0005-0000-0000-000074670000}"/>
    <cellStyle name="Pre-inputted cells 6 3 8" xfId="26100" xr:uid="{00000000-0005-0000-0000-000075670000}"/>
    <cellStyle name="Pre-inputted cells 6 3 9" xfId="26101" xr:uid="{00000000-0005-0000-0000-000076670000}"/>
    <cellStyle name="Pre-inputted cells 6 3_4 28 1_Asst_Health_Crit_AllTO_RIIO_20110714pm" xfId="26102" xr:uid="{00000000-0005-0000-0000-000077670000}"/>
    <cellStyle name="Pre-inputted cells 6 30" xfId="26103" xr:uid="{00000000-0005-0000-0000-000078670000}"/>
    <cellStyle name="Pre-inputted cells 6 31" xfId="26104" xr:uid="{00000000-0005-0000-0000-000079670000}"/>
    <cellStyle name="Pre-inputted cells 6 32" xfId="26105" xr:uid="{00000000-0005-0000-0000-00007A670000}"/>
    <cellStyle name="Pre-inputted cells 6 33" xfId="26106" xr:uid="{00000000-0005-0000-0000-00007B670000}"/>
    <cellStyle name="Pre-inputted cells 6 34" xfId="26107" xr:uid="{00000000-0005-0000-0000-00007C670000}"/>
    <cellStyle name="Pre-inputted cells 6 35" xfId="26108" xr:uid="{00000000-0005-0000-0000-00007D670000}"/>
    <cellStyle name="Pre-inputted cells 6 36" xfId="26109" xr:uid="{00000000-0005-0000-0000-00007E670000}"/>
    <cellStyle name="Pre-inputted cells 6 37" xfId="26110" xr:uid="{00000000-0005-0000-0000-00007F670000}"/>
    <cellStyle name="Pre-inputted cells 6 38" xfId="26111" xr:uid="{00000000-0005-0000-0000-000080670000}"/>
    <cellStyle name="Pre-inputted cells 6 39" xfId="26112" xr:uid="{00000000-0005-0000-0000-000081670000}"/>
    <cellStyle name="Pre-inputted cells 6 4" xfId="26113" xr:uid="{00000000-0005-0000-0000-000082670000}"/>
    <cellStyle name="Pre-inputted cells 6 4 10" xfId="26114" xr:uid="{00000000-0005-0000-0000-000083670000}"/>
    <cellStyle name="Pre-inputted cells 6 4 11" xfId="26115" xr:uid="{00000000-0005-0000-0000-000084670000}"/>
    <cellStyle name="Pre-inputted cells 6 4 12" xfId="26116" xr:uid="{00000000-0005-0000-0000-000085670000}"/>
    <cellStyle name="Pre-inputted cells 6 4 13" xfId="26117" xr:uid="{00000000-0005-0000-0000-000086670000}"/>
    <cellStyle name="Pre-inputted cells 6 4 14" xfId="26118" xr:uid="{00000000-0005-0000-0000-000087670000}"/>
    <cellStyle name="Pre-inputted cells 6 4 15" xfId="26119" xr:uid="{00000000-0005-0000-0000-000088670000}"/>
    <cellStyle name="Pre-inputted cells 6 4 16" xfId="26120" xr:uid="{00000000-0005-0000-0000-000089670000}"/>
    <cellStyle name="Pre-inputted cells 6 4 17" xfId="26121" xr:uid="{00000000-0005-0000-0000-00008A670000}"/>
    <cellStyle name="Pre-inputted cells 6 4 18" xfId="26122" xr:uid="{00000000-0005-0000-0000-00008B670000}"/>
    <cellStyle name="Pre-inputted cells 6 4 19" xfId="26123" xr:uid="{00000000-0005-0000-0000-00008C670000}"/>
    <cellStyle name="Pre-inputted cells 6 4 2" xfId="26124" xr:uid="{00000000-0005-0000-0000-00008D670000}"/>
    <cellStyle name="Pre-inputted cells 6 4 2 10" xfId="26125" xr:uid="{00000000-0005-0000-0000-00008E670000}"/>
    <cellStyle name="Pre-inputted cells 6 4 2 11" xfId="26126" xr:uid="{00000000-0005-0000-0000-00008F670000}"/>
    <cellStyle name="Pre-inputted cells 6 4 2 12" xfId="26127" xr:uid="{00000000-0005-0000-0000-000090670000}"/>
    <cellStyle name="Pre-inputted cells 6 4 2 13" xfId="26128" xr:uid="{00000000-0005-0000-0000-000091670000}"/>
    <cellStyle name="Pre-inputted cells 6 4 2 2" xfId="26129" xr:uid="{00000000-0005-0000-0000-000092670000}"/>
    <cellStyle name="Pre-inputted cells 6 4 2 3" xfId="26130" xr:uid="{00000000-0005-0000-0000-000093670000}"/>
    <cellStyle name="Pre-inputted cells 6 4 2 4" xfId="26131" xr:uid="{00000000-0005-0000-0000-000094670000}"/>
    <cellStyle name="Pre-inputted cells 6 4 2 5" xfId="26132" xr:uid="{00000000-0005-0000-0000-000095670000}"/>
    <cellStyle name="Pre-inputted cells 6 4 2 6" xfId="26133" xr:uid="{00000000-0005-0000-0000-000096670000}"/>
    <cellStyle name="Pre-inputted cells 6 4 2 7" xfId="26134" xr:uid="{00000000-0005-0000-0000-000097670000}"/>
    <cellStyle name="Pre-inputted cells 6 4 2 8" xfId="26135" xr:uid="{00000000-0005-0000-0000-000098670000}"/>
    <cellStyle name="Pre-inputted cells 6 4 2 9" xfId="26136" xr:uid="{00000000-0005-0000-0000-000099670000}"/>
    <cellStyle name="Pre-inputted cells 6 4 20" xfId="26137" xr:uid="{00000000-0005-0000-0000-00009A670000}"/>
    <cellStyle name="Pre-inputted cells 6 4 21" xfId="26138" xr:uid="{00000000-0005-0000-0000-00009B670000}"/>
    <cellStyle name="Pre-inputted cells 6 4 22" xfId="26139" xr:uid="{00000000-0005-0000-0000-00009C670000}"/>
    <cellStyle name="Pre-inputted cells 6 4 23" xfId="26140" xr:uid="{00000000-0005-0000-0000-00009D670000}"/>
    <cellStyle name="Pre-inputted cells 6 4 24" xfId="26141" xr:uid="{00000000-0005-0000-0000-00009E670000}"/>
    <cellStyle name="Pre-inputted cells 6 4 25" xfId="26142" xr:uid="{00000000-0005-0000-0000-00009F670000}"/>
    <cellStyle name="Pre-inputted cells 6 4 26" xfId="26143" xr:uid="{00000000-0005-0000-0000-0000A0670000}"/>
    <cellStyle name="Pre-inputted cells 6 4 27" xfId="26144" xr:uid="{00000000-0005-0000-0000-0000A1670000}"/>
    <cellStyle name="Pre-inputted cells 6 4 28" xfId="26145" xr:uid="{00000000-0005-0000-0000-0000A2670000}"/>
    <cellStyle name="Pre-inputted cells 6 4 29" xfId="26146" xr:uid="{00000000-0005-0000-0000-0000A3670000}"/>
    <cellStyle name="Pre-inputted cells 6 4 3" xfId="26147" xr:uid="{00000000-0005-0000-0000-0000A4670000}"/>
    <cellStyle name="Pre-inputted cells 6 4 30" xfId="26148" xr:uid="{00000000-0005-0000-0000-0000A5670000}"/>
    <cellStyle name="Pre-inputted cells 6 4 31" xfId="26149" xr:uid="{00000000-0005-0000-0000-0000A6670000}"/>
    <cellStyle name="Pre-inputted cells 6 4 32" xfId="26150" xr:uid="{00000000-0005-0000-0000-0000A7670000}"/>
    <cellStyle name="Pre-inputted cells 6 4 33" xfId="26151" xr:uid="{00000000-0005-0000-0000-0000A8670000}"/>
    <cellStyle name="Pre-inputted cells 6 4 34" xfId="26152" xr:uid="{00000000-0005-0000-0000-0000A9670000}"/>
    <cellStyle name="Pre-inputted cells 6 4 4" xfId="26153" xr:uid="{00000000-0005-0000-0000-0000AA670000}"/>
    <cellStyle name="Pre-inputted cells 6 4 5" xfId="26154" xr:uid="{00000000-0005-0000-0000-0000AB670000}"/>
    <cellStyle name="Pre-inputted cells 6 4 6" xfId="26155" xr:uid="{00000000-0005-0000-0000-0000AC670000}"/>
    <cellStyle name="Pre-inputted cells 6 4 7" xfId="26156" xr:uid="{00000000-0005-0000-0000-0000AD670000}"/>
    <cellStyle name="Pre-inputted cells 6 4 8" xfId="26157" xr:uid="{00000000-0005-0000-0000-0000AE670000}"/>
    <cellStyle name="Pre-inputted cells 6 4 9" xfId="26158" xr:uid="{00000000-0005-0000-0000-0000AF670000}"/>
    <cellStyle name="Pre-inputted cells 6 5" xfId="26159" xr:uid="{00000000-0005-0000-0000-0000B0670000}"/>
    <cellStyle name="Pre-inputted cells 6 5 10" xfId="26160" xr:uid="{00000000-0005-0000-0000-0000B1670000}"/>
    <cellStyle name="Pre-inputted cells 6 5 11" xfId="26161" xr:uid="{00000000-0005-0000-0000-0000B2670000}"/>
    <cellStyle name="Pre-inputted cells 6 5 12" xfId="26162" xr:uid="{00000000-0005-0000-0000-0000B3670000}"/>
    <cellStyle name="Pre-inputted cells 6 5 13" xfId="26163" xr:uid="{00000000-0005-0000-0000-0000B4670000}"/>
    <cellStyle name="Pre-inputted cells 6 5 14" xfId="26164" xr:uid="{00000000-0005-0000-0000-0000B5670000}"/>
    <cellStyle name="Pre-inputted cells 6 5 15" xfId="26165" xr:uid="{00000000-0005-0000-0000-0000B6670000}"/>
    <cellStyle name="Pre-inputted cells 6 5 16" xfId="26166" xr:uid="{00000000-0005-0000-0000-0000B7670000}"/>
    <cellStyle name="Pre-inputted cells 6 5 17" xfId="26167" xr:uid="{00000000-0005-0000-0000-0000B8670000}"/>
    <cellStyle name="Pre-inputted cells 6 5 18" xfId="26168" xr:uid="{00000000-0005-0000-0000-0000B9670000}"/>
    <cellStyle name="Pre-inputted cells 6 5 19" xfId="26169" xr:uid="{00000000-0005-0000-0000-0000BA670000}"/>
    <cellStyle name="Pre-inputted cells 6 5 2" xfId="26170" xr:uid="{00000000-0005-0000-0000-0000BB670000}"/>
    <cellStyle name="Pre-inputted cells 6 5 2 10" xfId="26171" xr:uid="{00000000-0005-0000-0000-0000BC670000}"/>
    <cellStyle name="Pre-inputted cells 6 5 2 11" xfId="26172" xr:uid="{00000000-0005-0000-0000-0000BD670000}"/>
    <cellStyle name="Pre-inputted cells 6 5 2 12" xfId="26173" xr:uid="{00000000-0005-0000-0000-0000BE670000}"/>
    <cellStyle name="Pre-inputted cells 6 5 2 13" xfId="26174" xr:uid="{00000000-0005-0000-0000-0000BF670000}"/>
    <cellStyle name="Pre-inputted cells 6 5 2 2" xfId="26175" xr:uid="{00000000-0005-0000-0000-0000C0670000}"/>
    <cellStyle name="Pre-inputted cells 6 5 2 3" xfId="26176" xr:uid="{00000000-0005-0000-0000-0000C1670000}"/>
    <cellStyle name="Pre-inputted cells 6 5 2 4" xfId="26177" xr:uid="{00000000-0005-0000-0000-0000C2670000}"/>
    <cellStyle name="Pre-inputted cells 6 5 2 5" xfId="26178" xr:uid="{00000000-0005-0000-0000-0000C3670000}"/>
    <cellStyle name="Pre-inputted cells 6 5 2 6" xfId="26179" xr:uid="{00000000-0005-0000-0000-0000C4670000}"/>
    <cellStyle name="Pre-inputted cells 6 5 2 7" xfId="26180" xr:uid="{00000000-0005-0000-0000-0000C5670000}"/>
    <cellStyle name="Pre-inputted cells 6 5 2 8" xfId="26181" xr:uid="{00000000-0005-0000-0000-0000C6670000}"/>
    <cellStyle name="Pre-inputted cells 6 5 2 9" xfId="26182" xr:uid="{00000000-0005-0000-0000-0000C7670000}"/>
    <cellStyle name="Pre-inputted cells 6 5 20" xfId="26183" xr:uid="{00000000-0005-0000-0000-0000C8670000}"/>
    <cellStyle name="Pre-inputted cells 6 5 21" xfId="26184" xr:uid="{00000000-0005-0000-0000-0000C9670000}"/>
    <cellStyle name="Pre-inputted cells 6 5 22" xfId="26185" xr:uid="{00000000-0005-0000-0000-0000CA670000}"/>
    <cellStyle name="Pre-inputted cells 6 5 23" xfId="26186" xr:uid="{00000000-0005-0000-0000-0000CB670000}"/>
    <cellStyle name="Pre-inputted cells 6 5 24" xfId="26187" xr:uid="{00000000-0005-0000-0000-0000CC670000}"/>
    <cellStyle name="Pre-inputted cells 6 5 25" xfId="26188" xr:uid="{00000000-0005-0000-0000-0000CD670000}"/>
    <cellStyle name="Pre-inputted cells 6 5 26" xfId="26189" xr:uid="{00000000-0005-0000-0000-0000CE670000}"/>
    <cellStyle name="Pre-inputted cells 6 5 27" xfId="26190" xr:uid="{00000000-0005-0000-0000-0000CF670000}"/>
    <cellStyle name="Pre-inputted cells 6 5 28" xfId="26191" xr:uid="{00000000-0005-0000-0000-0000D0670000}"/>
    <cellStyle name="Pre-inputted cells 6 5 29" xfId="26192" xr:uid="{00000000-0005-0000-0000-0000D1670000}"/>
    <cellStyle name="Pre-inputted cells 6 5 3" xfId="26193" xr:uid="{00000000-0005-0000-0000-0000D2670000}"/>
    <cellStyle name="Pre-inputted cells 6 5 30" xfId="26194" xr:uid="{00000000-0005-0000-0000-0000D3670000}"/>
    <cellStyle name="Pre-inputted cells 6 5 31" xfId="26195" xr:uid="{00000000-0005-0000-0000-0000D4670000}"/>
    <cellStyle name="Pre-inputted cells 6 5 32" xfId="26196" xr:uid="{00000000-0005-0000-0000-0000D5670000}"/>
    <cellStyle name="Pre-inputted cells 6 5 33" xfId="26197" xr:uid="{00000000-0005-0000-0000-0000D6670000}"/>
    <cellStyle name="Pre-inputted cells 6 5 34" xfId="26198" xr:uid="{00000000-0005-0000-0000-0000D7670000}"/>
    <cellStyle name="Pre-inputted cells 6 5 4" xfId="26199" xr:uid="{00000000-0005-0000-0000-0000D8670000}"/>
    <cellStyle name="Pre-inputted cells 6 5 5" xfId="26200" xr:uid="{00000000-0005-0000-0000-0000D9670000}"/>
    <cellStyle name="Pre-inputted cells 6 5 6" xfId="26201" xr:uid="{00000000-0005-0000-0000-0000DA670000}"/>
    <cellStyle name="Pre-inputted cells 6 5 7" xfId="26202" xr:uid="{00000000-0005-0000-0000-0000DB670000}"/>
    <cellStyle name="Pre-inputted cells 6 5 8" xfId="26203" xr:uid="{00000000-0005-0000-0000-0000DC670000}"/>
    <cellStyle name="Pre-inputted cells 6 5 9" xfId="26204" xr:uid="{00000000-0005-0000-0000-0000DD670000}"/>
    <cellStyle name="Pre-inputted cells 6 6" xfId="26205" xr:uid="{00000000-0005-0000-0000-0000DE670000}"/>
    <cellStyle name="Pre-inputted cells 6 6 10" xfId="26206" xr:uid="{00000000-0005-0000-0000-0000DF670000}"/>
    <cellStyle name="Pre-inputted cells 6 6 11" xfId="26207" xr:uid="{00000000-0005-0000-0000-0000E0670000}"/>
    <cellStyle name="Pre-inputted cells 6 6 12" xfId="26208" xr:uid="{00000000-0005-0000-0000-0000E1670000}"/>
    <cellStyle name="Pre-inputted cells 6 6 13" xfId="26209" xr:uid="{00000000-0005-0000-0000-0000E2670000}"/>
    <cellStyle name="Pre-inputted cells 6 6 2" xfId="26210" xr:uid="{00000000-0005-0000-0000-0000E3670000}"/>
    <cellStyle name="Pre-inputted cells 6 6 3" xfId="26211" xr:uid="{00000000-0005-0000-0000-0000E4670000}"/>
    <cellStyle name="Pre-inputted cells 6 6 4" xfId="26212" xr:uid="{00000000-0005-0000-0000-0000E5670000}"/>
    <cellStyle name="Pre-inputted cells 6 6 5" xfId="26213" xr:uid="{00000000-0005-0000-0000-0000E6670000}"/>
    <cellStyle name="Pre-inputted cells 6 6 6" xfId="26214" xr:uid="{00000000-0005-0000-0000-0000E7670000}"/>
    <cellStyle name="Pre-inputted cells 6 6 7" xfId="26215" xr:uid="{00000000-0005-0000-0000-0000E8670000}"/>
    <cellStyle name="Pre-inputted cells 6 6 8" xfId="26216" xr:uid="{00000000-0005-0000-0000-0000E9670000}"/>
    <cellStyle name="Pre-inputted cells 6 6 9" xfId="26217" xr:uid="{00000000-0005-0000-0000-0000EA670000}"/>
    <cellStyle name="Pre-inputted cells 6 7" xfId="26218" xr:uid="{00000000-0005-0000-0000-0000EB670000}"/>
    <cellStyle name="Pre-inputted cells 6 8" xfId="26219" xr:uid="{00000000-0005-0000-0000-0000EC670000}"/>
    <cellStyle name="Pre-inputted cells 6 9" xfId="26220" xr:uid="{00000000-0005-0000-0000-0000ED670000}"/>
    <cellStyle name="Pre-inputted cells 6_3.15 Additional Data" xfId="42404" xr:uid="{00000000-0005-0000-0000-0000EE670000}"/>
    <cellStyle name="Pre-inputted cells 7" xfId="26221" xr:uid="{00000000-0005-0000-0000-0000EF670000}"/>
    <cellStyle name="Pre-inputted cells 7 10" xfId="26222" xr:uid="{00000000-0005-0000-0000-0000F0670000}"/>
    <cellStyle name="Pre-inputted cells 7 11" xfId="26223" xr:uid="{00000000-0005-0000-0000-0000F1670000}"/>
    <cellStyle name="Pre-inputted cells 7 12" xfId="26224" xr:uid="{00000000-0005-0000-0000-0000F2670000}"/>
    <cellStyle name="Pre-inputted cells 7 13" xfId="26225" xr:uid="{00000000-0005-0000-0000-0000F3670000}"/>
    <cellStyle name="Pre-inputted cells 7 14" xfId="26226" xr:uid="{00000000-0005-0000-0000-0000F4670000}"/>
    <cellStyle name="Pre-inputted cells 7 15" xfId="26227" xr:uid="{00000000-0005-0000-0000-0000F5670000}"/>
    <cellStyle name="Pre-inputted cells 7 16" xfId="26228" xr:uid="{00000000-0005-0000-0000-0000F6670000}"/>
    <cellStyle name="Pre-inputted cells 7 17" xfId="26229" xr:uid="{00000000-0005-0000-0000-0000F7670000}"/>
    <cellStyle name="Pre-inputted cells 7 18" xfId="26230" xr:uid="{00000000-0005-0000-0000-0000F8670000}"/>
    <cellStyle name="Pre-inputted cells 7 19" xfId="26231" xr:uid="{00000000-0005-0000-0000-0000F9670000}"/>
    <cellStyle name="Pre-inputted cells 7 2" xfId="26232" xr:uid="{00000000-0005-0000-0000-0000FA670000}"/>
    <cellStyle name="Pre-inputted cells 7 2 10" xfId="26233" xr:uid="{00000000-0005-0000-0000-0000FB670000}"/>
    <cellStyle name="Pre-inputted cells 7 2 11" xfId="26234" xr:uid="{00000000-0005-0000-0000-0000FC670000}"/>
    <cellStyle name="Pre-inputted cells 7 2 12" xfId="26235" xr:uid="{00000000-0005-0000-0000-0000FD670000}"/>
    <cellStyle name="Pre-inputted cells 7 2 13" xfId="26236" xr:uid="{00000000-0005-0000-0000-0000FE670000}"/>
    <cellStyle name="Pre-inputted cells 7 2 14" xfId="26237" xr:uid="{00000000-0005-0000-0000-0000FF670000}"/>
    <cellStyle name="Pre-inputted cells 7 2 15" xfId="26238" xr:uid="{00000000-0005-0000-0000-000000680000}"/>
    <cellStyle name="Pre-inputted cells 7 2 16" xfId="26239" xr:uid="{00000000-0005-0000-0000-000001680000}"/>
    <cellStyle name="Pre-inputted cells 7 2 17" xfId="26240" xr:uid="{00000000-0005-0000-0000-000002680000}"/>
    <cellStyle name="Pre-inputted cells 7 2 18" xfId="26241" xr:uid="{00000000-0005-0000-0000-000003680000}"/>
    <cellStyle name="Pre-inputted cells 7 2 19" xfId="26242" xr:uid="{00000000-0005-0000-0000-000004680000}"/>
    <cellStyle name="Pre-inputted cells 7 2 2" xfId="26243" xr:uid="{00000000-0005-0000-0000-000005680000}"/>
    <cellStyle name="Pre-inputted cells 7 2 2 10" xfId="26244" xr:uid="{00000000-0005-0000-0000-000006680000}"/>
    <cellStyle name="Pre-inputted cells 7 2 2 11" xfId="26245" xr:uid="{00000000-0005-0000-0000-000007680000}"/>
    <cellStyle name="Pre-inputted cells 7 2 2 12" xfId="26246" xr:uid="{00000000-0005-0000-0000-000008680000}"/>
    <cellStyle name="Pre-inputted cells 7 2 2 13" xfId="26247" xr:uid="{00000000-0005-0000-0000-000009680000}"/>
    <cellStyle name="Pre-inputted cells 7 2 2 14" xfId="26248" xr:uid="{00000000-0005-0000-0000-00000A680000}"/>
    <cellStyle name="Pre-inputted cells 7 2 2 15" xfId="26249" xr:uid="{00000000-0005-0000-0000-00000B680000}"/>
    <cellStyle name="Pre-inputted cells 7 2 2 16" xfId="26250" xr:uid="{00000000-0005-0000-0000-00000C680000}"/>
    <cellStyle name="Pre-inputted cells 7 2 2 17" xfId="26251" xr:uid="{00000000-0005-0000-0000-00000D680000}"/>
    <cellStyle name="Pre-inputted cells 7 2 2 18" xfId="26252" xr:uid="{00000000-0005-0000-0000-00000E680000}"/>
    <cellStyle name="Pre-inputted cells 7 2 2 19" xfId="26253" xr:uid="{00000000-0005-0000-0000-00000F680000}"/>
    <cellStyle name="Pre-inputted cells 7 2 2 2" xfId="26254" xr:uid="{00000000-0005-0000-0000-000010680000}"/>
    <cellStyle name="Pre-inputted cells 7 2 2 2 10" xfId="26255" xr:uid="{00000000-0005-0000-0000-000011680000}"/>
    <cellStyle name="Pre-inputted cells 7 2 2 2 11" xfId="26256" xr:uid="{00000000-0005-0000-0000-000012680000}"/>
    <cellStyle name="Pre-inputted cells 7 2 2 2 12" xfId="26257" xr:uid="{00000000-0005-0000-0000-000013680000}"/>
    <cellStyle name="Pre-inputted cells 7 2 2 2 13" xfId="26258" xr:uid="{00000000-0005-0000-0000-000014680000}"/>
    <cellStyle name="Pre-inputted cells 7 2 2 2 14" xfId="26259" xr:uid="{00000000-0005-0000-0000-000015680000}"/>
    <cellStyle name="Pre-inputted cells 7 2 2 2 15" xfId="26260" xr:uid="{00000000-0005-0000-0000-000016680000}"/>
    <cellStyle name="Pre-inputted cells 7 2 2 2 16" xfId="26261" xr:uid="{00000000-0005-0000-0000-000017680000}"/>
    <cellStyle name="Pre-inputted cells 7 2 2 2 17" xfId="26262" xr:uid="{00000000-0005-0000-0000-000018680000}"/>
    <cellStyle name="Pre-inputted cells 7 2 2 2 18" xfId="26263" xr:uid="{00000000-0005-0000-0000-000019680000}"/>
    <cellStyle name="Pre-inputted cells 7 2 2 2 19" xfId="26264" xr:uid="{00000000-0005-0000-0000-00001A680000}"/>
    <cellStyle name="Pre-inputted cells 7 2 2 2 2" xfId="26265" xr:uid="{00000000-0005-0000-0000-00001B680000}"/>
    <cellStyle name="Pre-inputted cells 7 2 2 2 2 10" xfId="26266" xr:uid="{00000000-0005-0000-0000-00001C680000}"/>
    <cellStyle name="Pre-inputted cells 7 2 2 2 2 11" xfId="26267" xr:uid="{00000000-0005-0000-0000-00001D680000}"/>
    <cellStyle name="Pre-inputted cells 7 2 2 2 2 12" xfId="26268" xr:uid="{00000000-0005-0000-0000-00001E680000}"/>
    <cellStyle name="Pre-inputted cells 7 2 2 2 2 13" xfId="26269" xr:uid="{00000000-0005-0000-0000-00001F680000}"/>
    <cellStyle name="Pre-inputted cells 7 2 2 2 2 2" xfId="26270" xr:uid="{00000000-0005-0000-0000-000020680000}"/>
    <cellStyle name="Pre-inputted cells 7 2 2 2 2 3" xfId="26271" xr:uid="{00000000-0005-0000-0000-000021680000}"/>
    <cellStyle name="Pre-inputted cells 7 2 2 2 2 4" xfId="26272" xr:uid="{00000000-0005-0000-0000-000022680000}"/>
    <cellStyle name="Pre-inputted cells 7 2 2 2 2 5" xfId="26273" xr:uid="{00000000-0005-0000-0000-000023680000}"/>
    <cellStyle name="Pre-inputted cells 7 2 2 2 2 6" xfId="26274" xr:uid="{00000000-0005-0000-0000-000024680000}"/>
    <cellStyle name="Pre-inputted cells 7 2 2 2 2 7" xfId="26275" xr:uid="{00000000-0005-0000-0000-000025680000}"/>
    <cellStyle name="Pre-inputted cells 7 2 2 2 2 8" xfId="26276" xr:uid="{00000000-0005-0000-0000-000026680000}"/>
    <cellStyle name="Pre-inputted cells 7 2 2 2 2 9" xfId="26277" xr:uid="{00000000-0005-0000-0000-000027680000}"/>
    <cellStyle name="Pre-inputted cells 7 2 2 2 20" xfId="26278" xr:uid="{00000000-0005-0000-0000-000028680000}"/>
    <cellStyle name="Pre-inputted cells 7 2 2 2 21" xfId="26279" xr:uid="{00000000-0005-0000-0000-000029680000}"/>
    <cellStyle name="Pre-inputted cells 7 2 2 2 22" xfId="26280" xr:uid="{00000000-0005-0000-0000-00002A680000}"/>
    <cellStyle name="Pre-inputted cells 7 2 2 2 23" xfId="26281" xr:uid="{00000000-0005-0000-0000-00002B680000}"/>
    <cellStyle name="Pre-inputted cells 7 2 2 2 24" xfId="26282" xr:uid="{00000000-0005-0000-0000-00002C680000}"/>
    <cellStyle name="Pre-inputted cells 7 2 2 2 25" xfId="26283" xr:uid="{00000000-0005-0000-0000-00002D680000}"/>
    <cellStyle name="Pre-inputted cells 7 2 2 2 26" xfId="26284" xr:uid="{00000000-0005-0000-0000-00002E680000}"/>
    <cellStyle name="Pre-inputted cells 7 2 2 2 27" xfId="26285" xr:uid="{00000000-0005-0000-0000-00002F680000}"/>
    <cellStyle name="Pre-inputted cells 7 2 2 2 28" xfId="26286" xr:uid="{00000000-0005-0000-0000-000030680000}"/>
    <cellStyle name="Pre-inputted cells 7 2 2 2 29" xfId="26287" xr:uid="{00000000-0005-0000-0000-000031680000}"/>
    <cellStyle name="Pre-inputted cells 7 2 2 2 3" xfId="26288" xr:uid="{00000000-0005-0000-0000-000032680000}"/>
    <cellStyle name="Pre-inputted cells 7 2 2 2 30" xfId="26289" xr:uid="{00000000-0005-0000-0000-000033680000}"/>
    <cellStyle name="Pre-inputted cells 7 2 2 2 31" xfId="26290" xr:uid="{00000000-0005-0000-0000-000034680000}"/>
    <cellStyle name="Pre-inputted cells 7 2 2 2 32" xfId="26291" xr:uid="{00000000-0005-0000-0000-000035680000}"/>
    <cellStyle name="Pre-inputted cells 7 2 2 2 33" xfId="26292" xr:uid="{00000000-0005-0000-0000-000036680000}"/>
    <cellStyle name="Pre-inputted cells 7 2 2 2 34" xfId="26293" xr:uid="{00000000-0005-0000-0000-000037680000}"/>
    <cellStyle name="Pre-inputted cells 7 2 2 2 4" xfId="26294" xr:uid="{00000000-0005-0000-0000-000038680000}"/>
    <cellStyle name="Pre-inputted cells 7 2 2 2 5" xfId="26295" xr:uid="{00000000-0005-0000-0000-000039680000}"/>
    <cellStyle name="Pre-inputted cells 7 2 2 2 6" xfId="26296" xr:uid="{00000000-0005-0000-0000-00003A680000}"/>
    <cellStyle name="Pre-inputted cells 7 2 2 2 7" xfId="26297" xr:uid="{00000000-0005-0000-0000-00003B680000}"/>
    <cellStyle name="Pre-inputted cells 7 2 2 2 8" xfId="26298" xr:uid="{00000000-0005-0000-0000-00003C680000}"/>
    <cellStyle name="Pre-inputted cells 7 2 2 2 9" xfId="26299" xr:uid="{00000000-0005-0000-0000-00003D680000}"/>
    <cellStyle name="Pre-inputted cells 7 2 2 20" xfId="26300" xr:uid="{00000000-0005-0000-0000-00003E680000}"/>
    <cellStyle name="Pre-inputted cells 7 2 2 21" xfId="26301" xr:uid="{00000000-0005-0000-0000-00003F680000}"/>
    <cellStyle name="Pre-inputted cells 7 2 2 22" xfId="26302" xr:uid="{00000000-0005-0000-0000-000040680000}"/>
    <cellStyle name="Pre-inputted cells 7 2 2 23" xfId="26303" xr:uid="{00000000-0005-0000-0000-000041680000}"/>
    <cellStyle name="Pre-inputted cells 7 2 2 24" xfId="26304" xr:uid="{00000000-0005-0000-0000-000042680000}"/>
    <cellStyle name="Pre-inputted cells 7 2 2 25" xfId="26305" xr:uid="{00000000-0005-0000-0000-000043680000}"/>
    <cellStyle name="Pre-inputted cells 7 2 2 26" xfId="26306" xr:uid="{00000000-0005-0000-0000-000044680000}"/>
    <cellStyle name="Pre-inputted cells 7 2 2 27" xfId="26307" xr:uid="{00000000-0005-0000-0000-000045680000}"/>
    <cellStyle name="Pre-inputted cells 7 2 2 28" xfId="26308" xr:uid="{00000000-0005-0000-0000-000046680000}"/>
    <cellStyle name="Pre-inputted cells 7 2 2 29" xfId="26309" xr:uid="{00000000-0005-0000-0000-000047680000}"/>
    <cellStyle name="Pre-inputted cells 7 2 2 3" xfId="26310" xr:uid="{00000000-0005-0000-0000-000048680000}"/>
    <cellStyle name="Pre-inputted cells 7 2 2 3 10" xfId="26311" xr:uid="{00000000-0005-0000-0000-000049680000}"/>
    <cellStyle name="Pre-inputted cells 7 2 2 3 11" xfId="26312" xr:uid="{00000000-0005-0000-0000-00004A680000}"/>
    <cellStyle name="Pre-inputted cells 7 2 2 3 12" xfId="26313" xr:uid="{00000000-0005-0000-0000-00004B680000}"/>
    <cellStyle name="Pre-inputted cells 7 2 2 3 13" xfId="26314" xr:uid="{00000000-0005-0000-0000-00004C680000}"/>
    <cellStyle name="Pre-inputted cells 7 2 2 3 2" xfId="26315" xr:uid="{00000000-0005-0000-0000-00004D680000}"/>
    <cellStyle name="Pre-inputted cells 7 2 2 3 3" xfId="26316" xr:uid="{00000000-0005-0000-0000-00004E680000}"/>
    <cellStyle name="Pre-inputted cells 7 2 2 3 4" xfId="26317" xr:uid="{00000000-0005-0000-0000-00004F680000}"/>
    <cellStyle name="Pre-inputted cells 7 2 2 3 5" xfId="26318" xr:uid="{00000000-0005-0000-0000-000050680000}"/>
    <cellStyle name="Pre-inputted cells 7 2 2 3 6" xfId="26319" xr:uid="{00000000-0005-0000-0000-000051680000}"/>
    <cellStyle name="Pre-inputted cells 7 2 2 3 7" xfId="26320" xr:uid="{00000000-0005-0000-0000-000052680000}"/>
    <cellStyle name="Pre-inputted cells 7 2 2 3 8" xfId="26321" xr:uid="{00000000-0005-0000-0000-000053680000}"/>
    <cellStyle name="Pre-inputted cells 7 2 2 3 9" xfId="26322" xr:uid="{00000000-0005-0000-0000-000054680000}"/>
    <cellStyle name="Pre-inputted cells 7 2 2 30" xfId="26323" xr:uid="{00000000-0005-0000-0000-000055680000}"/>
    <cellStyle name="Pre-inputted cells 7 2 2 31" xfId="26324" xr:uid="{00000000-0005-0000-0000-000056680000}"/>
    <cellStyle name="Pre-inputted cells 7 2 2 4" xfId="26325" xr:uid="{00000000-0005-0000-0000-000057680000}"/>
    <cellStyle name="Pre-inputted cells 7 2 2 5" xfId="26326" xr:uid="{00000000-0005-0000-0000-000058680000}"/>
    <cellStyle name="Pre-inputted cells 7 2 2 6" xfId="26327" xr:uid="{00000000-0005-0000-0000-000059680000}"/>
    <cellStyle name="Pre-inputted cells 7 2 2 7" xfId="26328" xr:uid="{00000000-0005-0000-0000-00005A680000}"/>
    <cellStyle name="Pre-inputted cells 7 2 2 8" xfId="26329" xr:uid="{00000000-0005-0000-0000-00005B680000}"/>
    <cellStyle name="Pre-inputted cells 7 2 2 9" xfId="26330" xr:uid="{00000000-0005-0000-0000-00005C680000}"/>
    <cellStyle name="Pre-inputted cells 7 2 2_4 28 1_Asst_Health_Crit_AllTO_RIIO_20110714pm" xfId="26331" xr:uid="{00000000-0005-0000-0000-00005D680000}"/>
    <cellStyle name="Pre-inputted cells 7 2 20" xfId="26332" xr:uid="{00000000-0005-0000-0000-00005E680000}"/>
    <cellStyle name="Pre-inputted cells 7 2 21" xfId="26333" xr:uid="{00000000-0005-0000-0000-00005F680000}"/>
    <cellStyle name="Pre-inputted cells 7 2 22" xfId="26334" xr:uid="{00000000-0005-0000-0000-000060680000}"/>
    <cellStyle name="Pre-inputted cells 7 2 23" xfId="26335" xr:uid="{00000000-0005-0000-0000-000061680000}"/>
    <cellStyle name="Pre-inputted cells 7 2 24" xfId="26336" xr:uid="{00000000-0005-0000-0000-000062680000}"/>
    <cellStyle name="Pre-inputted cells 7 2 25" xfId="26337" xr:uid="{00000000-0005-0000-0000-000063680000}"/>
    <cellStyle name="Pre-inputted cells 7 2 26" xfId="26338" xr:uid="{00000000-0005-0000-0000-000064680000}"/>
    <cellStyle name="Pre-inputted cells 7 2 27" xfId="26339" xr:uid="{00000000-0005-0000-0000-000065680000}"/>
    <cellStyle name="Pre-inputted cells 7 2 28" xfId="26340" xr:uid="{00000000-0005-0000-0000-000066680000}"/>
    <cellStyle name="Pre-inputted cells 7 2 29" xfId="26341" xr:uid="{00000000-0005-0000-0000-000067680000}"/>
    <cellStyle name="Pre-inputted cells 7 2 3" xfId="26342" xr:uid="{00000000-0005-0000-0000-000068680000}"/>
    <cellStyle name="Pre-inputted cells 7 2 3 10" xfId="26343" xr:uid="{00000000-0005-0000-0000-000069680000}"/>
    <cellStyle name="Pre-inputted cells 7 2 3 11" xfId="26344" xr:uid="{00000000-0005-0000-0000-00006A680000}"/>
    <cellStyle name="Pre-inputted cells 7 2 3 12" xfId="26345" xr:uid="{00000000-0005-0000-0000-00006B680000}"/>
    <cellStyle name="Pre-inputted cells 7 2 3 13" xfId="26346" xr:uid="{00000000-0005-0000-0000-00006C680000}"/>
    <cellStyle name="Pre-inputted cells 7 2 3 14" xfId="26347" xr:uid="{00000000-0005-0000-0000-00006D680000}"/>
    <cellStyle name="Pre-inputted cells 7 2 3 15" xfId="26348" xr:uid="{00000000-0005-0000-0000-00006E680000}"/>
    <cellStyle name="Pre-inputted cells 7 2 3 16" xfId="26349" xr:uid="{00000000-0005-0000-0000-00006F680000}"/>
    <cellStyle name="Pre-inputted cells 7 2 3 17" xfId="26350" xr:uid="{00000000-0005-0000-0000-000070680000}"/>
    <cellStyle name="Pre-inputted cells 7 2 3 18" xfId="26351" xr:uid="{00000000-0005-0000-0000-000071680000}"/>
    <cellStyle name="Pre-inputted cells 7 2 3 19" xfId="26352" xr:uid="{00000000-0005-0000-0000-000072680000}"/>
    <cellStyle name="Pre-inputted cells 7 2 3 2" xfId="26353" xr:uid="{00000000-0005-0000-0000-000073680000}"/>
    <cellStyle name="Pre-inputted cells 7 2 3 2 10" xfId="26354" xr:uid="{00000000-0005-0000-0000-000074680000}"/>
    <cellStyle name="Pre-inputted cells 7 2 3 2 11" xfId="26355" xr:uid="{00000000-0005-0000-0000-000075680000}"/>
    <cellStyle name="Pre-inputted cells 7 2 3 2 12" xfId="26356" xr:uid="{00000000-0005-0000-0000-000076680000}"/>
    <cellStyle name="Pre-inputted cells 7 2 3 2 13" xfId="26357" xr:uid="{00000000-0005-0000-0000-000077680000}"/>
    <cellStyle name="Pre-inputted cells 7 2 3 2 2" xfId="26358" xr:uid="{00000000-0005-0000-0000-000078680000}"/>
    <cellStyle name="Pre-inputted cells 7 2 3 2 3" xfId="26359" xr:uid="{00000000-0005-0000-0000-000079680000}"/>
    <cellStyle name="Pre-inputted cells 7 2 3 2 4" xfId="26360" xr:uid="{00000000-0005-0000-0000-00007A680000}"/>
    <cellStyle name="Pre-inputted cells 7 2 3 2 5" xfId="26361" xr:uid="{00000000-0005-0000-0000-00007B680000}"/>
    <cellStyle name="Pre-inputted cells 7 2 3 2 6" xfId="26362" xr:uid="{00000000-0005-0000-0000-00007C680000}"/>
    <cellStyle name="Pre-inputted cells 7 2 3 2 7" xfId="26363" xr:uid="{00000000-0005-0000-0000-00007D680000}"/>
    <cellStyle name="Pre-inputted cells 7 2 3 2 8" xfId="26364" xr:uid="{00000000-0005-0000-0000-00007E680000}"/>
    <cellStyle name="Pre-inputted cells 7 2 3 2 9" xfId="26365" xr:uid="{00000000-0005-0000-0000-00007F680000}"/>
    <cellStyle name="Pre-inputted cells 7 2 3 20" xfId="26366" xr:uid="{00000000-0005-0000-0000-000080680000}"/>
    <cellStyle name="Pre-inputted cells 7 2 3 21" xfId="26367" xr:uid="{00000000-0005-0000-0000-000081680000}"/>
    <cellStyle name="Pre-inputted cells 7 2 3 22" xfId="26368" xr:uid="{00000000-0005-0000-0000-000082680000}"/>
    <cellStyle name="Pre-inputted cells 7 2 3 23" xfId="26369" xr:uid="{00000000-0005-0000-0000-000083680000}"/>
    <cellStyle name="Pre-inputted cells 7 2 3 24" xfId="26370" xr:uid="{00000000-0005-0000-0000-000084680000}"/>
    <cellStyle name="Pre-inputted cells 7 2 3 25" xfId="26371" xr:uid="{00000000-0005-0000-0000-000085680000}"/>
    <cellStyle name="Pre-inputted cells 7 2 3 26" xfId="26372" xr:uid="{00000000-0005-0000-0000-000086680000}"/>
    <cellStyle name="Pre-inputted cells 7 2 3 27" xfId="26373" xr:uid="{00000000-0005-0000-0000-000087680000}"/>
    <cellStyle name="Pre-inputted cells 7 2 3 28" xfId="26374" xr:uid="{00000000-0005-0000-0000-000088680000}"/>
    <cellStyle name="Pre-inputted cells 7 2 3 29" xfId="26375" xr:uid="{00000000-0005-0000-0000-000089680000}"/>
    <cellStyle name="Pre-inputted cells 7 2 3 3" xfId="26376" xr:uid="{00000000-0005-0000-0000-00008A680000}"/>
    <cellStyle name="Pre-inputted cells 7 2 3 30" xfId="26377" xr:uid="{00000000-0005-0000-0000-00008B680000}"/>
    <cellStyle name="Pre-inputted cells 7 2 3 4" xfId="26378" xr:uid="{00000000-0005-0000-0000-00008C680000}"/>
    <cellStyle name="Pre-inputted cells 7 2 3 5" xfId="26379" xr:uid="{00000000-0005-0000-0000-00008D680000}"/>
    <cellStyle name="Pre-inputted cells 7 2 3 6" xfId="26380" xr:uid="{00000000-0005-0000-0000-00008E680000}"/>
    <cellStyle name="Pre-inputted cells 7 2 3 7" xfId="26381" xr:uid="{00000000-0005-0000-0000-00008F680000}"/>
    <cellStyle name="Pre-inputted cells 7 2 3 8" xfId="26382" xr:uid="{00000000-0005-0000-0000-000090680000}"/>
    <cellStyle name="Pre-inputted cells 7 2 3 9" xfId="26383" xr:uid="{00000000-0005-0000-0000-000091680000}"/>
    <cellStyle name="Pre-inputted cells 7 2 30" xfId="26384" xr:uid="{00000000-0005-0000-0000-000092680000}"/>
    <cellStyle name="Pre-inputted cells 7 2 31" xfId="26385" xr:uid="{00000000-0005-0000-0000-000093680000}"/>
    <cellStyle name="Pre-inputted cells 7 2 32" xfId="26386" xr:uid="{00000000-0005-0000-0000-000094680000}"/>
    <cellStyle name="Pre-inputted cells 7 2 33" xfId="26387" xr:uid="{00000000-0005-0000-0000-000095680000}"/>
    <cellStyle name="Pre-inputted cells 7 2 4" xfId="26388" xr:uid="{00000000-0005-0000-0000-000096680000}"/>
    <cellStyle name="Pre-inputted cells 7 2 4 10" xfId="26389" xr:uid="{00000000-0005-0000-0000-000097680000}"/>
    <cellStyle name="Pre-inputted cells 7 2 4 11" xfId="26390" xr:uid="{00000000-0005-0000-0000-000098680000}"/>
    <cellStyle name="Pre-inputted cells 7 2 4 12" xfId="26391" xr:uid="{00000000-0005-0000-0000-000099680000}"/>
    <cellStyle name="Pre-inputted cells 7 2 4 13" xfId="26392" xr:uid="{00000000-0005-0000-0000-00009A680000}"/>
    <cellStyle name="Pre-inputted cells 7 2 4 14" xfId="26393" xr:uid="{00000000-0005-0000-0000-00009B680000}"/>
    <cellStyle name="Pre-inputted cells 7 2 4 15" xfId="26394" xr:uid="{00000000-0005-0000-0000-00009C680000}"/>
    <cellStyle name="Pre-inputted cells 7 2 4 16" xfId="26395" xr:uid="{00000000-0005-0000-0000-00009D680000}"/>
    <cellStyle name="Pre-inputted cells 7 2 4 17" xfId="26396" xr:uid="{00000000-0005-0000-0000-00009E680000}"/>
    <cellStyle name="Pre-inputted cells 7 2 4 18" xfId="26397" xr:uid="{00000000-0005-0000-0000-00009F680000}"/>
    <cellStyle name="Pre-inputted cells 7 2 4 19" xfId="26398" xr:uid="{00000000-0005-0000-0000-0000A0680000}"/>
    <cellStyle name="Pre-inputted cells 7 2 4 2" xfId="26399" xr:uid="{00000000-0005-0000-0000-0000A1680000}"/>
    <cellStyle name="Pre-inputted cells 7 2 4 2 10" xfId="26400" xr:uid="{00000000-0005-0000-0000-0000A2680000}"/>
    <cellStyle name="Pre-inputted cells 7 2 4 2 11" xfId="26401" xr:uid="{00000000-0005-0000-0000-0000A3680000}"/>
    <cellStyle name="Pre-inputted cells 7 2 4 2 12" xfId="26402" xr:uid="{00000000-0005-0000-0000-0000A4680000}"/>
    <cellStyle name="Pre-inputted cells 7 2 4 2 13" xfId="26403" xr:uid="{00000000-0005-0000-0000-0000A5680000}"/>
    <cellStyle name="Pre-inputted cells 7 2 4 2 2" xfId="26404" xr:uid="{00000000-0005-0000-0000-0000A6680000}"/>
    <cellStyle name="Pre-inputted cells 7 2 4 2 3" xfId="26405" xr:uid="{00000000-0005-0000-0000-0000A7680000}"/>
    <cellStyle name="Pre-inputted cells 7 2 4 2 4" xfId="26406" xr:uid="{00000000-0005-0000-0000-0000A8680000}"/>
    <cellStyle name="Pre-inputted cells 7 2 4 2 5" xfId="26407" xr:uid="{00000000-0005-0000-0000-0000A9680000}"/>
    <cellStyle name="Pre-inputted cells 7 2 4 2 6" xfId="26408" xr:uid="{00000000-0005-0000-0000-0000AA680000}"/>
    <cellStyle name="Pre-inputted cells 7 2 4 2 7" xfId="26409" xr:uid="{00000000-0005-0000-0000-0000AB680000}"/>
    <cellStyle name="Pre-inputted cells 7 2 4 2 8" xfId="26410" xr:uid="{00000000-0005-0000-0000-0000AC680000}"/>
    <cellStyle name="Pre-inputted cells 7 2 4 2 9" xfId="26411" xr:uid="{00000000-0005-0000-0000-0000AD680000}"/>
    <cellStyle name="Pre-inputted cells 7 2 4 20" xfId="26412" xr:uid="{00000000-0005-0000-0000-0000AE680000}"/>
    <cellStyle name="Pre-inputted cells 7 2 4 21" xfId="26413" xr:uid="{00000000-0005-0000-0000-0000AF680000}"/>
    <cellStyle name="Pre-inputted cells 7 2 4 22" xfId="26414" xr:uid="{00000000-0005-0000-0000-0000B0680000}"/>
    <cellStyle name="Pre-inputted cells 7 2 4 23" xfId="26415" xr:uid="{00000000-0005-0000-0000-0000B1680000}"/>
    <cellStyle name="Pre-inputted cells 7 2 4 24" xfId="26416" xr:uid="{00000000-0005-0000-0000-0000B2680000}"/>
    <cellStyle name="Pre-inputted cells 7 2 4 25" xfId="26417" xr:uid="{00000000-0005-0000-0000-0000B3680000}"/>
    <cellStyle name="Pre-inputted cells 7 2 4 26" xfId="26418" xr:uid="{00000000-0005-0000-0000-0000B4680000}"/>
    <cellStyle name="Pre-inputted cells 7 2 4 27" xfId="26419" xr:uid="{00000000-0005-0000-0000-0000B5680000}"/>
    <cellStyle name="Pre-inputted cells 7 2 4 28" xfId="26420" xr:uid="{00000000-0005-0000-0000-0000B6680000}"/>
    <cellStyle name="Pre-inputted cells 7 2 4 29" xfId="26421" xr:uid="{00000000-0005-0000-0000-0000B7680000}"/>
    <cellStyle name="Pre-inputted cells 7 2 4 3" xfId="26422" xr:uid="{00000000-0005-0000-0000-0000B8680000}"/>
    <cellStyle name="Pre-inputted cells 7 2 4 30" xfId="26423" xr:uid="{00000000-0005-0000-0000-0000B9680000}"/>
    <cellStyle name="Pre-inputted cells 7 2 4 4" xfId="26424" xr:uid="{00000000-0005-0000-0000-0000BA680000}"/>
    <cellStyle name="Pre-inputted cells 7 2 4 5" xfId="26425" xr:uid="{00000000-0005-0000-0000-0000BB680000}"/>
    <cellStyle name="Pre-inputted cells 7 2 4 6" xfId="26426" xr:uid="{00000000-0005-0000-0000-0000BC680000}"/>
    <cellStyle name="Pre-inputted cells 7 2 4 7" xfId="26427" xr:uid="{00000000-0005-0000-0000-0000BD680000}"/>
    <cellStyle name="Pre-inputted cells 7 2 4 8" xfId="26428" xr:uid="{00000000-0005-0000-0000-0000BE680000}"/>
    <cellStyle name="Pre-inputted cells 7 2 4 9" xfId="26429" xr:uid="{00000000-0005-0000-0000-0000BF680000}"/>
    <cellStyle name="Pre-inputted cells 7 2 5" xfId="26430" xr:uid="{00000000-0005-0000-0000-0000C0680000}"/>
    <cellStyle name="Pre-inputted cells 7 2 5 10" xfId="26431" xr:uid="{00000000-0005-0000-0000-0000C1680000}"/>
    <cellStyle name="Pre-inputted cells 7 2 5 11" xfId="26432" xr:uid="{00000000-0005-0000-0000-0000C2680000}"/>
    <cellStyle name="Pre-inputted cells 7 2 5 12" xfId="26433" xr:uid="{00000000-0005-0000-0000-0000C3680000}"/>
    <cellStyle name="Pre-inputted cells 7 2 5 13" xfId="26434" xr:uid="{00000000-0005-0000-0000-0000C4680000}"/>
    <cellStyle name="Pre-inputted cells 7 2 5 2" xfId="26435" xr:uid="{00000000-0005-0000-0000-0000C5680000}"/>
    <cellStyle name="Pre-inputted cells 7 2 5 3" xfId="26436" xr:uid="{00000000-0005-0000-0000-0000C6680000}"/>
    <cellStyle name="Pre-inputted cells 7 2 5 4" xfId="26437" xr:uid="{00000000-0005-0000-0000-0000C7680000}"/>
    <cellStyle name="Pre-inputted cells 7 2 5 5" xfId="26438" xr:uid="{00000000-0005-0000-0000-0000C8680000}"/>
    <cellStyle name="Pre-inputted cells 7 2 5 6" xfId="26439" xr:uid="{00000000-0005-0000-0000-0000C9680000}"/>
    <cellStyle name="Pre-inputted cells 7 2 5 7" xfId="26440" xr:uid="{00000000-0005-0000-0000-0000CA680000}"/>
    <cellStyle name="Pre-inputted cells 7 2 5 8" xfId="26441" xr:uid="{00000000-0005-0000-0000-0000CB680000}"/>
    <cellStyle name="Pre-inputted cells 7 2 5 9" xfId="26442" xr:uid="{00000000-0005-0000-0000-0000CC680000}"/>
    <cellStyle name="Pre-inputted cells 7 2 6" xfId="26443" xr:uid="{00000000-0005-0000-0000-0000CD680000}"/>
    <cellStyle name="Pre-inputted cells 7 2 7" xfId="26444" xr:uid="{00000000-0005-0000-0000-0000CE680000}"/>
    <cellStyle name="Pre-inputted cells 7 2 8" xfId="26445" xr:uid="{00000000-0005-0000-0000-0000CF680000}"/>
    <cellStyle name="Pre-inputted cells 7 2 9" xfId="26446" xr:uid="{00000000-0005-0000-0000-0000D0680000}"/>
    <cellStyle name="Pre-inputted cells 7 2_4 28 1_Asst_Health_Crit_AllTO_RIIO_20110714pm" xfId="26447" xr:uid="{00000000-0005-0000-0000-0000D1680000}"/>
    <cellStyle name="Pre-inputted cells 7 20" xfId="26448" xr:uid="{00000000-0005-0000-0000-0000D2680000}"/>
    <cellStyle name="Pre-inputted cells 7 21" xfId="26449" xr:uid="{00000000-0005-0000-0000-0000D3680000}"/>
    <cellStyle name="Pre-inputted cells 7 22" xfId="26450" xr:uid="{00000000-0005-0000-0000-0000D4680000}"/>
    <cellStyle name="Pre-inputted cells 7 23" xfId="26451" xr:uid="{00000000-0005-0000-0000-0000D5680000}"/>
    <cellStyle name="Pre-inputted cells 7 24" xfId="26452" xr:uid="{00000000-0005-0000-0000-0000D6680000}"/>
    <cellStyle name="Pre-inputted cells 7 25" xfId="26453" xr:uid="{00000000-0005-0000-0000-0000D7680000}"/>
    <cellStyle name="Pre-inputted cells 7 26" xfId="26454" xr:uid="{00000000-0005-0000-0000-0000D8680000}"/>
    <cellStyle name="Pre-inputted cells 7 27" xfId="26455" xr:uid="{00000000-0005-0000-0000-0000D9680000}"/>
    <cellStyle name="Pre-inputted cells 7 28" xfId="26456" xr:uid="{00000000-0005-0000-0000-0000DA680000}"/>
    <cellStyle name="Pre-inputted cells 7 29" xfId="26457" xr:uid="{00000000-0005-0000-0000-0000DB680000}"/>
    <cellStyle name="Pre-inputted cells 7 3" xfId="26458" xr:uid="{00000000-0005-0000-0000-0000DC680000}"/>
    <cellStyle name="Pre-inputted cells 7 3 10" xfId="26459" xr:uid="{00000000-0005-0000-0000-0000DD680000}"/>
    <cellStyle name="Pre-inputted cells 7 3 11" xfId="26460" xr:uid="{00000000-0005-0000-0000-0000DE680000}"/>
    <cellStyle name="Pre-inputted cells 7 3 12" xfId="26461" xr:uid="{00000000-0005-0000-0000-0000DF680000}"/>
    <cellStyle name="Pre-inputted cells 7 3 13" xfId="26462" xr:uid="{00000000-0005-0000-0000-0000E0680000}"/>
    <cellStyle name="Pre-inputted cells 7 3 14" xfId="26463" xr:uid="{00000000-0005-0000-0000-0000E1680000}"/>
    <cellStyle name="Pre-inputted cells 7 3 15" xfId="26464" xr:uid="{00000000-0005-0000-0000-0000E2680000}"/>
    <cellStyle name="Pre-inputted cells 7 3 16" xfId="26465" xr:uid="{00000000-0005-0000-0000-0000E3680000}"/>
    <cellStyle name="Pre-inputted cells 7 3 17" xfId="26466" xr:uid="{00000000-0005-0000-0000-0000E4680000}"/>
    <cellStyle name="Pre-inputted cells 7 3 18" xfId="26467" xr:uid="{00000000-0005-0000-0000-0000E5680000}"/>
    <cellStyle name="Pre-inputted cells 7 3 19" xfId="26468" xr:uid="{00000000-0005-0000-0000-0000E6680000}"/>
    <cellStyle name="Pre-inputted cells 7 3 2" xfId="26469" xr:uid="{00000000-0005-0000-0000-0000E7680000}"/>
    <cellStyle name="Pre-inputted cells 7 3 2 10" xfId="26470" xr:uid="{00000000-0005-0000-0000-0000E8680000}"/>
    <cellStyle name="Pre-inputted cells 7 3 2 11" xfId="26471" xr:uid="{00000000-0005-0000-0000-0000E9680000}"/>
    <cellStyle name="Pre-inputted cells 7 3 2 12" xfId="26472" xr:uid="{00000000-0005-0000-0000-0000EA680000}"/>
    <cellStyle name="Pre-inputted cells 7 3 2 13" xfId="26473" xr:uid="{00000000-0005-0000-0000-0000EB680000}"/>
    <cellStyle name="Pre-inputted cells 7 3 2 14" xfId="26474" xr:uid="{00000000-0005-0000-0000-0000EC680000}"/>
    <cellStyle name="Pre-inputted cells 7 3 2 15" xfId="26475" xr:uid="{00000000-0005-0000-0000-0000ED680000}"/>
    <cellStyle name="Pre-inputted cells 7 3 2 16" xfId="26476" xr:uid="{00000000-0005-0000-0000-0000EE680000}"/>
    <cellStyle name="Pre-inputted cells 7 3 2 17" xfId="26477" xr:uid="{00000000-0005-0000-0000-0000EF680000}"/>
    <cellStyle name="Pre-inputted cells 7 3 2 18" xfId="26478" xr:uid="{00000000-0005-0000-0000-0000F0680000}"/>
    <cellStyle name="Pre-inputted cells 7 3 2 19" xfId="26479" xr:uid="{00000000-0005-0000-0000-0000F1680000}"/>
    <cellStyle name="Pre-inputted cells 7 3 2 2" xfId="26480" xr:uid="{00000000-0005-0000-0000-0000F2680000}"/>
    <cellStyle name="Pre-inputted cells 7 3 2 2 10" xfId="26481" xr:uid="{00000000-0005-0000-0000-0000F3680000}"/>
    <cellStyle name="Pre-inputted cells 7 3 2 2 11" xfId="26482" xr:uid="{00000000-0005-0000-0000-0000F4680000}"/>
    <cellStyle name="Pre-inputted cells 7 3 2 2 12" xfId="26483" xr:uid="{00000000-0005-0000-0000-0000F5680000}"/>
    <cellStyle name="Pre-inputted cells 7 3 2 2 13" xfId="26484" xr:uid="{00000000-0005-0000-0000-0000F6680000}"/>
    <cellStyle name="Pre-inputted cells 7 3 2 2 2" xfId="26485" xr:uid="{00000000-0005-0000-0000-0000F7680000}"/>
    <cellStyle name="Pre-inputted cells 7 3 2 2 3" xfId="26486" xr:uid="{00000000-0005-0000-0000-0000F8680000}"/>
    <cellStyle name="Pre-inputted cells 7 3 2 2 4" xfId="26487" xr:uid="{00000000-0005-0000-0000-0000F9680000}"/>
    <cellStyle name="Pre-inputted cells 7 3 2 2 5" xfId="26488" xr:uid="{00000000-0005-0000-0000-0000FA680000}"/>
    <cellStyle name="Pre-inputted cells 7 3 2 2 6" xfId="26489" xr:uid="{00000000-0005-0000-0000-0000FB680000}"/>
    <cellStyle name="Pre-inputted cells 7 3 2 2 7" xfId="26490" xr:uid="{00000000-0005-0000-0000-0000FC680000}"/>
    <cellStyle name="Pre-inputted cells 7 3 2 2 8" xfId="26491" xr:uid="{00000000-0005-0000-0000-0000FD680000}"/>
    <cellStyle name="Pre-inputted cells 7 3 2 2 9" xfId="26492" xr:uid="{00000000-0005-0000-0000-0000FE680000}"/>
    <cellStyle name="Pre-inputted cells 7 3 2 20" xfId="26493" xr:uid="{00000000-0005-0000-0000-0000FF680000}"/>
    <cellStyle name="Pre-inputted cells 7 3 2 21" xfId="26494" xr:uid="{00000000-0005-0000-0000-000000690000}"/>
    <cellStyle name="Pre-inputted cells 7 3 2 22" xfId="26495" xr:uid="{00000000-0005-0000-0000-000001690000}"/>
    <cellStyle name="Pre-inputted cells 7 3 2 23" xfId="26496" xr:uid="{00000000-0005-0000-0000-000002690000}"/>
    <cellStyle name="Pre-inputted cells 7 3 2 24" xfId="26497" xr:uid="{00000000-0005-0000-0000-000003690000}"/>
    <cellStyle name="Pre-inputted cells 7 3 2 25" xfId="26498" xr:uid="{00000000-0005-0000-0000-000004690000}"/>
    <cellStyle name="Pre-inputted cells 7 3 2 26" xfId="26499" xr:uid="{00000000-0005-0000-0000-000005690000}"/>
    <cellStyle name="Pre-inputted cells 7 3 2 27" xfId="26500" xr:uid="{00000000-0005-0000-0000-000006690000}"/>
    <cellStyle name="Pre-inputted cells 7 3 2 28" xfId="26501" xr:uid="{00000000-0005-0000-0000-000007690000}"/>
    <cellStyle name="Pre-inputted cells 7 3 2 29" xfId="26502" xr:uid="{00000000-0005-0000-0000-000008690000}"/>
    <cellStyle name="Pre-inputted cells 7 3 2 3" xfId="26503" xr:uid="{00000000-0005-0000-0000-000009690000}"/>
    <cellStyle name="Pre-inputted cells 7 3 2 30" xfId="26504" xr:uid="{00000000-0005-0000-0000-00000A690000}"/>
    <cellStyle name="Pre-inputted cells 7 3 2 31" xfId="26505" xr:uid="{00000000-0005-0000-0000-00000B690000}"/>
    <cellStyle name="Pre-inputted cells 7 3 2 32" xfId="26506" xr:uid="{00000000-0005-0000-0000-00000C690000}"/>
    <cellStyle name="Pre-inputted cells 7 3 2 33" xfId="26507" xr:uid="{00000000-0005-0000-0000-00000D690000}"/>
    <cellStyle name="Pre-inputted cells 7 3 2 34" xfId="26508" xr:uid="{00000000-0005-0000-0000-00000E690000}"/>
    <cellStyle name="Pre-inputted cells 7 3 2 4" xfId="26509" xr:uid="{00000000-0005-0000-0000-00000F690000}"/>
    <cellStyle name="Pre-inputted cells 7 3 2 5" xfId="26510" xr:uid="{00000000-0005-0000-0000-000010690000}"/>
    <cellStyle name="Pre-inputted cells 7 3 2 6" xfId="26511" xr:uid="{00000000-0005-0000-0000-000011690000}"/>
    <cellStyle name="Pre-inputted cells 7 3 2 7" xfId="26512" xr:uid="{00000000-0005-0000-0000-000012690000}"/>
    <cellStyle name="Pre-inputted cells 7 3 2 8" xfId="26513" xr:uid="{00000000-0005-0000-0000-000013690000}"/>
    <cellStyle name="Pre-inputted cells 7 3 2 9" xfId="26514" xr:uid="{00000000-0005-0000-0000-000014690000}"/>
    <cellStyle name="Pre-inputted cells 7 3 20" xfId="26515" xr:uid="{00000000-0005-0000-0000-000015690000}"/>
    <cellStyle name="Pre-inputted cells 7 3 21" xfId="26516" xr:uid="{00000000-0005-0000-0000-000016690000}"/>
    <cellStyle name="Pre-inputted cells 7 3 22" xfId="26517" xr:uid="{00000000-0005-0000-0000-000017690000}"/>
    <cellStyle name="Pre-inputted cells 7 3 23" xfId="26518" xr:uid="{00000000-0005-0000-0000-000018690000}"/>
    <cellStyle name="Pre-inputted cells 7 3 24" xfId="26519" xr:uid="{00000000-0005-0000-0000-000019690000}"/>
    <cellStyle name="Pre-inputted cells 7 3 25" xfId="26520" xr:uid="{00000000-0005-0000-0000-00001A690000}"/>
    <cellStyle name="Pre-inputted cells 7 3 26" xfId="26521" xr:uid="{00000000-0005-0000-0000-00001B690000}"/>
    <cellStyle name="Pre-inputted cells 7 3 27" xfId="26522" xr:uid="{00000000-0005-0000-0000-00001C690000}"/>
    <cellStyle name="Pre-inputted cells 7 3 28" xfId="26523" xr:uid="{00000000-0005-0000-0000-00001D690000}"/>
    <cellStyle name="Pre-inputted cells 7 3 29" xfId="26524" xr:uid="{00000000-0005-0000-0000-00001E690000}"/>
    <cellStyle name="Pre-inputted cells 7 3 3" xfId="26525" xr:uid="{00000000-0005-0000-0000-00001F690000}"/>
    <cellStyle name="Pre-inputted cells 7 3 3 10" xfId="26526" xr:uid="{00000000-0005-0000-0000-000020690000}"/>
    <cellStyle name="Pre-inputted cells 7 3 3 11" xfId="26527" xr:uid="{00000000-0005-0000-0000-000021690000}"/>
    <cellStyle name="Pre-inputted cells 7 3 3 12" xfId="26528" xr:uid="{00000000-0005-0000-0000-000022690000}"/>
    <cellStyle name="Pre-inputted cells 7 3 3 13" xfId="26529" xr:uid="{00000000-0005-0000-0000-000023690000}"/>
    <cellStyle name="Pre-inputted cells 7 3 3 2" xfId="26530" xr:uid="{00000000-0005-0000-0000-000024690000}"/>
    <cellStyle name="Pre-inputted cells 7 3 3 3" xfId="26531" xr:uid="{00000000-0005-0000-0000-000025690000}"/>
    <cellStyle name="Pre-inputted cells 7 3 3 4" xfId="26532" xr:uid="{00000000-0005-0000-0000-000026690000}"/>
    <cellStyle name="Pre-inputted cells 7 3 3 5" xfId="26533" xr:uid="{00000000-0005-0000-0000-000027690000}"/>
    <cellStyle name="Pre-inputted cells 7 3 3 6" xfId="26534" xr:uid="{00000000-0005-0000-0000-000028690000}"/>
    <cellStyle name="Pre-inputted cells 7 3 3 7" xfId="26535" xr:uid="{00000000-0005-0000-0000-000029690000}"/>
    <cellStyle name="Pre-inputted cells 7 3 3 8" xfId="26536" xr:uid="{00000000-0005-0000-0000-00002A690000}"/>
    <cellStyle name="Pre-inputted cells 7 3 3 9" xfId="26537" xr:uid="{00000000-0005-0000-0000-00002B690000}"/>
    <cellStyle name="Pre-inputted cells 7 3 30" xfId="26538" xr:uid="{00000000-0005-0000-0000-00002C690000}"/>
    <cellStyle name="Pre-inputted cells 7 3 31" xfId="26539" xr:uid="{00000000-0005-0000-0000-00002D690000}"/>
    <cellStyle name="Pre-inputted cells 7 3 32" xfId="26540" xr:uid="{00000000-0005-0000-0000-00002E690000}"/>
    <cellStyle name="Pre-inputted cells 7 3 33" xfId="26541" xr:uid="{00000000-0005-0000-0000-00002F690000}"/>
    <cellStyle name="Pre-inputted cells 7 3 34" xfId="26542" xr:uid="{00000000-0005-0000-0000-000030690000}"/>
    <cellStyle name="Pre-inputted cells 7 3 35" xfId="26543" xr:uid="{00000000-0005-0000-0000-000031690000}"/>
    <cellStyle name="Pre-inputted cells 7 3 4" xfId="26544" xr:uid="{00000000-0005-0000-0000-000032690000}"/>
    <cellStyle name="Pre-inputted cells 7 3 5" xfId="26545" xr:uid="{00000000-0005-0000-0000-000033690000}"/>
    <cellStyle name="Pre-inputted cells 7 3 6" xfId="26546" xr:uid="{00000000-0005-0000-0000-000034690000}"/>
    <cellStyle name="Pre-inputted cells 7 3 7" xfId="26547" xr:uid="{00000000-0005-0000-0000-000035690000}"/>
    <cellStyle name="Pre-inputted cells 7 3 8" xfId="26548" xr:uid="{00000000-0005-0000-0000-000036690000}"/>
    <cellStyle name="Pre-inputted cells 7 3 9" xfId="26549" xr:uid="{00000000-0005-0000-0000-000037690000}"/>
    <cellStyle name="Pre-inputted cells 7 3_4 28 1_Asst_Health_Crit_AllTO_RIIO_20110714pm" xfId="26550" xr:uid="{00000000-0005-0000-0000-000038690000}"/>
    <cellStyle name="Pre-inputted cells 7 30" xfId="26551" xr:uid="{00000000-0005-0000-0000-000039690000}"/>
    <cellStyle name="Pre-inputted cells 7 31" xfId="26552" xr:uid="{00000000-0005-0000-0000-00003A690000}"/>
    <cellStyle name="Pre-inputted cells 7 32" xfId="26553" xr:uid="{00000000-0005-0000-0000-00003B690000}"/>
    <cellStyle name="Pre-inputted cells 7 33" xfId="26554" xr:uid="{00000000-0005-0000-0000-00003C690000}"/>
    <cellStyle name="Pre-inputted cells 7 34" xfId="26555" xr:uid="{00000000-0005-0000-0000-00003D690000}"/>
    <cellStyle name="Pre-inputted cells 7 35" xfId="26556" xr:uid="{00000000-0005-0000-0000-00003E690000}"/>
    <cellStyle name="Pre-inputted cells 7 36" xfId="26557" xr:uid="{00000000-0005-0000-0000-00003F690000}"/>
    <cellStyle name="Pre-inputted cells 7 37" xfId="26558" xr:uid="{00000000-0005-0000-0000-000040690000}"/>
    <cellStyle name="Pre-inputted cells 7 38" xfId="26559" xr:uid="{00000000-0005-0000-0000-000041690000}"/>
    <cellStyle name="Pre-inputted cells 7 39" xfId="26560" xr:uid="{00000000-0005-0000-0000-000042690000}"/>
    <cellStyle name="Pre-inputted cells 7 4" xfId="26561" xr:uid="{00000000-0005-0000-0000-000043690000}"/>
    <cellStyle name="Pre-inputted cells 7 4 10" xfId="26562" xr:uid="{00000000-0005-0000-0000-000044690000}"/>
    <cellStyle name="Pre-inputted cells 7 4 11" xfId="26563" xr:uid="{00000000-0005-0000-0000-000045690000}"/>
    <cellStyle name="Pre-inputted cells 7 4 12" xfId="26564" xr:uid="{00000000-0005-0000-0000-000046690000}"/>
    <cellStyle name="Pre-inputted cells 7 4 13" xfId="26565" xr:uid="{00000000-0005-0000-0000-000047690000}"/>
    <cellStyle name="Pre-inputted cells 7 4 14" xfId="26566" xr:uid="{00000000-0005-0000-0000-000048690000}"/>
    <cellStyle name="Pre-inputted cells 7 4 15" xfId="26567" xr:uid="{00000000-0005-0000-0000-000049690000}"/>
    <cellStyle name="Pre-inputted cells 7 4 16" xfId="26568" xr:uid="{00000000-0005-0000-0000-00004A690000}"/>
    <cellStyle name="Pre-inputted cells 7 4 17" xfId="26569" xr:uid="{00000000-0005-0000-0000-00004B690000}"/>
    <cellStyle name="Pre-inputted cells 7 4 18" xfId="26570" xr:uid="{00000000-0005-0000-0000-00004C690000}"/>
    <cellStyle name="Pre-inputted cells 7 4 19" xfId="26571" xr:uid="{00000000-0005-0000-0000-00004D690000}"/>
    <cellStyle name="Pre-inputted cells 7 4 2" xfId="26572" xr:uid="{00000000-0005-0000-0000-00004E690000}"/>
    <cellStyle name="Pre-inputted cells 7 4 2 10" xfId="26573" xr:uid="{00000000-0005-0000-0000-00004F690000}"/>
    <cellStyle name="Pre-inputted cells 7 4 2 11" xfId="26574" xr:uid="{00000000-0005-0000-0000-000050690000}"/>
    <cellStyle name="Pre-inputted cells 7 4 2 12" xfId="26575" xr:uid="{00000000-0005-0000-0000-000051690000}"/>
    <cellStyle name="Pre-inputted cells 7 4 2 13" xfId="26576" xr:uid="{00000000-0005-0000-0000-000052690000}"/>
    <cellStyle name="Pre-inputted cells 7 4 2 2" xfId="26577" xr:uid="{00000000-0005-0000-0000-000053690000}"/>
    <cellStyle name="Pre-inputted cells 7 4 2 3" xfId="26578" xr:uid="{00000000-0005-0000-0000-000054690000}"/>
    <cellStyle name="Pre-inputted cells 7 4 2 4" xfId="26579" xr:uid="{00000000-0005-0000-0000-000055690000}"/>
    <cellStyle name="Pre-inputted cells 7 4 2 5" xfId="26580" xr:uid="{00000000-0005-0000-0000-000056690000}"/>
    <cellStyle name="Pre-inputted cells 7 4 2 6" xfId="26581" xr:uid="{00000000-0005-0000-0000-000057690000}"/>
    <cellStyle name="Pre-inputted cells 7 4 2 7" xfId="26582" xr:uid="{00000000-0005-0000-0000-000058690000}"/>
    <cellStyle name="Pre-inputted cells 7 4 2 8" xfId="26583" xr:uid="{00000000-0005-0000-0000-000059690000}"/>
    <cellStyle name="Pre-inputted cells 7 4 2 9" xfId="26584" xr:uid="{00000000-0005-0000-0000-00005A690000}"/>
    <cellStyle name="Pre-inputted cells 7 4 20" xfId="26585" xr:uid="{00000000-0005-0000-0000-00005B690000}"/>
    <cellStyle name="Pre-inputted cells 7 4 21" xfId="26586" xr:uid="{00000000-0005-0000-0000-00005C690000}"/>
    <cellStyle name="Pre-inputted cells 7 4 22" xfId="26587" xr:uid="{00000000-0005-0000-0000-00005D690000}"/>
    <cellStyle name="Pre-inputted cells 7 4 23" xfId="26588" xr:uid="{00000000-0005-0000-0000-00005E690000}"/>
    <cellStyle name="Pre-inputted cells 7 4 24" xfId="26589" xr:uid="{00000000-0005-0000-0000-00005F690000}"/>
    <cellStyle name="Pre-inputted cells 7 4 25" xfId="26590" xr:uid="{00000000-0005-0000-0000-000060690000}"/>
    <cellStyle name="Pre-inputted cells 7 4 26" xfId="26591" xr:uid="{00000000-0005-0000-0000-000061690000}"/>
    <cellStyle name="Pre-inputted cells 7 4 27" xfId="26592" xr:uid="{00000000-0005-0000-0000-000062690000}"/>
    <cellStyle name="Pre-inputted cells 7 4 28" xfId="26593" xr:uid="{00000000-0005-0000-0000-000063690000}"/>
    <cellStyle name="Pre-inputted cells 7 4 29" xfId="26594" xr:uid="{00000000-0005-0000-0000-000064690000}"/>
    <cellStyle name="Pre-inputted cells 7 4 3" xfId="26595" xr:uid="{00000000-0005-0000-0000-000065690000}"/>
    <cellStyle name="Pre-inputted cells 7 4 30" xfId="26596" xr:uid="{00000000-0005-0000-0000-000066690000}"/>
    <cellStyle name="Pre-inputted cells 7 4 31" xfId="26597" xr:uid="{00000000-0005-0000-0000-000067690000}"/>
    <cellStyle name="Pre-inputted cells 7 4 32" xfId="26598" xr:uid="{00000000-0005-0000-0000-000068690000}"/>
    <cellStyle name="Pre-inputted cells 7 4 33" xfId="26599" xr:uid="{00000000-0005-0000-0000-000069690000}"/>
    <cellStyle name="Pre-inputted cells 7 4 34" xfId="26600" xr:uid="{00000000-0005-0000-0000-00006A690000}"/>
    <cellStyle name="Pre-inputted cells 7 4 4" xfId="26601" xr:uid="{00000000-0005-0000-0000-00006B690000}"/>
    <cellStyle name="Pre-inputted cells 7 4 5" xfId="26602" xr:uid="{00000000-0005-0000-0000-00006C690000}"/>
    <cellStyle name="Pre-inputted cells 7 4 6" xfId="26603" xr:uid="{00000000-0005-0000-0000-00006D690000}"/>
    <cellStyle name="Pre-inputted cells 7 4 7" xfId="26604" xr:uid="{00000000-0005-0000-0000-00006E690000}"/>
    <cellStyle name="Pre-inputted cells 7 4 8" xfId="26605" xr:uid="{00000000-0005-0000-0000-00006F690000}"/>
    <cellStyle name="Pre-inputted cells 7 4 9" xfId="26606" xr:uid="{00000000-0005-0000-0000-000070690000}"/>
    <cellStyle name="Pre-inputted cells 7 5" xfId="26607" xr:uid="{00000000-0005-0000-0000-000071690000}"/>
    <cellStyle name="Pre-inputted cells 7 5 10" xfId="26608" xr:uid="{00000000-0005-0000-0000-000072690000}"/>
    <cellStyle name="Pre-inputted cells 7 5 11" xfId="26609" xr:uid="{00000000-0005-0000-0000-000073690000}"/>
    <cellStyle name="Pre-inputted cells 7 5 12" xfId="26610" xr:uid="{00000000-0005-0000-0000-000074690000}"/>
    <cellStyle name="Pre-inputted cells 7 5 13" xfId="26611" xr:uid="{00000000-0005-0000-0000-000075690000}"/>
    <cellStyle name="Pre-inputted cells 7 5 14" xfId="26612" xr:uid="{00000000-0005-0000-0000-000076690000}"/>
    <cellStyle name="Pre-inputted cells 7 5 15" xfId="26613" xr:uid="{00000000-0005-0000-0000-000077690000}"/>
    <cellStyle name="Pre-inputted cells 7 5 16" xfId="26614" xr:uid="{00000000-0005-0000-0000-000078690000}"/>
    <cellStyle name="Pre-inputted cells 7 5 17" xfId="26615" xr:uid="{00000000-0005-0000-0000-000079690000}"/>
    <cellStyle name="Pre-inputted cells 7 5 18" xfId="26616" xr:uid="{00000000-0005-0000-0000-00007A690000}"/>
    <cellStyle name="Pre-inputted cells 7 5 19" xfId="26617" xr:uid="{00000000-0005-0000-0000-00007B690000}"/>
    <cellStyle name="Pre-inputted cells 7 5 2" xfId="26618" xr:uid="{00000000-0005-0000-0000-00007C690000}"/>
    <cellStyle name="Pre-inputted cells 7 5 2 10" xfId="26619" xr:uid="{00000000-0005-0000-0000-00007D690000}"/>
    <cellStyle name="Pre-inputted cells 7 5 2 11" xfId="26620" xr:uid="{00000000-0005-0000-0000-00007E690000}"/>
    <cellStyle name="Pre-inputted cells 7 5 2 12" xfId="26621" xr:uid="{00000000-0005-0000-0000-00007F690000}"/>
    <cellStyle name="Pre-inputted cells 7 5 2 13" xfId="26622" xr:uid="{00000000-0005-0000-0000-000080690000}"/>
    <cellStyle name="Pre-inputted cells 7 5 2 2" xfId="26623" xr:uid="{00000000-0005-0000-0000-000081690000}"/>
    <cellStyle name="Pre-inputted cells 7 5 2 3" xfId="26624" xr:uid="{00000000-0005-0000-0000-000082690000}"/>
    <cellStyle name="Pre-inputted cells 7 5 2 4" xfId="26625" xr:uid="{00000000-0005-0000-0000-000083690000}"/>
    <cellStyle name="Pre-inputted cells 7 5 2 5" xfId="26626" xr:uid="{00000000-0005-0000-0000-000084690000}"/>
    <cellStyle name="Pre-inputted cells 7 5 2 6" xfId="26627" xr:uid="{00000000-0005-0000-0000-000085690000}"/>
    <cellStyle name="Pre-inputted cells 7 5 2 7" xfId="26628" xr:uid="{00000000-0005-0000-0000-000086690000}"/>
    <cellStyle name="Pre-inputted cells 7 5 2 8" xfId="26629" xr:uid="{00000000-0005-0000-0000-000087690000}"/>
    <cellStyle name="Pre-inputted cells 7 5 2 9" xfId="26630" xr:uid="{00000000-0005-0000-0000-000088690000}"/>
    <cellStyle name="Pre-inputted cells 7 5 20" xfId="26631" xr:uid="{00000000-0005-0000-0000-000089690000}"/>
    <cellStyle name="Pre-inputted cells 7 5 21" xfId="26632" xr:uid="{00000000-0005-0000-0000-00008A690000}"/>
    <cellStyle name="Pre-inputted cells 7 5 22" xfId="26633" xr:uid="{00000000-0005-0000-0000-00008B690000}"/>
    <cellStyle name="Pre-inputted cells 7 5 23" xfId="26634" xr:uid="{00000000-0005-0000-0000-00008C690000}"/>
    <cellStyle name="Pre-inputted cells 7 5 24" xfId="26635" xr:uid="{00000000-0005-0000-0000-00008D690000}"/>
    <cellStyle name="Pre-inputted cells 7 5 25" xfId="26636" xr:uid="{00000000-0005-0000-0000-00008E690000}"/>
    <cellStyle name="Pre-inputted cells 7 5 26" xfId="26637" xr:uid="{00000000-0005-0000-0000-00008F690000}"/>
    <cellStyle name="Pre-inputted cells 7 5 27" xfId="26638" xr:uid="{00000000-0005-0000-0000-000090690000}"/>
    <cellStyle name="Pre-inputted cells 7 5 28" xfId="26639" xr:uid="{00000000-0005-0000-0000-000091690000}"/>
    <cellStyle name="Pre-inputted cells 7 5 29" xfId="26640" xr:uid="{00000000-0005-0000-0000-000092690000}"/>
    <cellStyle name="Pre-inputted cells 7 5 3" xfId="26641" xr:uid="{00000000-0005-0000-0000-000093690000}"/>
    <cellStyle name="Pre-inputted cells 7 5 30" xfId="26642" xr:uid="{00000000-0005-0000-0000-000094690000}"/>
    <cellStyle name="Pre-inputted cells 7 5 31" xfId="26643" xr:uid="{00000000-0005-0000-0000-000095690000}"/>
    <cellStyle name="Pre-inputted cells 7 5 32" xfId="26644" xr:uid="{00000000-0005-0000-0000-000096690000}"/>
    <cellStyle name="Pre-inputted cells 7 5 33" xfId="26645" xr:uid="{00000000-0005-0000-0000-000097690000}"/>
    <cellStyle name="Pre-inputted cells 7 5 34" xfId="26646" xr:uid="{00000000-0005-0000-0000-000098690000}"/>
    <cellStyle name="Pre-inputted cells 7 5 4" xfId="26647" xr:uid="{00000000-0005-0000-0000-000099690000}"/>
    <cellStyle name="Pre-inputted cells 7 5 5" xfId="26648" xr:uid="{00000000-0005-0000-0000-00009A690000}"/>
    <cellStyle name="Pre-inputted cells 7 5 6" xfId="26649" xr:uid="{00000000-0005-0000-0000-00009B690000}"/>
    <cellStyle name="Pre-inputted cells 7 5 7" xfId="26650" xr:uid="{00000000-0005-0000-0000-00009C690000}"/>
    <cellStyle name="Pre-inputted cells 7 5 8" xfId="26651" xr:uid="{00000000-0005-0000-0000-00009D690000}"/>
    <cellStyle name="Pre-inputted cells 7 5 9" xfId="26652" xr:uid="{00000000-0005-0000-0000-00009E690000}"/>
    <cellStyle name="Pre-inputted cells 7 6" xfId="26653" xr:uid="{00000000-0005-0000-0000-00009F690000}"/>
    <cellStyle name="Pre-inputted cells 7 6 10" xfId="26654" xr:uid="{00000000-0005-0000-0000-0000A0690000}"/>
    <cellStyle name="Pre-inputted cells 7 6 11" xfId="26655" xr:uid="{00000000-0005-0000-0000-0000A1690000}"/>
    <cellStyle name="Pre-inputted cells 7 6 12" xfId="26656" xr:uid="{00000000-0005-0000-0000-0000A2690000}"/>
    <cellStyle name="Pre-inputted cells 7 6 13" xfId="26657" xr:uid="{00000000-0005-0000-0000-0000A3690000}"/>
    <cellStyle name="Pre-inputted cells 7 6 2" xfId="26658" xr:uid="{00000000-0005-0000-0000-0000A4690000}"/>
    <cellStyle name="Pre-inputted cells 7 6 3" xfId="26659" xr:uid="{00000000-0005-0000-0000-0000A5690000}"/>
    <cellStyle name="Pre-inputted cells 7 6 4" xfId="26660" xr:uid="{00000000-0005-0000-0000-0000A6690000}"/>
    <cellStyle name="Pre-inputted cells 7 6 5" xfId="26661" xr:uid="{00000000-0005-0000-0000-0000A7690000}"/>
    <cellStyle name="Pre-inputted cells 7 6 6" xfId="26662" xr:uid="{00000000-0005-0000-0000-0000A8690000}"/>
    <cellStyle name="Pre-inputted cells 7 6 7" xfId="26663" xr:uid="{00000000-0005-0000-0000-0000A9690000}"/>
    <cellStyle name="Pre-inputted cells 7 6 8" xfId="26664" xr:uid="{00000000-0005-0000-0000-0000AA690000}"/>
    <cellStyle name="Pre-inputted cells 7 6 9" xfId="26665" xr:uid="{00000000-0005-0000-0000-0000AB690000}"/>
    <cellStyle name="Pre-inputted cells 7 7" xfId="26666" xr:uid="{00000000-0005-0000-0000-0000AC690000}"/>
    <cellStyle name="Pre-inputted cells 7 8" xfId="26667" xr:uid="{00000000-0005-0000-0000-0000AD690000}"/>
    <cellStyle name="Pre-inputted cells 7 9" xfId="26668" xr:uid="{00000000-0005-0000-0000-0000AE690000}"/>
    <cellStyle name="Pre-inputted cells 7_3.15 Additional Data" xfId="42405" xr:uid="{00000000-0005-0000-0000-0000AF690000}"/>
    <cellStyle name="Pre-inputted cells 8" xfId="26669" xr:uid="{00000000-0005-0000-0000-0000B0690000}"/>
    <cellStyle name="Pre-inputted cells 8 10" xfId="26670" xr:uid="{00000000-0005-0000-0000-0000B1690000}"/>
    <cellStyle name="Pre-inputted cells 8 11" xfId="26671" xr:uid="{00000000-0005-0000-0000-0000B2690000}"/>
    <cellStyle name="Pre-inputted cells 8 12" xfId="26672" xr:uid="{00000000-0005-0000-0000-0000B3690000}"/>
    <cellStyle name="Pre-inputted cells 8 13" xfId="26673" xr:uid="{00000000-0005-0000-0000-0000B4690000}"/>
    <cellStyle name="Pre-inputted cells 8 14" xfId="26674" xr:uid="{00000000-0005-0000-0000-0000B5690000}"/>
    <cellStyle name="Pre-inputted cells 8 15" xfId="26675" xr:uid="{00000000-0005-0000-0000-0000B6690000}"/>
    <cellStyle name="Pre-inputted cells 8 16" xfId="26676" xr:uid="{00000000-0005-0000-0000-0000B7690000}"/>
    <cellStyle name="Pre-inputted cells 8 17" xfId="26677" xr:uid="{00000000-0005-0000-0000-0000B8690000}"/>
    <cellStyle name="Pre-inputted cells 8 18" xfId="26678" xr:uid="{00000000-0005-0000-0000-0000B9690000}"/>
    <cellStyle name="Pre-inputted cells 8 19" xfId="26679" xr:uid="{00000000-0005-0000-0000-0000BA690000}"/>
    <cellStyle name="Pre-inputted cells 8 2" xfId="26680" xr:uid="{00000000-0005-0000-0000-0000BB690000}"/>
    <cellStyle name="Pre-inputted cells 8 2 10" xfId="26681" xr:uid="{00000000-0005-0000-0000-0000BC690000}"/>
    <cellStyle name="Pre-inputted cells 8 2 11" xfId="26682" xr:uid="{00000000-0005-0000-0000-0000BD690000}"/>
    <cellStyle name="Pre-inputted cells 8 2 12" xfId="26683" xr:uid="{00000000-0005-0000-0000-0000BE690000}"/>
    <cellStyle name="Pre-inputted cells 8 2 13" xfId="26684" xr:uid="{00000000-0005-0000-0000-0000BF690000}"/>
    <cellStyle name="Pre-inputted cells 8 2 14" xfId="26685" xr:uid="{00000000-0005-0000-0000-0000C0690000}"/>
    <cellStyle name="Pre-inputted cells 8 2 15" xfId="26686" xr:uid="{00000000-0005-0000-0000-0000C1690000}"/>
    <cellStyle name="Pre-inputted cells 8 2 16" xfId="26687" xr:uid="{00000000-0005-0000-0000-0000C2690000}"/>
    <cellStyle name="Pre-inputted cells 8 2 17" xfId="26688" xr:uid="{00000000-0005-0000-0000-0000C3690000}"/>
    <cellStyle name="Pre-inputted cells 8 2 18" xfId="26689" xr:uid="{00000000-0005-0000-0000-0000C4690000}"/>
    <cellStyle name="Pre-inputted cells 8 2 19" xfId="26690" xr:uid="{00000000-0005-0000-0000-0000C5690000}"/>
    <cellStyle name="Pre-inputted cells 8 2 2" xfId="26691" xr:uid="{00000000-0005-0000-0000-0000C6690000}"/>
    <cellStyle name="Pre-inputted cells 8 2 2 10" xfId="26692" xr:uid="{00000000-0005-0000-0000-0000C7690000}"/>
    <cellStyle name="Pre-inputted cells 8 2 2 11" xfId="26693" xr:uid="{00000000-0005-0000-0000-0000C8690000}"/>
    <cellStyle name="Pre-inputted cells 8 2 2 12" xfId="26694" xr:uid="{00000000-0005-0000-0000-0000C9690000}"/>
    <cellStyle name="Pre-inputted cells 8 2 2 13" xfId="26695" xr:uid="{00000000-0005-0000-0000-0000CA690000}"/>
    <cellStyle name="Pre-inputted cells 8 2 2 2" xfId="26696" xr:uid="{00000000-0005-0000-0000-0000CB690000}"/>
    <cellStyle name="Pre-inputted cells 8 2 2 3" xfId="26697" xr:uid="{00000000-0005-0000-0000-0000CC690000}"/>
    <cellStyle name="Pre-inputted cells 8 2 2 4" xfId="26698" xr:uid="{00000000-0005-0000-0000-0000CD690000}"/>
    <cellStyle name="Pre-inputted cells 8 2 2 5" xfId="26699" xr:uid="{00000000-0005-0000-0000-0000CE690000}"/>
    <cellStyle name="Pre-inputted cells 8 2 2 6" xfId="26700" xr:uid="{00000000-0005-0000-0000-0000CF690000}"/>
    <cellStyle name="Pre-inputted cells 8 2 2 7" xfId="26701" xr:uid="{00000000-0005-0000-0000-0000D0690000}"/>
    <cellStyle name="Pre-inputted cells 8 2 2 8" xfId="26702" xr:uid="{00000000-0005-0000-0000-0000D1690000}"/>
    <cellStyle name="Pre-inputted cells 8 2 2 9" xfId="26703" xr:uid="{00000000-0005-0000-0000-0000D2690000}"/>
    <cellStyle name="Pre-inputted cells 8 2 20" xfId="26704" xr:uid="{00000000-0005-0000-0000-0000D3690000}"/>
    <cellStyle name="Pre-inputted cells 8 2 21" xfId="26705" xr:uid="{00000000-0005-0000-0000-0000D4690000}"/>
    <cellStyle name="Pre-inputted cells 8 2 22" xfId="26706" xr:uid="{00000000-0005-0000-0000-0000D5690000}"/>
    <cellStyle name="Pre-inputted cells 8 2 23" xfId="26707" xr:uid="{00000000-0005-0000-0000-0000D6690000}"/>
    <cellStyle name="Pre-inputted cells 8 2 24" xfId="26708" xr:uid="{00000000-0005-0000-0000-0000D7690000}"/>
    <cellStyle name="Pre-inputted cells 8 2 25" xfId="26709" xr:uid="{00000000-0005-0000-0000-0000D8690000}"/>
    <cellStyle name="Pre-inputted cells 8 2 26" xfId="26710" xr:uid="{00000000-0005-0000-0000-0000D9690000}"/>
    <cellStyle name="Pre-inputted cells 8 2 27" xfId="26711" xr:uid="{00000000-0005-0000-0000-0000DA690000}"/>
    <cellStyle name="Pre-inputted cells 8 2 28" xfId="26712" xr:uid="{00000000-0005-0000-0000-0000DB690000}"/>
    <cellStyle name="Pre-inputted cells 8 2 29" xfId="26713" xr:uid="{00000000-0005-0000-0000-0000DC690000}"/>
    <cellStyle name="Pre-inputted cells 8 2 3" xfId="26714" xr:uid="{00000000-0005-0000-0000-0000DD690000}"/>
    <cellStyle name="Pre-inputted cells 8 2 30" xfId="26715" xr:uid="{00000000-0005-0000-0000-0000DE690000}"/>
    <cellStyle name="Pre-inputted cells 8 2 31" xfId="26716" xr:uid="{00000000-0005-0000-0000-0000DF690000}"/>
    <cellStyle name="Pre-inputted cells 8 2 32" xfId="26717" xr:uid="{00000000-0005-0000-0000-0000E0690000}"/>
    <cellStyle name="Pre-inputted cells 8 2 33" xfId="26718" xr:uid="{00000000-0005-0000-0000-0000E1690000}"/>
    <cellStyle name="Pre-inputted cells 8 2 34" xfId="26719" xr:uid="{00000000-0005-0000-0000-0000E2690000}"/>
    <cellStyle name="Pre-inputted cells 8 2 4" xfId="26720" xr:uid="{00000000-0005-0000-0000-0000E3690000}"/>
    <cellStyle name="Pre-inputted cells 8 2 5" xfId="26721" xr:uid="{00000000-0005-0000-0000-0000E4690000}"/>
    <cellStyle name="Pre-inputted cells 8 2 6" xfId="26722" xr:uid="{00000000-0005-0000-0000-0000E5690000}"/>
    <cellStyle name="Pre-inputted cells 8 2 7" xfId="26723" xr:uid="{00000000-0005-0000-0000-0000E6690000}"/>
    <cellStyle name="Pre-inputted cells 8 2 8" xfId="26724" xr:uid="{00000000-0005-0000-0000-0000E7690000}"/>
    <cellStyle name="Pre-inputted cells 8 2 9" xfId="26725" xr:uid="{00000000-0005-0000-0000-0000E8690000}"/>
    <cellStyle name="Pre-inputted cells 8 20" xfId="26726" xr:uid="{00000000-0005-0000-0000-0000E9690000}"/>
    <cellStyle name="Pre-inputted cells 8 21" xfId="26727" xr:uid="{00000000-0005-0000-0000-0000EA690000}"/>
    <cellStyle name="Pre-inputted cells 8 22" xfId="26728" xr:uid="{00000000-0005-0000-0000-0000EB690000}"/>
    <cellStyle name="Pre-inputted cells 8 23" xfId="26729" xr:uid="{00000000-0005-0000-0000-0000EC690000}"/>
    <cellStyle name="Pre-inputted cells 8 24" xfId="26730" xr:uid="{00000000-0005-0000-0000-0000ED690000}"/>
    <cellStyle name="Pre-inputted cells 8 25" xfId="26731" xr:uid="{00000000-0005-0000-0000-0000EE690000}"/>
    <cellStyle name="Pre-inputted cells 8 26" xfId="26732" xr:uid="{00000000-0005-0000-0000-0000EF690000}"/>
    <cellStyle name="Pre-inputted cells 8 27" xfId="26733" xr:uid="{00000000-0005-0000-0000-0000F0690000}"/>
    <cellStyle name="Pre-inputted cells 8 28" xfId="26734" xr:uid="{00000000-0005-0000-0000-0000F1690000}"/>
    <cellStyle name="Pre-inputted cells 8 29" xfId="26735" xr:uid="{00000000-0005-0000-0000-0000F2690000}"/>
    <cellStyle name="Pre-inputted cells 8 3" xfId="26736" xr:uid="{00000000-0005-0000-0000-0000F3690000}"/>
    <cellStyle name="Pre-inputted cells 8 3 10" xfId="26737" xr:uid="{00000000-0005-0000-0000-0000F4690000}"/>
    <cellStyle name="Pre-inputted cells 8 3 11" xfId="26738" xr:uid="{00000000-0005-0000-0000-0000F5690000}"/>
    <cellStyle name="Pre-inputted cells 8 3 12" xfId="26739" xr:uid="{00000000-0005-0000-0000-0000F6690000}"/>
    <cellStyle name="Pre-inputted cells 8 3 13" xfId="26740" xr:uid="{00000000-0005-0000-0000-0000F7690000}"/>
    <cellStyle name="Pre-inputted cells 8 3 2" xfId="26741" xr:uid="{00000000-0005-0000-0000-0000F8690000}"/>
    <cellStyle name="Pre-inputted cells 8 3 3" xfId="26742" xr:uid="{00000000-0005-0000-0000-0000F9690000}"/>
    <cellStyle name="Pre-inputted cells 8 3 4" xfId="26743" xr:uid="{00000000-0005-0000-0000-0000FA690000}"/>
    <cellStyle name="Pre-inputted cells 8 3 5" xfId="26744" xr:uid="{00000000-0005-0000-0000-0000FB690000}"/>
    <cellStyle name="Pre-inputted cells 8 3 6" xfId="26745" xr:uid="{00000000-0005-0000-0000-0000FC690000}"/>
    <cellStyle name="Pre-inputted cells 8 3 7" xfId="26746" xr:uid="{00000000-0005-0000-0000-0000FD690000}"/>
    <cellStyle name="Pre-inputted cells 8 3 8" xfId="26747" xr:uid="{00000000-0005-0000-0000-0000FE690000}"/>
    <cellStyle name="Pre-inputted cells 8 3 9" xfId="26748" xr:uid="{00000000-0005-0000-0000-0000FF690000}"/>
    <cellStyle name="Pre-inputted cells 8 30" xfId="26749" xr:uid="{00000000-0005-0000-0000-0000006A0000}"/>
    <cellStyle name="Pre-inputted cells 8 31" xfId="26750" xr:uid="{00000000-0005-0000-0000-0000016A0000}"/>
    <cellStyle name="Pre-inputted cells 8 32" xfId="26751" xr:uid="{00000000-0005-0000-0000-0000026A0000}"/>
    <cellStyle name="Pre-inputted cells 8 33" xfId="26752" xr:uid="{00000000-0005-0000-0000-0000036A0000}"/>
    <cellStyle name="Pre-inputted cells 8 34" xfId="26753" xr:uid="{00000000-0005-0000-0000-0000046A0000}"/>
    <cellStyle name="Pre-inputted cells 8 35" xfId="26754" xr:uid="{00000000-0005-0000-0000-0000056A0000}"/>
    <cellStyle name="Pre-inputted cells 8 4" xfId="26755" xr:uid="{00000000-0005-0000-0000-0000066A0000}"/>
    <cellStyle name="Pre-inputted cells 8 5" xfId="26756" xr:uid="{00000000-0005-0000-0000-0000076A0000}"/>
    <cellStyle name="Pre-inputted cells 8 6" xfId="26757" xr:uid="{00000000-0005-0000-0000-0000086A0000}"/>
    <cellStyle name="Pre-inputted cells 8 7" xfId="26758" xr:uid="{00000000-0005-0000-0000-0000096A0000}"/>
    <cellStyle name="Pre-inputted cells 8 8" xfId="26759" xr:uid="{00000000-0005-0000-0000-00000A6A0000}"/>
    <cellStyle name="Pre-inputted cells 8 9" xfId="26760" xr:uid="{00000000-0005-0000-0000-00000B6A0000}"/>
    <cellStyle name="Pre-inputted cells 8_4 28 1_Asst_Health_Crit_AllTO_RIIO_20110714pm" xfId="26761" xr:uid="{00000000-0005-0000-0000-00000C6A0000}"/>
    <cellStyle name="Pre-inputted cells 9" xfId="26762" xr:uid="{00000000-0005-0000-0000-00000D6A0000}"/>
    <cellStyle name="Pre-inputted cells 9 10" xfId="26763" xr:uid="{00000000-0005-0000-0000-00000E6A0000}"/>
    <cellStyle name="Pre-inputted cells 9 11" xfId="26764" xr:uid="{00000000-0005-0000-0000-00000F6A0000}"/>
    <cellStyle name="Pre-inputted cells 9 12" xfId="26765" xr:uid="{00000000-0005-0000-0000-0000106A0000}"/>
    <cellStyle name="Pre-inputted cells 9 13" xfId="26766" xr:uid="{00000000-0005-0000-0000-0000116A0000}"/>
    <cellStyle name="Pre-inputted cells 9 14" xfId="26767" xr:uid="{00000000-0005-0000-0000-0000126A0000}"/>
    <cellStyle name="Pre-inputted cells 9 15" xfId="26768" xr:uid="{00000000-0005-0000-0000-0000136A0000}"/>
    <cellStyle name="Pre-inputted cells 9 16" xfId="26769" xr:uid="{00000000-0005-0000-0000-0000146A0000}"/>
    <cellStyle name="Pre-inputted cells 9 17" xfId="26770" xr:uid="{00000000-0005-0000-0000-0000156A0000}"/>
    <cellStyle name="Pre-inputted cells 9 18" xfId="26771" xr:uid="{00000000-0005-0000-0000-0000166A0000}"/>
    <cellStyle name="Pre-inputted cells 9 19" xfId="26772" xr:uid="{00000000-0005-0000-0000-0000176A0000}"/>
    <cellStyle name="Pre-inputted cells 9 2" xfId="26773" xr:uid="{00000000-0005-0000-0000-0000186A0000}"/>
    <cellStyle name="Pre-inputted cells 9 2 10" xfId="26774" xr:uid="{00000000-0005-0000-0000-0000196A0000}"/>
    <cellStyle name="Pre-inputted cells 9 2 11" xfId="26775" xr:uid="{00000000-0005-0000-0000-00001A6A0000}"/>
    <cellStyle name="Pre-inputted cells 9 2 12" xfId="26776" xr:uid="{00000000-0005-0000-0000-00001B6A0000}"/>
    <cellStyle name="Pre-inputted cells 9 2 13" xfId="26777" xr:uid="{00000000-0005-0000-0000-00001C6A0000}"/>
    <cellStyle name="Pre-inputted cells 9 2 2" xfId="26778" xr:uid="{00000000-0005-0000-0000-00001D6A0000}"/>
    <cellStyle name="Pre-inputted cells 9 2 3" xfId="26779" xr:uid="{00000000-0005-0000-0000-00001E6A0000}"/>
    <cellStyle name="Pre-inputted cells 9 2 4" xfId="26780" xr:uid="{00000000-0005-0000-0000-00001F6A0000}"/>
    <cellStyle name="Pre-inputted cells 9 2 5" xfId="26781" xr:uid="{00000000-0005-0000-0000-0000206A0000}"/>
    <cellStyle name="Pre-inputted cells 9 2 6" xfId="26782" xr:uid="{00000000-0005-0000-0000-0000216A0000}"/>
    <cellStyle name="Pre-inputted cells 9 2 7" xfId="26783" xr:uid="{00000000-0005-0000-0000-0000226A0000}"/>
    <cellStyle name="Pre-inputted cells 9 2 8" xfId="26784" xr:uid="{00000000-0005-0000-0000-0000236A0000}"/>
    <cellStyle name="Pre-inputted cells 9 2 9" xfId="26785" xr:uid="{00000000-0005-0000-0000-0000246A0000}"/>
    <cellStyle name="Pre-inputted cells 9 20" xfId="26786" xr:uid="{00000000-0005-0000-0000-0000256A0000}"/>
    <cellStyle name="Pre-inputted cells 9 21" xfId="26787" xr:uid="{00000000-0005-0000-0000-0000266A0000}"/>
    <cellStyle name="Pre-inputted cells 9 22" xfId="26788" xr:uid="{00000000-0005-0000-0000-0000276A0000}"/>
    <cellStyle name="Pre-inputted cells 9 23" xfId="26789" xr:uid="{00000000-0005-0000-0000-0000286A0000}"/>
    <cellStyle name="Pre-inputted cells 9 24" xfId="26790" xr:uid="{00000000-0005-0000-0000-0000296A0000}"/>
    <cellStyle name="Pre-inputted cells 9 25" xfId="26791" xr:uid="{00000000-0005-0000-0000-00002A6A0000}"/>
    <cellStyle name="Pre-inputted cells 9 26" xfId="26792" xr:uid="{00000000-0005-0000-0000-00002B6A0000}"/>
    <cellStyle name="Pre-inputted cells 9 27" xfId="26793" xr:uid="{00000000-0005-0000-0000-00002C6A0000}"/>
    <cellStyle name="Pre-inputted cells 9 28" xfId="26794" xr:uid="{00000000-0005-0000-0000-00002D6A0000}"/>
    <cellStyle name="Pre-inputted cells 9 29" xfId="26795" xr:uid="{00000000-0005-0000-0000-00002E6A0000}"/>
    <cellStyle name="Pre-inputted cells 9 3" xfId="26796" xr:uid="{00000000-0005-0000-0000-00002F6A0000}"/>
    <cellStyle name="Pre-inputted cells 9 30" xfId="26797" xr:uid="{00000000-0005-0000-0000-0000306A0000}"/>
    <cellStyle name="Pre-inputted cells 9 31" xfId="26798" xr:uid="{00000000-0005-0000-0000-0000316A0000}"/>
    <cellStyle name="Pre-inputted cells 9 32" xfId="26799" xr:uid="{00000000-0005-0000-0000-0000326A0000}"/>
    <cellStyle name="Pre-inputted cells 9 33" xfId="26800" xr:uid="{00000000-0005-0000-0000-0000336A0000}"/>
    <cellStyle name="Pre-inputted cells 9 34" xfId="26801" xr:uid="{00000000-0005-0000-0000-0000346A0000}"/>
    <cellStyle name="Pre-inputted cells 9 4" xfId="26802" xr:uid="{00000000-0005-0000-0000-0000356A0000}"/>
    <cellStyle name="Pre-inputted cells 9 5" xfId="26803" xr:uid="{00000000-0005-0000-0000-0000366A0000}"/>
    <cellStyle name="Pre-inputted cells 9 6" xfId="26804" xr:uid="{00000000-0005-0000-0000-0000376A0000}"/>
    <cellStyle name="Pre-inputted cells 9 7" xfId="26805" xr:uid="{00000000-0005-0000-0000-0000386A0000}"/>
    <cellStyle name="Pre-inputted cells 9 8" xfId="26806" xr:uid="{00000000-0005-0000-0000-0000396A0000}"/>
    <cellStyle name="Pre-inputted cells 9 9" xfId="26807" xr:uid="{00000000-0005-0000-0000-00003A6A0000}"/>
    <cellStyle name="Pre-inputted cells_1.3s Accounting C Costs Scots" xfId="26808" xr:uid="{00000000-0005-0000-0000-00003B6A0000}"/>
    <cellStyle name="price" xfId="26809" xr:uid="{00000000-0005-0000-0000-00003C6A0000}"/>
    <cellStyle name="PROTECTED" xfId="26810" xr:uid="{00000000-0005-0000-0000-00003D6A0000}"/>
    <cellStyle name="ProtectedDates" xfId="26811" xr:uid="{00000000-0005-0000-0000-00003E6A0000}"/>
    <cellStyle name="PSChar" xfId="26812" xr:uid="{00000000-0005-0000-0000-00003F6A0000}"/>
    <cellStyle name="PSDate" xfId="26813" xr:uid="{00000000-0005-0000-0000-0000406A0000}"/>
    <cellStyle name="PSDec" xfId="26814" xr:uid="{00000000-0005-0000-0000-0000416A0000}"/>
    <cellStyle name="PSHeading" xfId="26815" xr:uid="{00000000-0005-0000-0000-0000426A0000}"/>
    <cellStyle name="PSInt" xfId="26816" xr:uid="{00000000-0005-0000-0000-0000436A0000}"/>
    <cellStyle name="PSSpacer" xfId="26817" xr:uid="{00000000-0005-0000-0000-0000446A0000}"/>
    <cellStyle name="pwp" xfId="26818" xr:uid="{00000000-0005-0000-0000-0000456A0000}"/>
    <cellStyle name="q" xfId="26819" xr:uid="{00000000-0005-0000-0000-0000466A0000}"/>
    <cellStyle name="R00A" xfId="26820" xr:uid="{00000000-0005-0000-0000-0000476A0000}"/>
    <cellStyle name="R00B" xfId="26821" xr:uid="{00000000-0005-0000-0000-0000486A0000}"/>
    <cellStyle name="R00L" xfId="26822" xr:uid="{00000000-0005-0000-0000-0000496A0000}"/>
    <cellStyle name="R01A" xfId="26823" xr:uid="{00000000-0005-0000-0000-00004A6A0000}"/>
    <cellStyle name="R01B" xfId="26824" xr:uid="{00000000-0005-0000-0000-00004B6A0000}"/>
    <cellStyle name="R01H" xfId="26825" xr:uid="{00000000-0005-0000-0000-00004C6A0000}"/>
    <cellStyle name="R01L" xfId="26826" xr:uid="{00000000-0005-0000-0000-00004D6A0000}"/>
    <cellStyle name="R02A" xfId="26827" xr:uid="{00000000-0005-0000-0000-00004E6A0000}"/>
    <cellStyle name="R02B" xfId="26828" xr:uid="{00000000-0005-0000-0000-00004F6A0000}"/>
    <cellStyle name="R02H" xfId="26829" xr:uid="{00000000-0005-0000-0000-0000506A0000}"/>
    <cellStyle name="R02L" xfId="26830" xr:uid="{00000000-0005-0000-0000-0000516A0000}"/>
    <cellStyle name="R03A" xfId="26831" xr:uid="{00000000-0005-0000-0000-0000526A0000}"/>
    <cellStyle name="R03B" xfId="26832" xr:uid="{00000000-0005-0000-0000-0000536A0000}"/>
    <cellStyle name="R03H" xfId="26833" xr:uid="{00000000-0005-0000-0000-0000546A0000}"/>
    <cellStyle name="R03L" xfId="26834" xr:uid="{00000000-0005-0000-0000-0000556A0000}"/>
    <cellStyle name="R04A" xfId="26835" xr:uid="{00000000-0005-0000-0000-0000566A0000}"/>
    <cellStyle name="R04B" xfId="26836" xr:uid="{00000000-0005-0000-0000-0000576A0000}"/>
    <cellStyle name="R04H" xfId="26837" xr:uid="{00000000-0005-0000-0000-0000586A0000}"/>
    <cellStyle name="R04L" xfId="26838" xr:uid="{00000000-0005-0000-0000-0000596A0000}"/>
    <cellStyle name="R05A" xfId="26839" xr:uid="{00000000-0005-0000-0000-00005A6A0000}"/>
    <cellStyle name="R05B" xfId="26840" xr:uid="{00000000-0005-0000-0000-00005B6A0000}"/>
    <cellStyle name="R05H" xfId="26841" xr:uid="{00000000-0005-0000-0000-00005C6A0000}"/>
    <cellStyle name="R05L" xfId="26842" xr:uid="{00000000-0005-0000-0000-00005D6A0000}"/>
    <cellStyle name="R06A" xfId="26843" xr:uid="{00000000-0005-0000-0000-00005E6A0000}"/>
    <cellStyle name="R06B" xfId="26844" xr:uid="{00000000-0005-0000-0000-00005F6A0000}"/>
    <cellStyle name="R06H" xfId="26845" xr:uid="{00000000-0005-0000-0000-0000606A0000}"/>
    <cellStyle name="R06L" xfId="26846" xr:uid="{00000000-0005-0000-0000-0000616A0000}"/>
    <cellStyle name="R07A" xfId="26847" xr:uid="{00000000-0005-0000-0000-0000626A0000}"/>
    <cellStyle name="R07B" xfId="26848" xr:uid="{00000000-0005-0000-0000-0000636A0000}"/>
    <cellStyle name="R07L" xfId="26849" xr:uid="{00000000-0005-0000-0000-0000646A0000}"/>
    <cellStyle name="range" xfId="26850" xr:uid="{00000000-0005-0000-0000-0000656A0000}"/>
    <cellStyle name="RangeName" xfId="26851" xr:uid="{00000000-0005-0000-0000-0000666A0000}"/>
    <cellStyle name="RevList" xfId="26852" xr:uid="{00000000-0005-0000-0000-0000676A0000}"/>
    <cellStyle name="RIGs" xfId="26853" xr:uid="{00000000-0005-0000-0000-0000686A0000}"/>
    <cellStyle name="RIGs 10" xfId="26854" xr:uid="{00000000-0005-0000-0000-0000696A0000}"/>
    <cellStyle name="RIGs 11" xfId="26855" xr:uid="{00000000-0005-0000-0000-00006A6A0000}"/>
    <cellStyle name="RIGs 12" xfId="26856" xr:uid="{00000000-0005-0000-0000-00006B6A0000}"/>
    <cellStyle name="RIGs 13" xfId="26857" xr:uid="{00000000-0005-0000-0000-00006C6A0000}"/>
    <cellStyle name="RIGs 14" xfId="26858" xr:uid="{00000000-0005-0000-0000-00006D6A0000}"/>
    <cellStyle name="RIGs 15" xfId="26859" xr:uid="{00000000-0005-0000-0000-00006E6A0000}"/>
    <cellStyle name="RIGs 16" xfId="26860" xr:uid="{00000000-0005-0000-0000-00006F6A0000}"/>
    <cellStyle name="RIGs 17" xfId="26861" xr:uid="{00000000-0005-0000-0000-0000706A0000}"/>
    <cellStyle name="RIGs 18" xfId="26862" xr:uid="{00000000-0005-0000-0000-0000716A0000}"/>
    <cellStyle name="RIGs 19" xfId="26863" xr:uid="{00000000-0005-0000-0000-0000726A0000}"/>
    <cellStyle name="RIGs 2" xfId="26864" xr:uid="{00000000-0005-0000-0000-0000736A0000}"/>
    <cellStyle name="RIGs 2 10" xfId="26865" xr:uid="{00000000-0005-0000-0000-0000746A0000}"/>
    <cellStyle name="RIGs 2 11" xfId="26866" xr:uid="{00000000-0005-0000-0000-0000756A0000}"/>
    <cellStyle name="RIGs 2 12" xfId="26867" xr:uid="{00000000-0005-0000-0000-0000766A0000}"/>
    <cellStyle name="RIGs 2 13" xfId="26868" xr:uid="{00000000-0005-0000-0000-0000776A0000}"/>
    <cellStyle name="RIGs 2 14" xfId="26869" xr:uid="{00000000-0005-0000-0000-0000786A0000}"/>
    <cellStyle name="RIGs 2 15" xfId="26870" xr:uid="{00000000-0005-0000-0000-0000796A0000}"/>
    <cellStyle name="RIGs 2 16" xfId="26871" xr:uid="{00000000-0005-0000-0000-00007A6A0000}"/>
    <cellStyle name="RIGs 2 17" xfId="26872" xr:uid="{00000000-0005-0000-0000-00007B6A0000}"/>
    <cellStyle name="RIGs 2 18" xfId="26873" xr:uid="{00000000-0005-0000-0000-00007C6A0000}"/>
    <cellStyle name="RIGs 2 19" xfId="26874" xr:uid="{00000000-0005-0000-0000-00007D6A0000}"/>
    <cellStyle name="RIGs 2 2" xfId="26875" xr:uid="{00000000-0005-0000-0000-00007E6A0000}"/>
    <cellStyle name="RIGs 2 2 10" xfId="26876" xr:uid="{00000000-0005-0000-0000-00007F6A0000}"/>
    <cellStyle name="RIGs 2 2 11" xfId="26877" xr:uid="{00000000-0005-0000-0000-0000806A0000}"/>
    <cellStyle name="RIGs 2 2 12" xfId="26878" xr:uid="{00000000-0005-0000-0000-0000816A0000}"/>
    <cellStyle name="RIGs 2 2 13" xfId="26879" xr:uid="{00000000-0005-0000-0000-0000826A0000}"/>
    <cellStyle name="RIGs 2 2 14" xfId="26880" xr:uid="{00000000-0005-0000-0000-0000836A0000}"/>
    <cellStyle name="RIGs 2 2 15" xfId="26881" xr:uid="{00000000-0005-0000-0000-0000846A0000}"/>
    <cellStyle name="RIGs 2 2 16" xfId="26882" xr:uid="{00000000-0005-0000-0000-0000856A0000}"/>
    <cellStyle name="RIGs 2 2 17" xfId="26883" xr:uid="{00000000-0005-0000-0000-0000866A0000}"/>
    <cellStyle name="RIGs 2 2 18" xfId="26884" xr:uid="{00000000-0005-0000-0000-0000876A0000}"/>
    <cellStyle name="RIGs 2 2 19" xfId="26885" xr:uid="{00000000-0005-0000-0000-0000886A0000}"/>
    <cellStyle name="RIGs 2 2 2" xfId="26886" xr:uid="{00000000-0005-0000-0000-0000896A0000}"/>
    <cellStyle name="RIGs 2 2 2 10" xfId="26887" xr:uid="{00000000-0005-0000-0000-00008A6A0000}"/>
    <cellStyle name="RIGs 2 2 2 11" xfId="26888" xr:uid="{00000000-0005-0000-0000-00008B6A0000}"/>
    <cellStyle name="RIGs 2 2 2 12" xfId="26889" xr:uid="{00000000-0005-0000-0000-00008C6A0000}"/>
    <cellStyle name="RIGs 2 2 2 13" xfId="26890" xr:uid="{00000000-0005-0000-0000-00008D6A0000}"/>
    <cellStyle name="RIGs 2 2 2 14" xfId="26891" xr:uid="{00000000-0005-0000-0000-00008E6A0000}"/>
    <cellStyle name="RIGs 2 2 2 15" xfId="26892" xr:uid="{00000000-0005-0000-0000-00008F6A0000}"/>
    <cellStyle name="RIGs 2 2 2 16" xfId="26893" xr:uid="{00000000-0005-0000-0000-0000906A0000}"/>
    <cellStyle name="RIGs 2 2 2 17" xfId="26894" xr:uid="{00000000-0005-0000-0000-0000916A0000}"/>
    <cellStyle name="RIGs 2 2 2 18" xfId="26895" xr:uid="{00000000-0005-0000-0000-0000926A0000}"/>
    <cellStyle name="RIGs 2 2 2 19" xfId="26896" xr:uid="{00000000-0005-0000-0000-0000936A0000}"/>
    <cellStyle name="RIGs 2 2 2 2" xfId="26897" xr:uid="{00000000-0005-0000-0000-0000946A0000}"/>
    <cellStyle name="RIGs 2 2 2 2 10" xfId="26898" xr:uid="{00000000-0005-0000-0000-0000956A0000}"/>
    <cellStyle name="RIGs 2 2 2 2 11" xfId="26899" xr:uid="{00000000-0005-0000-0000-0000966A0000}"/>
    <cellStyle name="RIGs 2 2 2 2 12" xfId="26900" xr:uid="{00000000-0005-0000-0000-0000976A0000}"/>
    <cellStyle name="RIGs 2 2 2 2 13" xfId="26901" xr:uid="{00000000-0005-0000-0000-0000986A0000}"/>
    <cellStyle name="RIGs 2 2 2 2 2" xfId="26902" xr:uid="{00000000-0005-0000-0000-0000996A0000}"/>
    <cellStyle name="RIGs 2 2 2 2 3" xfId="26903" xr:uid="{00000000-0005-0000-0000-00009A6A0000}"/>
    <cellStyle name="RIGs 2 2 2 2 4" xfId="26904" xr:uid="{00000000-0005-0000-0000-00009B6A0000}"/>
    <cellStyle name="RIGs 2 2 2 2 5" xfId="26905" xr:uid="{00000000-0005-0000-0000-00009C6A0000}"/>
    <cellStyle name="RIGs 2 2 2 2 6" xfId="26906" xr:uid="{00000000-0005-0000-0000-00009D6A0000}"/>
    <cellStyle name="RIGs 2 2 2 2 7" xfId="26907" xr:uid="{00000000-0005-0000-0000-00009E6A0000}"/>
    <cellStyle name="RIGs 2 2 2 2 8" xfId="26908" xr:uid="{00000000-0005-0000-0000-00009F6A0000}"/>
    <cellStyle name="RIGs 2 2 2 2 9" xfId="26909" xr:uid="{00000000-0005-0000-0000-0000A06A0000}"/>
    <cellStyle name="RIGs 2 2 2 20" xfId="26910" xr:uid="{00000000-0005-0000-0000-0000A16A0000}"/>
    <cellStyle name="RIGs 2 2 2 21" xfId="26911" xr:uid="{00000000-0005-0000-0000-0000A26A0000}"/>
    <cellStyle name="RIGs 2 2 2 3" xfId="26912" xr:uid="{00000000-0005-0000-0000-0000A36A0000}"/>
    <cellStyle name="RIGs 2 2 2 4" xfId="26913" xr:uid="{00000000-0005-0000-0000-0000A46A0000}"/>
    <cellStyle name="RIGs 2 2 2 5" xfId="26914" xr:uid="{00000000-0005-0000-0000-0000A56A0000}"/>
    <cellStyle name="RIGs 2 2 2 6" xfId="26915" xr:uid="{00000000-0005-0000-0000-0000A66A0000}"/>
    <cellStyle name="RIGs 2 2 2 7" xfId="26916" xr:uid="{00000000-0005-0000-0000-0000A76A0000}"/>
    <cellStyle name="RIGs 2 2 2 8" xfId="26917" xr:uid="{00000000-0005-0000-0000-0000A86A0000}"/>
    <cellStyle name="RIGs 2 2 2 9" xfId="26918" xr:uid="{00000000-0005-0000-0000-0000A96A0000}"/>
    <cellStyle name="RIGs 2 2 20" xfId="26919" xr:uid="{00000000-0005-0000-0000-0000AA6A0000}"/>
    <cellStyle name="RIGs 2 2 21" xfId="26920" xr:uid="{00000000-0005-0000-0000-0000AB6A0000}"/>
    <cellStyle name="RIGs 2 2 22" xfId="26921" xr:uid="{00000000-0005-0000-0000-0000AC6A0000}"/>
    <cellStyle name="RIGs 2 2 3" xfId="26922" xr:uid="{00000000-0005-0000-0000-0000AD6A0000}"/>
    <cellStyle name="RIGs 2 2 3 10" xfId="26923" xr:uid="{00000000-0005-0000-0000-0000AE6A0000}"/>
    <cellStyle name="RIGs 2 2 3 11" xfId="26924" xr:uid="{00000000-0005-0000-0000-0000AF6A0000}"/>
    <cellStyle name="RIGs 2 2 3 12" xfId="26925" xr:uid="{00000000-0005-0000-0000-0000B06A0000}"/>
    <cellStyle name="RIGs 2 2 3 13" xfId="26926" xr:uid="{00000000-0005-0000-0000-0000B16A0000}"/>
    <cellStyle name="RIGs 2 2 3 2" xfId="26927" xr:uid="{00000000-0005-0000-0000-0000B26A0000}"/>
    <cellStyle name="RIGs 2 2 3 3" xfId="26928" xr:uid="{00000000-0005-0000-0000-0000B36A0000}"/>
    <cellStyle name="RIGs 2 2 3 4" xfId="26929" xr:uid="{00000000-0005-0000-0000-0000B46A0000}"/>
    <cellStyle name="RIGs 2 2 3 5" xfId="26930" xr:uid="{00000000-0005-0000-0000-0000B56A0000}"/>
    <cellStyle name="RIGs 2 2 3 6" xfId="26931" xr:uid="{00000000-0005-0000-0000-0000B66A0000}"/>
    <cellStyle name="RIGs 2 2 3 7" xfId="26932" xr:uid="{00000000-0005-0000-0000-0000B76A0000}"/>
    <cellStyle name="RIGs 2 2 3 8" xfId="26933" xr:uid="{00000000-0005-0000-0000-0000B86A0000}"/>
    <cellStyle name="RIGs 2 2 3 9" xfId="26934" xr:uid="{00000000-0005-0000-0000-0000B96A0000}"/>
    <cellStyle name="RIGs 2 2 4" xfId="26935" xr:uid="{00000000-0005-0000-0000-0000BA6A0000}"/>
    <cellStyle name="RIGs 2 2 5" xfId="26936" xr:uid="{00000000-0005-0000-0000-0000BB6A0000}"/>
    <cellStyle name="RIGs 2 2 6" xfId="26937" xr:uid="{00000000-0005-0000-0000-0000BC6A0000}"/>
    <cellStyle name="RIGs 2 2 7" xfId="26938" xr:uid="{00000000-0005-0000-0000-0000BD6A0000}"/>
    <cellStyle name="RIGs 2 2 8" xfId="26939" xr:uid="{00000000-0005-0000-0000-0000BE6A0000}"/>
    <cellStyle name="RIGs 2 2 9" xfId="26940" xr:uid="{00000000-0005-0000-0000-0000BF6A0000}"/>
    <cellStyle name="RIGs 2 2_4 28 1_Asst_Health_Crit_AllTO_RIIO_20110714pm" xfId="26941" xr:uid="{00000000-0005-0000-0000-0000C06A0000}"/>
    <cellStyle name="RIGs 2 20" xfId="26942" xr:uid="{00000000-0005-0000-0000-0000C16A0000}"/>
    <cellStyle name="RIGs 2 21" xfId="26943" xr:uid="{00000000-0005-0000-0000-0000C26A0000}"/>
    <cellStyle name="RIGs 2 22" xfId="26944" xr:uid="{00000000-0005-0000-0000-0000C36A0000}"/>
    <cellStyle name="RIGs 2 23" xfId="26945" xr:uid="{00000000-0005-0000-0000-0000C46A0000}"/>
    <cellStyle name="RIGs 2 24" xfId="26946" xr:uid="{00000000-0005-0000-0000-0000C56A0000}"/>
    <cellStyle name="RIGs 2 3" xfId="26947" xr:uid="{00000000-0005-0000-0000-0000C66A0000}"/>
    <cellStyle name="RIGs 2 3 10" xfId="26948" xr:uid="{00000000-0005-0000-0000-0000C76A0000}"/>
    <cellStyle name="RIGs 2 3 11" xfId="26949" xr:uid="{00000000-0005-0000-0000-0000C86A0000}"/>
    <cellStyle name="RIGs 2 3 12" xfId="26950" xr:uid="{00000000-0005-0000-0000-0000C96A0000}"/>
    <cellStyle name="RIGs 2 3 13" xfId="26951" xr:uid="{00000000-0005-0000-0000-0000CA6A0000}"/>
    <cellStyle name="RIGs 2 3 14" xfId="26952" xr:uid="{00000000-0005-0000-0000-0000CB6A0000}"/>
    <cellStyle name="RIGs 2 3 15" xfId="26953" xr:uid="{00000000-0005-0000-0000-0000CC6A0000}"/>
    <cellStyle name="RIGs 2 3 16" xfId="26954" xr:uid="{00000000-0005-0000-0000-0000CD6A0000}"/>
    <cellStyle name="RIGs 2 3 17" xfId="26955" xr:uid="{00000000-0005-0000-0000-0000CE6A0000}"/>
    <cellStyle name="RIGs 2 3 18" xfId="26956" xr:uid="{00000000-0005-0000-0000-0000CF6A0000}"/>
    <cellStyle name="RIGs 2 3 19" xfId="26957" xr:uid="{00000000-0005-0000-0000-0000D06A0000}"/>
    <cellStyle name="RIGs 2 3 2" xfId="26958" xr:uid="{00000000-0005-0000-0000-0000D16A0000}"/>
    <cellStyle name="RIGs 2 3 2 10" xfId="26959" xr:uid="{00000000-0005-0000-0000-0000D26A0000}"/>
    <cellStyle name="RIGs 2 3 2 11" xfId="26960" xr:uid="{00000000-0005-0000-0000-0000D36A0000}"/>
    <cellStyle name="RIGs 2 3 2 12" xfId="26961" xr:uid="{00000000-0005-0000-0000-0000D46A0000}"/>
    <cellStyle name="RIGs 2 3 2 13" xfId="26962" xr:uid="{00000000-0005-0000-0000-0000D56A0000}"/>
    <cellStyle name="RIGs 2 3 2 2" xfId="26963" xr:uid="{00000000-0005-0000-0000-0000D66A0000}"/>
    <cellStyle name="RIGs 2 3 2 3" xfId="26964" xr:uid="{00000000-0005-0000-0000-0000D76A0000}"/>
    <cellStyle name="RIGs 2 3 2 4" xfId="26965" xr:uid="{00000000-0005-0000-0000-0000D86A0000}"/>
    <cellStyle name="RIGs 2 3 2 5" xfId="26966" xr:uid="{00000000-0005-0000-0000-0000D96A0000}"/>
    <cellStyle name="RIGs 2 3 2 6" xfId="26967" xr:uid="{00000000-0005-0000-0000-0000DA6A0000}"/>
    <cellStyle name="RIGs 2 3 2 7" xfId="26968" xr:uid="{00000000-0005-0000-0000-0000DB6A0000}"/>
    <cellStyle name="RIGs 2 3 2 8" xfId="26969" xr:uid="{00000000-0005-0000-0000-0000DC6A0000}"/>
    <cellStyle name="RIGs 2 3 2 9" xfId="26970" xr:uid="{00000000-0005-0000-0000-0000DD6A0000}"/>
    <cellStyle name="RIGs 2 3 20" xfId="26971" xr:uid="{00000000-0005-0000-0000-0000DE6A0000}"/>
    <cellStyle name="RIGs 2 3 21" xfId="26972" xr:uid="{00000000-0005-0000-0000-0000DF6A0000}"/>
    <cellStyle name="RIGs 2 3 3" xfId="26973" xr:uid="{00000000-0005-0000-0000-0000E06A0000}"/>
    <cellStyle name="RIGs 2 3 4" xfId="26974" xr:uid="{00000000-0005-0000-0000-0000E16A0000}"/>
    <cellStyle name="RIGs 2 3 5" xfId="26975" xr:uid="{00000000-0005-0000-0000-0000E26A0000}"/>
    <cellStyle name="RIGs 2 3 6" xfId="26976" xr:uid="{00000000-0005-0000-0000-0000E36A0000}"/>
    <cellStyle name="RIGs 2 3 7" xfId="26977" xr:uid="{00000000-0005-0000-0000-0000E46A0000}"/>
    <cellStyle name="RIGs 2 3 8" xfId="26978" xr:uid="{00000000-0005-0000-0000-0000E56A0000}"/>
    <cellStyle name="RIGs 2 3 9" xfId="26979" xr:uid="{00000000-0005-0000-0000-0000E66A0000}"/>
    <cellStyle name="RIGs 2 4" xfId="26980" xr:uid="{00000000-0005-0000-0000-0000E76A0000}"/>
    <cellStyle name="RIGs 2 4 10" xfId="26981" xr:uid="{00000000-0005-0000-0000-0000E86A0000}"/>
    <cellStyle name="RIGs 2 4 11" xfId="26982" xr:uid="{00000000-0005-0000-0000-0000E96A0000}"/>
    <cellStyle name="RIGs 2 4 12" xfId="26983" xr:uid="{00000000-0005-0000-0000-0000EA6A0000}"/>
    <cellStyle name="RIGs 2 4 13" xfId="26984" xr:uid="{00000000-0005-0000-0000-0000EB6A0000}"/>
    <cellStyle name="RIGs 2 4 2" xfId="26985" xr:uid="{00000000-0005-0000-0000-0000EC6A0000}"/>
    <cellStyle name="RIGs 2 4 3" xfId="26986" xr:uid="{00000000-0005-0000-0000-0000ED6A0000}"/>
    <cellStyle name="RIGs 2 4 4" xfId="26987" xr:uid="{00000000-0005-0000-0000-0000EE6A0000}"/>
    <cellStyle name="RIGs 2 4 5" xfId="26988" xr:uid="{00000000-0005-0000-0000-0000EF6A0000}"/>
    <cellStyle name="RIGs 2 4 6" xfId="26989" xr:uid="{00000000-0005-0000-0000-0000F06A0000}"/>
    <cellStyle name="RIGs 2 4 7" xfId="26990" xr:uid="{00000000-0005-0000-0000-0000F16A0000}"/>
    <cellStyle name="RIGs 2 4 8" xfId="26991" xr:uid="{00000000-0005-0000-0000-0000F26A0000}"/>
    <cellStyle name="RIGs 2 4 9" xfId="26992" xr:uid="{00000000-0005-0000-0000-0000F36A0000}"/>
    <cellStyle name="RIGs 2 5" xfId="26993" xr:uid="{00000000-0005-0000-0000-0000F46A0000}"/>
    <cellStyle name="RIGs 2 6" xfId="26994" xr:uid="{00000000-0005-0000-0000-0000F56A0000}"/>
    <cellStyle name="RIGs 2 7" xfId="26995" xr:uid="{00000000-0005-0000-0000-0000F66A0000}"/>
    <cellStyle name="RIGs 2 8" xfId="26996" xr:uid="{00000000-0005-0000-0000-0000F76A0000}"/>
    <cellStyle name="RIGs 2 9" xfId="26997" xr:uid="{00000000-0005-0000-0000-0000F86A0000}"/>
    <cellStyle name="RIGs 2_4 28 1_Asst_Health_Crit_AllTO_RIIO_20110714pm" xfId="26998" xr:uid="{00000000-0005-0000-0000-0000F96A0000}"/>
    <cellStyle name="RIGs 20" xfId="26999" xr:uid="{00000000-0005-0000-0000-0000FA6A0000}"/>
    <cellStyle name="RIGs 21" xfId="27000" xr:uid="{00000000-0005-0000-0000-0000FB6A0000}"/>
    <cellStyle name="RIGs 22" xfId="27001" xr:uid="{00000000-0005-0000-0000-0000FC6A0000}"/>
    <cellStyle name="RIGs 23" xfId="27002" xr:uid="{00000000-0005-0000-0000-0000FD6A0000}"/>
    <cellStyle name="RIGs 24" xfId="27003" xr:uid="{00000000-0005-0000-0000-0000FE6A0000}"/>
    <cellStyle name="RIGs 25" xfId="27004" xr:uid="{00000000-0005-0000-0000-0000FF6A0000}"/>
    <cellStyle name="RIGs 3" xfId="27005" xr:uid="{00000000-0005-0000-0000-0000006B0000}"/>
    <cellStyle name="RIGs 3 10" xfId="27006" xr:uid="{00000000-0005-0000-0000-0000016B0000}"/>
    <cellStyle name="RIGs 3 11" xfId="27007" xr:uid="{00000000-0005-0000-0000-0000026B0000}"/>
    <cellStyle name="RIGs 3 12" xfId="27008" xr:uid="{00000000-0005-0000-0000-0000036B0000}"/>
    <cellStyle name="RIGs 3 13" xfId="27009" xr:uid="{00000000-0005-0000-0000-0000046B0000}"/>
    <cellStyle name="RIGs 3 14" xfId="27010" xr:uid="{00000000-0005-0000-0000-0000056B0000}"/>
    <cellStyle name="RIGs 3 15" xfId="27011" xr:uid="{00000000-0005-0000-0000-0000066B0000}"/>
    <cellStyle name="RIGs 3 16" xfId="27012" xr:uid="{00000000-0005-0000-0000-0000076B0000}"/>
    <cellStyle name="RIGs 3 17" xfId="27013" xr:uid="{00000000-0005-0000-0000-0000086B0000}"/>
    <cellStyle name="RIGs 3 18" xfId="27014" xr:uid="{00000000-0005-0000-0000-0000096B0000}"/>
    <cellStyle name="RIGs 3 19" xfId="27015" xr:uid="{00000000-0005-0000-0000-00000A6B0000}"/>
    <cellStyle name="RIGs 3 2" xfId="27016" xr:uid="{00000000-0005-0000-0000-00000B6B0000}"/>
    <cellStyle name="RIGs 3 2 10" xfId="27017" xr:uid="{00000000-0005-0000-0000-00000C6B0000}"/>
    <cellStyle name="RIGs 3 2 11" xfId="27018" xr:uid="{00000000-0005-0000-0000-00000D6B0000}"/>
    <cellStyle name="RIGs 3 2 12" xfId="27019" xr:uid="{00000000-0005-0000-0000-00000E6B0000}"/>
    <cellStyle name="RIGs 3 2 13" xfId="27020" xr:uid="{00000000-0005-0000-0000-00000F6B0000}"/>
    <cellStyle name="RIGs 3 2 14" xfId="27021" xr:uid="{00000000-0005-0000-0000-0000106B0000}"/>
    <cellStyle name="RIGs 3 2 15" xfId="27022" xr:uid="{00000000-0005-0000-0000-0000116B0000}"/>
    <cellStyle name="RIGs 3 2 16" xfId="27023" xr:uid="{00000000-0005-0000-0000-0000126B0000}"/>
    <cellStyle name="RIGs 3 2 17" xfId="27024" xr:uid="{00000000-0005-0000-0000-0000136B0000}"/>
    <cellStyle name="RIGs 3 2 18" xfId="27025" xr:uid="{00000000-0005-0000-0000-0000146B0000}"/>
    <cellStyle name="RIGs 3 2 19" xfId="27026" xr:uid="{00000000-0005-0000-0000-0000156B0000}"/>
    <cellStyle name="RIGs 3 2 2" xfId="27027" xr:uid="{00000000-0005-0000-0000-0000166B0000}"/>
    <cellStyle name="RIGs 3 2 2 10" xfId="27028" xr:uid="{00000000-0005-0000-0000-0000176B0000}"/>
    <cellStyle name="RIGs 3 2 2 11" xfId="27029" xr:uid="{00000000-0005-0000-0000-0000186B0000}"/>
    <cellStyle name="RIGs 3 2 2 12" xfId="27030" xr:uid="{00000000-0005-0000-0000-0000196B0000}"/>
    <cellStyle name="RIGs 3 2 2 13" xfId="27031" xr:uid="{00000000-0005-0000-0000-00001A6B0000}"/>
    <cellStyle name="RIGs 3 2 2 2" xfId="27032" xr:uid="{00000000-0005-0000-0000-00001B6B0000}"/>
    <cellStyle name="RIGs 3 2 2 3" xfId="27033" xr:uid="{00000000-0005-0000-0000-00001C6B0000}"/>
    <cellStyle name="RIGs 3 2 2 4" xfId="27034" xr:uid="{00000000-0005-0000-0000-00001D6B0000}"/>
    <cellStyle name="RIGs 3 2 2 5" xfId="27035" xr:uid="{00000000-0005-0000-0000-00001E6B0000}"/>
    <cellStyle name="RIGs 3 2 2 6" xfId="27036" xr:uid="{00000000-0005-0000-0000-00001F6B0000}"/>
    <cellStyle name="RIGs 3 2 2 7" xfId="27037" xr:uid="{00000000-0005-0000-0000-0000206B0000}"/>
    <cellStyle name="RIGs 3 2 2 8" xfId="27038" xr:uid="{00000000-0005-0000-0000-0000216B0000}"/>
    <cellStyle name="RIGs 3 2 2 9" xfId="27039" xr:uid="{00000000-0005-0000-0000-0000226B0000}"/>
    <cellStyle name="RIGs 3 2 20" xfId="27040" xr:uid="{00000000-0005-0000-0000-0000236B0000}"/>
    <cellStyle name="RIGs 3 2 21" xfId="27041" xr:uid="{00000000-0005-0000-0000-0000246B0000}"/>
    <cellStyle name="RIGs 3 2 3" xfId="27042" xr:uid="{00000000-0005-0000-0000-0000256B0000}"/>
    <cellStyle name="RIGs 3 2 4" xfId="27043" xr:uid="{00000000-0005-0000-0000-0000266B0000}"/>
    <cellStyle name="RIGs 3 2 5" xfId="27044" xr:uid="{00000000-0005-0000-0000-0000276B0000}"/>
    <cellStyle name="RIGs 3 2 6" xfId="27045" xr:uid="{00000000-0005-0000-0000-0000286B0000}"/>
    <cellStyle name="RIGs 3 2 7" xfId="27046" xr:uid="{00000000-0005-0000-0000-0000296B0000}"/>
    <cellStyle name="RIGs 3 2 8" xfId="27047" xr:uid="{00000000-0005-0000-0000-00002A6B0000}"/>
    <cellStyle name="RIGs 3 2 9" xfId="27048" xr:uid="{00000000-0005-0000-0000-00002B6B0000}"/>
    <cellStyle name="RIGs 3 20" xfId="27049" xr:uid="{00000000-0005-0000-0000-00002C6B0000}"/>
    <cellStyle name="RIGs 3 21" xfId="27050" xr:uid="{00000000-0005-0000-0000-00002D6B0000}"/>
    <cellStyle name="RIGs 3 22" xfId="27051" xr:uid="{00000000-0005-0000-0000-00002E6B0000}"/>
    <cellStyle name="RIGs 3 3" xfId="27052" xr:uid="{00000000-0005-0000-0000-00002F6B0000}"/>
    <cellStyle name="RIGs 3 3 10" xfId="27053" xr:uid="{00000000-0005-0000-0000-0000306B0000}"/>
    <cellStyle name="RIGs 3 3 11" xfId="27054" xr:uid="{00000000-0005-0000-0000-0000316B0000}"/>
    <cellStyle name="RIGs 3 3 12" xfId="27055" xr:uid="{00000000-0005-0000-0000-0000326B0000}"/>
    <cellStyle name="RIGs 3 3 13" xfId="27056" xr:uid="{00000000-0005-0000-0000-0000336B0000}"/>
    <cellStyle name="RIGs 3 3 2" xfId="27057" xr:uid="{00000000-0005-0000-0000-0000346B0000}"/>
    <cellStyle name="RIGs 3 3 3" xfId="27058" xr:uid="{00000000-0005-0000-0000-0000356B0000}"/>
    <cellStyle name="RIGs 3 3 4" xfId="27059" xr:uid="{00000000-0005-0000-0000-0000366B0000}"/>
    <cellStyle name="RIGs 3 3 5" xfId="27060" xr:uid="{00000000-0005-0000-0000-0000376B0000}"/>
    <cellStyle name="RIGs 3 3 6" xfId="27061" xr:uid="{00000000-0005-0000-0000-0000386B0000}"/>
    <cellStyle name="RIGs 3 3 7" xfId="27062" xr:uid="{00000000-0005-0000-0000-0000396B0000}"/>
    <cellStyle name="RIGs 3 3 8" xfId="27063" xr:uid="{00000000-0005-0000-0000-00003A6B0000}"/>
    <cellStyle name="RIGs 3 3 9" xfId="27064" xr:uid="{00000000-0005-0000-0000-00003B6B0000}"/>
    <cellStyle name="RIGs 3 4" xfId="27065" xr:uid="{00000000-0005-0000-0000-00003C6B0000}"/>
    <cellStyle name="RIGs 3 5" xfId="27066" xr:uid="{00000000-0005-0000-0000-00003D6B0000}"/>
    <cellStyle name="RIGs 3 6" xfId="27067" xr:uid="{00000000-0005-0000-0000-00003E6B0000}"/>
    <cellStyle name="RIGs 3 7" xfId="27068" xr:uid="{00000000-0005-0000-0000-00003F6B0000}"/>
    <cellStyle name="RIGs 3 8" xfId="27069" xr:uid="{00000000-0005-0000-0000-0000406B0000}"/>
    <cellStyle name="RIGs 3 9" xfId="27070" xr:uid="{00000000-0005-0000-0000-0000416B0000}"/>
    <cellStyle name="RIGs 3_4 28 1_Asst_Health_Crit_AllTO_RIIO_20110714pm" xfId="27071" xr:uid="{00000000-0005-0000-0000-0000426B0000}"/>
    <cellStyle name="RIGs 4" xfId="27072" xr:uid="{00000000-0005-0000-0000-0000436B0000}"/>
    <cellStyle name="RIGs 4 10" xfId="27073" xr:uid="{00000000-0005-0000-0000-0000446B0000}"/>
    <cellStyle name="RIGs 4 11" xfId="27074" xr:uid="{00000000-0005-0000-0000-0000456B0000}"/>
    <cellStyle name="RIGs 4 12" xfId="27075" xr:uid="{00000000-0005-0000-0000-0000466B0000}"/>
    <cellStyle name="RIGs 4 13" xfId="27076" xr:uid="{00000000-0005-0000-0000-0000476B0000}"/>
    <cellStyle name="RIGs 4 14" xfId="27077" xr:uid="{00000000-0005-0000-0000-0000486B0000}"/>
    <cellStyle name="RIGs 4 15" xfId="27078" xr:uid="{00000000-0005-0000-0000-0000496B0000}"/>
    <cellStyle name="RIGs 4 16" xfId="27079" xr:uid="{00000000-0005-0000-0000-00004A6B0000}"/>
    <cellStyle name="RIGs 4 17" xfId="27080" xr:uid="{00000000-0005-0000-0000-00004B6B0000}"/>
    <cellStyle name="RIGs 4 18" xfId="27081" xr:uid="{00000000-0005-0000-0000-00004C6B0000}"/>
    <cellStyle name="RIGs 4 19" xfId="27082" xr:uid="{00000000-0005-0000-0000-00004D6B0000}"/>
    <cellStyle name="RIGs 4 2" xfId="27083" xr:uid="{00000000-0005-0000-0000-00004E6B0000}"/>
    <cellStyle name="RIGs 4 2 10" xfId="27084" xr:uid="{00000000-0005-0000-0000-00004F6B0000}"/>
    <cellStyle name="RIGs 4 2 11" xfId="27085" xr:uid="{00000000-0005-0000-0000-0000506B0000}"/>
    <cellStyle name="RIGs 4 2 12" xfId="27086" xr:uid="{00000000-0005-0000-0000-0000516B0000}"/>
    <cellStyle name="RIGs 4 2 13" xfId="27087" xr:uid="{00000000-0005-0000-0000-0000526B0000}"/>
    <cellStyle name="RIGs 4 2 2" xfId="27088" xr:uid="{00000000-0005-0000-0000-0000536B0000}"/>
    <cellStyle name="RIGs 4 2 3" xfId="27089" xr:uid="{00000000-0005-0000-0000-0000546B0000}"/>
    <cellStyle name="RIGs 4 2 4" xfId="27090" xr:uid="{00000000-0005-0000-0000-0000556B0000}"/>
    <cellStyle name="RIGs 4 2 5" xfId="27091" xr:uid="{00000000-0005-0000-0000-0000566B0000}"/>
    <cellStyle name="RIGs 4 2 6" xfId="27092" xr:uid="{00000000-0005-0000-0000-0000576B0000}"/>
    <cellStyle name="RIGs 4 2 7" xfId="27093" xr:uid="{00000000-0005-0000-0000-0000586B0000}"/>
    <cellStyle name="RIGs 4 2 8" xfId="27094" xr:uid="{00000000-0005-0000-0000-0000596B0000}"/>
    <cellStyle name="RIGs 4 2 9" xfId="27095" xr:uid="{00000000-0005-0000-0000-00005A6B0000}"/>
    <cellStyle name="RIGs 4 20" xfId="27096" xr:uid="{00000000-0005-0000-0000-00005B6B0000}"/>
    <cellStyle name="RIGs 4 21" xfId="27097" xr:uid="{00000000-0005-0000-0000-00005C6B0000}"/>
    <cellStyle name="RIGs 4 3" xfId="27098" xr:uid="{00000000-0005-0000-0000-00005D6B0000}"/>
    <cellStyle name="RIGs 4 4" xfId="27099" xr:uid="{00000000-0005-0000-0000-00005E6B0000}"/>
    <cellStyle name="RIGs 4 5" xfId="27100" xr:uid="{00000000-0005-0000-0000-00005F6B0000}"/>
    <cellStyle name="RIGs 4 6" xfId="27101" xr:uid="{00000000-0005-0000-0000-0000606B0000}"/>
    <cellStyle name="RIGs 4 7" xfId="27102" xr:uid="{00000000-0005-0000-0000-0000616B0000}"/>
    <cellStyle name="RIGs 4 8" xfId="27103" xr:uid="{00000000-0005-0000-0000-0000626B0000}"/>
    <cellStyle name="RIGs 4 9" xfId="27104" xr:uid="{00000000-0005-0000-0000-0000636B0000}"/>
    <cellStyle name="RIGs 5" xfId="27105" xr:uid="{00000000-0005-0000-0000-0000646B0000}"/>
    <cellStyle name="RIGs 5 10" xfId="27106" xr:uid="{00000000-0005-0000-0000-0000656B0000}"/>
    <cellStyle name="RIGs 5 11" xfId="27107" xr:uid="{00000000-0005-0000-0000-0000666B0000}"/>
    <cellStyle name="RIGs 5 12" xfId="27108" xr:uid="{00000000-0005-0000-0000-0000676B0000}"/>
    <cellStyle name="RIGs 5 13" xfId="27109" xr:uid="{00000000-0005-0000-0000-0000686B0000}"/>
    <cellStyle name="RIGs 5 2" xfId="27110" xr:uid="{00000000-0005-0000-0000-0000696B0000}"/>
    <cellStyle name="RIGs 5 3" xfId="27111" xr:uid="{00000000-0005-0000-0000-00006A6B0000}"/>
    <cellStyle name="RIGs 5 4" xfId="27112" xr:uid="{00000000-0005-0000-0000-00006B6B0000}"/>
    <cellStyle name="RIGs 5 5" xfId="27113" xr:uid="{00000000-0005-0000-0000-00006C6B0000}"/>
    <cellStyle name="RIGs 5 6" xfId="27114" xr:uid="{00000000-0005-0000-0000-00006D6B0000}"/>
    <cellStyle name="RIGs 5 7" xfId="27115" xr:uid="{00000000-0005-0000-0000-00006E6B0000}"/>
    <cellStyle name="RIGs 5 8" xfId="27116" xr:uid="{00000000-0005-0000-0000-00006F6B0000}"/>
    <cellStyle name="RIGs 5 9" xfId="27117" xr:uid="{00000000-0005-0000-0000-0000706B0000}"/>
    <cellStyle name="RIGs 6" xfId="27118" xr:uid="{00000000-0005-0000-0000-0000716B0000}"/>
    <cellStyle name="RIGs 7" xfId="27119" xr:uid="{00000000-0005-0000-0000-0000726B0000}"/>
    <cellStyle name="RIGs 8" xfId="27120" xr:uid="{00000000-0005-0000-0000-0000736B0000}"/>
    <cellStyle name="RIGs 9" xfId="27121" xr:uid="{00000000-0005-0000-0000-0000746B0000}"/>
    <cellStyle name="RIGs input cells" xfId="27122" xr:uid="{00000000-0005-0000-0000-0000756B0000}"/>
    <cellStyle name="RIGs input cells 10" xfId="27123" xr:uid="{00000000-0005-0000-0000-0000766B0000}"/>
    <cellStyle name="RIGs input cells 10 10" xfId="27124" xr:uid="{00000000-0005-0000-0000-0000776B0000}"/>
    <cellStyle name="RIGs input cells 10 11" xfId="27125" xr:uid="{00000000-0005-0000-0000-0000786B0000}"/>
    <cellStyle name="RIGs input cells 10 12" xfId="27126" xr:uid="{00000000-0005-0000-0000-0000796B0000}"/>
    <cellStyle name="RIGs input cells 10 13" xfId="27127" xr:uid="{00000000-0005-0000-0000-00007A6B0000}"/>
    <cellStyle name="RIGs input cells 10 14" xfId="27128" xr:uid="{00000000-0005-0000-0000-00007B6B0000}"/>
    <cellStyle name="RIGs input cells 10 15" xfId="27129" xr:uid="{00000000-0005-0000-0000-00007C6B0000}"/>
    <cellStyle name="RIGs input cells 10 16" xfId="27130" xr:uid="{00000000-0005-0000-0000-00007D6B0000}"/>
    <cellStyle name="RIGs input cells 10 17" xfId="27131" xr:uid="{00000000-0005-0000-0000-00007E6B0000}"/>
    <cellStyle name="RIGs input cells 10 18" xfId="27132" xr:uid="{00000000-0005-0000-0000-00007F6B0000}"/>
    <cellStyle name="RIGs input cells 10 19" xfId="27133" xr:uid="{00000000-0005-0000-0000-0000806B0000}"/>
    <cellStyle name="RIGs input cells 10 2" xfId="27134" xr:uid="{00000000-0005-0000-0000-0000816B0000}"/>
    <cellStyle name="RIGs input cells 10 2 10" xfId="27135" xr:uid="{00000000-0005-0000-0000-0000826B0000}"/>
    <cellStyle name="RIGs input cells 10 2 11" xfId="27136" xr:uid="{00000000-0005-0000-0000-0000836B0000}"/>
    <cellStyle name="RIGs input cells 10 2 12" xfId="27137" xr:uid="{00000000-0005-0000-0000-0000846B0000}"/>
    <cellStyle name="RIGs input cells 10 2 13" xfId="27138" xr:uid="{00000000-0005-0000-0000-0000856B0000}"/>
    <cellStyle name="RIGs input cells 10 2 2" xfId="27139" xr:uid="{00000000-0005-0000-0000-0000866B0000}"/>
    <cellStyle name="RIGs input cells 10 2 3" xfId="27140" xr:uid="{00000000-0005-0000-0000-0000876B0000}"/>
    <cellStyle name="RIGs input cells 10 2 4" xfId="27141" xr:uid="{00000000-0005-0000-0000-0000886B0000}"/>
    <cellStyle name="RIGs input cells 10 2 5" xfId="27142" xr:uid="{00000000-0005-0000-0000-0000896B0000}"/>
    <cellStyle name="RIGs input cells 10 2 6" xfId="27143" xr:uid="{00000000-0005-0000-0000-00008A6B0000}"/>
    <cellStyle name="RIGs input cells 10 2 7" xfId="27144" xr:uid="{00000000-0005-0000-0000-00008B6B0000}"/>
    <cellStyle name="RIGs input cells 10 2 8" xfId="27145" xr:uid="{00000000-0005-0000-0000-00008C6B0000}"/>
    <cellStyle name="RIGs input cells 10 2 9" xfId="27146" xr:uid="{00000000-0005-0000-0000-00008D6B0000}"/>
    <cellStyle name="RIGs input cells 10 20" xfId="27147" xr:uid="{00000000-0005-0000-0000-00008E6B0000}"/>
    <cellStyle name="RIGs input cells 10 21" xfId="27148" xr:uid="{00000000-0005-0000-0000-00008F6B0000}"/>
    <cellStyle name="RIGs input cells 10 22" xfId="27149" xr:uid="{00000000-0005-0000-0000-0000906B0000}"/>
    <cellStyle name="RIGs input cells 10 23" xfId="27150" xr:uid="{00000000-0005-0000-0000-0000916B0000}"/>
    <cellStyle name="RIGs input cells 10 24" xfId="27151" xr:uid="{00000000-0005-0000-0000-0000926B0000}"/>
    <cellStyle name="RIGs input cells 10 25" xfId="27152" xr:uid="{00000000-0005-0000-0000-0000936B0000}"/>
    <cellStyle name="RIGs input cells 10 26" xfId="27153" xr:uid="{00000000-0005-0000-0000-0000946B0000}"/>
    <cellStyle name="RIGs input cells 10 27" xfId="27154" xr:uid="{00000000-0005-0000-0000-0000956B0000}"/>
    <cellStyle name="RIGs input cells 10 28" xfId="27155" xr:uid="{00000000-0005-0000-0000-0000966B0000}"/>
    <cellStyle name="RIGs input cells 10 29" xfId="27156" xr:uid="{00000000-0005-0000-0000-0000976B0000}"/>
    <cellStyle name="RIGs input cells 10 3" xfId="27157" xr:uid="{00000000-0005-0000-0000-0000986B0000}"/>
    <cellStyle name="RIGs input cells 10 3 2" xfId="27158" xr:uid="{00000000-0005-0000-0000-0000996B0000}"/>
    <cellStyle name="RIGs input cells 10 3 2 2" xfId="27159" xr:uid="{00000000-0005-0000-0000-00009A6B0000}"/>
    <cellStyle name="RIGs input cells 10 3 2 2 2" xfId="27160" xr:uid="{00000000-0005-0000-0000-00009B6B0000}"/>
    <cellStyle name="RIGs input cells 10 3 2 2 3" xfId="27161" xr:uid="{00000000-0005-0000-0000-00009C6B0000}"/>
    <cellStyle name="RIGs input cells 10 3 2 2 3 2" xfId="27162" xr:uid="{00000000-0005-0000-0000-00009D6B0000}"/>
    <cellStyle name="RIGs input cells 10 30" xfId="27163" xr:uid="{00000000-0005-0000-0000-00009E6B0000}"/>
    <cellStyle name="RIGs input cells 10 31" xfId="27164" xr:uid="{00000000-0005-0000-0000-00009F6B0000}"/>
    <cellStyle name="RIGs input cells 10 32" xfId="27165" xr:uid="{00000000-0005-0000-0000-0000A06B0000}"/>
    <cellStyle name="RIGs input cells 10 33" xfId="27166" xr:uid="{00000000-0005-0000-0000-0000A16B0000}"/>
    <cellStyle name="RIGs input cells 10 34" xfId="27167" xr:uid="{00000000-0005-0000-0000-0000A26B0000}"/>
    <cellStyle name="RIGs input cells 10 35" xfId="27168" xr:uid="{00000000-0005-0000-0000-0000A36B0000}"/>
    <cellStyle name="RIGs input cells 10 4" xfId="27169" xr:uid="{00000000-0005-0000-0000-0000A46B0000}"/>
    <cellStyle name="RIGs input cells 10 5" xfId="27170" xr:uid="{00000000-0005-0000-0000-0000A56B0000}"/>
    <cellStyle name="RIGs input cells 10 6" xfId="27171" xr:uid="{00000000-0005-0000-0000-0000A66B0000}"/>
    <cellStyle name="RIGs input cells 10 7" xfId="27172" xr:uid="{00000000-0005-0000-0000-0000A76B0000}"/>
    <cellStyle name="RIGs input cells 10 8" xfId="27173" xr:uid="{00000000-0005-0000-0000-0000A86B0000}"/>
    <cellStyle name="RIGs input cells 10 9" xfId="27174" xr:uid="{00000000-0005-0000-0000-0000A96B0000}"/>
    <cellStyle name="RIGs input cells 11" xfId="27175" xr:uid="{00000000-0005-0000-0000-0000AA6B0000}"/>
    <cellStyle name="RIGs input cells 11 10" xfId="27176" xr:uid="{00000000-0005-0000-0000-0000AB6B0000}"/>
    <cellStyle name="RIGs input cells 11 10 2" xfId="27177" xr:uid="{00000000-0005-0000-0000-0000AC6B0000}"/>
    <cellStyle name="RIGs input cells 11 10 2 2" xfId="27178" xr:uid="{00000000-0005-0000-0000-0000AD6B0000}"/>
    <cellStyle name="RIGs input cells 11 10 2 3" xfId="27179" xr:uid="{00000000-0005-0000-0000-0000AE6B0000}"/>
    <cellStyle name="RIGs input cells 11 10 2 3 2" xfId="27180" xr:uid="{00000000-0005-0000-0000-0000AF6B0000}"/>
    <cellStyle name="RIGs input cells 11 11" xfId="27181" xr:uid="{00000000-0005-0000-0000-0000B06B0000}"/>
    <cellStyle name="RIGs input cells 11 12" xfId="27182" xr:uid="{00000000-0005-0000-0000-0000B16B0000}"/>
    <cellStyle name="RIGs input cells 11 13" xfId="27183" xr:uid="{00000000-0005-0000-0000-0000B26B0000}"/>
    <cellStyle name="RIGs input cells 11 14" xfId="27184" xr:uid="{00000000-0005-0000-0000-0000B36B0000}"/>
    <cellStyle name="RIGs input cells 11 15" xfId="27185" xr:uid="{00000000-0005-0000-0000-0000B46B0000}"/>
    <cellStyle name="RIGs input cells 11 16" xfId="27186" xr:uid="{00000000-0005-0000-0000-0000B56B0000}"/>
    <cellStyle name="RIGs input cells 11 17" xfId="27187" xr:uid="{00000000-0005-0000-0000-0000B66B0000}"/>
    <cellStyle name="RIGs input cells 11 18" xfId="27188" xr:uid="{00000000-0005-0000-0000-0000B76B0000}"/>
    <cellStyle name="RIGs input cells 11 19" xfId="27189" xr:uid="{00000000-0005-0000-0000-0000B86B0000}"/>
    <cellStyle name="RIGs input cells 11 2" xfId="27190" xr:uid="{00000000-0005-0000-0000-0000B96B0000}"/>
    <cellStyle name="RIGs input cells 11 2 10" xfId="27191" xr:uid="{00000000-0005-0000-0000-0000BA6B0000}"/>
    <cellStyle name="RIGs input cells 11 2 11" xfId="27192" xr:uid="{00000000-0005-0000-0000-0000BB6B0000}"/>
    <cellStyle name="RIGs input cells 11 2 12" xfId="27193" xr:uid="{00000000-0005-0000-0000-0000BC6B0000}"/>
    <cellStyle name="RIGs input cells 11 2 13" xfId="27194" xr:uid="{00000000-0005-0000-0000-0000BD6B0000}"/>
    <cellStyle name="RIGs input cells 11 2 2" xfId="27195" xr:uid="{00000000-0005-0000-0000-0000BE6B0000}"/>
    <cellStyle name="RIGs input cells 11 2 3" xfId="27196" xr:uid="{00000000-0005-0000-0000-0000BF6B0000}"/>
    <cellStyle name="RIGs input cells 11 2 4" xfId="27197" xr:uid="{00000000-0005-0000-0000-0000C06B0000}"/>
    <cellStyle name="RIGs input cells 11 2 5" xfId="27198" xr:uid="{00000000-0005-0000-0000-0000C16B0000}"/>
    <cellStyle name="RIGs input cells 11 2 6" xfId="27199" xr:uid="{00000000-0005-0000-0000-0000C26B0000}"/>
    <cellStyle name="RIGs input cells 11 2 7" xfId="27200" xr:uid="{00000000-0005-0000-0000-0000C36B0000}"/>
    <cellStyle name="RIGs input cells 11 2 8" xfId="27201" xr:uid="{00000000-0005-0000-0000-0000C46B0000}"/>
    <cellStyle name="RIGs input cells 11 2 9" xfId="27202" xr:uid="{00000000-0005-0000-0000-0000C56B0000}"/>
    <cellStyle name="RIGs input cells 11 20" xfId="27203" xr:uid="{00000000-0005-0000-0000-0000C66B0000}"/>
    <cellStyle name="RIGs input cells 11 21" xfId="27204" xr:uid="{00000000-0005-0000-0000-0000C76B0000}"/>
    <cellStyle name="RIGs input cells 11 22" xfId="27205" xr:uid="{00000000-0005-0000-0000-0000C86B0000}"/>
    <cellStyle name="RIGs input cells 11 23" xfId="27206" xr:uid="{00000000-0005-0000-0000-0000C96B0000}"/>
    <cellStyle name="RIGs input cells 11 24" xfId="27207" xr:uid="{00000000-0005-0000-0000-0000CA6B0000}"/>
    <cellStyle name="RIGs input cells 11 25" xfId="27208" xr:uid="{00000000-0005-0000-0000-0000CB6B0000}"/>
    <cellStyle name="RIGs input cells 11 26" xfId="27209" xr:uid="{00000000-0005-0000-0000-0000CC6B0000}"/>
    <cellStyle name="RIGs input cells 11 27" xfId="27210" xr:uid="{00000000-0005-0000-0000-0000CD6B0000}"/>
    <cellStyle name="RIGs input cells 11 28" xfId="27211" xr:uid="{00000000-0005-0000-0000-0000CE6B0000}"/>
    <cellStyle name="RIGs input cells 11 29" xfId="27212" xr:uid="{00000000-0005-0000-0000-0000CF6B0000}"/>
    <cellStyle name="RIGs input cells 11 3" xfId="27213" xr:uid="{00000000-0005-0000-0000-0000D06B0000}"/>
    <cellStyle name="RIGs input cells 11 30" xfId="27214" xr:uid="{00000000-0005-0000-0000-0000D16B0000}"/>
    <cellStyle name="RIGs input cells 11 31" xfId="27215" xr:uid="{00000000-0005-0000-0000-0000D26B0000}"/>
    <cellStyle name="RIGs input cells 11 32" xfId="27216" xr:uid="{00000000-0005-0000-0000-0000D36B0000}"/>
    <cellStyle name="RIGs input cells 11 33" xfId="27217" xr:uid="{00000000-0005-0000-0000-0000D46B0000}"/>
    <cellStyle name="RIGs input cells 11 34" xfId="27218" xr:uid="{00000000-0005-0000-0000-0000D56B0000}"/>
    <cellStyle name="RIGs input cells 11 4" xfId="27219" xr:uid="{00000000-0005-0000-0000-0000D66B0000}"/>
    <cellStyle name="RIGs input cells 11 5" xfId="27220" xr:uid="{00000000-0005-0000-0000-0000D76B0000}"/>
    <cellStyle name="RIGs input cells 11 6" xfId="27221" xr:uid="{00000000-0005-0000-0000-0000D86B0000}"/>
    <cellStyle name="RIGs input cells 11 7" xfId="27222" xr:uid="{00000000-0005-0000-0000-0000D96B0000}"/>
    <cellStyle name="RIGs input cells 11 8" xfId="27223" xr:uid="{00000000-0005-0000-0000-0000DA6B0000}"/>
    <cellStyle name="RIGs input cells 11 9" xfId="27224" xr:uid="{00000000-0005-0000-0000-0000DB6B0000}"/>
    <cellStyle name="RIGs input cells 12" xfId="27225" xr:uid="{00000000-0005-0000-0000-0000DC6B0000}"/>
    <cellStyle name="RIGs input cells 12 10" xfId="27226" xr:uid="{00000000-0005-0000-0000-0000DD6B0000}"/>
    <cellStyle name="RIGs input cells 12 11" xfId="27227" xr:uid="{00000000-0005-0000-0000-0000DE6B0000}"/>
    <cellStyle name="RIGs input cells 12 12" xfId="27228" xr:uid="{00000000-0005-0000-0000-0000DF6B0000}"/>
    <cellStyle name="RIGs input cells 12 13" xfId="27229" xr:uid="{00000000-0005-0000-0000-0000E06B0000}"/>
    <cellStyle name="RIGs input cells 12 14" xfId="27230" xr:uid="{00000000-0005-0000-0000-0000E16B0000}"/>
    <cellStyle name="RIGs input cells 12 15" xfId="27231" xr:uid="{00000000-0005-0000-0000-0000E26B0000}"/>
    <cellStyle name="RIGs input cells 12 16" xfId="27232" xr:uid="{00000000-0005-0000-0000-0000E36B0000}"/>
    <cellStyle name="RIGs input cells 12 17" xfId="27233" xr:uid="{00000000-0005-0000-0000-0000E46B0000}"/>
    <cellStyle name="RIGs input cells 12 18" xfId="27234" xr:uid="{00000000-0005-0000-0000-0000E56B0000}"/>
    <cellStyle name="RIGs input cells 12 19" xfId="27235" xr:uid="{00000000-0005-0000-0000-0000E66B0000}"/>
    <cellStyle name="RIGs input cells 12 2" xfId="27236" xr:uid="{00000000-0005-0000-0000-0000E76B0000}"/>
    <cellStyle name="RIGs input cells 12 2 10" xfId="27237" xr:uid="{00000000-0005-0000-0000-0000E86B0000}"/>
    <cellStyle name="RIGs input cells 12 2 11" xfId="27238" xr:uid="{00000000-0005-0000-0000-0000E96B0000}"/>
    <cellStyle name="RIGs input cells 12 2 12" xfId="27239" xr:uid="{00000000-0005-0000-0000-0000EA6B0000}"/>
    <cellStyle name="RIGs input cells 12 2 13" xfId="27240" xr:uid="{00000000-0005-0000-0000-0000EB6B0000}"/>
    <cellStyle name="RIGs input cells 12 2 2" xfId="27241" xr:uid="{00000000-0005-0000-0000-0000EC6B0000}"/>
    <cellStyle name="RIGs input cells 12 2 3" xfId="27242" xr:uid="{00000000-0005-0000-0000-0000ED6B0000}"/>
    <cellStyle name="RIGs input cells 12 2 4" xfId="27243" xr:uid="{00000000-0005-0000-0000-0000EE6B0000}"/>
    <cellStyle name="RIGs input cells 12 2 5" xfId="27244" xr:uid="{00000000-0005-0000-0000-0000EF6B0000}"/>
    <cellStyle name="RIGs input cells 12 2 6" xfId="27245" xr:uid="{00000000-0005-0000-0000-0000F06B0000}"/>
    <cellStyle name="RIGs input cells 12 2 7" xfId="27246" xr:uid="{00000000-0005-0000-0000-0000F16B0000}"/>
    <cellStyle name="RIGs input cells 12 2 8" xfId="27247" xr:uid="{00000000-0005-0000-0000-0000F26B0000}"/>
    <cellStyle name="RIGs input cells 12 2 9" xfId="27248" xr:uid="{00000000-0005-0000-0000-0000F36B0000}"/>
    <cellStyle name="RIGs input cells 12 20" xfId="27249" xr:uid="{00000000-0005-0000-0000-0000F46B0000}"/>
    <cellStyle name="RIGs input cells 12 21" xfId="27250" xr:uid="{00000000-0005-0000-0000-0000F56B0000}"/>
    <cellStyle name="RIGs input cells 12 22" xfId="27251" xr:uid="{00000000-0005-0000-0000-0000F66B0000}"/>
    <cellStyle name="RIGs input cells 12 23" xfId="27252" xr:uid="{00000000-0005-0000-0000-0000F76B0000}"/>
    <cellStyle name="RIGs input cells 12 24" xfId="27253" xr:uid="{00000000-0005-0000-0000-0000F86B0000}"/>
    <cellStyle name="RIGs input cells 12 25" xfId="27254" xr:uid="{00000000-0005-0000-0000-0000F96B0000}"/>
    <cellStyle name="RIGs input cells 12 26" xfId="27255" xr:uid="{00000000-0005-0000-0000-0000FA6B0000}"/>
    <cellStyle name="RIGs input cells 12 27" xfId="27256" xr:uid="{00000000-0005-0000-0000-0000FB6B0000}"/>
    <cellStyle name="RIGs input cells 12 28" xfId="27257" xr:uid="{00000000-0005-0000-0000-0000FC6B0000}"/>
    <cellStyle name="RIGs input cells 12 29" xfId="27258" xr:uid="{00000000-0005-0000-0000-0000FD6B0000}"/>
    <cellStyle name="RIGs input cells 12 3" xfId="27259" xr:uid="{00000000-0005-0000-0000-0000FE6B0000}"/>
    <cellStyle name="RIGs input cells 12 30" xfId="27260" xr:uid="{00000000-0005-0000-0000-0000FF6B0000}"/>
    <cellStyle name="RIGs input cells 12 31" xfId="27261" xr:uid="{00000000-0005-0000-0000-0000006C0000}"/>
    <cellStyle name="RIGs input cells 12 32" xfId="27262" xr:uid="{00000000-0005-0000-0000-0000016C0000}"/>
    <cellStyle name="RIGs input cells 12 33" xfId="27263" xr:uid="{00000000-0005-0000-0000-0000026C0000}"/>
    <cellStyle name="RIGs input cells 12 34" xfId="27264" xr:uid="{00000000-0005-0000-0000-0000036C0000}"/>
    <cellStyle name="RIGs input cells 12 4" xfId="27265" xr:uid="{00000000-0005-0000-0000-0000046C0000}"/>
    <cellStyle name="RIGs input cells 12 5" xfId="27266" xr:uid="{00000000-0005-0000-0000-0000056C0000}"/>
    <cellStyle name="RIGs input cells 12 6" xfId="27267" xr:uid="{00000000-0005-0000-0000-0000066C0000}"/>
    <cellStyle name="RIGs input cells 12 7" xfId="27268" xr:uid="{00000000-0005-0000-0000-0000076C0000}"/>
    <cellStyle name="RIGs input cells 12 8" xfId="27269" xr:uid="{00000000-0005-0000-0000-0000086C0000}"/>
    <cellStyle name="RIGs input cells 12 9" xfId="27270" xr:uid="{00000000-0005-0000-0000-0000096C0000}"/>
    <cellStyle name="RIGs input cells 13" xfId="27271" xr:uid="{00000000-0005-0000-0000-00000A6C0000}"/>
    <cellStyle name="RIGs input cells 13 10" xfId="27272" xr:uid="{00000000-0005-0000-0000-00000B6C0000}"/>
    <cellStyle name="RIGs input cells 13 11" xfId="27273" xr:uid="{00000000-0005-0000-0000-00000C6C0000}"/>
    <cellStyle name="RIGs input cells 13 12" xfId="27274" xr:uid="{00000000-0005-0000-0000-00000D6C0000}"/>
    <cellStyle name="RIGs input cells 13 13" xfId="27275" xr:uid="{00000000-0005-0000-0000-00000E6C0000}"/>
    <cellStyle name="RIGs input cells 13 2" xfId="27276" xr:uid="{00000000-0005-0000-0000-00000F6C0000}"/>
    <cellStyle name="RIGs input cells 13 3" xfId="27277" xr:uid="{00000000-0005-0000-0000-0000106C0000}"/>
    <cellStyle name="RIGs input cells 13 4" xfId="27278" xr:uid="{00000000-0005-0000-0000-0000116C0000}"/>
    <cellStyle name="RIGs input cells 13 5" xfId="27279" xr:uid="{00000000-0005-0000-0000-0000126C0000}"/>
    <cellStyle name="RIGs input cells 13 6" xfId="27280" xr:uid="{00000000-0005-0000-0000-0000136C0000}"/>
    <cellStyle name="RIGs input cells 13 7" xfId="27281" xr:uid="{00000000-0005-0000-0000-0000146C0000}"/>
    <cellStyle name="RIGs input cells 13 8" xfId="27282" xr:uid="{00000000-0005-0000-0000-0000156C0000}"/>
    <cellStyle name="RIGs input cells 13 9" xfId="27283" xr:uid="{00000000-0005-0000-0000-0000166C0000}"/>
    <cellStyle name="RIGs input cells 14" xfId="27284" xr:uid="{00000000-0005-0000-0000-0000176C0000}"/>
    <cellStyle name="RIGs input cells 15" xfId="27285" xr:uid="{00000000-0005-0000-0000-0000186C0000}"/>
    <cellStyle name="RIGs input cells 15 2" xfId="27286" xr:uid="{00000000-0005-0000-0000-0000196C0000}"/>
    <cellStyle name="RIGs input cells 16" xfId="27287" xr:uid="{00000000-0005-0000-0000-00001A6C0000}"/>
    <cellStyle name="RIGs input cells 16 2" xfId="27288" xr:uid="{00000000-0005-0000-0000-00001B6C0000}"/>
    <cellStyle name="RIGs input cells 16 2 2" xfId="27289" xr:uid="{00000000-0005-0000-0000-00001C6C0000}"/>
    <cellStyle name="RIGs input cells 17" xfId="27290" xr:uid="{00000000-0005-0000-0000-00001D6C0000}"/>
    <cellStyle name="RIGs input cells 18" xfId="27291" xr:uid="{00000000-0005-0000-0000-00001E6C0000}"/>
    <cellStyle name="RIGs input cells 19" xfId="27292" xr:uid="{00000000-0005-0000-0000-00001F6C0000}"/>
    <cellStyle name="RIGs input cells 2" xfId="27293" xr:uid="{00000000-0005-0000-0000-0000206C0000}"/>
    <cellStyle name="RIGs input cells 2 10" xfId="27294" xr:uid="{00000000-0005-0000-0000-0000216C0000}"/>
    <cellStyle name="RIGs input cells 2 10 10" xfId="27295" xr:uid="{00000000-0005-0000-0000-0000226C0000}"/>
    <cellStyle name="RIGs input cells 2 10 11" xfId="27296" xr:uid="{00000000-0005-0000-0000-0000236C0000}"/>
    <cellStyle name="RIGs input cells 2 10 12" xfId="27297" xr:uid="{00000000-0005-0000-0000-0000246C0000}"/>
    <cellStyle name="RIGs input cells 2 10 13" xfId="27298" xr:uid="{00000000-0005-0000-0000-0000256C0000}"/>
    <cellStyle name="RIGs input cells 2 10 14" xfId="27299" xr:uid="{00000000-0005-0000-0000-0000266C0000}"/>
    <cellStyle name="RIGs input cells 2 10 15" xfId="27300" xr:uid="{00000000-0005-0000-0000-0000276C0000}"/>
    <cellStyle name="RIGs input cells 2 10 16" xfId="27301" xr:uid="{00000000-0005-0000-0000-0000286C0000}"/>
    <cellStyle name="RIGs input cells 2 10 17" xfId="27302" xr:uid="{00000000-0005-0000-0000-0000296C0000}"/>
    <cellStyle name="RIGs input cells 2 10 18" xfId="27303" xr:uid="{00000000-0005-0000-0000-00002A6C0000}"/>
    <cellStyle name="RIGs input cells 2 10 19" xfId="27304" xr:uid="{00000000-0005-0000-0000-00002B6C0000}"/>
    <cellStyle name="RIGs input cells 2 10 2" xfId="27305" xr:uid="{00000000-0005-0000-0000-00002C6C0000}"/>
    <cellStyle name="RIGs input cells 2 10 2 10" xfId="27306" xr:uid="{00000000-0005-0000-0000-00002D6C0000}"/>
    <cellStyle name="RIGs input cells 2 10 2 11" xfId="27307" xr:uid="{00000000-0005-0000-0000-00002E6C0000}"/>
    <cellStyle name="RIGs input cells 2 10 2 12" xfId="27308" xr:uid="{00000000-0005-0000-0000-00002F6C0000}"/>
    <cellStyle name="RIGs input cells 2 10 2 13" xfId="27309" xr:uid="{00000000-0005-0000-0000-0000306C0000}"/>
    <cellStyle name="RIGs input cells 2 10 2 2" xfId="27310" xr:uid="{00000000-0005-0000-0000-0000316C0000}"/>
    <cellStyle name="RIGs input cells 2 10 2 3" xfId="27311" xr:uid="{00000000-0005-0000-0000-0000326C0000}"/>
    <cellStyle name="RIGs input cells 2 10 2 4" xfId="27312" xr:uid="{00000000-0005-0000-0000-0000336C0000}"/>
    <cellStyle name="RIGs input cells 2 10 2 5" xfId="27313" xr:uid="{00000000-0005-0000-0000-0000346C0000}"/>
    <cellStyle name="RIGs input cells 2 10 2 6" xfId="27314" xr:uid="{00000000-0005-0000-0000-0000356C0000}"/>
    <cellStyle name="RIGs input cells 2 10 2 7" xfId="27315" xr:uid="{00000000-0005-0000-0000-0000366C0000}"/>
    <cellStyle name="RIGs input cells 2 10 2 8" xfId="27316" xr:uid="{00000000-0005-0000-0000-0000376C0000}"/>
    <cellStyle name="RIGs input cells 2 10 2 9" xfId="27317" xr:uid="{00000000-0005-0000-0000-0000386C0000}"/>
    <cellStyle name="RIGs input cells 2 10 20" xfId="27318" xr:uid="{00000000-0005-0000-0000-0000396C0000}"/>
    <cellStyle name="RIGs input cells 2 10 21" xfId="27319" xr:uid="{00000000-0005-0000-0000-00003A6C0000}"/>
    <cellStyle name="RIGs input cells 2 10 22" xfId="27320" xr:uid="{00000000-0005-0000-0000-00003B6C0000}"/>
    <cellStyle name="RIGs input cells 2 10 23" xfId="27321" xr:uid="{00000000-0005-0000-0000-00003C6C0000}"/>
    <cellStyle name="RIGs input cells 2 10 24" xfId="27322" xr:uid="{00000000-0005-0000-0000-00003D6C0000}"/>
    <cellStyle name="RIGs input cells 2 10 25" xfId="27323" xr:uid="{00000000-0005-0000-0000-00003E6C0000}"/>
    <cellStyle name="RIGs input cells 2 10 26" xfId="27324" xr:uid="{00000000-0005-0000-0000-00003F6C0000}"/>
    <cellStyle name="RIGs input cells 2 10 27" xfId="27325" xr:uid="{00000000-0005-0000-0000-0000406C0000}"/>
    <cellStyle name="RIGs input cells 2 10 28" xfId="27326" xr:uid="{00000000-0005-0000-0000-0000416C0000}"/>
    <cellStyle name="RIGs input cells 2 10 29" xfId="27327" xr:uid="{00000000-0005-0000-0000-0000426C0000}"/>
    <cellStyle name="RIGs input cells 2 10 3" xfId="27328" xr:uid="{00000000-0005-0000-0000-0000436C0000}"/>
    <cellStyle name="RIGs input cells 2 10 30" xfId="27329" xr:uid="{00000000-0005-0000-0000-0000446C0000}"/>
    <cellStyle name="RIGs input cells 2 10 31" xfId="27330" xr:uid="{00000000-0005-0000-0000-0000456C0000}"/>
    <cellStyle name="RIGs input cells 2 10 32" xfId="27331" xr:uid="{00000000-0005-0000-0000-0000466C0000}"/>
    <cellStyle name="RIGs input cells 2 10 33" xfId="27332" xr:uid="{00000000-0005-0000-0000-0000476C0000}"/>
    <cellStyle name="RIGs input cells 2 10 34" xfId="27333" xr:uid="{00000000-0005-0000-0000-0000486C0000}"/>
    <cellStyle name="RIGs input cells 2 10 4" xfId="27334" xr:uid="{00000000-0005-0000-0000-0000496C0000}"/>
    <cellStyle name="RIGs input cells 2 10 5" xfId="27335" xr:uid="{00000000-0005-0000-0000-00004A6C0000}"/>
    <cellStyle name="RIGs input cells 2 10 6" xfId="27336" xr:uid="{00000000-0005-0000-0000-00004B6C0000}"/>
    <cellStyle name="RIGs input cells 2 10 7" xfId="27337" xr:uid="{00000000-0005-0000-0000-00004C6C0000}"/>
    <cellStyle name="RIGs input cells 2 10 8" xfId="27338" xr:uid="{00000000-0005-0000-0000-00004D6C0000}"/>
    <cellStyle name="RIGs input cells 2 10 9" xfId="27339" xr:uid="{00000000-0005-0000-0000-00004E6C0000}"/>
    <cellStyle name="RIGs input cells 2 11" xfId="27340" xr:uid="{00000000-0005-0000-0000-00004F6C0000}"/>
    <cellStyle name="RIGs input cells 2 11 10" xfId="27341" xr:uid="{00000000-0005-0000-0000-0000506C0000}"/>
    <cellStyle name="RIGs input cells 2 11 11" xfId="27342" xr:uid="{00000000-0005-0000-0000-0000516C0000}"/>
    <cellStyle name="RIGs input cells 2 11 12" xfId="27343" xr:uid="{00000000-0005-0000-0000-0000526C0000}"/>
    <cellStyle name="RIGs input cells 2 11 13" xfId="27344" xr:uid="{00000000-0005-0000-0000-0000536C0000}"/>
    <cellStyle name="RIGs input cells 2 11 14" xfId="27345" xr:uid="{00000000-0005-0000-0000-0000546C0000}"/>
    <cellStyle name="RIGs input cells 2 11 15" xfId="27346" xr:uid="{00000000-0005-0000-0000-0000556C0000}"/>
    <cellStyle name="RIGs input cells 2 11 16" xfId="27347" xr:uid="{00000000-0005-0000-0000-0000566C0000}"/>
    <cellStyle name="RIGs input cells 2 11 17" xfId="27348" xr:uid="{00000000-0005-0000-0000-0000576C0000}"/>
    <cellStyle name="RIGs input cells 2 11 18" xfId="27349" xr:uid="{00000000-0005-0000-0000-0000586C0000}"/>
    <cellStyle name="RIGs input cells 2 11 19" xfId="27350" xr:uid="{00000000-0005-0000-0000-0000596C0000}"/>
    <cellStyle name="RIGs input cells 2 11 2" xfId="27351" xr:uid="{00000000-0005-0000-0000-00005A6C0000}"/>
    <cellStyle name="RIGs input cells 2 11 2 10" xfId="27352" xr:uid="{00000000-0005-0000-0000-00005B6C0000}"/>
    <cellStyle name="RIGs input cells 2 11 2 11" xfId="27353" xr:uid="{00000000-0005-0000-0000-00005C6C0000}"/>
    <cellStyle name="RIGs input cells 2 11 2 12" xfId="27354" xr:uid="{00000000-0005-0000-0000-00005D6C0000}"/>
    <cellStyle name="RIGs input cells 2 11 2 13" xfId="27355" xr:uid="{00000000-0005-0000-0000-00005E6C0000}"/>
    <cellStyle name="RIGs input cells 2 11 2 2" xfId="27356" xr:uid="{00000000-0005-0000-0000-00005F6C0000}"/>
    <cellStyle name="RIGs input cells 2 11 2 3" xfId="27357" xr:uid="{00000000-0005-0000-0000-0000606C0000}"/>
    <cellStyle name="RIGs input cells 2 11 2 4" xfId="27358" xr:uid="{00000000-0005-0000-0000-0000616C0000}"/>
    <cellStyle name="RIGs input cells 2 11 2 5" xfId="27359" xr:uid="{00000000-0005-0000-0000-0000626C0000}"/>
    <cellStyle name="RIGs input cells 2 11 2 6" xfId="27360" xr:uid="{00000000-0005-0000-0000-0000636C0000}"/>
    <cellStyle name="RIGs input cells 2 11 2 7" xfId="27361" xr:uid="{00000000-0005-0000-0000-0000646C0000}"/>
    <cellStyle name="RIGs input cells 2 11 2 8" xfId="27362" xr:uid="{00000000-0005-0000-0000-0000656C0000}"/>
    <cellStyle name="RIGs input cells 2 11 2 9" xfId="27363" xr:uid="{00000000-0005-0000-0000-0000666C0000}"/>
    <cellStyle name="RIGs input cells 2 11 20" xfId="27364" xr:uid="{00000000-0005-0000-0000-0000676C0000}"/>
    <cellStyle name="RIGs input cells 2 11 21" xfId="27365" xr:uid="{00000000-0005-0000-0000-0000686C0000}"/>
    <cellStyle name="RIGs input cells 2 11 22" xfId="27366" xr:uid="{00000000-0005-0000-0000-0000696C0000}"/>
    <cellStyle name="RIGs input cells 2 11 23" xfId="27367" xr:uid="{00000000-0005-0000-0000-00006A6C0000}"/>
    <cellStyle name="RIGs input cells 2 11 24" xfId="27368" xr:uid="{00000000-0005-0000-0000-00006B6C0000}"/>
    <cellStyle name="RIGs input cells 2 11 25" xfId="27369" xr:uid="{00000000-0005-0000-0000-00006C6C0000}"/>
    <cellStyle name="RIGs input cells 2 11 26" xfId="27370" xr:uid="{00000000-0005-0000-0000-00006D6C0000}"/>
    <cellStyle name="RIGs input cells 2 11 27" xfId="27371" xr:uid="{00000000-0005-0000-0000-00006E6C0000}"/>
    <cellStyle name="RIGs input cells 2 11 28" xfId="27372" xr:uid="{00000000-0005-0000-0000-00006F6C0000}"/>
    <cellStyle name="RIGs input cells 2 11 29" xfId="27373" xr:uid="{00000000-0005-0000-0000-0000706C0000}"/>
    <cellStyle name="RIGs input cells 2 11 3" xfId="27374" xr:uid="{00000000-0005-0000-0000-0000716C0000}"/>
    <cellStyle name="RIGs input cells 2 11 30" xfId="27375" xr:uid="{00000000-0005-0000-0000-0000726C0000}"/>
    <cellStyle name="RIGs input cells 2 11 31" xfId="27376" xr:uid="{00000000-0005-0000-0000-0000736C0000}"/>
    <cellStyle name="RIGs input cells 2 11 32" xfId="27377" xr:uid="{00000000-0005-0000-0000-0000746C0000}"/>
    <cellStyle name="RIGs input cells 2 11 33" xfId="27378" xr:uid="{00000000-0005-0000-0000-0000756C0000}"/>
    <cellStyle name="RIGs input cells 2 11 34" xfId="27379" xr:uid="{00000000-0005-0000-0000-0000766C0000}"/>
    <cellStyle name="RIGs input cells 2 11 4" xfId="27380" xr:uid="{00000000-0005-0000-0000-0000776C0000}"/>
    <cellStyle name="RIGs input cells 2 11 5" xfId="27381" xr:uid="{00000000-0005-0000-0000-0000786C0000}"/>
    <cellStyle name="RIGs input cells 2 11 6" xfId="27382" xr:uid="{00000000-0005-0000-0000-0000796C0000}"/>
    <cellStyle name="RIGs input cells 2 11 7" xfId="27383" xr:uid="{00000000-0005-0000-0000-00007A6C0000}"/>
    <cellStyle name="RIGs input cells 2 11 8" xfId="27384" xr:uid="{00000000-0005-0000-0000-00007B6C0000}"/>
    <cellStyle name="RIGs input cells 2 11 9" xfId="27385" xr:uid="{00000000-0005-0000-0000-00007C6C0000}"/>
    <cellStyle name="RIGs input cells 2 12" xfId="27386" xr:uid="{00000000-0005-0000-0000-00007D6C0000}"/>
    <cellStyle name="RIGs input cells 2 12 10" xfId="27387" xr:uid="{00000000-0005-0000-0000-00007E6C0000}"/>
    <cellStyle name="RIGs input cells 2 12 11" xfId="27388" xr:uid="{00000000-0005-0000-0000-00007F6C0000}"/>
    <cellStyle name="RIGs input cells 2 12 12" xfId="27389" xr:uid="{00000000-0005-0000-0000-0000806C0000}"/>
    <cellStyle name="RIGs input cells 2 12 13" xfId="27390" xr:uid="{00000000-0005-0000-0000-0000816C0000}"/>
    <cellStyle name="RIGs input cells 2 12 2" xfId="27391" xr:uid="{00000000-0005-0000-0000-0000826C0000}"/>
    <cellStyle name="RIGs input cells 2 12 3" xfId="27392" xr:uid="{00000000-0005-0000-0000-0000836C0000}"/>
    <cellStyle name="RIGs input cells 2 12 4" xfId="27393" xr:uid="{00000000-0005-0000-0000-0000846C0000}"/>
    <cellStyle name="RIGs input cells 2 12 5" xfId="27394" xr:uid="{00000000-0005-0000-0000-0000856C0000}"/>
    <cellStyle name="RIGs input cells 2 12 6" xfId="27395" xr:uid="{00000000-0005-0000-0000-0000866C0000}"/>
    <cellStyle name="RIGs input cells 2 12 7" xfId="27396" xr:uid="{00000000-0005-0000-0000-0000876C0000}"/>
    <cellStyle name="RIGs input cells 2 12 8" xfId="27397" xr:uid="{00000000-0005-0000-0000-0000886C0000}"/>
    <cellStyle name="RIGs input cells 2 12 9" xfId="27398" xr:uid="{00000000-0005-0000-0000-0000896C0000}"/>
    <cellStyle name="RIGs input cells 2 13" xfId="27399" xr:uid="{00000000-0005-0000-0000-00008A6C0000}"/>
    <cellStyle name="RIGs input cells 2 14" xfId="27400" xr:uid="{00000000-0005-0000-0000-00008B6C0000}"/>
    <cellStyle name="RIGs input cells 2 15" xfId="27401" xr:uid="{00000000-0005-0000-0000-00008C6C0000}"/>
    <cellStyle name="RIGs input cells 2 16" xfId="27402" xr:uid="{00000000-0005-0000-0000-00008D6C0000}"/>
    <cellStyle name="RIGs input cells 2 17" xfId="27403" xr:uid="{00000000-0005-0000-0000-00008E6C0000}"/>
    <cellStyle name="RIGs input cells 2 18" xfId="27404" xr:uid="{00000000-0005-0000-0000-00008F6C0000}"/>
    <cellStyle name="RIGs input cells 2 19" xfId="27405" xr:uid="{00000000-0005-0000-0000-0000906C0000}"/>
    <cellStyle name="RIGs input cells 2 2" xfId="27406" xr:uid="{00000000-0005-0000-0000-0000916C0000}"/>
    <cellStyle name="RIGs input cells 2 2 10" xfId="27407" xr:uid="{00000000-0005-0000-0000-0000926C0000}"/>
    <cellStyle name="RIGs input cells 2 2 11" xfId="27408" xr:uid="{00000000-0005-0000-0000-0000936C0000}"/>
    <cellStyle name="RIGs input cells 2 2 12" xfId="27409" xr:uid="{00000000-0005-0000-0000-0000946C0000}"/>
    <cellStyle name="RIGs input cells 2 2 13" xfId="27410" xr:uid="{00000000-0005-0000-0000-0000956C0000}"/>
    <cellStyle name="RIGs input cells 2 2 14" xfId="27411" xr:uid="{00000000-0005-0000-0000-0000966C0000}"/>
    <cellStyle name="RIGs input cells 2 2 15" xfId="27412" xr:uid="{00000000-0005-0000-0000-0000976C0000}"/>
    <cellStyle name="RIGs input cells 2 2 16" xfId="27413" xr:uid="{00000000-0005-0000-0000-0000986C0000}"/>
    <cellStyle name="RIGs input cells 2 2 17" xfId="27414" xr:uid="{00000000-0005-0000-0000-0000996C0000}"/>
    <cellStyle name="RIGs input cells 2 2 18" xfId="27415" xr:uid="{00000000-0005-0000-0000-00009A6C0000}"/>
    <cellStyle name="RIGs input cells 2 2 19" xfId="27416" xr:uid="{00000000-0005-0000-0000-00009B6C0000}"/>
    <cellStyle name="RIGs input cells 2 2 2" xfId="27417" xr:uid="{00000000-0005-0000-0000-00009C6C0000}"/>
    <cellStyle name="RIGs input cells 2 2 2 10" xfId="27418" xr:uid="{00000000-0005-0000-0000-00009D6C0000}"/>
    <cellStyle name="RIGs input cells 2 2 2 11" xfId="27419" xr:uid="{00000000-0005-0000-0000-00009E6C0000}"/>
    <cellStyle name="RIGs input cells 2 2 2 12" xfId="27420" xr:uid="{00000000-0005-0000-0000-00009F6C0000}"/>
    <cellStyle name="RIGs input cells 2 2 2 13" xfId="27421" xr:uid="{00000000-0005-0000-0000-0000A06C0000}"/>
    <cellStyle name="RIGs input cells 2 2 2 14" xfId="27422" xr:uid="{00000000-0005-0000-0000-0000A16C0000}"/>
    <cellStyle name="RIGs input cells 2 2 2 15" xfId="27423" xr:uid="{00000000-0005-0000-0000-0000A26C0000}"/>
    <cellStyle name="RIGs input cells 2 2 2 16" xfId="27424" xr:uid="{00000000-0005-0000-0000-0000A36C0000}"/>
    <cellStyle name="RIGs input cells 2 2 2 17" xfId="27425" xr:uid="{00000000-0005-0000-0000-0000A46C0000}"/>
    <cellStyle name="RIGs input cells 2 2 2 18" xfId="27426" xr:uid="{00000000-0005-0000-0000-0000A56C0000}"/>
    <cellStyle name="RIGs input cells 2 2 2 19" xfId="27427" xr:uid="{00000000-0005-0000-0000-0000A66C0000}"/>
    <cellStyle name="RIGs input cells 2 2 2 2" xfId="27428" xr:uid="{00000000-0005-0000-0000-0000A76C0000}"/>
    <cellStyle name="RIGs input cells 2 2 2 2 10" xfId="27429" xr:uid="{00000000-0005-0000-0000-0000A86C0000}"/>
    <cellStyle name="RIGs input cells 2 2 2 2 11" xfId="27430" xr:uid="{00000000-0005-0000-0000-0000A96C0000}"/>
    <cellStyle name="RIGs input cells 2 2 2 2 12" xfId="27431" xr:uid="{00000000-0005-0000-0000-0000AA6C0000}"/>
    <cellStyle name="RIGs input cells 2 2 2 2 13" xfId="27432" xr:uid="{00000000-0005-0000-0000-0000AB6C0000}"/>
    <cellStyle name="RIGs input cells 2 2 2 2 14" xfId="27433" xr:uid="{00000000-0005-0000-0000-0000AC6C0000}"/>
    <cellStyle name="RIGs input cells 2 2 2 2 15" xfId="27434" xr:uid="{00000000-0005-0000-0000-0000AD6C0000}"/>
    <cellStyle name="RIGs input cells 2 2 2 2 16" xfId="27435" xr:uid="{00000000-0005-0000-0000-0000AE6C0000}"/>
    <cellStyle name="RIGs input cells 2 2 2 2 17" xfId="27436" xr:uid="{00000000-0005-0000-0000-0000AF6C0000}"/>
    <cellStyle name="RIGs input cells 2 2 2 2 18" xfId="27437" xr:uid="{00000000-0005-0000-0000-0000B06C0000}"/>
    <cellStyle name="RIGs input cells 2 2 2 2 19" xfId="27438" xr:uid="{00000000-0005-0000-0000-0000B16C0000}"/>
    <cellStyle name="RIGs input cells 2 2 2 2 2" xfId="27439" xr:uid="{00000000-0005-0000-0000-0000B26C0000}"/>
    <cellStyle name="RIGs input cells 2 2 2 2 2 10" xfId="27440" xr:uid="{00000000-0005-0000-0000-0000B36C0000}"/>
    <cellStyle name="RIGs input cells 2 2 2 2 2 11" xfId="27441" xr:uid="{00000000-0005-0000-0000-0000B46C0000}"/>
    <cellStyle name="RIGs input cells 2 2 2 2 2 12" xfId="27442" xr:uid="{00000000-0005-0000-0000-0000B56C0000}"/>
    <cellStyle name="RIGs input cells 2 2 2 2 2 13" xfId="27443" xr:uid="{00000000-0005-0000-0000-0000B66C0000}"/>
    <cellStyle name="RIGs input cells 2 2 2 2 2 14" xfId="27444" xr:uid="{00000000-0005-0000-0000-0000B76C0000}"/>
    <cellStyle name="RIGs input cells 2 2 2 2 2 15" xfId="27445" xr:uid="{00000000-0005-0000-0000-0000B86C0000}"/>
    <cellStyle name="RIGs input cells 2 2 2 2 2 16" xfId="27446" xr:uid="{00000000-0005-0000-0000-0000B96C0000}"/>
    <cellStyle name="RIGs input cells 2 2 2 2 2 17" xfId="27447" xr:uid="{00000000-0005-0000-0000-0000BA6C0000}"/>
    <cellStyle name="RIGs input cells 2 2 2 2 2 18" xfId="27448" xr:uid="{00000000-0005-0000-0000-0000BB6C0000}"/>
    <cellStyle name="RIGs input cells 2 2 2 2 2 19" xfId="27449" xr:uid="{00000000-0005-0000-0000-0000BC6C0000}"/>
    <cellStyle name="RIGs input cells 2 2 2 2 2 2" xfId="27450" xr:uid="{00000000-0005-0000-0000-0000BD6C0000}"/>
    <cellStyle name="RIGs input cells 2 2 2 2 2 2 10" xfId="27451" xr:uid="{00000000-0005-0000-0000-0000BE6C0000}"/>
    <cellStyle name="RIGs input cells 2 2 2 2 2 2 11" xfId="27452" xr:uid="{00000000-0005-0000-0000-0000BF6C0000}"/>
    <cellStyle name="RIGs input cells 2 2 2 2 2 2 12" xfId="27453" xr:uid="{00000000-0005-0000-0000-0000C06C0000}"/>
    <cellStyle name="RIGs input cells 2 2 2 2 2 2 13" xfId="27454" xr:uid="{00000000-0005-0000-0000-0000C16C0000}"/>
    <cellStyle name="RIGs input cells 2 2 2 2 2 2 2" xfId="27455" xr:uid="{00000000-0005-0000-0000-0000C26C0000}"/>
    <cellStyle name="RIGs input cells 2 2 2 2 2 2 3" xfId="27456" xr:uid="{00000000-0005-0000-0000-0000C36C0000}"/>
    <cellStyle name="RIGs input cells 2 2 2 2 2 2 4" xfId="27457" xr:uid="{00000000-0005-0000-0000-0000C46C0000}"/>
    <cellStyle name="RIGs input cells 2 2 2 2 2 2 5" xfId="27458" xr:uid="{00000000-0005-0000-0000-0000C56C0000}"/>
    <cellStyle name="RIGs input cells 2 2 2 2 2 2 6" xfId="27459" xr:uid="{00000000-0005-0000-0000-0000C66C0000}"/>
    <cellStyle name="RIGs input cells 2 2 2 2 2 2 7" xfId="27460" xr:uid="{00000000-0005-0000-0000-0000C76C0000}"/>
    <cellStyle name="RIGs input cells 2 2 2 2 2 2 8" xfId="27461" xr:uid="{00000000-0005-0000-0000-0000C86C0000}"/>
    <cellStyle name="RIGs input cells 2 2 2 2 2 2 9" xfId="27462" xr:uid="{00000000-0005-0000-0000-0000C96C0000}"/>
    <cellStyle name="RIGs input cells 2 2 2 2 2 20" xfId="27463" xr:uid="{00000000-0005-0000-0000-0000CA6C0000}"/>
    <cellStyle name="RIGs input cells 2 2 2 2 2 21" xfId="27464" xr:uid="{00000000-0005-0000-0000-0000CB6C0000}"/>
    <cellStyle name="RIGs input cells 2 2 2 2 2 22" xfId="27465" xr:uid="{00000000-0005-0000-0000-0000CC6C0000}"/>
    <cellStyle name="RIGs input cells 2 2 2 2 2 23" xfId="27466" xr:uid="{00000000-0005-0000-0000-0000CD6C0000}"/>
    <cellStyle name="RIGs input cells 2 2 2 2 2 24" xfId="27467" xr:uid="{00000000-0005-0000-0000-0000CE6C0000}"/>
    <cellStyle name="RIGs input cells 2 2 2 2 2 25" xfId="27468" xr:uid="{00000000-0005-0000-0000-0000CF6C0000}"/>
    <cellStyle name="RIGs input cells 2 2 2 2 2 26" xfId="27469" xr:uid="{00000000-0005-0000-0000-0000D06C0000}"/>
    <cellStyle name="RIGs input cells 2 2 2 2 2 27" xfId="27470" xr:uid="{00000000-0005-0000-0000-0000D16C0000}"/>
    <cellStyle name="RIGs input cells 2 2 2 2 2 28" xfId="27471" xr:uid="{00000000-0005-0000-0000-0000D26C0000}"/>
    <cellStyle name="RIGs input cells 2 2 2 2 2 29" xfId="27472" xr:uid="{00000000-0005-0000-0000-0000D36C0000}"/>
    <cellStyle name="RIGs input cells 2 2 2 2 2 3" xfId="27473" xr:uid="{00000000-0005-0000-0000-0000D46C0000}"/>
    <cellStyle name="RIGs input cells 2 2 2 2 2 30" xfId="27474" xr:uid="{00000000-0005-0000-0000-0000D56C0000}"/>
    <cellStyle name="RIGs input cells 2 2 2 2 2 31" xfId="27475" xr:uid="{00000000-0005-0000-0000-0000D66C0000}"/>
    <cellStyle name="RIGs input cells 2 2 2 2 2 32" xfId="27476" xr:uid="{00000000-0005-0000-0000-0000D76C0000}"/>
    <cellStyle name="RIGs input cells 2 2 2 2 2 33" xfId="27477" xr:uid="{00000000-0005-0000-0000-0000D86C0000}"/>
    <cellStyle name="RIGs input cells 2 2 2 2 2 34" xfId="27478" xr:uid="{00000000-0005-0000-0000-0000D96C0000}"/>
    <cellStyle name="RIGs input cells 2 2 2 2 2 4" xfId="27479" xr:uid="{00000000-0005-0000-0000-0000DA6C0000}"/>
    <cellStyle name="RIGs input cells 2 2 2 2 2 5" xfId="27480" xr:uid="{00000000-0005-0000-0000-0000DB6C0000}"/>
    <cellStyle name="RIGs input cells 2 2 2 2 2 6" xfId="27481" xr:uid="{00000000-0005-0000-0000-0000DC6C0000}"/>
    <cellStyle name="RIGs input cells 2 2 2 2 2 7" xfId="27482" xr:uid="{00000000-0005-0000-0000-0000DD6C0000}"/>
    <cellStyle name="RIGs input cells 2 2 2 2 2 8" xfId="27483" xr:uid="{00000000-0005-0000-0000-0000DE6C0000}"/>
    <cellStyle name="RIGs input cells 2 2 2 2 2 9" xfId="27484" xr:uid="{00000000-0005-0000-0000-0000DF6C0000}"/>
    <cellStyle name="RIGs input cells 2 2 2 2 20" xfId="27485" xr:uid="{00000000-0005-0000-0000-0000E06C0000}"/>
    <cellStyle name="RIGs input cells 2 2 2 2 21" xfId="27486" xr:uid="{00000000-0005-0000-0000-0000E16C0000}"/>
    <cellStyle name="RIGs input cells 2 2 2 2 22" xfId="27487" xr:uid="{00000000-0005-0000-0000-0000E26C0000}"/>
    <cellStyle name="RIGs input cells 2 2 2 2 23" xfId="27488" xr:uid="{00000000-0005-0000-0000-0000E36C0000}"/>
    <cellStyle name="RIGs input cells 2 2 2 2 24" xfId="27489" xr:uid="{00000000-0005-0000-0000-0000E46C0000}"/>
    <cellStyle name="RIGs input cells 2 2 2 2 25" xfId="27490" xr:uid="{00000000-0005-0000-0000-0000E56C0000}"/>
    <cellStyle name="RIGs input cells 2 2 2 2 26" xfId="27491" xr:uid="{00000000-0005-0000-0000-0000E66C0000}"/>
    <cellStyle name="RIGs input cells 2 2 2 2 27" xfId="27492" xr:uid="{00000000-0005-0000-0000-0000E76C0000}"/>
    <cellStyle name="RIGs input cells 2 2 2 2 28" xfId="27493" xr:uid="{00000000-0005-0000-0000-0000E86C0000}"/>
    <cellStyle name="RIGs input cells 2 2 2 2 29" xfId="27494" xr:uid="{00000000-0005-0000-0000-0000E96C0000}"/>
    <cellStyle name="RIGs input cells 2 2 2 2 3" xfId="27495" xr:uid="{00000000-0005-0000-0000-0000EA6C0000}"/>
    <cellStyle name="RIGs input cells 2 2 2 2 3 10" xfId="27496" xr:uid="{00000000-0005-0000-0000-0000EB6C0000}"/>
    <cellStyle name="RIGs input cells 2 2 2 2 3 11" xfId="27497" xr:uid="{00000000-0005-0000-0000-0000EC6C0000}"/>
    <cellStyle name="RIGs input cells 2 2 2 2 3 12" xfId="27498" xr:uid="{00000000-0005-0000-0000-0000ED6C0000}"/>
    <cellStyle name="RIGs input cells 2 2 2 2 3 13" xfId="27499" xr:uid="{00000000-0005-0000-0000-0000EE6C0000}"/>
    <cellStyle name="RIGs input cells 2 2 2 2 3 2" xfId="27500" xr:uid="{00000000-0005-0000-0000-0000EF6C0000}"/>
    <cellStyle name="RIGs input cells 2 2 2 2 3 3" xfId="27501" xr:uid="{00000000-0005-0000-0000-0000F06C0000}"/>
    <cellStyle name="RIGs input cells 2 2 2 2 3 4" xfId="27502" xr:uid="{00000000-0005-0000-0000-0000F16C0000}"/>
    <cellStyle name="RIGs input cells 2 2 2 2 3 5" xfId="27503" xr:uid="{00000000-0005-0000-0000-0000F26C0000}"/>
    <cellStyle name="RIGs input cells 2 2 2 2 3 6" xfId="27504" xr:uid="{00000000-0005-0000-0000-0000F36C0000}"/>
    <cellStyle name="RIGs input cells 2 2 2 2 3 7" xfId="27505" xr:uid="{00000000-0005-0000-0000-0000F46C0000}"/>
    <cellStyle name="RIGs input cells 2 2 2 2 3 8" xfId="27506" xr:uid="{00000000-0005-0000-0000-0000F56C0000}"/>
    <cellStyle name="RIGs input cells 2 2 2 2 3 9" xfId="27507" xr:uid="{00000000-0005-0000-0000-0000F66C0000}"/>
    <cellStyle name="RIGs input cells 2 2 2 2 30" xfId="27508" xr:uid="{00000000-0005-0000-0000-0000F76C0000}"/>
    <cellStyle name="RIGs input cells 2 2 2 2 31" xfId="27509" xr:uid="{00000000-0005-0000-0000-0000F86C0000}"/>
    <cellStyle name="RIGs input cells 2 2 2 2 32" xfId="27510" xr:uid="{00000000-0005-0000-0000-0000F96C0000}"/>
    <cellStyle name="RIGs input cells 2 2 2 2 33" xfId="27511" xr:uid="{00000000-0005-0000-0000-0000FA6C0000}"/>
    <cellStyle name="RIGs input cells 2 2 2 2 34" xfId="27512" xr:uid="{00000000-0005-0000-0000-0000FB6C0000}"/>
    <cellStyle name="RIGs input cells 2 2 2 2 35" xfId="27513" xr:uid="{00000000-0005-0000-0000-0000FC6C0000}"/>
    <cellStyle name="RIGs input cells 2 2 2 2 4" xfId="27514" xr:uid="{00000000-0005-0000-0000-0000FD6C0000}"/>
    <cellStyle name="RIGs input cells 2 2 2 2 5" xfId="27515" xr:uid="{00000000-0005-0000-0000-0000FE6C0000}"/>
    <cellStyle name="RIGs input cells 2 2 2 2 6" xfId="27516" xr:uid="{00000000-0005-0000-0000-0000FF6C0000}"/>
    <cellStyle name="RIGs input cells 2 2 2 2 7" xfId="27517" xr:uid="{00000000-0005-0000-0000-0000006D0000}"/>
    <cellStyle name="RIGs input cells 2 2 2 2 8" xfId="27518" xr:uid="{00000000-0005-0000-0000-0000016D0000}"/>
    <cellStyle name="RIGs input cells 2 2 2 2 9" xfId="27519" xr:uid="{00000000-0005-0000-0000-0000026D0000}"/>
    <cellStyle name="RIGs input cells 2 2 2 2_4 28 1_Asst_Health_Crit_AllTO_RIIO_20110714pm" xfId="27520" xr:uid="{00000000-0005-0000-0000-0000036D0000}"/>
    <cellStyle name="RIGs input cells 2 2 2 20" xfId="27521" xr:uid="{00000000-0005-0000-0000-0000046D0000}"/>
    <cellStyle name="RIGs input cells 2 2 2 21" xfId="27522" xr:uid="{00000000-0005-0000-0000-0000056D0000}"/>
    <cellStyle name="RIGs input cells 2 2 2 22" xfId="27523" xr:uid="{00000000-0005-0000-0000-0000066D0000}"/>
    <cellStyle name="RIGs input cells 2 2 2 23" xfId="27524" xr:uid="{00000000-0005-0000-0000-0000076D0000}"/>
    <cellStyle name="RIGs input cells 2 2 2 24" xfId="27525" xr:uid="{00000000-0005-0000-0000-0000086D0000}"/>
    <cellStyle name="RIGs input cells 2 2 2 25" xfId="27526" xr:uid="{00000000-0005-0000-0000-0000096D0000}"/>
    <cellStyle name="RIGs input cells 2 2 2 26" xfId="27527" xr:uid="{00000000-0005-0000-0000-00000A6D0000}"/>
    <cellStyle name="RIGs input cells 2 2 2 27" xfId="27528" xr:uid="{00000000-0005-0000-0000-00000B6D0000}"/>
    <cellStyle name="RIGs input cells 2 2 2 28" xfId="27529" xr:uid="{00000000-0005-0000-0000-00000C6D0000}"/>
    <cellStyle name="RIGs input cells 2 2 2 29" xfId="27530" xr:uid="{00000000-0005-0000-0000-00000D6D0000}"/>
    <cellStyle name="RIGs input cells 2 2 2 3" xfId="27531" xr:uid="{00000000-0005-0000-0000-00000E6D0000}"/>
    <cellStyle name="RIGs input cells 2 2 2 3 10" xfId="27532" xr:uid="{00000000-0005-0000-0000-00000F6D0000}"/>
    <cellStyle name="RIGs input cells 2 2 2 3 11" xfId="27533" xr:uid="{00000000-0005-0000-0000-0000106D0000}"/>
    <cellStyle name="RIGs input cells 2 2 2 3 12" xfId="27534" xr:uid="{00000000-0005-0000-0000-0000116D0000}"/>
    <cellStyle name="RIGs input cells 2 2 2 3 13" xfId="27535" xr:uid="{00000000-0005-0000-0000-0000126D0000}"/>
    <cellStyle name="RIGs input cells 2 2 2 3 14" xfId="27536" xr:uid="{00000000-0005-0000-0000-0000136D0000}"/>
    <cellStyle name="RIGs input cells 2 2 2 3 15" xfId="27537" xr:uid="{00000000-0005-0000-0000-0000146D0000}"/>
    <cellStyle name="RIGs input cells 2 2 2 3 16" xfId="27538" xr:uid="{00000000-0005-0000-0000-0000156D0000}"/>
    <cellStyle name="RIGs input cells 2 2 2 3 17" xfId="27539" xr:uid="{00000000-0005-0000-0000-0000166D0000}"/>
    <cellStyle name="RIGs input cells 2 2 2 3 18" xfId="27540" xr:uid="{00000000-0005-0000-0000-0000176D0000}"/>
    <cellStyle name="RIGs input cells 2 2 2 3 19" xfId="27541" xr:uid="{00000000-0005-0000-0000-0000186D0000}"/>
    <cellStyle name="RIGs input cells 2 2 2 3 2" xfId="27542" xr:uid="{00000000-0005-0000-0000-0000196D0000}"/>
    <cellStyle name="RIGs input cells 2 2 2 3 2 10" xfId="27543" xr:uid="{00000000-0005-0000-0000-00001A6D0000}"/>
    <cellStyle name="RIGs input cells 2 2 2 3 2 11" xfId="27544" xr:uid="{00000000-0005-0000-0000-00001B6D0000}"/>
    <cellStyle name="RIGs input cells 2 2 2 3 2 12" xfId="27545" xr:uid="{00000000-0005-0000-0000-00001C6D0000}"/>
    <cellStyle name="RIGs input cells 2 2 2 3 2 13" xfId="27546" xr:uid="{00000000-0005-0000-0000-00001D6D0000}"/>
    <cellStyle name="RIGs input cells 2 2 2 3 2 2" xfId="27547" xr:uid="{00000000-0005-0000-0000-00001E6D0000}"/>
    <cellStyle name="RIGs input cells 2 2 2 3 2 3" xfId="27548" xr:uid="{00000000-0005-0000-0000-00001F6D0000}"/>
    <cellStyle name="RIGs input cells 2 2 2 3 2 4" xfId="27549" xr:uid="{00000000-0005-0000-0000-0000206D0000}"/>
    <cellStyle name="RIGs input cells 2 2 2 3 2 5" xfId="27550" xr:uid="{00000000-0005-0000-0000-0000216D0000}"/>
    <cellStyle name="RIGs input cells 2 2 2 3 2 6" xfId="27551" xr:uid="{00000000-0005-0000-0000-0000226D0000}"/>
    <cellStyle name="RIGs input cells 2 2 2 3 2 7" xfId="27552" xr:uid="{00000000-0005-0000-0000-0000236D0000}"/>
    <cellStyle name="RIGs input cells 2 2 2 3 2 8" xfId="27553" xr:uid="{00000000-0005-0000-0000-0000246D0000}"/>
    <cellStyle name="RIGs input cells 2 2 2 3 2 9" xfId="27554" xr:uid="{00000000-0005-0000-0000-0000256D0000}"/>
    <cellStyle name="RIGs input cells 2 2 2 3 20" xfId="27555" xr:uid="{00000000-0005-0000-0000-0000266D0000}"/>
    <cellStyle name="RIGs input cells 2 2 2 3 21" xfId="27556" xr:uid="{00000000-0005-0000-0000-0000276D0000}"/>
    <cellStyle name="RIGs input cells 2 2 2 3 22" xfId="27557" xr:uid="{00000000-0005-0000-0000-0000286D0000}"/>
    <cellStyle name="RIGs input cells 2 2 2 3 23" xfId="27558" xr:uid="{00000000-0005-0000-0000-0000296D0000}"/>
    <cellStyle name="RIGs input cells 2 2 2 3 24" xfId="27559" xr:uid="{00000000-0005-0000-0000-00002A6D0000}"/>
    <cellStyle name="RIGs input cells 2 2 2 3 25" xfId="27560" xr:uid="{00000000-0005-0000-0000-00002B6D0000}"/>
    <cellStyle name="RIGs input cells 2 2 2 3 26" xfId="27561" xr:uid="{00000000-0005-0000-0000-00002C6D0000}"/>
    <cellStyle name="RIGs input cells 2 2 2 3 27" xfId="27562" xr:uid="{00000000-0005-0000-0000-00002D6D0000}"/>
    <cellStyle name="RIGs input cells 2 2 2 3 28" xfId="27563" xr:uid="{00000000-0005-0000-0000-00002E6D0000}"/>
    <cellStyle name="RIGs input cells 2 2 2 3 29" xfId="27564" xr:uid="{00000000-0005-0000-0000-00002F6D0000}"/>
    <cellStyle name="RIGs input cells 2 2 2 3 3" xfId="27565" xr:uid="{00000000-0005-0000-0000-0000306D0000}"/>
    <cellStyle name="RIGs input cells 2 2 2 3 30" xfId="27566" xr:uid="{00000000-0005-0000-0000-0000316D0000}"/>
    <cellStyle name="RIGs input cells 2 2 2 3 31" xfId="27567" xr:uid="{00000000-0005-0000-0000-0000326D0000}"/>
    <cellStyle name="RIGs input cells 2 2 2 3 32" xfId="27568" xr:uid="{00000000-0005-0000-0000-0000336D0000}"/>
    <cellStyle name="RIGs input cells 2 2 2 3 33" xfId="27569" xr:uid="{00000000-0005-0000-0000-0000346D0000}"/>
    <cellStyle name="RIGs input cells 2 2 2 3 34" xfId="27570" xr:uid="{00000000-0005-0000-0000-0000356D0000}"/>
    <cellStyle name="RIGs input cells 2 2 2 3 4" xfId="27571" xr:uid="{00000000-0005-0000-0000-0000366D0000}"/>
    <cellStyle name="RIGs input cells 2 2 2 3 5" xfId="27572" xr:uid="{00000000-0005-0000-0000-0000376D0000}"/>
    <cellStyle name="RIGs input cells 2 2 2 3 6" xfId="27573" xr:uid="{00000000-0005-0000-0000-0000386D0000}"/>
    <cellStyle name="RIGs input cells 2 2 2 3 7" xfId="27574" xr:uid="{00000000-0005-0000-0000-0000396D0000}"/>
    <cellStyle name="RIGs input cells 2 2 2 3 8" xfId="27575" xr:uid="{00000000-0005-0000-0000-00003A6D0000}"/>
    <cellStyle name="RIGs input cells 2 2 2 3 9" xfId="27576" xr:uid="{00000000-0005-0000-0000-00003B6D0000}"/>
    <cellStyle name="RIGs input cells 2 2 2 30" xfId="27577" xr:uid="{00000000-0005-0000-0000-00003C6D0000}"/>
    <cellStyle name="RIGs input cells 2 2 2 31" xfId="27578" xr:uid="{00000000-0005-0000-0000-00003D6D0000}"/>
    <cellStyle name="RIGs input cells 2 2 2 32" xfId="27579" xr:uid="{00000000-0005-0000-0000-00003E6D0000}"/>
    <cellStyle name="RIGs input cells 2 2 2 33" xfId="27580" xr:uid="{00000000-0005-0000-0000-00003F6D0000}"/>
    <cellStyle name="RIGs input cells 2 2 2 34" xfId="27581" xr:uid="{00000000-0005-0000-0000-0000406D0000}"/>
    <cellStyle name="RIGs input cells 2 2 2 35" xfId="27582" xr:uid="{00000000-0005-0000-0000-0000416D0000}"/>
    <cellStyle name="RIGs input cells 2 2 2 36" xfId="27583" xr:uid="{00000000-0005-0000-0000-0000426D0000}"/>
    <cellStyle name="RIGs input cells 2 2 2 37" xfId="27584" xr:uid="{00000000-0005-0000-0000-0000436D0000}"/>
    <cellStyle name="RIGs input cells 2 2 2 38" xfId="27585" xr:uid="{00000000-0005-0000-0000-0000446D0000}"/>
    <cellStyle name="RIGs input cells 2 2 2 4" xfId="27586" xr:uid="{00000000-0005-0000-0000-0000456D0000}"/>
    <cellStyle name="RIGs input cells 2 2 2 4 10" xfId="27587" xr:uid="{00000000-0005-0000-0000-0000466D0000}"/>
    <cellStyle name="RIGs input cells 2 2 2 4 11" xfId="27588" xr:uid="{00000000-0005-0000-0000-0000476D0000}"/>
    <cellStyle name="RIGs input cells 2 2 2 4 12" xfId="27589" xr:uid="{00000000-0005-0000-0000-0000486D0000}"/>
    <cellStyle name="RIGs input cells 2 2 2 4 13" xfId="27590" xr:uid="{00000000-0005-0000-0000-0000496D0000}"/>
    <cellStyle name="RIGs input cells 2 2 2 4 14" xfId="27591" xr:uid="{00000000-0005-0000-0000-00004A6D0000}"/>
    <cellStyle name="RIGs input cells 2 2 2 4 15" xfId="27592" xr:uid="{00000000-0005-0000-0000-00004B6D0000}"/>
    <cellStyle name="RIGs input cells 2 2 2 4 16" xfId="27593" xr:uid="{00000000-0005-0000-0000-00004C6D0000}"/>
    <cellStyle name="RIGs input cells 2 2 2 4 17" xfId="27594" xr:uid="{00000000-0005-0000-0000-00004D6D0000}"/>
    <cellStyle name="RIGs input cells 2 2 2 4 18" xfId="27595" xr:uid="{00000000-0005-0000-0000-00004E6D0000}"/>
    <cellStyle name="RIGs input cells 2 2 2 4 19" xfId="27596" xr:uid="{00000000-0005-0000-0000-00004F6D0000}"/>
    <cellStyle name="RIGs input cells 2 2 2 4 2" xfId="27597" xr:uid="{00000000-0005-0000-0000-0000506D0000}"/>
    <cellStyle name="RIGs input cells 2 2 2 4 2 10" xfId="27598" xr:uid="{00000000-0005-0000-0000-0000516D0000}"/>
    <cellStyle name="RIGs input cells 2 2 2 4 2 11" xfId="27599" xr:uid="{00000000-0005-0000-0000-0000526D0000}"/>
    <cellStyle name="RIGs input cells 2 2 2 4 2 12" xfId="27600" xr:uid="{00000000-0005-0000-0000-0000536D0000}"/>
    <cellStyle name="RIGs input cells 2 2 2 4 2 13" xfId="27601" xr:uid="{00000000-0005-0000-0000-0000546D0000}"/>
    <cellStyle name="RIGs input cells 2 2 2 4 2 2" xfId="27602" xr:uid="{00000000-0005-0000-0000-0000556D0000}"/>
    <cellStyle name="RIGs input cells 2 2 2 4 2 3" xfId="27603" xr:uid="{00000000-0005-0000-0000-0000566D0000}"/>
    <cellStyle name="RIGs input cells 2 2 2 4 2 4" xfId="27604" xr:uid="{00000000-0005-0000-0000-0000576D0000}"/>
    <cellStyle name="RIGs input cells 2 2 2 4 2 5" xfId="27605" xr:uid="{00000000-0005-0000-0000-0000586D0000}"/>
    <cellStyle name="RIGs input cells 2 2 2 4 2 6" xfId="27606" xr:uid="{00000000-0005-0000-0000-0000596D0000}"/>
    <cellStyle name="RIGs input cells 2 2 2 4 2 7" xfId="27607" xr:uid="{00000000-0005-0000-0000-00005A6D0000}"/>
    <cellStyle name="RIGs input cells 2 2 2 4 2 8" xfId="27608" xr:uid="{00000000-0005-0000-0000-00005B6D0000}"/>
    <cellStyle name="RIGs input cells 2 2 2 4 2 9" xfId="27609" xr:uid="{00000000-0005-0000-0000-00005C6D0000}"/>
    <cellStyle name="RIGs input cells 2 2 2 4 20" xfId="27610" xr:uid="{00000000-0005-0000-0000-00005D6D0000}"/>
    <cellStyle name="RIGs input cells 2 2 2 4 21" xfId="27611" xr:uid="{00000000-0005-0000-0000-00005E6D0000}"/>
    <cellStyle name="RIGs input cells 2 2 2 4 22" xfId="27612" xr:uid="{00000000-0005-0000-0000-00005F6D0000}"/>
    <cellStyle name="RIGs input cells 2 2 2 4 23" xfId="27613" xr:uid="{00000000-0005-0000-0000-0000606D0000}"/>
    <cellStyle name="RIGs input cells 2 2 2 4 24" xfId="27614" xr:uid="{00000000-0005-0000-0000-0000616D0000}"/>
    <cellStyle name="RIGs input cells 2 2 2 4 25" xfId="27615" xr:uid="{00000000-0005-0000-0000-0000626D0000}"/>
    <cellStyle name="RIGs input cells 2 2 2 4 26" xfId="27616" xr:uid="{00000000-0005-0000-0000-0000636D0000}"/>
    <cellStyle name="RIGs input cells 2 2 2 4 27" xfId="27617" xr:uid="{00000000-0005-0000-0000-0000646D0000}"/>
    <cellStyle name="RIGs input cells 2 2 2 4 28" xfId="27618" xr:uid="{00000000-0005-0000-0000-0000656D0000}"/>
    <cellStyle name="RIGs input cells 2 2 2 4 29" xfId="27619" xr:uid="{00000000-0005-0000-0000-0000666D0000}"/>
    <cellStyle name="RIGs input cells 2 2 2 4 3" xfId="27620" xr:uid="{00000000-0005-0000-0000-0000676D0000}"/>
    <cellStyle name="RIGs input cells 2 2 2 4 30" xfId="27621" xr:uid="{00000000-0005-0000-0000-0000686D0000}"/>
    <cellStyle name="RIGs input cells 2 2 2 4 31" xfId="27622" xr:uid="{00000000-0005-0000-0000-0000696D0000}"/>
    <cellStyle name="RIGs input cells 2 2 2 4 32" xfId="27623" xr:uid="{00000000-0005-0000-0000-00006A6D0000}"/>
    <cellStyle name="RIGs input cells 2 2 2 4 33" xfId="27624" xr:uid="{00000000-0005-0000-0000-00006B6D0000}"/>
    <cellStyle name="RIGs input cells 2 2 2 4 34" xfId="27625" xr:uid="{00000000-0005-0000-0000-00006C6D0000}"/>
    <cellStyle name="RIGs input cells 2 2 2 4 4" xfId="27626" xr:uid="{00000000-0005-0000-0000-00006D6D0000}"/>
    <cellStyle name="RIGs input cells 2 2 2 4 5" xfId="27627" xr:uid="{00000000-0005-0000-0000-00006E6D0000}"/>
    <cellStyle name="RIGs input cells 2 2 2 4 6" xfId="27628" xr:uid="{00000000-0005-0000-0000-00006F6D0000}"/>
    <cellStyle name="RIGs input cells 2 2 2 4 7" xfId="27629" xr:uid="{00000000-0005-0000-0000-0000706D0000}"/>
    <cellStyle name="RIGs input cells 2 2 2 4 8" xfId="27630" xr:uid="{00000000-0005-0000-0000-0000716D0000}"/>
    <cellStyle name="RIGs input cells 2 2 2 4 9" xfId="27631" xr:uid="{00000000-0005-0000-0000-0000726D0000}"/>
    <cellStyle name="RIGs input cells 2 2 2 5" xfId="27632" xr:uid="{00000000-0005-0000-0000-0000736D0000}"/>
    <cellStyle name="RIGs input cells 2 2 2 5 10" xfId="27633" xr:uid="{00000000-0005-0000-0000-0000746D0000}"/>
    <cellStyle name="RIGs input cells 2 2 2 5 11" xfId="27634" xr:uid="{00000000-0005-0000-0000-0000756D0000}"/>
    <cellStyle name="RIGs input cells 2 2 2 5 12" xfId="27635" xr:uid="{00000000-0005-0000-0000-0000766D0000}"/>
    <cellStyle name="RIGs input cells 2 2 2 5 13" xfId="27636" xr:uid="{00000000-0005-0000-0000-0000776D0000}"/>
    <cellStyle name="RIGs input cells 2 2 2 5 2" xfId="27637" xr:uid="{00000000-0005-0000-0000-0000786D0000}"/>
    <cellStyle name="RIGs input cells 2 2 2 5 3" xfId="27638" xr:uid="{00000000-0005-0000-0000-0000796D0000}"/>
    <cellStyle name="RIGs input cells 2 2 2 5 4" xfId="27639" xr:uid="{00000000-0005-0000-0000-00007A6D0000}"/>
    <cellStyle name="RIGs input cells 2 2 2 5 5" xfId="27640" xr:uid="{00000000-0005-0000-0000-00007B6D0000}"/>
    <cellStyle name="RIGs input cells 2 2 2 5 6" xfId="27641" xr:uid="{00000000-0005-0000-0000-00007C6D0000}"/>
    <cellStyle name="RIGs input cells 2 2 2 5 7" xfId="27642" xr:uid="{00000000-0005-0000-0000-00007D6D0000}"/>
    <cellStyle name="RIGs input cells 2 2 2 5 8" xfId="27643" xr:uid="{00000000-0005-0000-0000-00007E6D0000}"/>
    <cellStyle name="RIGs input cells 2 2 2 5 9" xfId="27644" xr:uid="{00000000-0005-0000-0000-00007F6D0000}"/>
    <cellStyle name="RIGs input cells 2 2 2 6" xfId="27645" xr:uid="{00000000-0005-0000-0000-0000806D0000}"/>
    <cellStyle name="RIGs input cells 2 2 2 7" xfId="27646" xr:uid="{00000000-0005-0000-0000-0000816D0000}"/>
    <cellStyle name="RIGs input cells 2 2 2 8" xfId="27647" xr:uid="{00000000-0005-0000-0000-0000826D0000}"/>
    <cellStyle name="RIGs input cells 2 2 2 9" xfId="27648" xr:uid="{00000000-0005-0000-0000-0000836D0000}"/>
    <cellStyle name="RIGs input cells 2 2 2_4 28 1_Asst_Health_Crit_AllTO_RIIO_20110714pm" xfId="27649" xr:uid="{00000000-0005-0000-0000-0000846D0000}"/>
    <cellStyle name="RIGs input cells 2 2 20" xfId="27650" xr:uid="{00000000-0005-0000-0000-0000856D0000}"/>
    <cellStyle name="RIGs input cells 2 2 21" xfId="27651" xr:uid="{00000000-0005-0000-0000-0000866D0000}"/>
    <cellStyle name="RIGs input cells 2 2 22" xfId="27652" xr:uid="{00000000-0005-0000-0000-0000876D0000}"/>
    <cellStyle name="RIGs input cells 2 2 23" xfId="27653" xr:uid="{00000000-0005-0000-0000-0000886D0000}"/>
    <cellStyle name="RIGs input cells 2 2 24" xfId="27654" xr:uid="{00000000-0005-0000-0000-0000896D0000}"/>
    <cellStyle name="RIGs input cells 2 2 25" xfId="27655" xr:uid="{00000000-0005-0000-0000-00008A6D0000}"/>
    <cellStyle name="RIGs input cells 2 2 26" xfId="27656" xr:uid="{00000000-0005-0000-0000-00008B6D0000}"/>
    <cellStyle name="RIGs input cells 2 2 27" xfId="27657" xr:uid="{00000000-0005-0000-0000-00008C6D0000}"/>
    <cellStyle name="RIGs input cells 2 2 28" xfId="27658" xr:uid="{00000000-0005-0000-0000-00008D6D0000}"/>
    <cellStyle name="RIGs input cells 2 2 29" xfId="27659" xr:uid="{00000000-0005-0000-0000-00008E6D0000}"/>
    <cellStyle name="RIGs input cells 2 2 3" xfId="27660" xr:uid="{00000000-0005-0000-0000-00008F6D0000}"/>
    <cellStyle name="RIGs input cells 2 2 3 10" xfId="27661" xr:uid="{00000000-0005-0000-0000-0000906D0000}"/>
    <cellStyle name="RIGs input cells 2 2 3 11" xfId="27662" xr:uid="{00000000-0005-0000-0000-0000916D0000}"/>
    <cellStyle name="RIGs input cells 2 2 3 12" xfId="27663" xr:uid="{00000000-0005-0000-0000-0000926D0000}"/>
    <cellStyle name="RIGs input cells 2 2 3 13" xfId="27664" xr:uid="{00000000-0005-0000-0000-0000936D0000}"/>
    <cellStyle name="RIGs input cells 2 2 3 14" xfId="27665" xr:uid="{00000000-0005-0000-0000-0000946D0000}"/>
    <cellStyle name="RIGs input cells 2 2 3 15" xfId="27666" xr:uid="{00000000-0005-0000-0000-0000956D0000}"/>
    <cellStyle name="RIGs input cells 2 2 3 16" xfId="27667" xr:uid="{00000000-0005-0000-0000-0000966D0000}"/>
    <cellStyle name="RIGs input cells 2 2 3 17" xfId="27668" xr:uid="{00000000-0005-0000-0000-0000976D0000}"/>
    <cellStyle name="RIGs input cells 2 2 3 18" xfId="27669" xr:uid="{00000000-0005-0000-0000-0000986D0000}"/>
    <cellStyle name="RIGs input cells 2 2 3 19" xfId="27670" xr:uid="{00000000-0005-0000-0000-0000996D0000}"/>
    <cellStyle name="RIGs input cells 2 2 3 2" xfId="27671" xr:uid="{00000000-0005-0000-0000-00009A6D0000}"/>
    <cellStyle name="RIGs input cells 2 2 3 2 10" xfId="27672" xr:uid="{00000000-0005-0000-0000-00009B6D0000}"/>
    <cellStyle name="RIGs input cells 2 2 3 2 11" xfId="27673" xr:uid="{00000000-0005-0000-0000-00009C6D0000}"/>
    <cellStyle name="RIGs input cells 2 2 3 2 12" xfId="27674" xr:uid="{00000000-0005-0000-0000-00009D6D0000}"/>
    <cellStyle name="RIGs input cells 2 2 3 2 13" xfId="27675" xr:uid="{00000000-0005-0000-0000-00009E6D0000}"/>
    <cellStyle name="RIGs input cells 2 2 3 2 14" xfId="27676" xr:uid="{00000000-0005-0000-0000-00009F6D0000}"/>
    <cellStyle name="RIGs input cells 2 2 3 2 15" xfId="27677" xr:uid="{00000000-0005-0000-0000-0000A06D0000}"/>
    <cellStyle name="RIGs input cells 2 2 3 2 16" xfId="27678" xr:uid="{00000000-0005-0000-0000-0000A16D0000}"/>
    <cellStyle name="RIGs input cells 2 2 3 2 17" xfId="27679" xr:uid="{00000000-0005-0000-0000-0000A26D0000}"/>
    <cellStyle name="RIGs input cells 2 2 3 2 18" xfId="27680" xr:uid="{00000000-0005-0000-0000-0000A36D0000}"/>
    <cellStyle name="RIGs input cells 2 2 3 2 19" xfId="27681" xr:uid="{00000000-0005-0000-0000-0000A46D0000}"/>
    <cellStyle name="RIGs input cells 2 2 3 2 2" xfId="27682" xr:uid="{00000000-0005-0000-0000-0000A56D0000}"/>
    <cellStyle name="RIGs input cells 2 2 3 2 2 10" xfId="27683" xr:uid="{00000000-0005-0000-0000-0000A66D0000}"/>
    <cellStyle name="RIGs input cells 2 2 3 2 2 11" xfId="27684" xr:uid="{00000000-0005-0000-0000-0000A76D0000}"/>
    <cellStyle name="RIGs input cells 2 2 3 2 2 12" xfId="27685" xr:uid="{00000000-0005-0000-0000-0000A86D0000}"/>
    <cellStyle name="RIGs input cells 2 2 3 2 2 13" xfId="27686" xr:uid="{00000000-0005-0000-0000-0000A96D0000}"/>
    <cellStyle name="RIGs input cells 2 2 3 2 2 2" xfId="27687" xr:uid="{00000000-0005-0000-0000-0000AA6D0000}"/>
    <cellStyle name="RIGs input cells 2 2 3 2 2 3" xfId="27688" xr:uid="{00000000-0005-0000-0000-0000AB6D0000}"/>
    <cellStyle name="RIGs input cells 2 2 3 2 2 4" xfId="27689" xr:uid="{00000000-0005-0000-0000-0000AC6D0000}"/>
    <cellStyle name="RIGs input cells 2 2 3 2 2 5" xfId="27690" xr:uid="{00000000-0005-0000-0000-0000AD6D0000}"/>
    <cellStyle name="RIGs input cells 2 2 3 2 2 6" xfId="27691" xr:uid="{00000000-0005-0000-0000-0000AE6D0000}"/>
    <cellStyle name="RIGs input cells 2 2 3 2 2 7" xfId="27692" xr:uid="{00000000-0005-0000-0000-0000AF6D0000}"/>
    <cellStyle name="RIGs input cells 2 2 3 2 2 8" xfId="27693" xr:uid="{00000000-0005-0000-0000-0000B06D0000}"/>
    <cellStyle name="RIGs input cells 2 2 3 2 2 9" xfId="27694" xr:uid="{00000000-0005-0000-0000-0000B16D0000}"/>
    <cellStyle name="RIGs input cells 2 2 3 2 20" xfId="27695" xr:uid="{00000000-0005-0000-0000-0000B26D0000}"/>
    <cellStyle name="RIGs input cells 2 2 3 2 21" xfId="27696" xr:uid="{00000000-0005-0000-0000-0000B36D0000}"/>
    <cellStyle name="RIGs input cells 2 2 3 2 22" xfId="27697" xr:uid="{00000000-0005-0000-0000-0000B46D0000}"/>
    <cellStyle name="RIGs input cells 2 2 3 2 23" xfId="27698" xr:uid="{00000000-0005-0000-0000-0000B56D0000}"/>
    <cellStyle name="RIGs input cells 2 2 3 2 24" xfId="27699" xr:uid="{00000000-0005-0000-0000-0000B66D0000}"/>
    <cellStyle name="RIGs input cells 2 2 3 2 25" xfId="27700" xr:uid="{00000000-0005-0000-0000-0000B76D0000}"/>
    <cellStyle name="RIGs input cells 2 2 3 2 26" xfId="27701" xr:uid="{00000000-0005-0000-0000-0000B86D0000}"/>
    <cellStyle name="RIGs input cells 2 2 3 2 27" xfId="27702" xr:uid="{00000000-0005-0000-0000-0000B96D0000}"/>
    <cellStyle name="RIGs input cells 2 2 3 2 28" xfId="27703" xr:uid="{00000000-0005-0000-0000-0000BA6D0000}"/>
    <cellStyle name="RIGs input cells 2 2 3 2 29" xfId="27704" xr:uid="{00000000-0005-0000-0000-0000BB6D0000}"/>
    <cellStyle name="RIGs input cells 2 2 3 2 3" xfId="27705" xr:uid="{00000000-0005-0000-0000-0000BC6D0000}"/>
    <cellStyle name="RIGs input cells 2 2 3 2 30" xfId="27706" xr:uid="{00000000-0005-0000-0000-0000BD6D0000}"/>
    <cellStyle name="RIGs input cells 2 2 3 2 31" xfId="27707" xr:uid="{00000000-0005-0000-0000-0000BE6D0000}"/>
    <cellStyle name="RIGs input cells 2 2 3 2 32" xfId="27708" xr:uid="{00000000-0005-0000-0000-0000BF6D0000}"/>
    <cellStyle name="RIGs input cells 2 2 3 2 33" xfId="27709" xr:uid="{00000000-0005-0000-0000-0000C06D0000}"/>
    <cellStyle name="RIGs input cells 2 2 3 2 34" xfId="27710" xr:uid="{00000000-0005-0000-0000-0000C16D0000}"/>
    <cellStyle name="RIGs input cells 2 2 3 2 4" xfId="27711" xr:uid="{00000000-0005-0000-0000-0000C26D0000}"/>
    <cellStyle name="RIGs input cells 2 2 3 2 5" xfId="27712" xr:uid="{00000000-0005-0000-0000-0000C36D0000}"/>
    <cellStyle name="RIGs input cells 2 2 3 2 6" xfId="27713" xr:uid="{00000000-0005-0000-0000-0000C46D0000}"/>
    <cellStyle name="RIGs input cells 2 2 3 2 7" xfId="27714" xr:uid="{00000000-0005-0000-0000-0000C56D0000}"/>
    <cellStyle name="RIGs input cells 2 2 3 2 8" xfId="27715" xr:uid="{00000000-0005-0000-0000-0000C66D0000}"/>
    <cellStyle name="RIGs input cells 2 2 3 2 9" xfId="27716" xr:uid="{00000000-0005-0000-0000-0000C76D0000}"/>
    <cellStyle name="RIGs input cells 2 2 3 20" xfId="27717" xr:uid="{00000000-0005-0000-0000-0000C86D0000}"/>
    <cellStyle name="RIGs input cells 2 2 3 21" xfId="27718" xr:uid="{00000000-0005-0000-0000-0000C96D0000}"/>
    <cellStyle name="RIGs input cells 2 2 3 22" xfId="27719" xr:uid="{00000000-0005-0000-0000-0000CA6D0000}"/>
    <cellStyle name="RIGs input cells 2 2 3 23" xfId="27720" xr:uid="{00000000-0005-0000-0000-0000CB6D0000}"/>
    <cellStyle name="RIGs input cells 2 2 3 24" xfId="27721" xr:uid="{00000000-0005-0000-0000-0000CC6D0000}"/>
    <cellStyle name="RIGs input cells 2 2 3 25" xfId="27722" xr:uid="{00000000-0005-0000-0000-0000CD6D0000}"/>
    <cellStyle name="RIGs input cells 2 2 3 26" xfId="27723" xr:uid="{00000000-0005-0000-0000-0000CE6D0000}"/>
    <cellStyle name="RIGs input cells 2 2 3 27" xfId="27724" xr:uid="{00000000-0005-0000-0000-0000CF6D0000}"/>
    <cellStyle name="RIGs input cells 2 2 3 28" xfId="27725" xr:uid="{00000000-0005-0000-0000-0000D06D0000}"/>
    <cellStyle name="RIGs input cells 2 2 3 29" xfId="27726" xr:uid="{00000000-0005-0000-0000-0000D16D0000}"/>
    <cellStyle name="RIGs input cells 2 2 3 3" xfId="27727" xr:uid="{00000000-0005-0000-0000-0000D26D0000}"/>
    <cellStyle name="RIGs input cells 2 2 3 3 10" xfId="27728" xr:uid="{00000000-0005-0000-0000-0000D36D0000}"/>
    <cellStyle name="RIGs input cells 2 2 3 3 11" xfId="27729" xr:uid="{00000000-0005-0000-0000-0000D46D0000}"/>
    <cellStyle name="RIGs input cells 2 2 3 3 12" xfId="27730" xr:uid="{00000000-0005-0000-0000-0000D56D0000}"/>
    <cellStyle name="RIGs input cells 2 2 3 3 13" xfId="27731" xr:uid="{00000000-0005-0000-0000-0000D66D0000}"/>
    <cellStyle name="RIGs input cells 2 2 3 3 2" xfId="27732" xr:uid="{00000000-0005-0000-0000-0000D76D0000}"/>
    <cellStyle name="RIGs input cells 2 2 3 3 3" xfId="27733" xr:uid="{00000000-0005-0000-0000-0000D86D0000}"/>
    <cellStyle name="RIGs input cells 2 2 3 3 4" xfId="27734" xr:uid="{00000000-0005-0000-0000-0000D96D0000}"/>
    <cellStyle name="RIGs input cells 2 2 3 3 5" xfId="27735" xr:uid="{00000000-0005-0000-0000-0000DA6D0000}"/>
    <cellStyle name="RIGs input cells 2 2 3 3 6" xfId="27736" xr:uid="{00000000-0005-0000-0000-0000DB6D0000}"/>
    <cellStyle name="RIGs input cells 2 2 3 3 7" xfId="27737" xr:uid="{00000000-0005-0000-0000-0000DC6D0000}"/>
    <cellStyle name="RIGs input cells 2 2 3 3 8" xfId="27738" xr:uid="{00000000-0005-0000-0000-0000DD6D0000}"/>
    <cellStyle name="RIGs input cells 2 2 3 3 9" xfId="27739" xr:uid="{00000000-0005-0000-0000-0000DE6D0000}"/>
    <cellStyle name="RIGs input cells 2 2 3 30" xfId="27740" xr:uid="{00000000-0005-0000-0000-0000DF6D0000}"/>
    <cellStyle name="RIGs input cells 2 2 3 31" xfId="27741" xr:uid="{00000000-0005-0000-0000-0000E06D0000}"/>
    <cellStyle name="RIGs input cells 2 2 3 32" xfId="27742" xr:uid="{00000000-0005-0000-0000-0000E16D0000}"/>
    <cellStyle name="RIGs input cells 2 2 3 33" xfId="27743" xr:uid="{00000000-0005-0000-0000-0000E26D0000}"/>
    <cellStyle name="RIGs input cells 2 2 3 34" xfId="27744" xr:uid="{00000000-0005-0000-0000-0000E36D0000}"/>
    <cellStyle name="RIGs input cells 2 2 3 35" xfId="27745" xr:uid="{00000000-0005-0000-0000-0000E46D0000}"/>
    <cellStyle name="RIGs input cells 2 2 3 4" xfId="27746" xr:uid="{00000000-0005-0000-0000-0000E56D0000}"/>
    <cellStyle name="RIGs input cells 2 2 3 5" xfId="27747" xr:uid="{00000000-0005-0000-0000-0000E66D0000}"/>
    <cellStyle name="RIGs input cells 2 2 3 6" xfId="27748" xr:uid="{00000000-0005-0000-0000-0000E76D0000}"/>
    <cellStyle name="RIGs input cells 2 2 3 7" xfId="27749" xr:uid="{00000000-0005-0000-0000-0000E86D0000}"/>
    <cellStyle name="RIGs input cells 2 2 3 8" xfId="27750" xr:uid="{00000000-0005-0000-0000-0000E96D0000}"/>
    <cellStyle name="RIGs input cells 2 2 3 9" xfId="27751" xr:uid="{00000000-0005-0000-0000-0000EA6D0000}"/>
    <cellStyle name="RIGs input cells 2 2 3_4 28 1_Asst_Health_Crit_AllTO_RIIO_20110714pm" xfId="27752" xr:uid="{00000000-0005-0000-0000-0000EB6D0000}"/>
    <cellStyle name="RIGs input cells 2 2 30" xfId="27753" xr:uid="{00000000-0005-0000-0000-0000EC6D0000}"/>
    <cellStyle name="RIGs input cells 2 2 31" xfId="27754" xr:uid="{00000000-0005-0000-0000-0000ED6D0000}"/>
    <cellStyle name="RIGs input cells 2 2 32" xfId="27755" xr:uid="{00000000-0005-0000-0000-0000EE6D0000}"/>
    <cellStyle name="RIGs input cells 2 2 33" xfId="27756" xr:uid="{00000000-0005-0000-0000-0000EF6D0000}"/>
    <cellStyle name="RIGs input cells 2 2 34" xfId="27757" xr:uid="{00000000-0005-0000-0000-0000F06D0000}"/>
    <cellStyle name="RIGs input cells 2 2 35" xfId="27758" xr:uid="{00000000-0005-0000-0000-0000F16D0000}"/>
    <cellStyle name="RIGs input cells 2 2 36" xfId="27759" xr:uid="{00000000-0005-0000-0000-0000F26D0000}"/>
    <cellStyle name="RIGs input cells 2 2 37" xfId="27760" xr:uid="{00000000-0005-0000-0000-0000F36D0000}"/>
    <cellStyle name="RIGs input cells 2 2 38" xfId="27761" xr:uid="{00000000-0005-0000-0000-0000F46D0000}"/>
    <cellStyle name="RIGs input cells 2 2 39" xfId="27762" xr:uid="{00000000-0005-0000-0000-0000F56D0000}"/>
    <cellStyle name="RIGs input cells 2 2 4" xfId="27763" xr:uid="{00000000-0005-0000-0000-0000F66D0000}"/>
    <cellStyle name="RIGs input cells 2 2 4 10" xfId="27764" xr:uid="{00000000-0005-0000-0000-0000F76D0000}"/>
    <cellStyle name="RIGs input cells 2 2 4 11" xfId="27765" xr:uid="{00000000-0005-0000-0000-0000F86D0000}"/>
    <cellStyle name="RIGs input cells 2 2 4 12" xfId="27766" xr:uid="{00000000-0005-0000-0000-0000F96D0000}"/>
    <cellStyle name="RIGs input cells 2 2 4 13" xfId="27767" xr:uid="{00000000-0005-0000-0000-0000FA6D0000}"/>
    <cellStyle name="RIGs input cells 2 2 4 14" xfId="27768" xr:uid="{00000000-0005-0000-0000-0000FB6D0000}"/>
    <cellStyle name="RIGs input cells 2 2 4 15" xfId="27769" xr:uid="{00000000-0005-0000-0000-0000FC6D0000}"/>
    <cellStyle name="RIGs input cells 2 2 4 16" xfId="27770" xr:uid="{00000000-0005-0000-0000-0000FD6D0000}"/>
    <cellStyle name="RIGs input cells 2 2 4 17" xfId="27771" xr:uid="{00000000-0005-0000-0000-0000FE6D0000}"/>
    <cellStyle name="RIGs input cells 2 2 4 18" xfId="27772" xr:uid="{00000000-0005-0000-0000-0000FF6D0000}"/>
    <cellStyle name="RIGs input cells 2 2 4 19" xfId="27773" xr:uid="{00000000-0005-0000-0000-0000006E0000}"/>
    <cellStyle name="RIGs input cells 2 2 4 2" xfId="27774" xr:uid="{00000000-0005-0000-0000-0000016E0000}"/>
    <cellStyle name="RIGs input cells 2 2 4 2 10" xfId="27775" xr:uid="{00000000-0005-0000-0000-0000026E0000}"/>
    <cellStyle name="RIGs input cells 2 2 4 2 11" xfId="27776" xr:uid="{00000000-0005-0000-0000-0000036E0000}"/>
    <cellStyle name="RIGs input cells 2 2 4 2 12" xfId="27777" xr:uid="{00000000-0005-0000-0000-0000046E0000}"/>
    <cellStyle name="RIGs input cells 2 2 4 2 13" xfId="27778" xr:uid="{00000000-0005-0000-0000-0000056E0000}"/>
    <cellStyle name="RIGs input cells 2 2 4 2 2" xfId="27779" xr:uid="{00000000-0005-0000-0000-0000066E0000}"/>
    <cellStyle name="RIGs input cells 2 2 4 2 3" xfId="27780" xr:uid="{00000000-0005-0000-0000-0000076E0000}"/>
    <cellStyle name="RIGs input cells 2 2 4 2 4" xfId="27781" xr:uid="{00000000-0005-0000-0000-0000086E0000}"/>
    <cellStyle name="RIGs input cells 2 2 4 2 5" xfId="27782" xr:uid="{00000000-0005-0000-0000-0000096E0000}"/>
    <cellStyle name="RIGs input cells 2 2 4 2 6" xfId="27783" xr:uid="{00000000-0005-0000-0000-00000A6E0000}"/>
    <cellStyle name="RIGs input cells 2 2 4 2 7" xfId="27784" xr:uid="{00000000-0005-0000-0000-00000B6E0000}"/>
    <cellStyle name="RIGs input cells 2 2 4 2 8" xfId="27785" xr:uid="{00000000-0005-0000-0000-00000C6E0000}"/>
    <cellStyle name="RIGs input cells 2 2 4 2 9" xfId="27786" xr:uid="{00000000-0005-0000-0000-00000D6E0000}"/>
    <cellStyle name="RIGs input cells 2 2 4 20" xfId="27787" xr:uid="{00000000-0005-0000-0000-00000E6E0000}"/>
    <cellStyle name="RIGs input cells 2 2 4 21" xfId="27788" xr:uid="{00000000-0005-0000-0000-00000F6E0000}"/>
    <cellStyle name="RIGs input cells 2 2 4 22" xfId="27789" xr:uid="{00000000-0005-0000-0000-0000106E0000}"/>
    <cellStyle name="RIGs input cells 2 2 4 23" xfId="27790" xr:uid="{00000000-0005-0000-0000-0000116E0000}"/>
    <cellStyle name="RIGs input cells 2 2 4 24" xfId="27791" xr:uid="{00000000-0005-0000-0000-0000126E0000}"/>
    <cellStyle name="RIGs input cells 2 2 4 25" xfId="27792" xr:uid="{00000000-0005-0000-0000-0000136E0000}"/>
    <cellStyle name="RIGs input cells 2 2 4 26" xfId="27793" xr:uid="{00000000-0005-0000-0000-0000146E0000}"/>
    <cellStyle name="RIGs input cells 2 2 4 27" xfId="27794" xr:uid="{00000000-0005-0000-0000-0000156E0000}"/>
    <cellStyle name="RIGs input cells 2 2 4 28" xfId="27795" xr:uid="{00000000-0005-0000-0000-0000166E0000}"/>
    <cellStyle name="RIGs input cells 2 2 4 29" xfId="27796" xr:uid="{00000000-0005-0000-0000-0000176E0000}"/>
    <cellStyle name="RIGs input cells 2 2 4 3" xfId="27797" xr:uid="{00000000-0005-0000-0000-0000186E0000}"/>
    <cellStyle name="RIGs input cells 2 2 4 30" xfId="27798" xr:uid="{00000000-0005-0000-0000-0000196E0000}"/>
    <cellStyle name="RIGs input cells 2 2 4 31" xfId="27799" xr:uid="{00000000-0005-0000-0000-00001A6E0000}"/>
    <cellStyle name="RIGs input cells 2 2 4 32" xfId="27800" xr:uid="{00000000-0005-0000-0000-00001B6E0000}"/>
    <cellStyle name="RIGs input cells 2 2 4 33" xfId="27801" xr:uid="{00000000-0005-0000-0000-00001C6E0000}"/>
    <cellStyle name="RIGs input cells 2 2 4 34" xfId="27802" xr:uid="{00000000-0005-0000-0000-00001D6E0000}"/>
    <cellStyle name="RIGs input cells 2 2 4 4" xfId="27803" xr:uid="{00000000-0005-0000-0000-00001E6E0000}"/>
    <cellStyle name="RIGs input cells 2 2 4 5" xfId="27804" xr:uid="{00000000-0005-0000-0000-00001F6E0000}"/>
    <cellStyle name="RIGs input cells 2 2 4 6" xfId="27805" xr:uid="{00000000-0005-0000-0000-0000206E0000}"/>
    <cellStyle name="RIGs input cells 2 2 4 7" xfId="27806" xr:uid="{00000000-0005-0000-0000-0000216E0000}"/>
    <cellStyle name="RIGs input cells 2 2 4 8" xfId="27807" xr:uid="{00000000-0005-0000-0000-0000226E0000}"/>
    <cellStyle name="RIGs input cells 2 2 4 9" xfId="27808" xr:uid="{00000000-0005-0000-0000-0000236E0000}"/>
    <cellStyle name="RIGs input cells 2 2 5" xfId="27809" xr:uid="{00000000-0005-0000-0000-0000246E0000}"/>
    <cellStyle name="RIGs input cells 2 2 5 10" xfId="27810" xr:uid="{00000000-0005-0000-0000-0000256E0000}"/>
    <cellStyle name="RIGs input cells 2 2 5 11" xfId="27811" xr:uid="{00000000-0005-0000-0000-0000266E0000}"/>
    <cellStyle name="RIGs input cells 2 2 5 12" xfId="27812" xr:uid="{00000000-0005-0000-0000-0000276E0000}"/>
    <cellStyle name="RIGs input cells 2 2 5 13" xfId="27813" xr:uid="{00000000-0005-0000-0000-0000286E0000}"/>
    <cellStyle name="RIGs input cells 2 2 5 14" xfId="27814" xr:uid="{00000000-0005-0000-0000-0000296E0000}"/>
    <cellStyle name="RIGs input cells 2 2 5 15" xfId="27815" xr:uid="{00000000-0005-0000-0000-00002A6E0000}"/>
    <cellStyle name="RIGs input cells 2 2 5 16" xfId="27816" xr:uid="{00000000-0005-0000-0000-00002B6E0000}"/>
    <cellStyle name="RIGs input cells 2 2 5 17" xfId="27817" xr:uid="{00000000-0005-0000-0000-00002C6E0000}"/>
    <cellStyle name="RIGs input cells 2 2 5 18" xfId="27818" xr:uid="{00000000-0005-0000-0000-00002D6E0000}"/>
    <cellStyle name="RIGs input cells 2 2 5 19" xfId="27819" xr:uid="{00000000-0005-0000-0000-00002E6E0000}"/>
    <cellStyle name="RIGs input cells 2 2 5 2" xfId="27820" xr:uid="{00000000-0005-0000-0000-00002F6E0000}"/>
    <cellStyle name="RIGs input cells 2 2 5 2 10" xfId="27821" xr:uid="{00000000-0005-0000-0000-0000306E0000}"/>
    <cellStyle name="RIGs input cells 2 2 5 2 11" xfId="27822" xr:uid="{00000000-0005-0000-0000-0000316E0000}"/>
    <cellStyle name="RIGs input cells 2 2 5 2 12" xfId="27823" xr:uid="{00000000-0005-0000-0000-0000326E0000}"/>
    <cellStyle name="RIGs input cells 2 2 5 2 13" xfId="27824" xr:uid="{00000000-0005-0000-0000-0000336E0000}"/>
    <cellStyle name="RIGs input cells 2 2 5 2 2" xfId="27825" xr:uid="{00000000-0005-0000-0000-0000346E0000}"/>
    <cellStyle name="RIGs input cells 2 2 5 2 3" xfId="27826" xr:uid="{00000000-0005-0000-0000-0000356E0000}"/>
    <cellStyle name="RIGs input cells 2 2 5 2 4" xfId="27827" xr:uid="{00000000-0005-0000-0000-0000366E0000}"/>
    <cellStyle name="RIGs input cells 2 2 5 2 5" xfId="27828" xr:uid="{00000000-0005-0000-0000-0000376E0000}"/>
    <cellStyle name="RIGs input cells 2 2 5 2 6" xfId="27829" xr:uid="{00000000-0005-0000-0000-0000386E0000}"/>
    <cellStyle name="RIGs input cells 2 2 5 2 7" xfId="27830" xr:uid="{00000000-0005-0000-0000-0000396E0000}"/>
    <cellStyle name="RIGs input cells 2 2 5 2 8" xfId="27831" xr:uid="{00000000-0005-0000-0000-00003A6E0000}"/>
    <cellStyle name="RIGs input cells 2 2 5 2 9" xfId="27832" xr:uid="{00000000-0005-0000-0000-00003B6E0000}"/>
    <cellStyle name="RIGs input cells 2 2 5 20" xfId="27833" xr:uid="{00000000-0005-0000-0000-00003C6E0000}"/>
    <cellStyle name="RIGs input cells 2 2 5 21" xfId="27834" xr:uid="{00000000-0005-0000-0000-00003D6E0000}"/>
    <cellStyle name="RIGs input cells 2 2 5 22" xfId="27835" xr:uid="{00000000-0005-0000-0000-00003E6E0000}"/>
    <cellStyle name="RIGs input cells 2 2 5 23" xfId="27836" xr:uid="{00000000-0005-0000-0000-00003F6E0000}"/>
    <cellStyle name="RIGs input cells 2 2 5 24" xfId="27837" xr:uid="{00000000-0005-0000-0000-0000406E0000}"/>
    <cellStyle name="RIGs input cells 2 2 5 25" xfId="27838" xr:uid="{00000000-0005-0000-0000-0000416E0000}"/>
    <cellStyle name="RIGs input cells 2 2 5 26" xfId="27839" xr:uid="{00000000-0005-0000-0000-0000426E0000}"/>
    <cellStyle name="RIGs input cells 2 2 5 27" xfId="27840" xr:uid="{00000000-0005-0000-0000-0000436E0000}"/>
    <cellStyle name="RIGs input cells 2 2 5 28" xfId="27841" xr:uid="{00000000-0005-0000-0000-0000446E0000}"/>
    <cellStyle name="RIGs input cells 2 2 5 29" xfId="27842" xr:uid="{00000000-0005-0000-0000-0000456E0000}"/>
    <cellStyle name="RIGs input cells 2 2 5 3" xfId="27843" xr:uid="{00000000-0005-0000-0000-0000466E0000}"/>
    <cellStyle name="RIGs input cells 2 2 5 30" xfId="27844" xr:uid="{00000000-0005-0000-0000-0000476E0000}"/>
    <cellStyle name="RIGs input cells 2 2 5 31" xfId="27845" xr:uid="{00000000-0005-0000-0000-0000486E0000}"/>
    <cellStyle name="RIGs input cells 2 2 5 32" xfId="27846" xr:uid="{00000000-0005-0000-0000-0000496E0000}"/>
    <cellStyle name="RIGs input cells 2 2 5 33" xfId="27847" xr:uid="{00000000-0005-0000-0000-00004A6E0000}"/>
    <cellStyle name="RIGs input cells 2 2 5 34" xfId="27848" xr:uid="{00000000-0005-0000-0000-00004B6E0000}"/>
    <cellStyle name="RIGs input cells 2 2 5 4" xfId="27849" xr:uid="{00000000-0005-0000-0000-00004C6E0000}"/>
    <cellStyle name="RIGs input cells 2 2 5 5" xfId="27850" xr:uid="{00000000-0005-0000-0000-00004D6E0000}"/>
    <cellStyle name="RIGs input cells 2 2 5 6" xfId="27851" xr:uid="{00000000-0005-0000-0000-00004E6E0000}"/>
    <cellStyle name="RIGs input cells 2 2 5 7" xfId="27852" xr:uid="{00000000-0005-0000-0000-00004F6E0000}"/>
    <cellStyle name="RIGs input cells 2 2 5 8" xfId="27853" xr:uid="{00000000-0005-0000-0000-0000506E0000}"/>
    <cellStyle name="RIGs input cells 2 2 5 9" xfId="27854" xr:uid="{00000000-0005-0000-0000-0000516E0000}"/>
    <cellStyle name="RIGs input cells 2 2 6" xfId="27855" xr:uid="{00000000-0005-0000-0000-0000526E0000}"/>
    <cellStyle name="RIGs input cells 2 2 6 10" xfId="27856" xr:uid="{00000000-0005-0000-0000-0000536E0000}"/>
    <cellStyle name="RIGs input cells 2 2 6 11" xfId="27857" xr:uid="{00000000-0005-0000-0000-0000546E0000}"/>
    <cellStyle name="RIGs input cells 2 2 6 12" xfId="27858" xr:uid="{00000000-0005-0000-0000-0000556E0000}"/>
    <cellStyle name="RIGs input cells 2 2 6 13" xfId="27859" xr:uid="{00000000-0005-0000-0000-0000566E0000}"/>
    <cellStyle name="RIGs input cells 2 2 6 2" xfId="27860" xr:uid="{00000000-0005-0000-0000-0000576E0000}"/>
    <cellStyle name="RIGs input cells 2 2 6 3" xfId="27861" xr:uid="{00000000-0005-0000-0000-0000586E0000}"/>
    <cellStyle name="RIGs input cells 2 2 6 4" xfId="27862" xr:uid="{00000000-0005-0000-0000-0000596E0000}"/>
    <cellStyle name="RIGs input cells 2 2 6 5" xfId="27863" xr:uid="{00000000-0005-0000-0000-00005A6E0000}"/>
    <cellStyle name="RIGs input cells 2 2 6 6" xfId="27864" xr:uid="{00000000-0005-0000-0000-00005B6E0000}"/>
    <cellStyle name="RIGs input cells 2 2 6 7" xfId="27865" xr:uid="{00000000-0005-0000-0000-00005C6E0000}"/>
    <cellStyle name="RIGs input cells 2 2 6 8" xfId="27866" xr:uid="{00000000-0005-0000-0000-00005D6E0000}"/>
    <cellStyle name="RIGs input cells 2 2 6 9" xfId="27867" xr:uid="{00000000-0005-0000-0000-00005E6E0000}"/>
    <cellStyle name="RIGs input cells 2 2 7" xfId="27868" xr:uid="{00000000-0005-0000-0000-00005F6E0000}"/>
    <cellStyle name="RIGs input cells 2 2 8" xfId="27869" xr:uid="{00000000-0005-0000-0000-0000606E0000}"/>
    <cellStyle name="RIGs input cells 2 2 9" xfId="27870" xr:uid="{00000000-0005-0000-0000-0000616E0000}"/>
    <cellStyle name="RIGs input cells 2 2_1.3s Accounting C Costs Scots" xfId="27871" xr:uid="{00000000-0005-0000-0000-0000626E0000}"/>
    <cellStyle name="RIGs input cells 2 20" xfId="27872" xr:uid="{00000000-0005-0000-0000-0000636E0000}"/>
    <cellStyle name="RIGs input cells 2 21" xfId="27873" xr:uid="{00000000-0005-0000-0000-0000646E0000}"/>
    <cellStyle name="RIGs input cells 2 22" xfId="27874" xr:uid="{00000000-0005-0000-0000-0000656E0000}"/>
    <cellStyle name="RIGs input cells 2 23" xfId="27875" xr:uid="{00000000-0005-0000-0000-0000666E0000}"/>
    <cellStyle name="RIGs input cells 2 24" xfId="27876" xr:uid="{00000000-0005-0000-0000-0000676E0000}"/>
    <cellStyle name="RIGs input cells 2 25" xfId="27877" xr:uid="{00000000-0005-0000-0000-0000686E0000}"/>
    <cellStyle name="RIGs input cells 2 26" xfId="27878" xr:uid="{00000000-0005-0000-0000-0000696E0000}"/>
    <cellStyle name="RIGs input cells 2 27" xfId="27879" xr:uid="{00000000-0005-0000-0000-00006A6E0000}"/>
    <cellStyle name="RIGs input cells 2 28" xfId="27880" xr:uid="{00000000-0005-0000-0000-00006B6E0000}"/>
    <cellStyle name="RIGs input cells 2 29" xfId="27881" xr:uid="{00000000-0005-0000-0000-00006C6E0000}"/>
    <cellStyle name="RIGs input cells 2 3" xfId="27882" xr:uid="{00000000-0005-0000-0000-00006D6E0000}"/>
    <cellStyle name="RIGs input cells 2 3 10" xfId="27883" xr:uid="{00000000-0005-0000-0000-00006E6E0000}"/>
    <cellStyle name="RIGs input cells 2 3 11" xfId="27884" xr:uid="{00000000-0005-0000-0000-00006F6E0000}"/>
    <cellStyle name="RIGs input cells 2 3 12" xfId="27885" xr:uid="{00000000-0005-0000-0000-0000706E0000}"/>
    <cellStyle name="RIGs input cells 2 3 13" xfId="27886" xr:uid="{00000000-0005-0000-0000-0000716E0000}"/>
    <cellStyle name="RIGs input cells 2 3 14" xfId="27887" xr:uid="{00000000-0005-0000-0000-0000726E0000}"/>
    <cellStyle name="RIGs input cells 2 3 15" xfId="27888" xr:uid="{00000000-0005-0000-0000-0000736E0000}"/>
    <cellStyle name="RIGs input cells 2 3 16" xfId="27889" xr:uid="{00000000-0005-0000-0000-0000746E0000}"/>
    <cellStyle name="RIGs input cells 2 3 17" xfId="27890" xr:uid="{00000000-0005-0000-0000-0000756E0000}"/>
    <cellStyle name="RIGs input cells 2 3 18" xfId="27891" xr:uid="{00000000-0005-0000-0000-0000766E0000}"/>
    <cellStyle name="RIGs input cells 2 3 19" xfId="27892" xr:uid="{00000000-0005-0000-0000-0000776E0000}"/>
    <cellStyle name="RIGs input cells 2 3 2" xfId="27893" xr:uid="{00000000-0005-0000-0000-0000786E0000}"/>
    <cellStyle name="RIGs input cells 2 3 2 10" xfId="27894" xr:uid="{00000000-0005-0000-0000-0000796E0000}"/>
    <cellStyle name="RIGs input cells 2 3 2 11" xfId="27895" xr:uid="{00000000-0005-0000-0000-00007A6E0000}"/>
    <cellStyle name="RIGs input cells 2 3 2 12" xfId="27896" xr:uid="{00000000-0005-0000-0000-00007B6E0000}"/>
    <cellStyle name="RIGs input cells 2 3 2 13" xfId="27897" xr:uid="{00000000-0005-0000-0000-00007C6E0000}"/>
    <cellStyle name="RIGs input cells 2 3 2 14" xfId="27898" xr:uid="{00000000-0005-0000-0000-00007D6E0000}"/>
    <cellStyle name="RIGs input cells 2 3 2 15" xfId="27899" xr:uid="{00000000-0005-0000-0000-00007E6E0000}"/>
    <cellStyle name="RIGs input cells 2 3 2 16" xfId="27900" xr:uid="{00000000-0005-0000-0000-00007F6E0000}"/>
    <cellStyle name="RIGs input cells 2 3 2 17" xfId="27901" xr:uid="{00000000-0005-0000-0000-0000806E0000}"/>
    <cellStyle name="RIGs input cells 2 3 2 18" xfId="27902" xr:uid="{00000000-0005-0000-0000-0000816E0000}"/>
    <cellStyle name="RIGs input cells 2 3 2 19" xfId="27903" xr:uid="{00000000-0005-0000-0000-0000826E0000}"/>
    <cellStyle name="RIGs input cells 2 3 2 2" xfId="27904" xr:uid="{00000000-0005-0000-0000-0000836E0000}"/>
    <cellStyle name="RIGs input cells 2 3 2 2 10" xfId="27905" xr:uid="{00000000-0005-0000-0000-0000846E0000}"/>
    <cellStyle name="RIGs input cells 2 3 2 2 11" xfId="27906" xr:uid="{00000000-0005-0000-0000-0000856E0000}"/>
    <cellStyle name="RIGs input cells 2 3 2 2 12" xfId="27907" xr:uid="{00000000-0005-0000-0000-0000866E0000}"/>
    <cellStyle name="RIGs input cells 2 3 2 2 13" xfId="27908" xr:uid="{00000000-0005-0000-0000-0000876E0000}"/>
    <cellStyle name="RIGs input cells 2 3 2 2 14" xfId="27909" xr:uid="{00000000-0005-0000-0000-0000886E0000}"/>
    <cellStyle name="RIGs input cells 2 3 2 2 15" xfId="27910" xr:uid="{00000000-0005-0000-0000-0000896E0000}"/>
    <cellStyle name="RIGs input cells 2 3 2 2 16" xfId="27911" xr:uid="{00000000-0005-0000-0000-00008A6E0000}"/>
    <cellStyle name="RIGs input cells 2 3 2 2 17" xfId="27912" xr:uid="{00000000-0005-0000-0000-00008B6E0000}"/>
    <cellStyle name="RIGs input cells 2 3 2 2 18" xfId="27913" xr:uid="{00000000-0005-0000-0000-00008C6E0000}"/>
    <cellStyle name="RIGs input cells 2 3 2 2 19" xfId="27914" xr:uid="{00000000-0005-0000-0000-00008D6E0000}"/>
    <cellStyle name="RIGs input cells 2 3 2 2 2" xfId="27915" xr:uid="{00000000-0005-0000-0000-00008E6E0000}"/>
    <cellStyle name="RIGs input cells 2 3 2 2 2 10" xfId="27916" xr:uid="{00000000-0005-0000-0000-00008F6E0000}"/>
    <cellStyle name="RIGs input cells 2 3 2 2 2 11" xfId="27917" xr:uid="{00000000-0005-0000-0000-0000906E0000}"/>
    <cellStyle name="RIGs input cells 2 3 2 2 2 12" xfId="27918" xr:uid="{00000000-0005-0000-0000-0000916E0000}"/>
    <cellStyle name="RIGs input cells 2 3 2 2 2 13" xfId="27919" xr:uid="{00000000-0005-0000-0000-0000926E0000}"/>
    <cellStyle name="RIGs input cells 2 3 2 2 2 2" xfId="27920" xr:uid="{00000000-0005-0000-0000-0000936E0000}"/>
    <cellStyle name="RIGs input cells 2 3 2 2 2 3" xfId="27921" xr:uid="{00000000-0005-0000-0000-0000946E0000}"/>
    <cellStyle name="RIGs input cells 2 3 2 2 2 4" xfId="27922" xr:uid="{00000000-0005-0000-0000-0000956E0000}"/>
    <cellStyle name="RIGs input cells 2 3 2 2 2 5" xfId="27923" xr:uid="{00000000-0005-0000-0000-0000966E0000}"/>
    <cellStyle name="RIGs input cells 2 3 2 2 2 6" xfId="27924" xr:uid="{00000000-0005-0000-0000-0000976E0000}"/>
    <cellStyle name="RIGs input cells 2 3 2 2 2 7" xfId="27925" xr:uid="{00000000-0005-0000-0000-0000986E0000}"/>
    <cellStyle name="RIGs input cells 2 3 2 2 2 8" xfId="27926" xr:uid="{00000000-0005-0000-0000-0000996E0000}"/>
    <cellStyle name="RIGs input cells 2 3 2 2 2 9" xfId="27927" xr:uid="{00000000-0005-0000-0000-00009A6E0000}"/>
    <cellStyle name="RIGs input cells 2 3 2 2 20" xfId="27928" xr:uid="{00000000-0005-0000-0000-00009B6E0000}"/>
    <cellStyle name="RIGs input cells 2 3 2 2 21" xfId="27929" xr:uid="{00000000-0005-0000-0000-00009C6E0000}"/>
    <cellStyle name="RIGs input cells 2 3 2 2 22" xfId="27930" xr:uid="{00000000-0005-0000-0000-00009D6E0000}"/>
    <cellStyle name="RIGs input cells 2 3 2 2 23" xfId="27931" xr:uid="{00000000-0005-0000-0000-00009E6E0000}"/>
    <cellStyle name="RIGs input cells 2 3 2 2 24" xfId="27932" xr:uid="{00000000-0005-0000-0000-00009F6E0000}"/>
    <cellStyle name="RIGs input cells 2 3 2 2 25" xfId="27933" xr:uid="{00000000-0005-0000-0000-0000A06E0000}"/>
    <cellStyle name="RIGs input cells 2 3 2 2 26" xfId="27934" xr:uid="{00000000-0005-0000-0000-0000A16E0000}"/>
    <cellStyle name="RIGs input cells 2 3 2 2 27" xfId="27935" xr:uid="{00000000-0005-0000-0000-0000A26E0000}"/>
    <cellStyle name="RIGs input cells 2 3 2 2 28" xfId="27936" xr:uid="{00000000-0005-0000-0000-0000A36E0000}"/>
    <cellStyle name="RIGs input cells 2 3 2 2 29" xfId="27937" xr:uid="{00000000-0005-0000-0000-0000A46E0000}"/>
    <cellStyle name="RIGs input cells 2 3 2 2 3" xfId="27938" xr:uid="{00000000-0005-0000-0000-0000A56E0000}"/>
    <cellStyle name="RIGs input cells 2 3 2 2 30" xfId="27939" xr:uid="{00000000-0005-0000-0000-0000A66E0000}"/>
    <cellStyle name="RIGs input cells 2 3 2 2 31" xfId="27940" xr:uid="{00000000-0005-0000-0000-0000A76E0000}"/>
    <cellStyle name="RIGs input cells 2 3 2 2 32" xfId="27941" xr:uid="{00000000-0005-0000-0000-0000A86E0000}"/>
    <cellStyle name="RIGs input cells 2 3 2 2 33" xfId="27942" xr:uid="{00000000-0005-0000-0000-0000A96E0000}"/>
    <cellStyle name="RIGs input cells 2 3 2 2 34" xfId="27943" xr:uid="{00000000-0005-0000-0000-0000AA6E0000}"/>
    <cellStyle name="RIGs input cells 2 3 2 2 4" xfId="27944" xr:uid="{00000000-0005-0000-0000-0000AB6E0000}"/>
    <cellStyle name="RIGs input cells 2 3 2 2 5" xfId="27945" xr:uid="{00000000-0005-0000-0000-0000AC6E0000}"/>
    <cellStyle name="RIGs input cells 2 3 2 2 6" xfId="27946" xr:uid="{00000000-0005-0000-0000-0000AD6E0000}"/>
    <cellStyle name="RIGs input cells 2 3 2 2 7" xfId="27947" xr:uid="{00000000-0005-0000-0000-0000AE6E0000}"/>
    <cellStyle name="RIGs input cells 2 3 2 2 8" xfId="27948" xr:uid="{00000000-0005-0000-0000-0000AF6E0000}"/>
    <cellStyle name="RIGs input cells 2 3 2 2 9" xfId="27949" xr:uid="{00000000-0005-0000-0000-0000B06E0000}"/>
    <cellStyle name="RIGs input cells 2 3 2 20" xfId="27950" xr:uid="{00000000-0005-0000-0000-0000B16E0000}"/>
    <cellStyle name="RIGs input cells 2 3 2 21" xfId="27951" xr:uid="{00000000-0005-0000-0000-0000B26E0000}"/>
    <cellStyle name="RIGs input cells 2 3 2 22" xfId="27952" xr:uid="{00000000-0005-0000-0000-0000B36E0000}"/>
    <cellStyle name="RIGs input cells 2 3 2 23" xfId="27953" xr:uid="{00000000-0005-0000-0000-0000B46E0000}"/>
    <cellStyle name="RIGs input cells 2 3 2 24" xfId="27954" xr:uid="{00000000-0005-0000-0000-0000B56E0000}"/>
    <cellStyle name="RIGs input cells 2 3 2 25" xfId="27955" xr:uid="{00000000-0005-0000-0000-0000B66E0000}"/>
    <cellStyle name="RIGs input cells 2 3 2 26" xfId="27956" xr:uid="{00000000-0005-0000-0000-0000B76E0000}"/>
    <cellStyle name="RIGs input cells 2 3 2 27" xfId="27957" xr:uid="{00000000-0005-0000-0000-0000B86E0000}"/>
    <cellStyle name="RIGs input cells 2 3 2 28" xfId="27958" xr:uid="{00000000-0005-0000-0000-0000B96E0000}"/>
    <cellStyle name="RIGs input cells 2 3 2 29" xfId="27959" xr:uid="{00000000-0005-0000-0000-0000BA6E0000}"/>
    <cellStyle name="RIGs input cells 2 3 2 3" xfId="27960" xr:uid="{00000000-0005-0000-0000-0000BB6E0000}"/>
    <cellStyle name="RIGs input cells 2 3 2 3 10" xfId="27961" xr:uid="{00000000-0005-0000-0000-0000BC6E0000}"/>
    <cellStyle name="RIGs input cells 2 3 2 3 11" xfId="27962" xr:uid="{00000000-0005-0000-0000-0000BD6E0000}"/>
    <cellStyle name="RIGs input cells 2 3 2 3 12" xfId="27963" xr:uid="{00000000-0005-0000-0000-0000BE6E0000}"/>
    <cellStyle name="RIGs input cells 2 3 2 3 13" xfId="27964" xr:uid="{00000000-0005-0000-0000-0000BF6E0000}"/>
    <cellStyle name="RIGs input cells 2 3 2 3 2" xfId="27965" xr:uid="{00000000-0005-0000-0000-0000C06E0000}"/>
    <cellStyle name="RIGs input cells 2 3 2 3 3" xfId="27966" xr:uid="{00000000-0005-0000-0000-0000C16E0000}"/>
    <cellStyle name="RIGs input cells 2 3 2 3 4" xfId="27967" xr:uid="{00000000-0005-0000-0000-0000C26E0000}"/>
    <cellStyle name="RIGs input cells 2 3 2 3 5" xfId="27968" xr:uid="{00000000-0005-0000-0000-0000C36E0000}"/>
    <cellStyle name="RIGs input cells 2 3 2 3 6" xfId="27969" xr:uid="{00000000-0005-0000-0000-0000C46E0000}"/>
    <cellStyle name="RIGs input cells 2 3 2 3 7" xfId="27970" xr:uid="{00000000-0005-0000-0000-0000C56E0000}"/>
    <cellStyle name="RIGs input cells 2 3 2 3 8" xfId="27971" xr:uid="{00000000-0005-0000-0000-0000C66E0000}"/>
    <cellStyle name="RIGs input cells 2 3 2 3 9" xfId="27972" xr:uid="{00000000-0005-0000-0000-0000C76E0000}"/>
    <cellStyle name="RIGs input cells 2 3 2 30" xfId="27973" xr:uid="{00000000-0005-0000-0000-0000C86E0000}"/>
    <cellStyle name="RIGs input cells 2 3 2 31" xfId="27974" xr:uid="{00000000-0005-0000-0000-0000C96E0000}"/>
    <cellStyle name="RIGs input cells 2 3 2 32" xfId="27975" xr:uid="{00000000-0005-0000-0000-0000CA6E0000}"/>
    <cellStyle name="RIGs input cells 2 3 2 33" xfId="27976" xr:uid="{00000000-0005-0000-0000-0000CB6E0000}"/>
    <cellStyle name="RIGs input cells 2 3 2 34" xfId="27977" xr:uid="{00000000-0005-0000-0000-0000CC6E0000}"/>
    <cellStyle name="RIGs input cells 2 3 2 35" xfId="27978" xr:uid="{00000000-0005-0000-0000-0000CD6E0000}"/>
    <cellStyle name="RIGs input cells 2 3 2 4" xfId="27979" xr:uid="{00000000-0005-0000-0000-0000CE6E0000}"/>
    <cellStyle name="RIGs input cells 2 3 2 5" xfId="27980" xr:uid="{00000000-0005-0000-0000-0000CF6E0000}"/>
    <cellStyle name="RIGs input cells 2 3 2 6" xfId="27981" xr:uid="{00000000-0005-0000-0000-0000D06E0000}"/>
    <cellStyle name="RIGs input cells 2 3 2 7" xfId="27982" xr:uid="{00000000-0005-0000-0000-0000D16E0000}"/>
    <cellStyle name="RIGs input cells 2 3 2 8" xfId="27983" xr:uid="{00000000-0005-0000-0000-0000D26E0000}"/>
    <cellStyle name="RIGs input cells 2 3 2 9" xfId="27984" xr:uid="{00000000-0005-0000-0000-0000D36E0000}"/>
    <cellStyle name="RIGs input cells 2 3 2_4 28 1_Asst_Health_Crit_AllTO_RIIO_20110714pm" xfId="27985" xr:uid="{00000000-0005-0000-0000-0000D46E0000}"/>
    <cellStyle name="RIGs input cells 2 3 20" xfId="27986" xr:uid="{00000000-0005-0000-0000-0000D56E0000}"/>
    <cellStyle name="RIGs input cells 2 3 21" xfId="27987" xr:uid="{00000000-0005-0000-0000-0000D66E0000}"/>
    <cellStyle name="RIGs input cells 2 3 22" xfId="27988" xr:uid="{00000000-0005-0000-0000-0000D76E0000}"/>
    <cellStyle name="RIGs input cells 2 3 23" xfId="27989" xr:uid="{00000000-0005-0000-0000-0000D86E0000}"/>
    <cellStyle name="RIGs input cells 2 3 24" xfId="27990" xr:uid="{00000000-0005-0000-0000-0000D96E0000}"/>
    <cellStyle name="RIGs input cells 2 3 25" xfId="27991" xr:uid="{00000000-0005-0000-0000-0000DA6E0000}"/>
    <cellStyle name="RIGs input cells 2 3 26" xfId="27992" xr:uid="{00000000-0005-0000-0000-0000DB6E0000}"/>
    <cellStyle name="RIGs input cells 2 3 27" xfId="27993" xr:uid="{00000000-0005-0000-0000-0000DC6E0000}"/>
    <cellStyle name="RIGs input cells 2 3 28" xfId="27994" xr:uid="{00000000-0005-0000-0000-0000DD6E0000}"/>
    <cellStyle name="RIGs input cells 2 3 29" xfId="27995" xr:uid="{00000000-0005-0000-0000-0000DE6E0000}"/>
    <cellStyle name="RIGs input cells 2 3 3" xfId="27996" xr:uid="{00000000-0005-0000-0000-0000DF6E0000}"/>
    <cellStyle name="RIGs input cells 2 3 3 10" xfId="27997" xr:uid="{00000000-0005-0000-0000-0000E06E0000}"/>
    <cellStyle name="RIGs input cells 2 3 3 11" xfId="27998" xr:uid="{00000000-0005-0000-0000-0000E16E0000}"/>
    <cellStyle name="RIGs input cells 2 3 3 12" xfId="27999" xr:uid="{00000000-0005-0000-0000-0000E26E0000}"/>
    <cellStyle name="RIGs input cells 2 3 3 13" xfId="28000" xr:uid="{00000000-0005-0000-0000-0000E36E0000}"/>
    <cellStyle name="RIGs input cells 2 3 3 14" xfId="28001" xr:uid="{00000000-0005-0000-0000-0000E46E0000}"/>
    <cellStyle name="RIGs input cells 2 3 3 15" xfId="28002" xr:uid="{00000000-0005-0000-0000-0000E56E0000}"/>
    <cellStyle name="RIGs input cells 2 3 3 16" xfId="28003" xr:uid="{00000000-0005-0000-0000-0000E66E0000}"/>
    <cellStyle name="RIGs input cells 2 3 3 17" xfId="28004" xr:uid="{00000000-0005-0000-0000-0000E76E0000}"/>
    <cellStyle name="RIGs input cells 2 3 3 18" xfId="28005" xr:uid="{00000000-0005-0000-0000-0000E86E0000}"/>
    <cellStyle name="RIGs input cells 2 3 3 19" xfId="28006" xr:uid="{00000000-0005-0000-0000-0000E96E0000}"/>
    <cellStyle name="RIGs input cells 2 3 3 2" xfId="28007" xr:uid="{00000000-0005-0000-0000-0000EA6E0000}"/>
    <cellStyle name="RIGs input cells 2 3 3 2 10" xfId="28008" xr:uid="{00000000-0005-0000-0000-0000EB6E0000}"/>
    <cellStyle name="RIGs input cells 2 3 3 2 11" xfId="28009" xr:uid="{00000000-0005-0000-0000-0000EC6E0000}"/>
    <cellStyle name="RIGs input cells 2 3 3 2 12" xfId="28010" xr:uid="{00000000-0005-0000-0000-0000ED6E0000}"/>
    <cellStyle name="RIGs input cells 2 3 3 2 13" xfId="28011" xr:uid="{00000000-0005-0000-0000-0000EE6E0000}"/>
    <cellStyle name="RIGs input cells 2 3 3 2 2" xfId="28012" xr:uid="{00000000-0005-0000-0000-0000EF6E0000}"/>
    <cellStyle name="RIGs input cells 2 3 3 2 3" xfId="28013" xr:uid="{00000000-0005-0000-0000-0000F06E0000}"/>
    <cellStyle name="RIGs input cells 2 3 3 2 4" xfId="28014" xr:uid="{00000000-0005-0000-0000-0000F16E0000}"/>
    <cellStyle name="RIGs input cells 2 3 3 2 5" xfId="28015" xr:uid="{00000000-0005-0000-0000-0000F26E0000}"/>
    <cellStyle name="RIGs input cells 2 3 3 2 6" xfId="28016" xr:uid="{00000000-0005-0000-0000-0000F36E0000}"/>
    <cellStyle name="RIGs input cells 2 3 3 2 7" xfId="28017" xr:uid="{00000000-0005-0000-0000-0000F46E0000}"/>
    <cellStyle name="RIGs input cells 2 3 3 2 8" xfId="28018" xr:uid="{00000000-0005-0000-0000-0000F56E0000}"/>
    <cellStyle name="RIGs input cells 2 3 3 2 9" xfId="28019" xr:uid="{00000000-0005-0000-0000-0000F66E0000}"/>
    <cellStyle name="RIGs input cells 2 3 3 20" xfId="28020" xr:uid="{00000000-0005-0000-0000-0000F76E0000}"/>
    <cellStyle name="RIGs input cells 2 3 3 21" xfId="28021" xr:uid="{00000000-0005-0000-0000-0000F86E0000}"/>
    <cellStyle name="RIGs input cells 2 3 3 22" xfId="28022" xr:uid="{00000000-0005-0000-0000-0000F96E0000}"/>
    <cellStyle name="RIGs input cells 2 3 3 23" xfId="28023" xr:uid="{00000000-0005-0000-0000-0000FA6E0000}"/>
    <cellStyle name="RIGs input cells 2 3 3 24" xfId="28024" xr:uid="{00000000-0005-0000-0000-0000FB6E0000}"/>
    <cellStyle name="RIGs input cells 2 3 3 25" xfId="28025" xr:uid="{00000000-0005-0000-0000-0000FC6E0000}"/>
    <cellStyle name="RIGs input cells 2 3 3 26" xfId="28026" xr:uid="{00000000-0005-0000-0000-0000FD6E0000}"/>
    <cellStyle name="RIGs input cells 2 3 3 27" xfId="28027" xr:uid="{00000000-0005-0000-0000-0000FE6E0000}"/>
    <cellStyle name="RIGs input cells 2 3 3 28" xfId="28028" xr:uid="{00000000-0005-0000-0000-0000FF6E0000}"/>
    <cellStyle name="RIGs input cells 2 3 3 29" xfId="28029" xr:uid="{00000000-0005-0000-0000-0000006F0000}"/>
    <cellStyle name="RIGs input cells 2 3 3 3" xfId="28030" xr:uid="{00000000-0005-0000-0000-0000016F0000}"/>
    <cellStyle name="RIGs input cells 2 3 3 30" xfId="28031" xr:uid="{00000000-0005-0000-0000-0000026F0000}"/>
    <cellStyle name="RIGs input cells 2 3 3 31" xfId="28032" xr:uid="{00000000-0005-0000-0000-0000036F0000}"/>
    <cellStyle name="RIGs input cells 2 3 3 32" xfId="28033" xr:uid="{00000000-0005-0000-0000-0000046F0000}"/>
    <cellStyle name="RIGs input cells 2 3 3 33" xfId="28034" xr:uid="{00000000-0005-0000-0000-0000056F0000}"/>
    <cellStyle name="RIGs input cells 2 3 3 34" xfId="28035" xr:uid="{00000000-0005-0000-0000-0000066F0000}"/>
    <cellStyle name="RIGs input cells 2 3 3 4" xfId="28036" xr:uid="{00000000-0005-0000-0000-0000076F0000}"/>
    <cellStyle name="RIGs input cells 2 3 3 5" xfId="28037" xr:uid="{00000000-0005-0000-0000-0000086F0000}"/>
    <cellStyle name="RIGs input cells 2 3 3 6" xfId="28038" xr:uid="{00000000-0005-0000-0000-0000096F0000}"/>
    <cellStyle name="RIGs input cells 2 3 3 7" xfId="28039" xr:uid="{00000000-0005-0000-0000-00000A6F0000}"/>
    <cellStyle name="RIGs input cells 2 3 3 8" xfId="28040" xr:uid="{00000000-0005-0000-0000-00000B6F0000}"/>
    <cellStyle name="RIGs input cells 2 3 3 9" xfId="28041" xr:uid="{00000000-0005-0000-0000-00000C6F0000}"/>
    <cellStyle name="RIGs input cells 2 3 30" xfId="28042" xr:uid="{00000000-0005-0000-0000-00000D6F0000}"/>
    <cellStyle name="RIGs input cells 2 3 31" xfId="28043" xr:uid="{00000000-0005-0000-0000-00000E6F0000}"/>
    <cellStyle name="RIGs input cells 2 3 32" xfId="28044" xr:uid="{00000000-0005-0000-0000-00000F6F0000}"/>
    <cellStyle name="RIGs input cells 2 3 33" xfId="28045" xr:uid="{00000000-0005-0000-0000-0000106F0000}"/>
    <cellStyle name="RIGs input cells 2 3 34" xfId="28046" xr:uid="{00000000-0005-0000-0000-0000116F0000}"/>
    <cellStyle name="RIGs input cells 2 3 35" xfId="28047" xr:uid="{00000000-0005-0000-0000-0000126F0000}"/>
    <cellStyle name="RIGs input cells 2 3 36" xfId="28048" xr:uid="{00000000-0005-0000-0000-0000136F0000}"/>
    <cellStyle name="RIGs input cells 2 3 37" xfId="28049" xr:uid="{00000000-0005-0000-0000-0000146F0000}"/>
    <cellStyle name="RIGs input cells 2 3 38" xfId="28050" xr:uid="{00000000-0005-0000-0000-0000156F0000}"/>
    <cellStyle name="RIGs input cells 2 3 4" xfId="28051" xr:uid="{00000000-0005-0000-0000-0000166F0000}"/>
    <cellStyle name="RIGs input cells 2 3 4 10" xfId="28052" xr:uid="{00000000-0005-0000-0000-0000176F0000}"/>
    <cellStyle name="RIGs input cells 2 3 4 11" xfId="28053" xr:uid="{00000000-0005-0000-0000-0000186F0000}"/>
    <cellStyle name="RIGs input cells 2 3 4 12" xfId="28054" xr:uid="{00000000-0005-0000-0000-0000196F0000}"/>
    <cellStyle name="RIGs input cells 2 3 4 13" xfId="28055" xr:uid="{00000000-0005-0000-0000-00001A6F0000}"/>
    <cellStyle name="RIGs input cells 2 3 4 14" xfId="28056" xr:uid="{00000000-0005-0000-0000-00001B6F0000}"/>
    <cellStyle name="RIGs input cells 2 3 4 15" xfId="28057" xr:uid="{00000000-0005-0000-0000-00001C6F0000}"/>
    <cellStyle name="RIGs input cells 2 3 4 16" xfId="28058" xr:uid="{00000000-0005-0000-0000-00001D6F0000}"/>
    <cellStyle name="RIGs input cells 2 3 4 17" xfId="28059" xr:uid="{00000000-0005-0000-0000-00001E6F0000}"/>
    <cellStyle name="RIGs input cells 2 3 4 18" xfId="28060" xr:uid="{00000000-0005-0000-0000-00001F6F0000}"/>
    <cellStyle name="RIGs input cells 2 3 4 19" xfId="28061" xr:uid="{00000000-0005-0000-0000-0000206F0000}"/>
    <cellStyle name="RIGs input cells 2 3 4 2" xfId="28062" xr:uid="{00000000-0005-0000-0000-0000216F0000}"/>
    <cellStyle name="RIGs input cells 2 3 4 2 10" xfId="28063" xr:uid="{00000000-0005-0000-0000-0000226F0000}"/>
    <cellStyle name="RIGs input cells 2 3 4 2 11" xfId="28064" xr:uid="{00000000-0005-0000-0000-0000236F0000}"/>
    <cellStyle name="RIGs input cells 2 3 4 2 12" xfId="28065" xr:uid="{00000000-0005-0000-0000-0000246F0000}"/>
    <cellStyle name="RIGs input cells 2 3 4 2 13" xfId="28066" xr:uid="{00000000-0005-0000-0000-0000256F0000}"/>
    <cellStyle name="RIGs input cells 2 3 4 2 2" xfId="28067" xr:uid="{00000000-0005-0000-0000-0000266F0000}"/>
    <cellStyle name="RIGs input cells 2 3 4 2 3" xfId="28068" xr:uid="{00000000-0005-0000-0000-0000276F0000}"/>
    <cellStyle name="RIGs input cells 2 3 4 2 4" xfId="28069" xr:uid="{00000000-0005-0000-0000-0000286F0000}"/>
    <cellStyle name="RIGs input cells 2 3 4 2 5" xfId="28070" xr:uid="{00000000-0005-0000-0000-0000296F0000}"/>
    <cellStyle name="RIGs input cells 2 3 4 2 6" xfId="28071" xr:uid="{00000000-0005-0000-0000-00002A6F0000}"/>
    <cellStyle name="RIGs input cells 2 3 4 2 7" xfId="28072" xr:uid="{00000000-0005-0000-0000-00002B6F0000}"/>
    <cellStyle name="RIGs input cells 2 3 4 2 8" xfId="28073" xr:uid="{00000000-0005-0000-0000-00002C6F0000}"/>
    <cellStyle name="RIGs input cells 2 3 4 2 9" xfId="28074" xr:uid="{00000000-0005-0000-0000-00002D6F0000}"/>
    <cellStyle name="RIGs input cells 2 3 4 20" xfId="28075" xr:uid="{00000000-0005-0000-0000-00002E6F0000}"/>
    <cellStyle name="RIGs input cells 2 3 4 21" xfId="28076" xr:uid="{00000000-0005-0000-0000-00002F6F0000}"/>
    <cellStyle name="RIGs input cells 2 3 4 22" xfId="28077" xr:uid="{00000000-0005-0000-0000-0000306F0000}"/>
    <cellStyle name="RIGs input cells 2 3 4 23" xfId="28078" xr:uid="{00000000-0005-0000-0000-0000316F0000}"/>
    <cellStyle name="RIGs input cells 2 3 4 24" xfId="28079" xr:uid="{00000000-0005-0000-0000-0000326F0000}"/>
    <cellStyle name="RIGs input cells 2 3 4 25" xfId="28080" xr:uid="{00000000-0005-0000-0000-0000336F0000}"/>
    <cellStyle name="RIGs input cells 2 3 4 26" xfId="28081" xr:uid="{00000000-0005-0000-0000-0000346F0000}"/>
    <cellStyle name="RIGs input cells 2 3 4 27" xfId="28082" xr:uid="{00000000-0005-0000-0000-0000356F0000}"/>
    <cellStyle name="RIGs input cells 2 3 4 28" xfId="28083" xr:uid="{00000000-0005-0000-0000-0000366F0000}"/>
    <cellStyle name="RIGs input cells 2 3 4 29" xfId="28084" xr:uid="{00000000-0005-0000-0000-0000376F0000}"/>
    <cellStyle name="RIGs input cells 2 3 4 3" xfId="28085" xr:uid="{00000000-0005-0000-0000-0000386F0000}"/>
    <cellStyle name="RIGs input cells 2 3 4 30" xfId="28086" xr:uid="{00000000-0005-0000-0000-0000396F0000}"/>
    <cellStyle name="RIGs input cells 2 3 4 31" xfId="28087" xr:uid="{00000000-0005-0000-0000-00003A6F0000}"/>
    <cellStyle name="RIGs input cells 2 3 4 32" xfId="28088" xr:uid="{00000000-0005-0000-0000-00003B6F0000}"/>
    <cellStyle name="RIGs input cells 2 3 4 33" xfId="28089" xr:uid="{00000000-0005-0000-0000-00003C6F0000}"/>
    <cellStyle name="RIGs input cells 2 3 4 34" xfId="28090" xr:uid="{00000000-0005-0000-0000-00003D6F0000}"/>
    <cellStyle name="RIGs input cells 2 3 4 4" xfId="28091" xr:uid="{00000000-0005-0000-0000-00003E6F0000}"/>
    <cellStyle name="RIGs input cells 2 3 4 5" xfId="28092" xr:uid="{00000000-0005-0000-0000-00003F6F0000}"/>
    <cellStyle name="RIGs input cells 2 3 4 6" xfId="28093" xr:uid="{00000000-0005-0000-0000-0000406F0000}"/>
    <cellStyle name="RIGs input cells 2 3 4 7" xfId="28094" xr:uid="{00000000-0005-0000-0000-0000416F0000}"/>
    <cellStyle name="RIGs input cells 2 3 4 8" xfId="28095" xr:uid="{00000000-0005-0000-0000-0000426F0000}"/>
    <cellStyle name="RIGs input cells 2 3 4 9" xfId="28096" xr:uid="{00000000-0005-0000-0000-0000436F0000}"/>
    <cellStyle name="RIGs input cells 2 3 5" xfId="28097" xr:uid="{00000000-0005-0000-0000-0000446F0000}"/>
    <cellStyle name="RIGs input cells 2 3 5 10" xfId="28098" xr:uid="{00000000-0005-0000-0000-0000456F0000}"/>
    <cellStyle name="RIGs input cells 2 3 5 11" xfId="28099" xr:uid="{00000000-0005-0000-0000-0000466F0000}"/>
    <cellStyle name="RIGs input cells 2 3 5 12" xfId="28100" xr:uid="{00000000-0005-0000-0000-0000476F0000}"/>
    <cellStyle name="RIGs input cells 2 3 5 13" xfId="28101" xr:uid="{00000000-0005-0000-0000-0000486F0000}"/>
    <cellStyle name="RIGs input cells 2 3 5 2" xfId="28102" xr:uid="{00000000-0005-0000-0000-0000496F0000}"/>
    <cellStyle name="RIGs input cells 2 3 5 3" xfId="28103" xr:uid="{00000000-0005-0000-0000-00004A6F0000}"/>
    <cellStyle name="RIGs input cells 2 3 5 4" xfId="28104" xr:uid="{00000000-0005-0000-0000-00004B6F0000}"/>
    <cellStyle name="RIGs input cells 2 3 5 5" xfId="28105" xr:uid="{00000000-0005-0000-0000-00004C6F0000}"/>
    <cellStyle name="RIGs input cells 2 3 5 6" xfId="28106" xr:uid="{00000000-0005-0000-0000-00004D6F0000}"/>
    <cellStyle name="RIGs input cells 2 3 5 7" xfId="28107" xr:uid="{00000000-0005-0000-0000-00004E6F0000}"/>
    <cellStyle name="RIGs input cells 2 3 5 8" xfId="28108" xr:uid="{00000000-0005-0000-0000-00004F6F0000}"/>
    <cellStyle name="RIGs input cells 2 3 5 9" xfId="28109" xr:uid="{00000000-0005-0000-0000-0000506F0000}"/>
    <cellStyle name="RIGs input cells 2 3 6" xfId="28110" xr:uid="{00000000-0005-0000-0000-0000516F0000}"/>
    <cellStyle name="RIGs input cells 2 3 7" xfId="28111" xr:uid="{00000000-0005-0000-0000-0000526F0000}"/>
    <cellStyle name="RIGs input cells 2 3 8" xfId="28112" xr:uid="{00000000-0005-0000-0000-0000536F0000}"/>
    <cellStyle name="RIGs input cells 2 3 9" xfId="28113" xr:uid="{00000000-0005-0000-0000-0000546F0000}"/>
    <cellStyle name="RIGs input cells 2 3_4 28 1_Asst_Health_Crit_AllTO_RIIO_20110714pm" xfId="28114" xr:uid="{00000000-0005-0000-0000-0000556F0000}"/>
    <cellStyle name="RIGs input cells 2 30" xfId="28115" xr:uid="{00000000-0005-0000-0000-0000566F0000}"/>
    <cellStyle name="RIGs input cells 2 31" xfId="28116" xr:uid="{00000000-0005-0000-0000-0000576F0000}"/>
    <cellStyle name="RIGs input cells 2 32" xfId="28117" xr:uid="{00000000-0005-0000-0000-0000586F0000}"/>
    <cellStyle name="RIGs input cells 2 33" xfId="28118" xr:uid="{00000000-0005-0000-0000-0000596F0000}"/>
    <cellStyle name="RIGs input cells 2 34" xfId="28119" xr:uid="{00000000-0005-0000-0000-00005A6F0000}"/>
    <cellStyle name="RIGs input cells 2 35" xfId="28120" xr:uid="{00000000-0005-0000-0000-00005B6F0000}"/>
    <cellStyle name="RIGs input cells 2 36" xfId="28121" xr:uid="{00000000-0005-0000-0000-00005C6F0000}"/>
    <cellStyle name="RIGs input cells 2 37" xfId="28122" xr:uid="{00000000-0005-0000-0000-00005D6F0000}"/>
    <cellStyle name="RIGs input cells 2 38" xfId="28123" xr:uid="{00000000-0005-0000-0000-00005E6F0000}"/>
    <cellStyle name="RIGs input cells 2 39" xfId="28124" xr:uid="{00000000-0005-0000-0000-00005F6F0000}"/>
    <cellStyle name="RIGs input cells 2 4" xfId="28125" xr:uid="{00000000-0005-0000-0000-0000606F0000}"/>
    <cellStyle name="RIGs input cells 2 4 10" xfId="28126" xr:uid="{00000000-0005-0000-0000-0000616F0000}"/>
    <cellStyle name="RIGs input cells 2 4 11" xfId="28127" xr:uid="{00000000-0005-0000-0000-0000626F0000}"/>
    <cellStyle name="RIGs input cells 2 4 12" xfId="28128" xr:uid="{00000000-0005-0000-0000-0000636F0000}"/>
    <cellStyle name="RIGs input cells 2 4 13" xfId="28129" xr:uid="{00000000-0005-0000-0000-0000646F0000}"/>
    <cellStyle name="RIGs input cells 2 4 14" xfId="28130" xr:uid="{00000000-0005-0000-0000-0000656F0000}"/>
    <cellStyle name="RIGs input cells 2 4 15" xfId="28131" xr:uid="{00000000-0005-0000-0000-0000666F0000}"/>
    <cellStyle name="RIGs input cells 2 4 16" xfId="28132" xr:uid="{00000000-0005-0000-0000-0000676F0000}"/>
    <cellStyle name="RIGs input cells 2 4 17" xfId="28133" xr:uid="{00000000-0005-0000-0000-0000686F0000}"/>
    <cellStyle name="RIGs input cells 2 4 18" xfId="28134" xr:uid="{00000000-0005-0000-0000-0000696F0000}"/>
    <cellStyle name="RIGs input cells 2 4 19" xfId="28135" xr:uid="{00000000-0005-0000-0000-00006A6F0000}"/>
    <cellStyle name="RIGs input cells 2 4 2" xfId="28136" xr:uid="{00000000-0005-0000-0000-00006B6F0000}"/>
    <cellStyle name="RIGs input cells 2 4 2 10" xfId="28137" xr:uid="{00000000-0005-0000-0000-00006C6F0000}"/>
    <cellStyle name="RIGs input cells 2 4 2 11" xfId="28138" xr:uid="{00000000-0005-0000-0000-00006D6F0000}"/>
    <cellStyle name="RIGs input cells 2 4 2 12" xfId="28139" xr:uid="{00000000-0005-0000-0000-00006E6F0000}"/>
    <cellStyle name="RIGs input cells 2 4 2 13" xfId="28140" xr:uid="{00000000-0005-0000-0000-00006F6F0000}"/>
    <cellStyle name="RIGs input cells 2 4 2 14" xfId="28141" xr:uid="{00000000-0005-0000-0000-0000706F0000}"/>
    <cellStyle name="RIGs input cells 2 4 2 15" xfId="28142" xr:uid="{00000000-0005-0000-0000-0000716F0000}"/>
    <cellStyle name="RIGs input cells 2 4 2 16" xfId="28143" xr:uid="{00000000-0005-0000-0000-0000726F0000}"/>
    <cellStyle name="RIGs input cells 2 4 2 17" xfId="28144" xr:uid="{00000000-0005-0000-0000-0000736F0000}"/>
    <cellStyle name="RIGs input cells 2 4 2 18" xfId="28145" xr:uid="{00000000-0005-0000-0000-0000746F0000}"/>
    <cellStyle name="RIGs input cells 2 4 2 19" xfId="28146" xr:uid="{00000000-0005-0000-0000-0000756F0000}"/>
    <cellStyle name="RIGs input cells 2 4 2 2" xfId="28147" xr:uid="{00000000-0005-0000-0000-0000766F0000}"/>
    <cellStyle name="RIGs input cells 2 4 2 2 10" xfId="28148" xr:uid="{00000000-0005-0000-0000-0000776F0000}"/>
    <cellStyle name="RIGs input cells 2 4 2 2 11" xfId="28149" xr:uid="{00000000-0005-0000-0000-0000786F0000}"/>
    <cellStyle name="RIGs input cells 2 4 2 2 12" xfId="28150" xr:uid="{00000000-0005-0000-0000-0000796F0000}"/>
    <cellStyle name="RIGs input cells 2 4 2 2 13" xfId="28151" xr:uid="{00000000-0005-0000-0000-00007A6F0000}"/>
    <cellStyle name="RIGs input cells 2 4 2 2 2" xfId="28152" xr:uid="{00000000-0005-0000-0000-00007B6F0000}"/>
    <cellStyle name="RIGs input cells 2 4 2 2 3" xfId="28153" xr:uid="{00000000-0005-0000-0000-00007C6F0000}"/>
    <cellStyle name="RIGs input cells 2 4 2 2 4" xfId="28154" xr:uid="{00000000-0005-0000-0000-00007D6F0000}"/>
    <cellStyle name="RIGs input cells 2 4 2 2 5" xfId="28155" xr:uid="{00000000-0005-0000-0000-00007E6F0000}"/>
    <cellStyle name="RIGs input cells 2 4 2 2 6" xfId="28156" xr:uid="{00000000-0005-0000-0000-00007F6F0000}"/>
    <cellStyle name="RIGs input cells 2 4 2 2 7" xfId="28157" xr:uid="{00000000-0005-0000-0000-0000806F0000}"/>
    <cellStyle name="RIGs input cells 2 4 2 2 8" xfId="28158" xr:uid="{00000000-0005-0000-0000-0000816F0000}"/>
    <cellStyle name="RIGs input cells 2 4 2 2 9" xfId="28159" xr:uid="{00000000-0005-0000-0000-0000826F0000}"/>
    <cellStyle name="RIGs input cells 2 4 2 20" xfId="28160" xr:uid="{00000000-0005-0000-0000-0000836F0000}"/>
    <cellStyle name="RIGs input cells 2 4 2 21" xfId="28161" xr:uid="{00000000-0005-0000-0000-0000846F0000}"/>
    <cellStyle name="RIGs input cells 2 4 2 22" xfId="28162" xr:uid="{00000000-0005-0000-0000-0000856F0000}"/>
    <cellStyle name="RIGs input cells 2 4 2 23" xfId="28163" xr:uid="{00000000-0005-0000-0000-0000866F0000}"/>
    <cellStyle name="RIGs input cells 2 4 2 24" xfId="28164" xr:uid="{00000000-0005-0000-0000-0000876F0000}"/>
    <cellStyle name="RIGs input cells 2 4 2 25" xfId="28165" xr:uid="{00000000-0005-0000-0000-0000886F0000}"/>
    <cellStyle name="RIGs input cells 2 4 2 26" xfId="28166" xr:uid="{00000000-0005-0000-0000-0000896F0000}"/>
    <cellStyle name="RIGs input cells 2 4 2 27" xfId="28167" xr:uid="{00000000-0005-0000-0000-00008A6F0000}"/>
    <cellStyle name="RIGs input cells 2 4 2 28" xfId="28168" xr:uid="{00000000-0005-0000-0000-00008B6F0000}"/>
    <cellStyle name="RIGs input cells 2 4 2 29" xfId="28169" xr:uid="{00000000-0005-0000-0000-00008C6F0000}"/>
    <cellStyle name="RIGs input cells 2 4 2 3" xfId="28170" xr:uid="{00000000-0005-0000-0000-00008D6F0000}"/>
    <cellStyle name="RIGs input cells 2 4 2 30" xfId="28171" xr:uid="{00000000-0005-0000-0000-00008E6F0000}"/>
    <cellStyle name="RIGs input cells 2 4 2 31" xfId="28172" xr:uid="{00000000-0005-0000-0000-00008F6F0000}"/>
    <cellStyle name="RIGs input cells 2 4 2 32" xfId="28173" xr:uid="{00000000-0005-0000-0000-0000906F0000}"/>
    <cellStyle name="RIGs input cells 2 4 2 33" xfId="28174" xr:uid="{00000000-0005-0000-0000-0000916F0000}"/>
    <cellStyle name="RIGs input cells 2 4 2 34" xfId="28175" xr:uid="{00000000-0005-0000-0000-0000926F0000}"/>
    <cellStyle name="RIGs input cells 2 4 2 4" xfId="28176" xr:uid="{00000000-0005-0000-0000-0000936F0000}"/>
    <cellStyle name="RIGs input cells 2 4 2 5" xfId="28177" xr:uid="{00000000-0005-0000-0000-0000946F0000}"/>
    <cellStyle name="RIGs input cells 2 4 2 6" xfId="28178" xr:uid="{00000000-0005-0000-0000-0000956F0000}"/>
    <cellStyle name="RIGs input cells 2 4 2 7" xfId="28179" xr:uid="{00000000-0005-0000-0000-0000966F0000}"/>
    <cellStyle name="RIGs input cells 2 4 2 8" xfId="28180" xr:uid="{00000000-0005-0000-0000-0000976F0000}"/>
    <cellStyle name="RIGs input cells 2 4 2 9" xfId="28181" xr:uid="{00000000-0005-0000-0000-0000986F0000}"/>
    <cellStyle name="RIGs input cells 2 4 20" xfId="28182" xr:uid="{00000000-0005-0000-0000-0000996F0000}"/>
    <cellStyle name="RIGs input cells 2 4 21" xfId="28183" xr:uid="{00000000-0005-0000-0000-00009A6F0000}"/>
    <cellStyle name="RIGs input cells 2 4 22" xfId="28184" xr:uid="{00000000-0005-0000-0000-00009B6F0000}"/>
    <cellStyle name="RIGs input cells 2 4 23" xfId="28185" xr:uid="{00000000-0005-0000-0000-00009C6F0000}"/>
    <cellStyle name="RIGs input cells 2 4 24" xfId="28186" xr:uid="{00000000-0005-0000-0000-00009D6F0000}"/>
    <cellStyle name="RIGs input cells 2 4 25" xfId="28187" xr:uid="{00000000-0005-0000-0000-00009E6F0000}"/>
    <cellStyle name="RIGs input cells 2 4 26" xfId="28188" xr:uid="{00000000-0005-0000-0000-00009F6F0000}"/>
    <cellStyle name="RIGs input cells 2 4 27" xfId="28189" xr:uid="{00000000-0005-0000-0000-0000A06F0000}"/>
    <cellStyle name="RIGs input cells 2 4 28" xfId="28190" xr:uid="{00000000-0005-0000-0000-0000A16F0000}"/>
    <cellStyle name="RIGs input cells 2 4 29" xfId="28191" xr:uid="{00000000-0005-0000-0000-0000A26F0000}"/>
    <cellStyle name="RIGs input cells 2 4 3" xfId="28192" xr:uid="{00000000-0005-0000-0000-0000A36F0000}"/>
    <cellStyle name="RIGs input cells 2 4 3 10" xfId="28193" xr:uid="{00000000-0005-0000-0000-0000A46F0000}"/>
    <cellStyle name="RIGs input cells 2 4 3 11" xfId="28194" xr:uid="{00000000-0005-0000-0000-0000A56F0000}"/>
    <cellStyle name="RIGs input cells 2 4 3 12" xfId="28195" xr:uid="{00000000-0005-0000-0000-0000A66F0000}"/>
    <cellStyle name="RIGs input cells 2 4 3 13" xfId="28196" xr:uid="{00000000-0005-0000-0000-0000A76F0000}"/>
    <cellStyle name="RIGs input cells 2 4 3 2" xfId="28197" xr:uid="{00000000-0005-0000-0000-0000A86F0000}"/>
    <cellStyle name="RIGs input cells 2 4 3 3" xfId="28198" xr:uid="{00000000-0005-0000-0000-0000A96F0000}"/>
    <cellStyle name="RIGs input cells 2 4 3 4" xfId="28199" xr:uid="{00000000-0005-0000-0000-0000AA6F0000}"/>
    <cellStyle name="RIGs input cells 2 4 3 5" xfId="28200" xr:uid="{00000000-0005-0000-0000-0000AB6F0000}"/>
    <cellStyle name="RIGs input cells 2 4 3 6" xfId="28201" xr:uid="{00000000-0005-0000-0000-0000AC6F0000}"/>
    <cellStyle name="RIGs input cells 2 4 3 7" xfId="28202" xr:uid="{00000000-0005-0000-0000-0000AD6F0000}"/>
    <cellStyle name="RIGs input cells 2 4 3 8" xfId="28203" xr:uid="{00000000-0005-0000-0000-0000AE6F0000}"/>
    <cellStyle name="RIGs input cells 2 4 3 9" xfId="28204" xr:uid="{00000000-0005-0000-0000-0000AF6F0000}"/>
    <cellStyle name="RIGs input cells 2 4 30" xfId="28205" xr:uid="{00000000-0005-0000-0000-0000B06F0000}"/>
    <cellStyle name="RIGs input cells 2 4 31" xfId="28206" xr:uid="{00000000-0005-0000-0000-0000B16F0000}"/>
    <cellStyle name="RIGs input cells 2 4 32" xfId="28207" xr:uid="{00000000-0005-0000-0000-0000B26F0000}"/>
    <cellStyle name="RIGs input cells 2 4 33" xfId="28208" xr:uid="{00000000-0005-0000-0000-0000B36F0000}"/>
    <cellStyle name="RIGs input cells 2 4 34" xfId="28209" xr:uid="{00000000-0005-0000-0000-0000B46F0000}"/>
    <cellStyle name="RIGs input cells 2 4 35" xfId="28210" xr:uid="{00000000-0005-0000-0000-0000B56F0000}"/>
    <cellStyle name="RIGs input cells 2 4 4" xfId="28211" xr:uid="{00000000-0005-0000-0000-0000B66F0000}"/>
    <cellStyle name="RIGs input cells 2 4 5" xfId="28212" xr:uid="{00000000-0005-0000-0000-0000B76F0000}"/>
    <cellStyle name="RIGs input cells 2 4 6" xfId="28213" xr:uid="{00000000-0005-0000-0000-0000B86F0000}"/>
    <cellStyle name="RIGs input cells 2 4 7" xfId="28214" xr:uid="{00000000-0005-0000-0000-0000B96F0000}"/>
    <cellStyle name="RIGs input cells 2 4 8" xfId="28215" xr:uid="{00000000-0005-0000-0000-0000BA6F0000}"/>
    <cellStyle name="RIGs input cells 2 4 9" xfId="28216" xr:uid="{00000000-0005-0000-0000-0000BB6F0000}"/>
    <cellStyle name="RIGs input cells 2 4_4 28 1_Asst_Health_Crit_AllTO_RIIO_20110714pm" xfId="28217" xr:uid="{00000000-0005-0000-0000-0000BC6F0000}"/>
    <cellStyle name="RIGs input cells 2 40" xfId="28218" xr:uid="{00000000-0005-0000-0000-0000BD6F0000}"/>
    <cellStyle name="RIGs input cells 2 41" xfId="28219" xr:uid="{00000000-0005-0000-0000-0000BE6F0000}"/>
    <cellStyle name="RIGs input cells 2 42" xfId="28220" xr:uid="{00000000-0005-0000-0000-0000BF6F0000}"/>
    <cellStyle name="RIGs input cells 2 43" xfId="28221" xr:uid="{00000000-0005-0000-0000-0000C06F0000}"/>
    <cellStyle name="RIGs input cells 2 44" xfId="28222" xr:uid="{00000000-0005-0000-0000-0000C16F0000}"/>
    <cellStyle name="RIGs input cells 2 45" xfId="28223" xr:uid="{00000000-0005-0000-0000-0000C26F0000}"/>
    <cellStyle name="RIGs input cells 2 5" xfId="28224" xr:uid="{00000000-0005-0000-0000-0000C36F0000}"/>
    <cellStyle name="RIGs input cells 2 5 10" xfId="28225" xr:uid="{00000000-0005-0000-0000-0000C46F0000}"/>
    <cellStyle name="RIGs input cells 2 5 11" xfId="28226" xr:uid="{00000000-0005-0000-0000-0000C56F0000}"/>
    <cellStyle name="RIGs input cells 2 5 12" xfId="28227" xr:uid="{00000000-0005-0000-0000-0000C66F0000}"/>
    <cellStyle name="RIGs input cells 2 5 13" xfId="28228" xr:uid="{00000000-0005-0000-0000-0000C76F0000}"/>
    <cellStyle name="RIGs input cells 2 5 14" xfId="28229" xr:uid="{00000000-0005-0000-0000-0000C86F0000}"/>
    <cellStyle name="RIGs input cells 2 5 15" xfId="28230" xr:uid="{00000000-0005-0000-0000-0000C96F0000}"/>
    <cellStyle name="RIGs input cells 2 5 16" xfId="28231" xr:uid="{00000000-0005-0000-0000-0000CA6F0000}"/>
    <cellStyle name="RIGs input cells 2 5 17" xfId="28232" xr:uid="{00000000-0005-0000-0000-0000CB6F0000}"/>
    <cellStyle name="RIGs input cells 2 5 18" xfId="28233" xr:uid="{00000000-0005-0000-0000-0000CC6F0000}"/>
    <cellStyle name="RIGs input cells 2 5 19" xfId="28234" xr:uid="{00000000-0005-0000-0000-0000CD6F0000}"/>
    <cellStyle name="RIGs input cells 2 5 2" xfId="28235" xr:uid="{00000000-0005-0000-0000-0000CE6F0000}"/>
    <cellStyle name="RIGs input cells 2 5 2 10" xfId="28236" xr:uid="{00000000-0005-0000-0000-0000CF6F0000}"/>
    <cellStyle name="RIGs input cells 2 5 2 11" xfId="28237" xr:uid="{00000000-0005-0000-0000-0000D06F0000}"/>
    <cellStyle name="RIGs input cells 2 5 2 12" xfId="28238" xr:uid="{00000000-0005-0000-0000-0000D16F0000}"/>
    <cellStyle name="RIGs input cells 2 5 2 13" xfId="28239" xr:uid="{00000000-0005-0000-0000-0000D26F0000}"/>
    <cellStyle name="RIGs input cells 2 5 2 2" xfId="28240" xr:uid="{00000000-0005-0000-0000-0000D36F0000}"/>
    <cellStyle name="RIGs input cells 2 5 2 3" xfId="28241" xr:uid="{00000000-0005-0000-0000-0000D46F0000}"/>
    <cellStyle name="RIGs input cells 2 5 2 4" xfId="28242" xr:uid="{00000000-0005-0000-0000-0000D56F0000}"/>
    <cellStyle name="RIGs input cells 2 5 2 5" xfId="28243" xr:uid="{00000000-0005-0000-0000-0000D66F0000}"/>
    <cellStyle name="RIGs input cells 2 5 2 6" xfId="28244" xr:uid="{00000000-0005-0000-0000-0000D76F0000}"/>
    <cellStyle name="RIGs input cells 2 5 2 7" xfId="28245" xr:uid="{00000000-0005-0000-0000-0000D86F0000}"/>
    <cellStyle name="RIGs input cells 2 5 2 8" xfId="28246" xr:uid="{00000000-0005-0000-0000-0000D96F0000}"/>
    <cellStyle name="RIGs input cells 2 5 2 9" xfId="28247" xr:uid="{00000000-0005-0000-0000-0000DA6F0000}"/>
    <cellStyle name="RIGs input cells 2 5 20" xfId="28248" xr:uid="{00000000-0005-0000-0000-0000DB6F0000}"/>
    <cellStyle name="RIGs input cells 2 5 21" xfId="28249" xr:uid="{00000000-0005-0000-0000-0000DC6F0000}"/>
    <cellStyle name="RIGs input cells 2 5 22" xfId="28250" xr:uid="{00000000-0005-0000-0000-0000DD6F0000}"/>
    <cellStyle name="RIGs input cells 2 5 23" xfId="28251" xr:uid="{00000000-0005-0000-0000-0000DE6F0000}"/>
    <cellStyle name="RIGs input cells 2 5 24" xfId="28252" xr:uid="{00000000-0005-0000-0000-0000DF6F0000}"/>
    <cellStyle name="RIGs input cells 2 5 25" xfId="28253" xr:uid="{00000000-0005-0000-0000-0000E06F0000}"/>
    <cellStyle name="RIGs input cells 2 5 26" xfId="28254" xr:uid="{00000000-0005-0000-0000-0000E16F0000}"/>
    <cellStyle name="RIGs input cells 2 5 27" xfId="28255" xr:uid="{00000000-0005-0000-0000-0000E26F0000}"/>
    <cellStyle name="RIGs input cells 2 5 28" xfId="28256" xr:uid="{00000000-0005-0000-0000-0000E36F0000}"/>
    <cellStyle name="RIGs input cells 2 5 29" xfId="28257" xr:uid="{00000000-0005-0000-0000-0000E46F0000}"/>
    <cellStyle name="RIGs input cells 2 5 3" xfId="28258" xr:uid="{00000000-0005-0000-0000-0000E56F0000}"/>
    <cellStyle name="RIGs input cells 2 5 30" xfId="28259" xr:uid="{00000000-0005-0000-0000-0000E66F0000}"/>
    <cellStyle name="RIGs input cells 2 5 31" xfId="28260" xr:uid="{00000000-0005-0000-0000-0000E76F0000}"/>
    <cellStyle name="RIGs input cells 2 5 32" xfId="28261" xr:uid="{00000000-0005-0000-0000-0000E86F0000}"/>
    <cellStyle name="RIGs input cells 2 5 33" xfId="28262" xr:uid="{00000000-0005-0000-0000-0000E96F0000}"/>
    <cellStyle name="RIGs input cells 2 5 34" xfId="28263" xr:uid="{00000000-0005-0000-0000-0000EA6F0000}"/>
    <cellStyle name="RIGs input cells 2 5 4" xfId="28264" xr:uid="{00000000-0005-0000-0000-0000EB6F0000}"/>
    <cellStyle name="RIGs input cells 2 5 5" xfId="28265" xr:uid="{00000000-0005-0000-0000-0000EC6F0000}"/>
    <cellStyle name="RIGs input cells 2 5 6" xfId="28266" xr:uid="{00000000-0005-0000-0000-0000ED6F0000}"/>
    <cellStyle name="RIGs input cells 2 5 7" xfId="28267" xr:uid="{00000000-0005-0000-0000-0000EE6F0000}"/>
    <cellStyle name="RIGs input cells 2 5 8" xfId="28268" xr:uid="{00000000-0005-0000-0000-0000EF6F0000}"/>
    <cellStyle name="RIGs input cells 2 5 9" xfId="28269" xr:uid="{00000000-0005-0000-0000-0000F06F0000}"/>
    <cellStyle name="RIGs input cells 2 6" xfId="28270" xr:uid="{00000000-0005-0000-0000-0000F16F0000}"/>
    <cellStyle name="RIGs input cells 2 6 10" xfId="28271" xr:uid="{00000000-0005-0000-0000-0000F26F0000}"/>
    <cellStyle name="RIGs input cells 2 6 11" xfId="28272" xr:uid="{00000000-0005-0000-0000-0000F36F0000}"/>
    <cellStyle name="RIGs input cells 2 6 12" xfId="28273" xr:uid="{00000000-0005-0000-0000-0000F46F0000}"/>
    <cellStyle name="RIGs input cells 2 6 13" xfId="28274" xr:uid="{00000000-0005-0000-0000-0000F56F0000}"/>
    <cellStyle name="RIGs input cells 2 6 14" xfId="28275" xr:uid="{00000000-0005-0000-0000-0000F66F0000}"/>
    <cellStyle name="RIGs input cells 2 6 15" xfId="28276" xr:uid="{00000000-0005-0000-0000-0000F76F0000}"/>
    <cellStyle name="RIGs input cells 2 6 16" xfId="28277" xr:uid="{00000000-0005-0000-0000-0000F86F0000}"/>
    <cellStyle name="RIGs input cells 2 6 17" xfId="28278" xr:uid="{00000000-0005-0000-0000-0000F96F0000}"/>
    <cellStyle name="RIGs input cells 2 6 18" xfId="28279" xr:uid="{00000000-0005-0000-0000-0000FA6F0000}"/>
    <cellStyle name="RIGs input cells 2 6 19" xfId="28280" xr:uid="{00000000-0005-0000-0000-0000FB6F0000}"/>
    <cellStyle name="RIGs input cells 2 6 2" xfId="28281" xr:uid="{00000000-0005-0000-0000-0000FC6F0000}"/>
    <cellStyle name="RIGs input cells 2 6 2 10" xfId="28282" xr:uid="{00000000-0005-0000-0000-0000FD6F0000}"/>
    <cellStyle name="RIGs input cells 2 6 2 11" xfId="28283" xr:uid="{00000000-0005-0000-0000-0000FE6F0000}"/>
    <cellStyle name="RIGs input cells 2 6 2 12" xfId="28284" xr:uid="{00000000-0005-0000-0000-0000FF6F0000}"/>
    <cellStyle name="RIGs input cells 2 6 2 13" xfId="28285" xr:uid="{00000000-0005-0000-0000-000000700000}"/>
    <cellStyle name="RIGs input cells 2 6 2 2" xfId="28286" xr:uid="{00000000-0005-0000-0000-000001700000}"/>
    <cellStyle name="RIGs input cells 2 6 2 3" xfId="28287" xr:uid="{00000000-0005-0000-0000-000002700000}"/>
    <cellStyle name="RIGs input cells 2 6 2 4" xfId="28288" xr:uid="{00000000-0005-0000-0000-000003700000}"/>
    <cellStyle name="RIGs input cells 2 6 2 5" xfId="28289" xr:uid="{00000000-0005-0000-0000-000004700000}"/>
    <cellStyle name="RIGs input cells 2 6 2 6" xfId="28290" xr:uid="{00000000-0005-0000-0000-000005700000}"/>
    <cellStyle name="RIGs input cells 2 6 2 7" xfId="28291" xr:uid="{00000000-0005-0000-0000-000006700000}"/>
    <cellStyle name="RIGs input cells 2 6 2 8" xfId="28292" xr:uid="{00000000-0005-0000-0000-000007700000}"/>
    <cellStyle name="RIGs input cells 2 6 2 9" xfId="28293" xr:uid="{00000000-0005-0000-0000-000008700000}"/>
    <cellStyle name="RIGs input cells 2 6 20" xfId="28294" xr:uid="{00000000-0005-0000-0000-000009700000}"/>
    <cellStyle name="RIGs input cells 2 6 21" xfId="28295" xr:uid="{00000000-0005-0000-0000-00000A700000}"/>
    <cellStyle name="RIGs input cells 2 6 22" xfId="28296" xr:uid="{00000000-0005-0000-0000-00000B700000}"/>
    <cellStyle name="RIGs input cells 2 6 23" xfId="28297" xr:uid="{00000000-0005-0000-0000-00000C700000}"/>
    <cellStyle name="RIGs input cells 2 6 24" xfId="28298" xr:uid="{00000000-0005-0000-0000-00000D700000}"/>
    <cellStyle name="RIGs input cells 2 6 25" xfId="28299" xr:uid="{00000000-0005-0000-0000-00000E700000}"/>
    <cellStyle name="RIGs input cells 2 6 26" xfId="28300" xr:uid="{00000000-0005-0000-0000-00000F700000}"/>
    <cellStyle name="RIGs input cells 2 6 27" xfId="28301" xr:uid="{00000000-0005-0000-0000-000010700000}"/>
    <cellStyle name="RIGs input cells 2 6 28" xfId="28302" xr:uid="{00000000-0005-0000-0000-000011700000}"/>
    <cellStyle name="RIGs input cells 2 6 29" xfId="28303" xr:uid="{00000000-0005-0000-0000-000012700000}"/>
    <cellStyle name="RIGs input cells 2 6 3" xfId="28304" xr:uid="{00000000-0005-0000-0000-000013700000}"/>
    <cellStyle name="RIGs input cells 2 6 30" xfId="28305" xr:uid="{00000000-0005-0000-0000-000014700000}"/>
    <cellStyle name="RIGs input cells 2 6 31" xfId="28306" xr:uid="{00000000-0005-0000-0000-000015700000}"/>
    <cellStyle name="RIGs input cells 2 6 32" xfId="28307" xr:uid="{00000000-0005-0000-0000-000016700000}"/>
    <cellStyle name="RIGs input cells 2 6 33" xfId="28308" xr:uid="{00000000-0005-0000-0000-000017700000}"/>
    <cellStyle name="RIGs input cells 2 6 34" xfId="28309" xr:uid="{00000000-0005-0000-0000-000018700000}"/>
    <cellStyle name="RIGs input cells 2 6 4" xfId="28310" xr:uid="{00000000-0005-0000-0000-000019700000}"/>
    <cellStyle name="RIGs input cells 2 6 5" xfId="28311" xr:uid="{00000000-0005-0000-0000-00001A700000}"/>
    <cellStyle name="RIGs input cells 2 6 6" xfId="28312" xr:uid="{00000000-0005-0000-0000-00001B700000}"/>
    <cellStyle name="RIGs input cells 2 6 7" xfId="28313" xr:uid="{00000000-0005-0000-0000-00001C700000}"/>
    <cellStyle name="RIGs input cells 2 6 8" xfId="28314" xr:uid="{00000000-0005-0000-0000-00001D700000}"/>
    <cellStyle name="RIGs input cells 2 6 9" xfId="28315" xr:uid="{00000000-0005-0000-0000-00001E700000}"/>
    <cellStyle name="RIGs input cells 2 7" xfId="28316" xr:uid="{00000000-0005-0000-0000-00001F700000}"/>
    <cellStyle name="RIGs input cells 2 7 10" xfId="28317" xr:uid="{00000000-0005-0000-0000-000020700000}"/>
    <cellStyle name="RIGs input cells 2 7 11" xfId="28318" xr:uid="{00000000-0005-0000-0000-000021700000}"/>
    <cellStyle name="RIGs input cells 2 7 12" xfId="28319" xr:uid="{00000000-0005-0000-0000-000022700000}"/>
    <cellStyle name="RIGs input cells 2 7 13" xfId="28320" xr:uid="{00000000-0005-0000-0000-000023700000}"/>
    <cellStyle name="RIGs input cells 2 7 14" xfId="28321" xr:uid="{00000000-0005-0000-0000-000024700000}"/>
    <cellStyle name="RIGs input cells 2 7 15" xfId="28322" xr:uid="{00000000-0005-0000-0000-000025700000}"/>
    <cellStyle name="RIGs input cells 2 7 16" xfId="28323" xr:uid="{00000000-0005-0000-0000-000026700000}"/>
    <cellStyle name="RIGs input cells 2 7 17" xfId="28324" xr:uid="{00000000-0005-0000-0000-000027700000}"/>
    <cellStyle name="RIGs input cells 2 7 18" xfId="28325" xr:uid="{00000000-0005-0000-0000-000028700000}"/>
    <cellStyle name="RIGs input cells 2 7 19" xfId="28326" xr:uid="{00000000-0005-0000-0000-000029700000}"/>
    <cellStyle name="RIGs input cells 2 7 2" xfId="28327" xr:uid="{00000000-0005-0000-0000-00002A700000}"/>
    <cellStyle name="RIGs input cells 2 7 2 10" xfId="28328" xr:uid="{00000000-0005-0000-0000-00002B700000}"/>
    <cellStyle name="RIGs input cells 2 7 2 11" xfId="28329" xr:uid="{00000000-0005-0000-0000-00002C700000}"/>
    <cellStyle name="RIGs input cells 2 7 2 12" xfId="28330" xr:uid="{00000000-0005-0000-0000-00002D700000}"/>
    <cellStyle name="RIGs input cells 2 7 2 13" xfId="28331" xr:uid="{00000000-0005-0000-0000-00002E700000}"/>
    <cellStyle name="RIGs input cells 2 7 2 2" xfId="28332" xr:uid="{00000000-0005-0000-0000-00002F700000}"/>
    <cellStyle name="RIGs input cells 2 7 2 3" xfId="28333" xr:uid="{00000000-0005-0000-0000-000030700000}"/>
    <cellStyle name="RIGs input cells 2 7 2 4" xfId="28334" xr:uid="{00000000-0005-0000-0000-000031700000}"/>
    <cellStyle name="RIGs input cells 2 7 2 5" xfId="28335" xr:uid="{00000000-0005-0000-0000-000032700000}"/>
    <cellStyle name="RIGs input cells 2 7 2 6" xfId="28336" xr:uid="{00000000-0005-0000-0000-000033700000}"/>
    <cellStyle name="RIGs input cells 2 7 2 7" xfId="28337" xr:uid="{00000000-0005-0000-0000-000034700000}"/>
    <cellStyle name="RIGs input cells 2 7 2 8" xfId="28338" xr:uid="{00000000-0005-0000-0000-000035700000}"/>
    <cellStyle name="RIGs input cells 2 7 2 9" xfId="28339" xr:uid="{00000000-0005-0000-0000-000036700000}"/>
    <cellStyle name="RIGs input cells 2 7 20" xfId="28340" xr:uid="{00000000-0005-0000-0000-000037700000}"/>
    <cellStyle name="RIGs input cells 2 7 21" xfId="28341" xr:uid="{00000000-0005-0000-0000-000038700000}"/>
    <cellStyle name="RIGs input cells 2 7 22" xfId="28342" xr:uid="{00000000-0005-0000-0000-000039700000}"/>
    <cellStyle name="RIGs input cells 2 7 23" xfId="28343" xr:uid="{00000000-0005-0000-0000-00003A700000}"/>
    <cellStyle name="RIGs input cells 2 7 24" xfId="28344" xr:uid="{00000000-0005-0000-0000-00003B700000}"/>
    <cellStyle name="RIGs input cells 2 7 25" xfId="28345" xr:uid="{00000000-0005-0000-0000-00003C700000}"/>
    <cellStyle name="RIGs input cells 2 7 26" xfId="28346" xr:uid="{00000000-0005-0000-0000-00003D700000}"/>
    <cellStyle name="RIGs input cells 2 7 27" xfId="28347" xr:uid="{00000000-0005-0000-0000-00003E700000}"/>
    <cellStyle name="RIGs input cells 2 7 28" xfId="28348" xr:uid="{00000000-0005-0000-0000-00003F700000}"/>
    <cellStyle name="RIGs input cells 2 7 29" xfId="28349" xr:uid="{00000000-0005-0000-0000-000040700000}"/>
    <cellStyle name="RIGs input cells 2 7 3" xfId="28350" xr:uid="{00000000-0005-0000-0000-000041700000}"/>
    <cellStyle name="RIGs input cells 2 7 30" xfId="28351" xr:uid="{00000000-0005-0000-0000-000042700000}"/>
    <cellStyle name="RIGs input cells 2 7 31" xfId="28352" xr:uid="{00000000-0005-0000-0000-000043700000}"/>
    <cellStyle name="RIGs input cells 2 7 32" xfId="28353" xr:uid="{00000000-0005-0000-0000-000044700000}"/>
    <cellStyle name="RIGs input cells 2 7 33" xfId="28354" xr:uid="{00000000-0005-0000-0000-000045700000}"/>
    <cellStyle name="RIGs input cells 2 7 34" xfId="28355" xr:uid="{00000000-0005-0000-0000-000046700000}"/>
    <cellStyle name="RIGs input cells 2 7 4" xfId="28356" xr:uid="{00000000-0005-0000-0000-000047700000}"/>
    <cellStyle name="RIGs input cells 2 7 5" xfId="28357" xr:uid="{00000000-0005-0000-0000-000048700000}"/>
    <cellStyle name="RIGs input cells 2 7 6" xfId="28358" xr:uid="{00000000-0005-0000-0000-000049700000}"/>
    <cellStyle name="RIGs input cells 2 7 7" xfId="28359" xr:uid="{00000000-0005-0000-0000-00004A700000}"/>
    <cellStyle name="RIGs input cells 2 7 8" xfId="28360" xr:uid="{00000000-0005-0000-0000-00004B700000}"/>
    <cellStyle name="RIGs input cells 2 7 9" xfId="28361" xr:uid="{00000000-0005-0000-0000-00004C700000}"/>
    <cellStyle name="RIGs input cells 2 8" xfId="28362" xr:uid="{00000000-0005-0000-0000-00004D700000}"/>
    <cellStyle name="RIGs input cells 2 8 10" xfId="28363" xr:uid="{00000000-0005-0000-0000-00004E700000}"/>
    <cellStyle name="RIGs input cells 2 8 11" xfId="28364" xr:uid="{00000000-0005-0000-0000-00004F700000}"/>
    <cellStyle name="RIGs input cells 2 8 12" xfId="28365" xr:uid="{00000000-0005-0000-0000-000050700000}"/>
    <cellStyle name="RIGs input cells 2 8 13" xfId="28366" xr:uid="{00000000-0005-0000-0000-000051700000}"/>
    <cellStyle name="RIGs input cells 2 8 14" xfId="28367" xr:uid="{00000000-0005-0000-0000-000052700000}"/>
    <cellStyle name="RIGs input cells 2 8 15" xfId="28368" xr:uid="{00000000-0005-0000-0000-000053700000}"/>
    <cellStyle name="RIGs input cells 2 8 16" xfId="28369" xr:uid="{00000000-0005-0000-0000-000054700000}"/>
    <cellStyle name="RIGs input cells 2 8 17" xfId="28370" xr:uid="{00000000-0005-0000-0000-000055700000}"/>
    <cellStyle name="RIGs input cells 2 8 18" xfId="28371" xr:uid="{00000000-0005-0000-0000-000056700000}"/>
    <cellStyle name="RIGs input cells 2 8 19" xfId="28372" xr:uid="{00000000-0005-0000-0000-000057700000}"/>
    <cellStyle name="RIGs input cells 2 8 2" xfId="28373" xr:uid="{00000000-0005-0000-0000-000058700000}"/>
    <cellStyle name="RIGs input cells 2 8 2 10" xfId="28374" xr:uid="{00000000-0005-0000-0000-000059700000}"/>
    <cellStyle name="RIGs input cells 2 8 2 11" xfId="28375" xr:uid="{00000000-0005-0000-0000-00005A700000}"/>
    <cellStyle name="RIGs input cells 2 8 2 12" xfId="28376" xr:uid="{00000000-0005-0000-0000-00005B700000}"/>
    <cellStyle name="RIGs input cells 2 8 2 13" xfId="28377" xr:uid="{00000000-0005-0000-0000-00005C700000}"/>
    <cellStyle name="RIGs input cells 2 8 2 2" xfId="28378" xr:uid="{00000000-0005-0000-0000-00005D700000}"/>
    <cellStyle name="RIGs input cells 2 8 2 3" xfId="28379" xr:uid="{00000000-0005-0000-0000-00005E700000}"/>
    <cellStyle name="RIGs input cells 2 8 2 4" xfId="28380" xr:uid="{00000000-0005-0000-0000-00005F700000}"/>
    <cellStyle name="RIGs input cells 2 8 2 5" xfId="28381" xr:uid="{00000000-0005-0000-0000-000060700000}"/>
    <cellStyle name="RIGs input cells 2 8 2 6" xfId="28382" xr:uid="{00000000-0005-0000-0000-000061700000}"/>
    <cellStyle name="RIGs input cells 2 8 2 7" xfId="28383" xr:uid="{00000000-0005-0000-0000-000062700000}"/>
    <cellStyle name="RIGs input cells 2 8 2 8" xfId="28384" xr:uid="{00000000-0005-0000-0000-000063700000}"/>
    <cellStyle name="RIGs input cells 2 8 2 9" xfId="28385" xr:uid="{00000000-0005-0000-0000-000064700000}"/>
    <cellStyle name="RIGs input cells 2 8 20" xfId="28386" xr:uid="{00000000-0005-0000-0000-000065700000}"/>
    <cellStyle name="RIGs input cells 2 8 21" xfId="28387" xr:uid="{00000000-0005-0000-0000-000066700000}"/>
    <cellStyle name="RIGs input cells 2 8 22" xfId="28388" xr:uid="{00000000-0005-0000-0000-000067700000}"/>
    <cellStyle name="RIGs input cells 2 8 23" xfId="28389" xr:uid="{00000000-0005-0000-0000-000068700000}"/>
    <cellStyle name="RIGs input cells 2 8 24" xfId="28390" xr:uid="{00000000-0005-0000-0000-000069700000}"/>
    <cellStyle name="RIGs input cells 2 8 25" xfId="28391" xr:uid="{00000000-0005-0000-0000-00006A700000}"/>
    <cellStyle name="RIGs input cells 2 8 26" xfId="28392" xr:uid="{00000000-0005-0000-0000-00006B700000}"/>
    <cellStyle name="RIGs input cells 2 8 27" xfId="28393" xr:uid="{00000000-0005-0000-0000-00006C700000}"/>
    <cellStyle name="RIGs input cells 2 8 28" xfId="28394" xr:uid="{00000000-0005-0000-0000-00006D700000}"/>
    <cellStyle name="RIGs input cells 2 8 29" xfId="28395" xr:uid="{00000000-0005-0000-0000-00006E700000}"/>
    <cellStyle name="RIGs input cells 2 8 3" xfId="28396" xr:uid="{00000000-0005-0000-0000-00006F700000}"/>
    <cellStyle name="RIGs input cells 2 8 30" xfId="28397" xr:uid="{00000000-0005-0000-0000-000070700000}"/>
    <cellStyle name="RIGs input cells 2 8 31" xfId="28398" xr:uid="{00000000-0005-0000-0000-000071700000}"/>
    <cellStyle name="RIGs input cells 2 8 32" xfId="28399" xr:uid="{00000000-0005-0000-0000-000072700000}"/>
    <cellStyle name="RIGs input cells 2 8 33" xfId="28400" xr:uid="{00000000-0005-0000-0000-000073700000}"/>
    <cellStyle name="RIGs input cells 2 8 34" xfId="28401" xr:uid="{00000000-0005-0000-0000-000074700000}"/>
    <cellStyle name="RIGs input cells 2 8 4" xfId="28402" xr:uid="{00000000-0005-0000-0000-000075700000}"/>
    <cellStyle name="RIGs input cells 2 8 5" xfId="28403" xr:uid="{00000000-0005-0000-0000-000076700000}"/>
    <cellStyle name="RIGs input cells 2 8 6" xfId="28404" xr:uid="{00000000-0005-0000-0000-000077700000}"/>
    <cellStyle name="RIGs input cells 2 8 7" xfId="28405" xr:uid="{00000000-0005-0000-0000-000078700000}"/>
    <cellStyle name="RIGs input cells 2 8 8" xfId="28406" xr:uid="{00000000-0005-0000-0000-000079700000}"/>
    <cellStyle name="RIGs input cells 2 8 9" xfId="28407" xr:uid="{00000000-0005-0000-0000-00007A700000}"/>
    <cellStyle name="RIGs input cells 2 9" xfId="28408" xr:uid="{00000000-0005-0000-0000-00007B700000}"/>
    <cellStyle name="RIGs input cells 2 9 10" xfId="28409" xr:uid="{00000000-0005-0000-0000-00007C700000}"/>
    <cellStyle name="RIGs input cells 2 9 11" xfId="28410" xr:uid="{00000000-0005-0000-0000-00007D700000}"/>
    <cellStyle name="RIGs input cells 2 9 12" xfId="28411" xr:uid="{00000000-0005-0000-0000-00007E700000}"/>
    <cellStyle name="RIGs input cells 2 9 13" xfId="28412" xr:uid="{00000000-0005-0000-0000-00007F700000}"/>
    <cellStyle name="RIGs input cells 2 9 14" xfId="28413" xr:uid="{00000000-0005-0000-0000-000080700000}"/>
    <cellStyle name="RIGs input cells 2 9 15" xfId="28414" xr:uid="{00000000-0005-0000-0000-000081700000}"/>
    <cellStyle name="RIGs input cells 2 9 16" xfId="28415" xr:uid="{00000000-0005-0000-0000-000082700000}"/>
    <cellStyle name="RIGs input cells 2 9 17" xfId="28416" xr:uid="{00000000-0005-0000-0000-000083700000}"/>
    <cellStyle name="RIGs input cells 2 9 18" xfId="28417" xr:uid="{00000000-0005-0000-0000-000084700000}"/>
    <cellStyle name="RIGs input cells 2 9 19" xfId="28418" xr:uid="{00000000-0005-0000-0000-000085700000}"/>
    <cellStyle name="RIGs input cells 2 9 2" xfId="28419" xr:uid="{00000000-0005-0000-0000-000086700000}"/>
    <cellStyle name="RIGs input cells 2 9 2 10" xfId="28420" xr:uid="{00000000-0005-0000-0000-000087700000}"/>
    <cellStyle name="RIGs input cells 2 9 2 11" xfId="28421" xr:uid="{00000000-0005-0000-0000-000088700000}"/>
    <cellStyle name="RIGs input cells 2 9 2 12" xfId="28422" xr:uid="{00000000-0005-0000-0000-000089700000}"/>
    <cellStyle name="RIGs input cells 2 9 2 13" xfId="28423" xr:uid="{00000000-0005-0000-0000-00008A700000}"/>
    <cellStyle name="RIGs input cells 2 9 2 2" xfId="28424" xr:uid="{00000000-0005-0000-0000-00008B700000}"/>
    <cellStyle name="RIGs input cells 2 9 2 3" xfId="28425" xr:uid="{00000000-0005-0000-0000-00008C700000}"/>
    <cellStyle name="RIGs input cells 2 9 2 4" xfId="28426" xr:uid="{00000000-0005-0000-0000-00008D700000}"/>
    <cellStyle name="RIGs input cells 2 9 2 5" xfId="28427" xr:uid="{00000000-0005-0000-0000-00008E700000}"/>
    <cellStyle name="RIGs input cells 2 9 2 6" xfId="28428" xr:uid="{00000000-0005-0000-0000-00008F700000}"/>
    <cellStyle name="RIGs input cells 2 9 2 7" xfId="28429" xr:uid="{00000000-0005-0000-0000-000090700000}"/>
    <cellStyle name="RIGs input cells 2 9 2 8" xfId="28430" xr:uid="{00000000-0005-0000-0000-000091700000}"/>
    <cellStyle name="RIGs input cells 2 9 2 9" xfId="28431" xr:uid="{00000000-0005-0000-0000-000092700000}"/>
    <cellStyle name="RIGs input cells 2 9 20" xfId="28432" xr:uid="{00000000-0005-0000-0000-000093700000}"/>
    <cellStyle name="RIGs input cells 2 9 21" xfId="28433" xr:uid="{00000000-0005-0000-0000-000094700000}"/>
    <cellStyle name="RIGs input cells 2 9 22" xfId="28434" xr:uid="{00000000-0005-0000-0000-000095700000}"/>
    <cellStyle name="RIGs input cells 2 9 23" xfId="28435" xr:uid="{00000000-0005-0000-0000-000096700000}"/>
    <cellStyle name="RIGs input cells 2 9 24" xfId="28436" xr:uid="{00000000-0005-0000-0000-000097700000}"/>
    <cellStyle name="RIGs input cells 2 9 25" xfId="28437" xr:uid="{00000000-0005-0000-0000-000098700000}"/>
    <cellStyle name="RIGs input cells 2 9 26" xfId="28438" xr:uid="{00000000-0005-0000-0000-000099700000}"/>
    <cellStyle name="RIGs input cells 2 9 27" xfId="28439" xr:uid="{00000000-0005-0000-0000-00009A700000}"/>
    <cellStyle name="RIGs input cells 2 9 28" xfId="28440" xr:uid="{00000000-0005-0000-0000-00009B700000}"/>
    <cellStyle name="RIGs input cells 2 9 29" xfId="28441" xr:uid="{00000000-0005-0000-0000-00009C700000}"/>
    <cellStyle name="RIGs input cells 2 9 3" xfId="28442" xr:uid="{00000000-0005-0000-0000-00009D700000}"/>
    <cellStyle name="RIGs input cells 2 9 30" xfId="28443" xr:uid="{00000000-0005-0000-0000-00009E700000}"/>
    <cellStyle name="RIGs input cells 2 9 31" xfId="28444" xr:uid="{00000000-0005-0000-0000-00009F700000}"/>
    <cellStyle name="RIGs input cells 2 9 32" xfId="28445" xr:uid="{00000000-0005-0000-0000-0000A0700000}"/>
    <cellStyle name="RIGs input cells 2 9 33" xfId="28446" xr:uid="{00000000-0005-0000-0000-0000A1700000}"/>
    <cellStyle name="RIGs input cells 2 9 34" xfId="28447" xr:uid="{00000000-0005-0000-0000-0000A2700000}"/>
    <cellStyle name="RIGs input cells 2 9 4" xfId="28448" xr:uid="{00000000-0005-0000-0000-0000A3700000}"/>
    <cellStyle name="RIGs input cells 2 9 5" xfId="28449" xr:uid="{00000000-0005-0000-0000-0000A4700000}"/>
    <cellStyle name="RIGs input cells 2 9 6" xfId="28450" xr:uid="{00000000-0005-0000-0000-0000A5700000}"/>
    <cellStyle name="RIGs input cells 2 9 7" xfId="28451" xr:uid="{00000000-0005-0000-0000-0000A6700000}"/>
    <cellStyle name="RIGs input cells 2 9 8" xfId="28452" xr:uid="{00000000-0005-0000-0000-0000A7700000}"/>
    <cellStyle name="RIGs input cells 2 9 9" xfId="28453" xr:uid="{00000000-0005-0000-0000-0000A8700000}"/>
    <cellStyle name="RIGs input cells 2_1.3s Accounting C Costs Scots" xfId="28454" xr:uid="{00000000-0005-0000-0000-0000A9700000}"/>
    <cellStyle name="RIGs input cells 20" xfId="28455" xr:uid="{00000000-0005-0000-0000-0000AA700000}"/>
    <cellStyle name="RIGs input cells 21" xfId="28456" xr:uid="{00000000-0005-0000-0000-0000AB700000}"/>
    <cellStyle name="RIGs input cells 22" xfId="28457" xr:uid="{00000000-0005-0000-0000-0000AC700000}"/>
    <cellStyle name="RIGs input cells 23" xfId="28458" xr:uid="{00000000-0005-0000-0000-0000AD700000}"/>
    <cellStyle name="RIGs input cells 24" xfId="28459" xr:uid="{00000000-0005-0000-0000-0000AE700000}"/>
    <cellStyle name="RIGs input cells 25" xfId="28460" xr:uid="{00000000-0005-0000-0000-0000AF700000}"/>
    <cellStyle name="RIGs input cells 26" xfId="28461" xr:uid="{00000000-0005-0000-0000-0000B0700000}"/>
    <cellStyle name="RIGs input cells 27" xfId="28462" xr:uid="{00000000-0005-0000-0000-0000B1700000}"/>
    <cellStyle name="RIGs input cells 27 2" xfId="28463" xr:uid="{00000000-0005-0000-0000-0000B2700000}"/>
    <cellStyle name="RIGs input cells 27 3" xfId="28464" xr:uid="{00000000-0005-0000-0000-0000B3700000}"/>
    <cellStyle name="RIGs input cells 27 3 2" xfId="28465" xr:uid="{00000000-0005-0000-0000-0000B4700000}"/>
    <cellStyle name="RIGs input cells 28" xfId="28466" xr:uid="{00000000-0005-0000-0000-0000B5700000}"/>
    <cellStyle name="RIGs input cells 29" xfId="28467" xr:uid="{00000000-0005-0000-0000-0000B6700000}"/>
    <cellStyle name="RIGs input cells 3" xfId="28468" xr:uid="{00000000-0005-0000-0000-0000B7700000}"/>
    <cellStyle name="RIGs input cells 3 10" xfId="28469" xr:uid="{00000000-0005-0000-0000-0000B8700000}"/>
    <cellStyle name="RIGs input cells 3 10 10" xfId="28470" xr:uid="{00000000-0005-0000-0000-0000B9700000}"/>
    <cellStyle name="RIGs input cells 3 10 11" xfId="28471" xr:uid="{00000000-0005-0000-0000-0000BA700000}"/>
    <cellStyle name="RIGs input cells 3 10 12" xfId="28472" xr:uid="{00000000-0005-0000-0000-0000BB700000}"/>
    <cellStyle name="RIGs input cells 3 10 13" xfId="28473" xr:uid="{00000000-0005-0000-0000-0000BC700000}"/>
    <cellStyle name="RIGs input cells 3 10 14" xfId="28474" xr:uid="{00000000-0005-0000-0000-0000BD700000}"/>
    <cellStyle name="RIGs input cells 3 10 15" xfId="28475" xr:uid="{00000000-0005-0000-0000-0000BE700000}"/>
    <cellStyle name="RIGs input cells 3 10 16" xfId="28476" xr:uid="{00000000-0005-0000-0000-0000BF700000}"/>
    <cellStyle name="RIGs input cells 3 10 17" xfId="28477" xr:uid="{00000000-0005-0000-0000-0000C0700000}"/>
    <cellStyle name="RIGs input cells 3 10 18" xfId="28478" xr:uid="{00000000-0005-0000-0000-0000C1700000}"/>
    <cellStyle name="RIGs input cells 3 10 19" xfId="28479" xr:uid="{00000000-0005-0000-0000-0000C2700000}"/>
    <cellStyle name="RIGs input cells 3 10 2" xfId="28480" xr:uid="{00000000-0005-0000-0000-0000C3700000}"/>
    <cellStyle name="RIGs input cells 3 10 2 10" xfId="28481" xr:uid="{00000000-0005-0000-0000-0000C4700000}"/>
    <cellStyle name="RIGs input cells 3 10 2 11" xfId="28482" xr:uid="{00000000-0005-0000-0000-0000C5700000}"/>
    <cellStyle name="RIGs input cells 3 10 2 12" xfId="28483" xr:uid="{00000000-0005-0000-0000-0000C6700000}"/>
    <cellStyle name="RIGs input cells 3 10 2 13" xfId="28484" xr:uid="{00000000-0005-0000-0000-0000C7700000}"/>
    <cellStyle name="RIGs input cells 3 10 2 2" xfId="28485" xr:uid="{00000000-0005-0000-0000-0000C8700000}"/>
    <cellStyle name="RIGs input cells 3 10 2 3" xfId="28486" xr:uid="{00000000-0005-0000-0000-0000C9700000}"/>
    <cellStyle name="RIGs input cells 3 10 2 4" xfId="28487" xr:uid="{00000000-0005-0000-0000-0000CA700000}"/>
    <cellStyle name="RIGs input cells 3 10 2 5" xfId="28488" xr:uid="{00000000-0005-0000-0000-0000CB700000}"/>
    <cellStyle name="RIGs input cells 3 10 2 6" xfId="28489" xr:uid="{00000000-0005-0000-0000-0000CC700000}"/>
    <cellStyle name="RIGs input cells 3 10 2 7" xfId="28490" xr:uid="{00000000-0005-0000-0000-0000CD700000}"/>
    <cellStyle name="RIGs input cells 3 10 2 8" xfId="28491" xr:uid="{00000000-0005-0000-0000-0000CE700000}"/>
    <cellStyle name="RIGs input cells 3 10 2 9" xfId="28492" xr:uid="{00000000-0005-0000-0000-0000CF700000}"/>
    <cellStyle name="RIGs input cells 3 10 20" xfId="28493" xr:uid="{00000000-0005-0000-0000-0000D0700000}"/>
    <cellStyle name="RIGs input cells 3 10 21" xfId="28494" xr:uid="{00000000-0005-0000-0000-0000D1700000}"/>
    <cellStyle name="RIGs input cells 3 10 22" xfId="28495" xr:uid="{00000000-0005-0000-0000-0000D2700000}"/>
    <cellStyle name="RIGs input cells 3 10 23" xfId="28496" xr:uid="{00000000-0005-0000-0000-0000D3700000}"/>
    <cellStyle name="RIGs input cells 3 10 24" xfId="28497" xr:uid="{00000000-0005-0000-0000-0000D4700000}"/>
    <cellStyle name="RIGs input cells 3 10 25" xfId="28498" xr:uid="{00000000-0005-0000-0000-0000D5700000}"/>
    <cellStyle name="RIGs input cells 3 10 26" xfId="28499" xr:uid="{00000000-0005-0000-0000-0000D6700000}"/>
    <cellStyle name="RIGs input cells 3 10 27" xfId="28500" xr:uid="{00000000-0005-0000-0000-0000D7700000}"/>
    <cellStyle name="RIGs input cells 3 10 28" xfId="28501" xr:uid="{00000000-0005-0000-0000-0000D8700000}"/>
    <cellStyle name="RIGs input cells 3 10 29" xfId="28502" xr:uid="{00000000-0005-0000-0000-0000D9700000}"/>
    <cellStyle name="RIGs input cells 3 10 3" xfId="28503" xr:uid="{00000000-0005-0000-0000-0000DA700000}"/>
    <cellStyle name="RIGs input cells 3 10 30" xfId="28504" xr:uid="{00000000-0005-0000-0000-0000DB700000}"/>
    <cellStyle name="RIGs input cells 3 10 31" xfId="28505" xr:uid="{00000000-0005-0000-0000-0000DC700000}"/>
    <cellStyle name="RIGs input cells 3 10 32" xfId="28506" xr:uid="{00000000-0005-0000-0000-0000DD700000}"/>
    <cellStyle name="RIGs input cells 3 10 33" xfId="28507" xr:uid="{00000000-0005-0000-0000-0000DE700000}"/>
    <cellStyle name="RIGs input cells 3 10 34" xfId="28508" xr:uid="{00000000-0005-0000-0000-0000DF700000}"/>
    <cellStyle name="RIGs input cells 3 10 4" xfId="28509" xr:uid="{00000000-0005-0000-0000-0000E0700000}"/>
    <cellStyle name="RIGs input cells 3 10 5" xfId="28510" xr:uid="{00000000-0005-0000-0000-0000E1700000}"/>
    <cellStyle name="RIGs input cells 3 10 6" xfId="28511" xr:uid="{00000000-0005-0000-0000-0000E2700000}"/>
    <cellStyle name="RIGs input cells 3 10 7" xfId="28512" xr:uid="{00000000-0005-0000-0000-0000E3700000}"/>
    <cellStyle name="RIGs input cells 3 10 8" xfId="28513" xr:uid="{00000000-0005-0000-0000-0000E4700000}"/>
    <cellStyle name="RIGs input cells 3 10 9" xfId="28514" xr:uid="{00000000-0005-0000-0000-0000E5700000}"/>
    <cellStyle name="RIGs input cells 3 11" xfId="28515" xr:uid="{00000000-0005-0000-0000-0000E6700000}"/>
    <cellStyle name="RIGs input cells 3 11 10" xfId="28516" xr:uid="{00000000-0005-0000-0000-0000E7700000}"/>
    <cellStyle name="RIGs input cells 3 11 11" xfId="28517" xr:uid="{00000000-0005-0000-0000-0000E8700000}"/>
    <cellStyle name="RIGs input cells 3 11 12" xfId="28518" xr:uid="{00000000-0005-0000-0000-0000E9700000}"/>
    <cellStyle name="RIGs input cells 3 11 13" xfId="28519" xr:uid="{00000000-0005-0000-0000-0000EA700000}"/>
    <cellStyle name="RIGs input cells 3 11 14" xfId="28520" xr:uid="{00000000-0005-0000-0000-0000EB700000}"/>
    <cellStyle name="RIGs input cells 3 11 15" xfId="28521" xr:uid="{00000000-0005-0000-0000-0000EC700000}"/>
    <cellStyle name="RIGs input cells 3 11 16" xfId="28522" xr:uid="{00000000-0005-0000-0000-0000ED700000}"/>
    <cellStyle name="RIGs input cells 3 11 17" xfId="28523" xr:uid="{00000000-0005-0000-0000-0000EE700000}"/>
    <cellStyle name="RIGs input cells 3 11 18" xfId="28524" xr:uid="{00000000-0005-0000-0000-0000EF700000}"/>
    <cellStyle name="RIGs input cells 3 11 19" xfId="28525" xr:uid="{00000000-0005-0000-0000-0000F0700000}"/>
    <cellStyle name="RIGs input cells 3 11 2" xfId="28526" xr:uid="{00000000-0005-0000-0000-0000F1700000}"/>
    <cellStyle name="RIGs input cells 3 11 2 10" xfId="28527" xr:uid="{00000000-0005-0000-0000-0000F2700000}"/>
    <cellStyle name="RIGs input cells 3 11 2 11" xfId="28528" xr:uid="{00000000-0005-0000-0000-0000F3700000}"/>
    <cellStyle name="RIGs input cells 3 11 2 12" xfId="28529" xr:uid="{00000000-0005-0000-0000-0000F4700000}"/>
    <cellStyle name="RIGs input cells 3 11 2 13" xfId="28530" xr:uid="{00000000-0005-0000-0000-0000F5700000}"/>
    <cellStyle name="RIGs input cells 3 11 2 2" xfId="28531" xr:uid="{00000000-0005-0000-0000-0000F6700000}"/>
    <cellStyle name="RIGs input cells 3 11 2 3" xfId="28532" xr:uid="{00000000-0005-0000-0000-0000F7700000}"/>
    <cellStyle name="RIGs input cells 3 11 2 4" xfId="28533" xr:uid="{00000000-0005-0000-0000-0000F8700000}"/>
    <cellStyle name="RIGs input cells 3 11 2 5" xfId="28534" xr:uid="{00000000-0005-0000-0000-0000F9700000}"/>
    <cellStyle name="RIGs input cells 3 11 2 6" xfId="28535" xr:uid="{00000000-0005-0000-0000-0000FA700000}"/>
    <cellStyle name="RIGs input cells 3 11 2 7" xfId="28536" xr:uid="{00000000-0005-0000-0000-0000FB700000}"/>
    <cellStyle name="RIGs input cells 3 11 2 8" xfId="28537" xr:uid="{00000000-0005-0000-0000-0000FC700000}"/>
    <cellStyle name="RIGs input cells 3 11 2 9" xfId="28538" xr:uid="{00000000-0005-0000-0000-0000FD700000}"/>
    <cellStyle name="RIGs input cells 3 11 20" xfId="28539" xr:uid="{00000000-0005-0000-0000-0000FE700000}"/>
    <cellStyle name="RIGs input cells 3 11 21" xfId="28540" xr:uid="{00000000-0005-0000-0000-0000FF700000}"/>
    <cellStyle name="RIGs input cells 3 11 22" xfId="28541" xr:uid="{00000000-0005-0000-0000-000000710000}"/>
    <cellStyle name="RIGs input cells 3 11 23" xfId="28542" xr:uid="{00000000-0005-0000-0000-000001710000}"/>
    <cellStyle name="RIGs input cells 3 11 24" xfId="28543" xr:uid="{00000000-0005-0000-0000-000002710000}"/>
    <cellStyle name="RIGs input cells 3 11 25" xfId="28544" xr:uid="{00000000-0005-0000-0000-000003710000}"/>
    <cellStyle name="RIGs input cells 3 11 26" xfId="28545" xr:uid="{00000000-0005-0000-0000-000004710000}"/>
    <cellStyle name="RIGs input cells 3 11 27" xfId="28546" xr:uid="{00000000-0005-0000-0000-000005710000}"/>
    <cellStyle name="RIGs input cells 3 11 28" xfId="28547" xr:uid="{00000000-0005-0000-0000-000006710000}"/>
    <cellStyle name="RIGs input cells 3 11 29" xfId="28548" xr:uid="{00000000-0005-0000-0000-000007710000}"/>
    <cellStyle name="RIGs input cells 3 11 3" xfId="28549" xr:uid="{00000000-0005-0000-0000-000008710000}"/>
    <cellStyle name="RIGs input cells 3 11 30" xfId="28550" xr:uid="{00000000-0005-0000-0000-000009710000}"/>
    <cellStyle name="RIGs input cells 3 11 31" xfId="28551" xr:uid="{00000000-0005-0000-0000-00000A710000}"/>
    <cellStyle name="RIGs input cells 3 11 32" xfId="28552" xr:uid="{00000000-0005-0000-0000-00000B710000}"/>
    <cellStyle name="RIGs input cells 3 11 33" xfId="28553" xr:uid="{00000000-0005-0000-0000-00000C710000}"/>
    <cellStyle name="RIGs input cells 3 11 34" xfId="28554" xr:uid="{00000000-0005-0000-0000-00000D710000}"/>
    <cellStyle name="RIGs input cells 3 11 4" xfId="28555" xr:uid="{00000000-0005-0000-0000-00000E710000}"/>
    <cellStyle name="RIGs input cells 3 11 5" xfId="28556" xr:uid="{00000000-0005-0000-0000-00000F710000}"/>
    <cellStyle name="RIGs input cells 3 11 6" xfId="28557" xr:uid="{00000000-0005-0000-0000-000010710000}"/>
    <cellStyle name="RIGs input cells 3 11 7" xfId="28558" xr:uid="{00000000-0005-0000-0000-000011710000}"/>
    <cellStyle name="RIGs input cells 3 11 8" xfId="28559" xr:uid="{00000000-0005-0000-0000-000012710000}"/>
    <cellStyle name="RIGs input cells 3 11 9" xfId="28560" xr:uid="{00000000-0005-0000-0000-000013710000}"/>
    <cellStyle name="RIGs input cells 3 12" xfId="28561" xr:uid="{00000000-0005-0000-0000-000014710000}"/>
    <cellStyle name="RIGs input cells 3 12 10" xfId="28562" xr:uid="{00000000-0005-0000-0000-000015710000}"/>
    <cellStyle name="RIGs input cells 3 12 11" xfId="28563" xr:uid="{00000000-0005-0000-0000-000016710000}"/>
    <cellStyle name="RIGs input cells 3 12 12" xfId="28564" xr:uid="{00000000-0005-0000-0000-000017710000}"/>
    <cellStyle name="RIGs input cells 3 12 13" xfId="28565" xr:uid="{00000000-0005-0000-0000-000018710000}"/>
    <cellStyle name="RIGs input cells 3 12 2" xfId="28566" xr:uid="{00000000-0005-0000-0000-000019710000}"/>
    <cellStyle name="RIGs input cells 3 12 3" xfId="28567" xr:uid="{00000000-0005-0000-0000-00001A710000}"/>
    <cellStyle name="RIGs input cells 3 12 4" xfId="28568" xr:uid="{00000000-0005-0000-0000-00001B710000}"/>
    <cellStyle name="RIGs input cells 3 12 5" xfId="28569" xr:uid="{00000000-0005-0000-0000-00001C710000}"/>
    <cellStyle name="RIGs input cells 3 12 6" xfId="28570" xr:uid="{00000000-0005-0000-0000-00001D710000}"/>
    <cellStyle name="RIGs input cells 3 12 7" xfId="28571" xr:uid="{00000000-0005-0000-0000-00001E710000}"/>
    <cellStyle name="RIGs input cells 3 12 8" xfId="28572" xr:uid="{00000000-0005-0000-0000-00001F710000}"/>
    <cellStyle name="RIGs input cells 3 12 9" xfId="28573" xr:uid="{00000000-0005-0000-0000-000020710000}"/>
    <cellStyle name="RIGs input cells 3 13" xfId="28574" xr:uid="{00000000-0005-0000-0000-000021710000}"/>
    <cellStyle name="RIGs input cells 3 14" xfId="28575" xr:uid="{00000000-0005-0000-0000-000022710000}"/>
    <cellStyle name="RIGs input cells 3 15" xfId="28576" xr:uid="{00000000-0005-0000-0000-000023710000}"/>
    <cellStyle name="RIGs input cells 3 16" xfId="28577" xr:uid="{00000000-0005-0000-0000-000024710000}"/>
    <cellStyle name="RIGs input cells 3 17" xfId="28578" xr:uid="{00000000-0005-0000-0000-000025710000}"/>
    <cellStyle name="RIGs input cells 3 18" xfId="28579" xr:uid="{00000000-0005-0000-0000-000026710000}"/>
    <cellStyle name="RIGs input cells 3 19" xfId="28580" xr:uid="{00000000-0005-0000-0000-000027710000}"/>
    <cellStyle name="RIGs input cells 3 2" xfId="28581" xr:uid="{00000000-0005-0000-0000-000028710000}"/>
    <cellStyle name="RIGs input cells 3 2 10" xfId="28582" xr:uid="{00000000-0005-0000-0000-000029710000}"/>
    <cellStyle name="RIGs input cells 3 2 11" xfId="28583" xr:uid="{00000000-0005-0000-0000-00002A710000}"/>
    <cellStyle name="RIGs input cells 3 2 12" xfId="28584" xr:uid="{00000000-0005-0000-0000-00002B710000}"/>
    <cellStyle name="RIGs input cells 3 2 13" xfId="28585" xr:uid="{00000000-0005-0000-0000-00002C710000}"/>
    <cellStyle name="RIGs input cells 3 2 14" xfId="28586" xr:uid="{00000000-0005-0000-0000-00002D710000}"/>
    <cellStyle name="RIGs input cells 3 2 15" xfId="28587" xr:uid="{00000000-0005-0000-0000-00002E710000}"/>
    <cellStyle name="RIGs input cells 3 2 16" xfId="28588" xr:uid="{00000000-0005-0000-0000-00002F710000}"/>
    <cellStyle name="RIGs input cells 3 2 17" xfId="28589" xr:uid="{00000000-0005-0000-0000-000030710000}"/>
    <cellStyle name="RIGs input cells 3 2 18" xfId="28590" xr:uid="{00000000-0005-0000-0000-000031710000}"/>
    <cellStyle name="RIGs input cells 3 2 19" xfId="28591" xr:uid="{00000000-0005-0000-0000-000032710000}"/>
    <cellStyle name="RIGs input cells 3 2 2" xfId="28592" xr:uid="{00000000-0005-0000-0000-000033710000}"/>
    <cellStyle name="RIGs input cells 3 2 2 10" xfId="28593" xr:uid="{00000000-0005-0000-0000-000034710000}"/>
    <cellStyle name="RIGs input cells 3 2 2 11" xfId="28594" xr:uid="{00000000-0005-0000-0000-000035710000}"/>
    <cellStyle name="RIGs input cells 3 2 2 12" xfId="28595" xr:uid="{00000000-0005-0000-0000-000036710000}"/>
    <cellStyle name="RIGs input cells 3 2 2 13" xfId="28596" xr:uid="{00000000-0005-0000-0000-000037710000}"/>
    <cellStyle name="RIGs input cells 3 2 2 14" xfId="28597" xr:uid="{00000000-0005-0000-0000-000038710000}"/>
    <cellStyle name="RIGs input cells 3 2 2 15" xfId="28598" xr:uid="{00000000-0005-0000-0000-000039710000}"/>
    <cellStyle name="RIGs input cells 3 2 2 16" xfId="28599" xr:uid="{00000000-0005-0000-0000-00003A710000}"/>
    <cellStyle name="RIGs input cells 3 2 2 17" xfId="28600" xr:uid="{00000000-0005-0000-0000-00003B710000}"/>
    <cellStyle name="RIGs input cells 3 2 2 18" xfId="28601" xr:uid="{00000000-0005-0000-0000-00003C710000}"/>
    <cellStyle name="RIGs input cells 3 2 2 19" xfId="28602" xr:uid="{00000000-0005-0000-0000-00003D710000}"/>
    <cellStyle name="RIGs input cells 3 2 2 2" xfId="28603" xr:uid="{00000000-0005-0000-0000-00003E710000}"/>
    <cellStyle name="RIGs input cells 3 2 2 2 10" xfId="28604" xr:uid="{00000000-0005-0000-0000-00003F710000}"/>
    <cellStyle name="RIGs input cells 3 2 2 2 11" xfId="28605" xr:uid="{00000000-0005-0000-0000-000040710000}"/>
    <cellStyle name="RIGs input cells 3 2 2 2 12" xfId="28606" xr:uid="{00000000-0005-0000-0000-000041710000}"/>
    <cellStyle name="RIGs input cells 3 2 2 2 13" xfId="28607" xr:uid="{00000000-0005-0000-0000-000042710000}"/>
    <cellStyle name="RIGs input cells 3 2 2 2 14" xfId="28608" xr:uid="{00000000-0005-0000-0000-000043710000}"/>
    <cellStyle name="RIGs input cells 3 2 2 2 15" xfId="28609" xr:uid="{00000000-0005-0000-0000-000044710000}"/>
    <cellStyle name="RIGs input cells 3 2 2 2 16" xfId="28610" xr:uid="{00000000-0005-0000-0000-000045710000}"/>
    <cellStyle name="RIGs input cells 3 2 2 2 17" xfId="28611" xr:uid="{00000000-0005-0000-0000-000046710000}"/>
    <cellStyle name="RIGs input cells 3 2 2 2 18" xfId="28612" xr:uid="{00000000-0005-0000-0000-000047710000}"/>
    <cellStyle name="RIGs input cells 3 2 2 2 19" xfId="28613" xr:uid="{00000000-0005-0000-0000-000048710000}"/>
    <cellStyle name="RIGs input cells 3 2 2 2 2" xfId="28614" xr:uid="{00000000-0005-0000-0000-000049710000}"/>
    <cellStyle name="RIGs input cells 3 2 2 2 2 10" xfId="28615" xr:uid="{00000000-0005-0000-0000-00004A710000}"/>
    <cellStyle name="RIGs input cells 3 2 2 2 2 11" xfId="28616" xr:uid="{00000000-0005-0000-0000-00004B710000}"/>
    <cellStyle name="RIGs input cells 3 2 2 2 2 12" xfId="28617" xr:uid="{00000000-0005-0000-0000-00004C710000}"/>
    <cellStyle name="RIGs input cells 3 2 2 2 2 13" xfId="28618" xr:uid="{00000000-0005-0000-0000-00004D710000}"/>
    <cellStyle name="RIGs input cells 3 2 2 2 2 14" xfId="28619" xr:uid="{00000000-0005-0000-0000-00004E710000}"/>
    <cellStyle name="RIGs input cells 3 2 2 2 2 15" xfId="28620" xr:uid="{00000000-0005-0000-0000-00004F710000}"/>
    <cellStyle name="RIGs input cells 3 2 2 2 2 16" xfId="28621" xr:uid="{00000000-0005-0000-0000-000050710000}"/>
    <cellStyle name="RIGs input cells 3 2 2 2 2 17" xfId="28622" xr:uid="{00000000-0005-0000-0000-000051710000}"/>
    <cellStyle name="RIGs input cells 3 2 2 2 2 18" xfId="28623" xr:uid="{00000000-0005-0000-0000-000052710000}"/>
    <cellStyle name="RIGs input cells 3 2 2 2 2 19" xfId="28624" xr:uid="{00000000-0005-0000-0000-000053710000}"/>
    <cellStyle name="RIGs input cells 3 2 2 2 2 2" xfId="28625" xr:uid="{00000000-0005-0000-0000-000054710000}"/>
    <cellStyle name="RIGs input cells 3 2 2 2 2 2 10" xfId="28626" xr:uid="{00000000-0005-0000-0000-000055710000}"/>
    <cellStyle name="RIGs input cells 3 2 2 2 2 2 11" xfId="28627" xr:uid="{00000000-0005-0000-0000-000056710000}"/>
    <cellStyle name="RIGs input cells 3 2 2 2 2 2 12" xfId="28628" xr:uid="{00000000-0005-0000-0000-000057710000}"/>
    <cellStyle name="RIGs input cells 3 2 2 2 2 2 13" xfId="28629" xr:uid="{00000000-0005-0000-0000-000058710000}"/>
    <cellStyle name="RIGs input cells 3 2 2 2 2 2 2" xfId="28630" xr:uid="{00000000-0005-0000-0000-000059710000}"/>
    <cellStyle name="RIGs input cells 3 2 2 2 2 2 3" xfId="28631" xr:uid="{00000000-0005-0000-0000-00005A710000}"/>
    <cellStyle name="RIGs input cells 3 2 2 2 2 2 4" xfId="28632" xr:uid="{00000000-0005-0000-0000-00005B710000}"/>
    <cellStyle name="RIGs input cells 3 2 2 2 2 2 5" xfId="28633" xr:uid="{00000000-0005-0000-0000-00005C710000}"/>
    <cellStyle name="RIGs input cells 3 2 2 2 2 2 6" xfId="28634" xr:uid="{00000000-0005-0000-0000-00005D710000}"/>
    <cellStyle name="RIGs input cells 3 2 2 2 2 2 7" xfId="28635" xr:uid="{00000000-0005-0000-0000-00005E710000}"/>
    <cellStyle name="RIGs input cells 3 2 2 2 2 2 8" xfId="28636" xr:uid="{00000000-0005-0000-0000-00005F710000}"/>
    <cellStyle name="RIGs input cells 3 2 2 2 2 2 9" xfId="28637" xr:uid="{00000000-0005-0000-0000-000060710000}"/>
    <cellStyle name="RIGs input cells 3 2 2 2 2 20" xfId="28638" xr:uid="{00000000-0005-0000-0000-000061710000}"/>
    <cellStyle name="RIGs input cells 3 2 2 2 2 21" xfId="28639" xr:uid="{00000000-0005-0000-0000-000062710000}"/>
    <cellStyle name="RIGs input cells 3 2 2 2 2 22" xfId="28640" xr:uid="{00000000-0005-0000-0000-000063710000}"/>
    <cellStyle name="RIGs input cells 3 2 2 2 2 23" xfId="28641" xr:uid="{00000000-0005-0000-0000-000064710000}"/>
    <cellStyle name="RIGs input cells 3 2 2 2 2 24" xfId="28642" xr:uid="{00000000-0005-0000-0000-000065710000}"/>
    <cellStyle name="RIGs input cells 3 2 2 2 2 25" xfId="28643" xr:uid="{00000000-0005-0000-0000-000066710000}"/>
    <cellStyle name="RIGs input cells 3 2 2 2 2 26" xfId="28644" xr:uid="{00000000-0005-0000-0000-000067710000}"/>
    <cellStyle name="RIGs input cells 3 2 2 2 2 27" xfId="28645" xr:uid="{00000000-0005-0000-0000-000068710000}"/>
    <cellStyle name="RIGs input cells 3 2 2 2 2 28" xfId="28646" xr:uid="{00000000-0005-0000-0000-000069710000}"/>
    <cellStyle name="RIGs input cells 3 2 2 2 2 29" xfId="28647" xr:uid="{00000000-0005-0000-0000-00006A710000}"/>
    <cellStyle name="RIGs input cells 3 2 2 2 2 3" xfId="28648" xr:uid="{00000000-0005-0000-0000-00006B710000}"/>
    <cellStyle name="RIGs input cells 3 2 2 2 2 30" xfId="28649" xr:uid="{00000000-0005-0000-0000-00006C710000}"/>
    <cellStyle name="RIGs input cells 3 2 2 2 2 31" xfId="28650" xr:uid="{00000000-0005-0000-0000-00006D710000}"/>
    <cellStyle name="RIGs input cells 3 2 2 2 2 32" xfId="28651" xr:uid="{00000000-0005-0000-0000-00006E710000}"/>
    <cellStyle name="RIGs input cells 3 2 2 2 2 33" xfId="28652" xr:uid="{00000000-0005-0000-0000-00006F710000}"/>
    <cellStyle name="RIGs input cells 3 2 2 2 2 34" xfId="28653" xr:uid="{00000000-0005-0000-0000-000070710000}"/>
    <cellStyle name="RIGs input cells 3 2 2 2 2 4" xfId="28654" xr:uid="{00000000-0005-0000-0000-000071710000}"/>
    <cellStyle name="RIGs input cells 3 2 2 2 2 5" xfId="28655" xr:uid="{00000000-0005-0000-0000-000072710000}"/>
    <cellStyle name="RIGs input cells 3 2 2 2 2 6" xfId="28656" xr:uid="{00000000-0005-0000-0000-000073710000}"/>
    <cellStyle name="RIGs input cells 3 2 2 2 2 7" xfId="28657" xr:uid="{00000000-0005-0000-0000-000074710000}"/>
    <cellStyle name="RIGs input cells 3 2 2 2 2 8" xfId="28658" xr:uid="{00000000-0005-0000-0000-000075710000}"/>
    <cellStyle name="RIGs input cells 3 2 2 2 2 9" xfId="28659" xr:uid="{00000000-0005-0000-0000-000076710000}"/>
    <cellStyle name="RIGs input cells 3 2 2 2 20" xfId="28660" xr:uid="{00000000-0005-0000-0000-000077710000}"/>
    <cellStyle name="RIGs input cells 3 2 2 2 21" xfId="28661" xr:uid="{00000000-0005-0000-0000-000078710000}"/>
    <cellStyle name="RIGs input cells 3 2 2 2 22" xfId="28662" xr:uid="{00000000-0005-0000-0000-000079710000}"/>
    <cellStyle name="RIGs input cells 3 2 2 2 23" xfId="28663" xr:uid="{00000000-0005-0000-0000-00007A710000}"/>
    <cellStyle name="RIGs input cells 3 2 2 2 24" xfId="28664" xr:uid="{00000000-0005-0000-0000-00007B710000}"/>
    <cellStyle name="RIGs input cells 3 2 2 2 25" xfId="28665" xr:uid="{00000000-0005-0000-0000-00007C710000}"/>
    <cellStyle name="RIGs input cells 3 2 2 2 26" xfId="28666" xr:uid="{00000000-0005-0000-0000-00007D710000}"/>
    <cellStyle name="RIGs input cells 3 2 2 2 27" xfId="28667" xr:uid="{00000000-0005-0000-0000-00007E710000}"/>
    <cellStyle name="RIGs input cells 3 2 2 2 28" xfId="28668" xr:uid="{00000000-0005-0000-0000-00007F710000}"/>
    <cellStyle name="RIGs input cells 3 2 2 2 29" xfId="28669" xr:uid="{00000000-0005-0000-0000-000080710000}"/>
    <cellStyle name="RIGs input cells 3 2 2 2 3" xfId="28670" xr:uid="{00000000-0005-0000-0000-000081710000}"/>
    <cellStyle name="RIGs input cells 3 2 2 2 3 10" xfId="28671" xr:uid="{00000000-0005-0000-0000-000082710000}"/>
    <cellStyle name="RIGs input cells 3 2 2 2 3 11" xfId="28672" xr:uid="{00000000-0005-0000-0000-000083710000}"/>
    <cellStyle name="RIGs input cells 3 2 2 2 3 12" xfId="28673" xr:uid="{00000000-0005-0000-0000-000084710000}"/>
    <cellStyle name="RIGs input cells 3 2 2 2 3 13" xfId="28674" xr:uid="{00000000-0005-0000-0000-000085710000}"/>
    <cellStyle name="RIGs input cells 3 2 2 2 3 2" xfId="28675" xr:uid="{00000000-0005-0000-0000-000086710000}"/>
    <cellStyle name="RIGs input cells 3 2 2 2 3 3" xfId="28676" xr:uid="{00000000-0005-0000-0000-000087710000}"/>
    <cellStyle name="RIGs input cells 3 2 2 2 3 4" xfId="28677" xr:uid="{00000000-0005-0000-0000-000088710000}"/>
    <cellStyle name="RIGs input cells 3 2 2 2 3 5" xfId="28678" xr:uid="{00000000-0005-0000-0000-000089710000}"/>
    <cellStyle name="RIGs input cells 3 2 2 2 3 6" xfId="28679" xr:uid="{00000000-0005-0000-0000-00008A710000}"/>
    <cellStyle name="RIGs input cells 3 2 2 2 3 7" xfId="28680" xr:uid="{00000000-0005-0000-0000-00008B710000}"/>
    <cellStyle name="RIGs input cells 3 2 2 2 3 8" xfId="28681" xr:uid="{00000000-0005-0000-0000-00008C710000}"/>
    <cellStyle name="RIGs input cells 3 2 2 2 3 9" xfId="28682" xr:uid="{00000000-0005-0000-0000-00008D710000}"/>
    <cellStyle name="RIGs input cells 3 2 2 2 30" xfId="28683" xr:uid="{00000000-0005-0000-0000-00008E710000}"/>
    <cellStyle name="RIGs input cells 3 2 2 2 31" xfId="28684" xr:uid="{00000000-0005-0000-0000-00008F710000}"/>
    <cellStyle name="RIGs input cells 3 2 2 2 32" xfId="28685" xr:uid="{00000000-0005-0000-0000-000090710000}"/>
    <cellStyle name="RIGs input cells 3 2 2 2 33" xfId="28686" xr:uid="{00000000-0005-0000-0000-000091710000}"/>
    <cellStyle name="RIGs input cells 3 2 2 2 34" xfId="28687" xr:uid="{00000000-0005-0000-0000-000092710000}"/>
    <cellStyle name="RIGs input cells 3 2 2 2 35" xfId="28688" xr:uid="{00000000-0005-0000-0000-000093710000}"/>
    <cellStyle name="RIGs input cells 3 2 2 2 4" xfId="28689" xr:uid="{00000000-0005-0000-0000-000094710000}"/>
    <cellStyle name="RIGs input cells 3 2 2 2 5" xfId="28690" xr:uid="{00000000-0005-0000-0000-000095710000}"/>
    <cellStyle name="RIGs input cells 3 2 2 2 6" xfId="28691" xr:uid="{00000000-0005-0000-0000-000096710000}"/>
    <cellStyle name="RIGs input cells 3 2 2 2 7" xfId="28692" xr:uid="{00000000-0005-0000-0000-000097710000}"/>
    <cellStyle name="RIGs input cells 3 2 2 2 8" xfId="28693" xr:uid="{00000000-0005-0000-0000-000098710000}"/>
    <cellStyle name="RIGs input cells 3 2 2 2 9" xfId="28694" xr:uid="{00000000-0005-0000-0000-000099710000}"/>
    <cellStyle name="RIGs input cells 3 2 2 2_4 28 1_Asst_Health_Crit_AllTO_RIIO_20110714pm" xfId="28695" xr:uid="{00000000-0005-0000-0000-00009A710000}"/>
    <cellStyle name="RIGs input cells 3 2 2 20" xfId="28696" xr:uid="{00000000-0005-0000-0000-00009B710000}"/>
    <cellStyle name="RIGs input cells 3 2 2 21" xfId="28697" xr:uid="{00000000-0005-0000-0000-00009C710000}"/>
    <cellStyle name="RIGs input cells 3 2 2 22" xfId="28698" xr:uid="{00000000-0005-0000-0000-00009D710000}"/>
    <cellStyle name="RIGs input cells 3 2 2 23" xfId="28699" xr:uid="{00000000-0005-0000-0000-00009E710000}"/>
    <cellStyle name="RIGs input cells 3 2 2 24" xfId="28700" xr:uid="{00000000-0005-0000-0000-00009F710000}"/>
    <cellStyle name="RIGs input cells 3 2 2 25" xfId="28701" xr:uid="{00000000-0005-0000-0000-0000A0710000}"/>
    <cellStyle name="RIGs input cells 3 2 2 26" xfId="28702" xr:uid="{00000000-0005-0000-0000-0000A1710000}"/>
    <cellStyle name="RIGs input cells 3 2 2 27" xfId="28703" xr:uid="{00000000-0005-0000-0000-0000A2710000}"/>
    <cellStyle name="RIGs input cells 3 2 2 28" xfId="28704" xr:uid="{00000000-0005-0000-0000-0000A3710000}"/>
    <cellStyle name="RIGs input cells 3 2 2 29" xfId="28705" xr:uid="{00000000-0005-0000-0000-0000A4710000}"/>
    <cellStyle name="RIGs input cells 3 2 2 3" xfId="28706" xr:uid="{00000000-0005-0000-0000-0000A5710000}"/>
    <cellStyle name="RIGs input cells 3 2 2 3 10" xfId="28707" xr:uid="{00000000-0005-0000-0000-0000A6710000}"/>
    <cellStyle name="RIGs input cells 3 2 2 3 11" xfId="28708" xr:uid="{00000000-0005-0000-0000-0000A7710000}"/>
    <cellStyle name="RIGs input cells 3 2 2 3 12" xfId="28709" xr:uid="{00000000-0005-0000-0000-0000A8710000}"/>
    <cellStyle name="RIGs input cells 3 2 2 3 13" xfId="28710" xr:uid="{00000000-0005-0000-0000-0000A9710000}"/>
    <cellStyle name="RIGs input cells 3 2 2 3 14" xfId="28711" xr:uid="{00000000-0005-0000-0000-0000AA710000}"/>
    <cellStyle name="RIGs input cells 3 2 2 3 15" xfId="28712" xr:uid="{00000000-0005-0000-0000-0000AB710000}"/>
    <cellStyle name="RIGs input cells 3 2 2 3 16" xfId="28713" xr:uid="{00000000-0005-0000-0000-0000AC710000}"/>
    <cellStyle name="RIGs input cells 3 2 2 3 17" xfId="28714" xr:uid="{00000000-0005-0000-0000-0000AD710000}"/>
    <cellStyle name="RIGs input cells 3 2 2 3 18" xfId="28715" xr:uid="{00000000-0005-0000-0000-0000AE710000}"/>
    <cellStyle name="RIGs input cells 3 2 2 3 19" xfId="28716" xr:uid="{00000000-0005-0000-0000-0000AF710000}"/>
    <cellStyle name="RIGs input cells 3 2 2 3 2" xfId="28717" xr:uid="{00000000-0005-0000-0000-0000B0710000}"/>
    <cellStyle name="RIGs input cells 3 2 2 3 2 10" xfId="28718" xr:uid="{00000000-0005-0000-0000-0000B1710000}"/>
    <cellStyle name="RIGs input cells 3 2 2 3 2 11" xfId="28719" xr:uid="{00000000-0005-0000-0000-0000B2710000}"/>
    <cellStyle name="RIGs input cells 3 2 2 3 2 12" xfId="28720" xr:uid="{00000000-0005-0000-0000-0000B3710000}"/>
    <cellStyle name="RIGs input cells 3 2 2 3 2 13" xfId="28721" xr:uid="{00000000-0005-0000-0000-0000B4710000}"/>
    <cellStyle name="RIGs input cells 3 2 2 3 2 2" xfId="28722" xr:uid="{00000000-0005-0000-0000-0000B5710000}"/>
    <cellStyle name="RIGs input cells 3 2 2 3 2 3" xfId="28723" xr:uid="{00000000-0005-0000-0000-0000B6710000}"/>
    <cellStyle name="RIGs input cells 3 2 2 3 2 4" xfId="28724" xr:uid="{00000000-0005-0000-0000-0000B7710000}"/>
    <cellStyle name="RIGs input cells 3 2 2 3 2 5" xfId="28725" xr:uid="{00000000-0005-0000-0000-0000B8710000}"/>
    <cellStyle name="RIGs input cells 3 2 2 3 2 6" xfId="28726" xr:uid="{00000000-0005-0000-0000-0000B9710000}"/>
    <cellStyle name="RIGs input cells 3 2 2 3 2 7" xfId="28727" xr:uid="{00000000-0005-0000-0000-0000BA710000}"/>
    <cellStyle name="RIGs input cells 3 2 2 3 2 8" xfId="28728" xr:uid="{00000000-0005-0000-0000-0000BB710000}"/>
    <cellStyle name="RIGs input cells 3 2 2 3 2 9" xfId="28729" xr:uid="{00000000-0005-0000-0000-0000BC710000}"/>
    <cellStyle name="RIGs input cells 3 2 2 3 20" xfId="28730" xr:uid="{00000000-0005-0000-0000-0000BD710000}"/>
    <cellStyle name="RIGs input cells 3 2 2 3 21" xfId="28731" xr:uid="{00000000-0005-0000-0000-0000BE710000}"/>
    <cellStyle name="RIGs input cells 3 2 2 3 22" xfId="28732" xr:uid="{00000000-0005-0000-0000-0000BF710000}"/>
    <cellStyle name="RIGs input cells 3 2 2 3 23" xfId="28733" xr:uid="{00000000-0005-0000-0000-0000C0710000}"/>
    <cellStyle name="RIGs input cells 3 2 2 3 24" xfId="28734" xr:uid="{00000000-0005-0000-0000-0000C1710000}"/>
    <cellStyle name="RIGs input cells 3 2 2 3 25" xfId="28735" xr:uid="{00000000-0005-0000-0000-0000C2710000}"/>
    <cellStyle name="RIGs input cells 3 2 2 3 26" xfId="28736" xr:uid="{00000000-0005-0000-0000-0000C3710000}"/>
    <cellStyle name="RIGs input cells 3 2 2 3 27" xfId="28737" xr:uid="{00000000-0005-0000-0000-0000C4710000}"/>
    <cellStyle name="RIGs input cells 3 2 2 3 28" xfId="28738" xr:uid="{00000000-0005-0000-0000-0000C5710000}"/>
    <cellStyle name="RIGs input cells 3 2 2 3 29" xfId="28739" xr:uid="{00000000-0005-0000-0000-0000C6710000}"/>
    <cellStyle name="RIGs input cells 3 2 2 3 3" xfId="28740" xr:uid="{00000000-0005-0000-0000-0000C7710000}"/>
    <cellStyle name="RIGs input cells 3 2 2 3 30" xfId="28741" xr:uid="{00000000-0005-0000-0000-0000C8710000}"/>
    <cellStyle name="RIGs input cells 3 2 2 3 31" xfId="28742" xr:uid="{00000000-0005-0000-0000-0000C9710000}"/>
    <cellStyle name="RIGs input cells 3 2 2 3 32" xfId="28743" xr:uid="{00000000-0005-0000-0000-0000CA710000}"/>
    <cellStyle name="RIGs input cells 3 2 2 3 33" xfId="28744" xr:uid="{00000000-0005-0000-0000-0000CB710000}"/>
    <cellStyle name="RIGs input cells 3 2 2 3 34" xfId="28745" xr:uid="{00000000-0005-0000-0000-0000CC710000}"/>
    <cellStyle name="RIGs input cells 3 2 2 3 4" xfId="28746" xr:uid="{00000000-0005-0000-0000-0000CD710000}"/>
    <cellStyle name="RIGs input cells 3 2 2 3 5" xfId="28747" xr:uid="{00000000-0005-0000-0000-0000CE710000}"/>
    <cellStyle name="RIGs input cells 3 2 2 3 6" xfId="28748" xr:uid="{00000000-0005-0000-0000-0000CF710000}"/>
    <cellStyle name="RIGs input cells 3 2 2 3 7" xfId="28749" xr:uid="{00000000-0005-0000-0000-0000D0710000}"/>
    <cellStyle name="RIGs input cells 3 2 2 3 8" xfId="28750" xr:uid="{00000000-0005-0000-0000-0000D1710000}"/>
    <cellStyle name="RIGs input cells 3 2 2 3 9" xfId="28751" xr:uid="{00000000-0005-0000-0000-0000D2710000}"/>
    <cellStyle name="RIGs input cells 3 2 2 30" xfId="28752" xr:uid="{00000000-0005-0000-0000-0000D3710000}"/>
    <cellStyle name="RIGs input cells 3 2 2 31" xfId="28753" xr:uid="{00000000-0005-0000-0000-0000D4710000}"/>
    <cellStyle name="RIGs input cells 3 2 2 32" xfId="28754" xr:uid="{00000000-0005-0000-0000-0000D5710000}"/>
    <cellStyle name="RIGs input cells 3 2 2 33" xfId="28755" xr:uid="{00000000-0005-0000-0000-0000D6710000}"/>
    <cellStyle name="RIGs input cells 3 2 2 34" xfId="28756" xr:uid="{00000000-0005-0000-0000-0000D7710000}"/>
    <cellStyle name="RIGs input cells 3 2 2 35" xfId="28757" xr:uid="{00000000-0005-0000-0000-0000D8710000}"/>
    <cellStyle name="RIGs input cells 3 2 2 36" xfId="28758" xr:uid="{00000000-0005-0000-0000-0000D9710000}"/>
    <cellStyle name="RIGs input cells 3 2 2 37" xfId="28759" xr:uid="{00000000-0005-0000-0000-0000DA710000}"/>
    <cellStyle name="RIGs input cells 3 2 2 38" xfId="28760" xr:uid="{00000000-0005-0000-0000-0000DB710000}"/>
    <cellStyle name="RIGs input cells 3 2 2 4" xfId="28761" xr:uid="{00000000-0005-0000-0000-0000DC710000}"/>
    <cellStyle name="RIGs input cells 3 2 2 4 10" xfId="28762" xr:uid="{00000000-0005-0000-0000-0000DD710000}"/>
    <cellStyle name="RIGs input cells 3 2 2 4 11" xfId="28763" xr:uid="{00000000-0005-0000-0000-0000DE710000}"/>
    <cellStyle name="RIGs input cells 3 2 2 4 12" xfId="28764" xr:uid="{00000000-0005-0000-0000-0000DF710000}"/>
    <cellStyle name="RIGs input cells 3 2 2 4 13" xfId="28765" xr:uid="{00000000-0005-0000-0000-0000E0710000}"/>
    <cellStyle name="RIGs input cells 3 2 2 4 14" xfId="28766" xr:uid="{00000000-0005-0000-0000-0000E1710000}"/>
    <cellStyle name="RIGs input cells 3 2 2 4 15" xfId="28767" xr:uid="{00000000-0005-0000-0000-0000E2710000}"/>
    <cellStyle name="RIGs input cells 3 2 2 4 16" xfId="28768" xr:uid="{00000000-0005-0000-0000-0000E3710000}"/>
    <cellStyle name="RIGs input cells 3 2 2 4 17" xfId="28769" xr:uid="{00000000-0005-0000-0000-0000E4710000}"/>
    <cellStyle name="RIGs input cells 3 2 2 4 18" xfId="28770" xr:uid="{00000000-0005-0000-0000-0000E5710000}"/>
    <cellStyle name="RIGs input cells 3 2 2 4 19" xfId="28771" xr:uid="{00000000-0005-0000-0000-0000E6710000}"/>
    <cellStyle name="RIGs input cells 3 2 2 4 2" xfId="28772" xr:uid="{00000000-0005-0000-0000-0000E7710000}"/>
    <cellStyle name="RIGs input cells 3 2 2 4 2 10" xfId="28773" xr:uid="{00000000-0005-0000-0000-0000E8710000}"/>
    <cellStyle name="RIGs input cells 3 2 2 4 2 11" xfId="28774" xr:uid="{00000000-0005-0000-0000-0000E9710000}"/>
    <cellStyle name="RIGs input cells 3 2 2 4 2 12" xfId="28775" xr:uid="{00000000-0005-0000-0000-0000EA710000}"/>
    <cellStyle name="RIGs input cells 3 2 2 4 2 13" xfId="28776" xr:uid="{00000000-0005-0000-0000-0000EB710000}"/>
    <cellStyle name="RIGs input cells 3 2 2 4 2 2" xfId="28777" xr:uid="{00000000-0005-0000-0000-0000EC710000}"/>
    <cellStyle name="RIGs input cells 3 2 2 4 2 3" xfId="28778" xr:uid="{00000000-0005-0000-0000-0000ED710000}"/>
    <cellStyle name="RIGs input cells 3 2 2 4 2 4" xfId="28779" xr:uid="{00000000-0005-0000-0000-0000EE710000}"/>
    <cellStyle name="RIGs input cells 3 2 2 4 2 5" xfId="28780" xr:uid="{00000000-0005-0000-0000-0000EF710000}"/>
    <cellStyle name="RIGs input cells 3 2 2 4 2 6" xfId="28781" xr:uid="{00000000-0005-0000-0000-0000F0710000}"/>
    <cellStyle name="RIGs input cells 3 2 2 4 2 7" xfId="28782" xr:uid="{00000000-0005-0000-0000-0000F1710000}"/>
    <cellStyle name="RIGs input cells 3 2 2 4 2 8" xfId="28783" xr:uid="{00000000-0005-0000-0000-0000F2710000}"/>
    <cellStyle name="RIGs input cells 3 2 2 4 2 9" xfId="28784" xr:uid="{00000000-0005-0000-0000-0000F3710000}"/>
    <cellStyle name="RIGs input cells 3 2 2 4 20" xfId="28785" xr:uid="{00000000-0005-0000-0000-0000F4710000}"/>
    <cellStyle name="RIGs input cells 3 2 2 4 21" xfId="28786" xr:uid="{00000000-0005-0000-0000-0000F5710000}"/>
    <cellStyle name="RIGs input cells 3 2 2 4 22" xfId="28787" xr:uid="{00000000-0005-0000-0000-0000F6710000}"/>
    <cellStyle name="RIGs input cells 3 2 2 4 23" xfId="28788" xr:uid="{00000000-0005-0000-0000-0000F7710000}"/>
    <cellStyle name="RIGs input cells 3 2 2 4 24" xfId="28789" xr:uid="{00000000-0005-0000-0000-0000F8710000}"/>
    <cellStyle name="RIGs input cells 3 2 2 4 25" xfId="28790" xr:uid="{00000000-0005-0000-0000-0000F9710000}"/>
    <cellStyle name="RIGs input cells 3 2 2 4 26" xfId="28791" xr:uid="{00000000-0005-0000-0000-0000FA710000}"/>
    <cellStyle name="RIGs input cells 3 2 2 4 27" xfId="28792" xr:uid="{00000000-0005-0000-0000-0000FB710000}"/>
    <cellStyle name="RIGs input cells 3 2 2 4 28" xfId="28793" xr:uid="{00000000-0005-0000-0000-0000FC710000}"/>
    <cellStyle name="RIGs input cells 3 2 2 4 29" xfId="28794" xr:uid="{00000000-0005-0000-0000-0000FD710000}"/>
    <cellStyle name="RIGs input cells 3 2 2 4 3" xfId="28795" xr:uid="{00000000-0005-0000-0000-0000FE710000}"/>
    <cellStyle name="RIGs input cells 3 2 2 4 30" xfId="28796" xr:uid="{00000000-0005-0000-0000-0000FF710000}"/>
    <cellStyle name="RIGs input cells 3 2 2 4 31" xfId="28797" xr:uid="{00000000-0005-0000-0000-000000720000}"/>
    <cellStyle name="RIGs input cells 3 2 2 4 32" xfId="28798" xr:uid="{00000000-0005-0000-0000-000001720000}"/>
    <cellStyle name="RIGs input cells 3 2 2 4 33" xfId="28799" xr:uid="{00000000-0005-0000-0000-000002720000}"/>
    <cellStyle name="RIGs input cells 3 2 2 4 34" xfId="28800" xr:uid="{00000000-0005-0000-0000-000003720000}"/>
    <cellStyle name="RIGs input cells 3 2 2 4 4" xfId="28801" xr:uid="{00000000-0005-0000-0000-000004720000}"/>
    <cellStyle name="RIGs input cells 3 2 2 4 5" xfId="28802" xr:uid="{00000000-0005-0000-0000-000005720000}"/>
    <cellStyle name="RIGs input cells 3 2 2 4 6" xfId="28803" xr:uid="{00000000-0005-0000-0000-000006720000}"/>
    <cellStyle name="RIGs input cells 3 2 2 4 7" xfId="28804" xr:uid="{00000000-0005-0000-0000-000007720000}"/>
    <cellStyle name="RIGs input cells 3 2 2 4 8" xfId="28805" xr:uid="{00000000-0005-0000-0000-000008720000}"/>
    <cellStyle name="RIGs input cells 3 2 2 4 9" xfId="28806" xr:uid="{00000000-0005-0000-0000-000009720000}"/>
    <cellStyle name="RIGs input cells 3 2 2 5" xfId="28807" xr:uid="{00000000-0005-0000-0000-00000A720000}"/>
    <cellStyle name="RIGs input cells 3 2 2 5 10" xfId="28808" xr:uid="{00000000-0005-0000-0000-00000B720000}"/>
    <cellStyle name="RIGs input cells 3 2 2 5 11" xfId="28809" xr:uid="{00000000-0005-0000-0000-00000C720000}"/>
    <cellStyle name="RIGs input cells 3 2 2 5 12" xfId="28810" xr:uid="{00000000-0005-0000-0000-00000D720000}"/>
    <cellStyle name="RIGs input cells 3 2 2 5 13" xfId="28811" xr:uid="{00000000-0005-0000-0000-00000E720000}"/>
    <cellStyle name="RIGs input cells 3 2 2 5 2" xfId="28812" xr:uid="{00000000-0005-0000-0000-00000F720000}"/>
    <cellStyle name="RIGs input cells 3 2 2 5 3" xfId="28813" xr:uid="{00000000-0005-0000-0000-000010720000}"/>
    <cellStyle name="RIGs input cells 3 2 2 5 4" xfId="28814" xr:uid="{00000000-0005-0000-0000-000011720000}"/>
    <cellStyle name="RIGs input cells 3 2 2 5 5" xfId="28815" xr:uid="{00000000-0005-0000-0000-000012720000}"/>
    <cellStyle name="RIGs input cells 3 2 2 5 6" xfId="28816" xr:uid="{00000000-0005-0000-0000-000013720000}"/>
    <cellStyle name="RIGs input cells 3 2 2 5 7" xfId="28817" xr:uid="{00000000-0005-0000-0000-000014720000}"/>
    <cellStyle name="RIGs input cells 3 2 2 5 8" xfId="28818" xr:uid="{00000000-0005-0000-0000-000015720000}"/>
    <cellStyle name="RIGs input cells 3 2 2 5 9" xfId="28819" xr:uid="{00000000-0005-0000-0000-000016720000}"/>
    <cellStyle name="RIGs input cells 3 2 2 6" xfId="28820" xr:uid="{00000000-0005-0000-0000-000017720000}"/>
    <cellStyle name="RIGs input cells 3 2 2 7" xfId="28821" xr:uid="{00000000-0005-0000-0000-000018720000}"/>
    <cellStyle name="RIGs input cells 3 2 2 8" xfId="28822" xr:uid="{00000000-0005-0000-0000-000019720000}"/>
    <cellStyle name="RIGs input cells 3 2 2 9" xfId="28823" xr:uid="{00000000-0005-0000-0000-00001A720000}"/>
    <cellStyle name="RIGs input cells 3 2 2_4 28 1_Asst_Health_Crit_AllTO_RIIO_20110714pm" xfId="28824" xr:uid="{00000000-0005-0000-0000-00001B720000}"/>
    <cellStyle name="RIGs input cells 3 2 20" xfId="28825" xr:uid="{00000000-0005-0000-0000-00001C720000}"/>
    <cellStyle name="RIGs input cells 3 2 21" xfId="28826" xr:uid="{00000000-0005-0000-0000-00001D720000}"/>
    <cellStyle name="RIGs input cells 3 2 22" xfId="28827" xr:uid="{00000000-0005-0000-0000-00001E720000}"/>
    <cellStyle name="RIGs input cells 3 2 23" xfId="28828" xr:uid="{00000000-0005-0000-0000-00001F720000}"/>
    <cellStyle name="RIGs input cells 3 2 24" xfId="28829" xr:uid="{00000000-0005-0000-0000-000020720000}"/>
    <cellStyle name="RIGs input cells 3 2 25" xfId="28830" xr:uid="{00000000-0005-0000-0000-000021720000}"/>
    <cellStyle name="RIGs input cells 3 2 26" xfId="28831" xr:uid="{00000000-0005-0000-0000-000022720000}"/>
    <cellStyle name="RIGs input cells 3 2 27" xfId="28832" xr:uid="{00000000-0005-0000-0000-000023720000}"/>
    <cellStyle name="RIGs input cells 3 2 28" xfId="28833" xr:uid="{00000000-0005-0000-0000-000024720000}"/>
    <cellStyle name="RIGs input cells 3 2 29" xfId="28834" xr:uid="{00000000-0005-0000-0000-000025720000}"/>
    <cellStyle name="RIGs input cells 3 2 3" xfId="28835" xr:uid="{00000000-0005-0000-0000-000026720000}"/>
    <cellStyle name="RIGs input cells 3 2 3 10" xfId="28836" xr:uid="{00000000-0005-0000-0000-000027720000}"/>
    <cellStyle name="RIGs input cells 3 2 3 11" xfId="28837" xr:uid="{00000000-0005-0000-0000-000028720000}"/>
    <cellStyle name="RIGs input cells 3 2 3 12" xfId="28838" xr:uid="{00000000-0005-0000-0000-000029720000}"/>
    <cellStyle name="RIGs input cells 3 2 3 13" xfId="28839" xr:uid="{00000000-0005-0000-0000-00002A720000}"/>
    <cellStyle name="RIGs input cells 3 2 3 14" xfId="28840" xr:uid="{00000000-0005-0000-0000-00002B720000}"/>
    <cellStyle name="RIGs input cells 3 2 3 15" xfId="28841" xr:uid="{00000000-0005-0000-0000-00002C720000}"/>
    <cellStyle name="RIGs input cells 3 2 3 16" xfId="28842" xr:uid="{00000000-0005-0000-0000-00002D720000}"/>
    <cellStyle name="RIGs input cells 3 2 3 17" xfId="28843" xr:uid="{00000000-0005-0000-0000-00002E720000}"/>
    <cellStyle name="RIGs input cells 3 2 3 18" xfId="28844" xr:uid="{00000000-0005-0000-0000-00002F720000}"/>
    <cellStyle name="RIGs input cells 3 2 3 19" xfId="28845" xr:uid="{00000000-0005-0000-0000-000030720000}"/>
    <cellStyle name="RIGs input cells 3 2 3 2" xfId="28846" xr:uid="{00000000-0005-0000-0000-000031720000}"/>
    <cellStyle name="RIGs input cells 3 2 3 2 10" xfId="28847" xr:uid="{00000000-0005-0000-0000-000032720000}"/>
    <cellStyle name="RIGs input cells 3 2 3 2 11" xfId="28848" xr:uid="{00000000-0005-0000-0000-000033720000}"/>
    <cellStyle name="RIGs input cells 3 2 3 2 12" xfId="28849" xr:uid="{00000000-0005-0000-0000-000034720000}"/>
    <cellStyle name="RIGs input cells 3 2 3 2 13" xfId="28850" xr:uid="{00000000-0005-0000-0000-000035720000}"/>
    <cellStyle name="RIGs input cells 3 2 3 2 14" xfId="28851" xr:uid="{00000000-0005-0000-0000-000036720000}"/>
    <cellStyle name="RIGs input cells 3 2 3 2 15" xfId="28852" xr:uid="{00000000-0005-0000-0000-000037720000}"/>
    <cellStyle name="RIGs input cells 3 2 3 2 16" xfId="28853" xr:uid="{00000000-0005-0000-0000-000038720000}"/>
    <cellStyle name="RIGs input cells 3 2 3 2 17" xfId="28854" xr:uid="{00000000-0005-0000-0000-000039720000}"/>
    <cellStyle name="RIGs input cells 3 2 3 2 18" xfId="28855" xr:uid="{00000000-0005-0000-0000-00003A720000}"/>
    <cellStyle name="RIGs input cells 3 2 3 2 19" xfId="28856" xr:uid="{00000000-0005-0000-0000-00003B720000}"/>
    <cellStyle name="RIGs input cells 3 2 3 2 2" xfId="28857" xr:uid="{00000000-0005-0000-0000-00003C720000}"/>
    <cellStyle name="RIGs input cells 3 2 3 2 2 10" xfId="28858" xr:uid="{00000000-0005-0000-0000-00003D720000}"/>
    <cellStyle name="RIGs input cells 3 2 3 2 2 11" xfId="28859" xr:uid="{00000000-0005-0000-0000-00003E720000}"/>
    <cellStyle name="RIGs input cells 3 2 3 2 2 12" xfId="28860" xr:uid="{00000000-0005-0000-0000-00003F720000}"/>
    <cellStyle name="RIGs input cells 3 2 3 2 2 13" xfId="28861" xr:uid="{00000000-0005-0000-0000-000040720000}"/>
    <cellStyle name="RIGs input cells 3 2 3 2 2 2" xfId="28862" xr:uid="{00000000-0005-0000-0000-000041720000}"/>
    <cellStyle name="RIGs input cells 3 2 3 2 2 3" xfId="28863" xr:uid="{00000000-0005-0000-0000-000042720000}"/>
    <cellStyle name="RIGs input cells 3 2 3 2 2 4" xfId="28864" xr:uid="{00000000-0005-0000-0000-000043720000}"/>
    <cellStyle name="RIGs input cells 3 2 3 2 2 5" xfId="28865" xr:uid="{00000000-0005-0000-0000-000044720000}"/>
    <cellStyle name="RIGs input cells 3 2 3 2 2 6" xfId="28866" xr:uid="{00000000-0005-0000-0000-000045720000}"/>
    <cellStyle name="RIGs input cells 3 2 3 2 2 7" xfId="28867" xr:uid="{00000000-0005-0000-0000-000046720000}"/>
    <cellStyle name="RIGs input cells 3 2 3 2 2 8" xfId="28868" xr:uid="{00000000-0005-0000-0000-000047720000}"/>
    <cellStyle name="RIGs input cells 3 2 3 2 2 9" xfId="28869" xr:uid="{00000000-0005-0000-0000-000048720000}"/>
    <cellStyle name="RIGs input cells 3 2 3 2 20" xfId="28870" xr:uid="{00000000-0005-0000-0000-000049720000}"/>
    <cellStyle name="RIGs input cells 3 2 3 2 21" xfId="28871" xr:uid="{00000000-0005-0000-0000-00004A720000}"/>
    <cellStyle name="RIGs input cells 3 2 3 2 22" xfId="28872" xr:uid="{00000000-0005-0000-0000-00004B720000}"/>
    <cellStyle name="RIGs input cells 3 2 3 2 23" xfId="28873" xr:uid="{00000000-0005-0000-0000-00004C720000}"/>
    <cellStyle name="RIGs input cells 3 2 3 2 24" xfId="28874" xr:uid="{00000000-0005-0000-0000-00004D720000}"/>
    <cellStyle name="RIGs input cells 3 2 3 2 25" xfId="28875" xr:uid="{00000000-0005-0000-0000-00004E720000}"/>
    <cellStyle name="RIGs input cells 3 2 3 2 26" xfId="28876" xr:uid="{00000000-0005-0000-0000-00004F720000}"/>
    <cellStyle name="RIGs input cells 3 2 3 2 27" xfId="28877" xr:uid="{00000000-0005-0000-0000-000050720000}"/>
    <cellStyle name="RIGs input cells 3 2 3 2 28" xfId="28878" xr:uid="{00000000-0005-0000-0000-000051720000}"/>
    <cellStyle name="RIGs input cells 3 2 3 2 29" xfId="28879" xr:uid="{00000000-0005-0000-0000-000052720000}"/>
    <cellStyle name="RIGs input cells 3 2 3 2 3" xfId="28880" xr:uid="{00000000-0005-0000-0000-000053720000}"/>
    <cellStyle name="RIGs input cells 3 2 3 2 30" xfId="28881" xr:uid="{00000000-0005-0000-0000-000054720000}"/>
    <cellStyle name="RIGs input cells 3 2 3 2 31" xfId="28882" xr:uid="{00000000-0005-0000-0000-000055720000}"/>
    <cellStyle name="RIGs input cells 3 2 3 2 32" xfId="28883" xr:uid="{00000000-0005-0000-0000-000056720000}"/>
    <cellStyle name="RIGs input cells 3 2 3 2 33" xfId="28884" xr:uid="{00000000-0005-0000-0000-000057720000}"/>
    <cellStyle name="RIGs input cells 3 2 3 2 34" xfId="28885" xr:uid="{00000000-0005-0000-0000-000058720000}"/>
    <cellStyle name="RIGs input cells 3 2 3 2 4" xfId="28886" xr:uid="{00000000-0005-0000-0000-000059720000}"/>
    <cellStyle name="RIGs input cells 3 2 3 2 5" xfId="28887" xr:uid="{00000000-0005-0000-0000-00005A720000}"/>
    <cellStyle name="RIGs input cells 3 2 3 2 6" xfId="28888" xr:uid="{00000000-0005-0000-0000-00005B720000}"/>
    <cellStyle name="RIGs input cells 3 2 3 2 7" xfId="28889" xr:uid="{00000000-0005-0000-0000-00005C720000}"/>
    <cellStyle name="RIGs input cells 3 2 3 2 8" xfId="28890" xr:uid="{00000000-0005-0000-0000-00005D720000}"/>
    <cellStyle name="RIGs input cells 3 2 3 2 9" xfId="28891" xr:uid="{00000000-0005-0000-0000-00005E720000}"/>
    <cellStyle name="RIGs input cells 3 2 3 20" xfId="28892" xr:uid="{00000000-0005-0000-0000-00005F720000}"/>
    <cellStyle name="RIGs input cells 3 2 3 21" xfId="28893" xr:uid="{00000000-0005-0000-0000-000060720000}"/>
    <cellStyle name="RIGs input cells 3 2 3 22" xfId="28894" xr:uid="{00000000-0005-0000-0000-000061720000}"/>
    <cellStyle name="RIGs input cells 3 2 3 23" xfId="28895" xr:uid="{00000000-0005-0000-0000-000062720000}"/>
    <cellStyle name="RIGs input cells 3 2 3 24" xfId="28896" xr:uid="{00000000-0005-0000-0000-000063720000}"/>
    <cellStyle name="RIGs input cells 3 2 3 25" xfId="28897" xr:uid="{00000000-0005-0000-0000-000064720000}"/>
    <cellStyle name="RIGs input cells 3 2 3 26" xfId="28898" xr:uid="{00000000-0005-0000-0000-000065720000}"/>
    <cellStyle name="RIGs input cells 3 2 3 27" xfId="28899" xr:uid="{00000000-0005-0000-0000-000066720000}"/>
    <cellStyle name="RIGs input cells 3 2 3 28" xfId="28900" xr:uid="{00000000-0005-0000-0000-000067720000}"/>
    <cellStyle name="RIGs input cells 3 2 3 29" xfId="28901" xr:uid="{00000000-0005-0000-0000-000068720000}"/>
    <cellStyle name="RIGs input cells 3 2 3 3" xfId="28902" xr:uid="{00000000-0005-0000-0000-000069720000}"/>
    <cellStyle name="RIGs input cells 3 2 3 3 10" xfId="28903" xr:uid="{00000000-0005-0000-0000-00006A720000}"/>
    <cellStyle name="RIGs input cells 3 2 3 3 11" xfId="28904" xr:uid="{00000000-0005-0000-0000-00006B720000}"/>
    <cellStyle name="RIGs input cells 3 2 3 3 12" xfId="28905" xr:uid="{00000000-0005-0000-0000-00006C720000}"/>
    <cellStyle name="RIGs input cells 3 2 3 3 13" xfId="28906" xr:uid="{00000000-0005-0000-0000-00006D720000}"/>
    <cellStyle name="RIGs input cells 3 2 3 3 2" xfId="28907" xr:uid="{00000000-0005-0000-0000-00006E720000}"/>
    <cellStyle name="RIGs input cells 3 2 3 3 3" xfId="28908" xr:uid="{00000000-0005-0000-0000-00006F720000}"/>
    <cellStyle name="RIGs input cells 3 2 3 3 4" xfId="28909" xr:uid="{00000000-0005-0000-0000-000070720000}"/>
    <cellStyle name="RIGs input cells 3 2 3 3 5" xfId="28910" xr:uid="{00000000-0005-0000-0000-000071720000}"/>
    <cellStyle name="RIGs input cells 3 2 3 3 6" xfId="28911" xr:uid="{00000000-0005-0000-0000-000072720000}"/>
    <cellStyle name="RIGs input cells 3 2 3 3 7" xfId="28912" xr:uid="{00000000-0005-0000-0000-000073720000}"/>
    <cellStyle name="RIGs input cells 3 2 3 3 8" xfId="28913" xr:uid="{00000000-0005-0000-0000-000074720000}"/>
    <cellStyle name="RIGs input cells 3 2 3 3 9" xfId="28914" xr:uid="{00000000-0005-0000-0000-000075720000}"/>
    <cellStyle name="RIGs input cells 3 2 3 30" xfId="28915" xr:uid="{00000000-0005-0000-0000-000076720000}"/>
    <cellStyle name="RIGs input cells 3 2 3 31" xfId="28916" xr:uid="{00000000-0005-0000-0000-000077720000}"/>
    <cellStyle name="RIGs input cells 3 2 3 32" xfId="28917" xr:uid="{00000000-0005-0000-0000-000078720000}"/>
    <cellStyle name="RIGs input cells 3 2 3 33" xfId="28918" xr:uid="{00000000-0005-0000-0000-000079720000}"/>
    <cellStyle name="RIGs input cells 3 2 3 34" xfId="28919" xr:uid="{00000000-0005-0000-0000-00007A720000}"/>
    <cellStyle name="RIGs input cells 3 2 3 35" xfId="28920" xr:uid="{00000000-0005-0000-0000-00007B720000}"/>
    <cellStyle name="RIGs input cells 3 2 3 4" xfId="28921" xr:uid="{00000000-0005-0000-0000-00007C720000}"/>
    <cellStyle name="RIGs input cells 3 2 3 5" xfId="28922" xr:uid="{00000000-0005-0000-0000-00007D720000}"/>
    <cellStyle name="RIGs input cells 3 2 3 6" xfId="28923" xr:uid="{00000000-0005-0000-0000-00007E720000}"/>
    <cellStyle name="RIGs input cells 3 2 3 7" xfId="28924" xr:uid="{00000000-0005-0000-0000-00007F720000}"/>
    <cellStyle name="RIGs input cells 3 2 3 8" xfId="28925" xr:uid="{00000000-0005-0000-0000-000080720000}"/>
    <cellStyle name="RIGs input cells 3 2 3 9" xfId="28926" xr:uid="{00000000-0005-0000-0000-000081720000}"/>
    <cellStyle name="RIGs input cells 3 2 3_4 28 1_Asst_Health_Crit_AllTO_RIIO_20110714pm" xfId="28927" xr:uid="{00000000-0005-0000-0000-000082720000}"/>
    <cellStyle name="RIGs input cells 3 2 30" xfId="28928" xr:uid="{00000000-0005-0000-0000-000083720000}"/>
    <cellStyle name="RIGs input cells 3 2 31" xfId="28929" xr:uid="{00000000-0005-0000-0000-000084720000}"/>
    <cellStyle name="RIGs input cells 3 2 32" xfId="28930" xr:uid="{00000000-0005-0000-0000-000085720000}"/>
    <cellStyle name="RIGs input cells 3 2 33" xfId="28931" xr:uid="{00000000-0005-0000-0000-000086720000}"/>
    <cellStyle name="RIGs input cells 3 2 34" xfId="28932" xr:uid="{00000000-0005-0000-0000-000087720000}"/>
    <cellStyle name="RIGs input cells 3 2 35" xfId="28933" xr:uid="{00000000-0005-0000-0000-000088720000}"/>
    <cellStyle name="RIGs input cells 3 2 36" xfId="28934" xr:uid="{00000000-0005-0000-0000-000089720000}"/>
    <cellStyle name="RIGs input cells 3 2 37" xfId="28935" xr:uid="{00000000-0005-0000-0000-00008A720000}"/>
    <cellStyle name="RIGs input cells 3 2 38" xfId="28936" xr:uid="{00000000-0005-0000-0000-00008B720000}"/>
    <cellStyle name="RIGs input cells 3 2 39" xfId="28937" xr:uid="{00000000-0005-0000-0000-00008C720000}"/>
    <cellStyle name="RIGs input cells 3 2 4" xfId="28938" xr:uid="{00000000-0005-0000-0000-00008D720000}"/>
    <cellStyle name="RIGs input cells 3 2 4 10" xfId="28939" xr:uid="{00000000-0005-0000-0000-00008E720000}"/>
    <cellStyle name="RIGs input cells 3 2 4 11" xfId="28940" xr:uid="{00000000-0005-0000-0000-00008F720000}"/>
    <cellStyle name="RIGs input cells 3 2 4 12" xfId="28941" xr:uid="{00000000-0005-0000-0000-000090720000}"/>
    <cellStyle name="RIGs input cells 3 2 4 13" xfId="28942" xr:uid="{00000000-0005-0000-0000-000091720000}"/>
    <cellStyle name="RIGs input cells 3 2 4 14" xfId="28943" xr:uid="{00000000-0005-0000-0000-000092720000}"/>
    <cellStyle name="RIGs input cells 3 2 4 15" xfId="28944" xr:uid="{00000000-0005-0000-0000-000093720000}"/>
    <cellStyle name="RIGs input cells 3 2 4 16" xfId="28945" xr:uid="{00000000-0005-0000-0000-000094720000}"/>
    <cellStyle name="RIGs input cells 3 2 4 17" xfId="28946" xr:uid="{00000000-0005-0000-0000-000095720000}"/>
    <cellStyle name="RIGs input cells 3 2 4 18" xfId="28947" xr:uid="{00000000-0005-0000-0000-000096720000}"/>
    <cellStyle name="RIGs input cells 3 2 4 19" xfId="28948" xr:uid="{00000000-0005-0000-0000-000097720000}"/>
    <cellStyle name="RIGs input cells 3 2 4 2" xfId="28949" xr:uid="{00000000-0005-0000-0000-000098720000}"/>
    <cellStyle name="RIGs input cells 3 2 4 2 10" xfId="28950" xr:uid="{00000000-0005-0000-0000-000099720000}"/>
    <cellStyle name="RIGs input cells 3 2 4 2 11" xfId="28951" xr:uid="{00000000-0005-0000-0000-00009A720000}"/>
    <cellStyle name="RIGs input cells 3 2 4 2 12" xfId="28952" xr:uid="{00000000-0005-0000-0000-00009B720000}"/>
    <cellStyle name="RIGs input cells 3 2 4 2 13" xfId="28953" xr:uid="{00000000-0005-0000-0000-00009C720000}"/>
    <cellStyle name="RIGs input cells 3 2 4 2 2" xfId="28954" xr:uid="{00000000-0005-0000-0000-00009D720000}"/>
    <cellStyle name="RIGs input cells 3 2 4 2 3" xfId="28955" xr:uid="{00000000-0005-0000-0000-00009E720000}"/>
    <cellStyle name="RIGs input cells 3 2 4 2 4" xfId="28956" xr:uid="{00000000-0005-0000-0000-00009F720000}"/>
    <cellStyle name="RIGs input cells 3 2 4 2 5" xfId="28957" xr:uid="{00000000-0005-0000-0000-0000A0720000}"/>
    <cellStyle name="RIGs input cells 3 2 4 2 6" xfId="28958" xr:uid="{00000000-0005-0000-0000-0000A1720000}"/>
    <cellStyle name="RIGs input cells 3 2 4 2 7" xfId="28959" xr:uid="{00000000-0005-0000-0000-0000A2720000}"/>
    <cellStyle name="RIGs input cells 3 2 4 2 8" xfId="28960" xr:uid="{00000000-0005-0000-0000-0000A3720000}"/>
    <cellStyle name="RIGs input cells 3 2 4 2 9" xfId="28961" xr:uid="{00000000-0005-0000-0000-0000A4720000}"/>
    <cellStyle name="RIGs input cells 3 2 4 20" xfId="28962" xr:uid="{00000000-0005-0000-0000-0000A5720000}"/>
    <cellStyle name="RIGs input cells 3 2 4 21" xfId="28963" xr:uid="{00000000-0005-0000-0000-0000A6720000}"/>
    <cellStyle name="RIGs input cells 3 2 4 22" xfId="28964" xr:uid="{00000000-0005-0000-0000-0000A7720000}"/>
    <cellStyle name="RIGs input cells 3 2 4 23" xfId="28965" xr:uid="{00000000-0005-0000-0000-0000A8720000}"/>
    <cellStyle name="RIGs input cells 3 2 4 24" xfId="28966" xr:uid="{00000000-0005-0000-0000-0000A9720000}"/>
    <cellStyle name="RIGs input cells 3 2 4 25" xfId="28967" xr:uid="{00000000-0005-0000-0000-0000AA720000}"/>
    <cellStyle name="RIGs input cells 3 2 4 26" xfId="28968" xr:uid="{00000000-0005-0000-0000-0000AB720000}"/>
    <cellStyle name="RIGs input cells 3 2 4 27" xfId="28969" xr:uid="{00000000-0005-0000-0000-0000AC720000}"/>
    <cellStyle name="RIGs input cells 3 2 4 28" xfId="28970" xr:uid="{00000000-0005-0000-0000-0000AD720000}"/>
    <cellStyle name="RIGs input cells 3 2 4 29" xfId="28971" xr:uid="{00000000-0005-0000-0000-0000AE720000}"/>
    <cellStyle name="RIGs input cells 3 2 4 3" xfId="28972" xr:uid="{00000000-0005-0000-0000-0000AF720000}"/>
    <cellStyle name="RIGs input cells 3 2 4 30" xfId="28973" xr:uid="{00000000-0005-0000-0000-0000B0720000}"/>
    <cellStyle name="RIGs input cells 3 2 4 31" xfId="28974" xr:uid="{00000000-0005-0000-0000-0000B1720000}"/>
    <cellStyle name="RIGs input cells 3 2 4 32" xfId="28975" xr:uid="{00000000-0005-0000-0000-0000B2720000}"/>
    <cellStyle name="RIGs input cells 3 2 4 33" xfId="28976" xr:uid="{00000000-0005-0000-0000-0000B3720000}"/>
    <cellStyle name="RIGs input cells 3 2 4 34" xfId="28977" xr:uid="{00000000-0005-0000-0000-0000B4720000}"/>
    <cellStyle name="RIGs input cells 3 2 4 4" xfId="28978" xr:uid="{00000000-0005-0000-0000-0000B5720000}"/>
    <cellStyle name="RIGs input cells 3 2 4 5" xfId="28979" xr:uid="{00000000-0005-0000-0000-0000B6720000}"/>
    <cellStyle name="RIGs input cells 3 2 4 6" xfId="28980" xr:uid="{00000000-0005-0000-0000-0000B7720000}"/>
    <cellStyle name="RIGs input cells 3 2 4 7" xfId="28981" xr:uid="{00000000-0005-0000-0000-0000B8720000}"/>
    <cellStyle name="RIGs input cells 3 2 4 8" xfId="28982" xr:uid="{00000000-0005-0000-0000-0000B9720000}"/>
    <cellStyle name="RIGs input cells 3 2 4 9" xfId="28983" xr:uid="{00000000-0005-0000-0000-0000BA720000}"/>
    <cellStyle name="RIGs input cells 3 2 5" xfId="28984" xr:uid="{00000000-0005-0000-0000-0000BB720000}"/>
    <cellStyle name="RIGs input cells 3 2 5 10" xfId="28985" xr:uid="{00000000-0005-0000-0000-0000BC720000}"/>
    <cellStyle name="RIGs input cells 3 2 5 11" xfId="28986" xr:uid="{00000000-0005-0000-0000-0000BD720000}"/>
    <cellStyle name="RIGs input cells 3 2 5 12" xfId="28987" xr:uid="{00000000-0005-0000-0000-0000BE720000}"/>
    <cellStyle name="RIGs input cells 3 2 5 13" xfId="28988" xr:uid="{00000000-0005-0000-0000-0000BF720000}"/>
    <cellStyle name="RIGs input cells 3 2 5 14" xfId="28989" xr:uid="{00000000-0005-0000-0000-0000C0720000}"/>
    <cellStyle name="RIGs input cells 3 2 5 15" xfId="28990" xr:uid="{00000000-0005-0000-0000-0000C1720000}"/>
    <cellStyle name="RIGs input cells 3 2 5 16" xfId="28991" xr:uid="{00000000-0005-0000-0000-0000C2720000}"/>
    <cellStyle name="RIGs input cells 3 2 5 17" xfId="28992" xr:uid="{00000000-0005-0000-0000-0000C3720000}"/>
    <cellStyle name="RIGs input cells 3 2 5 18" xfId="28993" xr:uid="{00000000-0005-0000-0000-0000C4720000}"/>
    <cellStyle name="RIGs input cells 3 2 5 19" xfId="28994" xr:uid="{00000000-0005-0000-0000-0000C5720000}"/>
    <cellStyle name="RIGs input cells 3 2 5 2" xfId="28995" xr:uid="{00000000-0005-0000-0000-0000C6720000}"/>
    <cellStyle name="RIGs input cells 3 2 5 2 10" xfId="28996" xr:uid="{00000000-0005-0000-0000-0000C7720000}"/>
    <cellStyle name="RIGs input cells 3 2 5 2 11" xfId="28997" xr:uid="{00000000-0005-0000-0000-0000C8720000}"/>
    <cellStyle name="RIGs input cells 3 2 5 2 12" xfId="28998" xr:uid="{00000000-0005-0000-0000-0000C9720000}"/>
    <cellStyle name="RIGs input cells 3 2 5 2 13" xfId="28999" xr:uid="{00000000-0005-0000-0000-0000CA720000}"/>
    <cellStyle name="RIGs input cells 3 2 5 2 2" xfId="29000" xr:uid="{00000000-0005-0000-0000-0000CB720000}"/>
    <cellStyle name="RIGs input cells 3 2 5 2 3" xfId="29001" xr:uid="{00000000-0005-0000-0000-0000CC720000}"/>
    <cellStyle name="RIGs input cells 3 2 5 2 4" xfId="29002" xr:uid="{00000000-0005-0000-0000-0000CD720000}"/>
    <cellStyle name="RIGs input cells 3 2 5 2 5" xfId="29003" xr:uid="{00000000-0005-0000-0000-0000CE720000}"/>
    <cellStyle name="RIGs input cells 3 2 5 2 6" xfId="29004" xr:uid="{00000000-0005-0000-0000-0000CF720000}"/>
    <cellStyle name="RIGs input cells 3 2 5 2 7" xfId="29005" xr:uid="{00000000-0005-0000-0000-0000D0720000}"/>
    <cellStyle name="RIGs input cells 3 2 5 2 8" xfId="29006" xr:uid="{00000000-0005-0000-0000-0000D1720000}"/>
    <cellStyle name="RIGs input cells 3 2 5 2 9" xfId="29007" xr:uid="{00000000-0005-0000-0000-0000D2720000}"/>
    <cellStyle name="RIGs input cells 3 2 5 20" xfId="29008" xr:uid="{00000000-0005-0000-0000-0000D3720000}"/>
    <cellStyle name="RIGs input cells 3 2 5 21" xfId="29009" xr:uid="{00000000-0005-0000-0000-0000D4720000}"/>
    <cellStyle name="RIGs input cells 3 2 5 22" xfId="29010" xr:uid="{00000000-0005-0000-0000-0000D5720000}"/>
    <cellStyle name="RIGs input cells 3 2 5 23" xfId="29011" xr:uid="{00000000-0005-0000-0000-0000D6720000}"/>
    <cellStyle name="RIGs input cells 3 2 5 24" xfId="29012" xr:uid="{00000000-0005-0000-0000-0000D7720000}"/>
    <cellStyle name="RIGs input cells 3 2 5 25" xfId="29013" xr:uid="{00000000-0005-0000-0000-0000D8720000}"/>
    <cellStyle name="RIGs input cells 3 2 5 26" xfId="29014" xr:uid="{00000000-0005-0000-0000-0000D9720000}"/>
    <cellStyle name="RIGs input cells 3 2 5 27" xfId="29015" xr:uid="{00000000-0005-0000-0000-0000DA720000}"/>
    <cellStyle name="RIGs input cells 3 2 5 28" xfId="29016" xr:uid="{00000000-0005-0000-0000-0000DB720000}"/>
    <cellStyle name="RIGs input cells 3 2 5 29" xfId="29017" xr:uid="{00000000-0005-0000-0000-0000DC720000}"/>
    <cellStyle name="RIGs input cells 3 2 5 3" xfId="29018" xr:uid="{00000000-0005-0000-0000-0000DD720000}"/>
    <cellStyle name="RIGs input cells 3 2 5 30" xfId="29019" xr:uid="{00000000-0005-0000-0000-0000DE720000}"/>
    <cellStyle name="RIGs input cells 3 2 5 31" xfId="29020" xr:uid="{00000000-0005-0000-0000-0000DF720000}"/>
    <cellStyle name="RIGs input cells 3 2 5 32" xfId="29021" xr:uid="{00000000-0005-0000-0000-0000E0720000}"/>
    <cellStyle name="RIGs input cells 3 2 5 33" xfId="29022" xr:uid="{00000000-0005-0000-0000-0000E1720000}"/>
    <cellStyle name="RIGs input cells 3 2 5 34" xfId="29023" xr:uid="{00000000-0005-0000-0000-0000E2720000}"/>
    <cellStyle name="RIGs input cells 3 2 5 4" xfId="29024" xr:uid="{00000000-0005-0000-0000-0000E3720000}"/>
    <cellStyle name="RIGs input cells 3 2 5 5" xfId="29025" xr:uid="{00000000-0005-0000-0000-0000E4720000}"/>
    <cellStyle name="RIGs input cells 3 2 5 6" xfId="29026" xr:uid="{00000000-0005-0000-0000-0000E5720000}"/>
    <cellStyle name="RIGs input cells 3 2 5 7" xfId="29027" xr:uid="{00000000-0005-0000-0000-0000E6720000}"/>
    <cellStyle name="RIGs input cells 3 2 5 8" xfId="29028" xr:uid="{00000000-0005-0000-0000-0000E7720000}"/>
    <cellStyle name="RIGs input cells 3 2 5 9" xfId="29029" xr:uid="{00000000-0005-0000-0000-0000E8720000}"/>
    <cellStyle name="RIGs input cells 3 2 6" xfId="29030" xr:uid="{00000000-0005-0000-0000-0000E9720000}"/>
    <cellStyle name="RIGs input cells 3 2 6 10" xfId="29031" xr:uid="{00000000-0005-0000-0000-0000EA720000}"/>
    <cellStyle name="RIGs input cells 3 2 6 11" xfId="29032" xr:uid="{00000000-0005-0000-0000-0000EB720000}"/>
    <cellStyle name="RIGs input cells 3 2 6 12" xfId="29033" xr:uid="{00000000-0005-0000-0000-0000EC720000}"/>
    <cellStyle name="RIGs input cells 3 2 6 13" xfId="29034" xr:uid="{00000000-0005-0000-0000-0000ED720000}"/>
    <cellStyle name="RIGs input cells 3 2 6 2" xfId="29035" xr:uid="{00000000-0005-0000-0000-0000EE720000}"/>
    <cellStyle name="RIGs input cells 3 2 6 3" xfId="29036" xr:uid="{00000000-0005-0000-0000-0000EF720000}"/>
    <cellStyle name="RIGs input cells 3 2 6 4" xfId="29037" xr:uid="{00000000-0005-0000-0000-0000F0720000}"/>
    <cellStyle name="RIGs input cells 3 2 6 5" xfId="29038" xr:uid="{00000000-0005-0000-0000-0000F1720000}"/>
    <cellStyle name="RIGs input cells 3 2 6 6" xfId="29039" xr:uid="{00000000-0005-0000-0000-0000F2720000}"/>
    <cellStyle name="RIGs input cells 3 2 6 7" xfId="29040" xr:uid="{00000000-0005-0000-0000-0000F3720000}"/>
    <cellStyle name="RIGs input cells 3 2 6 8" xfId="29041" xr:uid="{00000000-0005-0000-0000-0000F4720000}"/>
    <cellStyle name="RIGs input cells 3 2 6 9" xfId="29042" xr:uid="{00000000-0005-0000-0000-0000F5720000}"/>
    <cellStyle name="RIGs input cells 3 2 7" xfId="29043" xr:uid="{00000000-0005-0000-0000-0000F6720000}"/>
    <cellStyle name="RIGs input cells 3 2 8" xfId="29044" xr:uid="{00000000-0005-0000-0000-0000F7720000}"/>
    <cellStyle name="RIGs input cells 3 2 9" xfId="29045" xr:uid="{00000000-0005-0000-0000-0000F8720000}"/>
    <cellStyle name="RIGs input cells 3 2_1.3s Accounting C Costs Scots" xfId="29046" xr:uid="{00000000-0005-0000-0000-0000F9720000}"/>
    <cellStyle name="RIGs input cells 3 20" xfId="29047" xr:uid="{00000000-0005-0000-0000-0000FA720000}"/>
    <cellStyle name="RIGs input cells 3 21" xfId="29048" xr:uid="{00000000-0005-0000-0000-0000FB720000}"/>
    <cellStyle name="RIGs input cells 3 22" xfId="29049" xr:uid="{00000000-0005-0000-0000-0000FC720000}"/>
    <cellStyle name="RIGs input cells 3 23" xfId="29050" xr:uid="{00000000-0005-0000-0000-0000FD720000}"/>
    <cellStyle name="RIGs input cells 3 24" xfId="29051" xr:uid="{00000000-0005-0000-0000-0000FE720000}"/>
    <cellStyle name="RIGs input cells 3 25" xfId="29052" xr:uid="{00000000-0005-0000-0000-0000FF720000}"/>
    <cellStyle name="RIGs input cells 3 26" xfId="29053" xr:uid="{00000000-0005-0000-0000-000000730000}"/>
    <cellStyle name="RIGs input cells 3 27" xfId="29054" xr:uid="{00000000-0005-0000-0000-000001730000}"/>
    <cellStyle name="RIGs input cells 3 28" xfId="29055" xr:uid="{00000000-0005-0000-0000-000002730000}"/>
    <cellStyle name="RIGs input cells 3 29" xfId="29056" xr:uid="{00000000-0005-0000-0000-000003730000}"/>
    <cellStyle name="RIGs input cells 3 3" xfId="29057" xr:uid="{00000000-0005-0000-0000-000004730000}"/>
    <cellStyle name="RIGs input cells 3 3 10" xfId="29058" xr:uid="{00000000-0005-0000-0000-000005730000}"/>
    <cellStyle name="RIGs input cells 3 3 11" xfId="29059" xr:uid="{00000000-0005-0000-0000-000006730000}"/>
    <cellStyle name="RIGs input cells 3 3 12" xfId="29060" xr:uid="{00000000-0005-0000-0000-000007730000}"/>
    <cellStyle name="RIGs input cells 3 3 13" xfId="29061" xr:uid="{00000000-0005-0000-0000-000008730000}"/>
    <cellStyle name="RIGs input cells 3 3 14" xfId="29062" xr:uid="{00000000-0005-0000-0000-000009730000}"/>
    <cellStyle name="RIGs input cells 3 3 15" xfId="29063" xr:uid="{00000000-0005-0000-0000-00000A730000}"/>
    <cellStyle name="RIGs input cells 3 3 16" xfId="29064" xr:uid="{00000000-0005-0000-0000-00000B730000}"/>
    <cellStyle name="RIGs input cells 3 3 17" xfId="29065" xr:uid="{00000000-0005-0000-0000-00000C730000}"/>
    <cellStyle name="RIGs input cells 3 3 18" xfId="29066" xr:uid="{00000000-0005-0000-0000-00000D730000}"/>
    <cellStyle name="RIGs input cells 3 3 19" xfId="29067" xr:uid="{00000000-0005-0000-0000-00000E730000}"/>
    <cellStyle name="RIGs input cells 3 3 2" xfId="29068" xr:uid="{00000000-0005-0000-0000-00000F730000}"/>
    <cellStyle name="RIGs input cells 3 3 2 10" xfId="29069" xr:uid="{00000000-0005-0000-0000-000010730000}"/>
    <cellStyle name="RIGs input cells 3 3 2 11" xfId="29070" xr:uid="{00000000-0005-0000-0000-000011730000}"/>
    <cellStyle name="RIGs input cells 3 3 2 12" xfId="29071" xr:uid="{00000000-0005-0000-0000-000012730000}"/>
    <cellStyle name="RIGs input cells 3 3 2 13" xfId="29072" xr:uid="{00000000-0005-0000-0000-000013730000}"/>
    <cellStyle name="RIGs input cells 3 3 2 14" xfId="29073" xr:uid="{00000000-0005-0000-0000-000014730000}"/>
    <cellStyle name="RIGs input cells 3 3 2 15" xfId="29074" xr:uid="{00000000-0005-0000-0000-000015730000}"/>
    <cellStyle name="RIGs input cells 3 3 2 16" xfId="29075" xr:uid="{00000000-0005-0000-0000-000016730000}"/>
    <cellStyle name="RIGs input cells 3 3 2 17" xfId="29076" xr:uid="{00000000-0005-0000-0000-000017730000}"/>
    <cellStyle name="RIGs input cells 3 3 2 18" xfId="29077" xr:uid="{00000000-0005-0000-0000-000018730000}"/>
    <cellStyle name="RIGs input cells 3 3 2 19" xfId="29078" xr:uid="{00000000-0005-0000-0000-000019730000}"/>
    <cellStyle name="RIGs input cells 3 3 2 2" xfId="29079" xr:uid="{00000000-0005-0000-0000-00001A730000}"/>
    <cellStyle name="RIGs input cells 3 3 2 2 10" xfId="29080" xr:uid="{00000000-0005-0000-0000-00001B730000}"/>
    <cellStyle name="RIGs input cells 3 3 2 2 11" xfId="29081" xr:uid="{00000000-0005-0000-0000-00001C730000}"/>
    <cellStyle name="RIGs input cells 3 3 2 2 12" xfId="29082" xr:uid="{00000000-0005-0000-0000-00001D730000}"/>
    <cellStyle name="RIGs input cells 3 3 2 2 13" xfId="29083" xr:uid="{00000000-0005-0000-0000-00001E730000}"/>
    <cellStyle name="RIGs input cells 3 3 2 2 14" xfId="29084" xr:uid="{00000000-0005-0000-0000-00001F730000}"/>
    <cellStyle name="RIGs input cells 3 3 2 2 15" xfId="29085" xr:uid="{00000000-0005-0000-0000-000020730000}"/>
    <cellStyle name="RIGs input cells 3 3 2 2 16" xfId="29086" xr:uid="{00000000-0005-0000-0000-000021730000}"/>
    <cellStyle name="RIGs input cells 3 3 2 2 17" xfId="29087" xr:uid="{00000000-0005-0000-0000-000022730000}"/>
    <cellStyle name="RIGs input cells 3 3 2 2 18" xfId="29088" xr:uid="{00000000-0005-0000-0000-000023730000}"/>
    <cellStyle name="RIGs input cells 3 3 2 2 19" xfId="29089" xr:uid="{00000000-0005-0000-0000-000024730000}"/>
    <cellStyle name="RIGs input cells 3 3 2 2 2" xfId="29090" xr:uid="{00000000-0005-0000-0000-000025730000}"/>
    <cellStyle name="RIGs input cells 3 3 2 2 2 10" xfId="29091" xr:uid="{00000000-0005-0000-0000-000026730000}"/>
    <cellStyle name="RIGs input cells 3 3 2 2 2 11" xfId="29092" xr:uid="{00000000-0005-0000-0000-000027730000}"/>
    <cellStyle name="RIGs input cells 3 3 2 2 2 12" xfId="29093" xr:uid="{00000000-0005-0000-0000-000028730000}"/>
    <cellStyle name="RIGs input cells 3 3 2 2 2 13" xfId="29094" xr:uid="{00000000-0005-0000-0000-000029730000}"/>
    <cellStyle name="RIGs input cells 3 3 2 2 2 2" xfId="29095" xr:uid="{00000000-0005-0000-0000-00002A730000}"/>
    <cellStyle name="RIGs input cells 3 3 2 2 2 3" xfId="29096" xr:uid="{00000000-0005-0000-0000-00002B730000}"/>
    <cellStyle name="RIGs input cells 3 3 2 2 2 4" xfId="29097" xr:uid="{00000000-0005-0000-0000-00002C730000}"/>
    <cellStyle name="RIGs input cells 3 3 2 2 2 5" xfId="29098" xr:uid="{00000000-0005-0000-0000-00002D730000}"/>
    <cellStyle name="RIGs input cells 3 3 2 2 2 6" xfId="29099" xr:uid="{00000000-0005-0000-0000-00002E730000}"/>
    <cellStyle name="RIGs input cells 3 3 2 2 2 7" xfId="29100" xr:uid="{00000000-0005-0000-0000-00002F730000}"/>
    <cellStyle name="RIGs input cells 3 3 2 2 2 8" xfId="29101" xr:uid="{00000000-0005-0000-0000-000030730000}"/>
    <cellStyle name="RIGs input cells 3 3 2 2 2 9" xfId="29102" xr:uid="{00000000-0005-0000-0000-000031730000}"/>
    <cellStyle name="RIGs input cells 3 3 2 2 20" xfId="29103" xr:uid="{00000000-0005-0000-0000-000032730000}"/>
    <cellStyle name="RIGs input cells 3 3 2 2 21" xfId="29104" xr:uid="{00000000-0005-0000-0000-000033730000}"/>
    <cellStyle name="RIGs input cells 3 3 2 2 22" xfId="29105" xr:uid="{00000000-0005-0000-0000-000034730000}"/>
    <cellStyle name="RIGs input cells 3 3 2 2 23" xfId="29106" xr:uid="{00000000-0005-0000-0000-000035730000}"/>
    <cellStyle name="RIGs input cells 3 3 2 2 24" xfId="29107" xr:uid="{00000000-0005-0000-0000-000036730000}"/>
    <cellStyle name="RIGs input cells 3 3 2 2 25" xfId="29108" xr:uid="{00000000-0005-0000-0000-000037730000}"/>
    <cellStyle name="RIGs input cells 3 3 2 2 26" xfId="29109" xr:uid="{00000000-0005-0000-0000-000038730000}"/>
    <cellStyle name="RIGs input cells 3 3 2 2 27" xfId="29110" xr:uid="{00000000-0005-0000-0000-000039730000}"/>
    <cellStyle name="RIGs input cells 3 3 2 2 28" xfId="29111" xr:uid="{00000000-0005-0000-0000-00003A730000}"/>
    <cellStyle name="RIGs input cells 3 3 2 2 29" xfId="29112" xr:uid="{00000000-0005-0000-0000-00003B730000}"/>
    <cellStyle name="RIGs input cells 3 3 2 2 3" xfId="29113" xr:uid="{00000000-0005-0000-0000-00003C730000}"/>
    <cellStyle name="RIGs input cells 3 3 2 2 30" xfId="29114" xr:uid="{00000000-0005-0000-0000-00003D730000}"/>
    <cellStyle name="RIGs input cells 3 3 2 2 31" xfId="29115" xr:uid="{00000000-0005-0000-0000-00003E730000}"/>
    <cellStyle name="RIGs input cells 3 3 2 2 32" xfId="29116" xr:uid="{00000000-0005-0000-0000-00003F730000}"/>
    <cellStyle name="RIGs input cells 3 3 2 2 33" xfId="29117" xr:uid="{00000000-0005-0000-0000-000040730000}"/>
    <cellStyle name="RIGs input cells 3 3 2 2 34" xfId="29118" xr:uid="{00000000-0005-0000-0000-000041730000}"/>
    <cellStyle name="RIGs input cells 3 3 2 2 4" xfId="29119" xr:uid="{00000000-0005-0000-0000-000042730000}"/>
    <cellStyle name="RIGs input cells 3 3 2 2 5" xfId="29120" xr:uid="{00000000-0005-0000-0000-000043730000}"/>
    <cellStyle name="RIGs input cells 3 3 2 2 6" xfId="29121" xr:uid="{00000000-0005-0000-0000-000044730000}"/>
    <cellStyle name="RIGs input cells 3 3 2 2 7" xfId="29122" xr:uid="{00000000-0005-0000-0000-000045730000}"/>
    <cellStyle name="RIGs input cells 3 3 2 2 8" xfId="29123" xr:uid="{00000000-0005-0000-0000-000046730000}"/>
    <cellStyle name="RIGs input cells 3 3 2 2 9" xfId="29124" xr:uid="{00000000-0005-0000-0000-000047730000}"/>
    <cellStyle name="RIGs input cells 3 3 2 20" xfId="29125" xr:uid="{00000000-0005-0000-0000-000048730000}"/>
    <cellStyle name="RIGs input cells 3 3 2 21" xfId="29126" xr:uid="{00000000-0005-0000-0000-000049730000}"/>
    <cellStyle name="RIGs input cells 3 3 2 22" xfId="29127" xr:uid="{00000000-0005-0000-0000-00004A730000}"/>
    <cellStyle name="RIGs input cells 3 3 2 23" xfId="29128" xr:uid="{00000000-0005-0000-0000-00004B730000}"/>
    <cellStyle name="RIGs input cells 3 3 2 24" xfId="29129" xr:uid="{00000000-0005-0000-0000-00004C730000}"/>
    <cellStyle name="RIGs input cells 3 3 2 25" xfId="29130" xr:uid="{00000000-0005-0000-0000-00004D730000}"/>
    <cellStyle name="RIGs input cells 3 3 2 26" xfId="29131" xr:uid="{00000000-0005-0000-0000-00004E730000}"/>
    <cellStyle name="RIGs input cells 3 3 2 27" xfId="29132" xr:uid="{00000000-0005-0000-0000-00004F730000}"/>
    <cellStyle name="RIGs input cells 3 3 2 28" xfId="29133" xr:uid="{00000000-0005-0000-0000-000050730000}"/>
    <cellStyle name="RIGs input cells 3 3 2 29" xfId="29134" xr:uid="{00000000-0005-0000-0000-000051730000}"/>
    <cellStyle name="RIGs input cells 3 3 2 3" xfId="29135" xr:uid="{00000000-0005-0000-0000-000052730000}"/>
    <cellStyle name="RIGs input cells 3 3 2 3 10" xfId="29136" xr:uid="{00000000-0005-0000-0000-000053730000}"/>
    <cellStyle name="RIGs input cells 3 3 2 3 11" xfId="29137" xr:uid="{00000000-0005-0000-0000-000054730000}"/>
    <cellStyle name="RIGs input cells 3 3 2 3 12" xfId="29138" xr:uid="{00000000-0005-0000-0000-000055730000}"/>
    <cellStyle name="RIGs input cells 3 3 2 3 13" xfId="29139" xr:uid="{00000000-0005-0000-0000-000056730000}"/>
    <cellStyle name="RIGs input cells 3 3 2 3 2" xfId="29140" xr:uid="{00000000-0005-0000-0000-000057730000}"/>
    <cellStyle name="RIGs input cells 3 3 2 3 3" xfId="29141" xr:uid="{00000000-0005-0000-0000-000058730000}"/>
    <cellStyle name="RIGs input cells 3 3 2 3 4" xfId="29142" xr:uid="{00000000-0005-0000-0000-000059730000}"/>
    <cellStyle name="RIGs input cells 3 3 2 3 5" xfId="29143" xr:uid="{00000000-0005-0000-0000-00005A730000}"/>
    <cellStyle name="RIGs input cells 3 3 2 3 6" xfId="29144" xr:uid="{00000000-0005-0000-0000-00005B730000}"/>
    <cellStyle name="RIGs input cells 3 3 2 3 7" xfId="29145" xr:uid="{00000000-0005-0000-0000-00005C730000}"/>
    <cellStyle name="RIGs input cells 3 3 2 3 8" xfId="29146" xr:uid="{00000000-0005-0000-0000-00005D730000}"/>
    <cellStyle name="RIGs input cells 3 3 2 3 9" xfId="29147" xr:uid="{00000000-0005-0000-0000-00005E730000}"/>
    <cellStyle name="RIGs input cells 3 3 2 30" xfId="29148" xr:uid="{00000000-0005-0000-0000-00005F730000}"/>
    <cellStyle name="RIGs input cells 3 3 2 31" xfId="29149" xr:uid="{00000000-0005-0000-0000-000060730000}"/>
    <cellStyle name="RIGs input cells 3 3 2 32" xfId="29150" xr:uid="{00000000-0005-0000-0000-000061730000}"/>
    <cellStyle name="RIGs input cells 3 3 2 33" xfId="29151" xr:uid="{00000000-0005-0000-0000-000062730000}"/>
    <cellStyle name="RIGs input cells 3 3 2 34" xfId="29152" xr:uid="{00000000-0005-0000-0000-000063730000}"/>
    <cellStyle name="RIGs input cells 3 3 2 35" xfId="29153" xr:uid="{00000000-0005-0000-0000-000064730000}"/>
    <cellStyle name="RIGs input cells 3 3 2 4" xfId="29154" xr:uid="{00000000-0005-0000-0000-000065730000}"/>
    <cellStyle name="RIGs input cells 3 3 2 5" xfId="29155" xr:uid="{00000000-0005-0000-0000-000066730000}"/>
    <cellStyle name="RIGs input cells 3 3 2 6" xfId="29156" xr:uid="{00000000-0005-0000-0000-000067730000}"/>
    <cellStyle name="RIGs input cells 3 3 2 7" xfId="29157" xr:uid="{00000000-0005-0000-0000-000068730000}"/>
    <cellStyle name="RIGs input cells 3 3 2 8" xfId="29158" xr:uid="{00000000-0005-0000-0000-000069730000}"/>
    <cellStyle name="RIGs input cells 3 3 2 9" xfId="29159" xr:uid="{00000000-0005-0000-0000-00006A730000}"/>
    <cellStyle name="RIGs input cells 3 3 2_4 28 1_Asst_Health_Crit_AllTO_RIIO_20110714pm" xfId="29160" xr:uid="{00000000-0005-0000-0000-00006B730000}"/>
    <cellStyle name="RIGs input cells 3 3 20" xfId="29161" xr:uid="{00000000-0005-0000-0000-00006C730000}"/>
    <cellStyle name="RIGs input cells 3 3 21" xfId="29162" xr:uid="{00000000-0005-0000-0000-00006D730000}"/>
    <cellStyle name="RIGs input cells 3 3 22" xfId="29163" xr:uid="{00000000-0005-0000-0000-00006E730000}"/>
    <cellStyle name="RIGs input cells 3 3 23" xfId="29164" xr:uid="{00000000-0005-0000-0000-00006F730000}"/>
    <cellStyle name="RIGs input cells 3 3 24" xfId="29165" xr:uid="{00000000-0005-0000-0000-000070730000}"/>
    <cellStyle name="RIGs input cells 3 3 25" xfId="29166" xr:uid="{00000000-0005-0000-0000-000071730000}"/>
    <cellStyle name="RIGs input cells 3 3 26" xfId="29167" xr:uid="{00000000-0005-0000-0000-000072730000}"/>
    <cellStyle name="RIGs input cells 3 3 27" xfId="29168" xr:uid="{00000000-0005-0000-0000-000073730000}"/>
    <cellStyle name="RIGs input cells 3 3 28" xfId="29169" xr:uid="{00000000-0005-0000-0000-000074730000}"/>
    <cellStyle name="RIGs input cells 3 3 29" xfId="29170" xr:uid="{00000000-0005-0000-0000-000075730000}"/>
    <cellStyle name="RIGs input cells 3 3 3" xfId="29171" xr:uid="{00000000-0005-0000-0000-000076730000}"/>
    <cellStyle name="RIGs input cells 3 3 3 10" xfId="29172" xr:uid="{00000000-0005-0000-0000-000077730000}"/>
    <cellStyle name="RIGs input cells 3 3 3 11" xfId="29173" xr:uid="{00000000-0005-0000-0000-000078730000}"/>
    <cellStyle name="RIGs input cells 3 3 3 12" xfId="29174" xr:uid="{00000000-0005-0000-0000-000079730000}"/>
    <cellStyle name="RIGs input cells 3 3 3 13" xfId="29175" xr:uid="{00000000-0005-0000-0000-00007A730000}"/>
    <cellStyle name="RIGs input cells 3 3 3 14" xfId="29176" xr:uid="{00000000-0005-0000-0000-00007B730000}"/>
    <cellStyle name="RIGs input cells 3 3 3 15" xfId="29177" xr:uid="{00000000-0005-0000-0000-00007C730000}"/>
    <cellStyle name="RIGs input cells 3 3 3 16" xfId="29178" xr:uid="{00000000-0005-0000-0000-00007D730000}"/>
    <cellStyle name="RIGs input cells 3 3 3 17" xfId="29179" xr:uid="{00000000-0005-0000-0000-00007E730000}"/>
    <cellStyle name="RIGs input cells 3 3 3 18" xfId="29180" xr:uid="{00000000-0005-0000-0000-00007F730000}"/>
    <cellStyle name="RIGs input cells 3 3 3 19" xfId="29181" xr:uid="{00000000-0005-0000-0000-000080730000}"/>
    <cellStyle name="RIGs input cells 3 3 3 2" xfId="29182" xr:uid="{00000000-0005-0000-0000-000081730000}"/>
    <cellStyle name="RIGs input cells 3 3 3 2 10" xfId="29183" xr:uid="{00000000-0005-0000-0000-000082730000}"/>
    <cellStyle name="RIGs input cells 3 3 3 2 11" xfId="29184" xr:uid="{00000000-0005-0000-0000-000083730000}"/>
    <cellStyle name="RIGs input cells 3 3 3 2 12" xfId="29185" xr:uid="{00000000-0005-0000-0000-000084730000}"/>
    <cellStyle name="RIGs input cells 3 3 3 2 13" xfId="29186" xr:uid="{00000000-0005-0000-0000-000085730000}"/>
    <cellStyle name="RIGs input cells 3 3 3 2 2" xfId="29187" xr:uid="{00000000-0005-0000-0000-000086730000}"/>
    <cellStyle name="RIGs input cells 3 3 3 2 3" xfId="29188" xr:uid="{00000000-0005-0000-0000-000087730000}"/>
    <cellStyle name="RIGs input cells 3 3 3 2 4" xfId="29189" xr:uid="{00000000-0005-0000-0000-000088730000}"/>
    <cellStyle name="RIGs input cells 3 3 3 2 5" xfId="29190" xr:uid="{00000000-0005-0000-0000-000089730000}"/>
    <cellStyle name="RIGs input cells 3 3 3 2 6" xfId="29191" xr:uid="{00000000-0005-0000-0000-00008A730000}"/>
    <cellStyle name="RIGs input cells 3 3 3 2 7" xfId="29192" xr:uid="{00000000-0005-0000-0000-00008B730000}"/>
    <cellStyle name="RIGs input cells 3 3 3 2 8" xfId="29193" xr:uid="{00000000-0005-0000-0000-00008C730000}"/>
    <cellStyle name="RIGs input cells 3 3 3 2 9" xfId="29194" xr:uid="{00000000-0005-0000-0000-00008D730000}"/>
    <cellStyle name="RIGs input cells 3 3 3 20" xfId="29195" xr:uid="{00000000-0005-0000-0000-00008E730000}"/>
    <cellStyle name="RIGs input cells 3 3 3 21" xfId="29196" xr:uid="{00000000-0005-0000-0000-00008F730000}"/>
    <cellStyle name="RIGs input cells 3 3 3 22" xfId="29197" xr:uid="{00000000-0005-0000-0000-000090730000}"/>
    <cellStyle name="RIGs input cells 3 3 3 23" xfId="29198" xr:uid="{00000000-0005-0000-0000-000091730000}"/>
    <cellStyle name="RIGs input cells 3 3 3 24" xfId="29199" xr:uid="{00000000-0005-0000-0000-000092730000}"/>
    <cellStyle name="RIGs input cells 3 3 3 25" xfId="29200" xr:uid="{00000000-0005-0000-0000-000093730000}"/>
    <cellStyle name="RIGs input cells 3 3 3 26" xfId="29201" xr:uid="{00000000-0005-0000-0000-000094730000}"/>
    <cellStyle name="RIGs input cells 3 3 3 27" xfId="29202" xr:uid="{00000000-0005-0000-0000-000095730000}"/>
    <cellStyle name="RIGs input cells 3 3 3 28" xfId="29203" xr:uid="{00000000-0005-0000-0000-000096730000}"/>
    <cellStyle name="RIGs input cells 3 3 3 29" xfId="29204" xr:uid="{00000000-0005-0000-0000-000097730000}"/>
    <cellStyle name="RIGs input cells 3 3 3 3" xfId="29205" xr:uid="{00000000-0005-0000-0000-000098730000}"/>
    <cellStyle name="RIGs input cells 3 3 3 30" xfId="29206" xr:uid="{00000000-0005-0000-0000-000099730000}"/>
    <cellStyle name="RIGs input cells 3 3 3 31" xfId="29207" xr:uid="{00000000-0005-0000-0000-00009A730000}"/>
    <cellStyle name="RIGs input cells 3 3 3 32" xfId="29208" xr:uid="{00000000-0005-0000-0000-00009B730000}"/>
    <cellStyle name="RIGs input cells 3 3 3 33" xfId="29209" xr:uid="{00000000-0005-0000-0000-00009C730000}"/>
    <cellStyle name="RIGs input cells 3 3 3 34" xfId="29210" xr:uid="{00000000-0005-0000-0000-00009D730000}"/>
    <cellStyle name="RIGs input cells 3 3 3 4" xfId="29211" xr:uid="{00000000-0005-0000-0000-00009E730000}"/>
    <cellStyle name="RIGs input cells 3 3 3 5" xfId="29212" xr:uid="{00000000-0005-0000-0000-00009F730000}"/>
    <cellStyle name="RIGs input cells 3 3 3 6" xfId="29213" xr:uid="{00000000-0005-0000-0000-0000A0730000}"/>
    <cellStyle name="RIGs input cells 3 3 3 7" xfId="29214" xr:uid="{00000000-0005-0000-0000-0000A1730000}"/>
    <cellStyle name="RIGs input cells 3 3 3 8" xfId="29215" xr:uid="{00000000-0005-0000-0000-0000A2730000}"/>
    <cellStyle name="RIGs input cells 3 3 3 9" xfId="29216" xr:uid="{00000000-0005-0000-0000-0000A3730000}"/>
    <cellStyle name="RIGs input cells 3 3 30" xfId="29217" xr:uid="{00000000-0005-0000-0000-0000A4730000}"/>
    <cellStyle name="RIGs input cells 3 3 31" xfId="29218" xr:uid="{00000000-0005-0000-0000-0000A5730000}"/>
    <cellStyle name="RIGs input cells 3 3 32" xfId="29219" xr:uid="{00000000-0005-0000-0000-0000A6730000}"/>
    <cellStyle name="RIGs input cells 3 3 33" xfId="29220" xr:uid="{00000000-0005-0000-0000-0000A7730000}"/>
    <cellStyle name="RIGs input cells 3 3 34" xfId="29221" xr:uid="{00000000-0005-0000-0000-0000A8730000}"/>
    <cellStyle name="RIGs input cells 3 3 35" xfId="29222" xr:uid="{00000000-0005-0000-0000-0000A9730000}"/>
    <cellStyle name="RIGs input cells 3 3 36" xfId="29223" xr:uid="{00000000-0005-0000-0000-0000AA730000}"/>
    <cellStyle name="RIGs input cells 3 3 37" xfId="29224" xr:uid="{00000000-0005-0000-0000-0000AB730000}"/>
    <cellStyle name="RIGs input cells 3 3 38" xfId="29225" xr:uid="{00000000-0005-0000-0000-0000AC730000}"/>
    <cellStyle name="RIGs input cells 3 3 4" xfId="29226" xr:uid="{00000000-0005-0000-0000-0000AD730000}"/>
    <cellStyle name="RIGs input cells 3 3 4 10" xfId="29227" xr:uid="{00000000-0005-0000-0000-0000AE730000}"/>
    <cellStyle name="RIGs input cells 3 3 4 11" xfId="29228" xr:uid="{00000000-0005-0000-0000-0000AF730000}"/>
    <cellStyle name="RIGs input cells 3 3 4 12" xfId="29229" xr:uid="{00000000-0005-0000-0000-0000B0730000}"/>
    <cellStyle name="RIGs input cells 3 3 4 13" xfId="29230" xr:uid="{00000000-0005-0000-0000-0000B1730000}"/>
    <cellStyle name="RIGs input cells 3 3 4 14" xfId="29231" xr:uid="{00000000-0005-0000-0000-0000B2730000}"/>
    <cellStyle name="RIGs input cells 3 3 4 15" xfId="29232" xr:uid="{00000000-0005-0000-0000-0000B3730000}"/>
    <cellStyle name="RIGs input cells 3 3 4 16" xfId="29233" xr:uid="{00000000-0005-0000-0000-0000B4730000}"/>
    <cellStyle name="RIGs input cells 3 3 4 17" xfId="29234" xr:uid="{00000000-0005-0000-0000-0000B5730000}"/>
    <cellStyle name="RIGs input cells 3 3 4 18" xfId="29235" xr:uid="{00000000-0005-0000-0000-0000B6730000}"/>
    <cellStyle name="RIGs input cells 3 3 4 19" xfId="29236" xr:uid="{00000000-0005-0000-0000-0000B7730000}"/>
    <cellStyle name="RIGs input cells 3 3 4 2" xfId="29237" xr:uid="{00000000-0005-0000-0000-0000B8730000}"/>
    <cellStyle name="RIGs input cells 3 3 4 2 10" xfId="29238" xr:uid="{00000000-0005-0000-0000-0000B9730000}"/>
    <cellStyle name="RIGs input cells 3 3 4 2 11" xfId="29239" xr:uid="{00000000-0005-0000-0000-0000BA730000}"/>
    <cellStyle name="RIGs input cells 3 3 4 2 12" xfId="29240" xr:uid="{00000000-0005-0000-0000-0000BB730000}"/>
    <cellStyle name="RIGs input cells 3 3 4 2 13" xfId="29241" xr:uid="{00000000-0005-0000-0000-0000BC730000}"/>
    <cellStyle name="RIGs input cells 3 3 4 2 2" xfId="29242" xr:uid="{00000000-0005-0000-0000-0000BD730000}"/>
    <cellStyle name="RIGs input cells 3 3 4 2 3" xfId="29243" xr:uid="{00000000-0005-0000-0000-0000BE730000}"/>
    <cellStyle name="RIGs input cells 3 3 4 2 4" xfId="29244" xr:uid="{00000000-0005-0000-0000-0000BF730000}"/>
    <cellStyle name="RIGs input cells 3 3 4 2 5" xfId="29245" xr:uid="{00000000-0005-0000-0000-0000C0730000}"/>
    <cellStyle name="RIGs input cells 3 3 4 2 6" xfId="29246" xr:uid="{00000000-0005-0000-0000-0000C1730000}"/>
    <cellStyle name="RIGs input cells 3 3 4 2 7" xfId="29247" xr:uid="{00000000-0005-0000-0000-0000C2730000}"/>
    <cellStyle name="RIGs input cells 3 3 4 2 8" xfId="29248" xr:uid="{00000000-0005-0000-0000-0000C3730000}"/>
    <cellStyle name="RIGs input cells 3 3 4 2 9" xfId="29249" xr:uid="{00000000-0005-0000-0000-0000C4730000}"/>
    <cellStyle name="RIGs input cells 3 3 4 20" xfId="29250" xr:uid="{00000000-0005-0000-0000-0000C5730000}"/>
    <cellStyle name="RIGs input cells 3 3 4 21" xfId="29251" xr:uid="{00000000-0005-0000-0000-0000C6730000}"/>
    <cellStyle name="RIGs input cells 3 3 4 22" xfId="29252" xr:uid="{00000000-0005-0000-0000-0000C7730000}"/>
    <cellStyle name="RIGs input cells 3 3 4 23" xfId="29253" xr:uid="{00000000-0005-0000-0000-0000C8730000}"/>
    <cellStyle name="RIGs input cells 3 3 4 24" xfId="29254" xr:uid="{00000000-0005-0000-0000-0000C9730000}"/>
    <cellStyle name="RIGs input cells 3 3 4 25" xfId="29255" xr:uid="{00000000-0005-0000-0000-0000CA730000}"/>
    <cellStyle name="RIGs input cells 3 3 4 26" xfId="29256" xr:uid="{00000000-0005-0000-0000-0000CB730000}"/>
    <cellStyle name="RIGs input cells 3 3 4 27" xfId="29257" xr:uid="{00000000-0005-0000-0000-0000CC730000}"/>
    <cellStyle name="RIGs input cells 3 3 4 28" xfId="29258" xr:uid="{00000000-0005-0000-0000-0000CD730000}"/>
    <cellStyle name="RIGs input cells 3 3 4 29" xfId="29259" xr:uid="{00000000-0005-0000-0000-0000CE730000}"/>
    <cellStyle name="RIGs input cells 3 3 4 3" xfId="29260" xr:uid="{00000000-0005-0000-0000-0000CF730000}"/>
    <cellStyle name="RIGs input cells 3 3 4 30" xfId="29261" xr:uid="{00000000-0005-0000-0000-0000D0730000}"/>
    <cellStyle name="RIGs input cells 3 3 4 31" xfId="29262" xr:uid="{00000000-0005-0000-0000-0000D1730000}"/>
    <cellStyle name="RIGs input cells 3 3 4 32" xfId="29263" xr:uid="{00000000-0005-0000-0000-0000D2730000}"/>
    <cellStyle name="RIGs input cells 3 3 4 33" xfId="29264" xr:uid="{00000000-0005-0000-0000-0000D3730000}"/>
    <cellStyle name="RIGs input cells 3 3 4 34" xfId="29265" xr:uid="{00000000-0005-0000-0000-0000D4730000}"/>
    <cellStyle name="RIGs input cells 3 3 4 4" xfId="29266" xr:uid="{00000000-0005-0000-0000-0000D5730000}"/>
    <cellStyle name="RIGs input cells 3 3 4 5" xfId="29267" xr:uid="{00000000-0005-0000-0000-0000D6730000}"/>
    <cellStyle name="RIGs input cells 3 3 4 6" xfId="29268" xr:uid="{00000000-0005-0000-0000-0000D7730000}"/>
    <cellStyle name="RIGs input cells 3 3 4 7" xfId="29269" xr:uid="{00000000-0005-0000-0000-0000D8730000}"/>
    <cellStyle name="RIGs input cells 3 3 4 8" xfId="29270" xr:uid="{00000000-0005-0000-0000-0000D9730000}"/>
    <cellStyle name="RIGs input cells 3 3 4 9" xfId="29271" xr:uid="{00000000-0005-0000-0000-0000DA730000}"/>
    <cellStyle name="RIGs input cells 3 3 5" xfId="29272" xr:uid="{00000000-0005-0000-0000-0000DB730000}"/>
    <cellStyle name="RIGs input cells 3 3 5 10" xfId="29273" xr:uid="{00000000-0005-0000-0000-0000DC730000}"/>
    <cellStyle name="RIGs input cells 3 3 5 11" xfId="29274" xr:uid="{00000000-0005-0000-0000-0000DD730000}"/>
    <cellStyle name="RIGs input cells 3 3 5 12" xfId="29275" xr:uid="{00000000-0005-0000-0000-0000DE730000}"/>
    <cellStyle name="RIGs input cells 3 3 5 13" xfId="29276" xr:uid="{00000000-0005-0000-0000-0000DF730000}"/>
    <cellStyle name="RIGs input cells 3 3 5 2" xfId="29277" xr:uid="{00000000-0005-0000-0000-0000E0730000}"/>
    <cellStyle name="RIGs input cells 3 3 5 3" xfId="29278" xr:uid="{00000000-0005-0000-0000-0000E1730000}"/>
    <cellStyle name="RIGs input cells 3 3 5 4" xfId="29279" xr:uid="{00000000-0005-0000-0000-0000E2730000}"/>
    <cellStyle name="RIGs input cells 3 3 5 5" xfId="29280" xr:uid="{00000000-0005-0000-0000-0000E3730000}"/>
    <cellStyle name="RIGs input cells 3 3 5 6" xfId="29281" xr:uid="{00000000-0005-0000-0000-0000E4730000}"/>
    <cellStyle name="RIGs input cells 3 3 5 7" xfId="29282" xr:uid="{00000000-0005-0000-0000-0000E5730000}"/>
    <cellStyle name="RIGs input cells 3 3 5 8" xfId="29283" xr:uid="{00000000-0005-0000-0000-0000E6730000}"/>
    <cellStyle name="RIGs input cells 3 3 5 9" xfId="29284" xr:uid="{00000000-0005-0000-0000-0000E7730000}"/>
    <cellStyle name="RIGs input cells 3 3 6" xfId="29285" xr:uid="{00000000-0005-0000-0000-0000E8730000}"/>
    <cellStyle name="RIGs input cells 3 3 7" xfId="29286" xr:uid="{00000000-0005-0000-0000-0000E9730000}"/>
    <cellStyle name="RIGs input cells 3 3 8" xfId="29287" xr:uid="{00000000-0005-0000-0000-0000EA730000}"/>
    <cellStyle name="RIGs input cells 3 3 9" xfId="29288" xr:uid="{00000000-0005-0000-0000-0000EB730000}"/>
    <cellStyle name="RIGs input cells 3 3_4 28 1_Asst_Health_Crit_AllTO_RIIO_20110714pm" xfId="29289" xr:uid="{00000000-0005-0000-0000-0000EC730000}"/>
    <cellStyle name="RIGs input cells 3 30" xfId="29290" xr:uid="{00000000-0005-0000-0000-0000ED730000}"/>
    <cellStyle name="RIGs input cells 3 31" xfId="29291" xr:uid="{00000000-0005-0000-0000-0000EE730000}"/>
    <cellStyle name="RIGs input cells 3 32" xfId="29292" xr:uid="{00000000-0005-0000-0000-0000EF730000}"/>
    <cellStyle name="RIGs input cells 3 33" xfId="29293" xr:uid="{00000000-0005-0000-0000-0000F0730000}"/>
    <cellStyle name="RIGs input cells 3 34" xfId="29294" xr:uid="{00000000-0005-0000-0000-0000F1730000}"/>
    <cellStyle name="RIGs input cells 3 35" xfId="29295" xr:uid="{00000000-0005-0000-0000-0000F2730000}"/>
    <cellStyle name="RIGs input cells 3 36" xfId="29296" xr:uid="{00000000-0005-0000-0000-0000F3730000}"/>
    <cellStyle name="RIGs input cells 3 37" xfId="29297" xr:uid="{00000000-0005-0000-0000-0000F4730000}"/>
    <cellStyle name="RIGs input cells 3 38" xfId="29298" xr:uid="{00000000-0005-0000-0000-0000F5730000}"/>
    <cellStyle name="RIGs input cells 3 39" xfId="29299" xr:uid="{00000000-0005-0000-0000-0000F6730000}"/>
    <cellStyle name="RIGs input cells 3 4" xfId="29300" xr:uid="{00000000-0005-0000-0000-0000F7730000}"/>
    <cellStyle name="RIGs input cells 3 4 10" xfId="29301" xr:uid="{00000000-0005-0000-0000-0000F8730000}"/>
    <cellStyle name="RIGs input cells 3 4 11" xfId="29302" xr:uid="{00000000-0005-0000-0000-0000F9730000}"/>
    <cellStyle name="RIGs input cells 3 4 12" xfId="29303" xr:uid="{00000000-0005-0000-0000-0000FA730000}"/>
    <cellStyle name="RIGs input cells 3 4 13" xfId="29304" xr:uid="{00000000-0005-0000-0000-0000FB730000}"/>
    <cellStyle name="RIGs input cells 3 4 14" xfId="29305" xr:uid="{00000000-0005-0000-0000-0000FC730000}"/>
    <cellStyle name="RIGs input cells 3 4 15" xfId="29306" xr:uid="{00000000-0005-0000-0000-0000FD730000}"/>
    <cellStyle name="RIGs input cells 3 4 16" xfId="29307" xr:uid="{00000000-0005-0000-0000-0000FE730000}"/>
    <cellStyle name="RIGs input cells 3 4 17" xfId="29308" xr:uid="{00000000-0005-0000-0000-0000FF730000}"/>
    <cellStyle name="RIGs input cells 3 4 18" xfId="29309" xr:uid="{00000000-0005-0000-0000-000000740000}"/>
    <cellStyle name="RIGs input cells 3 4 19" xfId="29310" xr:uid="{00000000-0005-0000-0000-000001740000}"/>
    <cellStyle name="RIGs input cells 3 4 2" xfId="29311" xr:uid="{00000000-0005-0000-0000-000002740000}"/>
    <cellStyle name="RIGs input cells 3 4 2 10" xfId="29312" xr:uid="{00000000-0005-0000-0000-000003740000}"/>
    <cellStyle name="RIGs input cells 3 4 2 11" xfId="29313" xr:uid="{00000000-0005-0000-0000-000004740000}"/>
    <cellStyle name="RIGs input cells 3 4 2 12" xfId="29314" xr:uid="{00000000-0005-0000-0000-000005740000}"/>
    <cellStyle name="RIGs input cells 3 4 2 13" xfId="29315" xr:uid="{00000000-0005-0000-0000-000006740000}"/>
    <cellStyle name="RIGs input cells 3 4 2 14" xfId="29316" xr:uid="{00000000-0005-0000-0000-000007740000}"/>
    <cellStyle name="RIGs input cells 3 4 2 15" xfId="29317" xr:uid="{00000000-0005-0000-0000-000008740000}"/>
    <cellStyle name="RIGs input cells 3 4 2 16" xfId="29318" xr:uid="{00000000-0005-0000-0000-000009740000}"/>
    <cellStyle name="RIGs input cells 3 4 2 17" xfId="29319" xr:uid="{00000000-0005-0000-0000-00000A740000}"/>
    <cellStyle name="RIGs input cells 3 4 2 18" xfId="29320" xr:uid="{00000000-0005-0000-0000-00000B740000}"/>
    <cellStyle name="RIGs input cells 3 4 2 19" xfId="29321" xr:uid="{00000000-0005-0000-0000-00000C740000}"/>
    <cellStyle name="RIGs input cells 3 4 2 2" xfId="29322" xr:uid="{00000000-0005-0000-0000-00000D740000}"/>
    <cellStyle name="RIGs input cells 3 4 2 2 10" xfId="29323" xr:uid="{00000000-0005-0000-0000-00000E740000}"/>
    <cellStyle name="RIGs input cells 3 4 2 2 11" xfId="29324" xr:uid="{00000000-0005-0000-0000-00000F740000}"/>
    <cellStyle name="RIGs input cells 3 4 2 2 12" xfId="29325" xr:uid="{00000000-0005-0000-0000-000010740000}"/>
    <cellStyle name="RIGs input cells 3 4 2 2 13" xfId="29326" xr:uid="{00000000-0005-0000-0000-000011740000}"/>
    <cellStyle name="RIGs input cells 3 4 2 2 2" xfId="29327" xr:uid="{00000000-0005-0000-0000-000012740000}"/>
    <cellStyle name="RIGs input cells 3 4 2 2 3" xfId="29328" xr:uid="{00000000-0005-0000-0000-000013740000}"/>
    <cellStyle name="RIGs input cells 3 4 2 2 4" xfId="29329" xr:uid="{00000000-0005-0000-0000-000014740000}"/>
    <cellStyle name="RIGs input cells 3 4 2 2 5" xfId="29330" xr:uid="{00000000-0005-0000-0000-000015740000}"/>
    <cellStyle name="RIGs input cells 3 4 2 2 6" xfId="29331" xr:uid="{00000000-0005-0000-0000-000016740000}"/>
    <cellStyle name="RIGs input cells 3 4 2 2 7" xfId="29332" xr:uid="{00000000-0005-0000-0000-000017740000}"/>
    <cellStyle name="RIGs input cells 3 4 2 2 8" xfId="29333" xr:uid="{00000000-0005-0000-0000-000018740000}"/>
    <cellStyle name="RIGs input cells 3 4 2 2 9" xfId="29334" xr:uid="{00000000-0005-0000-0000-000019740000}"/>
    <cellStyle name="RIGs input cells 3 4 2 20" xfId="29335" xr:uid="{00000000-0005-0000-0000-00001A740000}"/>
    <cellStyle name="RIGs input cells 3 4 2 21" xfId="29336" xr:uid="{00000000-0005-0000-0000-00001B740000}"/>
    <cellStyle name="RIGs input cells 3 4 2 22" xfId="29337" xr:uid="{00000000-0005-0000-0000-00001C740000}"/>
    <cellStyle name="RIGs input cells 3 4 2 23" xfId="29338" xr:uid="{00000000-0005-0000-0000-00001D740000}"/>
    <cellStyle name="RIGs input cells 3 4 2 24" xfId="29339" xr:uid="{00000000-0005-0000-0000-00001E740000}"/>
    <cellStyle name="RIGs input cells 3 4 2 25" xfId="29340" xr:uid="{00000000-0005-0000-0000-00001F740000}"/>
    <cellStyle name="RIGs input cells 3 4 2 26" xfId="29341" xr:uid="{00000000-0005-0000-0000-000020740000}"/>
    <cellStyle name="RIGs input cells 3 4 2 27" xfId="29342" xr:uid="{00000000-0005-0000-0000-000021740000}"/>
    <cellStyle name="RIGs input cells 3 4 2 28" xfId="29343" xr:uid="{00000000-0005-0000-0000-000022740000}"/>
    <cellStyle name="RIGs input cells 3 4 2 29" xfId="29344" xr:uid="{00000000-0005-0000-0000-000023740000}"/>
    <cellStyle name="RIGs input cells 3 4 2 3" xfId="29345" xr:uid="{00000000-0005-0000-0000-000024740000}"/>
    <cellStyle name="RIGs input cells 3 4 2 30" xfId="29346" xr:uid="{00000000-0005-0000-0000-000025740000}"/>
    <cellStyle name="RIGs input cells 3 4 2 31" xfId="29347" xr:uid="{00000000-0005-0000-0000-000026740000}"/>
    <cellStyle name="RIGs input cells 3 4 2 32" xfId="29348" xr:uid="{00000000-0005-0000-0000-000027740000}"/>
    <cellStyle name="RIGs input cells 3 4 2 33" xfId="29349" xr:uid="{00000000-0005-0000-0000-000028740000}"/>
    <cellStyle name="RIGs input cells 3 4 2 34" xfId="29350" xr:uid="{00000000-0005-0000-0000-000029740000}"/>
    <cellStyle name="RIGs input cells 3 4 2 4" xfId="29351" xr:uid="{00000000-0005-0000-0000-00002A740000}"/>
    <cellStyle name="RIGs input cells 3 4 2 5" xfId="29352" xr:uid="{00000000-0005-0000-0000-00002B740000}"/>
    <cellStyle name="RIGs input cells 3 4 2 6" xfId="29353" xr:uid="{00000000-0005-0000-0000-00002C740000}"/>
    <cellStyle name="RIGs input cells 3 4 2 7" xfId="29354" xr:uid="{00000000-0005-0000-0000-00002D740000}"/>
    <cellStyle name="RIGs input cells 3 4 2 8" xfId="29355" xr:uid="{00000000-0005-0000-0000-00002E740000}"/>
    <cellStyle name="RIGs input cells 3 4 2 9" xfId="29356" xr:uid="{00000000-0005-0000-0000-00002F740000}"/>
    <cellStyle name="RIGs input cells 3 4 20" xfId="29357" xr:uid="{00000000-0005-0000-0000-000030740000}"/>
    <cellStyle name="RIGs input cells 3 4 21" xfId="29358" xr:uid="{00000000-0005-0000-0000-000031740000}"/>
    <cellStyle name="RIGs input cells 3 4 22" xfId="29359" xr:uid="{00000000-0005-0000-0000-000032740000}"/>
    <cellStyle name="RIGs input cells 3 4 23" xfId="29360" xr:uid="{00000000-0005-0000-0000-000033740000}"/>
    <cellStyle name="RIGs input cells 3 4 24" xfId="29361" xr:uid="{00000000-0005-0000-0000-000034740000}"/>
    <cellStyle name="RIGs input cells 3 4 25" xfId="29362" xr:uid="{00000000-0005-0000-0000-000035740000}"/>
    <cellStyle name="RIGs input cells 3 4 26" xfId="29363" xr:uid="{00000000-0005-0000-0000-000036740000}"/>
    <cellStyle name="RIGs input cells 3 4 27" xfId="29364" xr:uid="{00000000-0005-0000-0000-000037740000}"/>
    <cellStyle name="RIGs input cells 3 4 28" xfId="29365" xr:uid="{00000000-0005-0000-0000-000038740000}"/>
    <cellStyle name="RIGs input cells 3 4 29" xfId="29366" xr:uid="{00000000-0005-0000-0000-000039740000}"/>
    <cellStyle name="RIGs input cells 3 4 3" xfId="29367" xr:uid="{00000000-0005-0000-0000-00003A740000}"/>
    <cellStyle name="RIGs input cells 3 4 3 10" xfId="29368" xr:uid="{00000000-0005-0000-0000-00003B740000}"/>
    <cellStyle name="RIGs input cells 3 4 3 11" xfId="29369" xr:uid="{00000000-0005-0000-0000-00003C740000}"/>
    <cellStyle name="RIGs input cells 3 4 3 12" xfId="29370" xr:uid="{00000000-0005-0000-0000-00003D740000}"/>
    <cellStyle name="RIGs input cells 3 4 3 13" xfId="29371" xr:uid="{00000000-0005-0000-0000-00003E740000}"/>
    <cellStyle name="RIGs input cells 3 4 3 2" xfId="29372" xr:uid="{00000000-0005-0000-0000-00003F740000}"/>
    <cellStyle name="RIGs input cells 3 4 3 3" xfId="29373" xr:uid="{00000000-0005-0000-0000-000040740000}"/>
    <cellStyle name="RIGs input cells 3 4 3 4" xfId="29374" xr:uid="{00000000-0005-0000-0000-000041740000}"/>
    <cellStyle name="RIGs input cells 3 4 3 5" xfId="29375" xr:uid="{00000000-0005-0000-0000-000042740000}"/>
    <cellStyle name="RIGs input cells 3 4 3 6" xfId="29376" xr:uid="{00000000-0005-0000-0000-000043740000}"/>
    <cellStyle name="RIGs input cells 3 4 3 7" xfId="29377" xr:uid="{00000000-0005-0000-0000-000044740000}"/>
    <cellStyle name="RIGs input cells 3 4 3 8" xfId="29378" xr:uid="{00000000-0005-0000-0000-000045740000}"/>
    <cellStyle name="RIGs input cells 3 4 3 9" xfId="29379" xr:uid="{00000000-0005-0000-0000-000046740000}"/>
    <cellStyle name="RIGs input cells 3 4 30" xfId="29380" xr:uid="{00000000-0005-0000-0000-000047740000}"/>
    <cellStyle name="RIGs input cells 3 4 31" xfId="29381" xr:uid="{00000000-0005-0000-0000-000048740000}"/>
    <cellStyle name="RIGs input cells 3 4 32" xfId="29382" xr:uid="{00000000-0005-0000-0000-000049740000}"/>
    <cellStyle name="RIGs input cells 3 4 33" xfId="29383" xr:uid="{00000000-0005-0000-0000-00004A740000}"/>
    <cellStyle name="RIGs input cells 3 4 34" xfId="29384" xr:uid="{00000000-0005-0000-0000-00004B740000}"/>
    <cellStyle name="RIGs input cells 3 4 35" xfId="29385" xr:uid="{00000000-0005-0000-0000-00004C740000}"/>
    <cellStyle name="RIGs input cells 3 4 4" xfId="29386" xr:uid="{00000000-0005-0000-0000-00004D740000}"/>
    <cellStyle name="RIGs input cells 3 4 5" xfId="29387" xr:uid="{00000000-0005-0000-0000-00004E740000}"/>
    <cellStyle name="RIGs input cells 3 4 6" xfId="29388" xr:uid="{00000000-0005-0000-0000-00004F740000}"/>
    <cellStyle name="RIGs input cells 3 4 7" xfId="29389" xr:uid="{00000000-0005-0000-0000-000050740000}"/>
    <cellStyle name="RIGs input cells 3 4 8" xfId="29390" xr:uid="{00000000-0005-0000-0000-000051740000}"/>
    <cellStyle name="RIGs input cells 3 4 9" xfId="29391" xr:uid="{00000000-0005-0000-0000-000052740000}"/>
    <cellStyle name="RIGs input cells 3 4_4 28 1_Asst_Health_Crit_AllTO_RIIO_20110714pm" xfId="29392" xr:uid="{00000000-0005-0000-0000-000053740000}"/>
    <cellStyle name="RIGs input cells 3 40" xfId="29393" xr:uid="{00000000-0005-0000-0000-000054740000}"/>
    <cellStyle name="RIGs input cells 3 41" xfId="29394" xr:uid="{00000000-0005-0000-0000-000055740000}"/>
    <cellStyle name="RIGs input cells 3 42" xfId="29395" xr:uid="{00000000-0005-0000-0000-000056740000}"/>
    <cellStyle name="RIGs input cells 3 43" xfId="29396" xr:uid="{00000000-0005-0000-0000-000057740000}"/>
    <cellStyle name="RIGs input cells 3 44" xfId="29397" xr:uid="{00000000-0005-0000-0000-000058740000}"/>
    <cellStyle name="RIGs input cells 3 45" xfId="29398" xr:uid="{00000000-0005-0000-0000-000059740000}"/>
    <cellStyle name="RIGs input cells 3 5" xfId="29399" xr:uid="{00000000-0005-0000-0000-00005A740000}"/>
    <cellStyle name="RIGs input cells 3 5 10" xfId="29400" xr:uid="{00000000-0005-0000-0000-00005B740000}"/>
    <cellStyle name="RIGs input cells 3 5 11" xfId="29401" xr:uid="{00000000-0005-0000-0000-00005C740000}"/>
    <cellStyle name="RIGs input cells 3 5 12" xfId="29402" xr:uid="{00000000-0005-0000-0000-00005D740000}"/>
    <cellStyle name="RIGs input cells 3 5 13" xfId="29403" xr:uid="{00000000-0005-0000-0000-00005E740000}"/>
    <cellStyle name="RIGs input cells 3 5 14" xfId="29404" xr:uid="{00000000-0005-0000-0000-00005F740000}"/>
    <cellStyle name="RIGs input cells 3 5 15" xfId="29405" xr:uid="{00000000-0005-0000-0000-000060740000}"/>
    <cellStyle name="RIGs input cells 3 5 16" xfId="29406" xr:uid="{00000000-0005-0000-0000-000061740000}"/>
    <cellStyle name="RIGs input cells 3 5 17" xfId="29407" xr:uid="{00000000-0005-0000-0000-000062740000}"/>
    <cellStyle name="RIGs input cells 3 5 18" xfId="29408" xr:uid="{00000000-0005-0000-0000-000063740000}"/>
    <cellStyle name="RIGs input cells 3 5 19" xfId="29409" xr:uid="{00000000-0005-0000-0000-000064740000}"/>
    <cellStyle name="RIGs input cells 3 5 2" xfId="29410" xr:uid="{00000000-0005-0000-0000-000065740000}"/>
    <cellStyle name="RIGs input cells 3 5 2 10" xfId="29411" xr:uid="{00000000-0005-0000-0000-000066740000}"/>
    <cellStyle name="RIGs input cells 3 5 2 11" xfId="29412" xr:uid="{00000000-0005-0000-0000-000067740000}"/>
    <cellStyle name="RIGs input cells 3 5 2 12" xfId="29413" xr:uid="{00000000-0005-0000-0000-000068740000}"/>
    <cellStyle name="RIGs input cells 3 5 2 13" xfId="29414" xr:uid="{00000000-0005-0000-0000-000069740000}"/>
    <cellStyle name="RIGs input cells 3 5 2 2" xfId="29415" xr:uid="{00000000-0005-0000-0000-00006A740000}"/>
    <cellStyle name="RIGs input cells 3 5 2 3" xfId="29416" xr:uid="{00000000-0005-0000-0000-00006B740000}"/>
    <cellStyle name="RIGs input cells 3 5 2 4" xfId="29417" xr:uid="{00000000-0005-0000-0000-00006C740000}"/>
    <cellStyle name="RIGs input cells 3 5 2 5" xfId="29418" xr:uid="{00000000-0005-0000-0000-00006D740000}"/>
    <cellStyle name="RIGs input cells 3 5 2 6" xfId="29419" xr:uid="{00000000-0005-0000-0000-00006E740000}"/>
    <cellStyle name="RIGs input cells 3 5 2 7" xfId="29420" xr:uid="{00000000-0005-0000-0000-00006F740000}"/>
    <cellStyle name="RIGs input cells 3 5 2 8" xfId="29421" xr:uid="{00000000-0005-0000-0000-000070740000}"/>
    <cellStyle name="RIGs input cells 3 5 2 9" xfId="29422" xr:uid="{00000000-0005-0000-0000-000071740000}"/>
    <cellStyle name="RIGs input cells 3 5 20" xfId="29423" xr:uid="{00000000-0005-0000-0000-000072740000}"/>
    <cellStyle name="RIGs input cells 3 5 21" xfId="29424" xr:uid="{00000000-0005-0000-0000-000073740000}"/>
    <cellStyle name="RIGs input cells 3 5 22" xfId="29425" xr:uid="{00000000-0005-0000-0000-000074740000}"/>
    <cellStyle name="RIGs input cells 3 5 23" xfId="29426" xr:uid="{00000000-0005-0000-0000-000075740000}"/>
    <cellStyle name="RIGs input cells 3 5 24" xfId="29427" xr:uid="{00000000-0005-0000-0000-000076740000}"/>
    <cellStyle name="RIGs input cells 3 5 25" xfId="29428" xr:uid="{00000000-0005-0000-0000-000077740000}"/>
    <cellStyle name="RIGs input cells 3 5 26" xfId="29429" xr:uid="{00000000-0005-0000-0000-000078740000}"/>
    <cellStyle name="RIGs input cells 3 5 27" xfId="29430" xr:uid="{00000000-0005-0000-0000-000079740000}"/>
    <cellStyle name="RIGs input cells 3 5 28" xfId="29431" xr:uid="{00000000-0005-0000-0000-00007A740000}"/>
    <cellStyle name="RIGs input cells 3 5 29" xfId="29432" xr:uid="{00000000-0005-0000-0000-00007B740000}"/>
    <cellStyle name="RIGs input cells 3 5 3" xfId="29433" xr:uid="{00000000-0005-0000-0000-00007C740000}"/>
    <cellStyle name="RIGs input cells 3 5 30" xfId="29434" xr:uid="{00000000-0005-0000-0000-00007D740000}"/>
    <cellStyle name="RIGs input cells 3 5 31" xfId="29435" xr:uid="{00000000-0005-0000-0000-00007E740000}"/>
    <cellStyle name="RIGs input cells 3 5 32" xfId="29436" xr:uid="{00000000-0005-0000-0000-00007F740000}"/>
    <cellStyle name="RIGs input cells 3 5 33" xfId="29437" xr:uid="{00000000-0005-0000-0000-000080740000}"/>
    <cellStyle name="RIGs input cells 3 5 34" xfId="29438" xr:uid="{00000000-0005-0000-0000-000081740000}"/>
    <cellStyle name="RIGs input cells 3 5 4" xfId="29439" xr:uid="{00000000-0005-0000-0000-000082740000}"/>
    <cellStyle name="RIGs input cells 3 5 5" xfId="29440" xr:uid="{00000000-0005-0000-0000-000083740000}"/>
    <cellStyle name="RIGs input cells 3 5 6" xfId="29441" xr:uid="{00000000-0005-0000-0000-000084740000}"/>
    <cellStyle name="RIGs input cells 3 5 7" xfId="29442" xr:uid="{00000000-0005-0000-0000-000085740000}"/>
    <cellStyle name="RIGs input cells 3 5 8" xfId="29443" xr:uid="{00000000-0005-0000-0000-000086740000}"/>
    <cellStyle name="RIGs input cells 3 5 9" xfId="29444" xr:uid="{00000000-0005-0000-0000-000087740000}"/>
    <cellStyle name="RIGs input cells 3 6" xfId="29445" xr:uid="{00000000-0005-0000-0000-000088740000}"/>
    <cellStyle name="RIGs input cells 3 6 10" xfId="29446" xr:uid="{00000000-0005-0000-0000-000089740000}"/>
    <cellStyle name="RIGs input cells 3 6 11" xfId="29447" xr:uid="{00000000-0005-0000-0000-00008A740000}"/>
    <cellStyle name="RIGs input cells 3 6 12" xfId="29448" xr:uid="{00000000-0005-0000-0000-00008B740000}"/>
    <cellStyle name="RIGs input cells 3 6 13" xfId="29449" xr:uid="{00000000-0005-0000-0000-00008C740000}"/>
    <cellStyle name="RIGs input cells 3 6 14" xfId="29450" xr:uid="{00000000-0005-0000-0000-00008D740000}"/>
    <cellStyle name="RIGs input cells 3 6 15" xfId="29451" xr:uid="{00000000-0005-0000-0000-00008E740000}"/>
    <cellStyle name="RIGs input cells 3 6 16" xfId="29452" xr:uid="{00000000-0005-0000-0000-00008F740000}"/>
    <cellStyle name="RIGs input cells 3 6 17" xfId="29453" xr:uid="{00000000-0005-0000-0000-000090740000}"/>
    <cellStyle name="RIGs input cells 3 6 18" xfId="29454" xr:uid="{00000000-0005-0000-0000-000091740000}"/>
    <cellStyle name="RIGs input cells 3 6 19" xfId="29455" xr:uid="{00000000-0005-0000-0000-000092740000}"/>
    <cellStyle name="RIGs input cells 3 6 2" xfId="29456" xr:uid="{00000000-0005-0000-0000-000093740000}"/>
    <cellStyle name="RIGs input cells 3 6 2 10" xfId="29457" xr:uid="{00000000-0005-0000-0000-000094740000}"/>
    <cellStyle name="RIGs input cells 3 6 2 11" xfId="29458" xr:uid="{00000000-0005-0000-0000-000095740000}"/>
    <cellStyle name="RIGs input cells 3 6 2 12" xfId="29459" xr:uid="{00000000-0005-0000-0000-000096740000}"/>
    <cellStyle name="RIGs input cells 3 6 2 13" xfId="29460" xr:uid="{00000000-0005-0000-0000-000097740000}"/>
    <cellStyle name="RIGs input cells 3 6 2 2" xfId="29461" xr:uid="{00000000-0005-0000-0000-000098740000}"/>
    <cellStyle name="RIGs input cells 3 6 2 3" xfId="29462" xr:uid="{00000000-0005-0000-0000-000099740000}"/>
    <cellStyle name="RIGs input cells 3 6 2 4" xfId="29463" xr:uid="{00000000-0005-0000-0000-00009A740000}"/>
    <cellStyle name="RIGs input cells 3 6 2 5" xfId="29464" xr:uid="{00000000-0005-0000-0000-00009B740000}"/>
    <cellStyle name="RIGs input cells 3 6 2 6" xfId="29465" xr:uid="{00000000-0005-0000-0000-00009C740000}"/>
    <cellStyle name="RIGs input cells 3 6 2 7" xfId="29466" xr:uid="{00000000-0005-0000-0000-00009D740000}"/>
    <cellStyle name="RIGs input cells 3 6 2 8" xfId="29467" xr:uid="{00000000-0005-0000-0000-00009E740000}"/>
    <cellStyle name="RIGs input cells 3 6 2 9" xfId="29468" xr:uid="{00000000-0005-0000-0000-00009F740000}"/>
    <cellStyle name="RIGs input cells 3 6 20" xfId="29469" xr:uid="{00000000-0005-0000-0000-0000A0740000}"/>
    <cellStyle name="RIGs input cells 3 6 21" xfId="29470" xr:uid="{00000000-0005-0000-0000-0000A1740000}"/>
    <cellStyle name="RIGs input cells 3 6 22" xfId="29471" xr:uid="{00000000-0005-0000-0000-0000A2740000}"/>
    <cellStyle name="RIGs input cells 3 6 23" xfId="29472" xr:uid="{00000000-0005-0000-0000-0000A3740000}"/>
    <cellStyle name="RIGs input cells 3 6 24" xfId="29473" xr:uid="{00000000-0005-0000-0000-0000A4740000}"/>
    <cellStyle name="RIGs input cells 3 6 25" xfId="29474" xr:uid="{00000000-0005-0000-0000-0000A5740000}"/>
    <cellStyle name="RIGs input cells 3 6 26" xfId="29475" xr:uid="{00000000-0005-0000-0000-0000A6740000}"/>
    <cellStyle name="RIGs input cells 3 6 27" xfId="29476" xr:uid="{00000000-0005-0000-0000-0000A7740000}"/>
    <cellStyle name="RIGs input cells 3 6 28" xfId="29477" xr:uid="{00000000-0005-0000-0000-0000A8740000}"/>
    <cellStyle name="RIGs input cells 3 6 29" xfId="29478" xr:uid="{00000000-0005-0000-0000-0000A9740000}"/>
    <cellStyle name="RIGs input cells 3 6 3" xfId="29479" xr:uid="{00000000-0005-0000-0000-0000AA740000}"/>
    <cellStyle name="RIGs input cells 3 6 30" xfId="29480" xr:uid="{00000000-0005-0000-0000-0000AB740000}"/>
    <cellStyle name="RIGs input cells 3 6 31" xfId="29481" xr:uid="{00000000-0005-0000-0000-0000AC740000}"/>
    <cellStyle name="RIGs input cells 3 6 32" xfId="29482" xr:uid="{00000000-0005-0000-0000-0000AD740000}"/>
    <cellStyle name="RIGs input cells 3 6 33" xfId="29483" xr:uid="{00000000-0005-0000-0000-0000AE740000}"/>
    <cellStyle name="RIGs input cells 3 6 34" xfId="29484" xr:uid="{00000000-0005-0000-0000-0000AF740000}"/>
    <cellStyle name="RIGs input cells 3 6 4" xfId="29485" xr:uid="{00000000-0005-0000-0000-0000B0740000}"/>
    <cellStyle name="RIGs input cells 3 6 5" xfId="29486" xr:uid="{00000000-0005-0000-0000-0000B1740000}"/>
    <cellStyle name="RIGs input cells 3 6 6" xfId="29487" xr:uid="{00000000-0005-0000-0000-0000B2740000}"/>
    <cellStyle name="RIGs input cells 3 6 7" xfId="29488" xr:uid="{00000000-0005-0000-0000-0000B3740000}"/>
    <cellStyle name="RIGs input cells 3 6 8" xfId="29489" xr:uid="{00000000-0005-0000-0000-0000B4740000}"/>
    <cellStyle name="RIGs input cells 3 6 9" xfId="29490" xr:uid="{00000000-0005-0000-0000-0000B5740000}"/>
    <cellStyle name="RIGs input cells 3 7" xfId="29491" xr:uid="{00000000-0005-0000-0000-0000B6740000}"/>
    <cellStyle name="RIGs input cells 3 7 10" xfId="29492" xr:uid="{00000000-0005-0000-0000-0000B7740000}"/>
    <cellStyle name="RIGs input cells 3 7 11" xfId="29493" xr:uid="{00000000-0005-0000-0000-0000B8740000}"/>
    <cellStyle name="RIGs input cells 3 7 12" xfId="29494" xr:uid="{00000000-0005-0000-0000-0000B9740000}"/>
    <cellStyle name="RIGs input cells 3 7 13" xfId="29495" xr:uid="{00000000-0005-0000-0000-0000BA740000}"/>
    <cellStyle name="RIGs input cells 3 7 14" xfId="29496" xr:uid="{00000000-0005-0000-0000-0000BB740000}"/>
    <cellStyle name="RIGs input cells 3 7 15" xfId="29497" xr:uid="{00000000-0005-0000-0000-0000BC740000}"/>
    <cellStyle name="RIGs input cells 3 7 16" xfId="29498" xr:uid="{00000000-0005-0000-0000-0000BD740000}"/>
    <cellStyle name="RIGs input cells 3 7 17" xfId="29499" xr:uid="{00000000-0005-0000-0000-0000BE740000}"/>
    <cellStyle name="RIGs input cells 3 7 18" xfId="29500" xr:uid="{00000000-0005-0000-0000-0000BF740000}"/>
    <cellStyle name="RIGs input cells 3 7 19" xfId="29501" xr:uid="{00000000-0005-0000-0000-0000C0740000}"/>
    <cellStyle name="RIGs input cells 3 7 2" xfId="29502" xr:uid="{00000000-0005-0000-0000-0000C1740000}"/>
    <cellStyle name="RIGs input cells 3 7 2 10" xfId="29503" xr:uid="{00000000-0005-0000-0000-0000C2740000}"/>
    <cellStyle name="RIGs input cells 3 7 2 11" xfId="29504" xr:uid="{00000000-0005-0000-0000-0000C3740000}"/>
    <cellStyle name="RIGs input cells 3 7 2 12" xfId="29505" xr:uid="{00000000-0005-0000-0000-0000C4740000}"/>
    <cellStyle name="RIGs input cells 3 7 2 13" xfId="29506" xr:uid="{00000000-0005-0000-0000-0000C5740000}"/>
    <cellStyle name="RIGs input cells 3 7 2 2" xfId="29507" xr:uid="{00000000-0005-0000-0000-0000C6740000}"/>
    <cellStyle name="RIGs input cells 3 7 2 3" xfId="29508" xr:uid="{00000000-0005-0000-0000-0000C7740000}"/>
    <cellStyle name="RIGs input cells 3 7 2 4" xfId="29509" xr:uid="{00000000-0005-0000-0000-0000C8740000}"/>
    <cellStyle name="RIGs input cells 3 7 2 5" xfId="29510" xr:uid="{00000000-0005-0000-0000-0000C9740000}"/>
    <cellStyle name="RIGs input cells 3 7 2 6" xfId="29511" xr:uid="{00000000-0005-0000-0000-0000CA740000}"/>
    <cellStyle name="RIGs input cells 3 7 2 7" xfId="29512" xr:uid="{00000000-0005-0000-0000-0000CB740000}"/>
    <cellStyle name="RIGs input cells 3 7 2 8" xfId="29513" xr:uid="{00000000-0005-0000-0000-0000CC740000}"/>
    <cellStyle name="RIGs input cells 3 7 2 9" xfId="29514" xr:uid="{00000000-0005-0000-0000-0000CD740000}"/>
    <cellStyle name="RIGs input cells 3 7 20" xfId="29515" xr:uid="{00000000-0005-0000-0000-0000CE740000}"/>
    <cellStyle name="RIGs input cells 3 7 21" xfId="29516" xr:uid="{00000000-0005-0000-0000-0000CF740000}"/>
    <cellStyle name="RIGs input cells 3 7 22" xfId="29517" xr:uid="{00000000-0005-0000-0000-0000D0740000}"/>
    <cellStyle name="RIGs input cells 3 7 23" xfId="29518" xr:uid="{00000000-0005-0000-0000-0000D1740000}"/>
    <cellStyle name="RIGs input cells 3 7 24" xfId="29519" xr:uid="{00000000-0005-0000-0000-0000D2740000}"/>
    <cellStyle name="RIGs input cells 3 7 25" xfId="29520" xr:uid="{00000000-0005-0000-0000-0000D3740000}"/>
    <cellStyle name="RIGs input cells 3 7 26" xfId="29521" xr:uid="{00000000-0005-0000-0000-0000D4740000}"/>
    <cellStyle name="RIGs input cells 3 7 27" xfId="29522" xr:uid="{00000000-0005-0000-0000-0000D5740000}"/>
    <cellStyle name="RIGs input cells 3 7 28" xfId="29523" xr:uid="{00000000-0005-0000-0000-0000D6740000}"/>
    <cellStyle name="RIGs input cells 3 7 29" xfId="29524" xr:uid="{00000000-0005-0000-0000-0000D7740000}"/>
    <cellStyle name="RIGs input cells 3 7 3" xfId="29525" xr:uid="{00000000-0005-0000-0000-0000D8740000}"/>
    <cellStyle name="RIGs input cells 3 7 30" xfId="29526" xr:uid="{00000000-0005-0000-0000-0000D9740000}"/>
    <cellStyle name="RIGs input cells 3 7 31" xfId="29527" xr:uid="{00000000-0005-0000-0000-0000DA740000}"/>
    <cellStyle name="RIGs input cells 3 7 32" xfId="29528" xr:uid="{00000000-0005-0000-0000-0000DB740000}"/>
    <cellStyle name="RIGs input cells 3 7 33" xfId="29529" xr:uid="{00000000-0005-0000-0000-0000DC740000}"/>
    <cellStyle name="RIGs input cells 3 7 34" xfId="29530" xr:uid="{00000000-0005-0000-0000-0000DD740000}"/>
    <cellStyle name="RIGs input cells 3 7 4" xfId="29531" xr:uid="{00000000-0005-0000-0000-0000DE740000}"/>
    <cellStyle name="RIGs input cells 3 7 5" xfId="29532" xr:uid="{00000000-0005-0000-0000-0000DF740000}"/>
    <cellStyle name="RIGs input cells 3 7 6" xfId="29533" xr:uid="{00000000-0005-0000-0000-0000E0740000}"/>
    <cellStyle name="RIGs input cells 3 7 7" xfId="29534" xr:uid="{00000000-0005-0000-0000-0000E1740000}"/>
    <cellStyle name="RIGs input cells 3 7 8" xfId="29535" xr:uid="{00000000-0005-0000-0000-0000E2740000}"/>
    <cellStyle name="RIGs input cells 3 7 9" xfId="29536" xr:uid="{00000000-0005-0000-0000-0000E3740000}"/>
    <cellStyle name="RIGs input cells 3 8" xfId="29537" xr:uid="{00000000-0005-0000-0000-0000E4740000}"/>
    <cellStyle name="RIGs input cells 3 8 10" xfId="29538" xr:uid="{00000000-0005-0000-0000-0000E5740000}"/>
    <cellStyle name="RIGs input cells 3 8 11" xfId="29539" xr:uid="{00000000-0005-0000-0000-0000E6740000}"/>
    <cellStyle name="RIGs input cells 3 8 12" xfId="29540" xr:uid="{00000000-0005-0000-0000-0000E7740000}"/>
    <cellStyle name="RIGs input cells 3 8 13" xfId="29541" xr:uid="{00000000-0005-0000-0000-0000E8740000}"/>
    <cellStyle name="RIGs input cells 3 8 14" xfId="29542" xr:uid="{00000000-0005-0000-0000-0000E9740000}"/>
    <cellStyle name="RIGs input cells 3 8 15" xfId="29543" xr:uid="{00000000-0005-0000-0000-0000EA740000}"/>
    <cellStyle name="RIGs input cells 3 8 16" xfId="29544" xr:uid="{00000000-0005-0000-0000-0000EB740000}"/>
    <cellStyle name="RIGs input cells 3 8 17" xfId="29545" xr:uid="{00000000-0005-0000-0000-0000EC740000}"/>
    <cellStyle name="RIGs input cells 3 8 18" xfId="29546" xr:uid="{00000000-0005-0000-0000-0000ED740000}"/>
    <cellStyle name="RIGs input cells 3 8 19" xfId="29547" xr:uid="{00000000-0005-0000-0000-0000EE740000}"/>
    <cellStyle name="RIGs input cells 3 8 2" xfId="29548" xr:uid="{00000000-0005-0000-0000-0000EF740000}"/>
    <cellStyle name="RIGs input cells 3 8 2 10" xfId="29549" xr:uid="{00000000-0005-0000-0000-0000F0740000}"/>
    <cellStyle name="RIGs input cells 3 8 2 11" xfId="29550" xr:uid="{00000000-0005-0000-0000-0000F1740000}"/>
    <cellStyle name="RIGs input cells 3 8 2 12" xfId="29551" xr:uid="{00000000-0005-0000-0000-0000F2740000}"/>
    <cellStyle name="RIGs input cells 3 8 2 13" xfId="29552" xr:uid="{00000000-0005-0000-0000-0000F3740000}"/>
    <cellStyle name="RIGs input cells 3 8 2 2" xfId="29553" xr:uid="{00000000-0005-0000-0000-0000F4740000}"/>
    <cellStyle name="RIGs input cells 3 8 2 3" xfId="29554" xr:uid="{00000000-0005-0000-0000-0000F5740000}"/>
    <cellStyle name="RIGs input cells 3 8 2 4" xfId="29555" xr:uid="{00000000-0005-0000-0000-0000F6740000}"/>
    <cellStyle name="RIGs input cells 3 8 2 5" xfId="29556" xr:uid="{00000000-0005-0000-0000-0000F7740000}"/>
    <cellStyle name="RIGs input cells 3 8 2 6" xfId="29557" xr:uid="{00000000-0005-0000-0000-0000F8740000}"/>
    <cellStyle name="RIGs input cells 3 8 2 7" xfId="29558" xr:uid="{00000000-0005-0000-0000-0000F9740000}"/>
    <cellStyle name="RIGs input cells 3 8 2 8" xfId="29559" xr:uid="{00000000-0005-0000-0000-0000FA740000}"/>
    <cellStyle name="RIGs input cells 3 8 2 9" xfId="29560" xr:uid="{00000000-0005-0000-0000-0000FB740000}"/>
    <cellStyle name="RIGs input cells 3 8 20" xfId="29561" xr:uid="{00000000-0005-0000-0000-0000FC740000}"/>
    <cellStyle name="RIGs input cells 3 8 21" xfId="29562" xr:uid="{00000000-0005-0000-0000-0000FD740000}"/>
    <cellStyle name="RIGs input cells 3 8 22" xfId="29563" xr:uid="{00000000-0005-0000-0000-0000FE740000}"/>
    <cellStyle name="RIGs input cells 3 8 23" xfId="29564" xr:uid="{00000000-0005-0000-0000-0000FF740000}"/>
    <cellStyle name="RIGs input cells 3 8 24" xfId="29565" xr:uid="{00000000-0005-0000-0000-000000750000}"/>
    <cellStyle name="RIGs input cells 3 8 25" xfId="29566" xr:uid="{00000000-0005-0000-0000-000001750000}"/>
    <cellStyle name="RIGs input cells 3 8 26" xfId="29567" xr:uid="{00000000-0005-0000-0000-000002750000}"/>
    <cellStyle name="RIGs input cells 3 8 27" xfId="29568" xr:uid="{00000000-0005-0000-0000-000003750000}"/>
    <cellStyle name="RIGs input cells 3 8 28" xfId="29569" xr:uid="{00000000-0005-0000-0000-000004750000}"/>
    <cellStyle name="RIGs input cells 3 8 29" xfId="29570" xr:uid="{00000000-0005-0000-0000-000005750000}"/>
    <cellStyle name="RIGs input cells 3 8 3" xfId="29571" xr:uid="{00000000-0005-0000-0000-000006750000}"/>
    <cellStyle name="RIGs input cells 3 8 30" xfId="29572" xr:uid="{00000000-0005-0000-0000-000007750000}"/>
    <cellStyle name="RIGs input cells 3 8 31" xfId="29573" xr:uid="{00000000-0005-0000-0000-000008750000}"/>
    <cellStyle name="RIGs input cells 3 8 32" xfId="29574" xr:uid="{00000000-0005-0000-0000-000009750000}"/>
    <cellStyle name="RIGs input cells 3 8 33" xfId="29575" xr:uid="{00000000-0005-0000-0000-00000A750000}"/>
    <cellStyle name="RIGs input cells 3 8 34" xfId="29576" xr:uid="{00000000-0005-0000-0000-00000B750000}"/>
    <cellStyle name="RIGs input cells 3 8 4" xfId="29577" xr:uid="{00000000-0005-0000-0000-00000C750000}"/>
    <cellStyle name="RIGs input cells 3 8 5" xfId="29578" xr:uid="{00000000-0005-0000-0000-00000D750000}"/>
    <cellStyle name="RIGs input cells 3 8 6" xfId="29579" xr:uid="{00000000-0005-0000-0000-00000E750000}"/>
    <cellStyle name="RIGs input cells 3 8 7" xfId="29580" xr:uid="{00000000-0005-0000-0000-00000F750000}"/>
    <cellStyle name="RIGs input cells 3 8 8" xfId="29581" xr:uid="{00000000-0005-0000-0000-000010750000}"/>
    <cellStyle name="RIGs input cells 3 8 9" xfId="29582" xr:uid="{00000000-0005-0000-0000-000011750000}"/>
    <cellStyle name="RIGs input cells 3 9" xfId="29583" xr:uid="{00000000-0005-0000-0000-000012750000}"/>
    <cellStyle name="RIGs input cells 3 9 10" xfId="29584" xr:uid="{00000000-0005-0000-0000-000013750000}"/>
    <cellStyle name="RIGs input cells 3 9 11" xfId="29585" xr:uid="{00000000-0005-0000-0000-000014750000}"/>
    <cellStyle name="RIGs input cells 3 9 12" xfId="29586" xr:uid="{00000000-0005-0000-0000-000015750000}"/>
    <cellStyle name="RIGs input cells 3 9 13" xfId="29587" xr:uid="{00000000-0005-0000-0000-000016750000}"/>
    <cellStyle name="RIGs input cells 3 9 14" xfId="29588" xr:uid="{00000000-0005-0000-0000-000017750000}"/>
    <cellStyle name="RIGs input cells 3 9 15" xfId="29589" xr:uid="{00000000-0005-0000-0000-000018750000}"/>
    <cellStyle name="RIGs input cells 3 9 16" xfId="29590" xr:uid="{00000000-0005-0000-0000-000019750000}"/>
    <cellStyle name="RIGs input cells 3 9 17" xfId="29591" xr:uid="{00000000-0005-0000-0000-00001A750000}"/>
    <cellStyle name="RIGs input cells 3 9 18" xfId="29592" xr:uid="{00000000-0005-0000-0000-00001B750000}"/>
    <cellStyle name="RIGs input cells 3 9 19" xfId="29593" xr:uid="{00000000-0005-0000-0000-00001C750000}"/>
    <cellStyle name="RIGs input cells 3 9 2" xfId="29594" xr:uid="{00000000-0005-0000-0000-00001D750000}"/>
    <cellStyle name="RIGs input cells 3 9 2 10" xfId="29595" xr:uid="{00000000-0005-0000-0000-00001E750000}"/>
    <cellStyle name="RIGs input cells 3 9 2 11" xfId="29596" xr:uid="{00000000-0005-0000-0000-00001F750000}"/>
    <cellStyle name="RIGs input cells 3 9 2 12" xfId="29597" xr:uid="{00000000-0005-0000-0000-000020750000}"/>
    <cellStyle name="RIGs input cells 3 9 2 13" xfId="29598" xr:uid="{00000000-0005-0000-0000-000021750000}"/>
    <cellStyle name="RIGs input cells 3 9 2 2" xfId="29599" xr:uid="{00000000-0005-0000-0000-000022750000}"/>
    <cellStyle name="RIGs input cells 3 9 2 3" xfId="29600" xr:uid="{00000000-0005-0000-0000-000023750000}"/>
    <cellStyle name="RIGs input cells 3 9 2 4" xfId="29601" xr:uid="{00000000-0005-0000-0000-000024750000}"/>
    <cellStyle name="RIGs input cells 3 9 2 5" xfId="29602" xr:uid="{00000000-0005-0000-0000-000025750000}"/>
    <cellStyle name="RIGs input cells 3 9 2 6" xfId="29603" xr:uid="{00000000-0005-0000-0000-000026750000}"/>
    <cellStyle name="RIGs input cells 3 9 2 7" xfId="29604" xr:uid="{00000000-0005-0000-0000-000027750000}"/>
    <cellStyle name="RIGs input cells 3 9 2 8" xfId="29605" xr:uid="{00000000-0005-0000-0000-000028750000}"/>
    <cellStyle name="RIGs input cells 3 9 2 9" xfId="29606" xr:uid="{00000000-0005-0000-0000-000029750000}"/>
    <cellStyle name="RIGs input cells 3 9 20" xfId="29607" xr:uid="{00000000-0005-0000-0000-00002A750000}"/>
    <cellStyle name="RIGs input cells 3 9 21" xfId="29608" xr:uid="{00000000-0005-0000-0000-00002B750000}"/>
    <cellStyle name="RIGs input cells 3 9 22" xfId="29609" xr:uid="{00000000-0005-0000-0000-00002C750000}"/>
    <cellStyle name="RIGs input cells 3 9 23" xfId="29610" xr:uid="{00000000-0005-0000-0000-00002D750000}"/>
    <cellStyle name="RIGs input cells 3 9 24" xfId="29611" xr:uid="{00000000-0005-0000-0000-00002E750000}"/>
    <cellStyle name="RIGs input cells 3 9 25" xfId="29612" xr:uid="{00000000-0005-0000-0000-00002F750000}"/>
    <cellStyle name="RIGs input cells 3 9 26" xfId="29613" xr:uid="{00000000-0005-0000-0000-000030750000}"/>
    <cellStyle name="RIGs input cells 3 9 27" xfId="29614" xr:uid="{00000000-0005-0000-0000-000031750000}"/>
    <cellStyle name="RIGs input cells 3 9 28" xfId="29615" xr:uid="{00000000-0005-0000-0000-000032750000}"/>
    <cellStyle name="RIGs input cells 3 9 29" xfId="29616" xr:uid="{00000000-0005-0000-0000-000033750000}"/>
    <cellStyle name="RIGs input cells 3 9 3" xfId="29617" xr:uid="{00000000-0005-0000-0000-000034750000}"/>
    <cellStyle name="RIGs input cells 3 9 30" xfId="29618" xr:uid="{00000000-0005-0000-0000-000035750000}"/>
    <cellStyle name="RIGs input cells 3 9 31" xfId="29619" xr:uid="{00000000-0005-0000-0000-000036750000}"/>
    <cellStyle name="RIGs input cells 3 9 32" xfId="29620" xr:uid="{00000000-0005-0000-0000-000037750000}"/>
    <cellStyle name="RIGs input cells 3 9 33" xfId="29621" xr:uid="{00000000-0005-0000-0000-000038750000}"/>
    <cellStyle name="RIGs input cells 3 9 34" xfId="29622" xr:uid="{00000000-0005-0000-0000-000039750000}"/>
    <cellStyle name="RIGs input cells 3 9 4" xfId="29623" xr:uid="{00000000-0005-0000-0000-00003A750000}"/>
    <cellStyle name="RIGs input cells 3 9 5" xfId="29624" xr:uid="{00000000-0005-0000-0000-00003B750000}"/>
    <cellStyle name="RIGs input cells 3 9 6" xfId="29625" xr:uid="{00000000-0005-0000-0000-00003C750000}"/>
    <cellStyle name="RIGs input cells 3 9 7" xfId="29626" xr:uid="{00000000-0005-0000-0000-00003D750000}"/>
    <cellStyle name="RIGs input cells 3 9 8" xfId="29627" xr:uid="{00000000-0005-0000-0000-00003E750000}"/>
    <cellStyle name="RIGs input cells 3 9 9" xfId="29628" xr:uid="{00000000-0005-0000-0000-00003F750000}"/>
    <cellStyle name="RIGs input cells 3_1.3s Accounting C Costs Scots" xfId="29629" xr:uid="{00000000-0005-0000-0000-000040750000}"/>
    <cellStyle name="RIGs input cells 30" xfId="29630" xr:uid="{00000000-0005-0000-0000-000041750000}"/>
    <cellStyle name="RIGs input cells 31" xfId="29631" xr:uid="{00000000-0005-0000-0000-000042750000}"/>
    <cellStyle name="RIGs input cells 32" xfId="29632" xr:uid="{00000000-0005-0000-0000-000043750000}"/>
    <cellStyle name="RIGs input cells 33" xfId="29633" xr:uid="{00000000-0005-0000-0000-000044750000}"/>
    <cellStyle name="RIGs input cells 34" xfId="29634" xr:uid="{00000000-0005-0000-0000-000045750000}"/>
    <cellStyle name="RIGs input cells 35" xfId="29635" xr:uid="{00000000-0005-0000-0000-000046750000}"/>
    <cellStyle name="RIGs input cells 36" xfId="29636" xr:uid="{00000000-0005-0000-0000-000047750000}"/>
    <cellStyle name="RIGs input cells 37" xfId="29637" xr:uid="{00000000-0005-0000-0000-000048750000}"/>
    <cellStyle name="RIGs input cells 38" xfId="29638" xr:uid="{00000000-0005-0000-0000-000049750000}"/>
    <cellStyle name="RIGs input cells 39" xfId="29639" xr:uid="{00000000-0005-0000-0000-00004A750000}"/>
    <cellStyle name="RIGs input cells 4" xfId="29640" xr:uid="{00000000-0005-0000-0000-00004B750000}"/>
    <cellStyle name="RIGs input cells 4 10" xfId="29641" xr:uid="{00000000-0005-0000-0000-00004C750000}"/>
    <cellStyle name="RIGs input cells 4 11" xfId="29642" xr:uid="{00000000-0005-0000-0000-00004D750000}"/>
    <cellStyle name="RIGs input cells 4 12" xfId="29643" xr:uid="{00000000-0005-0000-0000-00004E750000}"/>
    <cellStyle name="RIGs input cells 4 13" xfId="29644" xr:uid="{00000000-0005-0000-0000-00004F750000}"/>
    <cellStyle name="RIGs input cells 4 14" xfId="29645" xr:uid="{00000000-0005-0000-0000-000050750000}"/>
    <cellStyle name="RIGs input cells 4 15" xfId="29646" xr:uid="{00000000-0005-0000-0000-000051750000}"/>
    <cellStyle name="RIGs input cells 4 16" xfId="29647" xr:uid="{00000000-0005-0000-0000-000052750000}"/>
    <cellStyle name="RIGs input cells 4 17" xfId="29648" xr:uid="{00000000-0005-0000-0000-000053750000}"/>
    <cellStyle name="RIGs input cells 4 18" xfId="29649" xr:uid="{00000000-0005-0000-0000-000054750000}"/>
    <cellStyle name="RIGs input cells 4 19" xfId="29650" xr:uid="{00000000-0005-0000-0000-000055750000}"/>
    <cellStyle name="RIGs input cells 4 2" xfId="29651" xr:uid="{00000000-0005-0000-0000-000056750000}"/>
    <cellStyle name="RIGs input cells 4 2 10" xfId="29652" xr:uid="{00000000-0005-0000-0000-000057750000}"/>
    <cellStyle name="RIGs input cells 4 2 11" xfId="29653" xr:uid="{00000000-0005-0000-0000-000058750000}"/>
    <cellStyle name="RIGs input cells 4 2 12" xfId="29654" xr:uid="{00000000-0005-0000-0000-000059750000}"/>
    <cellStyle name="RIGs input cells 4 2 13" xfId="29655" xr:uid="{00000000-0005-0000-0000-00005A750000}"/>
    <cellStyle name="RIGs input cells 4 2 14" xfId="29656" xr:uid="{00000000-0005-0000-0000-00005B750000}"/>
    <cellStyle name="RIGs input cells 4 2 15" xfId="29657" xr:uid="{00000000-0005-0000-0000-00005C750000}"/>
    <cellStyle name="RIGs input cells 4 2 16" xfId="29658" xr:uid="{00000000-0005-0000-0000-00005D750000}"/>
    <cellStyle name="RIGs input cells 4 2 17" xfId="29659" xr:uid="{00000000-0005-0000-0000-00005E750000}"/>
    <cellStyle name="RIGs input cells 4 2 18" xfId="29660" xr:uid="{00000000-0005-0000-0000-00005F750000}"/>
    <cellStyle name="RIGs input cells 4 2 19" xfId="29661" xr:uid="{00000000-0005-0000-0000-000060750000}"/>
    <cellStyle name="RIGs input cells 4 2 2" xfId="29662" xr:uid="{00000000-0005-0000-0000-000061750000}"/>
    <cellStyle name="RIGs input cells 4 2 2 10" xfId="29663" xr:uid="{00000000-0005-0000-0000-000062750000}"/>
    <cellStyle name="RIGs input cells 4 2 2 11" xfId="29664" xr:uid="{00000000-0005-0000-0000-000063750000}"/>
    <cellStyle name="RIGs input cells 4 2 2 12" xfId="29665" xr:uid="{00000000-0005-0000-0000-000064750000}"/>
    <cellStyle name="RIGs input cells 4 2 2 13" xfId="29666" xr:uid="{00000000-0005-0000-0000-000065750000}"/>
    <cellStyle name="RIGs input cells 4 2 2 14" xfId="29667" xr:uid="{00000000-0005-0000-0000-000066750000}"/>
    <cellStyle name="RIGs input cells 4 2 2 15" xfId="29668" xr:uid="{00000000-0005-0000-0000-000067750000}"/>
    <cellStyle name="RIGs input cells 4 2 2 16" xfId="29669" xr:uid="{00000000-0005-0000-0000-000068750000}"/>
    <cellStyle name="RIGs input cells 4 2 2 17" xfId="29670" xr:uid="{00000000-0005-0000-0000-000069750000}"/>
    <cellStyle name="RIGs input cells 4 2 2 18" xfId="29671" xr:uid="{00000000-0005-0000-0000-00006A750000}"/>
    <cellStyle name="RIGs input cells 4 2 2 19" xfId="29672" xr:uid="{00000000-0005-0000-0000-00006B750000}"/>
    <cellStyle name="RIGs input cells 4 2 2 2" xfId="29673" xr:uid="{00000000-0005-0000-0000-00006C750000}"/>
    <cellStyle name="RIGs input cells 4 2 2 2 10" xfId="29674" xr:uid="{00000000-0005-0000-0000-00006D750000}"/>
    <cellStyle name="RIGs input cells 4 2 2 2 11" xfId="29675" xr:uid="{00000000-0005-0000-0000-00006E750000}"/>
    <cellStyle name="RIGs input cells 4 2 2 2 12" xfId="29676" xr:uid="{00000000-0005-0000-0000-00006F750000}"/>
    <cellStyle name="RIGs input cells 4 2 2 2 13" xfId="29677" xr:uid="{00000000-0005-0000-0000-000070750000}"/>
    <cellStyle name="RIGs input cells 4 2 2 2 14" xfId="29678" xr:uid="{00000000-0005-0000-0000-000071750000}"/>
    <cellStyle name="RIGs input cells 4 2 2 2 15" xfId="29679" xr:uid="{00000000-0005-0000-0000-000072750000}"/>
    <cellStyle name="RIGs input cells 4 2 2 2 16" xfId="29680" xr:uid="{00000000-0005-0000-0000-000073750000}"/>
    <cellStyle name="RIGs input cells 4 2 2 2 17" xfId="29681" xr:uid="{00000000-0005-0000-0000-000074750000}"/>
    <cellStyle name="RIGs input cells 4 2 2 2 18" xfId="29682" xr:uid="{00000000-0005-0000-0000-000075750000}"/>
    <cellStyle name="RIGs input cells 4 2 2 2 19" xfId="29683" xr:uid="{00000000-0005-0000-0000-000076750000}"/>
    <cellStyle name="RIGs input cells 4 2 2 2 2" xfId="29684" xr:uid="{00000000-0005-0000-0000-000077750000}"/>
    <cellStyle name="RIGs input cells 4 2 2 2 2 10" xfId="29685" xr:uid="{00000000-0005-0000-0000-000078750000}"/>
    <cellStyle name="RIGs input cells 4 2 2 2 2 11" xfId="29686" xr:uid="{00000000-0005-0000-0000-000079750000}"/>
    <cellStyle name="RIGs input cells 4 2 2 2 2 12" xfId="29687" xr:uid="{00000000-0005-0000-0000-00007A750000}"/>
    <cellStyle name="RIGs input cells 4 2 2 2 2 13" xfId="29688" xr:uid="{00000000-0005-0000-0000-00007B750000}"/>
    <cellStyle name="RIGs input cells 4 2 2 2 2 14" xfId="29689" xr:uid="{00000000-0005-0000-0000-00007C750000}"/>
    <cellStyle name="RIGs input cells 4 2 2 2 2 15" xfId="29690" xr:uid="{00000000-0005-0000-0000-00007D750000}"/>
    <cellStyle name="RIGs input cells 4 2 2 2 2 16" xfId="29691" xr:uid="{00000000-0005-0000-0000-00007E750000}"/>
    <cellStyle name="RIGs input cells 4 2 2 2 2 17" xfId="29692" xr:uid="{00000000-0005-0000-0000-00007F750000}"/>
    <cellStyle name="RIGs input cells 4 2 2 2 2 18" xfId="29693" xr:uid="{00000000-0005-0000-0000-000080750000}"/>
    <cellStyle name="RIGs input cells 4 2 2 2 2 19" xfId="29694" xr:uid="{00000000-0005-0000-0000-000081750000}"/>
    <cellStyle name="RIGs input cells 4 2 2 2 2 2" xfId="29695" xr:uid="{00000000-0005-0000-0000-000082750000}"/>
    <cellStyle name="RIGs input cells 4 2 2 2 2 2 10" xfId="29696" xr:uid="{00000000-0005-0000-0000-000083750000}"/>
    <cellStyle name="RIGs input cells 4 2 2 2 2 2 11" xfId="29697" xr:uid="{00000000-0005-0000-0000-000084750000}"/>
    <cellStyle name="RIGs input cells 4 2 2 2 2 2 12" xfId="29698" xr:uid="{00000000-0005-0000-0000-000085750000}"/>
    <cellStyle name="RIGs input cells 4 2 2 2 2 2 13" xfId="29699" xr:uid="{00000000-0005-0000-0000-000086750000}"/>
    <cellStyle name="RIGs input cells 4 2 2 2 2 2 2" xfId="29700" xr:uid="{00000000-0005-0000-0000-000087750000}"/>
    <cellStyle name="RIGs input cells 4 2 2 2 2 2 3" xfId="29701" xr:uid="{00000000-0005-0000-0000-000088750000}"/>
    <cellStyle name="RIGs input cells 4 2 2 2 2 2 4" xfId="29702" xr:uid="{00000000-0005-0000-0000-000089750000}"/>
    <cellStyle name="RIGs input cells 4 2 2 2 2 2 5" xfId="29703" xr:uid="{00000000-0005-0000-0000-00008A750000}"/>
    <cellStyle name="RIGs input cells 4 2 2 2 2 2 6" xfId="29704" xr:uid="{00000000-0005-0000-0000-00008B750000}"/>
    <cellStyle name="RIGs input cells 4 2 2 2 2 2 7" xfId="29705" xr:uid="{00000000-0005-0000-0000-00008C750000}"/>
    <cellStyle name="RIGs input cells 4 2 2 2 2 2 8" xfId="29706" xr:uid="{00000000-0005-0000-0000-00008D750000}"/>
    <cellStyle name="RIGs input cells 4 2 2 2 2 2 9" xfId="29707" xr:uid="{00000000-0005-0000-0000-00008E750000}"/>
    <cellStyle name="RIGs input cells 4 2 2 2 2 20" xfId="29708" xr:uid="{00000000-0005-0000-0000-00008F750000}"/>
    <cellStyle name="RIGs input cells 4 2 2 2 2 21" xfId="29709" xr:uid="{00000000-0005-0000-0000-000090750000}"/>
    <cellStyle name="RIGs input cells 4 2 2 2 2 22" xfId="29710" xr:uid="{00000000-0005-0000-0000-000091750000}"/>
    <cellStyle name="RIGs input cells 4 2 2 2 2 23" xfId="29711" xr:uid="{00000000-0005-0000-0000-000092750000}"/>
    <cellStyle name="RIGs input cells 4 2 2 2 2 24" xfId="29712" xr:uid="{00000000-0005-0000-0000-000093750000}"/>
    <cellStyle name="RIGs input cells 4 2 2 2 2 25" xfId="29713" xr:uid="{00000000-0005-0000-0000-000094750000}"/>
    <cellStyle name="RIGs input cells 4 2 2 2 2 26" xfId="29714" xr:uid="{00000000-0005-0000-0000-000095750000}"/>
    <cellStyle name="RIGs input cells 4 2 2 2 2 27" xfId="29715" xr:uid="{00000000-0005-0000-0000-000096750000}"/>
    <cellStyle name="RIGs input cells 4 2 2 2 2 28" xfId="29716" xr:uid="{00000000-0005-0000-0000-000097750000}"/>
    <cellStyle name="RIGs input cells 4 2 2 2 2 29" xfId="29717" xr:uid="{00000000-0005-0000-0000-000098750000}"/>
    <cellStyle name="RIGs input cells 4 2 2 2 2 3" xfId="29718" xr:uid="{00000000-0005-0000-0000-000099750000}"/>
    <cellStyle name="RIGs input cells 4 2 2 2 2 30" xfId="29719" xr:uid="{00000000-0005-0000-0000-00009A750000}"/>
    <cellStyle name="RIGs input cells 4 2 2 2 2 31" xfId="29720" xr:uid="{00000000-0005-0000-0000-00009B750000}"/>
    <cellStyle name="RIGs input cells 4 2 2 2 2 32" xfId="29721" xr:uid="{00000000-0005-0000-0000-00009C750000}"/>
    <cellStyle name="RIGs input cells 4 2 2 2 2 33" xfId="29722" xr:uid="{00000000-0005-0000-0000-00009D750000}"/>
    <cellStyle name="RIGs input cells 4 2 2 2 2 34" xfId="29723" xr:uid="{00000000-0005-0000-0000-00009E750000}"/>
    <cellStyle name="RIGs input cells 4 2 2 2 2 4" xfId="29724" xr:uid="{00000000-0005-0000-0000-00009F750000}"/>
    <cellStyle name="RIGs input cells 4 2 2 2 2 5" xfId="29725" xr:uid="{00000000-0005-0000-0000-0000A0750000}"/>
    <cellStyle name="RIGs input cells 4 2 2 2 2 6" xfId="29726" xr:uid="{00000000-0005-0000-0000-0000A1750000}"/>
    <cellStyle name="RIGs input cells 4 2 2 2 2 7" xfId="29727" xr:uid="{00000000-0005-0000-0000-0000A2750000}"/>
    <cellStyle name="RIGs input cells 4 2 2 2 2 8" xfId="29728" xr:uid="{00000000-0005-0000-0000-0000A3750000}"/>
    <cellStyle name="RIGs input cells 4 2 2 2 2 9" xfId="29729" xr:uid="{00000000-0005-0000-0000-0000A4750000}"/>
    <cellStyle name="RIGs input cells 4 2 2 2 20" xfId="29730" xr:uid="{00000000-0005-0000-0000-0000A5750000}"/>
    <cellStyle name="RIGs input cells 4 2 2 2 21" xfId="29731" xr:uid="{00000000-0005-0000-0000-0000A6750000}"/>
    <cellStyle name="RIGs input cells 4 2 2 2 22" xfId="29732" xr:uid="{00000000-0005-0000-0000-0000A7750000}"/>
    <cellStyle name="RIGs input cells 4 2 2 2 23" xfId="29733" xr:uid="{00000000-0005-0000-0000-0000A8750000}"/>
    <cellStyle name="RIGs input cells 4 2 2 2 24" xfId="29734" xr:uid="{00000000-0005-0000-0000-0000A9750000}"/>
    <cellStyle name="RIGs input cells 4 2 2 2 25" xfId="29735" xr:uid="{00000000-0005-0000-0000-0000AA750000}"/>
    <cellStyle name="RIGs input cells 4 2 2 2 26" xfId="29736" xr:uid="{00000000-0005-0000-0000-0000AB750000}"/>
    <cellStyle name="RIGs input cells 4 2 2 2 27" xfId="29737" xr:uid="{00000000-0005-0000-0000-0000AC750000}"/>
    <cellStyle name="RIGs input cells 4 2 2 2 28" xfId="29738" xr:uid="{00000000-0005-0000-0000-0000AD750000}"/>
    <cellStyle name="RIGs input cells 4 2 2 2 29" xfId="29739" xr:uid="{00000000-0005-0000-0000-0000AE750000}"/>
    <cellStyle name="RIGs input cells 4 2 2 2 3" xfId="29740" xr:uid="{00000000-0005-0000-0000-0000AF750000}"/>
    <cellStyle name="RIGs input cells 4 2 2 2 3 10" xfId="29741" xr:uid="{00000000-0005-0000-0000-0000B0750000}"/>
    <cellStyle name="RIGs input cells 4 2 2 2 3 11" xfId="29742" xr:uid="{00000000-0005-0000-0000-0000B1750000}"/>
    <cellStyle name="RIGs input cells 4 2 2 2 3 12" xfId="29743" xr:uid="{00000000-0005-0000-0000-0000B2750000}"/>
    <cellStyle name="RIGs input cells 4 2 2 2 3 13" xfId="29744" xr:uid="{00000000-0005-0000-0000-0000B3750000}"/>
    <cellStyle name="RIGs input cells 4 2 2 2 3 2" xfId="29745" xr:uid="{00000000-0005-0000-0000-0000B4750000}"/>
    <cellStyle name="RIGs input cells 4 2 2 2 3 3" xfId="29746" xr:uid="{00000000-0005-0000-0000-0000B5750000}"/>
    <cellStyle name="RIGs input cells 4 2 2 2 3 4" xfId="29747" xr:uid="{00000000-0005-0000-0000-0000B6750000}"/>
    <cellStyle name="RIGs input cells 4 2 2 2 3 5" xfId="29748" xr:uid="{00000000-0005-0000-0000-0000B7750000}"/>
    <cellStyle name="RIGs input cells 4 2 2 2 3 6" xfId="29749" xr:uid="{00000000-0005-0000-0000-0000B8750000}"/>
    <cellStyle name="RIGs input cells 4 2 2 2 3 7" xfId="29750" xr:uid="{00000000-0005-0000-0000-0000B9750000}"/>
    <cellStyle name="RIGs input cells 4 2 2 2 3 8" xfId="29751" xr:uid="{00000000-0005-0000-0000-0000BA750000}"/>
    <cellStyle name="RIGs input cells 4 2 2 2 3 9" xfId="29752" xr:uid="{00000000-0005-0000-0000-0000BB750000}"/>
    <cellStyle name="RIGs input cells 4 2 2 2 30" xfId="29753" xr:uid="{00000000-0005-0000-0000-0000BC750000}"/>
    <cellStyle name="RIGs input cells 4 2 2 2 31" xfId="29754" xr:uid="{00000000-0005-0000-0000-0000BD750000}"/>
    <cellStyle name="RIGs input cells 4 2 2 2 4" xfId="29755" xr:uid="{00000000-0005-0000-0000-0000BE750000}"/>
    <cellStyle name="RIGs input cells 4 2 2 2 5" xfId="29756" xr:uid="{00000000-0005-0000-0000-0000BF750000}"/>
    <cellStyle name="RIGs input cells 4 2 2 2 6" xfId="29757" xr:uid="{00000000-0005-0000-0000-0000C0750000}"/>
    <cellStyle name="RIGs input cells 4 2 2 2 7" xfId="29758" xr:uid="{00000000-0005-0000-0000-0000C1750000}"/>
    <cellStyle name="RIGs input cells 4 2 2 2 8" xfId="29759" xr:uid="{00000000-0005-0000-0000-0000C2750000}"/>
    <cellStyle name="RIGs input cells 4 2 2 2 9" xfId="29760" xr:uid="{00000000-0005-0000-0000-0000C3750000}"/>
    <cellStyle name="RIGs input cells 4 2 2 2_4 28 1_Asst_Health_Crit_AllTO_RIIO_20110714pm" xfId="29761" xr:uid="{00000000-0005-0000-0000-0000C4750000}"/>
    <cellStyle name="RIGs input cells 4 2 2 20" xfId="29762" xr:uid="{00000000-0005-0000-0000-0000C5750000}"/>
    <cellStyle name="RIGs input cells 4 2 2 21" xfId="29763" xr:uid="{00000000-0005-0000-0000-0000C6750000}"/>
    <cellStyle name="RIGs input cells 4 2 2 22" xfId="29764" xr:uid="{00000000-0005-0000-0000-0000C7750000}"/>
    <cellStyle name="RIGs input cells 4 2 2 23" xfId="29765" xr:uid="{00000000-0005-0000-0000-0000C8750000}"/>
    <cellStyle name="RIGs input cells 4 2 2 24" xfId="29766" xr:uid="{00000000-0005-0000-0000-0000C9750000}"/>
    <cellStyle name="RIGs input cells 4 2 2 25" xfId="29767" xr:uid="{00000000-0005-0000-0000-0000CA750000}"/>
    <cellStyle name="RIGs input cells 4 2 2 26" xfId="29768" xr:uid="{00000000-0005-0000-0000-0000CB750000}"/>
    <cellStyle name="RIGs input cells 4 2 2 27" xfId="29769" xr:uid="{00000000-0005-0000-0000-0000CC750000}"/>
    <cellStyle name="RIGs input cells 4 2 2 28" xfId="29770" xr:uid="{00000000-0005-0000-0000-0000CD750000}"/>
    <cellStyle name="RIGs input cells 4 2 2 29" xfId="29771" xr:uid="{00000000-0005-0000-0000-0000CE750000}"/>
    <cellStyle name="RIGs input cells 4 2 2 3" xfId="29772" xr:uid="{00000000-0005-0000-0000-0000CF750000}"/>
    <cellStyle name="RIGs input cells 4 2 2 3 10" xfId="29773" xr:uid="{00000000-0005-0000-0000-0000D0750000}"/>
    <cellStyle name="RIGs input cells 4 2 2 3 11" xfId="29774" xr:uid="{00000000-0005-0000-0000-0000D1750000}"/>
    <cellStyle name="RIGs input cells 4 2 2 3 12" xfId="29775" xr:uid="{00000000-0005-0000-0000-0000D2750000}"/>
    <cellStyle name="RIGs input cells 4 2 2 3 13" xfId="29776" xr:uid="{00000000-0005-0000-0000-0000D3750000}"/>
    <cellStyle name="RIGs input cells 4 2 2 3 14" xfId="29777" xr:uid="{00000000-0005-0000-0000-0000D4750000}"/>
    <cellStyle name="RIGs input cells 4 2 2 3 15" xfId="29778" xr:uid="{00000000-0005-0000-0000-0000D5750000}"/>
    <cellStyle name="RIGs input cells 4 2 2 3 16" xfId="29779" xr:uid="{00000000-0005-0000-0000-0000D6750000}"/>
    <cellStyle name="RIGs input cells 4 2 2 3 17" xfId="29780" xr:uid="{00000000-0005-0000-0000-0000D7750000}"/>
    <cellStyle name="RIGs input cells 4 2 2 3 18" xfId="29781" xr:uid="{00000000-0005-0000-0000-0000D8750000}"/>
    <cellStyle name="RIGs input cells 4 2 2 3 19" xfId="29782" xr:uid="{00000000-0005-0000-0000-0000D9750000}"/>
    <cellStyle name="RIGs input cells 4 2 2 3 2" xfId="29783" xr:uid="{00000000-0005-0000-0000-0000DA750000}"/>
    <cellStyle name="RIGs input cells 4 2 2 3 2 10" xfId="29784" xr:uid="{00000000-0005-0000-0000-0000DB750000}"/>
    <cellStyle name="RIGs input cells 4 2 2 3 2 11" xfId="29785" xr:uid="{00000000-0005-0000-0000-0000DC750000}"/>
    <cellStyle name="RIGs input cells 4 2 2 3 2 12" xfId="29786" xr:uid="{00000000-0005-0000-0000-0000DD750000}"/>
    <cellStyle name="RIGs input cells 4 2 2 3 2 13" xfId="29787" xr:uid="{00000000-0005-0000-0000-0000DE750000}"/>
    <cellStyle name="RIGs input cells 4 2 2 3 2 2" xfId="29788" xr:uid="{00000000-0005-0000-0000-0000DF750000}"/>
    <cellStyle name="RIGs input cells 4 2 2 3 2 3" xfId="29789" xr:uid="{00000000-0005-0000-0000-0000E0750000}"/>
    <cellStyle name="RIGs input cells 4 2 2 3 2 4" xfId="29790" xr:uid="{00000000-0005-0000-0000-0000E1750000}"/>
    <cellStyle name="RIGs input cells 4 2 2 3 2 5" xfId="29791" xr:uid="{00000000-0005-0000-0000-0000E2750000}"/>
    <cellStyle name="RIGs input cells 4 2 2 3 2 6" xfId="29792" xr:uid="{00000000-0005-0000-0000-0000E3750000}"/>
    <cellStyle name="RIGs input cells 4 2 2 3 2 7" xfId="29793" xr:uid="{00000000-0005-0000-0000-0000E4750000}"/>
    <cellStyle name="RIGs input cells 4 2 2 3 2 8" xfId="29794" xr:uid="{00000000-0005-0000-0000-0000E5750000}"/>
    <cellStyle name="RIGs input cells 4 2 2 3 2 9" xfId="29795" xr:uid="{00000000-0005-0000-0000-0000E6750000}"/>
    <cellStyle name="RIGs input cells 4 2 2 3 20" xfId="29796" xr:uid="{00000000-0005-0000-0000-0000E7750000}"/>
    <cellStyle name="RIGs input cells 4 2 2 3 21" xfId="29797" xr:uid="{00000000-0005-0000-0000-0000E8750000}"/>
    <cellStyle name="RIGs input cells 4 2 2 3 22" xfId="29798" xr:uid="{00000000-0005-0000-0000-0000E9750000}"/>
    <cellStyle name="RIGs input cells 4 2 2 3 23" xfId="29799" xr:uid="{00000000-0005-0000-0000-0000EA750000}"/>
    <cellStyle name="RIGs input cells 4 2 2 3 24" xfId="29800" xr:uid="{00000000-0005-0000-0000-0000EB750000}"/>
    <cellStyle name="RIGs input cells 4 2 2 3 25" xfId="29801" xr:uid="{00000000-0005-0000-0000-0000EC750000}"/>
    <cellStyle name="RIGs input cells 4 2 2 3 26" xfId="29802" xr:uid="{00000000-0005-0000-0000-0000ED750000}"/>
    <cellStyle name="RIGs input cells 4 2 2 3 27" xfId="29803" xr:uid="{00000000-0005-0000-0000-0000EE750000}"/>
    <cellStyle name="RIGs input cells 4 2 2 3 28" xfId="29804" xr:uid="{00000000-0005-0000-0000-0000EF750000}"/>
    <cellStyle name="RIGs input cells 4 2 2 3 29" xfId="29805" xr:uid="{00000000-0005-0000-0000-0000F0750000}"/>
    <cellStyle name="RIGs input cells 4 2 2 3 3" xfId="29806" xr:uid="{00000000-0005-0000-0000-0000F1750000}"/>
    <cellStyle name="RIGs input cells 4 2 2 3 30" xfId="29807" xr:uid="{00000000-0005-0000-0000-0000F2750000}"/>
    <cellStyle name="RIGs input cells 4 2 2 3 4" xfId="29808" xr:uid="{00000000-0005-0000-0000-0000F3750000}"/>
    <cellStyle name="RIGs input cells 4 2 2 3 5" xfId="29809" xr:uid="{00000000-0005-0000-0000-0000F4750000}"/>
    <cellStyle name="RIGs input cells 4 2 2 3 6" xfId="29810" xr:uid="{00000000-0005-0000-0000-0000F5750000}"/>
    <cellStyle name="RIGs input cells 4 2 2 3 7" xfId="29811" xr:uid="{00000000-0005-0000-0000-0000F6750000}"/>
    <cellStyle name="RIGs input cells 4 2 2 3 8" xfId="29812" xr:uid="{00000000-0005-0000-0000-0000F7750000}"/>
    <cellStyle name="RIGs input cells 4 2 2 3 9" xfId="29813" xr:uid="{00000000-0005-0000-0000-0000F8750000}"/>
    <cellStyle name="RIGs input cells 4 2 2 30" xfId="29814" xr:uid="{00000000-0005-0000-0000-0000F9750000}"/>
    <cellStyle name="RIGs input cells 4 2 2 31" xfId="29815" xr:uid="{00000000-0005-0000-0000-0000FA750000}"/>
    <cellStyle name="RIGs input cells 4 2 2 32" xfId="29816" xr:uid="{00000000-0005-0000-0000-0000FB750000}"/>
    <cellStyle name="RIGs input cells 4 2 2 33" xfId="29817" xr:uid="{00000000-0005-0000-0000-0000FC750000}"/>
    <cellStyle name="RIGs input cells 4 2 2 4" xfId="29818" xr:uid="{00000000-0005-0000-0000-0000FD750000}"/>
    <cellStyle name="RIGs input cells 4 2 2 4 10" xfId="29819" xr:uid="{00000000-0005-0000-0000-0000FE750000}"/>
    <cellStyle name="RIGs input cells 4 2 2 4 11" xfId="29820" xr:uid="{00000000-0005-0000-0000-0000FF750000}"/>
    <cellStyle name="RIGs input cells 4 2 2 4 12" xfId="29821" xr:uid="{00000000-0005-0000-0000-000000760000}"/>
    <cellStyle name="RIGs input cells 4 2 2 4 13" xfId="29822" xr:uid="{00000000-0005-0000-0000-000001760000}"/>
    <cellStyle name="RIGs input cells 4 2 2 4 14" xfId="29823" xr:uid="{00000000-0005-0000-0000-000002760000}"/>
    <cellStyle name="RIGs input cells 4 2 2 4 15" xfId="29824" xr:uid="{00000000-0005-0000-0000-000003760000}"/>
    <cellStyle name="RIGs input cells 4 2 2 4 16" xfId="29825" xr:uid="{00000000-0005-0000-0000-000004760000}"/>
    <cellStyle name="RIGs input cells 4 2 2 4 17" xfId="29826" xr:uid="{00000000-0005-0000-0000-000005760000}"/>
    <cellStyle name="RIGs input cells 4 2 2 4 18" xfId="29827" xr:uid="{00000000-0005-0000-0000-000006760000}"/>
    <cellStyle name="RIGs input cells 4 2 2 4 19" xfId="29828" xr:uid="{00000000-0005-0000-0000-000007760000}"/>
    <cellStyle name="RIGs input cells 4 2 2 4 2" xfId="29829" xr:uid="{00000000-0005-0000-0000-000008760000}"/>
    <cellStyle name="RIGs input cells 4 2 2 4 2 10" xfId="29830" xr:uid="{00000000-0005-0000-0000-000009760000}"/>
    <cellStyle name="RIGs input cells 4 2 2 4 2 11" xfId="29831" xr:uid="{00000000-0005-0000-0000-00000A760000}"/>
    <cellStyle name="RIGs input cells 4 2 2 4 2 12" xfId="29832" xr:uid="{00000000-0005-0000-0000-00000B760000}"/>
    <cellStyle name="RIGs input cells 4 2 2 4 2 13" xfId="29833" xr:uid="{00000000-0005-0000-0000-00000C760000}"/>
    <cellStyle name="RIGs input cells 4 2 2 4 2 2" xfId="29834" xr:uid="{00000000-0005-0000-0000-00000D760000}"/>
    <cellStyle name="RIGs input cells 4 2 2 4 2 3" xfId="29835" xr:uid="{00000000-0005-0000-0000-00000E760000}"/>
    <cellStyle name="RIGs input cells 4 2 2 4 2 4" xfId="29836" xr:uid="{00000000-0005-0000-0000-00000F760000}"/>
    <cellStyle name="RIGs input cells 4 2 2 4 2 5" xfId="29837" xr:uid="{00000000-0005-0000-0000-000010760000}"/>
    <cellStyle name="RIGs input cells 4 2 2 4 2 6" xfId="29838" xr:uid="{00000000-0005-0000-0000-000011760000}"/>
    <cellStyle name="RIGs input cells 4 2 2 4 2 7" xfId="29839" xr:uid="{00000000-0005-0000-0000-000012760000}"/>
    <cellStyle name="RIGs input cells 4 2 2 4 2 8" xfId="29840" xr:uid="{00000000-0005-0000-0000-000013760000}"/>
    <cellStyle name="RIGs input cells 4 2 2 4 2 9" xfId="29841" xr:uid="{00000000-0005-0000-0000-000014760000}"/>
    <cellStyle name="RIGs input cells 4 2 2 4 20" xfId="29842" xr:uid="{00000000-0005-0000-0000-000015760000}"/>
    <cellStyle name="RIGs input cells 4 2 2 4 21" xfId="29843" xr:uid="{00000000-0005-0000-0000-000016760000}"/>
    <cellStyle name="RIGs input cells 4 2 2 4 22" xfId="29844" xr:uid="{00000000-0005-0000-0000-000017760000}"/>
    <cellStyle name="RIGs input cells 4 2 2 4 23" xfId="29845" xr:uid="{00000000-0005-0000-0000-000018760000}"/>
    <cellStyle name="RIGs input cells 4 2 2 4 24" xfId="29846" xr:uid="{00000000-0005-0000-0000-000019760000}"/>
    <cellStyle name="RIGs input cells 4 2 2 4 25" xfId="29847" xr:uid="{00000000-0005-0000-0000-00001A760000}"/>
    <cellStyle name="RIGs input cells 4 2 2 4 26" xfId="29848" xr:uid="{00000000-0005-0000-0000-00001B760000}"/>
    <cellStyle name="RIGs input cells 4 2 2 4 27" xfId="29849" xr:uid="{00000000-0005-0000-0000-00001C760000}"/>
    <cellStyle name="RIGs input cells 4 2 2 4 28" xfId="29850" xr:uid="{00000000-0005-0000-0000-00001D760000}"/>
    <cellStyle name="RIGs input cells 4 2 2 4 29" xfId="29851" xr:uid="{00000000-0005-0000-0000-00001E760000}"/>
    <cellStyle name="RIGs input cells 4 2 2 4 3" xfId="29852" xr:uid="{00000000-0005-0000-0000-00001F760000}"/>
    <cellStyle name="RIGs input cells 4 2 2 4 30" xfId="29853" xr:uid="{00000000-0005-0000-0000-000020760000}"/>
    <cellStyle name="RIGs input cells 4 2 2 4 4" xfId="29854" xr:uid="{00000000-0005-0000-0000-000021760000}"/>
    <cellStyle name="RIGs input cells 4 2 2 4 5" xfId="29855" xr:uid="{00000000-0005-0000-0000-000022760000}"/>
    <cellStyle name="RIGs input cells 4 2 2 4 6" xfId="29856" xr:uid="{00000000-0005-0000-0000-000023760000}"/>
    <cellStyle name="RIGs input cells 4 2 2 4 7" xfId="29857" xr:uid="{00000000-0005-0000-0000-000024760000}"/>
    <cellStyle name="RIGs input cells 4 2 2 4 8" xfId="29858" xr:uid="{00000000-0005-0000-0000-000025760000}"/>
    <cellStyle name="RIGs input cells 4 2 2 4 9" xfId="29859" xr:uid="{00000000-0005-0000-0000-000026760000}"/>
    <cellStyle name="RIGs input cells 4 2 2 5" xfId="29860" xr:uid="{00000000-0005-0000-0000-000027760000}"/>
    <cellStyle name="RIGs input cells 4 2 2 5 10" xfId="29861" xr:uid="{00000000-0005-0000-0000-000028760000}"/>
    <cellStyle name="RIGs input cells 4 2 2 5 11" xfId="29862" xr:uid="{00000000-0005-0000-0000-000029760000}"/>
    <cellStyle name="RIGs input cells 4 2 2 5 12" xfId="29863" xr:uid="{00000000-0005-0000-0000-00002A760000}"/>
    <cellStyle name="RIGs input cells 4 2 2 5 13" xfId="29864" xr:uid="{00000000-0005-0000-0000-00002B760000}"/>
    <cellStyle name="RIGs input cells 4 2 2 5 2" xfId="29865" xr:uid="{00000000-0005-0000-0000-00002C760000}"/>
    <cellStyle name="RIGs input cells 4 2 2 5 3" xfId="29866" xr:uid="{00000000-0005-0000-0000-00002D760000}"/>
    <cellStyle name="RIGs input cells 4 2 2 5 4" xfId="29867" xr:uid="{00000000-0005-0000-0000-00002E760000}"/>
    <cellStyle name="RIGs input cells 4 2 2 5 5" xfId="29868" xr:uid="{00000000-0005-0000-0000-00002F760000}"/>
    <cellStyle name="RIGs input cells 4 2 2 5 6" xfId="29869" xr:uid="{00000000-0005-0000-0000-000030760000}"/>
    <cellStyle name="RIGs input cells 4 2 2 5 7" xfId="29870" xr:uid="{00000000-0005-0000-0000-000031760000}"/>
    <cellStyle name="RIGs input cells 4 2 2 5 8" xfId="29871" xr:uid="{00000000-0005-0000-0000-000032760000}"/>
    <cellStyle name="RIGs input cells 4 2 2 5 9" xfId="29872" xr:uid="{00000000-0005-0000-0000-000033760000}"/>
    <cellStyle name="RIGs input cells 4 2 2 6" xfId="29873" xr:uid="{00000000-0005-0000-0000-000034760000}"/>
    <cellStyle name="RIGs input cells 4 2 2 7" xfId="29874" xr:uid="{00000000-0005-0000-0000-000035760000}"/>
    <cellStyle name="RIGs input cells 4 2 2 8" xfId="29875" xr:uid="{00000000-0005-0000-0000-000036760000}"/>
    <cellStyle name="RIGs input cells 4 2 2 9" xfId="29876" xr:uid="{00000000-0005-0000-0000-000037760000}"/>
    <cellStyle name="RIGs input cells 4 2 2_4 28 1_Asst_Health_Crit_AllTO_RIIO_20110714pm" xfId="29877" xr:uid="{00000000-0005-0000-0000-000038760000}"/>
    <cellStyle name="RIGs input cells 4 2 20" xfId="29878" xr:uid="{00000000-0005-0000-0000-000039760000}"/>
    <cellStyle name="RIGs input cells 4 2 21" xfId="29879" xr:uid="{00000000-0005-0000-0000-00003A760000}"/>
    <cellStyle name="RIGs input cells 4 2 22" xfId="29880" xr:uid="{00000000-0005-0000-0000-00003B760000}"/>
    <cellStyle name="RIGs input cells 4 2 23" xfId="29881" xr:uid="{00000000-0005-0000-0000-00003C760000}"/>
    <cellStyle name="RIGs input cells 4 2 24" xfId="29882" xr:uid="{00000000-0005-0000-0000-00003D760000}"/>
    <cellStyle name="RIGs input cells 4 2 25" xfId="29883" xr:uid="{00000000-0005-0000-0000-00003E760000}"/>
    <cellStyle name="RIGs input cells 4 2 26" xfId="29884" xr:uid="{00000000-0005-0000-0000-00003F760000}"/>
    <cellStyle name="RIGs input cells 4 2 27" xfId="29885" xr:uid="{00000000-0005-0000-0000-000040760000}"/>
    <cellStyle name="RIGs input cells 4 2 28" xfId="29886" xr:uid="{00000000-0005-0000-0000-000041760000}"/>
    <cellStyle name="RIGs input cells 4 2 29" xfId="29887" xr:uid="{00000000-0005-0000-0000-000042760000}"/>
    <cellStyle name="RIGs input cells 4 2 3" xfId="29888" xr:uid="{00000000-0005-0000-0000-000043760000}"/>
    <cellStyle name="RIGs input cells 4 2 3 10" xfId="29889" xr:uid="{00000000-0005-0000-0000-000044760000}"/>
    <cellStyle name="RIGs input cells 4 2 3 11" xfId="29890" xr:uid="{00000000-0005-0000-0000-000045760000}"/>
    <cellStyle name="RIGs input cells 4 2 3 12" xfId="29891" xr:uid="{00000000-0005-0000-0000-000046760000}"/>
    <cellStyle name="RIGs input cells 4 2 3 13" xfId="29892" xr:uid="{00000000-0005-0000-0000-000047760000}"/>
    <cellStyle name="RIGs input cells 4 2 3 14" xfId="29893" xr:uid="{00000000-0005-0000-0000-000048760000}"/>
    <cellStyle name="RIGs input cells 4 2 3 15" xfId="29894" xr:uid="{00000000-0005-0000-0000-000049760000}"/>
    <cellStyle name="RIGs input cells 4 2 3 16" xfId="29895" xr:uid="{00000000-0005-0000-0000-00004A760000}"/>
    <cellStyle name="RIGs input cells 4 2 3 17" xfId="29896" xr:uid="{00000000-0005-0000-0000-00004B760000}"/>
    <cellStyle name="RIGs input cells 4 2 3 18" xfId="29897" xr:uid="{00000000-0005-0000-0000-00004C760000}"/>
    <cellStyle name="RIGs input cells 4 2 3 19" xfId="29898" xr:uid="{00000000-0005-0000-0000-00004D760000}"/>
    <cellStyle name="RIGs input cells 4 2 3 2" xfId="29899" xr:uid="{00000000-0005-0000-0000-00004E760000}"/>
    <cellStyle name="RIGs input cells 4 2 3 2 10" xfId="29900" xr:uid="{00000000-0005-0000-0000-00004F760000}"/>
    <cellStyle name="RIGs input cells 4 2 3 2 11" xfId="29901" xr:uid="{00000000-0005-0000-0000-000050760000}"/>
    <cellStyle name="RIGs input cells 4 2 3 2 12" xfId="29902" xr:uid="{00000000-0005-0000-0000-000051760000}"/>
    <cellStyle name="RIGs input cells 4 2 3 2 13" xfId="29903" xr:uid="{00000000-0005-0000-0000-000052760000}"/>
    <cellStyle name="RIGs input cells 4 2 3 2 14" xfId="29904" xr:uid="{00000000-0005-0000-0000-000053760000}"/>
    <cellStyle name="RIGs input cells 4 2 3 2 15" xfId="29905" xr:uid="{00000000-0005-0000-0000-000054760000}"/>
    <cellStyle name="RIGs input cells 4 2 3 2 16" xfId="29906" xr:uid="{00000000-0005-0000-0000-000055760000}"/>
    <cellStyle name="RIGs input cells 4 2 3 2 17" xfId="29907" xr:uid="{00000000-0005-0000-0000-000056760000}"/>
    <cellStyle name="RIGs input cells 4 2 3 2 18" xfId="29908" xr:uid="{00000000-0005-0000-0000-000057760000}"/>
    <cellStyle name="RIGs input cells 4 2 3 2 19" xfId="29909" xr:uid="{00000000-0005-0000-0000-000058760000}"/>
    <cellStyle name="RIGs input cells 4 2 3 2 2" xfId="29910" xr:uid="{00000000-0005-0000-0000-000059760000}"/>
    <cellStyle name="RIGs input cells 4 2 3 2 2 10" xfId="29911" xr:uid="{00000000-0005-0000-0000-00005A760000}"/>
    <cellStyle name="RIGs input cells 4 2 3 2 2 11" xfId="29912" xr:uid="{00000000-0005-0000-0000-00005B760000}"/>
    <cellStyle name="RIGs input cells 4 2 3 2 2 12" xfId="29913" xr:uid="{00000000-0005-0000-0000-00005C760000}"/>
    <cellStyle name="RIGs input cells 4 2 3 2 2 13" xfId="29914" xr:uid="{00000000-0005-0000-0000-00005D760000}"/>
    <cellStyle name="RIGs input cells 4 2 3 2 2 2" xfId="29915" xr:uid="{00000000-0005-0000-0000-00005E760000}"/>
    <cellStyle name="RIGs input cells 4 2 3 2 2 3" xfId="29916" xr:uid="{00000000-0005-0000-0000-00005F760000}"/>
    <cellStyle name="RIGs input cells 4 2 3 2 2 4" xfId="29917" xr:uid="{00000000-0005-0000-0000-000060760000}"/>
    <cellStyle name="RIGs input cells 4 2 3 2 2 5" xfId="29918" xr:uid="{00000000-0005-0000-0000-000061760000}"/>
    <cellStyle name="RIGs input cells 4 2 3 2 2 6" xfId="29919" xr:uid="{00000000-0005-0000-0000-000062760000}"/>
    <cellStyle name="RIGs input cells 4 2 3 2 2 7" xfId="29920" xr:uid="{00000000-0005-0000-0000-000063760000}"/>
    <cellStyle name="RIGs input cells 4 2 3 2 2 8" xfId="29921" xr:uid="{00000000-0005-0000-0000-000064760000}"/>
    <cellStyle name="RIGs input cells 4 2 3 2 2 9" xfId="29922" xr:uid="{00000000-0005-0000-0000-000065760000}"/>
    <cellStyle name="RIGs input cells 4 2 3 2 20" xfId="29923" xr:uid="{00000000-0005-0000-0000-000066760000}"/>
    <cellStyle name="RIGs input cells 4 2 3 2 21" xfId="29924" xr:uid="{00000000-0005-0000-0000-000067760000}"/>
    <cellStyle name="RIGs input cells 4 2 3 2 22" xfId="29925" xr:uid="{00000000-0005-0000-0000-000068760000}"/>
    <cellStyle name="RIGs input cells 4 2 3 2 23" xfId="29926" xr:uid="{00000000-0005-0000-0000-000069760000}"/>
    <cellStyle name="RIGs input cells 4 2 3 2 24" xfId="29927" xr:uid="{00000000-0005-0000-0000-00006A760000}"/>
    <cellStyle name="RIGs input cells 4 2 3 2 25" xfId="29928" xr:uid="{00000000-0005-0000-0000-00006B760000}"/>
    <cellStyle name="RIGs input cells 4 2 3 2 26" xfId="29929" xr:uid="{00000000-0005-0000-0000-00006C760000}"/>
    <cellStyle name="RIGs input cells 4 2 3 2 27" xfId="29930" xr:uid="{00000000-0005-0000-0000-00006D760000}"/>
    <cellStyle name="RIGs input cells 4 2 3 2 28" xfId="29931" xr:uid="{00000000-0005-0000-0000-00006E760000}"/>
    <cellStyle name="RIGs input cells 4 2 3 2 29" xfId="29932" xr:uid="{00000000-0005-0000-0000-00006F760000}"/>
    <cellStyle name="RIGs input cells 4 2 3 2 3" xfId="29933" xr:uid="{00000000-0005-0000-0000-000070760000}"/>
    <cellStyle name="RIGs input cells 4 2 3 2 30" xfId="29934" xr:uid="{00000000-0005-0000-0000-000071760000}"/>
    <cellStyle name="RIGs input cells 4 2 3 2 31" xfId="29935" xr:uid="{00000000-0005-0000-0000-000072760000}"/>
    <cellStyle name="RIGs input cells 4 2 3 2 32" xfId="29936" xr:uid="{00000000-0005-0000-0000-000073760000}"/>
    <cellStyle name="RIGs input cells 4 2 3 2 33" xfId="29937" xr:uid="{00000000-0005-0000-0000-000074760000}"/>
    <cellStyle name="RIGs input cells 4 2 3 2 34" xfId="29938" xr:uid="{00000000-0005-0000-0000-000075760000}"/>
    <cellStyle name="RIGs input cells 4 2 3 2 4" xfId="29939" xr:uid="{00000000-0005-0000-0000-000076760000}"/>
    <cellStyle name="RIGs input cells 4 2 3 2 5" xfId="29940" xr:uid="{00000000-0005-0000-0000-000077760000}"/>
    <cellStyle name="RIGs input cells 4 2 3 2 6" xfId="29941" xr:uid="{00000000-0005-0000-0000-000078760000}"/>
    <cellStyle name="RIGs input cells 4 2 3 2 7" xfId="29942" xr:uid="{00000000-0005-0000-0000-000079760000}"/>
    <cellStyle name="RIGs input cells 4 2 3 2 8" xfId="29943" xr:uid="{00000000-0005-0000-0000-00007A760000}"/>
    <cellStyle name="RIGs input cells 4 2 3 2 9" xfId="29944" xr:uid="{00000000-0005-0000-0000-00007B760000}"/>
    <cellStyle name="RIGs input cells 4 2 3 20" xfId="29945" xr:uid="{00000000-0005-0000-0000-00007C760000}"/>
    <cellStyle name="RIGs input cells 4 2 3 21" xfId="29946" xr:uid="{00000000-0005-0000-0000-00007D760000}"/>
    <cellStyle name="RIGs input cells 4 2 3 22" xfId="29947" xr:uid="{00000000-0005-0000-0000-00007E760000}"/>
    <cellStyle name="RIGs input cells 4 2 3 23" xfId="29948" xr:uid="{00000000-0005-0000-0000-00007F760000}"/>
    <cellStyle name="RIGs input cells 4 2 3 24" xfId="29949" xr:uid="{00000000-0005-0000-0000-000080760000}"/>
    <cellStyle name="RIGs input cells 4 2 3 25" xfId="29950" xr:uid="{00000000-0005-0000-0000-000081760000}"/>
    <cellStyle name="RIGs input cells 4 2 3 26" xfId="29951" xr:uid="{00000000-0005-0000-0000-000082760000}"/>
    <cellStyle name="RIGs input cells 4 2 3 27" xfId="29952" xr:uid="{00000000-0005-0000-0000-000083760000}"/>
    <cellStyle name="RIGs input cells 4 2 3 28" xfId="29953" xr:uid="{00000000-0005-0000-0000-000084760000}"/>
    <cellStyle name="RIGs input cells 4 2 3 29" xfId="29954" xr:uid="{00000000-0005-0000-0000-000085760000}"/>
    <cellStyle name="RIGs input cells 4 2 3 3" xfId="29955" xr:uid="{00000000-0005-0000-0000-000086760000}"/>
    <cellStyle name="RIGs input cells 4 2 3 3 10" xfId="29956" xr:uid="{00000000-0005-0000-0000-000087760000}"/>
    <cellStyle name="RIGs input cells 4 2 3 3 11" xfId="29957" xr:uid="{00000000-0005-0000-0000-000088760000}"/>
    <cellStyle name="RIGs input cells 4 2 3 3 12" xfId="29958" xr:uid="{00000000-0005-0000-0000-000089760000}"/>
    <cellStyle name="RIGs input cells 4 2 3 3 13" xfId="29959" xr:uid="{00000000-0005-0000-0000-00008A760000}"/>
    <cellStyle name="RIGs input cells 4 2 3 3 2" xfId="29960" xr:uid="{00000000-0005-0000-0000-00008B760000}"/>
    <cellStyle name="RIGs input cells 4 2 3 3 3" xfId="29961" xr:uid="{00000000-0005-0000-0000-00008C760000}"/>
    <cellStyle name="RIGs input cells 4 2 3 3 4" xfId="29962" xr:uid="{00000000-0005-0000-0000-00008D760000}"/>
    <cellStyle name="RIGs input cells 4 2 3 3 5" xfId="29963" xr:uid="{00000000-0005-0000-0000-00008E760000}"/>
    <cellStyle name="RIGs input cells 4 2 3 3 6" xfId="29964" xr:uid="{00000000-0005-0000-0000-00008F760000}"/>
    <cellStyle name="RIGs input cells 4 2 3 3 7" xfId="29965" xr:uid="{00000000-0005-0000-0000-000090760000}"/>
    <cellStyle name="RIGs input cells 4 2 3 3 8" xfId="29966" xr:uid="{00000000-0005-0000-0000-000091760000}"/>
    <cellStyle name="RIGs input cells 4 2 3 3 9" xfId="29967" xr:uid="{00000000-0005-0000-0000-000092760000}"/>
    <cellStyle name="RIGs input cells 4 2 3 30" xfId="29968" xr:uid="{00000000-0005-0000-0000-000093760000}"/>
    <cellStyle name="RIGs input cells 4 2 3 31" xfId="29969" xr:uid="{00000000-0005-0000-0000-000094760000}"/>
    <cellStyle name="RIGs input cells 4 2 3 32" xfId="29970" xr:uid="{00000000-0005-0000-0000-000095760000}"/>
    <cellStyle name="RIGs input cells 4 2 3 33" xfId="29971" xr:uid="{00000000-0005-0000-0000-000096760000}"/>
    <cellStyle name="RIGs input cells 4 2 3 34" xfId="29972" xr:uid="{00000000-0005-0000-0000-000097760000}"/>
    <cellStyle name="RIGs input cells 4 2 3 35" xfId="29973" xr:uid="{00000000-0005-0000-0000-000098760000}"/>
    <cellStyle name="RIGs input cells 4 2 3 4" xfId="29974" xr:uid="{00000000-0005-0000-0000-000099760000}"/>
    <cellStyle name="RIGs input cells 4 2 3 5" xfId="29975" xr:uid="{00000000-0005-0000-0000-00009A760000}"/>
    <cellStyle name="RIGs input cells 4 2 3 6" xfId="29976" xr:uid="{00000000-0005-0000-0000-00009B760000}"/>
    <cellStyle name="RIGs input cells 4 2 3 7" xfId="29977" xr:uid="{00000000-0005-0000-0000-00009C760000}"/>
    <cellStyle name="RIGs input cells 4 2 3 8" xfId="29978" xr:uid="{00000000-0005-0000-0000-00009D760000}"/>
    <cellStyle name="RIGs input cells 4 2 3 9" xfId="29979" xr:uid="{00000000-0005-0000-0000-00009E760000}"/>
    <cellStyle name="RIGs input cells 4 2 3_4 28 1_Asst_Health_Crit_AllTO_RIIO_20110714pm" xfId="29980" xr:uid="{00000000-0005-0000-0000-00009F760000}"/>
    <cellStyle name="RIGs input cells 4 2 30" xfId="29981" xr:uid="{00000000-0005-0000-0000-0000A0760000}"/>
    <cellStyle name="RIGs input cells 4 2 31" xfId="29982" xr:uid="{00000000-0005-0000-0000-0000A1760000}"/>
    <cellStyle name="RIGs input cells 4 2 32" xfId="29983" xr:uid="{00000000-0005-0000-0000-0000A2760000}"/>
    <cellStyle name="RIGs input cells 4 2 33" xfId="29984" xr:uid="{00000000-0005-0000-0000-0000A3760000}"/>
    <cellStyle name="RIGs input cells 4 2 34" xfId="29985" xr:uid="{00000000-0005-0000-0000-0000A4760000}"/>
    <cellStyle name="RIGs input cells 4 2 35" xfId="29986" xr:uid="{00000000-0005-0000-0000-0000A5760000}"/>
    <cellStyle name="RIGs input cells 4 2 36" xfId="29987" xr:uid="{00000000-0005-0000-0000-0000A6760000}"/>
    <cellStyle name="RIGs input cells 4 2 37" xfId="29988" xr:uid="{00000000-0005-0000-0000-0000A7760000}"/>
    <cellStyle name="RIGs input cells 4 2 38" xfId="29989" xr:uid="{00000000-0005-0000-0000-0000A8760000}"/>
    <cellStyle name="RIGs input cells 4 2 39" xfId="29990" xr:uid="{00000000-0005-0000-0000-0000A9760000}"/>
    <cellStyle name="RIGs input cells 4 2 4" xfId="29991" xr:uid="{00000000-0005-0000-0000-0000AA760000}"/>
    <cellStyle name="RIGs input cells 4 2 4 10" xfId="29992" xr:uid="{00000000-0005-0000-0000-0000AB760000}"/>
    <cellStyle name="RIGs input cells 4 2 4 11" xfId="29993" xr:uid="{00000000-0005-0000-0000-0000AC760000}"/>
    <cellStyle name="RIGs input cells 4 2 4 12" xfId="29994" xr:uid="{00000000-0005-0000-0000-0000AD760000}"/>
    <cellStyle name="RIGs input cells 4 2 4 13" xfId="29995" xr:uid="{00000000-0005-0000-0000-0000AE760000}"/>
    <cellStyle name="RIGs input cells 4 2 4 14" xfId="29996" xr:uid="{00000000-0005-0000-0000-0000AF760000}"/>
    <cellStyle name="RIGs input cells 4 2 4 15" xfId="29997" xr:uid="{00000000-0005-0000-0000-0000B0760000}"/>
    <cellStyle name="RIGs input cells 4 2 4 16" xfId="29998" xr:uid="{00000000-0005-0000-0000-0000B1760000}"/>
    <cellStyle name="RIGs input cells 4 2 4 17" xfId="29999" xr:uid="{00000000-0005-0000-0000-0000B2760000}"/>
    <cellStyle name="RIGs input cells 4 2 4 18" xfId="30000" xr:uid="{00000000-0005-0000-0000-0000B3760000}"/>
    <cellStyle name="RIGs input cells 4 2 4 19" xfId="30001" xr:uid="{00000000-0005-0000-0000-0000B4760000}"/>
    <cellStyle name="RIGs input cells 4 2 4 2" xfId="30002" xr:uid="{00000000-0005-0000-0000-0000B5760000}"/>
    <cellStyle name="RIGs input cells 4 2 4 2 10" xfId="30003" xr:uid="{00000000-0005-0000-0000-0000B6760000}"/>
    <cellStyle name="RIGs input cells 4 2 4 2 11" xfId="30004" xr:uid="{00000000-0005-0000-0000-0000B7760000}"/>
    <cellStyle name="RIGs input cells 4 2 4 2 12" xfId="30005" xr:uid="{00000000-0005-0000-0000-0000B8760000}"/>
    <cellStyle name="RIGs input cells 4 2 4 2 13" xfId="30006" xr:uid="{00000000-0005-0000-0000-0000B9760000}"/>
    <cellStyle name="RIGs input cells 4 2 4 2 2" xfId="30007" xr:uid="{00000000-0005-0000-0000-0000BA760000}"/>
    <cellStyle name="RIGs input cells 4 2 4 2 3" xfId="30008" xr:uid="{00000000-0005-0000-0000-0000BB760000}"/>
    <cellStyle name="RIGs input cells 4 2 4 2 4" xfId="30009" xr:uid="{00000000-0005-0000-0000-0000BC760000}"/>
    <cellStyle name="RIGs input cells 4 2 4 2 5" xfId="30010" xr:uid="{00000000-0005-0000-0000-0000BD760000}"/>
    <cellStyle name="RIGs input cells 4 2 4 2 6" xfId="30011" xr:uid="{00000000-0005-0000-0000-0000BE760000}"/>
    <cellStyle name="RIGs input cells 4 2 4 2 7" xfId="30012" xr:uid="{00000000-0005-0000-0000-0000BF760000}"/>
    <cellStyle name="RIGs input cells 4 2 4 2 8" xfId="30013" xr:uid="{00000000-0005-0000-0000-0000C0760000}"/>
    <cellStyle name="RIGs input cells 4 2 4 2 9" xfId="30014" xr:uid="{00000000-0005-0000-0000-0000C1760000}"/>
    <cellStyle name="RIGs input cells 4 2 4 20" xfId="30015" xr:uid="{00000000-0005-0000-0000-0000C2760000}"/>
    <cellStyle name="RIGs input cells 4 2 4 21" xfId="30016" xr:uid="{00000000-0005-0000-0000-0000C3760000}"/>
    <cellStyle name="RIGs input cells 4 2 4 22" xfId="30017" xr:uid="{00000000-0005-0000-0000-0000C4760000}"/>
    <cellStyle name="RIGs input cells 4 2 4 23" xfId="30018" xr:uid="{00000000-0005-0000-0000-0000C5760000}"/>
    <cellStyle name="RIGs input cells 4 2 4 24" xfId="30019" xr:uid="{00000000-0005-0000-0000-0000C6760000}"/>
    <cellStyle name="RIGs input cells 4 2 4 25" xfId="30020" xr:uid="{00000000-0005-0000-0000-0000C7760000}"/>
    <cellStyle name="RIGs input cells 4 2 4 26" xfId="30021" xr:uid="{00000000-0005-0000-0000-0000C8760000}"/>
    <cellStyle name="RIGs input cells 4 2 4 27" xfId="30022" xr:uid="{00000000-0005-0000-0000-0000C9760000}"/>
    <cellStyle name="RIGs input cells 4 2 4 28" xfId="30023" xr:uid="{00000000-0005-0000-0000-0000CA760000}"/>
    <cellStyle name="RIGs input cells 4 2 4 29" xfId="30024" xr:uid="{00000000-0005-0000-0000-0000CB760000}"/>
    <cellStyle name="RIGs input cells 4 2 4 3" xfId="30025" xr:uid="{00000000-0005-0000-0000-0000CC760000}"/>
    <cellStyle name="RIGs input cells 4 2 4 30" xfId="30026" xr:uid="{00000000-0005-0000-0000-0000CD760000}"/>
    <cellStyle name="RIGs input cells 4 2 4 31" xfId="30027" xr:uid="{00000000-0005-0000-0000-0000CE760000}"/>
    <cellStyle name="RIGs input cells 4 2 4 32" xfId="30028" xr:uid="{00000000-0005-0000-0000-0000CF760000}"/>
    <cellStyle name="RIGs input cells 4 2 4 33" xfId="30029" xr:uid="{00000000-0005-0000-0000-0000D0760000}"/>
    <cellStyle name="RIGs input cells 4 2 4 34" xfId="30030" xr:uid="{00000000-0005-0000-0000-0000D1760000}"/>
    <cellStyle name="RIGs input cells 4 2 4 4" xfId="30031" xr:uid="{00000000-0005-0000-0000-0000D2760000}"/>
    <cellStyle name="RIGs input cells 4 2 4 5" xfId="30032" xr:uid="{00000000-0005-0000-0000-0000D3760000}"/>
    <cellStyle name="RIGs input cells 4 2 4 6" xfId="30033" xr:uid="{00000000-0005-0000-0000-0000D4760000}"/>
    <cellStyle name="RIGs input cells 4 2 4 7" xfId="30034" xr:uid="{00000000-0005-0000-0000-0000D5760000}"/>
    <cellStyle name="RIGs input cells 4 2 4 8" xfId="30035" xr:uid="{00000000-0005-0000-0000-0000D6760000}"/>
    <cellStyle name="RIGs input cells 4 2 4 9" xfId="30036" xr:uid="{00000000-0005-0000-0000-0000D7760000}"/>
    <cellStyle name="RIGs input cells 4 2 5" xfId="30037" xr:uid="{00000000-0005-0000-0000-0000D8760000}"/>
    <cellStyle name="RIGs input cells 4 2 5 10" xfId="30038" xr:uid="{00000000-0005-0000-0000-0000D9760000}"/>
    <cellStyle name="RIGs input cells 4 2 5 11" xfId="30039" xr:uid="{00000000-0005-0000-0000-0000DA760000}"/>
    <cellStyle name="RIGs input cells 4 2 5 12" xfId="30040" xr:uid="{00000000-0005-0000-0000-0000DB760000}"/>
    <cellStyle name="RIGs input cells 4 2 5 13" xfId="30041" xr:uid="{00000000-0005-0000-0000-0000DC760000}"/>
    <cellStyle name="RIGs input cells 4 2 5 14" xfId="30042" xr:uid="{00000000-0005-0000-0000-0000DD760000}"/>
    <cellStyle name="RIGs input cells 4 2 5 15" xfId="30043" xr:uid="{00000000-0005-0000-0000-0000DE760000}"/>
    <cellStyle name="RIGs input cells 4 2 5 16" xfId="30044" xr:uid="{00000000-0005-0000-0000-0000DF760000}"/>
    <cellStyle name="RIGs input cells 4 2 5 17" xfId="30045" xr:uid="{00000000-0005-0000-0000-0000E0760000}"/>
    <cellStyle name="RIGs input cells 4 2 5 18" xfId="30046" xr:uid="{00000000-0005-0000-0000-0000E1760000}"/>
    <cellStyle name="RIGs input cells 4 2 5 19" xfId="30047" xr:uid="{00000000-0005-0000-0000-0000E2760000}"/>
    <cellStyle name="RIGs input cells 4 2 5 2" xfId="30048" xr:uid="{00000000-0005-0000-0000-0000E3760000}"/>
    <cellStyle name="RIGs input cells 4 2 5 2 10" xfId="30049" xr:uid="{00000000-0005-0000-0000-0000E4760000}"/>
    <cellStyle name="RIGs input cells 4 2 5 2 11" xfId="30050" xr:uid="{00000000-0005-0000-0000-0000E5760000}"/>
    <cellStyle name="RIGs input cells 4 2 5 2 12" xfId="30051" xr:uid="{00000000-0005-0000-0000-0000E6760000}"/>
    <cellStyle name="RIGs input cells 4 2 5 2 13" xfId="30052" xr:uid="{00000000-0005-0000-0000-0000E7760000}"/>
    <cellStyle name="RIGs input cells 4 2 5 2 2" xfId="30053" xr:uid="{00000000-0005-0000-0000-0000E8760000}"/>
    <cellStyle name="RIGs input cells 4 2 5 2 3" xfId="30054" xr:uid="{00000000-0005-0000-0000-0000E9760000}"/>
    <cellStyle name="RIGs input cells 4 2 5 2 4" xfId="30055" xr:uid="{00000000-0005-0000-0000-0000EA760000}"/>
    <cellStyle name="RIGs input cells 4 2 5 2 5" xfId="30056" xr:uid="{00000000-0005-0000-0000-0000EB760000}"/>
    <cellStyle name="RIGs input cells 4 2 5 2 6" xfId="30057" xr:uid="{00000000-0005-0000-0000-0000EC760000}"/>
    <cellStyle name="RIGs input cells 4 2 5 2 7" xfId="30058" xr:uid="{00000000-0005-0000-0000-0000ED760000}"/>
    <cellStyle name="RIGs input cells 4 2 5 2 8" xfId="30059" xr:uid="{00000000-0005-0000-0000-0000EE760000}"/>
    <cellStyle name="RIGs input cells 4 2 5 2 9" xfId="30060" xr:uid="{00000000-0005-0000-0000-0000EF760000}"/>
    <cellStyle name="RIGs input cells 4 2 5 20" xfId="30061" xr:uid="{00000000-0005-0000-0000-0000F0760000}"/>
    <cellStyle name="RIGs input cells 4 2 5 21" xfId="30062" xr:uid="{00000000-0005-0000-0000-0000F1760000}"/>
    <cellStyle name="RIGs input cells 4 2 5 22" xfId="30063" xr:uid="{00000000-0005-0000-0000-0000F2760000}"/>
    <cellStyle name="RIGs input cells 4 2 5 23" xfId="30064" xr:uid="{00000000-0005-0000-0000-0000F3760000}"/>
    <cellStyle name="RIGs input cells 4 2 5 24" xfId="30065" xr:uid="{00000000-0005-0000-0000-0000F4760000}"/>
    <cellStyle name="RIGs input cells 4 2 5 25" xfId="30066" xr:uid="{00000000-0005-0000-0000-0000F5760000}"/>
    <cellStyle name="RIGs input cells 4 2 5 26" xfId="30067" xr:uid="{00000000-0005-0000-0000-0000F6760000}"/>
    <cellStyle name="RIGs input cells 4 2 5 27" xfId="30068" xr:uid="{00000000-0005-0000-0000-0000F7760000}"/>
    <cellStyle name="RIGs input cells 4 2 5 28" xfId="30069" xr:uid="{00000000-0005-0000-0000-0000F8760000}"/>
    <cellStyle name="RIGs input cells 4 2 5 29" xfId="30070" xr:uid="{00000000-0005-0000-0000-0000F9760000}"/>
    <cellStyle name="RIGs input cells 4 2 5 3" xfId="30071" xr:uid="{00000000-0005-0000-0000-0000FA760000}"/>
    <cellStyle name="RIGs input cells 4 2 5 30" xfId="30072" xr:uid="{00000000-0005-0000-0000-0000FB760000}"/>
    <cellStyle name="RIGs input cells 4 2 5 31" xfId="30073" xr:uid="{00000000-0005-0000-0000-0000FC760000}"/>
    <cellStyle name="RIGs input cells 4 2 5 32" xfId="30074" xr:uid="{00000000-0005-0000-0000-0000FD760000}"/>
    <cellStyle name="RIGs input cells 4 2 5 33" xfId="30075" xr:uid="{00000000-0005-0000-0000-0000FE760000}"/>
    <cellStyle name="RIGs input cells 4 2 5 34" xfId="30076" xr:uid="{00000000-0005-0000-0000-0000FF760000}"/>
    <cellStyle name="RIGs input cells 4 2 5 4" xfId="30077" xr:uid="{00000000-0005-0000-0000-000000770000}"/>
    <cellStyle name="RIGs input cells 4 2 5 5" xfId="30078" xr:uid="{00000000-0005-0000-0000-000001770000}"/>
    <cellStyle name="RIGs input cells 4 2 5 6" xfId="30079" xr:uid="{00000000-0005-0000-0000-000002770000}"/>
    <cellStyle name="RIGs input cells 4 2 5 7" xfId="30080" xr:uid="{00000000-0005-0000-0000-000003770000}"/>
    <cellStyle name="RIGs input cells 4 2 5 8" xfId="30081" xr:uid="{00000000-0005-0000-0000-000004770000}"/>
    <cellStyle name="RIGs input cells 4 2 5 9" xfId="30082" xr:uid="{00000000-0005-0000-0000-000005770000}"/>
    <cellStyle name="RIGs input cells 4 2 6" xfId="30083" xr:uid="{00000000-0005-0000-0000-000006770000}"/>
    <cellStyle name="RIGs input cells 4 2 6 10" xfId="30084" xr:uid="{00000000-0005-0000-0000-000007770000}"/>
    <cellStyle name="RIGs input cells 4 2 6 11" xfId="30085" xr:uid="{00000000-0005-0000-0000-000008770000}"/>
    <cellStyle name="RIGs input cells 4 2 6 12" xfId="30086" xr:uid="{00000000-0005-0000-0000-000009770000}"/>
    <cellStyle name="RIGs input cells 4 2 6 13" xfId="30087" xr:uid="{00000000-0005-0000-0000-00000A770000}"/>
    <cellStyle name="RIGs input cells 4 2 6 2" xfId="30088" xr:uid="{00000000-0005-0000-0000-00000B770000}"/>
    <cellStyle name="RIGs input cells 4 2 6 3" xfId="30089" xr:uid="{00000000-0005-0000-0000-00000C770000}"/>
    <cellStyle name="RIGs input cells 4 2 6 4" xfId="30090" xr:uid="{00000000-0005-0000-0000-00000D770000}"/>
    <cellStyle name="RIGs input cells 4 2 6 5" xfId="30091" xr:uid="{00000000-0005-0000-0000-00000E770000}"/>
    <cellStyle name="RIGs input cells 4 2 6 6" xfId="30092" xr:uid="{00000000-0005-0000-0000-00000F770000}"/>
    <cellStyle name="RIGs input cells 4 2 6 7" xfId="30093" xr:uid="{00000000-0005-0000-0000-000010770000}"/>
    <cellStyle name="RIGs input cells 4 2 6 8" xfId="30094" xr:uid="{00000000-0005-0000-0000-000011770000}"/>
    <cellStyle name="RIGs input cells 4 2 6 9" xfId="30095" xr:uid="{00000000-0005-0000-0000-000012770000}"/>
    <cellStyle name="RIGs input cells 4 2 7" xfId="30096" xr:uid="{00000000-0005-0000-0000-000013770000}"/>
    <cellStyle name="RIGs input cells 4 2 8" xfId="30097" xr:uid="{00000000-0005-0000-0000-000014770000}"/>
    <cellStyle name="RIGs input cells 4 2 9" xfId="30098" xr:uid="{00000000-0005-0000-0000-000015770000}"/>
    <cellStyle name="RIGs input cells 4 2_3.15 Additional Data" xfId="42406" xr:uid="{00000000-0005-0000-0000-000016770000}"/>
    <cellStyle name="RIGs input cells 4 20" xfId="30099" xr:uid="{00000000-0005-0000-0000-000017770000}"/>
    <cellStyle name="RIGs input cells 4 21" xfId="30100" xr:uid="{00000000-0005-0000-0000-000018770000}"/>
    <cellStyle name="RIGs input cells 4 22" xfId="30101" xr:uid="{00000000-0005-0000-0000-000019770000}"/>
    <cellStyle name="RIGs input cells 4 23" xfId="30102" xr:uid="{00000000-0005-0000-0000-00001A770000}"/>
    <cellStyle name="RIGs input cells 4 24" xfId="30103" xr:uid="{00000000-0005-0000-0000-00001B770000}"/>
    <cellStyle name="RIGs input cells 4 25" xfId="30104" xr:uid="{00000000-0005-0000-0000-00001C770000}"/>
    <cellStyle name="RIGs input cells 4 26" xfId="30105" xr:uid="{00000000-0005-0000-0000-00001D770000}"/>
    <cellStyle name="RIGs input cells 4 27" xfId="30106" xr:uid="{00000000-0005-0000-0000-00001E770000}"/>
    <cellStyle name="RIGs input cells 4 28" xfId="30107" xr:uid="{00000000-0005-0000-0000-00001F770000}"/>
    <cellStyle name="RIGs input cells 4 29" xfId="30108" xr:uid="{00000000-0005-0000-0000-000020770000}"/>
    <cellStyle name="RIGs input cells 4 3" xfId="30109" xr:uid="{00000000-0005-0000-0000-000021770000}"/>
    <cellStyle name="RIGs input cells 4 3 10" xfId="30110" xr:uid="{00000000-0005-0000-0000-000022770000}"/>
    <cellStyle name="RIGs input cells 4 3 11" xfId="30111" xr:uid="{00000000-0005-0000-0000-000023770000}"/>
    <cellStyle name="RIGs input cells 4 3 12" xfId="30112" xr:uid="{00000000-0005-0000-0000-000024770000}"/>
    <cellStyle name="RIGs input cells 4 3 13" xfId="30113" xr:uid="{00000000-0005-0000-0000-000025770000}"/>
    <cellStyle name="RIGs input cells 4 3 14" xfId="30114" xr:uid="{00000000-0005-0000-0000-000026770000}"/>
    <cellStyle name="RIGs input cells 4 3 15" xfId="30115" xr:uid="{00000000-0005-0000-0000-000027770000}"/>
    <cellStyle name="RIGs input cells 4 3 16" xfId="30116" xr:uid="{00000000-0005-0000-0000-000028770000}"/>
    <cellStyle name="RIGs input cells 4 3 17" xfId="30117" xr:uid="{00000000-0005-0000-0000-000029770000}"/>
    <cellStyle name="RIGs input cells 4 3 18" xfId="30118" xr:uid="{00000000-0005-0000-0000-00002A770000}"/>
    <cellStyle name="RIGs input cells 4 3 19" xfId="30119" xr:uid="{00000000-0005-0000-0000-00002B770000}"/>
    <cellStyle name="RIGs input cells 4 3 2" xfId="30120" xr:uid="{00000000-0005-0000-0000-00002C770000}"/>
    <cellStyle name="RIGs input cells 4 3 2 10" xfId="30121" xr:uid="{00000000-0005-0000-0000-00002D770000}"/>
    <cellStyle name="RIGs input cells 4 3 2 11" xfId="30122" xr:uid="{00000000-0005-0000-0000-00002E770000}"/>
    <cellStyle name="RIGs input cells 4 3 2 12" xfId="30123" xr:uid="{00000000-0005-0000-0000-00002F770000}"/>
    <cellStyle name="RIGs input cells 4 3 2 13" xfId="30124" xr:uid="{00000000-0005-0000-0000-000030770000}"/>
    <cellStyle name="RIGs input cells 4 3 2 14" xfId="30125" xr:uid="{00000000-0005-0000-0000-000031770000}"/>
    <cellStyle name="RIGs input cells 4 3 2 15" xfId="30126" xr:uid="{00000000-0005-0000-0000-000032770000}"/>
    <cellStyle name="RIGs input cells 4 3 2 16" xfId="30127" xr:uid="{00000000-0005-0000-0000-000033770000}"/>
    <cellStyle name="RIGs input cells 4 3 2 17" xfId="30128" xr:uid="{00000000-0005-0000-0000-000034770000}"/>
    <cellStyle name="RIGs input cells 4 3 2 18" xfId="30129" xr:uid="{00000000-0005-0000-0000-000035770000}"/>
    <cellStyle name="RIGs input cells 4 3 2 19" xfId="30130" xr:uid="{00000000-0005-0000-0000-000036770000}"/>
    <cellStyle name="RIGs input cells 4 3 2 2" xfId="30131" xr:uid="{00000000-0005-0000-0000-000037770000}"/>
    <cellStyle name="RIGs input cells 4 3 2 2 10" xfId="30132" xr:uid="{00000000-0005-0000-0000-000038770000}"/>
    <cellStyle name="RIGs input cells 4 3 2 2 11" xfId="30133" xr:uid="{00000000-0005-0000-0000-000039770000}"/>
    <cellStyle name="RIGs input cells 4 3 2 2 12" xfId="30134" xr:uid="{00000000-0005-0000-0000-00003A770000}"/>
    <cellStyle name="RIGs input cells 4 3 2 2 13" xfId="30135" xr:uid="{00000000-0005-0000-0000-00003B770000}"/>
    <cellStyle name="RIGs input cells 4 3 2 2 2" xfId="30136" xr:uid="{00000000-0005-0000-0000-00003C770000}"/>
    <cellStyle name="RIGs input cells 4 3 2 2 3" xfId="30137" xr:uid="{00000000-0005-0000-0000-00003D770000}"/>
    <cellStyle name="RIGs input cells 4 3 2 2 4" xfId="30138" xr:uid="{00000000-0005-0000-0000-00003E770000}"/>
    <cellStyle name="RIGs input cells 4 3 2 2 5" xfId="30139" xr:uid="{00000000-0005-0000-0000-00003F770000}"/>
    <cellStyle name="RIGs input cells 4 3 2 2 6" xfId="30140" xr:uid="{00000000-0005-0000-0000-000040770000}"/>
    <cellStyle name="RIGs input cells 4 3 2 2 7" xfId="30141" xr:uid="{00000000-0005-0000-0000-000041770000}"/>
    <cellStyle name="RIGs input cells 4 3 2 2 8" xfId="30142" xr:uid="{00000000-0005-0000-0000-000042770000}"/>
    <cellStyle name="RIGs input cells 4 3 2 2 9" xfId="30143" xr:uid="{00000000-0005-0000-0000-000043770000}"/>
    <cellStyle name="RIGs input cells 4 3 2 20" xfId="30144" xr:uid="{00000000-0005-0000-0000-000044770000}"/>
    <cellStyle name="RIGs input cells 4 3 2 21" xfId="30145" xr:uid="{00000000-0005-0000-0000-000045770000}"/>
    <cellStyle name="RIGs input cells 4 3 2 22" xfId="30146" xr:uid="{00000000-0005-0000-0000-000046770000}"/>
    <cellStyle name="RIGs input cells 4 3 2 23" xfId="30147" xr:uid="{00000000-0005-0000-0000-000047770000}"/>
    <cellStyle name="RIGs input cells 4 3 2 24" xfId="30148" xr:uid="{00000000-0005-0000-0000-000048770000}"/>
    <cellStyle name="RIGs input cells 4 3 2 25" xfId="30149" xr:uid="{00000000-0005-0000-0000-000049770000}"/>
    <cellStyle name="RIGs input cells 4 3 2 26" xfId="30150" xr:uid="{00000000-0005-0000-0000-00004A770000}"/>
    <cellStyle name="RIGs input cells 4 3 2 27" xfId="30151" xr:uid="{00000000-0005-0000-0000-00004B770000}"/>
    <cellStyle name="RIGs input cells 4 3 2 28" xfId="30152" xr:uid="{00000000-0005-0000-0000-00004C770000}"/>
    <cellStyle name="RIGs input cells 4 3 2 29" xfId="30153" xr:uid="{00000000-0005-0000-0000-00004D770000}"/>
    <cellStyle name="RIGs input cells 4 3 2 3" xfId="30154" xr:uid="{00000000-0005-0000-0000-00004E770000}"/>
    <cellStyle name="RIGs input cells 4 3 2 30" xfId="30155" xr:uid="{00000000-0005-0000-0000-00004F770000}"/>
    <cellStyle name="RIGs input cells 4 3 2 31" xfId="30156" xr:uid="{00000000-0005-0000-0000-000050770000}"/>
    <cellStyle name="RIGs input cells 4 3 2 32" xfId="30157" xr:uid="{00000000-0005-0000-0000-000051770000}"/>
    <cellStyle name="RIGs input cells 4 3 2 33" xfId="30158" xr:uid="{00000000-0005-0000-0000-000052770000}"/>
    <cellStyle name="RIGs input cells 4 3 2 34" xfId="30159" xr:uid="{00000000-0005-0000-0000-000053770000}"/>
    <cellStyle name="RIGs input cells 4 3 2 4" xfId="30160" xr:uid="{00000000-0005-0000-0000-000054770000}"/>
    <cellStyle name="RIGs input cells 4 3 2 5" xfId="30161" xr:uid="{00000000-0005-0000-0000-000055770000}"/>
    <cellStyle name="RIGs input cells 4 3 2 6" xfId="30162" xr:uid="{00000000-0005-0000-0000-000056770000}"/>
    <cellStyle name="RIGs input cells 4 3 2 7" xfId="30163" xr:uid="{00000000-0005-0000-0000-000057770000}"/>
    <cellStyle name="RIGs input cells 4 3 2 8" xfId="30164" xr:uid="{00000000-0005-0000-0000-000058770000}"/>
    <cellStyle name="RIGs input cells 4 3 2 9" xfId="30165" xr:uid="{00000000-0005-0000-0000-000059770000}"/>
    <cellStyle name="RIGs input cells 4 3 20" xfId="30166" xr:uid="{00000000-0005-0000-0000-00005A770000}"/>
    <cellStyle name="RIGs input cells 4 3 21" xfId="30167" xr:uid="{00000000-0005-0000-0000-00005B770000}"/>
    <cellStyle name="RIGs input cells 4 3 22" xfId="30168" xr:uid="{00000000-0005-0000-0000-00005C770000}"/>
    <cellStyle name="RIGs input cells 4 3 23" xfId="30169" xr:uid="{00000000-0005-0000-0000-00005D770000}"/>
    <cellStyle name="RIGs input cells 4 3 24" xfId="30170" xr:uid="{00000000-0005-0000-0000-00005E770000}"/>
    <cellStyle name="RIGs input cells 4 3 25" xfId="30171" xr:uid="{00000000-0005-0000-0000-00005F770000}"/>
    <cellStyle name="RIGs input cells 4 3 26" xfId="30172" xr:uid="{00000000-0005-0000-0000-000060770000}"/>
    <cellStyle name="RIGs input cells 4 3 27" xfId="30173" xr:uid="{00000000-0005-0000-0000-000061770000}"/>
    <cellStyle name="RIGs input cells 4 3 28" xfId="30174" xr:uid="{00000000-0005-0000-0000-000062770000}"/>
    <cellStyle name="RIGs input cells 4 3 29" xfId="30175" xr:uid="{00000000-0005-0000-0000-000063770000}"/>
    <cellStyle name="RIGs input cells 4 3 3" xfId="30176" xr:uid="{00000000-0005-0000-0000-000064770000}"/>
    <cellStyle name="RIGs input cells 4 3 3 10" xfId="30177" xr:uid="{00000000-0005-0000-0000-000065770000}"/>
    <cellStyle name="RIGs input cells 4 3 3 11" xfId="30178" xr:uid="{00000000-0005-0000-0000-000066770000}"/>
    <cellStyle name="RIGs input cells 4 3 3 12" xfId="30179" xr:uid="{00000000-0005-0000-0000-000067770000}"/>
    <cellStyle name="RIGs input cells 4 3 3 13" xfId="30180" xr:uid="{00000000-0005-0000-0000-000068770000}"/>
    <cellStyle name="RIGs input cells 4 3 3 2" xfId="30181" xr:uid="{00000000-0005-0000-0000-000069770000}"/>
    <cellStyle name="RIGs input cells 4 3 3 3" xfId="30182" xr:uid="{00000000-0005-0000-0000-00006A770000}"/>
    <cellStyle name="RIGs input cells 4 3 3 4" xfId="30183" xr:uid="{00000000-0005-0000-0000-00006B770000}"/>
    <cellStyle name="RIGs input cells 4 3 3 5" xfId="30184" xr:uid="{00000000-0005-0000-0000-00006C770000}"/>
    <cellStyle name="RIGs input cells 4 3 3 6" xfId="30185" xr:uid="{00000000-0005-0000-0000-00006D770000}"/>
    <cellStyle name="RIGs input cells 4 3 3 7" xfId="30186" xr:uid="{00000000-0005-0000-0000-00006E770000}"/>
    <cellStyle name="RIGs input cells 4 3 3 8" xfId="30187" xr:uid="{00000000-0005-0000-0000-00006F770000}"/>
    <cellStyle name="RIGs input cells 4 3 3 9" xfId="30188" xr:uid="{00000000-0005-0000-0000-000070770000}"/>
    <cellStyle name="RIGs input cells 4 3 30" xfId="30189" xr:uid="{00000000-0005-0000-0000-000071770000}"/>
    <cellStyle name="RIGs input cells 4 3 31" xfId="30190" xr:uid="{00000000-0005-0000-0000-000072770000}"/>
    <cellStyle name="RIGs input cells 4 3 32" xfId="30191" xr:uid="{00000000-0005-0000-0000-000073770000}"/>
    <cellStyle name="RIGs input cells 4 3 33" xfId="30192" xr:uid="{00000000-0005-0000-0000-000074770000}"/>
    <cellStyle name="RIGs input cells 4 3 34" xfId="30193" xr:uid="{00000000-0005-0000-0000-000075770000}"/>
    <cellStyle name="RIGs input cells 4 3 35" xfId="30194" xr:uid="{00000000-0005-0000-0000-000076770000}"/>
    <cellStyle name="RIGs input cells 4 3 4" xfId="30195" xr:uid="{00000000-0005-0000-0000-000077770000}"/>
    <cellStyle name="RIGs input cells 4 3 5" xfId="30196" xr:uid="{00000000-0005-0000-0000-000078770000}"/>
    <cellStyle name="RIGs input cells 4 3 6" xfId="30197" xr:uid="{00000000-0005-0000-0000-000079770000}"/>
    <cellStyle name="RIGs input cells 4 3 7" xfId="30198" xr:uid="{00000000-0005-0000-0000-00007A770000}"/>
    <cellStyle name="RIGs input cells 4 3 8" xfId="30199" xr:uid="{00000000-0005-0000-0000-00007B770000}"/>
    <cellStyle name="RIGs input cells 4 3 9" xfId="30200" xr:uid="{00000000-0005-0000-0000-00007C770000}"/>
    <cellStyle name="RIGs input cells 4 3_4 28 1_Asst_Health_Crit_AllTO_RIIO_20110714pm" xfId="30201" xr:uid="{00000000-0005-0000-0000-00007D770000}"/>
    <cellStyle name="RIGs input cells 4 30" xfId="30202" xr:uid="{00000000-0005-0000-0000-00007E770000}"/>
    <cellStyle name="RIGs input cells 4 31" xfId="30203" xr:uid="{00000000-0005-0000-0000-00007F770000}"/>
    <cellStyle name="RIGs input cells 4 32" xfId="30204" xr:uid="{00000000-0005-0000-0000-000080770000}"/>
    <cellStyle name="RIGs input cells 4 33" xfId="30205" xr:uid="{00000000-0005-0000-0000-000081770000}"/>
    <cellStyle name="RIGs input cells 4 34" xfId="30206" xr:uid="{00000000-0005-0000-0000-000082770000}"/>
    <cellStyle name="RIGs input cells 4 35" xfId="30207" xr:uid="{00000000-0005-0000-0000-000083770000}"/>
    <cellStyle name="RIGs input cells 4 36" xfId="30208" xr:uid="{00000000-0005-0000-0000-000084770000}"/>
    <cellStyle name="RIGs input cells 4 37" xfId="30209" xr:uid="{00000000-0005-0000-0000-000085770000}"/>
    <cellStyle name="RIGs input cells 4 38" xfId="30210" xr:uid="{00000000-0005-0000-0000-000086770000}"/>
    <cellStyle name="RIGs input cells 4 39" xfId="30211" xr:uid="{00000000-0005-0000-0000-000087770000}"/>
    <cellStyle name="RIGs input cells 4 4" xfId="30212" xr:uid="{00000000-0005-0000-0000-000088770000}"/>
    <cellStyle name="RIGs input cells 4 4 10" xfId="30213" xr:uid="{00000000-0005-0000-0000-000089770000}"/>
    <cellStyle name="RIGs input cells 4 4 11" xfId="30214" xr:uid="{00000000-0005-0000-0000-00008A770000}"/>
    <cellStyle name="RIGs input cells 4 4 12" xfId="30215" xr:uid="{00000000-0005-0000-0000-00008B770000}"/>
    <cellStyle name="RIGs input cells 4 4 13" xfId="30216" xr:uid="{00000000-0005-0000-0000-00008C770000}"/>
    <cellStyle name="RIGs input cells 4 4 14" xfId="30217" xr:uid="{00000000-0005-0000-0000-00008D770000}"/>
    <cellStyle name="RIGs input cells 4 4 15" xfId="30218" xr:uid="{00000000-0005-0000-0000-00008E770000}"/>
    <cellStyle name="RIGs input cells 4 4 16" xfId="30219" xr:uid="{00000000-0005-0000-0000-00008F770000}"/>
    <cellStyle name="RIGs input cells 4 4 17" xfId="30220" xr:uid="{00000000-0005-0000-0000-000090770000}"/>
    <cellStyle name="RIGs input cells 4 4 18" xfId="30221" xr:uid="{00000000-0005-0000-0000-000091770000}"/>
    <cellStyle name="RIGs input cells 4 4 19" xfId="30222" xr:uid="{00000000-0005-0000-0000-000092770000}"/>
    <cellStyle name="RIGs input cells 4 4 2" xfId="30223" xr:uid="{00000000-0005-0000-0000-000093770000}"/>
    <cellStyle name="RIGs input cells 4 4 2 10" xfId="30224" xr:uid="{00000000-0005-0000-0000-000094770000}"/>
    <cellStyle name="RIGs input cells 4 4 2 11" xfId="30225" xr:uid="{00000000-0005-0000-0000-000095770000}"/>
    <cellStyle name="RIGs input cells 4 4 2 12" xfId="30226" xr:uid="{00000000-0005-0000-0000-000096770000}"/>
    <cellStyle name="RIGs input cells 4 4 2 13" xfId="30227" xr:uid="{00000000-0005-0000-0000-000097770000}"/>
    <cellStyle name="RIGs input cells 4 4 2 2" xfId="30228" xr:uid="{00000000-0005-0000-0000-000098770000}"/>
    <cellStyle name="RIGs input cells 4 4 2 3" xfId="30229" xr:uid="{00000000-0005-0000-0000-000099770000}"/>
    <cellStyle name="RIGs input cells 4 4 2 4" xfId="30230" xr:uid="{00000000-0005-0000-0000-00009A770000}"/>
    <cellStyle name="RIGs input cells 4 4 2 5" xfId="30231" xr:uid="{00000000-0005-0000-0000-00009B770000}"/>
    <cellStyle name="RIGs input cells 4 4 2 6" xfId="30232" xr:uid="{00000000-0005-0000-0000-00009C770000}"/>
    <cellStyle name="RIGs input cells 4 4 2 7" xfId="30233" xr:uid="{00000000-0005-0000-0000-00009D770000}"/>
    <cellStyle name="RIGs input cells 4 4 2 8" xfId="30234" xr:uid="{00000000-0005-0000-0000-00009E770000}"/>
    <cellStyle name="RIGs input cells 4 4 2 9" xfId="30235" xr:uid="{00000000-0005-0000-0000-00009F770000}"/>
    <cellStyle name="RIGs input cells 4 4 20" xfId="30236" xr:uid="{00000000-0005-0000-0000-0000A0770000}"/>
    <cellStyle name="RIGs input cells 4 4 21" xfId="30237" xr:uid="{00000000-0005-0000-0000-0000A1770000}"/>
    <cellStyle name="RIGs input cells 4 4 22" xfId="30238" xr:uid="{00000000-0005-0000-0000-0000A2770000}"/>
    <cellStyle name="RIGs input cells 4 4 23" xfId="30239" xr:uid="{00000000-0005-0000-0000-0000A3770000}"/>
    <cellStyle name="RIGs input cells 4 4 24" xfId="30240" xr:uid="{00000000-0005-0000-0000-0000A4770000}"/>
    <cellStyle name="RIGs input cells 4 4 25" xfId="30241" xr:uid="{00000000-0005-0000-0000-0000A5770000}"/>
    <cellStyle name="RIGs input cells 4 4 26" xfId="30242" xr:uid="{00000000-0005-0000-0000-0000A6770000}"/>
    <cellStyle name="RIGs input cells 4 4 27" xfId="30243" xr:uid="{00000000-0005-0000-0000-0000A7770000}"/>
    <cellStyle name="RIGs input cells 4 4 28" xfId="30244" xr:uid="{00000000-0005-0000-0000-0000A8770000}"/>
    <cellStyle name="RIGs input cells 4 4 29" xfId="30245" xr:uid="{00000000-0005-0000-0000-0000A9770000}"/>
    <cellStyle name="RIGs input cells 4 4 3" xfId="30246" xr:uid="{00000000-0005-0000-0000-0000AA770000}"/>
    <cellStyle name="RIGs input cells 4 4 30" xfId="30247" xr:uid="{00000000-0005-0000-0000-0000AB770000}"/>
    <cellStyle name="RIGs input cells 4 4 31" xfId="30248" xr:uid="{00000000-0005-0000-0000-0000AC770000}"/>
    <cellStyle name="RIGs input cells 4 4 32" xfId="30249" xr:uid="{00000000-0005-0000-0000-0000AD770000}"/>
    <cellStyle name="RIGs input cells 4 4 33" xfId="30250" xr:uid="{00000000-0005-0000-0000-0000AE770000}"/>
    <cellStyle name="RIGs input cells 4 4 34" xfId="30251" xr:uid="{00000000-0005-0000-0000-0000AF770000}"/>
    <cellStyle name="RIGs input cells 4 4 4" xfId="30252" xr:uid="{00000000-0005-0000-0000-0000B0770000}"/>
    <cellStyle name="RIGs input cells 4 4 5" xfId="30253" xr:uid="{00000000-0005-0000-0000-0000B1770000}"/>
    <cellStyle name="RIGs input cells 4 4 6" xfId="30254" xr:uid="{00000000-0005-0000-0000-0000B2770000}"/>
    <cellStyle name="RIGs input cells 4 4 7" xfId="30255" xr:uid="{00000000-0005-0000-0000-0000B3770000}"/>
    <cellStyle name="RIGs input cells 4 4 8" xfId="30256" xr:uid="{00000000-0005-0000-0000-0000B4770000}"/>
    <cellStyle name="RIGs input cells 4 4 9" xfId="30257" xr:uid="{00000000-0005-0000-0000-0000B5770000}"/>
    <cellStyle name="RIGs input cells 4 5" xfId="30258" xr:uid="{00000000-0005-0000-0000-0000B6770000}"/>
    <cellStyle name="RIGs input cells 4 5 10" xfId="30259" xr:uid="{00000000-0005-0000-0000-0000B7770000}"/>
    <cellStyle name="RIGs input cells 4 5 11" xfId="30260" xr:uid="{00000000-0005-0000-0000-0000B8770000}"/>
    <cellStyle name="RIGs input cells 4 5 12" xfId="30261" xr:uid="{00000000-0005-0000-0000-0000B9770000}"/>
    <cellStyle name="RIGs input cells 4 5 13" xfId="30262" xr:uid="{00000000-0005-0000-0000-0000BA770000}"/>
    <cellStyle name="RIGs input cells 4 5 14" xfId="30263" xr:uid="{00000000-0005-0000-0000-0000BB770000}"/>
    <cellStyle name="RIGs input cells 4 5 15" xfId="30264" xr:uid="{00000000-0005-0000-0000-0000BC770000}"/>
    <cellStyle name="RIGs input cells 4 5 16" xfId="30265" xr:uid="{00000000-0005-0000-0000-0000BD770000}"/>
    <cellStyle name="RIGs input cells 4 5 17" xfId="30266" xr:uid="{00000000-0005-0000-0000-0000BE770000}"/>
    <cellStyle name="RIGs input cells 4 5 18" xfId="30267" xr:uid="{00000000-0005-0000-0000-0000BF770000}"/>
    <cellStyle name="RIGs input cells 4 5 19" xfId="30268" xr:uid="{00000000-0005-0000-0000-0000C0770000}"/>
    <cellStyle name="RIGs input cells 4 5 2" xfId="30269" xr:uid="{00000000-0005-0000-0000-0000C1770000}"/>
    <cellStyle name="RIGs input cells 4 5 2 10" xfId="30270" xr:uid="{00000000-0005-0000-0000-0000C2770000}"/>
    <cellStyle name="RIGs input cells 4 5 2 11" xfId="30271" xr:uid="{00000000-0005-0000-0000-0000C3770000}"/>
    <cellStyle name="RIGs input cells 4 5 2 12" xfId="30272" xr:uid="{00000000-0005-0000-0000-0000C4770000}"/>
    <cellStyle name="RIGs input cells 4 5 2 13" xfId="30273" xr:uid="{00000000-0005-0000-0000-0000C5770000}"/>
    <cellStyle name="RIGs input cells 4 5 2 2" xfId="30274" xr:uid="{00000000-0005-0000-0000-0000C6770000}"/>
    <cellStyle name="RIGs input cells 4 5 2 3" xfId="30275" xr:uid="{00000000-0005-0000-0000-0000C7770000}"/>
    <cellStyle name="RIGs input cells 4 5 2 4" xfId="30276" xr:uid="{00000000-0005-0000-0000-0000C8770000}"/>
    <cellStyle name="RIGs input cells 4 5 2 5" xfId="30277" xr:uid="{00000000-0005-0000-0000-0000C9770000}"/>
    <cellStyle name="RIGs input cells 4 5 2 6" xfId="30278" xr:uid="{00000000-0005-0000-0000-0000CA770000}"/>
    <cellStyle name="RIGs input cells 4 5 2 7" xfId="30279" xr:uid="{00000000-0005-0000-0000-0000CB770000}"/>
    <cellStyle name="RIGs input cells 4 5 2 8" xfId="30280" xr:uid="{00000000-0005-0000-0000-0000CC770000}"/>
    <cellStyle name="RIGs input cells 4 5 2 9" xfId="30281" xr:uid="{00000000-0005-0000-0000-0000CD770000}"/>
    <cellStyle name="RIGs input cells 4 5 20" xfId="30282" xr:uid="{00000000-0005-0000-0000-0000CE770000}"/>
    <cellStyle name="RIGs input cells 4 5 21" xfId="30283" xr:uid="{00000000-0005-0000-0000-0000CF770000}"/>
    <cellStyle name="RIGs input cells 4 5 22" xfId="30284" xr:uid="{00000000-0005-0000-0000-0000D0770000}"/>
    <cellStyle name="RIGs input cells 4 5 23" xfId="30285" xr:uid="{00000000-0005-0000-0000-0000D1770000}"/>
    <cellStyle name="RIGs input cells 4 5 24" xfId="30286" xr:uid="{00000000-0005-0000-0000-0000D2770000}"/>
    <cellStyle name="RIGs input cells 4 5 25" xfId="30287" xr:uid="{00000000-0005-0000-0000-0000D3770000}"/>
    <cellStyle name="RIGs input cells 4 5 26" xfId="30288" xr:uid="{00000000-0005-0000-0000-0000D4770000}"/>
    <cellStyle name="RIGs input cells 4 5 27" xfId="30289" xr:uid="{00000000-0005-0000-0000-0000D5770000}"/>
    <cellStyle name="RIGs input cells 4 5 28" xfId="30290" xr:uid="{00000000-0005-0000-0000-0000D6770000}"/>
    <cellStyle name="RIGs input cells 4 5 29" xfId="30291" xr:uid="{00000000-0005-0000-0000-0000D7770000}"/>
    <cellStyle name="RIGs input cells 4 5 3" xfId="30292" xr:uid="{00000000-0005-0000-0000-0000D8770000}"/>
    <cellStyle name="RIGs input cells 4 5 30" xfId="30293" xr:uid="{00000000-0005-0000-0000-0000D9770000}"/>
    <cellStyle name="RIGs input cells 4 5 31" xfId="30294" xr:uid="{00000000-0005-0000-0000-0000DA770000}"/>
    <cellStyle name="RIGs input cells 4 5 32" xfId="30295" xr:uid="{00000000-0005-0000-0000-0000DB770000}"/>
    <cellStyle name="RIGs input cells 4 5 33" xfId="30296" xr:uid="{00000000-0005-0000-0000-0000DC770000}"/>
    <cellStyle name="RIGs input cells 4 5 34" xfId="30297" xr:uid="{00000000-0005-0000-0000-0000DD770000}"/>
    <cellStyle name="RIGs input cells 4 5 4" xfId="30298" xr:uid="{00000000-0005-0000-0000-0000DE770000}"/>
    <cellStyle name="RIGs input cells 4 5 5" xfId="30299" xr:uid="{00000000-0005-0000-0000-0000DF770000}"/>
    <cellStyle name="RIGs input cells 4 5 6" xfId="30300" xr:uid="{00000000-0005-0000-0000-0000E0770000}"/>
    <cellStyle name="RIGs input cells 4 5 7" xfId="30301" xr:uid="{00000000-0005-0000-0000-0000E1770000}"/>
    <cellStyle name="RIGs input cells 4 5 8" xfId="30302" xr:uid="{00000000-0005-0000-0000-0000E2770000}"/>
    <cellStyle name="RIGs input cells 4 5 9" xfId="30303" xr:uid="{00000000-0005-0000-0000-0000E3770000}"/>
    <cellStyle name="RIGs input cells 4 6" xfId="30304" xr:uid="{00000000-0005-0000-0000-0000E4770000}"/>
    <cellStyle name="RIGs input cells 4 6 10" xfId="30305" xr:uid="{00000000-0005-0000-0000-0000E5770000}"/>
    <cellStyle name="RIGs input cells 4 6 11" xfId="30306" xr:uid="{00000000-0005-0000-0000-0000E6770000}"/>
    <cellStyle name="RIGs input cells 4 6 12" xfId="30307" xr:uid="{00000000-0005-0000-0000-0000E7770000}"/>
    <cellStyle name="RIGs input cells 4 6 13" xfId="30308" xr:uid="{00000000-0005-0000-0000-0000E8770000}"/>
    <cellStyle name="RIGs input cells 4 6 2" xfId="30309" xr:uid="{00000000-0005-0000-0000-0000E9770000}"/>
    <cellStyle name="RIGs input cells 4 6 3" xfId="30310" xr:uid="{00000000-0005-0000-0000-0000EA770000}"/>
    <cellStyle name="RIGs input cells 4 6 4" xfId="30311" xr:uid="{00000000-0005-0000-0000-0000EB770000}"/>
    <cellStyle name="RIGs input cells 4 6 5" xfId="30312" xr:uid="{00000000-0005-0000-0000-0000EC770000}"/>
    <cellStyle name="RIGs input cells 4 6 6" xfId="30313" xr:uid="{00000000-0005-0000-0000-0000ED770000}"/>
    <cellStyle name="RIGs input cells 4 6 7" xfId="30314" xr:uid="{00000000-0005-0000-0000-0000EE770000}"/>
    <cellStyle name="RIGs input cells 4 6 8" xfId="30315" xr:uid="{00000000-0005-0000-0000-0000EF770000}"/>
    <cellStyle name="RIGs input cells 4 6 9" xfId="30316" xr:uid="{00000000-0005-0000-0000-0000F0770000}"/>
    <cellStyle name="RIGs input cells 4 7" xfId="30317" xr:uid="{00000000-0005-0000-0000-0000F1770000}"/>
    <cellStyle name="RIGs input cells 4 8" xfId="30318" xr:uid="{00000000-0005-0000-0000-0000F2770000}"/>
    <cellStyle name="RIGs input cells 4 9" xfId="30319" xr:uid="{00000000-0005-0000-0000-0000F3770000}"/>
    <cellStyle name="RIGs input cells 4_1.3s Accounting C Costs Scots" xfId="30320" xr:uid="{00000000-0005-0000-0000-0000F4770000}"/>
    <cellStyle name="RIGs input cells 40" xfId="30321" xr:uid="{00000000-0005-0000-0000-0000F5770000}"/>
    <cellStyle name="RIGs input cells 41" xfId="30322" xr:uid="{00000000-0005-0000-0000-0000F6770000}"/>
    <cellStyle name="RIGs input cells 42" xfId="30323" xr:uid="{00000000-0005-0000-0000-0000F7770000}"/>
    <cellStyle name="RIGs input cells 43" xfId="30324" xr:uid="{00000000-0005-0000-0000-0000F8770000}"/>
    <cellStyle name="RIGs input cells 44" xfId="30325" xr:uid="{00000000-0005-0000-0000-0000F9770000}"/>
    <cellStyle name="RIGs input cells 45" xfId="30326" xr:uid="{00000000-0005-0000-0000-0000FA770000}"/>
    <cellStyle name="RIGs input cells 46" xfId="30327" xr:uid="{00000000-0005-0000-0000-0000FB770000}"/>
    <cellStyle name="RIGs input cells 47" xfId="30328" xr:uid="{00000000-0005-0000-0000-0000FC770000}"/>
    <cellStyle name="RIGs input cells 5" xfId="30329" xr:uid="{00000000-0005-0000-0000-0000FD770000}"/>
    <cellStyle name="RIGs input cells 5 10" xfId="30330" xr:uid="{00000000-0005-0000-0000-0000FE770000}"/>
    <cellStyle name="RIGs input cells 5 11" xfId="30331" xr:uid="{00000000-0005-0000-0000-0000FF770000}"/>
    <cellStyle name="RIGs input cells 5 12" xfId="30332" xr:uid="{00000000-0005-0000-0000-000000780000}"/>
    <cellStyle name="RIGs input cells 5 13" xfId="30333" xr:uid="{00000000-0005-0000-0000-000001780000}"/>
    <cellStyle name="RIGs input cells 5 14" xfId="30334" xr:uid="{00000000-0005-0000-0000-000002780000}"/>
    <cellStyle name="RIGs input cells 5 15" xfId="30335" xr:uid="{00000000-0005-0000-0000-000003780000}"/>
    <cellStyle name="RIGs input cells 5 16" xfId="30336" xr:uid="{00000000-0005-0000-0000-000004780000}"/>
    <cellStyle name="RIGs input cells 5 17" xfId="30337" xr:uid="{00000000-0005-0000-0000-000005780000}"/>
    <cellStyle name="RIGs input cells 5 18" xfId="30338" xr:uid="{00000000-0005-0000-0000-000006780000}"/>
    <cellStyle name="RIGs input cells 5 19" xfId="30339" xr:uid="{00000000-0005-0000-0000-000007780000}"/>
    <cellStyle name="RIGs input cells 5 2" xfId="30340" xr:uid="{00000000-0005-0000-0000-000008780000}"/>
    <cellStyle name="RIGs input cells 5 2 10" xfId="30341" xr:uid="{00000000-0005-0000-0000-000009780000}"/>
    <cellStyle name="RIGs input cells 5 2 11" xfId="30342" xr:uid="{00000000-0005-0000-0000-00000A780000}"/>
    <cellStyle name="RIGs input cells 5 2 12" xfId="30343" xr:uid="{00000000-0005-0000-0000-00000B780000}"/>
    <cellStyle name="RIGs input cells 5 2 13" xfId="30344" xr:uid="{00000000-0005-0000-0000-00000C780000}"/>
    <cellStyle name="RIGs input cells 5 2 14" xfId="30345" xr:uid="{00000000-0005-0000-0000-00000D780000}"/>
    <cellStyle name="RIGs input cells 5 2 15" xfId="30346" xr:uid="{00000000-0005-0000-0000-00000E780000}"/>
    <cellStyle name="RIGs input cells 5 2 16" xfId="30347" xr:uid="{00000000-0005-0000-0000-00000F780000}"/>
    <cellStyle name="RIGs input cells 5 2 17" xfId="30348" xr:uid="{00000000-0005-0000-0000-000010780000}"/>
    <cellStyle name="RIGs input cells 5 2 18" xfId="30349" xr:uid="{00000000-0005-0000-0000-000011780000}"/>
    <cellStyle name="RIGs input cells 5 2 19" xfId="30350" xr:uid="{00000000-0005-0000-0000-000012780000}"/>
    <cellStyle name="RIGs input cells 5 2 2" xfId="30351" xr:uid="{00000000-0005-0000-0000-000013780000}"/>
    <cellStyle name="RIGs input cells 5 2 2 10" xfId="30352" xr:uid="{00000000-0005-0000-0000-000014780000}"/>
    <cellStyle name="RIGs input cells 5 2 2 11" xfId="30353" xr:uid="{00000000-0005-0000-0000-000015780000}"/>
    <cellStyle name="RIGs input cells 5 2 2 12" xfId="30354" xr:uid="{00000000-0005-0000-0000-000016780000}"/>
    <cellStyle name="RIGs input cells 5 2 2 13" xfId="30355" xr:uid="{00000000-0005-0000-0000-000017780000}"/>
    <cellStyle name="RIGs input cells 5 2 2 14" xfId="30356" xr:uid="{00000000-0005-0000-0000-000018780000}"/>
    <cellStyle name="RIGs input cells 5 2 2 15" xfId="30357" xr:uid="{00000000-0005-0000-0000-000019780000}"/>
    <cellStyle name="RIGs input cells 5 2 2 16" xfId="30358" xr:uid="{00000000-0005-0000-0000-00001A780000}"/>
    <cellStyle name="RIGs input cells 5 2 2 17" xfId="30359" xr:uid="{00000000-0005-0000-0000-00001B780000}"/>
    <cellStyle name="RIGs input cells 5 2 2 18" xfId="30360" xr:uid="{00000000-0005-0000-0000-00001C780000}"/>
    <cellStyle name="RIGs input cells 5 2 2 19" xfId="30361" xr:uid="{00000000-0005-0000-0000-00001D780000}"/>
    <cellStyle name="RIGs input cells 5 2 2 2" xfId="30362" xr:uid="{00000000-0005-0000-0000-00001E780000}"/>
    <cellStyle name="RIGs input cells 5 2 2 2 10" xfId="30363" xr:uid="{00000000-0005-0000-0000-00001F780000}"/>
    <cellStyle name="RIGs input cells 5 2 2 2 11" xfId="30364" xr:uid="{00000000-0005-0000-0000-000020780000}"/>
    <cellStyle name="RIGs input cells 5 2 2 2 12" xfId="30365" xr:uid="{00000000-0005-0000-0000-000021780000}"/>
    <cellStyle name="RIGs input cells 5 2 2 2 13" xfId="30366" xr:uid="{00000000-0005-0000-0000-000022780000}"/>
    <cellStyle name="RIGs input cells 5 2 2 2 14" xfId="30367" xr:uid="{00000000-0005-0000-0000-000023780000}"/>
    <cellStyle name="RIGs input cells 5 2 2 2 15" xfId="30368" xr:uid="{00000000-0005-0000-0000-000024780000}"/>
    <cellStyle name="RIGs input cells 5 2 2 2 16" xfId="30369" xr:uid="{00000000-0005-0000-0000-000025780000}"/>
    <cellStyle name="RIGs input cells 5 2 2 2 17" xfId="30370" xr:uid="{00000000-0005-0000-0000-000026780000}"/>
    <cellStyle name="RIGs input cells 5 2 2 2 18" xfId="30371" xr:uid="{00000000-0005-0000-0000-000027780000}"/>
    <cellStyle name="RIGs input cells 5 2 2 2 19" xfId="30372" xr:uid="{00000000-0005-0000-0000-000028780000}"/>
    <cellStyle name="RIGs input cells 5 2 2 2 2" xfId="30373" xr:uid="{00000000-0005-0000-0000-000029780000}"/>
    <cellStyle name="RIGs input cells 5 2 2 2 2 10" xfId="30374" xr:uid="{00000000-0005-0000-0000-00002A780000}"/>
    <cellStyle name="RIGs input cells 5 2 2 2 2 11" xfId="30375" xr:uid="{00000000-0005-0000-0000-00002B780000}"/>
    <cellStyle name="RIGs input cells 5 2 2 2 2 12" xfId="30376" xr:uid="{00000000-0005-0000-0000-00002C780000}"/>
    <cellStyle name="RIGs input cells 5 2 2 2 2 13" xfId="30377" xr:uid="{00000000-0005-0000-0000-00002D780000}"/>
    <cellStyle name="RIGs input cells 5 2 2 2 2 2" xfId="30378" xr:uid="{00000000-0005-0000-0000-00002E780000}"/>
    <cellStyle name="RIGs input cells 5 2 2 2 2 3" xfId="30379" xr:uid="{00000000-0005-0000-0000-00002F780000}"/>
    <cellStyle name="RIGs input cells 5 2 2 2 2 4" xfId="30380" xr:uid="{00000000-0005-0000-0000-000030780000}"/>
    <cellStyle name="RIGs input cells 5 2 2 2 2 5" xfId="30381" xr:uid="{00000000-0005-0000-0000-000031780000}"/>
    <cellStyle name="RIGs input cells 5 2 2 2 2 6" xfId="30382" xr:uid="{00000000-0005-0000-0000-000032780000}"/>
    <cellStyle name="RIGs input cells 5 2 2 2 2 7" xfId="30383" xr:uid="{00000000-0005-0000-0000-000033780000}"/>
    <cellStyle name="RIGs input cells 5 2 2 2 2 8" xfId="30384" xr:uid="{00000000-0005-0000-0000-000034780000}"/>
    <cellStyle name="RIGs input cells 5 2 2 2 2 9" xfId="30385" xr:uid="{00000000-0005-0000-0000-000035780000}"/>
    <cellStyle name="RIGs input cells 5 2 2 2 20" xfId="30386" xr:uid="{00000000-0005-0000-0000-000036780000}"/>
    <cellStyle name="RIGs input cells 5 2 2 2 21" xfId="30387" xr:uid="{00000000-0005-0000-0000-000037780000}"/>
    <cellStyle name="RIGs input cells 5 2 2 2 22" xfId="30388" xr:uid="{00000000-0005-0000-0000-000038780000}"/>
    <cellStyle name="RIGs input cells 5 2 2 2 23" xfId="30389" xr:uid="{00000000-0005-0000-0000-000039780000}"/>
    <cellStyle name="RIGs input cells 5 2 2 2 24" xfId="30390" xr:uid="{00000000-0005-0000-0000-00003A780000}"/>
    <cellStyle name="RIGs input cells 5 2 2 2 25" xfId="30391" xr:uid="{00000000-0005-0000-0000-00003B780000}"/>
    <cellStyle name="RIGs input cells 5 2 2 2 26" xfId="30392" xr:uid="{00000000-0005-0000-0000-00003C780000}"/>
    <cellStyle name="RIGs input cells 5 2 2 2 27" xfId="30393" xr:uid="{00000000-0005-0000-0000-00003D780000}"/>
    <cellStyle name="RIGs input cells 5 2 2 2 28" xfId="30394" xr:uid="{00000000-0005-0000-0000-00003E780000}"/>
    <cellStyle name="RIGs input cells 5 2 2 2 29" xfId="30395" xr:uid="{00000000-0005-0000-0000-00003F780000}"/>
    <cellStyle name="RIGs input cells 5 2 2 2 3" xfId="30396" xr:uid="{00000000-0005-0000-0000-000040780000}"/>
    <cellStyle name="RIGs input cells 5 2 2 2 30" xfId="30397" xr:uid="{00000000-0005-0000-0000-000041780000}"/>
    <cellStyle name="RIGs input cells 5 2 2 2 31" xfId="30398" xr:uid="{00000000-0005-0000-0000-000042780000}"/>
    <cellStyle name="RIGs input cells 5 2 2 2 32" xfId="30399" xr:uid="{00000000-0005-0000-0000-000043780000}"/>
    <cellStyle name="RIGs input cells 5 2 2 2 33" xfId="30400" xr:uid="{00000000-0005-0000-0000-000044780000}"/>
    <cellStyle name="RIGs input cells 5 2 2 2 34" xfId="30401" xr:uid="{00000000-0005-0000-0000-000045780000}"/>
    <cellStyle name="RIGs input cells 5 2 2 2 4" xfId="30402" xr:uid="{00000000-0005-0000-0000-000046780000}"/>
    <cellStyle name="RIGs input cells 5 2 2 2 5" xfId="30403" xr:uid="{00000000-0005-0000-0000-000047780000}"/>
    <cellStyle name="RIGs input cells 5 2 2 2 6" xfId="30404" xr:uid="{00000000-0005-0000-0000-000048780000}"/>
    <cellStyle name="RIGs input cells 5 2 2 2 7" xfId="30405" xr:uid="{00000000-0005-0000-0000-000049780000}"/>
    <cellStyle name="RIGs input cells 5 2 2 2 8" xfId="30406" xr:uid="{00000000-0005-0000-0000-00004A780000}"/>
    <cellStyle name="RIGs input cells 5 2 2 2 9" xfId="30407" xr:uid="{00000000-0005-0000-0000-00004B780000}"/>
    <cellStyle name="RIGs input cells 5 2 2 20" xfId="30408" xr:uid="{00000000-0005-0000-0000-00004C780000}"/>
    <cellStyle name="RIGs input cells 5 2 2 21" xfId="30409" xr:uid="{00000000-0005-0000-0000-00004D780000}"/>
    <cellStyle name="RIGs input cells 5 2 2 22" xfId="30410" xr:uid="{00000000-0005-0000-0000-00004E780000}"/>
    <cellStyle name="RIGs input cells 5 2 2 23" xfId="30411" xr:uid="{00000000-0005-0000-0000-00004F780000}"/>
    <cellStyle name="RIGs input cells 5 2 2 24" xfId="30412" xr:uid="{00000000-0005-0000-0000-000050780000}"/>
    <cellStyle name="RIGs input cells 5 2 2 25" xfId="30413" xr:uid="{00000000-0005-0000-0000-000051780000}"/>
    <cellStyle name="RIGs input cells 5 2 2 26" xfId="30414" xr:uid="{00000000-0005-0000-0000-000052780000}"/>
    <cellStyle name="RIGs input cells 5 2 2 27" xfId="30415" xr:uid="{00000000-0005-0000-0000-000053780000}"/>
    <cellStyle name="RIGs input cells 5 2 2 28" xfId="30416" xr:uid="{00000000-0005-0000-0000-000054780000}"/>
    <cellStyle name="RIGs input cells 5 2 2 29" xfId="30417" xr:uid="{00000000-0005-0000-0000-000055780000}"/>
    <cellStyle name="RIGs input cells 5 2 2 3" xfId="30418" xr:uid="{00000000-0005-0000-0000-000056780000}"/>
    <cellStyle name="RIGs input cells 5 2 2 3 10" xfId="30419" xr:uid="{00000000-0005-0000-0000-000057780000}"/>
    <cellStyle name="RIGs input cells 5 2 2 3 11" xfId="30420" xr:uid="{00000000-0005-0000-0000-000058780000}"/>
    <cellStyle name="RIGs input cells 5 2 2 3 12" xfId="30421" xr:uid="{00000000-0005-0000-0000-000059780000}"/>
    <cellStyle name="RIGs input cells 5 2 2 3 13" xfId="30422" xr:uid="{00000000-0005-0000-0000-00005A780000}"/>
    <cellStyle name="RIGs input cells 5 2 2 3 2" xfId="30423" xr:uid="{00000000-0005-0000-0000-00005B780000}"/>
    <cellStyle name="RIGs input cells 5 2 2 3 3" xfId="30424" xr:uid="{00000000-0005-0000-0000-00005C780000}"/>
    <cellStyle name="RIGs input cells 5 2 2 3 4" xfId="30425" xr:uid="{00000000-0005-0000-0000-00005D780000}"/>
    <cellStyle name="RIGs input cells 5 2 2 3 5" xfId="30426" xr:uid="{00000000-0005-0000-0000-00005E780000}"/>
    <cellStyle name="RIGs input cells 5 2 2 3 6" xfId="30427" xr:uid="{00000000-0005-0000-0000-00005F780000}"/>
    <cellStyle name="RIGs input cells 5 2 2 3 7" xfId="30428" xr:uid="{00000000-0005-0000-0000-000060780000}"/>
    <cellStyle name="RIGs input cells 5 2 2 3 8" xfId="30429" xr:uid="{00000000-0005-0000-0000-000061780000}"/>
    <cellStyle name="RIGs input cells 5 2 2 3 9" xfId="30430" xr:uid="{00000000-0005-0000-0000-000062780000}"/>
    <cellStyle name="RIGs input cells 5 2 2 30" xfId="30431" xr:uid="{00000000-0005-0000-0000-000063780000}"/>
    <cellStyle name="RIGs input cells 5 2 2 31" xfId="30432" xr:uid="{00000000-0005-0000-0000-000064780000}"/>
    <cellStyle name="RIGs input cells 5 2 2 32" xfId="30433" xr:uid="{00000000-0005-0000-0000-000065780000}"/>
    <cellStyle name="RIGs input cells 5 2 2 33" xfId="30434" xr:uid="{00000000-0005-0000-0000-000066780000}"/>
    <cellStyle name="RIGs input cells 5 2 2 34" xfId="30435" xr:uid="{00000000-0005-0000-0000-000067780000}"/>
    <cellStyle name="RIGs input cells 5 2 2 35" xfId="30436" xr:uid="{00000000-0005-0000-0000-000068780000}"/>
    <cellStyle name="RIGs input cells 5 2 2 4" xfId="30437" xr:uid="{00000000-0005-0000-0000-000069780000}"/>
    <cellStyle name="RIGs input cells 5 2 2 5" xfId="30438" xr:uid="{00000000-0005-0000-0000-00006A780000}"/>
    <cellStyle name="RIGs input cells 5 2 2 6" xfId="30439" xr:uid="{00000000-0005-0000-0000-00006B780000}"/>
    <cellStyle name="RIGs input cells 5 2 2 7" xfId="30440" xr:uid="{00000000-0005-0000-0000-00006C780000}"/>
    <cellStyle name="RIGs input cells 5 2 2 8" xfId="30441" xr:uid="{00000000-0005-0000-0000-00006D780000}"/>
    <cellStyle name="RIGs input cells 5 2 2 9" xfId="30442" xr:uid="{00000000-0005-0000-0000-00006E780000}"/>
    <cellStyle name="RIGs input cells 5 2 2_4 28 1_Asst_Health_Crit_AllTO_RIIO_20110714pm" xfId="30443" xr:uid="{00000000-0005-0000-0000-00006F780000}"/>
    <cellStyle name="RIGs input cells 5 2 20" xfId="30444" xr:uid="{00000000-0005-0000-0000-000070780000}"/>
    <cellStyle name="RIGs input cells 5 2 21" xfId="30445" xr:uid="{00000000-0005-0000-0000-000071780000}"/>
    <cellStyle name="RIGs input cells 5 2 22" xfId="30446" xr:uid="{00000000-0005-0000-0000-000072780000}"/>
    <cellStyle name="RIGs input cells 5 2 23" xfId="30447" xr:uid="{00000000-0005-0000-0000-000073780000}"/>
    <cellStyle name="RIGs input cells 5 2 24" xfId="30448" xr:uid="{00000000-0005-0000-0000-000074780000}"/>
    <cellStyle name="RIGs input cells 5 2 25" xfId="30449" xr:uid="{00000000-0005-0000-0000-000075780000}"/>
    <cellStyle name="RIGs input cells 5 2 26" xfId="30450" xr:uid="{00000000-0005-0000-0000-000076780000}"/>
    <cellStyle name="RIGs input cells 5 2 27" xfId="30451" xr:uid="{00000000-0005-0000-0000-000077780000}"/>
    <cellStyle name="RIGs input cells 5 2 28" xfId="30452" xr:uid="{00000000-0005-0000-0000-000078780000}"/>
    <cellStyle name="RIGs input cells 5 2 29" xfId="30453" xr:uid="{00000000-0005-0000-0000-000079780000}"/>
    <cellStyle name="RIGs input cells 5 2 3" xfId="30454" xr:uid="{00000000-0005-0000-0000-00007A780000}"/>
    <cellStyle name="RIGs input cells 5 2 3 10" xfId="30455" xr:uid="{00000000-0005-0000-0000-00007B780000}"/>
    <cellStyle name="RIGs input cells 5 2 3 11" xfId="30456" xr:uid="{00000000-0005-0000-0000-00007C780000}"/>
    <cellStyle name="RIGs input cells 5 2 3 12" xfId="30457" xr:uid="{00000000-0005-0000-0000-00007D780000}"/>
    <cellStyle name="RIGs input cells 5 2 3 13" xfId="30458" xr:uid="{00000000-0005-0000-0000-00007E780000}"/>
    <cellStyle name="RIGs input cells 5 2 3 14" xfId="30459" xr:uid="{00000000-0005-0000-0000-00007F780000}"/>
    <cellStyle name="RIGs input cells 5 2 3 15" xfId="30460" xr:uid="{00000000-0005-0000-0000-000080780000}"/>
    <cellStyle name="RIGs input cells 5 2 3 16" xfId="30461" xr:uid="{00000000-0005-0000-0000-000081780000}"/>
    <cellStyle name="RIGs input cells 5 2 3 17" xfId="30462" xr:uid="{00000000-0005-0000-0000-000082780000}"/>
    <cellStyle name="RIGs input cells 5 2 3 18" xfId="30463" xr:uid="{00000000-0005-0000-0000-000083780000}"/>
    <cellStyle name="RIGs input cells 5 2 3 19" xfId="30464" xr:uid="{00000000-0005-0000-0000-000084780000}"/>
    <cellStyle name="RIGs input cells 5 2 3 2" xfId="30465" xr:uid="{00000000-0005-0000-0000-000085780000}"/>
    <cellStyle name="RIGs input cells 5 2 3 2 10" xfId="30466" xr:uid="{00000000-0005-0000-0000-000086780000}"/>
    <cellStyle name="RIGs input cells 5 2 3 2 11" xfId="30467" xr:uid="{00000000-0005-0000-0000-000087780000}"/>
    <cellStyle name="RIGs input cells 5 2 3 2 12" xfId="30468" xr:uid="{00000000-0005-0000-0000-000088780000}"/>
    <cellStyle name="RIGs input cells 5 2 3 2 13" xfId="30469" xr:uid="{00000000-0005-0000-0000-000089780000}"/>
    <cellStyle name="RIGs input cells 5 2 3 2 2" xfId="30470" xr:uid="{00000000-0005-0000-0000-00008A780000}"/>
    <cellStyle name="RIGs input cells 5 2 3 2 3" xfId="30471" xr:uid="{00000000-0005-0000-0000-00008B780000}"/>
    <cellStyle name="RIGs input cells 5 2 3 2 4" xfId="30472" xr:uid="{00000000-0005-0000-0000-00008C780000}"/>
    <cellStyle name="RIGs input cells 5 2 3 2 5" xfId="30473" xr:uid="{00000000-0005-0000-0000-00008D780000}"/>
    <cellStyle name="RIGs input cells 5 2 3 2 6" xfId="30474" xr:uid="{00000000-0005-0000-0000-00008E780000}"/>
    <cellStyle name="RIGs input cells 5 2 3 2 7" xfId="30475" xr:uid="{00000000-0005-0000-0000-00008F780000}"/>
    <cellStyle name="RIGs input cells 5 2 3 2 8" xfId="30476" xr:uid="{00000000-0005-0000-0000-000090780000}"/>
    <cellStyle name="RIGs input cells 5 2 3 2 9" xfId="30477" xr:uid="{00000000-0005-0000-0000-000091780000}"/>
    <cellStyle name="RIGs input cells 5 2 3 20" xfId="30478" xr:uid="{00000000-0005-0000-0000-000092780000}"/>
    <cellStyle name="RIGs input cells 5 2 3 21" xfId="30479" xr:uid="{00000000-0005-0000-0000-000093780000}"/>
    <cellStyle name="RIGs input cells 5 2 3 22" xfId="30480" xr:uid="{00000000-0005-0000-0000-000094780000}"/>
    <cellStyle name="RIGs input cells 5 2 3 23" xfId="30481" xr:uid="{00000000-0005-0000-0000-000095780000}"/>
    <cellStyle name="RIGs input cells 5 2 3 24" xfId="30482" xr:uid="{00000000-0005-0000-0000-000096780000}"/>
    <cellStyle name="RIGs input cells 5 2 3 25" xfId="30483" xr:uid="{00000000-0005-0000-0000-000097780000}"/>
    <cellStyle name="RIGs input cells 5 2 3 26" xfId="30484" xr:uid="{00000000-0005-0000-0000-000098780000}"/>
    <cellStyle name="RIGs input cells 5 2 3 27" xfId="30485" xr:uid="{00000000-0005-0000-0000-000099780000}"/>
    <cellStyle name="RIGs input cells 5 2 3 28" xfId="30486" xr:uid="{00000000-0005-0000-0000-00009A780000}"/>
    <cellStyle name="RIGs input cells 5 2 3 29" xfId="30487" xr:uid="{00000000-0005-0000-0000-00009B780000}"/>
    <cellStyle name="RIGs input cells 5 2 3 3" xfId="30488" xr:uid="{00000000-0005-0000-0000-00009C780000}"/>
    <cellStyle name="RIGs input cells 5 2 3 30" xfId="30489" xr:uid="{00000000-0005-0000-0000-00009D780000}"/>
    <cellStyle name="RIGs input cells 5 2 3 31" xfId="30490" xr:uid="{00000000-0005-0000-0000-00009E780000}"/>
    <cellStyle name="RIGs input cells 5 2 3 32" xfId="30491" xr:uid="{00000000-0005-0000-0000-00009F780000}"/>
    <cellStyle name="RIGs input cells 5 2 3 33" xfId="30492" xr:uid="{00000000-0005-0000-0000-0000A0780000}"/>
    <cellStyle name="RIGs input cells 5 2 3 34" xfId="30493" xr:uid="{00000000-0005-0000-0000-0000A1780000}"/>
    <cellStyle name="RIGs input cells 5 2 3 4" xfId="30494" xr:uid="{00000000-0005-0000-0000-0000A2780000}"/>
    <cellStyle name="RIGs input cells 5 2 3 5" xfId="30495" xr:uid="{00000000-0005-0000-0000-0000A3780000}"/>
    <cellStyle name="RIGs input cells 5 2 3 6" xfId="30496" xr:uid="{00000000-0005-0000-0000-0000A4780000}"/>
    <cellStyle name="RIGs input cells 5 2 3 7" xfId="30497" xr:uid="{00000000-0005-0000-0000-0000A5780000}"/>
    <cellStyle name="RIGs input cells 5 2 3 8" xfId="30498" xr:uid="{00000000-0005-0000-0000-0000A6780000}"/>
    <cellStyle name="RIGs input cells 5 2 3 9" xfId="30499" xr:uid="{00000000-0005-0000-0000-0000A7780000}"/>
    <cellStyle name="RIGs input cells 5 2 30" xfId="30500" xr:uid="{00000000-0005-0000-0000-0000A8780000}"/>
    <cellStyle name="RIGs input cells 5 2 31" xfId="30501" xr:uid="{00000000-0005-0000-0000-0000A9780000}"/>
    <cellStyle name="RIGs input cells 5 2 32" xfId="30502" xr:uid="{00000000-0005-0000-0000-0000AA780000}"/>
    <cellStyle name="RIGs input cells 5 2 33" xfId="30503" xr:uid="{00000000-0005-0000-0000-0000AB780000}"/>
    <cellStyle name="RIGs input cells 5 2 34" xfId="30504" xr:uid="{00000000-0005-0000-0000-0000AC780000}"/>
    <cellStyle name="RIGs input cells 5 2 35" xfId="30505" xr:uid="{00000000-0005-0000-0000-0000AD780000}"/>
    <cellStyle name="RIGs input cells 5 2 36" xfId="30506" xr:uid="{00000000-0005-0000-0000-0000AE780000}"/>
    <cellStyle name="RIGs input cells 5 2 37" xfId="30507" xr:uid="{00000000-0005-0000-0000-0000AF780000}"/>
    <cellStyle name="RIGs input cells 5 2 38" xfId="30508" xr:uid="{00000000-0005-0000-0000-0000B0780000}"/>
    <cellStyle name="RIGs input cells 5 2 4" xfId="30509" xr:uid="{00000000-0005-0000-0000-0000B1780000}"/>
    <cellStyle name="RIGs input cells 5 2 4 10" xfId="30510" xr:uid="{00000000-0005-0000-0000-0000B2780000}"/>
    <cellStyle name="RIGs input cells 5 2 4 11" xfId="30511" xr:uid="{00000000-0005-0000-0000-0000B3780000}"/>
    <cellStyle name="RIGs input cells 5 2 4 12" xfId="30512" xr:uid="{00000000-0005-0000-0000-0000B4780000}"/>
    <cellStyle name="RIGs input cells 5 2 4 13" xfId="30513" xr:uid="{00000000-0005-0000-0000-0000B5780000}"/>
    <cellStyle name="RIGs input cells 5 2 4 14" xfId="30514" xr:uid="{00000000-0005-0000-0000-0000B6780000}"/>
    <cellStyle name="RIGs input cells 5 2 4 15" xfId="30515" xr:uid="{00000000-0005-0000-0000-0000B7780000}"/>
    <cellStyle name="RIGs input cells 5 2 4 16" xfId="30516" xr:uid="{00000000-0005-0000-0000-0000B8780000}"/>
    <cellStyle name="RIGs input cells 5 2 4 17" xfId="30517" xr:uid="{00000000-0005-0000-0000-0000B9780000}"/>
    <cellStyle name="RIGs input cells 5 2 4 18" xfId="30518" xr:uid="{00000000-0005-0000-0000-0000BA780000}"/>
    <cellStyle name="RIGs input cells 5 2 4 19" xfId="30519" xr:uid="{00000000-0005-0000-0000-0000BB780000}"/>
    <cellStyle name="RIGs input cells 5 2 4 2" xfId="30520" xr:uid="{00000000-0005-0000-0000-0000BC780000}"/>
    <cellStyle name="RIGs input cells 5 2 4 2 10" xfId="30521" xr:uid="{00000000-0005-0000-0000-0000BD780000}"/>
    <cellStyle name="RIGs input cells 5 2 4 2 11" xfId="30522" xr:uid="{00000000-0005-0000-0000-0000BE780000}"/>
    <cellStyle name="RIGs input cells 5 2 4 2 12" xfId="30523" xr:uid="{00000000-0005-0000-0000-0000BF780000}"/>
    <cellStyle name="RIGs input cells 5 2 4 2 13" xfId="30524" xr:uid="{00000000-0005-0000-0000-0000C0780000}"/>
    <cellStyle name="RIGs input cells 5 2 4 2 2" xfId="30525" xr:uid="{00000000-0005-0000-0000-0000C1780000}"/>
    <cellStyle name="RIGs input cells 5 2 4 2 3" xfId="30526" xr:uid="{00000000-0005-0000-0000-0000C2780000}"/>
    <cellStyle name="RIGs input cells 5 2 4 2 4" xfId="30527" xr:uid="{00000000-0005-0000-0000-0000C3780000}"/>
    <cellStyle name="RIGs input cells 5 2 4 2 5" xfId="30528" xr:uid="{00000000-0005-0000-0000-0000C4780000}"/>
    <cellStyle name="RIGs input cells 5 2 4 2 6" xfId="30529" xr:uid="{00000000-0005-0000-0000-0000C5780000}"/>
    <cellStyle name="RIGs input cells 5 2 4 2 7" xfId="30530" xr:uid="{00000000-0005-0000-0000-0000C6780000}"/>
    <cellStyle name="RIGs input cells 5 2 4 2 8" xfId="30531" xr:uid="{00000000-0005-0000-0000-0000C7780000}"/>
    <cellStyle name="RIGs input cells 5 2 4 2 9" xfId="30532" xr:uid="{00000000-0005-0000-0000-0000C8780000}"/>
    <cellStyle name="RIGs input cells 5 2 4 20" xfId="30533" xr:uid="{00000000-0005-0000-0000-0000C9780000}"/>
    <cellStyle name="RIGs input cells 5 2 4 21" xfId="30534" xr:uid="{00000000-0005-0000-0000-0000CA780000}"/>
    <cellStyle name="RIGs input cells 5 2 4 22" xfId="30535" xr:uid="{00000000-0005-0000-0000-0000CB780000}"/>
    <cellStyle name="RIGs input cells 5 2 4 23" xfId="30536" xr:uid="{00000000-0005-0000-0000-0000CC780000}"/>
    <cellStyle name="RIGs input cells 5 2 4 24" xfId="30537" xr:uid="{00000000-0005-0000-0000-0000CD780000}"/>
    <cellStyle name="RIGs input cells 5 2 4 25" xfId="30538" xr:uid="{00000000-0005-0000-0000-0000CE780000}"/>
    <cellStyle name="RIGs input cells 5 2 4 26" xfId="30539" xr:uid="{00000000-0005-0000-0000-0000CF780000}"/>
    <cellStyle name="RIGs input cells 5 2 4 27" xfId="30540" xr:uid="{00000000-0005-0000-0000-0000D0780000}"/>
    <cellStyle name="RIGs input cells 5 2 4 28" xfId="30541" xr:uid="{00000000-0005-0000-0000-0000D1780000}"/>
    <cellStyle name="RIGs input cells 5 2 4 29" xfId="30542" xr:uid="{00000000-0005-0000-0000-0000D2780000}"/>
    <cellStyle name="RIGs input cells 5 2 4 3" xfId="30543" xr:uid="{00000000-0005-0000-0000-0000D3780000}"/>
    <cellStyle name="RIGs input cells 5 2 4 30" xfId="30544" xr:uid="{00000000-0005-0000-0000-0000D4780000}"/>
    <cellStyle name="RIGs input cells 5 2 4 31" xfId="30545" xr:uid="{00000000-0005-0000-0000-0000D5780000}"/>
    <cellStyle name="RIGs input cells 5 2 4 32" xfId="30546" xr:uid="{00000000-0005-0000-0000-0000D6780000}"/>
    <cellStyle name="RIGs input cells 5 2 4 33" xfId="30547" xr:uid="{00000000-0005-0000-0000-0000D7780000}"/>
    <cellStyle name="RIGs input cells 5 2 4 34" xfId="30548" xr:uid="{00000000-0005-0000-0000-0000D8780000}"/>
    <cellStyle name="RIGs input cells 5 2 4 4" xfId="30549" xr:uid="{00000000-0005-0000-0000-0000D9780000}"/>
    <cellStyle name="RIGs input cells 5 2 4 5" xfId="30550" xr:uid="{00000000-0005-0000-0000-0000DA780000}"/>
    <cellStyle name="RIGs input cells 5 2 4 6" xfId="30551" xr:uid="{00000000-0005-0000-0000-0000DB780000}"/>
    <cellStyle name="RIGs input cells 5 2 4 7" xfId="30552" xr:uid="{00000000-0005-0000-0000-0000DC780000}"/>
    <cellStyle name="RIGs input cells 5 2 4 8" xfId="30553" xr:uid="{00000000-0005-0000-0000-0000DD780000}"/>
    <cellStyle name="RIGs input cells 5 2 4 9" xfId="30554" xr:uid="{00000000-0005-0000-0000-0000DE780000}"/>
    <cellStyle name="RIGs input cells 5 2 5" xfId="30555" xr:uid="{00000000-0005-0000-0000-0000DF780000}"/>
    <cellStyle name="RIGs input cells 5 2 5 10" xfId="30556" xr:uid="{00000000-0005-0000-0000-0000E0780000}"/>
    <cellStyle name="RIGs input cells 5 2 5 11" xfId="30557" xr:uid="{00000000-0005-0000-0000-0000E1780000}"/>
    <cellStyle name="RIGs input cells 5 2 5 12" xfId="30558" xr:uid="{00000000-0005-0000-0000-0000E2780000}"/>
    <cellStyle name="RIGs input cells 5 2 5 13" xfId="30559" xr:uid="{00000000-0005-0000-0000-0000E3780000}"/>
    <cellStyle name="RIGs input cells 5 2 5 2" xfId="30560" xr:uid="{00000000-0005-0000-0000-0000E4780000}"/>
    <cellStyle name="RIGs input cells 5 2 5 3" xfId="30561" xr:uid="{00000000-0005-0000-0000-0000E5780000}"/>
    <cellStyle name="RIGs input cells 5 2 5 4" xfId="30562" xr:uid="{00000000-0005-0000-0000-0000E6780000}"/>
    <cellStyle name="RIGs input cells 5 2 5 5" xfId="30563" xr:uid="{00000000-0005-0000-0000-0000E7780000}"/>
    <cellStyle name="RIGs input cells 5 2 5 6" xfId="30564" xr:uid="{00000000-0005-0000-0000-0000E8780000}"/>
    <cellStyle name="RIGs input cells 5 2 5 7" xfId="30565" xr:uid="{00000000-0005-0000-0000-0000E9780000}"/>
    <cellStyle name="RIGs input cells 5 2 5 8" xfId="30566" xr:uid="{00000000-0005-0000-0000-0000EA780000}"/>
    <cellStyle name="RIGs input cells 5 2 5 9" xfId="30567" xr:uid="{00000000-0005-0000-0000-0000EB780000}"/>
    <cellStyle name="RIGs input cells 5 2 6" xfId="30568" xr:uid="{00000000-0005-0000-0000-0000EC780000}"/>
    <cellStyle name="RIGs input cells 5 2 7" xfId="30569" xr:uid="{00000000-0005-0000-0000-0000ED780000}"/>
    <cellStyle name="RIGs input cells 5 2 8" xfId="30570" xr:uid="{00000000-0005-0000-0000-0000EE780000}"/>
    <cellStyle name="RIGs input cells 5 2 9" xfId="30571" xr:uid="{00000000-0005-0000-0000-0000EF780000}"/>
    <cellStyle name="RIGs input cells 5 2_4 28 1_Asst_Health_Crit_AllTO_RIIO_20110714pm" xfId="30572" xr:uid="{00000000-0005-0000-0000-0000F0780000}"/>
    <cellStyle name="RIGs input cells 5 20" xfId="30573" xr:uid="{00000000-0005-0000-0000-0000F1780000}"/>
    <cellStyle name="RIGs input cells 5 21" xfId="30574" xr:uid="{00000000-0005-0000-0000-0000F2780000}"/>
    <cellStyle name="RIGs input cells 5 22" xfId="30575" xr:uid="{00000000-0005-0000-0000-0000F3780000}"/>
    <cellStyle name="RIGs input cells 5 23" xfId="30576" xr:uid="{00000000-0005-0000-0000-0000F4780000}"/>
    <cellStyle name="RIGs input cells 5 24" xfId="30577" xr:uid="{00000000-0005-0000-0000-0000F5780000}"/>
    <cellStyle name="RIGs input cells 5 25" xfId="30578" xr:uid="{00000000-0005-0000-0000-0000F6780000}"/>
    <cellStyle name="RIGs input cells 5 26" xfId="30579" xr:uid="{00000000-0005-0000-0000-0000F7780000}"/>
    <cellStyle name="RIGs input cells 5 27" xfId="30580" xr:uid="{00000000-0005-0000-0000-0000F8780000}"/>
    <cellStyle name="RIGs input cells 5 28" xfId="30581" xr:uid="{00000000-0005-0000-0000-0000F9780000}"/>
    <cellStyle name="RIGs input cells 5 29" xfId="30582" xr:uid="{00000000-0005-0000-0000-0000FA780000}"/>
    <cellStyle name="RIGs input cells 5 3" xfId="30583" xr:uid="{00000000-0005-0000-0000-0000FB780000}"/>
    <cellStyle name="RIGs input cells 5 3 10" xfId="30584" xr:uid="{00000000-0005-0000-0000-0000FC780000}"/>
    <cellStyle name="RIGs input cells 5 3 11" xfId="30585" xr:uid="{00000000-0005-0000-0000-0000FD780000}"/>
    <cellStyle name="RIGs input cells 5 3 12" xfId="30586" xr:uid="{00000000-0005-0000-0000-0000FE780000}"/>
    <cellStyle name="RIGs input cells 5 3 13" xfId="30587" xr:uid="{00000000-0005-0000-0000-0000FF780000}"/>
    <cellStyle name="RIGs input cells 5 3 14" xfId="30588" xr:uid="{00000000-0005-0000-0000-000000790000}"/>
    <cellStyle name="RIGs input cells 5 3 15" xfId="30589" xr:uid="{00000000-0005-0000-0000-000001790000}"/>
    <cellStyle name="RIGs input cells 5 3 16" xfId="30590" xr:uid="{00000000-0005-0000-0000-000002790000}"/>
    <cellStyle name="RIGs input cells 5 3 17" xfId="30591" xr:uid="{00000000-0005-0000-0000-000003790000}"/>
    <cellStyle name="RIGs input cells 5 3 18" xfId="30592" xr:uid="{00000000-0005-0000-0000-000004790000}"/>
    <cellStyle name="RIGs input cells 5 3 19" xfId="30593" xr:uid="{00000000-0005-0000-0000-000005790000}"/>
    <cellStyle name="RIGs input cells 5 3 2" xfId="30594" xr:uid="{00000000-0005-0000-0000-000006790000}"/>
    <cellStyle name="RIGs input cells 5 3 2 10" xfId="30595" xr:uid="{00000000-0005-0000-0000-000007790000}"/>
    <cellStyle name="RIGs input cells 5 3 2 11" xfId="30596" xr:uid="{00000000-0005-0000-0000-000008790000}"/>
    <cellStyle name="RIGs input cells 5 3 2 12" xfId="30597" xr:uid="{00000000-0005-0000-0000-000009790000}"/>
    <cellStyle name="RIGs input cells 5 3 2 13" xfId="30598" xr:uid="{00000000-0005-0000-0000-00000A790000}"/>
    <cellStyle name="RIGs input cells 5 3 2 14" xfId="30599" xr:uid="{00000000-0005-0000-0000-00000B790000}"/>
    <cellStyle name="RIGs input cells 5 3 2 15" xfId="30600" xr:uid="{00000000-0005-0000-0000-00000C790000}"/>
    <cellStyle name="RIGs input cells 5 3 2 16" xfId="30601" xr:uid="{00000000-0005-0000-0000-00000D790000}"/>
    <cellStyle name="RIGs input cells 5 3 2 17" xfId="30602" xr:uid="{00000000-0005-0000-0000-00000E790000}"/>
    <cellStyle name="RIGs input cells 5 3 2 18" xfId="30603" xr:uid="{00000000-0005-0000-0000-00000F790000}"/>
    <cellStyle name="RIGs input cells 5 3 2 19" xfId="30604" xr:uid="{00000000-0005-0000-0000-000010790000}"/>
    <cellStyle name="RIGs input cells 5 3 2 2" xfId="30605" xr:uid="{00000000-0005-0000-0000-000011790000}"/>
    <cellStyle name="RIGs input cells 5 3 2 2 10" xfId="30606" xr:uid="{00000000-0005-0000-0000-000012790000}"/>
    <cellStyle name="RIGs input cells 5 3 2 2 11" xfId="30607" xr:uid="{00000000-0005-0000-0000-000013790000}"/>
    <cellStyle name="RIGs input cells 5 3 2 2 12" xfId="30608" xr:uid="{00000000-0005-0000-0000-000014790000}"/>
    <cellStyle name="RIGs input cells 5 3 2 2 13" xfId="30609" xr:uid="{00000000-0005-0000-0000-000015790000}"/>
    <cellStyle name="RIGs input cells 5 3 2 2 2" xfId="30610" xr:uid="{00000000-0005-0000-0000-000016790000}"/>
    <cellStyle name="RIGs input cells 5 3 2 2 3" xfId="30611" xr:uid="{00000000-0005-0000-0000-000017790000}"/>
    <cellStyle name="RIGs input cells 5 3 2 2 4" xfId="30612" xr:uid="{00000000-0005-0000-0000-000018790000}"/>
    <cellStyle name="RIGs input cells 5 3 2 2 5" xfId="30613" xr:uid="{00000000-0005-0000-0000-000019790000}"/>
    <cellStyle name="RIGs input cells 5 3 2 2 6" xfId="30614" xr:uid="{00000000-0005-0000-0000-00001A790000}"/>
    <cellStyle name="RIGs input cells 5 3 2 2 7" xfId="30615" xr:uid="{00000000-0005-0000-0000-00001B790000}"/>
    <cellStyle name="RIGs input cells 5 3 2 2 8" xfId="30616" xr:uid="{00000000-0005-0000-0000-00001C790000}"/>
    <cellStyle name="RIGs input cells 5 3 2 2 9" xfId="30617" xr:uid="{00000000-0005-0000-0000-00001D790000}"/>
    <cellStyle name="RIGs input cells 5 3 2 20" xfId="30618" xr:uid="{00000000-0005-0000-0000-00001E790000}"/>
    <cellStyle name="RIGs input cells 5 3 2 21" xfId="30619" xr:uid="{00000000-0005-0000-0000-00001F790000}"/>
    <cellStyle name="RIGs input cells 5 3 2 22" xfId="30620" xr:uid="{00000000-0005-0000-0000-000020790000}"/>
    <cellStyle name="RIGs input cells 5 3 2 23" xfId="30621" xr:uid="{00000000-0005-0000-0000-000021790000}"/>
    <cellStyle name="RIGs input cells 5 3 2 24" xfId="30622" xr:uid="{00000000-0005-0000-0000-000022790000}"/>
    <cellStyle name="RIGs input cells 5 3 2 25" xfId="30623" xr:uid="{00000000-0005-0000-0000-000023790000}"/>
    <cellStyle name="RIGs input cells 5 3 2 26" xfId="30624" xr:uid="{00000000-0005-0000-0000-000024790000}"/>
    <cellStyle name="RIGs input cells 5 3 2 27" xfId="30625" xr:uid="{00000000-0005-0000-0000-000025790000}"/>
    <cellStyle name="RIGs input cells 5 3 2 28" xfId="30626" xr:uid="{00000000-0005-0000-0000-000026790000}"/>
    <cellStyle name="RIGs input cells 5 3 2 29" xfId="30627" xr:uid="{00000000-0005-0000-0000-000027790000}"/>
    <cellStyle name="RIGs input cells 5 3 2 3" xfId="30628" xr:uid="{00000000-0005-0000-0000-000028790000}"/>
    <cellStyle name="RIGs input cells 5 3 2 30" xfId="30629" xr:uid="{00000000-0005-0000-0000-000029790000}"/>
    <cellStyle name="RIGs input cells 5 3 2 31" xfId="30630" xr:uid="{00000000-0005-0000-0000-00002A790000}"/>
    <cellStyle name="RIGs input cells 5 3 2 32" xfId="30631" xr:uid="{00000000-0005-0000-0000-00002B790000}"/>
    <cellStyle name="RIGs input cells 5 3 2 33" xfId="30632" xr:uid="{00000000-0005-0000-0000-00002C790000}"/>
    <cellStyle name="RIGs input cells 5 3 2 34" xfId="30633" xr:uid="{00000000-0005-0000-0000-00002D790000}"/>
    <cellStyle name="RIGs input cells 5 3 2 4" xfId="30634" xr:uid="{00000000-0005-0000-0000-00002E790000}"/>
    <cellStyle name="RIGs input cells 5 3 2 5" xfId="30635" xr:uid="{00000000-0005-0000-0000-00002F790000}"/>
    <cellStyle name="RIGs input cells 5 3 2 6" xfId="30636" xr:uid="{00000000-0005-0000-0000-000030790000}"/>
    <cellStyle name="RIGs input cells 5 3 2 7" xfId="30637" xr:uid="{00000000-0005-0000-0000-000031790000}"/>
    <cellStyle name="RIGs input cells 5 3 2 8" xfId="30638" xr:uid="{00000000-0005-0000-0000-000032790000}"/>
    <cellStyle name="RIGs input cells 5 3 2 9" xfId="30639" xr:uid="{00000000-0005-0000-0000-000033790000}"/>
    <cellStyle name="RIGs input cells 5 3 20" xfId="30640" xr:uid="{00000000-0005-0000-0000-000034790000}"/>
    <cellStyle name="RIGs input cells 5 3 21" xfId="30641" xr:uid="{00000000-0005-0000-0000-000035790000}"/>
    <cellStyle name="RIGs input cells 5 3 22" xfId="30642" xr:uid="{00000000-0005-0000-0000-000036790000}"/>
    <cellStyle name="RIGs input cells 5 3 23" xfId="30643" xr:uid="{00000000-0005-0000-0000-000037790000}"/>
    <cellStyle name="RIGs input cells 5 3 24" xfId="30644" xr:uid="{00000000-0005-0000-0000-000038790000}"/>
    <cellStyle name="RIGs input cells 5 3 25" xfId="30645" xr:uid="{00000000-0005-0000-0000-000039790000}"/>
    <cellStyle name="RIGs input cells 5 3 26" xfId="30646" xr:uid="{00000000-0005-0000-0000-00003A790000}"/>
    <cellStyle name="RIGs input cells 5 3 27" xfId="30647" xr:uid="{00000000-0005-0000-0000-00003B790000}"/>
    <cellStyle name="RIGs input cells 5 3 28" xfId="30648" xr:uid="{00000000-0005-0000-0000-00003C790000}"/>
    <cellStyle name="RIGs input cells 5 3 29" xfId="30649" xr:uid="{00000000-0005-0000-0000-00003D790000}"/>
    <cellStyle name="RIGs input cells 5 3 3" xfId="30650" xr:uid="{00000000-0005-0000-0000-00003E790000}"/>
    <cellStyle name="RIGs input cells 5 3 3 10" xfId="30651" xr:uid="{00000000-0005-0000-0000-00003F790000}"/>
    <cellStyle name="RIGs input cells 5 3 3 11" xfId="30652" xr:uid="{00000000-0005-0000-0000-000040790000}"/>
    <cellStyle name="RIGs input cells 5 3 3 12" xfId="30653" xr:uid="{00000000-0005-0000-0000-000041790000}"/>
    <cellStyle name="RIGs input cells 5 3 3 13" xfId="30654" xr:uid="{00000000-0005-0000-0000-000042790000}"/>
    <cellStyle name="RIGs input cells 5 3 3 2" xfId="30655" xr:uid="{00000000-0005-0000-0000-000043790000}"/>
    <cellStyle name="RIGs input cells 5 3 3 3" xfId="30656" xr:uid="{00000000-0005-0000-0000-000044790000}"/>
    <cellStyle name="RIGs input cells 5 3 3 4" xfId="30657" xr:uid="{00000000-0005-0000-0000-000045790000}"/>
    <cellStyle name="RIGs input cells 5 3 3 5" xfId="30658" xr:uid="{00000000-0005-0000-0000-000046790000}"/>
    <cellStyle name="RIGs input cells 5 3 3 6" xfId="30659" xr:uid="{00000000-0005-0000-0000-000047790000}"/>
    <cellStyle name="RIGs input cells 5 3 3 7" xfId="30660" xr:uid="{00000000-0005-0000-0000-000048790000}"/>
    <cellStyle name="RIGs input cells 5 3 3 8" xfId="30661" xr:uid="{00000000-0005-0000-0000-000049790000}"/>
    <cellStyle name="RIGs input cells 5 3 3 9" xfId="30662" xr:uid="{00000000-0005-0000-0000-00004A790000}"/>
    <cellStyle name="RIGs input cells 5 3 30" xfId="30663" xr:uid="{00000000-0005-0000-0000-00004B790000}"/>
    <cellStyle name="RIGs input cells 5 3 31" xfId="30664" xr:uid="{00000000-0005-0000-0000-00004C790000}"/>
    <cellStyle name="RIGs input cells 5 3 32" xfId="30665" xr:uid="{00000000-0005-0000-0000-00004D790000}"/>
    <cellStyle name="RIGs input cells 5 3 33" xfId="30666" xr:uid="{00000000-0005-0000-0000-00004E790000}"/>
    <cellStyle name="RIGs input cells 5 3 34" xfId="30667" xr:uid="{00000000-0005-0000-0000-00004F790000}"/>
    <cellStyle name="RIGs input cells 5 3 35" xfId="30668" xr:uid="{00000000-0005-0000-0000-000050790000}"/>
    <cellStyle name="RIGs input cells 5 3 4" xfId="30669" xr:uid="{00000000-0005-0000-0000-000051790000}"/>
    <cellStyle name="RIGs input cells 5 3 5" xfId="30670" xr:uid="{00000000-0005-0000-0000-000052790000}"/>
    <cellStyle name="RIGs input cells 5 3 6" xfId="30671" xr:uid="{00000000-0005-0000-0000-000053790000}"/>
    <cellStyle name="RIGs input cells 5 3 7" xfId="30672" xr:uid="{00000000-0005-0000-0000-000054790000}"/>
    <cellStyle name="RIGs input cells 5 3 8" xfId="30673" xr:uid="{00000000-0005-0000-0000-000055790000}"/>
    <cellStyle name="RIGs input cells 5 3 9" xfId="30674" xr:uid="{00000000-0005-0000-0000-000056790000}"/>
    <cellStyle name="RIGs input cells 5 3_4 28 1_Asst_Health_Crit_AllTO_RIIO_20110714pm" xfId="30675" xr:uid="{00000000-0005-0000-0000-000057790000}"/>
    <cellStyle name="RIGs input cells 5 30" xfId="30676" xr:uid="{00000000-0005-0000-0000-000058790000}"/>
    <cellStyle name="RIGs input cells 5 31" xfId="30677" xr:uid="{00000000-0005-0000-0000-000059790000}"/>
    <cellStyle name="RIGs input cells 5 32" xfId="30678" xr:uid="{00000000-0005-0000-0000-00005A790000}"/>
    <cellStyle name="RIGs input cells 5 33" xfId="30679" xr:uid="{00000000-0005-0000-0000-00005B790000}"/>
    <cellStyle name="RIGs input cells 5 34" xfId="30680" xr:uid="{00000000-0005-0000-0000-00005C790000}"/>
    <cellStyle name="RIGs input cells 5 35" xfId="30681" xr:uid="{00000000-0005-0000-0000-00005D790000}"/>
    <cellStyle name="RIGs input cells 5 36" xfId="30682" xr:uid="{00000000-0005-0000-0000-00005E790000}"/>
    <cellStyle name="RIGs input cells 5 37" xfId="30683" xr:uid="{00000000-0005-0000-0000-00005F790000}"/>
    <cellStyle name="RIGs input cells 5 38" xfId="30684" xr:uid="{00000000-0005-0000-0000-000060790000}"/>
    <cellStyle name="RIGs input cells 5 39" xfId="30685" xr:uid="{00000000-0005-0000-0000-000061790000}"/>
    <cellStyle name="RIGs input cells 5 4" xfId="30686" xr:uid="{00000000-0005-0000-0000-000062790000}"/>
    <cellStyle name="RIGs input cells 5 4 10" xfId="30687" xr:uid="{00000000-0005-0000-0000-000063790000}"/>
    <cellStyle name="RIGs input cells 5 4 11" xfId="30688" xr:uid="{00000000-0005-0000-0000-000064790000}"/>
    <cellStyle name="RIGs input cells 5 4 12" xfId="30689" xr:uid="{00000000-0005-0000-0000-000065790000}"/>
    <cellStyle name="RIGs input cells 5 4 13" xfId="30690" xr:uid="{00000000-0005-0000-0000-000066790000}"/>
    <cellStyle name="RIGs input cells 5 4 14" xfId="30691" xr:uid="{00000000-0005-0000-0000-000067790000}"/>
    <cellStyle name="RIGs input cells 5 4 15" xfId="30692" xr:uid="{00000000-0005-0000-0000-000068790000}"/>
    <cellStyle name="RIGs input cells 5 4 16" xfId="30693" xr:uid="{00000000-0005-0000-0000-000069790000}"/>
    <cellStyle name="RIGs input cells 5 4 17" xfId="30694" xr:uid="{00000000-0005-0000-0000-00006A790000}"/>
    <cellStyle name="RIGs input cells 5 4 18" xfId="30695" xr:uid="{00000000-0005-0000-0000-00006B790000}"/>
    <cellStyle name="RIGs input cells 5 4 19" xfId="30696" xr:uid="{00000000-0005-0000-0000-00006C790000}"/>
    <cellStyle name="RIGs input cells 5 4 2" xfId="30697" xr:uid="{00000000-0005-0000-0000-00006D790000}"/>
    <cellStyle name="RIGs input cells 5 4 2 10" xfId="30698" xr:uid="{00000000-0005-0000-0000-00006E790000}"/>
    <cellStyle name="RIGs input cells 5 4 2 11" xfId="30699" xr:uid="{00000000-0005-0000-0000-00006F790000}"/>
    <cellStyle name="RIGs input cells 5 4 2 12" xfId="30700" xr:uid="{00000000-0005-0000-0000-000070790000}"/>
    <cellStyle name="RIGs input cells 5 4 2 13" xfId="30701" xr:uid="{00000000-0005-0000-0000-000071790000}"/>
    <cellStyle name="RIGs input cells 5 4 2 2" xfId="30702" xr:uid="{00000000-0005-0000-0000-000072790000}"/>
    <cellStyle name="RIGs input cells 5 4 2 3" xfId="30703" xr:uid="{00000000-0005-0000-0000-000073790000}"/>
    <cellStyle name="RIGs input cells 5 4 2 4" xfId="30704" xr:uid="{00000000-0005-0000-0000-000074790000}"/>
    <cellStyle name="RIGs input cells 5 4 2 5" xfId="30705" xr:uid="{00000000-0005-0000-0000-000075790000}"/>
    <cellStyle name="RIGs input cells 5 4 2 6" xfId="30706" xr:uid="{00000000-0005-0000-0000-000076790000}"/>
    <cellStyle name="RIGs input cells 5 4 2 7" xfId="30707" xr:uid="{00000000-0005-0000-0000-000077790000}"/>
    <cellStyle name="RIGs input cells 5 4 2 8" xfId="30708" xr:uid="{00000000-0005-0000-0000-000078790000}"/>
    <cellStyle name="RIGs input cells 5 4 2 9" xfId="30709" xr:uid="{00000000-0005-0000-0000-000079790000}"/>
    <cellStyle name="RIGs input cells 5 4 20" xfId="30710" xr:uid="{00000000-0005-0000-0000-00007A790000}"/>
    <cellStyle name="RIGs input cells 5 4 21" xfId="30711" xr:uid="{00000000-0005-0000-0000-00007B790000}"/>
    <cellStyle name="RIGs input cells 5 4 22" xfId="30712" xr:uid="{00000000-0005-0000-0000-00007C790000}"/>
    <cellStyle name="RIGs input cells 5 4 23" xfId="30713" xr:uid="{00000000-0005-0000-0000-00007D790000}"/>
    <cellStyle name="RIGs input cells 5 4 24" xfId="30714" xr:uid="{00000000-0005-0000-0000-00007E790000}"/>
    <cellStyle name="RIGs input cells 5 4 25" xfId="30715" xr:uid="{00000000-0005-0000-0000-00007F790000}"/>
    <cellStyle name="RIGs input cells 5 4 26" xfId="30716" xr:uid="{00000000-0005-0000-0000-000080790000}"/>
    <cellStyle name="RIGs input cells 5 4 27" xfId="30717" xr:uid="{00000000-0005-0000-0000-000081790000}"/>
    <cellStyle name="RIGs input cells 5 4 28" xfId="30718" xr:uid="{00000000-0005-0000-0000-000082790000}"/>
    <cellStyle name="RIGs input cells 5 4 29" xfId="30719" xr:uid="{00000000-0005-0000-0000-000083790000}"/>
    <cellStyle name="RIGs input cells 5 4 3" xfId="30720" xr:uid="{00000000-0005-0000-0000-000084790000}"/>
    <cellStyle name="RIGs input cells 5 4 30" xfId="30721" xr:uid="{00000000-0005-0000-0000-000085790000}"/>
    <cellStyle name="RIGs input cells 5 4 31" xfId="30722" xr:uid="{00000000-0005-0000-0000-000086790000}"/>
    <cellStyle name="RIGs input cells 5 4 32" xfId="30723" xr:uid="{00000000-0005-0000-0000-000087790000}"/>
    <cellStyle name="RIGs input cells 5 4 33" xfId="30724" xr:uid="{00000000-0005-0000-0000-000088790000}"/>
    <cellStyle name="RIGs input cells 5 4 34" xfId="30725" xr:uid="{00000000-0005-0000-0000-000089790000}"/>
    <cellStyle name="RIGs input cells 5 4 4" xfId="30726" xr:uid="{00000000-0005-0000-0000-00008A790000}"/>
    <cellStyle name="RIGs input cells 5 4 5" xfId="30727" xr:uid="{00000000-0005-0000-0000-00008B790000}"/>
    <cellStyle name="RIGs input cells 5 4 6" xfId="30728" xr:uid="{00000000-0005-0000-0000-00008C790000}"/>
    <cellStyle name="RIGs input cells 5 4 7" xfId="30729" xr:uid="{00000000-0005-0000-0000-00008D790000}"/>
    <cellStyle name="RIGs input cells 5 4 8" xfId="30730" xr:uid="{00000000-0005-0000-0000-00008E790000}"/>
    <cellStyle name="RIGs input cells 5 4 9" xfId="30731" xr:uid="{00000000-0005-0000-0000-00008F790000}"/>
    <cellStyle name="RIGs input cells 5 40" xfId="30732" xr:uid="{00000000-0005-0000-0000-000090790000}"/>
    <cellStyle name="RIGs input cells 5 5" xfId="30733" xr:uid="{00000000-0005-0000-0000-000091790000}"/>
    <cellStyle name="RIGs input cells 5 5 10" xfId="30734" xr:uid="{00000000-0005-0000-0000-000092790000}"/>
    <cellStyle name="RIGs input cells 5 5 11" xfId="30735" xr:uid="{00000000-0005-0000-0000-000093790000}"/>
    <cellStyle name="RIGs input cells 5 5 12" xfId="30736" xr:uid="{00000000-0005-0000-0000-000094790000}"/>
    <cellStyle name="RIGs input cells 5 5 13" xfId="30737" xr:uid="{00000000-0005-0000-0000-000095790000}"/>
    <cellStyle name="RIGs input cells 5 5 14" xfId="30738" xr:uid="{00000000-0005-0000-0000-000096790000}"/>
    <cellStyle name="RIGs input cells 5 5 15" xfId="30739" xr:uid="{00000000-0005-0000-0000-000097790000}"/>
    <cellStyle name="RIGs input cells 5 5 16" xfId="30740" xr:uid="{00000000-0005-0000-0000-000098790000}"/>
    <cellStyle name="RIGs input cells 5 5 17" xfId="30741" xr:uid="{00000000-0005-0000-0000-000099790000}"/>
    <cellStyle name="RIGs input cells 5 5 18" xfId="30742" xr:uid="{00000000-0005-0000-0000-00009A790000}"/>
    <cellStyle name="RIGs input cells 5 5 19" xfId="30743" xr:uid="{00000000-0005-0000-0000-00009B790000}"/>
    <cellStyle name="RIGs input cells 5 5 2" xfId="30744" xr:uid="{00000000-0005-0000-0000-00009C790000}"/>
    <cellStyle name="RIGs input cells 5 5 2 10" xfId="30745" xr:uid="{00000000-0005-0000-0000-00009D790000}"/>
    <cellStyle name="RIGs input cells 5 5 2 11" xfId="30746" xr:uid="{00000000-0005-0000-0000-00009E790000}"/>
    <cellStyle name="RIGs input cells 5 5 2 12" xfId="30747" xr:uid="{00000000-0005-0000-0000-00009F790000}"/>
    <cellStyle name="RIGs input cells 5 5 2 13" xfId="30748" xr:uid="{00000000-0005-0000-0000-0000A0790000}"/>
    <cellStyle name="RIGs input cells 5 5 2 2" xfId="30749" xr:uid="{00000000-0005-0000-0000-0000A1790000}"/>
    <cellStyle name="RIGs input cells 5 5 2 3" xfId="30750" xr:uid="{00000000-0005-0000-0000-0000A2790000}"/>
    <cellStyle name="RIGs input cells 5 5 2 4" xfId="30751" xr:uid="{00000000-0005-0000-0000-0000A3790000}"/>
    <cellStyle name="RIGs input cells 5 5 2 5" xfId="30752" xr:uid="{00000000-0005-0000-0000-0000A4790000}"/>
    <cellStyle name="RIGs input cells 5 5 2 6" xfId="30753" xr:uid="{00000000-0005-0000-0000-0000A5790000}"/>
    <cellStyle name="RIGs input cells 5 5 2 7" xfId="30754" xr:uid="{00000000-0005-0000-0000-0000A6790000}"/>
    <cellStyle name="RIGs input cells 5 5 2 8" xfId="30755" xr:uid="{00000000-0005-0000-0000-0000A7790000}"/>
    <cellStyle name="RIGs input cells 5 5 2 9" xfId="30756" xr:uid="{00000000-0005-0000-0000-0000A8790000}"/>
    <cellStyle name="RIGs input cells 5 5 20" xfId="30757" xr:uid="{00000000-0005-0000-0000-0000A9790000}"/>
    <cellStyle name="RIGs input cells 5 5 21" xfId="30758" xr:uid="{00000000-0005-0000-0000-0000AA790000}"/>
    <cellStyle name="RIGs input cells 5 5 22" xfId="30759" xr:uid="{00000000-0005-0000-0000-0000AB790000}"/>
    <cellStyle name="RIGs input cells 5 5 23" xfId="30760" xr:uid="{00000000-0005-0000-0000-0000AC790000}"/>
    <cellStyle name="RIGs input cells 5 5 24" xfId="30761" xr:uid="{00000000-0005-0000-0000-0000AD790000}"/>
    <cellStyle name="RIGs input cells 5 5 25" xfId="30762" xr:uid="{00000000-0005-0000-0000-0000AE790000}"/>
    <cellStyle name="RIGs input cells 5 5 26" xfId="30763" xr:uid="{00000000-0005-0000-0000-0000AF790000}"/>
    <cellStyle name="RIGs input cells 5 5 27" xfId="30764" xr:uid="{00000000-0005-0000-0000-0000B0790000}"/>
    <cellStyle name="RIGs input cells 5 5 28" xfId="30765" xr:uid="{00000000-0005-0000-0000-0000B1790000}"/>
    <cellStyle name="RIGs input cells 5 5 29" xfId="30766" xr:uid="{00000000-0005-0000-0000-0000B2790000}"/>
    <cellStyle name="RIGs input cells 5 5 3" xfId="30767" xr:uid="{00000000-0005-0000-0000-0000B3790000}"/>
    <cellStyle name="RIGs input cells 5 5 30" xfId="30768" xr:uid="{00000000-0005-0000-0000-0000B4790000}"/>
    <cellStyle name="RIGs input cells 5 5 31" xfId="30769" xr:uid="{00000000-0005-0000-0000-0000B5790000}"/>
    <cellStyle name="RIGs input cells 5 5 32" xfId="30770" xr:uid="{00000000-0005-0000-0000-0000B6790000}"/>
    <cellStyle name="RIGs input cells 5 5 33" xfId="30771" xr:uid="{00000000-0005-0000-0000-0000B7790000}"/>
    <cellStyle name="RIGs input cells 5 5 34" xfId="30772" xr:uid="{00000000-0005-0000-0000-0000B8790000}"/>
    <cellStyle name="RIGs input cells 5 5 4" xfId="30773" xr:uid="{00000000-0005-0000-0000-0000B9790000}"/>
    <cellStyle name="RIGs input cells 5 5 5" xfId="30774" xr:uid="{00000000-0005-0000-0000-0000BA790000}"/>
    <cellStyle name="RIGs input cells 5 5 6" xfId="30775" xr:uid="{00000000-0005-0000-0000-0000BB790000}"/>
    <cellStyle name="RIGs input cells 5 5 7" xfId="30776" xr:uid="{00000000-0005-0000-0000-0000BC790000}"/>
    <cellStyle name="RIGs input cells 5 5 8" xfId="30777" xr:uid="{00000000-0005-0000-0000-0000BD790000}"/>
    <cellStyle name="RIGs input cells 5 5 9" xfId="30778" xr:uid="{00000000-0005-0000-0000-0000BE790000}"/>
    <cellStyle name="RIGs input cells 5 6" xfId="30779" xr:uid="{00000000-0005-0000-0000-0000BF790000}"/>
    <cellStyle name="RIGs input cells 5 6 10" xfId="30780" xr:uid="{00000000-0005-0000-0000-0000C0790000}"/>
    <cellStyle name="RIGs input cells 5 6 11" xfId="30781" xr:uid="{00000000-0005-0000-0000-0000C1790000}"/>
    <cellStyle name="RIGs input cells 5 6 12" xfId="30782" xr:uid="{00000000-0005-0000-0000-0000C2790000}"/>
    <cellStyle name="RIGs input cells 5 6 13" xfId="30783" xr:uid="{00000000-0005-0000-0000-0000C3790000}"/>
    <cellStyle name="RIGs input cells 5 6 2" xfId="30784" xr:uid="{00000000-0005-0000-0000-0000C4790000}"/>
    <cellStyle name="RIGs input cells 5 6 3" xfId="30785" xr:uid="{00000000-0005-0000-0000-0000C5790000}"/>
    <cellStyle name="RIGs input cells 5 6 4" xfId="30786" xr:uid="{00000000-0005-0000-0000-0000C6790000}"/>
    <cellStyle name="RIGs input cells 5 6 5" xfId="30787" xr:uid="{00000000-0005-0000-0000-0000C7790000}"/>
    <cellStyle name="RIGs input cells 5 6 6" xfId="30788" xr:uid="{00000000-0005-0000-0000-0000C8790000}"/>
    <cellStyle name="RIGs input cells 5 6 7" xfId="30789" xr:uid="{00000000-0005-0000-0000-0000C9790000}"/>
    <cellStyle name="RIGs input cells 5 6 8" xfId="30790" xr:uid="{00000000-0005-0000-0000-0000CA790000}"/>
    <cellStyle name="RIGs input cells 5 6 9" xfId="30791" xr:uid="{00000000-0005-0000-0000-0000CB790000}"/>
    <cellStyle name="RIGs input cells 5 7" xfId="30792" xr:uid="{00000000-0005-0000-0000-0000CC790000}"/>
    <cellStyle name="RIGs input cells 5 7 2" xfId="30793" xr:uid="{00000000-0005-0000-0000-0000CD790000}"/>
    <cellStyle name="RIGs input cells 5 8" xfId="30794" xr:uid="{00000000-0005-0000-0000-0000CE790000}"/>
    <cellStyle name="RIGs input cells 5 9" xfId="30795" xr:uid="{00000000-0005-0000-0000-0000CF790000}"/>
    <cellStyle name="RIGs input cells 5_1.3s Accounting C Costs Scots" xfId="30796" xr:uid="{00000000-0005-0000-0000-0000D0790000}"/>
    <cellStyle name="RIGs input cells 6" xfId="30797" xr:uid="{00000000-0005-0000-0000-0000D1790000}"/>
    <cellStyle name="RIGs input cells 6 10" xfId="30798" xr:uid="{00000000-0005-0000-0000-0000D2790000}"/>
    <cellStyle name="RIGs input cells 6 11" xfId="30799" xr:uid="{00000000-0005-0000-0000-0000D3790000}"/>
    <cellStyle name="RIGs input cells 6 12" xfId="30800" xr:uid="{00000000-0005-0000-0000-0000D4790000}"/>
    <cellStyle name="RIGs input cells 6 13" xfId="30801" xr:uid="{00000000-0005-0000-0000-0000D5790000}"/>
    <cellStyle name="RIGs input cells 6 14" xfId="30802" xr:uid="{00000000-0005-0000-0000-0000D6790000}"/>
    <cellStyle name="RIGs input cells 6 15" xfId="30803" xr:uid="{00000000-0005-0000-0000-0000D7790000}"/>
    <cellStyle name="RIGs input cells 6 16" xfId="30804" xr:uid="{00000000-0005-0000-0000-0000D8790000}"/>
    <cellStyle name="RIGs input cells 6 17" xfId="30805" xr:uid="{00000000-0005-0000-0000-0000D9790000}"/>
    <cellStyle name="RIGs input cells 6 18" xfId="30806" xr:uid="{00000000-0005-0000-0000-0000DA790000}"/>
    <cellStyle name="RIGs input cells 6 19" xfId="30807" xr:uid="{00000000-0005-0000-0000-0000DB790000}"/>
    <cellStyle name="RIGs input cells 6 2" xfId="30808" xr:uid="{00000000-0005-0000-0000-0000DC790000}"/>
    <cellStyle name="RIGs input cells 6 2 10" xfId="30809" xr:uid="{00000000-0005-0000-0000-0000DD790000}"/>
    <cellStyle name="RIGs input cells 6 2 11" xfId="30810" xr:uid="{00000000-0005-0000-0000-0000DE790000}"/>
    <cellStyle name="RIGs input cells 6 2 12" xfId="30811" xr:uid="{00000000-0005-0000-0000-0000DF790000}"/>
    <cellStyle name="RIGs input cells 6 2 13" xfId="30812" xr:uid="{00000000-0005-0000-0000-0000E0790000}"/>
    <cellStyle name="RIGs input cells 6 2 14" xfId="30813" xr:uid="{00000000-0005-0000-0000-0000E1790000}"/>
    <cellStyle name="RIGs input cells 6 2 15" xfId="30814" xr:uid="{00000000-0005-0000-0000-0000E2790000}"/>
    <cellStyle name="RIGs input cells 6 2 16" xfId="30815" xr:uid="{00000000-0005-0000-0000-0000E3790000}"/>
    <cellStyle name="RIGs input cells 6 2 17" xfId="30816" xr:uid="{00000000-0005-0000-0000-0000E4790000}"/>
    <cellStyle name="RIGs input cells 6 2 18" xfId="30817" xr:uid="{00000000-0005-0000-0000-0000E5790000}"/>
    <cellStyle name="RIGs input cells 6 2 19" xfId="30818" xr:uid="{00000000-0005-0000-0000-0000E6790000}"/>
    <cellStyle name="RIGs input cells 6 2 2" xfId="30819" xr:uid="{00000000-0005-0000-0000-0000E7790000}"/>
    <cellStyle name="RIGs input cells 6 2 2 10" xfId="30820" xr:uid="{00000000-0005-0000-0000-0000E8790000}"/>
    <cellStyle name="RIGs input cells 6 2 2 11" xfId="30821" xr:uid="{00000000-0005-0000-0000-0000E9790000}"/>
    <cellStyle name="RIGs input cells 6 2 2 12" xfId="30822" xr:uid="{00000000-0005-0000-0000-0000EA790000}"/>
    <cellStyle name="RIGs input cells 6 2 2 13" xfId="30823" xr:uid="{00000000-0005-0000-0000-0000EB790000}"/>
    <cellStyle name="RIGs input cells 6 2 2 14" xfId="30824" xr:uid="{00000000-0005-0000-0000-0000EC790000}"/>
    <cellStyle name="RIGs input cells 6 2 2 15" xfId="30825" xr:uid="{00000000-0005-0000-0000-0000ED790000}"/>
    <cellStyle name="RIGs input cells 6 2 2 16" xfId="30826" xr:uid="{00000000-0005-0000-0000-0000EE790000}"/>
    <cellStyle name="RIGs input cells 6 2 2 17" xfId="30827" xr:uid="{00000000-0005-0000-0000-0000EF790000}"/>
    <cellStyle name="RIGs input cells 6 2 2 18" xfId="30828" xr:uid="{00000000-0005-0000-0000-0000F0790000}"/>
    <cellStyle name="RIGs input cells 6 2 2 19" xfId="30829" xr:uid="{00000000-0005-0000-0000-0000F1790000}"/>
    <cellStyle name="RIGs input cells 6 2 2 2" xfId="30830" xr:uid="{00000000-0005-0000-0000-0000F2790000}"/>
    <cellStyle name="RIGs input cells 6 2 2 2 10" xfId="30831" xr:uid="{00000000-0005-0000-0000-0000F3790000}"/>
    <cellStyle name="RIGs input cells 6 2 2 2 11" xfId="30832" xr:uid="{00000000-0005-0000-0000-0000F4790000}"/>
    <cellStyle name="RIGs input cells 6 2 2 2 12" xfId="30833" xr:uid="{00000000-0005-0000-0000-0000F5790000}"/>
    <cellStyle name="RIGs input cells 6 2 2 2 13" xfId="30834" xr:uid="{00000000-0005-0000-0000-0000F6790000}"/>
    <cellStyle name="RIGs input cells 6 2 2 2 14" xfId="30835" xr:uid="{00000000-0005-0000-0000-0000F7790000}"/>
    <cellStyle name="RIGs input cells 6 2 2 2 15" xfId="30836" xr:uid="{00000000-0005-0000-0000-0000F8790000}"/>
    <cellStyle name="RIGs input cells 6 2 2 2 16" xfId="30837" xr:uid="{00000000-0005-0000-0000-0000F9790000}"/>
    <cellStyle name="RIGs input cells 6 2 2 2 17" xfId="30838" xr:uid="{00000000-0005-0000-0000-0000FA790000}"/>
    <cellStyle name="RIGs input cells 6 2 2 2 18" xfId="30839" xr:uid="{00000000-0005-0000-0000-0000FB790000}"/>
    <cellStyle name="RIGs input cells 6 2 2 2 19" xfId="30840" xr:uid="{00000000-0005-0000-0000-0000FC790000}"/>
    <cellStyle name="RIGs input cells 6 2 2 2 2" xfId="30841" xr:uid="{00000000-0005-0000-0000-0000FD790000}"/>
    <cellStyle name="RIGs input cells 6 2 2 2 2 10" xfId="30842" xr:uid="{00000000-0005-0000-0000-0000FE790000}"/>
    <cellStyle name="RIGs input cells 6 2 2 2 2 11" xfId="30843" xr:uid="{00000000-0005-0000-0000-0000FF790000}"/>
    <cellStyle name="RIGs input cells 6 2 2 2 2 12" xfId="30844" xr:uid="{00000000-0005-0000-0000-0000007A0000}"/>
    <cellStyle name="RIGs input cells 6 2 2 2 2 13" xfId="30845" xr:uid="{00000000-0005-0000-0000-0000017A0000}"/>
    <cellStyle name="RIGs input cells 6 2 2 2 2 2" xfId="30846" xr:uid="{00000000-0005-0000-0000-0000027A0000}"/>
    <cellStyle name="RIGs input cells 6 2 2 2 2 3" xfId="30847" xr:uid="{00000000-0005-0000-0000-0000037A0000}"/>
    <cellStyle name="RIGs input cells 6 2 2 2 2 4" xfId="30848" xr:uid="{00000000-0005-0000-0000-0000047A0000}"/>
    <cellStyle name="RIGs input cells 6 2 2 2 2 5" xfId="30849" xr:uid="{00000000-0005-0000-0000-0000057A0000}"/>
    <cellStyle name="RIGs input cells 6 2 2 2 2 6" xfId="30850" xr:uid="{00000000-0005-0000-0000-0000067A0000}"/>
    <cellStyle name="RIGs input cells 6 2 2 2 2 7" xfId="30851" xr:uid="{00000000-0005-0000-0000-0000077A0000}"/>
    <cellStyle name="RIGs input cells 6 2 2 2 2 8" xfId="30852" xr:uid="{00000000-0005-0000-0000-0000087A0000}"/>
    <cellStyle name="RIGs input cells 6 2 2 2 2 9" xfId="30853" xr:uid="{00000000-0005-0000-0000-0000097A0000}"/>
    <cellStyle name="RIGs input cells 6 2 2 2 20" xfId="30854" xr:uid="{00000000-0005-0000-0000-00000A7A0000}"/>
    <cellStyle name="RIGs input cells 6 2 2 2 21" xfId="30855" xr:uid="{00000000-0005-0000-0000-00000B7A0000}"/>
    <cellStyle name="RIGs input cells 6 2 2 2 22" xfId="30856" xr:uid="{00000000-0005-0000-0000-00000C7A0000}"/>
    <cellStyle name="RIGs input cells 6 2 2 2 23" xfId="30857" xr:uid="{00000000-0005-0000-0000-00000D7A0000}"/>
    <cellStyle name="RIGs input cells 6 2 2 2 24" xfId="30858" xr:uid="{00000000-0005-0000-0000-00000E7A0000}"/>
    <cellStyle name="RIGs input cells 6 2 2 2 25" xfId="30859" xr:uid="{00000000-0005-0000-0000-00000F7A0000}"/>
    <cellStyle name="RIGs input cells 6 2 2 2 26" xfId="30860" xr:uid="{00000000-0005-0000-0000-0000107A0000}"/>
    <cellStyle name="RIGs input cells 6 2 2 2 27" xfId="30861" xr:uid="{00000000-0005-0000-0000-0000117A0000}"/>
    <cellStyle name="RIGs input cells 6 2 2 2 28" xfId="30862" xr:uid="{00000000-0005-0000-0000-0000127A0000}"/>
    <cellStyle name="RIGs input cells 6 2 2 2 29" xfId="30863" xr:uid="{00000000-0005-0000-0000-0000137A0000}"/>
    <cellStyle name="RIGs input cells 6 2 2 2 3" xfId="30864" xr:uid="{00000000-0005-0000-0000-0000147A0000}"/>
    <cellStyle name="RIGs input cells 6 2 2 2 30" xfId="30865" xr:uid="{00000000-0005-0000-0000-0000157A0000}"/>
    <cellStyle name="RIGs input cells 6 2 2 2 31" xfId="30866" xr:uid="{00000000-0005-0000-0000-0000167A0000}"/>
    <cellStyle name="RIGs input cells 6 2 2 2 32" xfId="30867" xr:uid="{00000000-0005-0000-0000-0000177A0000}"/>
    <cellStyle name="RIGs input cells 6 2 2 2 33" xfId="30868" xr:uid="{00000000-0005-0000-0000-0000187A0000}"/>
    <cellStyle name="RIGs input cells 6 2 2 2 34" xfId="30869" xr:uid="{00000000-0005-0000-0000-0000197A0000}"/>
    <cellStyle name="RIGs input cells 6 2 2 2 4" xfId="30870" xr:uid="{00000000-0005-0000-0000-00001A7A0000}"/>
    <cellStyle name="RIGs input cells 6 2 2 2 5" xfId="30871" xr:uid="{00000000-0005-0000-0000-00001B7A0000}"/>
    <cellStyle name="RIGs input cells 6 2 2 2 6" xfId="30872" xr:uid="{00000000-0005-0000-0000-00001C7A0000}"/>
    <cellStyle name="RIGs input cells 6 2 2 2 7" xfId="30873" xr:uid="{00000000-0005-0000-0000-00001D7A0000}"/>
    <cellStyle name="RIGs input cells 6 2 2 2 8" xfId="30874" xr:uid="{00000000-0005-0000-0000-00001E7A0000}"/>
    <cellStyle name="RIGs input cells 6 2 2 2 9" xfId="30875" xr:uid="{00000000-0005-0000-0000-00001F7A0000}"/>
    <cellStyle name="RIGs input cells 6 2 2 20" xfId="30876" xr:uid="{00000000-0005-0000-0000-0000207A0000}"/>
    <cellStyle name="RIGs input cells 6 2 2 21" xfId="30877" xr:uid="{00000000-0005-0000-0000-0000217A0000}"/>
    <cellStyle name="RIGs input cells 6 2 2 22" xfId="30878" xr:uid="{00000000-0005-0000-0000-0000227A0000}"/>
    <cellStyle name="RIGs input cells 6 2 2 23" xfId="30879" xr:uid="{00000000-0005-0000-0000-0000237A0000}"/>
    <cellStyle name="RIGs input cells 6 2 2 24" xfId="30880" xr:uid="{00000000-0005-0000-0000-0000247A0000}"/>
    <cellStyle name="RIGs input cells 6 2 2 25" xfId="30881" xr:uid="{00000000-0005-0000-0000-0000257A0000}"/>
    <cellStyle name="RIGs input cells 6 2 2 26" xfId="30882" xr:uid="{00000000-0005-0000-0000-0000267A0000}"/>
    <cellStyle name="RIGs input cells 6 2 2 27" xfId="30883" xr:uid="{00000000-0005-0000-0000-0000277A0000}"/>
    <cellStyle name="RIGs input cells 6 2 2 28" xfId="30884" xr:uid="{00000000-0005-0000-0000-0000287A0000}"/>
    <cellStyle name="RIGs input cells 6 2 2 29" xfId="30885" xr:uid="{00000000-0005-0000-0000-0000297A0000}"/>
    <cellStyle name="RIGs input cells 6 2 2 3" xfId="30886" xr:uid="{00000000-0005-0000-0000-00002A7A0000}"/>
    <cellStyle name="RIGs input cells 6 2 2 3 10" xfId="30887" xr:uid="{00000000-0005-0000-0000-00002B7A0000}"/>
    <cellStyle name="RIGs input cells 6 2 2 3 11" xfId="30888" xr:uid="{00000000-0005-0000-0000-00002C7A0000}"/>
    <cellStyle name="RIGs input cells 6 2 2 3 12" xfId="30889" xr:uid="{00000000-0005-0000-0000-00002D7A0000}"/>
    <cellStyle name="RIGs input cells 6 2 2 3 13" xfId="30890" xr:uid="{00000000-0005-0000-0000-00002E7A0000}"/>
    <cellStyle name="RIGs input cells 6 2 2 3 2" xfId="30891" xr:uid="{00000000-0005-0000-0000-00002F7A0000}"/>
    <cellStyle name="RIGs input cells 6 2 2 3 3" xfId="30892" xr:uid="{00000000-0005-0000-0000-0000307A0000}"/>
    <cellStyle name="RIGs input cells 6 2 2 3 4" xfId="30893" xr:uid="{00000000-0005-0000-0000-0000317A0000}"/>
    <cellStyle name="RIGs input cells 6 2 2 3 5" xfId="30894" xr:uid="{00000000-0005-0000-0000-0000327A0000}"/>
    <cellStyle name="RIGs input cells 6 2 2 3 6" xfId="30895" xr:uid="{00000000-0005-0000-0000-0000337A0000}"/>
    <cellStyle name="RIGs input cells 6 2 2 3 7" xfId="30896" xr:uid="{00000000-0005-0000-0000-0000347A0000}"/>
    <cellStyle name="RIGs input cells 6 2 2 3 8" xfId="30897" xr:uid="{00000000-0005-0000-0000-0000357A0000}"/>
    <cellStyle name="RIGs input cells 6 2 2 3 9" xfId="30898" xr:uid="{00000000-0005-0000-0000-0000367A0000}"/>
    <cellStyle name="RIGs input cells 6 2 2 30" xfId="30899" xr:uid="{00000000-0005-0000-0000-0000377A0000}"/>
    <cellStyle name="RIGs input cells 6 2 2 31" xfId="30900" xr:uid="{00000000-0005-0000-0000-0000387A0000}"/>
    <cellStyle name="RIGs input cells 6 2 2 32" xfId="30901" xr:uid="{00000000-0005-0000-0000-0000397A0000}"/>
    <cellStyle name="RIGs input cells 6 2 2 33" xfId="30902" xr:uid="{00000000-0005-0000-0000-00003A7A0000}"/>
    <cellStyle name="RIGs input cells 6 2 2 34" xfId="30903" xr:uid="{00000000-0005-0000-0000-00003B7A0000}"/>
    <cellStyle name="RIGs input cells 6 2 2 35" xfId="30904" xr:uid="{00000000-0005-0000-0000-00003C7A0000}"/>
    <cellStyle name="RIGs input cells 6 2 2 4" xfId="30905" xr:uid="{00000000-0005-0000-0000-00003D7A0000}"/>
    <cellStyle name="RIGs input cells 6 2 2 5" xfId="30906" xr:uid="{00000000-0005-0000-0000-00003E7A0000}"/>
    <cellStyle name="RIGs input cells 6 2 2 6" xfId="30907" xr:uid="{00000000-0005-0000-0000-00003F7A0000}"/>
    <cellStyle name="RIGs input cells 6 2 2 7" xfId="30908" xr:uid="{00000000-0005-0000-0000-0000407A0000}"/>
    <cellStyle name="RIGs input cells 6 2 2 8" xfId="30909" xr:uid="{00000000-0005-0000-0000-0000417A0000}"/>
    <cellStyle name="RIGs input cells 6 2 2 9" xfId="30910" xr:uid="{00000000-0005-0000-0000-0000427A0000}"/>
    <cellStyle name="RIGs input cells 6 2 2_4 28 1_Asst_Health_Crit_AllTO_RIIO_20110714pm" xfId="30911" xr:uid="{00000000-0005-0000-0000-0000437A0000}"/>
    <cellStyle name="RIGs input cells 6 2 20" xfId="30912" xr:uid="{00000000-0005-0000-0000-0000447A0000}"/>
    <cellStyle name="RIGs input cells 6 2 21" xfId="30913" xr:uid="{00000000-0005-0000-0000-0000457A0000}"/>
    <cellStyle name="RIGs input cells 6 2 22" xfId="30914" xr:uid="{00000000-0005-0000-0000-0000467A0000}"/>
    <cellStyle name="RIGs input cells 6 2 23" xfId="30915" xr:uid="{00000000-0005-0000-0000-0000477A0000}"/>
    <cellStyle name="RIGs input cells 6 2 24" xfId="30916" xr:uid="{00000000-0005-0000-0000-0000487A0000}"/>
    <cellStyle name="RIGs input cells 6 2 25" xfId="30917" xr:uid="{00000000-0005-0000-0000-0000497A0000}"/>
    <cellStyle name="RIGs input cells 6 2 26" xfId="30918" xr:uid="{00000000-0005-0000-0000-00004A7A0000}"/>
    <cellStyle name="RIGs input cells 6 2 27" xfId="30919" xr:uid="{00000000-0005-0000-0000-00004B7A0000}"/>
    <cellStyle name="RIGs input cells 6 2 28" xfId="30920" xr:uid="{00000000-0005-0000-0000-00004C7A0000}"/>
    <cellStyle name="RIGs input cells 6 2 29" xfId="30921" xr:uid="{00000000-0005-0000-0000-00004D7A0000}"/>
    <cellStyle name="RIGs input cells 6 2 3" xfId="30922" xr:uid="{00000000-0005-0000-0000-00004E7A0000}"/>
    <cellStyle name="RIGs input cells 6 2 3 10" xfId="30923" xr:uid="{00000000-0005-0000-0000-00004F7A0000}"/>
    <cellStyle name="RIGs input cells 6 2 3 11" xfId="30924" xr:uid="{00000000-0005-0000-0000-0000507A0000}"/>
    <cellStyle name="RIGs input cells 6 2 3 12" xfId="30925" xr:uid="{00000000-0005-0000-0000-0000517A0000}"/>
    <cellStyle name="RIGs input cells 6 2 3 13" xfId="30926" xr:uid="{00000000-0005-0000-0000-0000527A0000}"/>
    <cellStyle name="RIGs input cells 6 2 3 14" xfId="30927" xr:uid="{00000000-0005-0000-0000-0000537A0000}"/>
    <cellStyle name="RIGs input cells 6 2 3 15" xfId="30928" xr:uid="{00000000-0005-0000-0000-0000547A0000}"/>
    <cellStyle name="RIGs input cells 6 2 3 16" xfId="30929" xr:uid="{00000000-0005-0000-0000-0000557A0000}"/>
    <cellStyle name="RIGs input cells 6 2 3 17" xfId="30930" xr:uid="{00000000-0005-0000-0000-0000567A0000}"/>
    <cellStyle name="RIGs input cells 6 2 3 18" xfId="30931" xr:uid="{00000000-0005-0000-0000-0000577A0000}"/>
    <cellStyle name="RIGs input cells 6 2 3 19" xfId="30932" xr:uid="{00000000-0005-0000-0000-0000587A0000}"/>
    <cellStyle name="RIGs input cells 6 2 3 2" xfId="30933" xr:uid="{00000000-0005-0000-0000-0000597A0000}"/>
    <cellStyle name="RIGs input cells 6 2 3 2 10" xfId="30934" xr:uid="{00000000-0005-0000-0000-00005A7A0000}"/>
    <cellStyle name="RIGs input cells 6 2 3 2 11" xfId="30935" xr:uid="{00000000-0005-0000-0000-00005B7A0000}"/>
    <cellStyle name="RIGs input cells 6 2 3 2 12" xfId="30936" xr:uid="{00000000-0005-0000-0000-00005C7A0000}"/>
    <cellStyle name="RIGs input cells 6 2 3 2 13" xfId="30937" xr:uid="{00000000-0005-0000-0000-00005D7A0000}"/>
    <cellStyle name="RIGs input cells 6 2 3 2 2" xfId="30938" xr:uid="{00000000-0005-0000-0000-00005E7A0000}"/>
    <cellStyle name="RIGs input cells 6 2 3 2 3" xfId="30939" xr:uid="{00000000-0005-0000-0000-00005F7A0000}"/>
    <cellStyle name="RIGs input cells 6 2 3 2 4" xfId="30940" xr:uid="{00000000-0005-0000-0000-0000607A0000}"/>
    <cellStyle name="RIGs input cells 6 2 3 2 5" xfId="30941" xr:uid="{00000000-0005-0000-0000-0000617A0000}"/>
    <cellStyle name="RIGs input cells 6 2 3 2 6" xfId="30942" xr:uid="{00000000-0005-0000-0000-0000627A0000}"/>
    <cellStyle name="RIGs input cells 6 2 3 2 7" xfId="30943" xr:uid="{00000000-0005-0000-0000-0000637A0000}"/>
    <cellStyle name="RIGs input cells 6 2 3 2 8" xfId="30944" xr:uid="{00000000-0005-0000-0000-0000647A0000}"/>
    <cellStyle name="RIGs input cells 6 2 3 2 9" xfId="30945" xr:uid="{00000000-0005-0000-0000-0000657A0000}"/>
    <cellStyle name="RIGs input cells 6 2 3 20" xfId="30946" xr:uid="{00000000-0005-0000-0000-0000667A0000}"/>
    <cellStyle name="RIGs input cells 6 2 3 21" xfId="30947" xr:uid="{00000000-0005-0000-0000-0000677A0000}"/>
    <cellStyle name="RIGs input cells 6 2 3 22" xfId="30948" xr:uid="{00000000-0005-0000-0000-0000687A0000}"/>
    <cellStyle name="RIGs input cells 6 2 3 23" xfId="30949" xr:uid="{00000000-0005-0000-0000-0000697A0000}"/>
    <cellStyle name="RIGs input cells 6 2 3 24" xfId="30950" xr:uid="{00000000-0005-0000-0000-00006A7A0000}"/>
    <cellStyle name="RIGs input cells 6 2 3 25" xfId="30951" xr:uid="{00000000-0005-0000-0000-00006B7A0000}"/>
    <cellStyle name="RIGs input cells 6 2 3 26" xfId="30952" xr:uid="{00000000-0005-0000-0000-00006C7A0000}"/>
    <cellStyle name="RIGs input cells 6 2 3 27" xfId="30953" xr:uid="{00000000-0005-0000-0000-00006D7A0000}"/>
    <cellStyle name="RIGs input cells 6 2 3 28" xfId="30954" xr:uid="{00000000-0005-0000-0000-00006E7A0000}"/>
    <cellStyle name="RIGs input cells 6 2 3 29" xfId="30955" xr:uid="{00000000-0005-0000-0000-00006F7A0000}"/>
    <cellStyle name="RIGs input cells 6 2 3 3" xfId="30956" xr:uid="{00000000-0005-0000-0000-0000707A0000}"/>
    <cellStyle name="RIGs input cells 6 2 3 30" xfId="30957" xr:uid="{00000000-0005-0000-0000-0000717A0000}"/>
    <cellStyle name="RIGs input cells 6 2 3 31" xfId="30958" xr:uid="{00000000-0005-0000-0000-0000727A0000}"/>
    <cellStyle name="RIGs input cells 6 2 3 32" xfId="30959" xr:uid="{00000000-0005-0000-0000-0000737A0000}"/>
    <cellStyle name="RIGs input cells 6 2 3 33" xfId="30960" xr:uid="{00000000-0005-0000-0000-0000747A0000}"/>
    <cellStyle name="RIGs input cells 6 2 3 34" xfId="30961" xr:uid="{00000000-0005-0000-0000-0000757A0000}"/>
    <cellStyle name="RIGs input cells 6 2 3 4" xfId="30962" xr:uid="{00000000-0005-0000-0000-0000767A0000}"/>
    <cellStyle name="RIGs input cells 6 2 3 5" xfId="30963" xr:uid="{00000000-0005-0000-0000-0000777A0000}"/>
    <cellStyle name="RIGs input cells 6 2 3 6" xfId="30964" xr:uid="{00000000-0005-0000-0000-0000787A0000}"/>
    <cellStyle name="RIGs input cells 6 2 3 7" xfId="30965" xr:uid="{00000000-0005-0000-0000-0000797A0000}"/>
    <cellStyle name="RIGs input cells 6 2 3 8" xfId="30966" xr:uid="{00000000-0005-0000-0000-00007A7A0000}"/>
    <cellStyle name="RIGs input cells 6 2 3 9" xfId="30967" xr:uid="{00000000-0005-0000-0000-00007B7A0000}"/>
    <cellStyle name="RIGs input cells 6 2 30" xfId="30968" xr:uid="{00000000-0005-0000-0000-00007C7A0000}"/>
    <cellStyle name="RIGs input cells 6 2 31" xfId="30969" xr:uid="{00000000-0005-0000-0000-00007D7A0000}"/>
    <cellStyle name="RIGs input cells 6 2 32" xfId="30970" xr:uid="{00000000-0005-0000-0000-00007E7A0000}"/>
    <cellStyle name="RIGs input cells 6 2 33" xfId="30971" xr:uid="{00000000-0005-0000-0000-00007F7A0000}"/>
    <cellStyle name="RIGs input cells 6 2 34" xfId="30972" xr:uid="{00000000-0005-0000-0000-0000807A0000}"/>
    <cellStyle name="RIGs input cells 6 2 35" xfId="30973" xr:uid="{00000000-0005-0000-0000-0000817A0000}"/>
    <cellStyle name="RIGs input cells 6 2 36" xfId="30974" xr:uid="{00000000-0005-0000-0000-0000827A0000}"/>
    <cellStyle name="RIGs input cells 6 2 37" xfId="30975" xr:uid="{00000000-0005-0000-0000-0000837A0000}"/>
    <cellStyle name="RIGs input cells 6 2 38" xfId="30976" xr:uid="{00000000-0005-0000-0000-0000847A0000}"/>
    <cellStyle name="RIGs input cells 6 2 4" xfId="30977" xr:uid="{00000000-0005-0000-0000-0000857A0000}"/>
    <cellStyle name="RIGs input cells 6 2 4 10" xfId="30978" xr:uid="{00000000-0005-0000-0000-0000867A0000}"/>
    <cellStyle name="RIGs input cells 6 2 4 11" xfId="30979" xr:uid="{00000000-0005-0000-0000-0000877A0000}"/>
    <cellStyle name="RIGs input cells 6 2 4 12" xfId="30980" xr:uid="{00000000-0005-0000-0000-0000887A0000}"/>
    <cellStyle name="RIGs input cells 6 2 4 13" xfId="30981" xr:uid="{00000000-0005-0000-0000-0000897A0000}"/>
    <cellStyle name="RIGs input cells 6 2 4 14" xfId="30982" xr:uid="{00000000-0005-0000-0000-00008A7A0000}"/>
    <cellStyle name="RIGs input cells 6 2 4 15" xfId="30983" xr:uid="{00000000-0005-0000-0000-00008B7A0000}"/>
    <cellStyle name="RIGs input cells 6 2 4 16" xfId="30984" xr:uid="{00000000-0005-0000-0000-00008C7A0000}"/>
    <cellStyle name="RIGs input cells 6 2 4 17" xfId="30985" xr:uid="{00000000-0005-0000-0000-00008D7A0000}"/>
    <cellStyle name="RIGs input cells 6 2 4 18" xfId="30986" xr:uid="{00000000-0005-0000-0000-00008E7A0000}"/>
    <cellStyle name="RIGs input cells 6 2 4 19" xfId="30987" xr:uid="{00000000-0005-0000-0000-00008F7A0000}"/>
    <cellStyle name="RIGs input cells 6 2 4 2" xfId="30988" xr:uid="{00000000-0005-0000-0000-0000907A0000}"/>
    <cellStyle name="RIGs input cells 6 2 4 2 10" xfId="30989" xr:uid="{00000000-0005-0000-0000-0000917A0000}"/>
    <cellStyle name="RIGs input cells 6 2 4 2 11" xfId="30990" xr:uid="{00000000-0005-0000-0000-0000927A0000}"/>
    <cellStyle name="RIGs input cells 6 2 4 2 12" xfId="30991" xr:uid="{00000000-0005-0000-0000-0000937A0000}"/>
    <cellStyle name="RIGs input cells 6 2 4 2 13" xfId="30992" xr:uid="{00000000-0005-0000-0000-0000947A0000}"/>
    <cellStyle name="RIGs input cells 6 2 4 2 2" xfId="30993" xr:uid="{00000000-0005-0000-0000-0000957A0000}"/>
    <cellStyle name="RIGs input cells 6 2 4 2 3" xfId="30994" xr:uid="{00000000-0005-0000-0000-0000967A0000}"/>
    <cellStyle name="RIGs input cells 6 2 4 2 4" xfId="30995" xr:uid="{00000000-0005-0000-0000-0000977A0000}"/>
    <cellStyle name="RIGs input cells 6 2 4 2 5" xfId="30996" xr:uid="{00000000-0005-0000-0000-0000987A0000}"/>
    <cellStyle name="RIGs input cells 6 2 4 2 6" xfId="30997" xr:uid="{00000000-0005-0000-0000-0000997A0000}"/>
    <cellStyle name="RIGs input cells 6 2 4 2 7" xfId="30998" xr:uid="{00000000-0005-0000-0000-00009A7A0000}"/>
    <cellStyle name="RIGs input cells 6 2 4 2 8" xfId="30999" xr:uid="{00000000-0005-0000-0000-00009B7A0000}"/>
    <cellStyle name="RIGs input cells 6 2 4 2 9" xfId="31000" xr:uid="{00000000-0005-0000-0000-00009C7A0000}"/>
    <cellStyle name="RIGs input cells 6 2 4 20" xfId="31001" xr:uid="{00000000-0005-0000-0000-00009D7A0000}"/>
    <cellStyle name="RIGs input cells 6 2 4 21" xfId="31002" xr:uid="{00000000-0005-0000-0000-00009E7A0000}"/>
    <cellStyle name="RIGs input cells 6 2 4 22" xfId="31003" xr:uid="{00000000-0005-0000-0000-00009F7A0000}"/>
    <cellStyle name="RIGs input cells 6 2 4 23" xfId="31004" xr:uid="{00000000-0005-0000-0000-0000A07A0000}"/>
    <cellStyle name="RIGs input cells 6 2 4 24" xfId="31005" xr:uid="{00000000-0005-0000-0000-0000A17A0000}"/>
    <cellStyle name="RIGs input cells 6 2 4 25" xfId="31006" xr:uid="{00000000-0005-0000-0000-0000A27A0000}"/>
    <cellStyle name="RIGs input cells 6 2 4 26" xfId="31007" xr:uid="{00000000-0005-0000-0000-0000A37A0000}"/>
    <cellStyle name="RIGs input cells 6 2 4 27" xfId="31008" xr:uid="{00000000-0005-0000-0000-0000A47A0000}"/>
    <cellStyle name="RIGs input cells 6 2 4 28" xfId="31009" xr:uid="{00000000-0005-0000-0000-0000A57A0000}"/>
    <cellStyle name="RIGs input cells 6 2 4 29" xfId="31010" xr:uid="{00000000-0005-0000-0000-0000A67A0000}"/>
    <cellStyle name="RIGs input cells 6 2 4 3" xfId="31011" xr:uid="{00000000-0005-0000-0000-0000A77A0000}"/>
    <cellStyle name="RIGs input cells 6 2 4 30" xfId="31012" xr:uid="{00000000-0005-0000-0000-0000A87A0000}"/>
    <cellStyle name="RIGs input cells 6 2 4 31" xfId="31013" xr:uid="{00000000-0005-0000-0000-0000A97A0000}"/>
    <cellStyle name="RIGs input cells 6 2 4 32" xfId="31014" xr:uid="{00000000-0005-0000-0000-0000AA7A0000}"/>
    <cellStyle name="RIGs input cells 6 2 4 33" xfId="31015" xr:uid="{00000000-0005-0000-0000-0000AB7A0000}"/>
    <cellStyle name="RIGs input cells 6 2 4 34" xfId="31016" xr:uid="{00000000-0005-0000-0000-0000AC7A0000}"/>
    <cellStyle name="RIGs input cells 6 2 4 4" xfId="31017" xr:uid="{00000000-0005-0000-0000-0000AD7A0000}"/>
    <cellStyle name="RIGs input cells 6 2 4 5" xfId="31018" xr:uid="{00000000-0005-0000-0000-0000AE7A0000}"/>
    <cellStyle name="RIGs input cells 6 2 4 6" xfId="31019" xr:uid="{00000000-0005-0000-0000-0000AF7A0000}"/>
    <cellStyle name="RIGs input cells 6 2 4 7" xfId="31020" xr:uid="{00000000-0005-0000-0000-0000B07A0000}"/>
    <cellStyle name="RIGs input cells 6 2 4 8" xfId="31021" xr:uid="{00000000-0005-0000-0000-0000B17A0000}"/>
    <cellStyle name="RIGs input cells 6 2 4 9" xfId="31022" xr:uid="{00000000-0005-0000-0000-0000B27A0000}"/>
    <cellStyle name="RIGs input cells 6 2 5" xfId="31023" xr:uid="{00000000-0005-0000-0000-0000B37A0000}"/>
    <cellStyle name="RIGs input cells 6 2 5 10" xfId="31024" xr:uid="{00000000-0005-0000-0000-0000B47A0000}"/>
    <cellStyle name="RIGs input cells 6 2 5 11" xfId="31025" xr:uid="{00000000-0005-0000-0000-0000B57A0000}"/>
    <cellStyle name="RIGs input cells 6 2 5 12" xfId="31026" xr:uid="{00000000-0005-0000-0000-0000B67A0000}"/>
    <cellStyle name="RIGs input cells 6 2 5 13" xfId="31027" xr:uid="{00000000-0005-0000-0000-0000B77A0000}"/>
    <cellStyle name="RIGs input cells 6 2 5 2" xfId="31028" xr:uid="{00000000-0005-0000-0000-0000B87A0000}"/>
    <cellStyle name="RIGs input cells 6 2 5 3" xfId="31029" xr:uid="{00000000-0005-0000-0000-0000B97A0000}"/>
    <cellStyle name="RIGs input cells 6 2 5 4" xfId="31030" xr:uid="{00000000-0005-0000-0000-0000BA7A0000}"/>
    <cellStyle name="RIGs input cells 6 2 5 5" xfId="31031" xr:uid="{00000000-0005-0000-0000-0000BB7A0000}"/>
    <cellStyle name="RIGs input cells 6 2 5 6" xfId="31032" xr:uid="{00000000-0005-0000-0000-0000BC7A0000}"/>
    <cellStyle name="RIGs input cells 6 2 5 7" xfId="31033" xr:uid="{00000000-0005-0000-0000-0000BD7A0000}"/>
    <cellStyle name="RIGs input cells 6 2 5 8" xfId="31034" xr:uid="{00000000-0005-0000-0000-0000BE7A0000}"/>
    <cellStyle name="RIGs input cells 6 2 5 9" xfId="31035" xr:uid="{00000000-0005-0000-0000-0000BF7A0000}"/>
    <cellStyle name="RIGs input cells 6 2 6" xfId="31036" xr:uid="{00000000-0005-0000-0000-0000C07A0000}"/>
    <cellStyle name="RIGs input cells 6 2 7" xfId="31037" xr:uid="{00000000-0005-0000-0000-0000C17A0000}"/>
    <cellStyle name="RIGs input cells 6 2 8" xfId="31038" xr:uid="{00000000-0005-0000-0000-0000C27A0000}"/>
    <cellStyle name="RIGs input cells 6 2 9" xfId="31039" xr:uid="{00000000-0005-0000-0000-0000C37A0000}"/>
    <cellStyle name="RIGs input cells 6 2_4 28 1_Asst_Health_Crit_AllTO_RIIO_20110714pm" xfId="31040" xr:uid="{00000000-0005-0000-0000-0000C47A0000}"/>
    <cellStyle name="RIGs input cells 6 20" xfId="31041" xr:uid="{00000000-0005-0000-0000-0000C57A0000}"/>
    <cellStyle name="RIGs input cells 6 21" xfId="31042" xr:uid="{00000000-0005-0000-0000-0000C67A0000}"/>
    <cellStyle name="RIGs input cells 6 22" xfId="31043" xr:uid="{00000000-0005-0000-0000-0000C77A0000}"/>
    <cellStyle name="RIGs input cells 6 23" xfId="31044" xr:uid="{00000000-0005-0000-0000-0000C87A0000}"/>
    <cellStyle name="RIGs input cells 6 24" xfId="31045" xr:uid="{00000000-0005-0000-0000-0000C97A0000}"/>
    <cellStyle name="RIGs input cells 6 25" xfId="31046" xr:uid="{00000000-0005-0000-0000-0000CA7A0000}"/>
    <cellStyle name="RIGs input cells 6 26" xfId="31047" xr:uid="{00000000-0005-0000-0000-0000CB7A0000}"/>
    <cellStyle name="RIGs input cells 6 27" xfId="31048" xr:uid="{00000000-0005-0000-0000-0000CC7A0000}"/>
    <cellStyle name="RIGs input cells 6 28" xfId="31049" xr:uid="{00000000-0005-0000-0000-0000CD7A0000}"/>
    <cellStyle name="RIGs input cells 6 29" xfId="31050" xr:uid="{00000000-0005-0000-0000-0000CE7A0000}"/>
    <cellStyle name="RIGs input cells 6 3" xfId="31051" xr:uid="{00000000-0005-0000-0000-0000CF7A0000}"/>
    <cellStyle name="RIGs input cells 6 3 10" xfId="31052" xr:uid="{00000000-0005-0000-0000-0000D07A0000}"/>
    <cellStyle name="RIGs input cells 6 3 11" xfId="31053" xr:uid="{00000000-0005-0000-0000-0000D17A0000}"/>
    <cellStyle name="RIGs input cells 6 3 12" xfId="31054" xr:uid="{00000000-0005-0000-0000-0000D27A0000}"/>
    <cellStyle name="RIGs input cells 6 3 13" xfId="31055" xr:uid="{00000000-0005-0000-0000-0000D37A0000}"/>
    <cellStyle name="RIGs input cells 6 3 14" xfId="31056" xr:uid="{00000000-0005-0000-0000-0000D47A0000}"/>
    <cellStyle name="RIGs input cells 6 3 15" xfId="31057" xr:uid="{00000000-0005-0000-0000-0000D57A0000}"/>
    <cellStyle name="RIGs input cells 6 3 16" xfId="31058" xr:uid="{00000000-0005-0000-0000-0000D67A0000}"/>
    <cellStyle name="RIGs input cells 6 3 17" xfId="31059" xr:uid="{00000000-0005-0000-0000-0000D77A0000}"/>
    <cellStyle name="RIGs input cells 6 3 18" xfId="31060" xr:uid="{00000000-0005-0000-0000-0000D87A0000}"/>
    <cellStyle name="RIGs input cells 6 3 19" xfId="31061" xr:uid="{00000000-0005-0000-0000-0000D97A0000}"/>
    <cellStyle name="RIGs input cells 6 3 2" xfId="31062" xr:uid="{00000000-0005-0000-0000-0000DA7A0000}"/>
    <cellStyle name="RIGs input cells 6 3 2 10" xfId="31063" xr:uid="{00000000-0005-0000-0000-0000DB7A0000}"/>
    <cellStyle name="RIGs input cells 6 3 2 11" xfId="31064" xr:uid="{00000000-0005-0000-0000-0000DC7A0000}"/>
    <cellStyle name="RIGs input cells 6 3 2 12" xfId="31065" xr:uid="{00000000-0005-0000-0000-0000DD7A0000}"/>
    <cellStyle name="RIGs input cells 6 3 2 13" xfId="31066" xr:uid="{00000000-0005-0000-0000-0000DE7A0000}"/>
    <cellStyle name="RIGs input cells 6 3 2 14" xfId="31067" xr:uid="{00000000-0005-0000-0000-0000DF7A0000}"/>
    <cellStyle name="RIGs input cells 6 3 2 15" xfId="31068" xr:uid="{00000000-0005-0000-0000-0000E07A0000}"/>
    <cellStyle name="RIGs input cells 6 3 2 16" xfId="31069" xr:uid="{00000000-0005-0000-0000-0000E17A0000}"/>
    <cellStyle name="RIGs input cells 6 3 2 17" xfId="31070" xr:uid="{00000000-0005-0000-0000-0000E27A0000}"/>
    <cellStyle name="RIGs input cells 6 3 2 18" xfId="31071" xr:uid="{00000000-0005-0000-0000-0000E37A0000}"/>
    <cellStyle name="RIGs input cells 6 3 2 19" xfId="31072" xr:uid="{00000000-0005-0000-0000-0000E47A0000}"/>
    <cellStyle name="RIGs input cells 6 3 2 2" xfId="31073" xr:uid="{00000000-0005-0000-0000-0000E57A0000}"/>
    <cellStyle name="RIGs input cells 6 3 2 2 10" xfId="31074" xr:uid="{00000000-0005-0000-0000-0000E67A0000}"/>
    <cellStyle name="RIGs input cells 6 3 2 2 11" xfId="31075" xr:uid="{00000000-0005-0000-0000-0000E77A0000}"/>
    <cellStyle name="RIGs input cells 6 3 2 2 12" xfId="31076" xr:uid="{00000000-0005-0000-0000-0000E87A0000}"/>
    <cellStyle name="RIGs input cells 6 3 2 2 13" xfId="31077" xr:uid="{00000000-0005-0000-0000-0000E97A0000}"/>
    <cellStyle name="RIGs input cells 6 3 2 2 2" xfId="31078" xr:uid="{00000000-0005-0000-0000-0000EA7A0000}"/>
    <cellStyle name="RIGs input cells 6 3 2 2 3" xfId="31079" xr:uid="{00000000-0005-0000-0000-0000EB7A0000}"/>
    <cellStyle name="RIGs input cells 6 3 2 2 4" xfId="31080" xr:uid="{00000000-0005-0000-0000-0000EC7A0000}"/>
    <cellStyle name="RIGs input cells 6 3 2 2 5" xfId="31081" xr:uid="{00000000-0005-0000-0000-0000ED7A0000}"/>
    <cellStyle name="RIGs input cells 6 3 2 2 6" xfId="31082" xr:uid="{00000000-0005-0000-0000-0000EE7A0000}"/>
    <cellStyle name="RIGs input cells 6 3 2 2 7" xfId="31083" xr:uid="{00000000-0005-0000-0000-0000EF7A0000}"/>
    <cellStyle name="RIGs input cells 6 3 2 2 8" xfId="31084" xr:uid="{00000000-0005-0000-0000-0000F07A0000}"/>
    <cellStyle name="RIGs input cells 6 3 2 2 9" xfId="31085" xr:uid="{00000000-0005-0000-0000-0000F17A0000}"/>
    <cellStyle name="RIGs input cells 6 3 2 20" xfId="31086" xr:uid="{00000000-0005-0000-0000-0000F27A0000}"/>
    <cellStyle name="RIGs input cells 6 3 2 21" xfId="31087" xr:uid="{00000000-0005-0000-0000-0000F37A0000}"/>
    <cellStyle name="RIGs input cells 6 3 2 22" xfId="31088" xr:uid="{00000000-0005-0000-0000-0000F47A0000}"/>
    <cellStyle name="RIGs input cells 6 3 2 23" xfId="31089" xr:uid="{00000000-0005-0000-0000-0000F57A0000}"/>
    <cellStyle name="RIGs input cells 6 3 2 24" xfId="31090" xr:uid="{00000000-0005-0000-0000-0000F67A0000}"/>
    <cellStyle name="RIGs input cells 6 3 2 25" xfId="31091" xr:uid="{00000000-0005-0000-0000-0000F77A0000}"/>
    <cellStyle name="RIGs input cells 6 3 2 26" xfId="31092" xr:uid="{00000000-0005-0000-0000-0000F87A0000}"/>
    <cellStyle name="RIGs input cells 6 3 2 27" xfId="31093" xr:uid="{00000000-0005-0000-0000-0000F97A0000}"/>
    <cellStyle name="RIGs input cells 6 3 2 28" xfId="31094" xr:uid="{00000000-0005-0000-0000-0000FA7A0000}"/>
    <cellStyle name="RIGs input cells 6 3 2 29" xfId="31095" xr:uid="{00000000-0005-0000-0000-0000FB7A0000}"/>
    <cellStyle name="RIGs input cells 6 3 2 3" xfId="31096" xr:uid="{00000000-0005-0000-0000-0000FC7A0000}"/>
    <cellStyle name="RIGs input cells 6 3 2 30" xfId="31097" xr:uid="{00000000-0005-0000-0000-0000FD7A0000}"/>
    <cellStyle name="RIGs input cells 6 3 2 31" xfId="31098" xr:uid="{00000000-0005-0000-0000-0000FE7A0000}"/>
    <cellStyle name="RIGs input cells 6 3 2 32" xfId="31099" xr:uid="{00000000-0005-0000-0000-0000FF7A0000}"/>
    <cellStyle name="RIGs input cells 6 3 2 33" xfId="31100" xr:uid="{00000000-0005-0000-0000-0000007B0000}"/>
    <cellStyle name="RIGs input cells 6 3 2 34" xfId="31101" xr:uid="{00000000-0005-0000-0000-0000017B0000}"/>
    <cellStyle name="RIGs input cells 6 3 2 4" xfId="31102" xr:uid="{00000000-0005-0000-0000-0000027B0000}"/>
    <cellStyle name="RIGs input cells 6 3 2 5" xfId="31103" xr:uid="{00000000-0005-0000-0000-0000037B0000}"/>
    <cellStyle name="RIGs input cells 6 3 2 6" xfId="31104" xr:uid="{00000000-0005-0000-0000-0000047B0000}"/>
    <cellStyle name="RIGs input cells 6 3 2 7" xfId="31105" xr:uid="{00000000-0005-0000-0000-0000057B0000}"/>
    <cellStyle name="RIGs input cells 6 3 2 8" xfId="31106" xr:uid="{00000000-0005-0000-0000-0000067B0000}"/>
    <cellStyle name="RIGs input cells 6 3 2 9" xfId="31107" xr:uid="{00000000-0005-0000-0000-0000077B0000}"/>
    <cellStyle name="RIGs input cells 6 3 20" xfId="31108" xr:uid="{00000000-0005-0000-0000-0000087B0000}"/>
    <cellStyle name="RIGs input cells 6 3 21" xfId="31109" xr:uid="{00000000-0005-0000-0000-0000097B0000}"/>
    <cellStyle name="RIGs input cells 6 3 22" xfId="31110" xr:uid="{00000000-0005-0000-0000-00000A7B0000}"/>
    <cellStyle name="RIGs input cells 6 3 23" xfId="31111" xr:uid="{00000000-0005-0000-0000-00000B7B0000}"/>
    <cellStyle name="RIGs input cells 6 3 24" xfId="31112" xr:uid="{00000000-0005-0000-0000-00000C7B0000}"/>
    <cellStyle name="RIGs input cells 6 3 25" xfId="31113" xr:uid="{00000000-0005-0000-0000-00000D7B0000}"/>
    <cellStyle name="RIGs input cells 6 3 26" xfId="31114" xr:uid="{00000000-0005-0000-0000-00000E7B0000}"/>
    <cellStyle name="RIGs input cells 6 3 27" xfId="31115" xr:uid="{00000000-0005-0000-0000-00000F7B0000}"/>
    <cellStyle name="RIGs input cells 6 3 28" xfId="31116" xr:uid="{00000000-0005-0000-0000-0000107B0000}"/>
    <cellStyle name="RIGs input cells 6 3 29" xfId="31117" xr:uid="{00000000-0005-0000-0000-0000117B0000}"/>
    <cellStyle name="RIGs input cells 6 3 3" xfId="31118" xr:uid="{00000000-0005-0000-0000-0000127B0000}"/>
    <cellStyle name="RIGs input cells 6 3 3 10" xfId="31119" xr:uid="{00000000-0005-0000-0000-0000137B0000}"/>
    <cellStyle name="RIGs input cells 6 3 3 11" xfId="31120" xr:uid="{00000000-0005-0000-0000-0000147B0000}"/>
    <cellStyle name="RIGs input cells 6 3 3 12" xfId="31121" xr:uid="{00000000-0005-0000-0000-0000157B0000}"/>
    <cellStyle name="RIGs input cells 6 3 3 13" xfId="31122" xr:uid="{00000000-0005-0000-0000-0000167B0000}"/>
    <cellStyle name="RIGs input cells 6 3 3 2" xfId="31123" xr:uid="{00000000-0005-0000-0000-0000177B0000}"/>
    <cellStyle name="RIGs input cells 6 3 3 3" xfId="31124" xr:uid="{00000000-0005-0000-0000-0000187B0000}"/>
    <cellStyle name="RIGs input cells 6 3 3 4" xfId="31125" xr:uid="{00000000-0005-0000-0000-0000197B0000}"/>
    <cellStyle name="RIGs input cells 6 3 3 5" xfId="31126" xr:uid="{00000000-0005-0000-0000-00001A7B0000}"/>
    <cellStyle name="RIGs input cells 6 3 3 6" xfId="31127" xr:uid="{00000000-0005-0000-0000-00001B7B0000}"/>
    <cellStyle name="RIGs input cells 6 3 3 7" xfId="31128" xr:uid="{00000000-0005-0000-0000-00001C7B0000}"/>
    <cellStyle name="RIGs input cells 6 3 3 8" xfId="31129" xr:uid="{00000000-0005-0000-0000-00001D7B0000}"/>
    <cellStyle name="RIGs input cells 6 3 3 9" xfId="31130" xr:uid="{00000000-0005-0000-0000-00001E7B0000}"/>
    <cellStyle name="RIGs input cells 6 3 30" xfId="31131" xr:uid="{00000000-0005-0000-0000-00001F7B0000}"/>
    <cellStyle name="RIGs input cells 6 3 31" xfId="31132" xr:uid="{00000000-0005-0000-0000-0000207B0000}"/>
    <cellStyle name="RIGs input cells 6 3 32" xfId="31133" xr:uid="{00000000-0005-0000-0000-0000217B0000}"/>
    <cellStyle name="RIGs input cells 6 3 33" xfId="31134" xr:uid="{00000000-0005-0000-0000-0000227B0000}"/>
    <cellStyle name="RIGs input cells 6 3 34" xfId="31135" xr:uid="{00000000-0005-0000-0000-0000237B0000}"/>
    <cellStyle name="RIGs input cells 6 3 35" xfId="31136" xr:uid="{00000000-0005-0000-0000-0000247B0000}"/>
    <cellStyle name="RIGs input cells 6 3 4" xfId="31137" xr:uid="{00000000-0005-0000-0000-0000257B0000}"/>
    <cellStyle name="RIGs input cells 6 3 5" xfId="31138" xr:uid="{00000000-0005-0000-0000-0000267B0000}"/>
    <cellStyle name="RIGs input cells 6 3 6" xfId="31139" xr:uid="{00000000-0005-0000-0000-0000277B0000}"/>
    <cellStyle name="RIGs input cells 6 3 7" xfId="31140" xr:uid="{00000000-0005-0000-0000-0000287B0000}"/>
    <cellStyle name="RIGs input cells 6 3 8" xfId="31141" xr:uid="{00000000-0005-0000-0000-0000297B0000}"/>
    <cellStyle name="RIGs input cells 6 3 9" xfId="31142" xr:uid="{00000000-0005-0000-0000-00002A7B0000}"/>
    <cellStyle name="RIGs input cells 6 3_4 28 1_Asst_Health_Crit_AllTO_RIIO_20110714pm" xfId="31143" xr:uid="{00000000-0005-0000-0000-00002B7B0000}"/>
    <cellStyle name="RIGs input cells 6 30" xfId="31144" xr:uid="{00000000-0005-0000-0000-00002C7B0000}"/>
    <cellStyle name="RIGs input cells 6 31" xfId="31145" xr:uid="{00000000-0005-0000-0000-00002D7B0000}"/>
    <cellStyle name="RIGs input cells 6 32" xfId="31146" xr:uid="{00000000-0005-0000-0000-00002E7B0000}"/>
    <cellStyle name="RIGs input cells 6 33" xfId="31147" xr:uid="{00000000-0005-0000-0000-00002F7B0000}"/>
    <cellStyle name="RIGs input cells 6 34" xfId="31148" xr:uid="{00000000-0005-0000-0000-0000307B0000}"/>
    <cellStyle name="RIGs input cells 6 35" xfId="31149" xr:uid="{00000000-0005-0000-0000-0000317B0000}"/>
    <cellStyle name="RIGs input cells 6 36" xfId="31150" xr:uid="{00000000-0005-0000-0000-0000327B0000}"/>
    <cellStyle name="RIGs input cells 6 37" xfId="31151" xr:uid="{00000000-0005-0000-0000-0000337B0000}"/>
    <cellStyle name="RIGs input cells 6 38" xfId="31152" xr:uid="{00000000-0005-0000-0000-0000347B0000}"/>
    <cellStyle name="RIGs input cells 6 39" xfId="31153" xr:uid="{00000000-0005-0000-0000-0000357B0000}"/>
    <cellStyle name="RIGs input cells 6 4" xfId="31154" xr:uid="{00000000-0005-0000-0000-0000367B0000}"/>
    <cellStyle name="RIGs input cells 6 4 10" xfId="31155" xr:uid="{00000000-0005-0000-0000-0000377B0000}"/>
    <cellStyle name="RIGs input cells 6 4 11" xfId="31156" xr:uid="{00000000-0005-0000-0000-0000387B0000}"/>
    <cellStyle name="RIGs input cells 6 4 12" xfId="31157" xr:uid="{00000000-0005-0000-0000-0000397B0000}"/>
    <cellStyle name="RIGs input cells 6 4 13" xfId="31158" xr:uid="{00000000-0005-0000-0000-00003A7B0000}"/>
    <cellStyle name="RIGs input cells 6 4 14" xfId="31159" xr:uid="{00000000-0005-0000-0000-00003B7B0000}"/>
    <cellStyle name="RIGs input cells 6 4 15" xfId="31160" xr:uid="{00000000-0005-0000-0000-00003C7B0000}"/>
    <cellStyle name="RIGs input cells 6 4 16" xfId="31161" xr:uid="{00000000-0005-0000-0000-00003D7B0000}"/>
    <cellStyle name="RIGs input cells 6 4 17" xfId="31162" xr:uid="{00000000-0005-0000-0000-00003E7B0000}"/>
    <cellStyle name="RIGs input cells 6 4 18" xfId="31163" xr:uid="{00000000-0005-0000-0000-00003F7B0000}"/>
    <cellStyle name="RIGs input cells 6 4 19" xfId="31164" xr:uid="{00000000-0005-0000-0000-0000407B0000}"/>
    <cellStyle name="RIGs input cells 6 4 2" xfId="31165" xr:uid="{00000000-0005-0000-0000-0000417B0000}"/>
    <cellStyle name="RIGs input cells 6 4 2 10" xfId="31166" xr:uid="{00000000-0005-0000-0000-0000427B0000}"/>
    <cellStyle name="RIGs input cells 6 4 2 11" xfId="31167" xr:uid="{00000000-0005-0000-0000-0000437B0000}"/>
    <cellStyle name="RIGs input cells 6 4 2 12" xfId="31168" xr:uid="{00000000-0005-0000-0000-0000447B0000}"/>
    <cellStyle name="RIGs input cells 6 4 2 13" xfId="31169" xr:uid="{00000000-0005-0000-0000-0000457B0000}"/>
    <cellStyle name="RIGs input cells 6 4 2 2" xfId="31170" xr:uid="{00000000-0005-0000-0000-0000467B0000}"/>
    <cellStyle name="RIGs input cells 6 4 2 3" xfId="31171" xr:uid="{00000000-0005-0000-0000-0000477B0000}"/>
    <cellStyle name="RIGs input cells 6 4 2 4" xfId="31172" xr:uid="{00000000-0005-0000-0000-0000487B0000}"/>
    <cellStyle name="RIGs input cells 6 4 2 5" xfId="31173" xr:uid="{00000000-0005-0000-0000-0000497B0000}"/>
    <cellStyle name="RIGs input cells 6 4 2 6" xfId="31174" xr:uid="{00000000-0005-0000-0000-00004A7B0000}"/>
    <cellStyle name="RIGs input cells 6 4 2 7" xfId="31175" xr:uid="{00000000-0005-0000-0000-00004B7B0000}"/>
    <cellStyle name="RIGs input cells 6 4 2 8" xfId="31176" xr:uid="{00000000-0005-0000-0000-00004C7B0000}"/>
    <cellStyle name="RIGs input cells 6 4 2 9" xfId="31177" xr:uid="{00000000-0005-0000-0000-00004D7B0000}"/>
    <cellStyle name="RIGs input cells 6 4 20" xfId="31178" xr:uid="{00000000-0005-0000-0000-00004E7B0000}"/>
    <cellStyle name="RIGs input cells 6 4 21" xfId="31179" xr:uid="{00000000-0005-0000-0000-00004F7B0000}"/>
    <cellStyle name="RIGs input cells 6 4 22" xfId="31180" xr:uid="{00000000-0005-0000-0000-0000507B0000}"/>
    <cellStyle name="RIGs input cells 6 4 23" xfId="31181" xr:uid="{00000000-0005-0000-0000-0000517B0000}"/>
    <cellStyle name="RIGs input cells 6 4 24" xfId="31182" xr:uid="{00000000-0005-0000-0000-0000527B0000}"/>
    <cellStyle name="RIGs input cells 6 4 25" xfId="31183" xr:uid="{00000000-0005-0000-0000-0000537B0000}"/>
    <cellStyle name="RIGs input cells 6 4 26" xfId="31184" xr:uid="{00000000-0005-0000-0000-0000547B0000}"/>
    <cellStyle name="RIGs input cells 6 4 27" xfId="31185" xr:uid="{00000000-0005-0000-0000-0000557B0000}"/>
    <cellStyle name="RIGs input cells 6 4 28" xfId="31186" xr:uid="{00000000-0005-0000-0000-0000567B0000}"/>
    <cellStyle name="RIGs input cells 6 4 29" xfId="31187" xr:uid="{00000000-0005-0000-0000-0000577B0000}"/>
    <cellStyle name="RIGs input cells 6 4 3" xfId="31188" xr:uid="{00000000-0005-0000-0000-0000587B0000}"/>
    <cellStyle name="RIGs input cells 6 4 30" xfId="31189" xr:uid="{00000000-0005-0000-0000-0000597B0000}"/>
    <cellStyle name="RIGs input cells 6 4 31" xfId="31190" xr:uid="{00000000-0005-0000-0000-00005A7B0000}"/>
    <cellStyle name="RIGs input cells 6 4 32" xfId="31191" xr:uid="{00000000-0005-0000-0000-00005B7B0000}"/>
    <cellStyle name="RIGs input cells 6 4 33" xfId="31192" xr:uid="{00000000-0005-0000-0000-00005C7B0000}"/>
    <cellStyle name="RIGs input cells 6 4 34" xfId="31193" xr:uid="{00000000-0005-0000-0000-00005D7B0000}"/>
    <cellStyle name="RIGs input cells 6 4 4" xfId="31194" xr:uid="{00000000-0005-0000-0000-00005E7B0000}"/>
    <cellStyle name="RIGs input cells 6 4 5" xfId="31195" xr:uid="{00000000-0005-0000-0000-00005F7B0000}"/>
    <cellStyle name="RIGs input cells 6 4 6" xfId="31196" xr:uid="{00000000-0005-0000-0000-0000607B0000}"/>
    <cellStyle name="RIGs input cells 6 4 7" xfId="31197" xr:uid="{00000000-0005-0000-0000-0000617B0000}"/>
    <cellStyle name="RIGs input cells 6 4 8" xfId="31198" xr:uid="{00000000-0005-0000-0000-0000627B0000}"/>
    <cellStyle name="RIGs input cells 6 4 9" xfId="31199" xr:uid="{00000000-0005-0000-0000-0000637B0000}"/>
    <cellStyle name="RIGs input cells 6 5" xfId="31200" xr:uid="{00000000-0005-0000-0000-0000647B0000}"/>
    <cellStyle name="RIGs input cells 6 5 10" xfId="31201" xr:uid="{00000000-0005-0000-0000-0000657B0000}"/>
    <cellStyle name="RIGs input cells 6 5 11" xfId="31202" xr:uid="{00000000-0005-0000-0000-0000667B0000}"/>
    <cellStyle name="RIGs input cells 6 5 12" xfId="31203" xr:uid="{00000000-0005-0000-0000-0000677B0000}"/>
    <cellStyle name="RIGs input cells 6 5 13" xfId="31204" xr:uid="{00000000-0005-0000-0000-0000687B0000}"/>
    <cellStyle name="RIGs input cells 6 5 14" xfId="31205" xr:uid="{00000000-0005-0000-0000-0000697B0000}"/>
    <cellStyle name="RIGs input cells 6 5 15" xfId="31206" xr:uid="{00000000-0005-0000-0000-00006A7B0000}"/>
    <cellStyle name="RIGs input cells 6 5 16" xfId="31207" xr:uid="{00000000-0005-0000-0000-00006B7B0000}"/>
    <cellStyle name="RIGs input cells 6 5 17" xfId="31208" xr:uid="{00000000-0005-0000-0000-00006C7B0000}"/>
    <cellStyle name="RIGs input cells 6 5 18" xfId="31209" xr:uid="{00000000-0005-0000-0000-00006D7B0000}"/>
    <cellStyle name="RIGs input cells 6 5 19" xfId="31210" xr:uid="{00000000-0005-0000-0000-00006E7B0000}"/>
    <cellStyle name="RIGs input cells 6 5 2" xfId="31211" xr:uid="{00000000-0005-0000-0000-00006F7B0000}"/>
    <cellStyle name="RIGs input cells 6 5 2 10" xfId="31212" xr:uid="{00000000-0005-0000-0000-0000707B0000}"/>
    <cellStyle name="RIGs input cells 6 5 2 11" xfId="31213" xr:uid="{00000000-0005-0000-0000-0000717B0000}"/>
    <cellStyle name="RIGs input cells 6 5 2 12" xfId="31214" xr:uid="{00000000-0005-0000-0000-0000727B0000}"/>
    <cellStyle name="RIGs input cells 6 5 2 13" xfId="31215" xr:uid="{00000000-0005-0000-0000-0000737B0000}"/>
    <cellStyle name="RIGs input cells 6 5 2 2" xfId="31216" xr:uid="{00000000-0005-0000-0000-0000747B0000}"/>
    <cellStyle name="RIGs input cells 6 5 2 3" xfId="31217" xr:uid="{00000000-0005-0000-0000-0000757B0000}"/>
    <cellStyle name="RIGs input cells 6 5 2 4" xfId="31218" xr:uid="{00000000-0005-0000-0000-0000767B0000}"/>
    <cellStyle name="RIGs input cells 6 5 2 5" xfId="31219" xr:uid="{00000000-0005-0000-0000-0000777B0000}"/>
    <cellStyle name="RIGs input cells 6 5 2 6" xfId="31220" xr:uid="{00000000-0005-0000-0000-0000787B0000}"/>
    <cellStyle name="RIGs input cells 6 5 2 7" xfId="31221" xr:uid="{00000000-0005-0000-0000-0000797B0000}"/>
    <cellStyle name="RIGs input cells 6 5 2 8" xfId="31222" xr:uid="{00000000-0005-0000-0000-00007A7B0000}"/>
    <cellStyle name="RIGs input cells 6 5 2 9" xfId="31223" xr:uid="{00000000-0005-0000-0000-00007B7B0000}"/>
    <cellStyle name="RIGs input cells 6 5 20" xfId="31224" xr:uid="{00000000-0005-0000-0000-00007C7B0000}"/>
    <cellStyle name="RIGs input cells 6 5 21" xfId="31225" xr:uid="{00000000-0005-0000-0000-00007D7B0000}"/>
    <cellStyle name="RIGs input cells 6 5 22" xfId="31226" xr:uid="{00000000-0005-0000-0000-00007E7B0000}"/>
    <cellStyle name="RIGs input cells 6 5 23" xfId="31227" xr:uid="{00000000-0005-0000-0000-00007F7B0000}"/>
    <cellStyle name="RIGs input cells 6 5 24" xfId="31228" xr:uid="{00000000-0005-0000-0000-0000807B0000}"/>
    <cellStyle name="RIGs input cells 6 5 25" xfId="31229" xr:uid="{00000000-0005-0000-0000-0000817B0000}"/>
    <cellStyle name="RIGs input cells 6 5 26" xfId="31230" xr:uid="{00000000-0005-0000-0000-0000827B0000}"/>
    <cellStyle name="RIGs input cells 6 5 27" xfId="31231" xr:uid="{00000000-0005-0000-0000-0000837B0000}"/>
    <cellStyle name="RIGs input cells 6 5 28" xfId="31232" xr:uid="{00000000-0005-0000-0000-0000847B0000}"/>
    <cellStyle name="RIGs input cells 6 5 29" xfId="31233" xr:uid="{00000000-0005-0000-0000-0000857B0000}"/>
    <cellStyle name="RIGs input cells 6 5 3" xfId="31234" xr:uid="{00000000-0005-0000-0000-0000867B0000}"/>
    <cellStyle name="RIGs input cells 6 5 30" xfId="31235" xr:uid="{00000000-0005-0000-0000-0000877B0000}"/>
    <cellStyle name="RIGs input cells 6 5 31" xfId="31236" xr:uid="{00000000-0005-0000-0000-0000887B0000}"/>
    <cellStyle name="RIGs input cells 6 5 32" xfId="31237" xr:uid="{00000000-0005-0000-0000-0000897B0000}"/>
    <cellStyle name="RIGs input cells 6 5 33" xfId="31238" xr:uid="{00000000-0005-0000-0000-00008A7B0000}"/>
    <cellStyle name="RIGs input cells 6 5 34" xfId="31239" xr:uid="{00000000-0005-0000-0000-00008B7B0000}"/>
    <cellStyle name="RIGs input cells 6 5 4" xfId="31240" xr:uid="{00000000-0005-0000-0000-00008C7B0000}"/>
    <cellStyle name="RIGs input cells 6 5 5" xfId="31241" xr:uid="{00000000-0005-0000-0000-00008D7B0000}"/>
    <cellStyle name="RIGs input cells 6 5 6" xfId="31242" xr:uid="{00000000-0005-0000-0000-00008E7B0000}"/>
    <cellStyle name="RIGs input cells 6 5 7" xfId="31243" xr:uid="{00000000-0005-0000-0000-00008F7B0000}"/>
    <cellStyle name="RIGs input cells 6 5 8" xfId="31244" xr:uid="{00000000-0005-0000-0000-0000907B0000}"/>
    <cellStyle name="RIGs input cells 6 5 9" xfId="31245" xr:uid="{00000000-0005-0000-0000-0000917B0000}"/>
    <cellStyle name="RIGs input cells 6 6" xfId="31246" xr:uid="{00000000-0005-0000-0000-0000927B0000}"/>
    <cellStyle name="RIGs input cells 6 6 10" xfId="31247" xr:uid="{00000000-0005-0000-0000-0000937B0000}"/>
    <cellStyle name="RIGs input cells 6 6 11" xfId="31248" xr:uid="{00000000-0005-0000-0000-0000947B0000}"/>
    <cellStyle name="RIGs input cells 6 6 12" xfId="31249" xr:uid="{00000000-0005-0000-0000-0000957B0000}"/>
    <cellStyle name="RIGs input cells 6 6 13" xfId="31250" xr:uid="{00000000-0005-0000-0000-0000967B0000}"/>
    <cellStyle name="RIGs input cells 6 6 2" xfId="31251" xr:uid="{00000000-0005-0000-0000-0000977B0000}"/>
    <cellStyle name="RIGs input cells 6 6 3" xfId="31252" xr:uid="{00000000-0005-0000-0000-0000987B0000}"/>
    <cellStyle name="RIGs input cells 6 6 4" xfId="31253" xr:uid="{00000000-0005-0000-0000-0000997B0000}"/>
    <cellStyle name="RIGs input cells 6 6 5" xfId="31254" xr:uid="{00000000-0005-0000-0000-00009A7B0000}"/>
    <cellStyle name="RIGs input cells 6 6 6" xfId="31255" xr:uid="{00000000-0005-0000-0000-00009B7B0000}"/>
    <cellStyle name="RIGs input cells 6 6 7" xfId="31256" xr:uid="{00000000-0005-0000-0000-00009C7B0000}"/>
    <cellStyle name="RIGs input cells 6 6 8" xfId="31257" xr:uid="{00000000-0005-0000-0000-00009D7B0000}"/>
    <cellStyle name="RIGs input cells 6 6 9" xfId="31258" xr:uid="{00000000-0005-0000-0000-00009E7B0000}"/>
    <cellStyle name="RIGs input cells 6 7" xfId="31259" xr:uid="{00000000-0005-0000-0000-00009F7B0000}"/>
    <cellStyle name="RIGs input cells 6 8" xfId="31260" xr:uid="{00000000-0005-0000-0000-0000A07B0000}"/>
    <cellStyle name="RIGs input cells 6 9" xfId="31261" xr:uid="{00000000-0005-0000-0000-0000A17B0000}"/>
    <cellStyle name="RIGs input cells 6_1.3s Accounting C Costs Scots" xfId="31262" xr:uid="{00000000-0005-0000-0000-0000A27B0000}"/>
    <cellStyle name="RIGs input cells 7" xfId="31263" xr:uid="{00000000-0005-0000-0000-0000A37B0000}"/>
    <cellStyle name="RIGs input cells 7 10" xfId="31264" xr:uid="{00000000-0005-0000-0000-0000A47B0000}"/>
    <cellStyle name="RIGs input cells 7 11" xfId="31265" xr:uid="{00000000-0005-0000-0000-0000A57B0000}"/>
    <cellStyle name="RIGs input cells 7 12" xfId="31266" xr:uid="{00000000-0005-0000-0000-0000A67B0000}"/>
    <cellStyle name="RIGs input cells 7 13" xfId="31267" xr:uid="{00000000-0005-0000-0000-0000A77B0000}"/>
    <cellStyle name="RIGs input cells 7 14" xfId="31268" xr:uid="{00000000-0005-0000-0000-0000A87B0000}"/>
    <cellStyle name="RIGs input cells 7 15" xfId="31269" xr:uid="{00000000-0005-0000-0000-0000A97B0000}"/>
    <cellStyle name="RIGs input cells 7 16" xfId="31270" xr:uid="{00000000-0005-0000-0000-0000AA7B0000}"/>
    <cellStyle name="RIGs input cells 7 17" xfId="31271" xr:uid="{00000000-0005-0000-0000-0000AB7B0000}"/>
    <cellStyle name="RIGs input cells 7 18" xfId="31272" xr:uid="{00000000-0005-0000-0000-0000AC7B0000}"/>
    <cellStyle name="RIGs input cells 7 19" xfId="31273" xr:uid="{00000000-0005-0000-0000-0000AD7B0000}"/>
    <cellStyle name="RIGs input cells 7 2" xfId="31274" xr:uid="{00000000-0005-0000-0000-0000AE7B0000}"/>
    <cellStyle name="RIGs input cells 7 2 10" xfId="31275" xr:uid="{00000000-0005-0000-0000-0000AF7B0000}"/>
    <cellStyle name="RIGs input cells 7 2 11" xfId="31276" xr:uid="{00000000-0005-0000-0000-0000B07B0000}"/>
    <cellStyle name="RIGs input cells 7 2 12" xfId="31277" xr:uid="{00000000-0005-0000-0000-0000B17B0000}"/>
    <cellStyle name="RIGs input cells 7 2 13" xfId="31278" xr:uid="{00000000-0005-0000-0000-0000B27B0000}"/>
    <cellStyle name="RIGs input cells 7 2 14" xfId="31279" xr:uid="{00000000-0005-0000-0000-0000B37B0000}"/>
    <cellStyle name="RIGs input cells 7 2 15" xfId="31280" xr:uid="{00000000-0005-0000-0000-0000B47B0000}"/>
    <cellStyle name="RIGs input cells 7 2 16" xfId="31281" xr:uid="{00000000-0005-0000-0000-0000B57B0000}"/>
    <cellStyle name="RIGs input cells 7 2 17" xfId="31282" xr:uid="{00000000-0005-0000-0000-0000B67B0000}"/>
    <cellStyle name="RIGs input cells 7 2 18" xfId="31283" xr:uid="{00000000-0005-0000-0000-0000B77B0000}"/>
    <cellStyle name="RIGs input cells 7 2 19" xfId="31284" xr:uid="{00000000-0005-0000-0000-0000B87B0000}"/>
    <cellStyle name="RIGs input cells 7 2 2" xfId="31285" xr:uid="{00000000-0005-0000-0000-0000B97B0000}"/>
    <cellStyle name="RIGs input cells 7 2 2 10" xfId="31286" xr:uid="{00000000-0005-0000-0000-0000BA7B0000}"/>
    <cellStyle name="RIGs input cells 7 2 2 11" xfId="31287" xr:uid="{00000000-0005-0000-0000-0000BB7B0000}"/>
    <cellStyle name="RIGs input cells 7 2 2 12" xfId="31288" xr:uid="{00000000-0005-0000-0000-0000BC7B0000}"/>
    <cellStyle name="RIGs input cells 7 2 2 13" xfId="31289" xr:uid="{00000000-0005-0000-0000-0000BD7B0000}"/>
    <cellStyle name="RIGs input cells 7 2 2 14" xfId="31290" xr:uid="{00000000-0005-0000-0000-0000BE7B0000}"/>
    <cellStyle name="RIGs input cells 7 2 2 15" xfId="31291" xr:uid="{00000000-0005-0000-0000-0000BF7B0000}"/>
    <cellStyle name="RIGs input cells 7 2 2 16" xfId="31292" xr:uid="{00000000-0005-0000-0000-0000C07B0000}"/>
    <cellStyle name="RIGs input cells 7 2 2 17" xfId="31293" xr:uid="{00000000-0005-0000-0000-0000C17B0000}"/>
    <cellStyle name="RIGs input cells 7 2 2 18" xfId="31294" xr:uid="{00000000-0005-0000-0000-0000C27B0000}"/>
    <cellStyle name="RIGs input cells 7 2 2 19" xfId="31295" xr:uid="{00000000-0005-0000-0000-0000C37B0000}"/>
    <cellStyle name="RIGs input cells 7 2 2 2" xfId="31296" xr:uid="{00000000-0005-0000-0000-0000C47B0000}"/>
    <cellStyle name="RIGs input cells 7 2 2 2 10" xfId="31297" xr:uid="{00000000-0005-0000-0000-0000C57B0000}"/>
    <cellStyle name="RIGs input cells 7 2 2 2 11" xfId="31298" xr:uid="{00000000-0005-0000-0000-0000C67B0000}"/>
    <cellStyle name="RIGs input cells 7 2 2 2 12" xfId="31299" xr:uid="{00000000-0005-0000-0000-0000C77B0000}"/>
    <cellStyle name="RIGs input cells 7 2 2 2 13" xfId="31300" xr:uid="{00000000-0005-0000-0000-0000C87B0000}"/>
    <cellStyle name="RIGs input cells 7 2 2 2 14" xfId="31301" xr:uid="{00000000-0005-0000-0000-0000C97B0000}"/>
    <cellStyle name="RIGs input cells 7 2 2 2 15" xfId="31302" xr:uid="{00000000-0005-0000-0000-0000CA7B0000}"/>
    <cellStyle name="RIGs input cells 7 2 2 2 16" xfId="31303" xr:uid="{00000000-0005-0000-0000-0000CB7B0000}"/>
    <cellStyle name="RIGs input cells 7 2 2 2 17" xfId="31304" xr:uid="{00000000-0005-0000-0000-0000CC7B0000}"/>
    <cellStyle name="RIGs input cells 7 2 2 2 18" xfId="31305" xr:uid="{00000000-0005-0000-0000-0000CD7B0000}"/>
    <cellStyle name="RIGs input cells 7 2 2 2 19" xfId="31306" xr:uid="{00000000-0005-0000-0000-0000CE7B0000}"/>
    <cellStyle name="RIGs input cells 7 2 2 2 2" xfId="31307" xr:uid="{00000000-0005-0000-0000-0000CF7B0000}"/>
    <cellStyle name="RIGs input cells 7 2 2 2 2 10" xfId="31308" xr:uid="{00000000-0005-0000-0000-0000D07B0000}"/>
    <cellStyle name="RIGs input cells 7 2 2 2 2 11" xfId="31309" xr:uid="{00000000-0005-0000-0000-0000D17B0000}"/>
    <cellStyle name="RIGs input cells 7 2 2 2 2 12" xfId="31310" xr:uid="{00000000-0005-0000-0000-0000D27B0000}"/>
    <cellStyle name="RIGs input cells 7 2 2 2 2 13" xfId="31311" xr:uid="{00000000-0005-0000-0000-0000D37B0000}"/>
    <cellStyle name="RIGs input cells 7 2 2 2 2 2" xfId="31312" xr:uid="{00000000-0005-0000-0000-0000D47B0000}"/>
    <cellStyle name="RIGs input cells 7 2 2 2 2 3" xfId="31313" xr:uid="{00000000-0005-0000-0000-0000D57B0000}"/>
    <cellStyle name="RIGs input cells 7 2 2 2 2 4" xfId="31314" xr:uid="{00000000-0005-0000-0000-0000D67B0000}"/>
    <cellStyle name="RIGs input cells 7 2 2 2 2 5" xfId="31315" xr:uid="{00000000-0005-0000-0000-0000D77B0000}"/>
    <cellStyle name="RIGs input cells 7 2 2 2 2 6" xfId="31316" xr:uid="{00000000-0005-0000-0000-0000D87B0000}"/>
    <cellStyle name="RIGs input cells 7 2 2 2 2 7" xfId="31317" xr:uid="{00000000-0005-0000-0000-0000D97B0000}"/>
    <cellStyle name="RIGs input cells 7 2 2 2 2 8" xfId="31318" xr:uid="{00000000-0005-0000-0000-0000DA7B0000}"/>
    <cellStyle name="RIGs input cells 7 2 2 2 2 9" xfId="31319" xr:uid="{00000000-0005-0000-0000-0000DB7B0000}"/>
    <cellStyle name="RIGs input cells 7 2 2 2 20" xfId="31320" xr:uid="{00000000-0005-0000-0000-0000DC7B0000}"/>
    <cellStyle name="RIGs input cells 7 2 2 2 21" xfId="31321" xr:uid="{00000000-0005-0000-0000-0000DD7B0000}"/>
    <cellStyle name="RIGs input cells 7 2 2 2 22" xfId="31322" xr:uid="{00000000-0005-0000-0000-0000DE7B0000}"/>
    <cellStyle name="RIGs input cells 7 2 2 2 23" xfId="31323" xr:uid="{00000000-0005-0000-0000-0000DF7B0000}"/>
    <cellStyle name="RIGs input cells 7 2 2 2 24" xfId="31324" xr:uid="{00000000-0005-0000-0000-0000E07B0000}"/>
    <cellStyle name="RIGs input cells 7 2 2 2 25" xfId="31325" xr:uid="{00000000-0005-0000-0000-0000E17B0000}"/>
    <cellStyle name="RIGs input cells 7 2 2 2 26" xfId="31326" xr:uid="{00000000-0005-0000-0000-0000E27B0000}"/>
    <cellStyle name="RIGs input cells 7 2 2 2 27" xfId="31327" xr:uid="{00000000-0005-0000-0000-0000E37B0000}"/>
    <cellStyle name="RIGs input cells 7 2 2 2 28" xfId="31328" xr:uid="{00000000-0005-0000-0000-0000E47B0000}"/>
    <cellStyle name="RIGs input cells 7 2 2 2 29" xfId="31329" xr:uid="{00000000-0005-0000-0000-0000E57B0000}"/>
    <cellStyle name="RIGs input cells 7 2 2 2 3" xfId="31330" xr:uid="{00000000-0005-0000-0000-0000E67B0000}"/>
    <cellStyle name="RIGs input cells 7 2 2 2 30" xfId="31331" xr:uid="{00000000-0005-0000-0000-0000E77B0000}"/>
    <cellStyle name="RIGs input cells 7 2 2 2 31" xfId="31332" xr:uid="{00000000-0005-0000-0000-0000E87B0000}"/>
    <cellStyle name="RIGs input cells 7 2 2 2 32" xfId="31333" xr:uid="{00000000-0005-0000-0000-0000E97B0000}"/>
    <cellStyle name="RIGs input cells 7 2 2 2 33" xfId="31334" xr:uid="{00000000-0005-0000-0000-0000EA7B0000}"/>
    <cellStyle name="RIGs input cells 7 2 2 2 34" xfId="31335" xr:uid="{00000000-0005-0000-0000-0000EB7B0000}"/>
    <cellStyle name="RIGs input cells 7 2 2 2 4" xfId="31336" xr:uid="{00000000-0005-0000-0000-0000EC7B0000}"/>
    <cellStyle name="RIGs input cells 7 2 2 2 5" xfId="31337" xr:uid="{00000000-0005-0000-0000-0000ED7B0000}"/>
    <cellStyle name="RIGs input cells 7 2 2 2 6" xfId="31338" xr:uid="{00000000-0005-0000-0000-0000EE7B0000}"/>
    <cellStyle name="RIGs input cells 7 2 2 2 7" xfId="31339" xr:uid="{00000000-0005-0000-0000-0000EF7B0000}"/>
    <cellStyle name="RIGs input cells 7 2 2 2 8" xfId="31340" xr:uid="{00000000-0005-0000-0000-0000F07B0000}"/>
    <cellStyle name="RIGs input cells 7 2 2 2 9" xfId="31341" xr:uid="{00000000-0005-0000-0000-0000F17B0000}"/>
    <cellStyle name="RIGs input cells 7 2 2 20" xfId="31342" xr:uid="{00000000-0005-0000-0000-0000F27B0000}"/>
    <cellStyle name="RIGs input cells 7 2 2 21" xfId="31343" xr:uid="{00000000-0005-0000-0000-0000F37B0000}"/>
    <cellStyle name="RIGs input cells 7 2 2 22" xfId="31344" xr:uid="{00000000-0005-0000-0000-0000F47B0000}"/>
    <cellStyle name="RIGs input cells 7 2 2 23" xfId="31345" xr:uid="{00000000-0005-0000-0000-0000F57B0000}"/>
    <cellStyle name="RIGs input cells 7 2 2 24" xfId="31346" xr:uid="{00000000-0005-0000-0000-0000F67B0000}"/>
    <cellStyle name="RIGs input cells 7 2 2 25" xfId="31347" xr:uid="{00000000-0005-0000-0000-0000F77B0000}"/>
    <cellStyle name="RIGs input cells 7 2 2 26" xfId="31348" xr:uid="{00000000-0005-0000-0000-0000F87B0000}"/>
    <cellStyle name="RIGs input cells 7 2 2 27" xfId="31349" xr:uid="{00000000-0005-0000-0000-0000F97B0000}"/>
    <cellStyle name="RIGs input cells 7 2 2 28" xfId="31350" xr:uid="{00000000-0005-0000-0000-0000FA7B0000}"/>
    <cellStyle name="RIGs input cells 7 2 2 29" xfId="31351" xr:uid="{00000000-0005-0000-0000-0000FB7B0000}"/>
    <cellStyle name="RIGs input cells 7 2 2 3" xfId="31352" xr:uid="{00000000-0005-0000-0000-0000FC7B0000}"/>
    <cellStyle name="RIGs input cells 7 2 2 3 10" xfId="31353" xr:uid="{00000000-0005-0000-0000-0000FD7B0000}"/>
    <cellStyle name="RIGs input cells 7 2 2 3 11" xfId="31354" xr:uid="{00000000-0005-0000-0000-0000FE7B0000}"/>
    <cellStyle name="RIGs input cells 7 2 2 3 12" xfId="31355" xr:uid="{00000000-0005-0000-0000-0000FF7B0000}"/>
    <cellStyle name="RIGs input cells 7 2 2 3 13" xfId="31356" xr:uid="{00000000-0005-0000-0000-0000007C0000}"/>
    <cellStyle name="RIGs input cells 7 2 2 3 2" xfId="31357" xr:uid="{00000000-0005-0000-0000-0000017C0000}"/>
    <cellStyle name="RIGs input cells 7 2 2 3 3" xfId="31358" xr:uid="{00000000-0005-0000-0000-0000027C0000}"/>
    <cellStyle name="RIGs input cells 7 2 2 3 4" xfId="31359" xr:uid="{00000000-0005-0000-0000-0000037C0000}"/>
    <cellStyle name="RIGs input cells 7 2 2 3 5" xfId="31360" xr:uid="{00000000-0005-0000-0000-0000047C0000}"/>
    <cellStyle name="RIGs input cells 7 2 2 3 6" xfId="31361" xr:uid="{00000000-0005-0000-0000-0000057C0000}"/>
    <cellStyle name="RIGs input cells 7 2 2 3 7" xfId="31362" xr:uid="{00000000-0005-0000-0000-0000067C0000}"/>
    <cellStyle name="RIGs input cells 7 2 2 3 8" xfId="31363" xr:uid="{00000000-0005-0000-0000-0000077C0000}"/>
    <cellStyle name="RIGs input cells 7 2 2 3 9" xfId="31364" xr:uid="{00000000-0005-0000-0000-0000087C0000}"/>
    <cellStyle name="RIGs input cells 7 2 2 30" xfId="31365" xr:uid="{00000000-0005-0000-0000-0000097C0000}"/>
    <cellStyle name="RIGs input cells 7 2 2 31" xfId="31366" xr:uid="{00000000-0005-0000-0000-00000A7C0000}"/>
    <cellStyle name="RIGs input cells 7 2 2 4" xfId="31367" xr:uid="{00000000-0005-0000-0000-00000B7C0000}"/>
    <cellStyle name="RIGs input cells 7 2 2 5" xfId="31368" xr:uid="{00000000-0005-0000-0000-00000C7C0000}"/>
    <cellStyle name="RIGs input cells 7 2 2 6" xfId="31369" xr:uid="{00000000-0005-0000-0000-00000D7C0000}"/>
    <cellStyle name="RIGs input cells 7 2 2 7" xfId="31370" xr:uid="{00000000-0005-0000-0000-00000E7C0000}"/>
    <cellStyle name="RIGs input cells 7 2 2 8" xfId="31371" xr:uid="{00000000-0005-0000-0000-00000F7C0000}"/>
    <cellStyle name="RIGs input cells 7 2 2 9" xfId="31372" xr:uid="{00000000-0005-0000-0000-0000107C0000}"/>
    <cellStyle name="RIGs input cells 7 2 2_4 28 1_Asst_Health_Crit_AllTO_RIIO_20110714pm" xfId="31373" xr:uid="{00000000-0005-0000-0000-0000117C0000}"/>
    <cellStyle name="RIGs input cells 7 2 20" xfId="31374" xr:uid="{00000000-0005-0000-0000-0000127C0000}"/>
    <cellStyle name="RIGs input cells 7 2 21" xfId="31375" xr:uid="{00000000-0005-0000-0000-0000137C0000}"/>
    <cellStyle name="RIGs input cells 7 2 22" xfId="31376" xr:uid="{00000000-0005-0000-0000-0000147C0000}"/>
    <cellStyle name="RIGs input cells 7 2 23" xfId="31377" xr:uid="{00000000-0005-0000-0000-0000157C0000}"/>
    <cellStyle name="RIGs input cells 7 2 24" xfId="31378" xr:uid="{00000000-0005-0000-0000-0000167C0000}"/>
    <cellStyle name="RIGs input cells 7 2 25" xfId="31379" xr:uid="{00000000-0005-0000-0000-0000177C0000}"/>
    <cellStyle name="RIGs input cells 7 2 26" xfId="31380" xr:uid="{00000000-0005-0000-0000-0000187C0000}"/>
    <cellStyle name="RIGs input cells 7 2 27" xfId="31381" xr:uid="{00000000-0005-0000-0000-0000197C0000}"/>
    <cellStyle name="RIGs input cells 7 2 28" xfId="31382" xr:uid="{00000000-0005-0000-0000-00001A7C0000}"/>
    <cellStyle name="RIGs input cells 7 2 29" xfId="31383" xr:uid="{00000000-0005-0000-0000-00001B7C0000}"/>
    <cellStyle name="RIGs input cells 7 2 3" xfId="31384" xr:uid="{00000000-0005-0000-0000-00001C7C0000}"/>
    <cellStyle name="RIGs input cells 7 2 3 10" xfId="31385" xr:uid="{00000000-0005-0000-0000-00001D7C0000}"/>
    <cellStyle name="RIGs input cells 7 2 3 11" xfId="31386" xr:uid="{00000000-0005-0000-0000-00001E7C0000}"/>
    <cellStyle name="RIGs input cells 7 2 3 12" xfId="31387" xr:uid="{00000000-0005-0000-0000-00001F7C0000}"/>
    <cellStyle name="RIGs input cells 7 2 3 13" xfId="31388" xr:uid="{00000000-0005-0000-0000-0000207C0000}"/>
    <cellStyle name="RIGs input cells 7 2 3 14" xfId="31389" xr:uid="{00000000-0005-0000-0000-0000217C0000}"/>
    <cellStyle name="RIGs input cells 7 2 3 15" xfId="31390" xr:uid="{00000000-0005-0000-0000-0000227C0000}"/>
    <cellStyle name="RIGs input cells 7 2 3 16" xfId="31391" xr:uid="{00000000-0005-0000-0000-0000237C0000}"/>
    <cellStyle name="RIGs input cells 7 2 3 17" xfId="31392" xr:uid="{00000000-0005-0000-0000-0000247C0000}"/>
    <cellStyle name="RIGs input cells 7 2 3 18" xfId="31393" xr:uid="{00000000-0005-0000-0000-0000257C0000}"/>
    <cellStyle name="RIGs input cells 7 2 3 19" xfId="31394" xr:uid="{00000000-0005-0000-0000-0000267C0000}"/>
    <cellStyle name="RIGs input cells 7 2 3 2" xfId="31395" xr:uid="{00000000-0005-0000-0000-0000277C0000}"/>
    <cellStyle name="RIGs input cells 7 2 3 2 10" xfId="31396" xr:uid="{00000000-0005-0000-0000-0000287C0000}"/>
    <cellStyle name="RIGs input cells 7 2 3 2 11" xfId="31397" xr:uid="{00000000-0005-0000-0000-0000297C0000}"/>
    <cellStyle name="RIGs input cells 7 2 3 2 12" xfId="31398" xr:uid="{00000000-0005-0000-0000-00002A7C0000}"/>
    <cellStyle name="RIGs input cells 7 2 3 2 13" xfId="31399" xr:uid="{00000000-0005-0000-0000-00002B7C0000}"/>
    <cellStyle name="RIGs input cells 7 2 3 2 2" xfId="31400" xr:uid="{00000000-0005-0000-0000-00002C7C0000}"/>
    <cellStyle name="RIGs input cells 7 2 3 2 3" xfId="31401" xr:uid="{00000000-0005-0000-0000-00002D7C0000}"/>
    <cellStyle name="RIGs input cells 7 2 3 2 4" xfId="31402" xr:uid="{00000000-0005-0000-0000-00002E7C0000}"/>
    <cellStyle name="RIGs input cells 7 2 3 2 5" xfId="31403" xr:uid="{00000000-0005-0000-0000-00002F7C0000}"/>
    <cellStyle name="RIGs input cells 7 2 3 2 6" xfId="31404" xr:uid="{00000000-0005-0000-0000-0000307C0000}"/>
    <cellStyle name="RIGs input cells 7 2 3 2 7" xfId="31405" xr:uid="{00000000-0005-0000-0000-0000317C0000}"/>
    <cellStyle name="RIGs input cells 7 2 3 2 8" xfId="31406" xr:uid="{00000000-0005-0000-0000-0000327C0000}"/>
    <cellStyle name="RIGs input cells 7 2 3 2 9" xfId="31407" xr:uid="{00000000-0005-0000-0000-0000337C0000}"/>
    <cellStyle name="RIGs input cells 7 2 3 20" xfId="31408" xr:uid="{00000000-0005-0000-0000-0000347C0000}"/>
    <cellStyle name="RIGs input cells 7 2 3 21" xfId="31409" xr:uid="{00000000-0005-0000-0000-0000357C0000}"/>
    <cellStyle name="RIGs input cells 7 2 3 22" xfId="31410" xr:uid="{00000000-0005-0000-0000-0000367C0000}"/>
    <cellStyle name="RIGs input cells 7 2 3 23" xfId="31411" xr:uid="{00000000-0005-0000-0000-0000377C0000}"/>
    <cellStyle name="RIGs input cells 7 2 3 24" xfId="31412" xr:uid="{00000000-0005-0000-0000-0000387C0000}"/>
    <cellStyle name="RIGs input cells 7 2 3 25" xfId="31413" xr:uid="{00000000-0005-0000-0000-0000397C0000}"/>
    <cellStyle name="RIGs input cells 7 2 3 26" xfId="31414" xr:uid="{00000000-0005-0000-0000-00003A7C0000}"/>
    <cellStyle name="RIGs input cells 7 2 3 27" xfId="31415" xr:uid="{00000000-0005-0000-0000-00003B7C0000}"/>
    <cellStyle name="RIGs input cells 7 2 3 28" xfId="31416" xr:uid="{00000000-0005-0000-0000-00003C7C0000}"/>
    <cellStyle name="RIGs input cells 7 2 3 29" xfId="31417" xr:uid="{00000000-0005-0000-0000-00003D7C0000}"/>
    <cellStyle name="RIGs input cells 7 2 3 3" xfId="31418" xr:uid="{00000000-0005-0000-0000-00003E7C0000}"/>
    <cellStyle name="RIGs input cells 7 2 3 30" xfId="31419" xr:uid="{00000000-0005-0000-0000-00003F7C0000}"/>
    <cellStyle name="RIGs input cells 7 2 3 4" xfId="31420" xr:uid="{00000000-0005-0000-0000-0000407C0000}"/>
    <cellStyle name="RIGs input cells 7 2 3 5" xfId="31421" xr:uid="{00000000-0005-0000-0000-0000417C0000}"/>
    <cellStyle name="RIGs input cells 7 2 3 6" xfId="31422" xr:uid="{00000000-0005-0000-0000-0000427C0000}"/>
    <cellStyle name="RIGs input cells 7 2 3 7" xfId="31423" xr:uid="{00000000-0005-0000-0000-0000437C0000}"/>
    <cellStyle name="RIGs input cells 7 2 3 8" xfId="31424" xr:uid="{00000000-0005-0000-0000-0000447C0000}"/>
    <cellStyle name="RIGs input cells 7 2 3 9" xfId="31425" xr:uid="{00000000-0005-0000-0000-0000457C0000}"/>
    <cellStyle name="RIGs input cells 7 2 30" xfId="31426" xr:uid="{00000000-0005-0000-0000-0000467C0000}"/>
    <cellStyle name="RIGs input cells 7 2 31" xfId="31427" xr:uid="{00000000-0005-0000-0000-0000477C0000}"/>
    <cellStyle name="RIGs input cells 7 2 32" xfId="31428" xr:uid="{00000000-0005-0000-0000-0000487C0000}"/>
    <cellStyle name="RIGs input cells 7 2 33" xfId="31429" xr:uid="{00000000-0005-0000-0000-0000497C0000}"/>
    <cellStyle name="RIGs input cells 7 2 4" xfId="31430" xr:uid="{00000000-0005-0000-0000-00004A7C0000}"/>
    <cellStyle name="RIGs input cells 7 2 4 10" xfId="31431" xr:uid="{00000000-0005-0000-0000-00004B7C0000}"/>
    <cellStyle name="RIGs input cells 7 2 4 11" xfId="31432" xr:uid="{00000000-0005-0000-0000-00004C7C0000}"/>
    <cellStyle name="RIGs input cells 7 2 4 12" xfId="31433" xr:uid="{00000000-0005-0000-0000-00004D7C0000}"/>
    <cellStyle name="RIGs input cells 7 2 4 13" xfId="31434" xr:uid="{00000000-0005-0000-0000-00004E7C0000}"/>
    <cellStyle name="RIGs input cells 7 2 4 14" xfId="31435" xr:uid="{00000000-0005-0000-0000-00004F7C0000}"/>
    <cellStyle name="RIGs input cells 7 2 4 15" xfId="31436" xr:uid="{00000000-0005-0000-0000-0000507C0000}"/>
    <cellStyle name="RIGs input cells 7 2 4 16" xfId="31437" xr:uid="{00000000-0005-0000-0000-0000517C0000}"/>
    <cellStyle name="RIGs input cells 7 2 4 17" xfId="31438" xr:uid="{00000000-0005-0000-0000-0000527C0000}"/>
    <cellStyle name="RIGs input cells 7 2 4 18" xfId="31439" xr:uid="{00000000-0005-0000-0000-0000537C0000}"/>
    <cellStyle name="RIGs input cells 7 2 4 19" xfId="31440" xr:uid="{00000000-0005-0000-0000-0000547C0000}"/>
    <cellStyle name="RIGs input cells 7 2 4 2" xfId="31441" xr:uid="{00000000-0005-0000-0000-0000557C0000}"/>
    <cellStyle name="RIGs input cells 7 2 4 2 10" xfId="31442" xr:uid="{00000000-0005-0000-0000-0000567C0000}"/>
    <cellStyle name="RIGs input cells 7 2 4 2 11" xfId="31443" xr:uid="{00000000-0005-0000-0000-0000577C0000}"/>
    <cellStyle name="RIGs input cells 7 2 4 2 12" xfId="31444" xr:uid="{00000000-0005-0000-0000-0000587C0000}"/>
    <cellStyle name="RIGs input cells 7 2 4 2 13" xfId="31445" xr:uid="{00000000-0005-0000-0000-0000597C0000}"/>
    <cellStyle name="RIGs input cells 7 2 4 2 2" xfId="31446" xr:uid="{00000000-0005-0000-0000-00005A7C0000}"/>
    <cellStyle name="RIGs input cells 7 2 4 2 3" xfId="31447" xr:uid="{00000000-0005-0000-0000-00005B7C0000}"/>
    <cellStyle name="RIGs input cells 7 2 4 2 4" xfId="31448" xr:uid="{00000000-0005-0000-0000-00005C7C0000}"/>
    <cellStyle name="RIGs input cells 7 2 4 2 5" xfId="31449" xr:uid="{00000000-0005-0000-0000-00005D7C0000}"/>
    <cellStyle name="RIGs input cells 7 2 4 2 6" xfId="31450" xr:uid="{00000000-0005-0000-0000-00005E7C0000}"/>
    <cellStyle name="RIGs input cells 7 2 4 2 7" xfId="31451" xr:uid="{00000000-0005-0000-0000-00005F7C0000}"/>
    <cellStyle name="RIGs input cells 7 2 4 2 8" xfId="31452" xr:uid="{00000000-0005-0000-0000-0000607C0000}"/>
    <cellStyle name="RIGs input cells 7 2 4 2 9" xfId="31453" xr:uid="{00000000-0005-0000-0000-0000617C0000}"/>
    <cellStyle name="RIGs input cells 7 2 4 20" xfId="31454" xr:uid="{00000000-0005-0000-0000-0000627C0000}"/>
    <cellStyle name="RIGs input cells 7 2 4 21" xfId="31455" xr:uid="{00000000-0005-0000-0000-0000637C0000}"/>
    <cellStyle name="RIGs input cells 7 2 4 22" xfId="31456" xr:uid="{00000000-0005-0000-0000-0000647C0000}"/>
    <cellStyle name="RIGs input cells 7 2 4 23" xfId="31457" xr:uid="{00000000-0005-0000-0000-0000657C0000}"/>
    <cellStyle name="RIGs input cells 7 2 4 24" xfId="31458" xr:uid="{00000000-0005-0000-0000-0000667C0000}"/>
    <cellStyle name="RIGs input cells 7 2 4 25" xfId="31459" xr:uid="{00000000-0005-0000-0000-0000677C0000}"/>
    <cellStyle name="RIGs input cells 7 2 4 26" xfId="31460" xr:uid="{00000000-0005-0000-0000-0000687C0000}"/>
    <cellStyle name="RIGs input cells 7 2 4 27" xfId="31461" xr:uid="{00000000-0005-0000-0000-0000697C0000}"/>
    <cellStyle name="RIGs input cells 7 2 4 28" xfId="31462" xr:uid="{00000000-0005-0000-0000-00006A7C0000}"/>
    <cellStyle name="RIGs input cells 7 2 4 29" xfId="31463" xr:uid="{00000000-0005-0000-0000-00006B7C0000}"/>
    <cellStyle name="RIGs input cells 7 2 4 3" xfId="31464" xr:uid="{00000000-0005-0000-0000-00006C7C0000}"/>
    <cellStyle name="RIGs input cells 7 2 4 30" xfId="31465" xr:uid="{00000000-0005-0000-0000-00006D7C0000}"/>
    <cellStyle name="RIGs input cells 7 2 4 4" xfId="31466" xr:uid="{00000000-0005-0000-0000-00006E7C0000}"/>
    <cellStyle name="RIGs input cells 7 2 4 5" xfId="31467" xr:uid="{00000000-0005-0000-0000-00006F7C0000}"/>
    <cellStyle name="RIGs input cells 7 2 4 6" xfId="31468" xr:uid="{00000000-0005-0000-0000-0000707C0000}"/>
    <cellStyle name="RIGs input cells 7 2 4 7" xfId="31469" xr:uid="{00000000-0005-0000-0000-0000717C0000}"/>
    <cellStyle name="RIGs input cells 7 2 4 8" xfId="31470" xr:uid="{00000000-0005-0000-0000-0000727C0000}"/>
    <cellStyle name="RIGs input cells 7 2 4 9" xfId="31471" xr:uid="{00000000-0005-0000-0000-0000737C0000}"/>
    <cellStyle name="RIGs input cells 7 2 5" xfId="31472" xr:uid="{00000000-0005-0000-0000-0000747C0000}"/>
    <cellStyle name="RIGs input cells 7 2 5 10" xfId="31473" xr:uid="{00000000-0005-0000-0000-0000757C0000}"/>
    <cellStyle name="RIGs input cells 7 2 5 11" xfId="31474" xr:uid="{00000000-0005-0000-0000-0000767C0000}"/>
    <cellStyle name="RIGs input cells 7 2 5 12" xfId="31475" xr:uid="{00000000-0005-0000-0000-0000777C0000}"/>
    <cellStyle name="RIGs input cells 7 2 5 13" xfId="31476" xr:uid="{00000000-0005-0000-0000-0000787C0000}"/>
    <cellStyle name="RIGs input cells 7 2 5 2" xfId="31477" xr:uid="{00000000-0005-0000-0000-0000797C0000}"/>
    <cellStyle name="RIGs input cells 7 2 5 3" xfId="31478" xr:uid="{00000000-0005-0000-0000-00007A7C0000}"/>
    <cellStyle name="RIGs input cells 7 2 5 4" xfId="31479" xr:uid="{00000000-0005-0000-0000-00007B7C0000}"/>
    <cellStyle name="RIGs input cells 7 2 5 5" xfId="31480" xr:uid="{00000000-0005-0000-0000-00007C7C0000}"/>
    <cellStyle name="RIGs input cells 7 2 5 6" xfId="31481" xr:uid="{00000000-0005-0000-0000-00007D7C0000}"/>
    <cellStyle name="RIGs input cells 7 2 5 7" xfId="31482" xr:uid="{00000000-0005-0000-0000-00007E7C0000}"/>
    <cellStyle name="RIGs input cells 7 2 5 8" xfId="31483" xr:uid="{00000000-0005-0000-0000-00007F7C0000}"/>
    <cellStyle name="RIGs input cells 7 2 5 9" xfId="31484" xr:uid="{00000000-0005-0000-0000-0000807C0000}"/>
    <cellStyle name="RIGs input cells 7 2 6" xfId="31485" xr:uid="{00000000-0005-0000-0000-0000817C0000}"/>
    <cellStyle name="RIGs input cells 7 2 7" xfId="31486" xr:uid="{00000000-0005-0000-0000-0000827C0000}"/>
    <cellStyle name="RIGs input cells 7 2 8" xfId="31487" xr:uid="{00000000-0005-0000-0000-0000837C0000}"/>
    <cellStyle name="RIGs input cells 7 2 9" xfId="31488" xr:uid="{00000000-0005-0000-0000-0000847C0000}"/>
    <cellStyle name="RIGs input cells 7 2_4 28 1_Asst_Health_Crit_AllTO_RIIO_20110714pm" xfId="31489" xr:uid="{00000000-0005-0000-0000-0000857C0000}"/>
    <cellStyle name="RIGs input cells 7 20" xfId="31490" xr:uid="{00000000-0005-0000-0000-0000867C0000}"/>
    <cellStyle name="RIGs input cells 7 21" xfId="31491" xr:uid="{00000000-0005-0000-0000-0000877C0000}"/>
    <cellStyle name="RIGs input cells 7 22" xfId="31492" xr:uid="{00000000-0005-0000-0000-0000887C0000}"/>
    <cellStyle name="RIGs input cells 7 23" xfId="31493" xr:uid="{00000000-0005-0000-0000-0000897C0000}"/>
    <cellStyle name="RIGs input cells 7 24" xfId="31494" xr:uid="{00000000-0005-0000-0000-00008A7C0000}"/>
    <cellStyle name="RIGs input cells 7 25" xfId="31495" xr:uid="{00000000-0005-0000-0000-00008B7C0000}"/>
    <cellStyle name="RIGs input cells 7 26" xfId="31496" xr:uid="{00000000-0005-0000-0000-00008C7C0000}"/>
    <cellStyle name="RIGs input cells 7 27" xfId="31497" xr:uid="{00000000-0005-0000-0000-00008D7C0000}"/>
    <cellStyle name="RIGs input cells 7 28" xfId="31498" xr:uid="{00000000-0005-0000-0000-00008E7C0000}"/>
    <cellStyle name="RIGs input cells 7 29" xfId="31499" xr:uid="{00000000-0005-0000-0000-00008F7C0000}"/>
    <cellStyle name="RIGs input cells 7 3" xfId="31500" xr:uid="{00000000-0005-0000-0000-0000907C0000}"/>
    <cellStyle name="RIGs input cells 7 3 10" xfId="31501" xr:uid="{00000000-0005-0000-0000-0000917C0000}"/>
    <cellStyle name="RIGs input cells 7 3 11" xfId="31502" xr:uid="{00000000-0005-0000-0000-0000927C0000}"/>
    <cellStyle name="RIGs input cells 7 3 12" xfId="31503" xr:uid="{00000000-0005-0000-0000-0000937C0000}"/>
    <cellStyle name="RIGs input cells 7 3 13" xfId="31504" xr:uid="{00000000-0005-0000-0000-0000947C0000}"/>
    <cellStyle name="RIGs input cells 7 3 14" xfId="31505" xr:uid="{00000000-0005-0000-0000-0000957C0000}"/>
    <cellStyle name="RIGs input cells 7 3 15" xfId="31506" xr:uid="{00000000-0005-0000-0000-0000967C0000}"/>
    <cellStyle name="RIGs input cells 7 3 16" xfId="31507" xr:uid="{00000000-0005-0000-0000-0000977C0000}"/>
    <cellStyle name="RIGs input cells 7 3 17" xfId="31508" xr:uid="{00000000-0005-0000-0000-0000987C0000}"/>
    <cellStyle name="RIGs input cells 7 3 18" xfId="31509" xr:uid="{00000000-0005-0000-0000-0000997C0000}"/>
    <cellStyle name="RIGs input cells 7 3 19" xfId="31510" xr:uid="{00000000-0005-0000-0000-00009A7C0000}"/>
    <cellStyle name="RIGs input cells 7 3 2" xfId="31511" xr:uid="{00000000-0005-0000-0000-00009B7C0000}"/>
    <cellStyle name="RIGs input cells 7 3 2 10" xfId="31512" xr:uid="{00000000-0005-0000-0000-00009C7C0000}"/>
    <cellStyle name="RIGs input cells 7 3 2 11" xfId="31513" xr:uid="{00000000-0005-0000-0000-00009D7C0000}"/>
    <cellStyle name="RIGs input cells 7 3 2 12" xfId="31514" xr:uid="{00000000-0005-0000-0000-00009E7C0000}"/>
    <cellStyle name="RIGs input cells 7 3 2 13" xfId="31515" xr:uid="{00000000-0005-0000-0000-00009F7C0000}"/>
    <cellStyle name="RIGs input cells 7 3 2 14" xfId="31516" xr:uid="{00000000-0005-0000-0000-0000A07C0000}"/>
    <cellStyle name="RIGs input cells 7 3 2 15" xfId="31517" xr:uid="{00000000-0005-0000-0000-0000A17C0000}"/>
    <cellStyle name="RIGs input cells 7 3 2 16" xfId="31518" xr:uid="{00000000-0005-0000-0000-0000A27C0000}"/>
    <cellStyle name="RIGs input cells 7 3 2 17" xfId="31519" xr:uid="{00000000-0005-0000-0000-0000A37C0000}"/>
    <cellStyle name="RIGs input cells 7 3 2 18" xfId="31520" xr:uid="{00000000-0005-0000-0000-0000A47C0000}"/>
    <cellStyle name="RIGs input cells 7 3 2 19" xfId="31521" xr:uid="{00000000-0005-0000-0000-0000A57C0000}"/>
    <cellStyle name="RIGs input cells 7 3 2 2" xfId="31522" xr:uid="{00000000-0005-0000-0000-0000A67C0000}"/>
    <cellStyle name="RIGs input cells 7 3 2 2 10" xfId="31523" xr:uid="{00000000-0005-0000-0000-0000A77C0000}"/>
    <cellStyle name="RIGs input cells 7 3 2 2 11" xfId="31524" xr:uid="{00000000-0005-0000-0000-0000A87C0000}"/>
    <cellStyle name="RIGs input cells 7 3 2 2 12" xfId="31525" xr:uid="{00000000-0005-0000-0000-0000A97C0000}"/>
    <cellStyle name="RIGs input cells 7 3 2 2 13" xfId="31526" xr:uid="{00000000-0005-0000-0000-0000AA7C0000}"/>
    <cellStyle name="RIGs input cells 7 3 2 2 2" xfId="31527" xr:uid="{00000000-0005-0000-0000-0000AB7C0000}"/>
    <cellStyle name="RIGs input cells 7 3 2 2 3" xfId="31528" xr:uid="{00000000-0005-0000-0000-0000AC7C0000}"/>
    <cellStyle name="RIGs input cells 7 3 2 2 4" xfId="31529" xr:uid="{00000000-0005-0000-0000-0000AD7C0000}"/>
    <cellStyle name="RIGs input cells 7 3 2 2 5" xfId="31530" xr:uid="{00000000-0005-0000-0000-0000AE7C0000}"/>
    <cellStyle name="RIGs input cells 7 3 2 2 6" xfId="31531" xr:uid="{00000000-0005-0000-0000-0000AF7C0000}"/>
    <cellStyle name="RIGs input cells 7 3 2 2 7" xfId="31532" xr:uid="{00000000-0005-0000-0000-0000B07C0000}"/>
    <cellStyle name="RIGs input cells 7 3 2 2 8" xfId="31533" xr:uid="{00000000-0005-0000-0000-0000B17C0000}"/>
    <cellStyle name="RIGs input cells 7 3 2 2 9" xfId="31534" xr:uid="{00000000-0005-0000-0000-0000B27C0000}"/>
    <cellStyle name="RIGs input cells 7 3 2 20" xfId="31535" xr:uid="{00000000-0005-0000-0000-0000B37C0000}"/>
    <cellStyle name="RIGs input cells 7 3 2 21" xfId="31536" xr:uid="{00000000-0005-0000-0000-0000B47C0000}"/>
    <cellStyle name="RIGs input cells 7 3 2 22" xfId="31537" xr:uid="{00000000-0005-0000-0000-0000B57C0000}"/>
    <cellStyle name="RIGs input cells 7 3 2 23" xfId="31538" xr:uid="{00000000-0005-0000-0000-0000B67C0000}"/>
    <cellStyle name="RIGs input cells 7 3 2 24" xfId="31539" xr:uid="{00000000-0005-0000-0000-0000B77C0000}"/>
    <cellStyle name="RIGs input cells 7 3 2 25" xfId="31540" xr:uid="{00000000-0005-0000-0000-0000B87C0000}"/>
    <cellStyle name="RIGs input cells 7 3 2 26" xfId="31541" xr:uid="{00000000-0005-0000-0000-0000B97C0000}"/>
    <cellStyle name="RIGs input cells 7 3 2 27" xfId="31542" xr:uid="{00000000-0005-0000-0000-0000BA7C0000}"/>
    <cellStyle name="RIGs input cells 7 3 2 28" xfId="31543" xr:uid="{00000000-0005-0000-0000-0000BB7C0000}"/>
    <cellStyle name="RIGs input cells 7 3 2 29" xfId="31544" xr:uid="{00000000-0005-0000-0000-0000BC7C0000}"/>
    <cellStyle name="RIGs input cells 7 3 2 3" xfId="31545" xr:uid="{00000000-0005-0000-0000-0000BD7C0000}"/>
    <cellStyle name="RIGs input cells 7 3 2 30" xfId="31546" xr:uid="{00000000-0005-0000-0000-0000BE7C0000}"/>
    <cellStyle name="RIGs input cells 7 3 2 31" xfId="31547" xr:uid="{00000000-0005-0000-0000-0000BF7C0000}"/>
    <cellStyle name="RIGs input cells 7 3 2 32" xfId="31548" xr:uid="{00000000-0005-0000-0000-0000C07C0000}"/>
    <cellStyle name="RIGs input cells 7 3 2 33" xfId="31549" xr:uid="{00000000-0005-0000-0000-0000C17C0000}"/>
    <cellStyle name="RIGs input cells 7 3 2 34" xfId="31550" xr:uid="{00000000-0005-0000-0000-0000C27C0000}"/>
    <cellStyle name="RIGs input cells 7 3 2 4" xfId="31551" xr:uid="{00000000-0005-0000-0000-0000C37C0000}"/>
    <cellStyle name="RIGs input cells 7 3 2 5" xfId="31552" xr:uid="{00000000-0005-0000-0000-0000C47C0000}"/>
    <cellStyle name="RIGs input cells 7 3 2 6" xfId="31553" xr:uid="{00000000-0005-0000-0000-0000C57C0000}"/>
    <cellStyle name="RIGs input cells 7 3 2 7" xfId="31554" xr:uid="{00000000-0005-0000-0000-0000C67C0000}"/>
    <cellStyle name="RIGs input cells 7 3 2 8" xfId="31555" xr:uid="{00000000-0005-0000-0000-0000C77C0000}"/>
    <cellStyle name="RIGs input cells 7 3 2 9" xfId="31556" xr:uid="{00000000-0005-0000-0000-0000C87C0000}"/>
    <cellStyle name="RIGs input cells 7 3 20" xfId="31557" xr:uid="{00000000-0005-0000-0000-0000C97C0000}"/>
    <cellStyle name="RIGs input cells 7 3 21" xfId="31558" xr:uid="{00000000-0005-0000-0000-0000CA7C0000}"/>
    <cellStyle name="RIGs input cells 7 3 22" xfId="31559" xr:uid="{00000000-0005-0000-0000-0000CB7C0000}"/>
    <cellStyle name="RIGs input cells 7 3 23" xfId="31560" xr:uid="{00000000-0005-0000-0000-0000CC7C0000}"/>
    <cellStyle name="RIGs input cells 7 3 24" xfId="31561" xr:uid="{00000000-0005-0000-0000-0000CD7C0000}"/>
    <cellStyle name="RIGs input cells 7 3 25" xfId="31562" xr:uid="{00000000-0005-0000-0000-0000CE7C0000}"/>
    <cellStyle name="RIGs input cells 7 3 26" xfId="31563" xr:uid="{00000000-0005-0000-0000-0000CF7C0000}"/>
    <cellStyle name="RIGs input cells 7 3 27" xfId="31564" xr:uid="{00000000-0005-0000-0000-0000D07C0000}"/>
    <cellStyle name="RIGs input cells 7 3 28" xfId="31565" xr:uid="{00000000-0005-0000-0000-0000D17C0000}"/>
    <cellStyle name="RIGs input cells 7 3 29" xfId="31566" xr:uid="{00000000-0005-0000-0000-0000D27C0000}"/>
    <cellStyle name="RIGs input cells 7 3 3" xfId="31567" xr:uid="{00000000-0005-0000-0000-0000D37C0000}"/>
    <cellStyle name="RIGs input cells 7 3 3 10" xfId="31568" xr:uid="{00000000-0005-0000-0000-0000D47C0000}"/>
    <cellStyle name="RIGs input cells 7 3 3 11" xfId="31569" xr:uid="{00000000-0005-0000-0000-0000D57C0000}"/>
    <cellStyle name="RIGs input cells 7 3 3 12" xfId="31570" xr:uid="{00000000-0005-0000-0000-0000D67C0000}"/>
    <cellStyle name="RIGs input cells 7 3 3 13" xfId="31571" xr:uid="{00000000-0005-0000-0000-0000D77C0000}"/>
    <cellStyle name="RIGs input cells 7 3 3 2" xfId="31572" xr:uid="{00000000-0005-0000-0000-0000D87C0000}"/>
    <cellStyle name="RIGs input cells 7 3 3 3" xfId="31573" xr:uid="{00000000-0005-0000-0000-0000D97C0000}"/>
    <cellStyle name="RIGs input cells 7 3 3 4" xfId="31574" xr:uid="{00000000-0005-0000-0000-0000DA7C0000}"/>
    <cellStyle name="RIGs input cells 7 3 3 5" xfId="31575" xr:uid="{00000000-0005-0000-0000-0000DB7C0000}"/>
    <cellStyle name="RIGs input cells 7 3 3 6" xfId="31576" xr:uid="{00000000-0005-0000-0000-0000DC7C0000}"/>
    <cellStyle name="RIGs input cells 7 3 3 7" xfId="31577" xr:uid="{00000000-0005-0000-0000-0000DD7C0000}"/>
    <cellStyle name="RIGs input cells 7 3 3 8" xfId="31578" xr:uid="{00000000-0005-0000-0000-0000DE7C0000}"/>
    <cellStyle name="RIGs input cells 7 3 3 9" xfId="31579" xr:uid="{00000000-0005-0000-0000-0000DF7C0000}"/>
    <cellStyle name="RIGs input cells 7 3 30" xfId="31580" xr:uid="{00000000-0005-0000-0000-0000E07C0000}"/>
    <cellStyle name="RIGs input cells 7 3 31" xfId="31581" xr:uid="{00000000-0005-0000-0000-0000E17C0000}"/>
    <cellStyle name="RIGs input cells 7 3 32" xfId="31582" xr:uid="{00000000-0005-0000-0000-0000E27C0000}"/>
    <cellStyle name="RIGs input cells 7 3 33" xfId="31583" xr:uid="{00000000-0005-0000-0000-0000E37C0000}"/>
    <cellStyle name="RIGs input cells 7 3 34" xfId="31584" xr:uid="{00000000-0005-0000-0000-0000E47C0000}"/>
    <cellStyle name="RIGs input cells 7 3 35" xfId="31585" xr:uid="{00000000-0005-0000-0000-0000E57C0000}"/>
    <cellStyle name="RIGs input cells 7 3 4" xfId="31586" xr:uid="{00000000-0005-0000-0000-0000E67C0000}"/>
    <cellStyle name="RIGs input cells 7 3 5" xfId="31587" xr:uid="{00000000-0005-0000-0000-0000E77C0000}"/>
    <cellStyle name="RIGs input cells 7 3 6" xfId="31588" xr:uid="{00000000-0005-0000-0000-0000E87C0000}"/>
    <cellStyle name="RIGs input cells 7 3 7" xfId="31589" xr:uid="{00000000-0005-0000-0000-0000E97C0000}"/>
    <cellStyle name="RIGs input cells 7 3 8" xfId="31590" xr:uid="{00000000-0005-0000-0000-0000EA7C0000}"/>
    <cellStyle name="RIGs input cells 7 3 9" xfId="31591" xr:uid="{00000000-0005-0000-0000-0000EB7C0000}"/>
    <cellStyle name="RIGs input cells 7 3_4 28 1_Asst_Health_Crit_AllTO_RIIO_20110714pm" xfId="31592" xr:uid="{00000000-0005-0000-0000-0000EC7C0000}"/>
    <cellStyle name="RIGs input cells 7 30" xfId="31593" xr:uid="{00000000-0005-0000-0000-0000ED7C0000}"/>
    <cellStyle name="RIGs input cells 7 31" xfId="31594" xr:uid="{00000000-0005-0000-0000-0000EE7C0000}"/>
    <cellStyle name="RIGs input cells 7 32" xfId="31595" xr:uid="{00000000-0005-0000-0000-0000EF7C0000}"/>
    <cellStyle name="RIGs input cells 7 33" xfId="31596" xr:uid="{00000000-0005-0000-0000-0000F07C0000}"/>
    <cellStyle name="RIGs input cells 7 34" xfId="31597" xr:uid="{00000000-0005-0000-0000-0000F17C0000}"/>
    <cellStyle name="RIGs input cells 7 35" xfId="31598" xr:uid="{00000000-0005-0000-0000-0000F27C0000}"/>
    <cellStyle name="RIGs input cells 7 36" xfId="31599" xr:uid="{00000000-0005-0000-0000-0000F37C0000}"/>
    <cellStyle name="RIGs input cells 7 37" xfId="31600" xr:uid="{00000000-0005-0000-0000-0000F47C0000}"/>
    <cellStyle name="RIGs input cells 7 38" xfId="31601" xr:uid="{00000000-0005-0000-0000-0000F57C0000}"/>
    <cellStyle name="RIGs input cells 7 39" xfId="31602" xr:uid="{00000000-0005-0000-0000-0000F67C0000}"/>
    <cellStyle name="RIGs input cells 7 4" xfId="31603" xr:uid="{00000000-0005-0000-0000-0000F77C0000}"/>
    <cellStyle name="RIGs input cells 7 4 10" xfId="31604" xr:uid="{00000000-0005-0000-0000-0000F87C0000}"/>
    <cellStyle name="RIGs input cells 7 4 11" xfId="31605" xr:uid="{00000000-0005-0000-0000-0000F97C0000}"/>
    <cellStyle name="RIGs input cells 7 4 12" xfId="31606" xr:uid="{00000000-0005-0000-0000-0000FA7C0000}"/>
    <cellStyle name="RIGs input cells 7 4 13" xfId="31607" xr:uid="{00000000-0005-0000-0000-0000FB7C0000}"/>
    <cellStyle name="RIGs input cells 7 4 14" xfId="31608" xr:uid="{00000000-0005-0000-0000-0000FC7C0000}"/>
    <cellStyle name="RIGs input cells 7 4 15" xfId="31609" xr:uid="{00000000-0005-0000-0000-0000FD7C0000}"/>
    <cellStyle name="RIGs input cells 7 4 16" xfId="31610" xr:uid="{00000000-0005-0000-0000-0000FE7C0000}"/>
    <cellStyle name="RIGs input cells 7 4 17" xfId="31611" xr:uid="{00000000-0005-0000-0000-0000FF7C0000}"/>
    <cellStyle name="RIGs input cells 7 4 18" xfId="31612" xr:uid="{00000000-0005-0000-0000-0000007D0000}"/>
    <cellStyle name="RIGs input cells 7 4 19" xfId="31613" xr:uid="{00000000-0005-0000-0000-0000017D0000}"/>
    <cellStyle name="RIGs input cells 7 4 2" xfId="31614" xr:uid="{00000000-0005-0000-0000-0000027D0000}"/>
    <cellStyle name="RIGs input cells 7 4 2 10" xfId="31615" xr:uid="{00000000-0005-0000-0000-0000037D0000}"/>
    <cellStyle name="RIGs input cells 7 4 2 11" xfId="31616" xr:uid="{00000000-0005-0000-0000-0000047D0000}"/>
    <cellStyle name="RIGs input cells 7 4 2 12" xfId="31617" xr:uid="{00000000-0005-0000-0000-0000057D0000}"/>
    <cellStyle name="RIGs input cells 7 4 2 13" xfId="31618" xr:uid="{00000000-0005-0000-0000-0000067D0000}"/>
    <cellStyle name="RIGs input cells 7 4 2 2" xfId="31619" xr:uid="{00000000-0005-0000-0000-0000077D0000}"/>
    <cellStyle name="RIGs input cells 7 4 2 3" xfId="31620" xr:uid="{00000000-0005-0000-0000-0000087D0000}"/>
    <cellStyle name="RIGs input cells 7 4 2 4" xfId="31621" xr:uid="{00000000-0005-0000-0000-0000097D0000}"/>
    <cellStyle name="RIGs input cells 7 4 2 5" xfId="31622" xr:uid="{00000000-0005-0000-0000-00000A7D0000}"/>
    <cellStyle name="RIGs input cells 7 4 2 6" xfId="31623" xr:uid="{00000000-0005-0000-0000-00000B7D0000}"/>
    <cellStyle name="RIGs input cells 7 4 2 7" xfId="31624" xr:uid="{00000000-0005-0000-0000-00000C7D0000}"/>
    <cellStyle name="RIGs input cells 7 4 2 8" xfId="31625" xr:uid="{00000000-0005-0000-0000-00000D7D0000}"/>
    <cellStyle name="RIGs input cells 7 4 2 9" xfId="31626" xr:uid="{00000000-0005-0000-0000-00000E7D0000}"/>
    <cellStyle name="RIGs input cells 7 4 20" xfId="31627" xr:uid="{00000000-0005-0000-0000-00000F7D0000}"/>
    <cellStyle name="RIGs input cells 7 4 21" xfId="31628" xr:uid="{00000000-0005-0000-0000-0000107D0000}"/>
    <cellStyle name="RIGs input cells 7 4 22" xfId="31629" xr:uid="{00000000-0005-0000-0000-0000117D0000}"/>
    <cellStyle name="RIGs input cells 7 4 23" xfId="31630" xr:uid="{00000000-0005-0000-0000-0000127D0000}"/>
    <cellStyle name="RIGs input cells 7 4 24" xfId="31631" xr:uid="{00000000-0005-0000-0000-0000137D0000}"/>
    <cellStyle name="RIGs input cells 7 4 25" xfId="31632" xr:uid="{00000000-0005-0000-0000-0000147D0000}"/>
    <cellStyle name="RIGs input cells 7 4 26" xfId="31633" xr:uid="{00000000-0005-0000-0000-0000157D0000}"/>
    <cellStyle name="RIGs input cells 7 4 27" xfId="31634" xr:uid="{00000000-0005-0000-0000-0000167D0000}"/>
    <cellStyle name="RIGs input cells 7 4 28" xfId="31635" xr:uid="{00000000-0005-0000-0000-0000177D0000}"/>
    <cellStyle name="RIGs input cells 7 4 29" xfId="31636" xr:uid="{00000000-0005-0000-0000-0000187D0000}"/>
    <cellStyle name="RIGs input cells 7 4 3" xfId="31637" xr:uid="{00000000-0005-0000-0000-0000197D0000}"/>
    <cellStyle name="RIGs input cells 7 4 30" xfId="31638" xr:uid="{00000000-0005-0000-0000-00001A7D0000}"/>
    <cellStyle name="RIGs input cells 7 4 31" xfId="31639" xr:uid="{00000000-0005-0000-0000-00001B7D0000}"/>
    <cellStyle name="RIGs input cells 7 4 32" xfId="31640" xr:uid="{00000000-0005-0000-0000-00001C7D0000}"/>
    <cellStyle name="RIGs input cells 7 4 33" xfId="31641" xr:uid="{00000000-0005-0000-0000-00001D7D0000}"/>
    <cellStyle name="RIGs input cells 7 4 34" xfId="31642" xr:uid="{00000000-0005-0000-0000-00001E7D0000}"/>
    <cellStyle name="RIGs input cells 7 4 4" xfId="31643" xr:uid="{00000000-0005-0000-0000-00001F7D0000}"/>
    <cellStyle name="RIGs input cells 7 4 5" xfId="31644" xr:uid="{00000000-0005-0000-0000-0000207D0000}"/>
    <cellStyle name="RIGs input cells 7 4 6" xfId="31645" xr:uid="{00000000-0005-0000-0000-0000217D0000}"/>
    <cellStyle name="RIGs input cells 7 4 7" xfId="31646" xr:uid="{00000000-0005-0000-0000-0000227D0000}"/>
    <cellStyle name="RIGs input cells 7 4 8" xfId="31647" xr:uid="{00000000-0005-0000-0000-0000237D0000}"/>
    <cellStyle name="RIGs input cells 7 4 9" xfId="31648" xr:uid="{00000000-0005-0000-0000-0000247D0000}"/>
    <cellStyle name="RIGs input cells 7 5" xfId="31649" xr:uid="{00000000-0005-0000-0000-0000257D0000}"/>
    <cellStyle name="RIGs input cells 7 5 10" xfId="31650" xr:uid="{00000000-0005-0000-0000-0000267D0000}"/>
    <cellStyle name="RIGs input cells 7 5 11" xfId="31651" xr:uid="{00000000-0005-0000-0000-0000277D0000}"/>
    <cellStyle name="RIGs input cells 7 5 12" xfId="31652" xr:uid="{00000000-0005-0000-0000-0000287D0000}"/>
    <cellStyle name="RIGs input cells 7 5 13" xfId="31653" xr:uid="{00000000-0005-0000-0000-0000297D0000}"/>
    <cellStyle name="RIGs input cells 7 5 14" xfId="31654" xr:uid="{00000000-0005-0000-0000-00002A7D0000}"/>
    <cellStyle name="RIGs input cells 7 5 15" xfId="31655" xr:uid="{00000000-0005-0000-0000-00002B7D0000}"/>
    <cellStyle name="RIGs input cells 7 5 16" xfId="31656" xr:uid="{00000000-0005-0000-0000-00002C7D0000}"/>
    <cellStyle name="RIGs input cells 7 5 17" xfId="31657" xr:uid="{00000000-0005-0000-0000-00002D7D0000}"/>
    <cellStyle name="RIGs input cells 7 5 18" xfId="31658" xr:uid="{00000000-0005-0000-0000-00002E7D0000}"/>
    <cellStyle name="RIGs input cells 7 5 19" xfId="31659" xr:uid="{00000000-0005-0000-0000-00002F7D0000}"/>
    <cellStyle name="RIGs input cells 7 5 2" xfId="31660" xr:uid="{00000000-0005-0000-0000-0000307D0000}"/>
    <cellStyle name="RIGs input cells 7 5 2 10" xfId="31661" xr:uid="{00000000-0005-0000-0000-0000317D0000}"/>
    <cellStyle name="RIGs input cells 7 5 2 11" xfId="31662" xr:uid="{00000000-0005-0000-0000-0000327D0000}"/>
    <cellStyle name="RIGs input cells 7 5 2 12" xfId="31663" xr:uid="{00000000-0005-0000-0000-0000337D0000}"/>
    <cellStyle name="RIGs input cells 7 5 2 13" xfId="31664" xr:uid="{00000000-0005-0000-0000-0000347D0000}"/>
    <cellStyle name="RIGs input cells 7 5 2 2" xfId="31665" xr:uid="{00000000-0005-0000-0000-0000357D0000}"/>
    <cellStyle name="RIGs input cells 7 5 2 3" xfId="31666" xr:uid="{00000000-0005-0000-0000-0000367D0000}"/>
    <cellStyle name="RIGs input cells 7 5 2 4" xfId="31667" xr:uid="{00000000-0005-0000-0000-0000377D0000}"/>
    <cellStyle name="RIGs input cells 7 5 2 5" xfId="31668" xr:uid="{00000000-0005-0000-0000-0000387D0000}"/>
    <cellStyle name="RIGs input cells 7 5 2 6" xfId="31669" xr:uid="{00000000-0005-0000-0000-0000397D0000}"/>
    <cellStyle name="RIGs input cells 7 5 2 7" xfId="31670" xr:uid="{00000000-0005-0000-0000-00003A7D0000}"/>
    <cellStyle name="RIGs input cells 7 5 2 8" xfId="31671" xr:uid="{00000000-0005-0000-0000-00003B7D0000}"/>
    <cellStyle name="RIGs input cells 7 5 2 9" xfId="31672" xr:uid="{00000000-0005-0000-0000-00003C7D0000}"/>
    <cellStyle name="RIGs input cells 7 5 20" xfId="31673" xr:uid="{00000000-0005-0000-0000-00003D7D0000}"/>
    <cellStyle name="RIGs input cells 7 5 21" xfId="31674" xr:uid="{00000000-0005-0000-0000-00003E7D0000}"/>
    <cellStyle name="RIGs input cells 7 5 22" xfId="31675" xr:uid="{00000000-0005-0000-0000-00003F7D0000}"/>
    <cellStyle name="RIGs input cells 7 5 23" xfId="31676" xr:uid="{00000000-0005-0000-0000-0000407D0000}"/>
    <cellStyle name="RIGs input cells 7 5 24" xfId="31677" xr:uid="{00000000-0005-0000-0000-0000417D0000}"/>
    <cellStyle name="RIGs input cells 7 5 25" xfId="31678" xr:uid="{00000000-0005-0000-0000-0000427D0000}"/>
    <cellStyle name="RIGs input cells 7 5 26" xfId="31679" xr:uid="{00000000-0005-0000-0000-0000437D0000}"/>
    <cellStyle name="RIGs input cells 7 5 27" xfId="31680" xr:uid="{00000000-0005-0000-0000-0000447D0000}"/>
    <cellStyle name="RIGs input cells 7 5 28" xfId="31681" xr:uid="{00000000-0005-0000-0000-0000457D0000}"/>
    <cellStyle name="RIGs input cells 7 5 29" xfId="31682" xr:uid="{00000000-0005-0000-0000-0000467D0000}"/>
    <cellStyle name="RIGs input cells 7 5 3" xfId="31683" xr:uid="{00000000-0005-0000-0000-0000477D0000}"/>
    <cellStyle name="RIGs input cells 7 5 30" xfId="31684" xr:uid="{00000000-0005-0000-0000-0000487D0000}"/>
    <cellStyle name="RIGs input cells 7 5 31" xfId="31685" xr:uid="{00000000-0005-0000-0000-0000497D0000}"/>
    <cellStyle name="RIGs input cells 7 5 32" xfId="31686" xr:uid="{00000000-0005-0000-0000-00004A7D0000}"/>
    <cellStyle name="RIGs input cells 7 5 33" xfId="31687" xr:uid="{00000000-0005-0000-0000-00004B7D0000}"/>
    <cellStyle name="RIGs input cells 7 5 34" xfId="31688" xr:uid="{00000000-0005-0000-0000-00004C7D0000}"/>
    <cellStyle name="RIGs input cells 7 5 4" xfId="31689" xr:uid="{00000000-0005-0000-0000-00004D7D0000}"/>
    <cellStyle name="RIGs input cells 7 5 5" xfId="31690" xr:uid="{00000000-0005-0000-0000-00004E7D0000}"/>
    <cellStyle name="RIGs input cells 7 5 6" xfId="31691" xr:uid="{00000000-0005-0000-0000-00004F7D0000}"/>
    <cellStyle name="RIGs input cells 7 5 7" xfId="31692" xr:uid="{00000000-0005-0000-0000-0000507D0000}"/>
    <cellStyle name="RIGs input cells 7 5 8" xfId="31693" xr:uid="{00000000-0005-0000-0000-0000517D0000}"/>
    <cellStyle name="RIGs input cells 7 5 9" xfId="31694" xr:uid="{00000000-0005-0000-0000-0000527D0000}"/>
    <cellStyle name="RIGs input cells 7 6" xfId="31695" xr:uid="{00000000-0005-0000-0000-0000537D0000}"/>
    <cellStyle name="RIGs input cells 7 6 10" xfId="31696" xr:uid="{00000000-0005-0000-0000-0000547D0000}"/>
    <cellStyle name="RIGs input cells 7 6 11" xfId="31697" xr:uid="{00000000-0005-0000-0000-0000557D0000}"/>
    <cellStyle name="RIGs input cells 7 6 12" xfId="31698" xr:uid="{00000000-0005-0000-0000-0000567D0000}"/>
    <cellStyle name="RIGs input cells 7 6 13" xfId="31699" xr:uid="{00000000-0005-0000-0000-0000577D0000}"/>
    <cellStyle name="RIGs input cells 7 6 2" xfId="31700" xr:uid="{00000000-0005-0000-0000-0000587D0000}"/>
    <cellStyle name="RIGs input cells 7 6 3" xfId="31701" xr:uid="{00000000-0005-0000-0000-0000597D0000}"/>
    <cellStyle name="RIGs input cells 7 6 4" xfId="31702" xr:uid="{00000000-0005-0000-0000-00005A7D0000}"/>
    <cellStyle name="RIGs input cells 7 6 5" xfId="31703" xr:uid="{00000000-0005-0000-0000-00005B7D0000}"/>
    <cellStyle name="RIGs input cells 7 6 6" xfId="31704" xr:uid="{00000000-0005-0000-0000-00005C7D0000}"/>
    <cellStyle name="RIGs input cells 7 6 7" xfId="31705" xr:uid="{00000000-0005-0000-0000-00005D7D0000}"/>
    <cellStyle name="RIGs input cells 7 6 8" xfId="31706" xr:uid="{00000000-0005-0000-0000-00005E7D0000}"/>
    <cellStyle name="RIGs input cells 7 6 9" xfId="31707" xr:uid="{00000000-0005-0000-0000-00005F7D0000}"/>
    <cellStyle name="RIGs input cells 7 7" xfId="31708" xr:uid="{00000000-0005-0000-0000-0000607D0000}"/>
    <cellStyle name="RIGs input cells 7 8" xfId="31709" xr:uid="{00000000-0005-0000-0000-0000617D0000}"/>
    <cellStyle name="RIGs input cells 7 9" xfId="31710" xr:uid="{00000000-0005-0000-0000-0000627D0000}"/>
    <cellStyle name="RIGs input cells 7_3.15 Additional Data" xfId="42407" xr:uid="{00000000-0005-0000-0000-0000637D0000}"/>
    <cellStyle name="RIGs input cells 8" xfId="31711" xr:uid="{00000000-0005-0000-0000-0000647D0000}"/>
    <cellStyle name="RIGs input cells 8 10" xfId="31712" xr:uid="{00000000-0005-0000-0000-0000657D0000}"/>
    <cellStyle name="RIGs input cells 8 11" xfId="31713" xr:uid="{00000000-0005-0000-0000-0000667D0000}"/>
    <cellStyle name="RIGs input cells 8 12" xfId="31714" xr:uid="{00000000-0005-0000-0000-0000677D0000}"/>
    <cellStyle name="RIGs input cells 8 13" xfId="31715" xr:uid="{00000000-0005-0000-0000-0000687D0000}"/>
    <cellStyle name="RIGs input cells 8 14" xfId="31716" xr:uid="{00000000-0005-0000-0000-0000697D0000}"/>
    <cellStyle name="RIGs input cells 8 15" xfId="31717" xr:uid="{00000000-0005-0000-0000-00006A7D0000}"/>
    <cellStyle name="RIGs input cells 8 16" xfId="31718" xr:uid="{00000000-0005-0000-0000-00006B7D0000}"/>
    <cellStyle name="RIGs input cells 8 17" xfId="31719" xr:uid="{00000000-0005-0000-0000-00006C7D0000}"/>
    <cellStyle name="RIGs input cells 8 18" xfId="31720" xr:uid="{00000000-0005-0000-0000-00006D7D0000}"/>
    <cellStyle name="RIGs input cells 8 19" xfId="31721" xr:uid="{00000000-0005-0000-0000-00006E7D0000}"/>
    <cellStyle name="RIGs input cells 8 2" xfId="31722" xr:uid="{00000000-0005-0000-0000-00006F7D0000}"/>
    <cellStyle name="RIGs input cells 8 2 10" xfId="31723" xr:uid="{00000000-0005-0000-0000-0000707D0000}"/>
    <cellStyle name="RIGs input cells 8 2 11" xfId="31724" xr:uid="{00000000-0005-0000-0000-0000717D0000}"/>
    <cellStyle name="RIGs input cells 8 2 12" xfId="31725" xr:uid="{00000000-0005-0000-0000-0000727D0000}"/>
    <cellStyle name="RIGs input cells 8 2 13" xfId="31726" xr:uid="{00000000-0005-0000-0000-0000737D0000}"/>
    <cellStyle name="RIGs input cells 8 2 14" xfId="31727" xr:uid="{00000000-0005-0000-0000-0000747D0000}"/>
    <cellStyle name="RIGs input cells 8 2 15" xfId="31728" xr:uid="{00000000-0005-0000-0000-0000757D0000}"/>
    <cellStyle name="RIGs input cells 8 2 16" xfId="31729" xr:uid="{00000000-0005-0000-0000-0000767D0000}"/>
    <cellStyle name="RIGs input cells 8 2 17" xfId="31730" xr:uid="{00000000-0005-0000-0000-0000777D0000}"/>
    <cellStyle name="RIGs input cells 8 2 18" xfId="31731" xr:uid="{00000000-0005-0000-0000-0000787D0000}"/>
    <cellStyle name="RIGs input cells 8 2 19" xfId="31732" xr:uid="{00000000-0005-0000-0000-0000797D0000}"/>
    <cellStyle name="RIGs input cells 8 2 2" xfId="31733" xr:uid="{00000000-0005-0000-0000-00007A7D0000}"/>
    <cellStyle name="RIGs input cells 8 2 2 10" xfId="31734" xr:uid="{00000000-0005-0000-0000-00007B7D0000}"/>
    <cellStyle name="RIGs input cells 8 2 2 11" xfId="31735" xr:uid="{00000000-0005-0000-0000-00007C7D0000}"/>
    <cellStyle name="RIGs input cells 8 2 2 12" xfId="31736" xr:uid="{00000000-0005-0000-0000-00007D7D0000}"/>
    <cellStyle name="RIGs input cells 8 2 2 13" xfId="31737" xr:uid="{00000000-0005-0000-0000-00007E7D0000}"/>
    <cellStyle name="RIGs input cells 8 2 2 14" xfId="31738" xr:uid="{00000000-0005-0000-0000-00007F7D0000}"/>
    <cellStyle name="RIGs input cells 8 2 2 15" xfId="31739" xr:uid="{00000000-0005-0000-0000-0000807D0000}"/>
    <cellStyle name="RIGs input cells 8 2 2 16" xfId="31740" xr:uid="{00000000-0005-0000-0000-0000817D0000}"/>
    <cellStyle name="RIGs input cells 8 2 2 17" xfId="31741" xr:uid="{00000000-0005-0000-0000-0000827D0000}"/>
    <cellStyle name="RIGs input cells 8 2 2 18" xfId="31742" xr:uid="{00000000-0005-0000-0000-0000837D0000}"/>
    <cellStyle name="RIGs input cells 8 2 2 19" xfId="31743" xr:uid="{00000000-0005-0000-0000-0000847D0000}"/>
    <cellStyle name="RIGs input cells 8 2 2 2" xfId="31744" xr:uid="{00000000-0005-0000-0000-0000857D0000}"/>
    <cellStyle name="RIGs input cells 8 2 2 2 10" xfId="31745" xr:uid="{00000000-0005-0000-0000-0000867D0000}"/>
    <cellStyle name="RIGs input cells 8 2 2 2 11" xfId="31746" xr:uid="{00000000-0005-0000-0000-0000877D0000}"/>
    <cellStyle name="RIGs input cells 8 2 2 2 12" xfId="31747" xr:uid="{00000000-0005-0000-0000-0000887D0000}"/>
    <cellStyle name="RIGs input cells 8 2 2 2 13" xfId="31748" xr:uid="{00000000-0005-0000-0000-0000897D0000}"/>
    <cellStyle name="RIGs input cells 8 2 2 2 2" xfId="31749" xr:uid="{00000000-0005-0000-0000-00008A7D0000}"/>
    <cellStyle name="RIGs input cells 8 2 2 2 3" xfId="31750" xr:uid="{00000000-0005-0000-0000-00008B7D0000}"/>
    <cellStyle name="RIGs input cells 8 2 2 2 4" xfId="31751" xr:uid="{00000000-0005-0000-0000-00008C7D0000}"/>
    <cellStyle name="RIGs input cells 8 2 2 2 5" xfId="31752" xr:uid="{00000000-0005-0000-0000-00008D7D0000}"/>
    <cellStyle name="RIGs input cells 8 2 2 2 6" xfId="31753" xr:uid="{00000000-0005-0000-0000-00008E7D0000}"/>
    <cellStyle name="RIGs input cells 8 2 2 2 7" xfId="31754" xr:uid="{00000000-0005-0000-0000-00008F7D0000}"/>
    <cellStyle name="RIGs input cells 8 2 2 2 8" xfId="31755" xr:uid="{00000000-0005-0000-0000-0000907D0000}"/>
    <cellStyle name="RIGs input cells 8 2 2 2 9" xfId="31756" xr:uid="{00000000-0005-0000-0000-0000917D0000}"/>
    <cellStyle name="RIGs input cells 8 2 2 20" xfId="31757" xr:uid="{00000000-0005-0000-0000-0000927D0000}"/>
    <cellStyle name="RIGs input cells 8 2 2 21" xfId="31758" xr:uid="{00000000-0005-0000-0000-0000937D0000}"/>
    <cellStyle name="RIGs input cells 8 2 2 22" xfId="31759" xr:uid="{00000000-0005-0000-0000-0000947D0000}"/>
    <cellStyle name="RIGs input cells 8 2 2 23" xfId="31760" xr:uid="{00000000-0005-0000-0000-0000957D0000}"/>
    <cellStyle name="RIGs input cells 8 2 2 24" xfId="31761" xr:uid="{00000000-0005-0000-0000-0000967D0000}"/>
    <cellStyle name="RIGs input cells 8 2 2 25" xfId="31762" xr:uid="{00000000-0005-0000-0000-0000977D0000}"/>
    <cellStyle name="RIGs input cells 8 2 2 26" xfId="31763" xr:uid="{00000000-0005-0000-0000-0000987D0000}"/>
    <cellStyle name="RIGs input cells 8 2 2 27" xfId="31764" xr:uid="{00000000-0005-0000-0000-0000997D0000}"/>
    <cellStyle name="RIGs input cells 8 2 2 28" xfId="31765" xr:uid="{00000000-0005-0000-0000-00009A7D0000}"/>
    <cellStyle name="RIGs input cells 8 2 2 29" xfId="31766" xr:uid="{00000000-0005-0000-0000-00009B7D0000}"/>
    <cellStyle name="RIGs input cells 8 2 2 3" xfId="31767" xr:uid="{00000000-0005-0000-0000-00009C7D0000}"/>
    <cellStyle name="RIGs input cells 8 2 2 30" xfId="31768" xr:uid="{00000000-0005-0000-0000-00009D7D0000}"/>
    <cellStyle name="RIGs input cells 8 2 2 31" xfId="31769" xr:uid="{00000000-0005-0000-0000-00009E7D0000}"/>
    <cellStyle name="RIGs input cells 8 2 2 32" xfId="31770" xr:uid="{00000000-0005-0000-0000-00009F7D0000}"/>
    <cellStyle name="RIGs input cells 8 2 2 33" xfId="31771" xr:uid="{00000000-0005-0000-0000-0000A07D0000}"/>
    <cellStyle name="RIGs input cells 8 2 2 34" xfId="31772" xr:uid="{00000000-0005-0000-0000-0000A17D0000}"/>
    <cellStyle name="RIGs input cells 8 2 2 4" xfId="31773" xr:uid="{00000000-0005-0000-0000-0000A27D0000}"/>
    <cellStyle name="RIGs input cells 8 2 2 5" xfId="31774" xr:uid="{00000000-0005-0000-0000-0000A37D0000}"/>
    <cellStyle name="RIGs input cells 8 2 2 6" xfId="31775" xr:uid="{00000000-0005-0000-0000-0000A47D0000}"/>
    <cellStyle name="RIGs input cells 8 2 2 7" xfId="31776" xr:uid="{00000000-0005-0000-0000-0000A57D0000}"/>
    <cellStyle name="RIGs input cells 8 2 2 8" xfId="31777" xr:uid="{00000000-0005-0000-0000-0000A67D0000}"/>
    <cellStyle name="RIGs input cells 8 2 2 9" xfId="31778" xr:uid="{00000000-0005-0000-0000-0000A77D0000}"/>
    <cellStyle name="RIGs input cells 8 2 20" xfId="31779" xr:uid="{00000000-0005-0000-0000-0000A87D0000}"/>
    <cellStyle name="RIGs input cells 8 2 21" xfId="31780" xr:uid="{00000000-0005-0000-0000-0000A97D0000}"/>
    <cellStyle name="RIGs input cells 8 2 22" xfId="31781" xr:uid="{00000000-0005-0000-0000-0000AA7D0000}"/>
    <cellStyle name="RIGs input cells 8 2 23" xfId="31782" xr:uid="{00000000-0005-0000-0000-0000AB7D0000}"/>
    <cellStyle name="RIGs input cells 8 2 24" xfId="31783" xr:uid="{00000000-0005-0000-0000-0000AC7D0000}"/>
    <cellStyle name="RIGs input cells 8 2 25" xfId="31784" xr:uid="{00000000-0005-0000-0000-0000AD7D0000}"/>
    <cellStyle name="RIGs input cells 8 2 26" xfId="31785" xr:uid="{00000000-0005-0000-0000-0000AE7D0000}"/>
    <cellStyle name="RIGs input cells 8 2 27" xfId="31786" xr:uid="{00000000-0005-0000-0000-0000AF7D0000}"/>
    <cellStyle name="RIGs input cells 8 2 28" xfId="31787" xr:uid="{00000000-0005-0000-0000-0000B07D0000}"/>
    <cellStyle name="RIGs input cells 8 2 29" xfId="31788" xr:uid="{00000000-0005-0000-0000-0000B17D0000}"/>
    <cellStyle name="RIGs input cells 8 2 3" xfId="31789" xr:uid="{00000000-0005-0000-0000-0000B27D0000}"/>
    <cellStyle name="RIGs input cells 8 2 3 10" xfId="31790" xr:uid="{00000000-0005-0000-0000-0000B37D0000}"/>
    <cellStyle name="RIGs input cells 8 2 3 11" xfId="31791" xr:uid="{00000000-0005-0000-0000-0000B47D0000}"/>
    <cellStyle name="RIGs input cells 8 2 3 12" xfId="31792" xr:uid="{00000000-0005-0000-0000-0000B57D0000}"/>
    <cellStyle name="RIGs input cells 8 2 3 13" xfId="31793" xr:uid="{00000000-0005-0000-0000-0000B67D0000}"/>
    <cellStyle name="RIGs input cells 8 2 3 2" xfId="31794" xr:uid="{00000000-0005-0000-0000-0000B77D0000}"/>
    <cellStyle name="RIGs input cells 8 2 3 3" xfId="31795" xr:uid="{00000000-0005-0000-0000-0000B87D0000}"/>
    <cellStyle name="RIGs input cells 8 2 3 4" xfId="31796" xr:uid="{00000000-0005-0000-0000-0000B97D0000}"/>
    <cellStyle name="RIGs input cells 8 2 3 5" xfId="31797" xr:uid="{00000000-0005-0000-0000-0000BA7D0000}"/>
    <cellStyle name="RIGs input cells 8 2 3 6" xfId="31798" xr:uid="{00000000-0005-0000-0000-0000BB7D0000}"/>
    <cellStyle name="RIGs input cells 8 2 3 7" xfId="31799" xr:uid="{00000000-0005-0000-0000-0000BC7D0000}"/>
    <cellStyle name="RIGs input cells 8 2 3 8" xfId="31800" xr:uid="{00000000-0005-0000-0000-0000BD7D0000}"/>
    <cellStyle name="RIGs input cells 8 2 3 9" xfId="31801" xr:uid="{00000000-0005-0000-0000-0000BE7D0000}"/>
    <cellStyle name="RIGs input cells 8 2 30" xfId="31802" xr:uid="{00000000-0005-0000-0000-0000BF7D0000}"/>
    <cellStyle name="RIGs input cells 8 2 31" xfId="31803" xr:uid="{00000000-0005-0000-0000-0000C07D0000}"/>
    <cellStyle name="RIGs input cells 8 2 4" xfId="31804" xr:uid="{00000000-0005-0000-0000-0000C17D0000}"/>
    <cellStyle name="RIGs input cells 8 2 5" xfId="31805" xr:uid="{00000000-0005-0000-0000-0000C27D0000}"/>
    <cellStyle name="RIGs input cells 8 2 6" xfId="31806" xr:uid="{00000000-0005-0000-0000-0000C37D0000}"/>
    <cellStyle name="RIGs input cells 8 2 7" xfId="31807" xr:uid="{00000000-0005-0000-0000-0000C47D0000}"/>
    <cellStyle name="RIGs input cells 8 2 8" xfId="31808" xr:uid="{00000000-0005-0000-0000-0000C57D0000}"/>
    <cellStyle name="RIGs input cells 8 2 9" xfId="31809" xr:uid="{00000000-0005-0000-0000-0000C67D0000}"/>
    <cellStyle name="RIGs input cells 8 2_4 28 1_Asst_Health_Crit_AllTO_RIIO_20110714pm" xfId="31810" xr:uid="{00000000-0005-0000-0000-0000C77D0000}"/>
    <cellStyle name="RIGs input cells 8 20" xfId="31811" xr:uid="{00000000-0005-0000-0000-0000C87D0000}"/>
    <cellStyle name="RIGs input cells 8 21" xfId="31812" xr:uid="{00000000-0005-0000-0000-0000C97D0000}"/>
    <cellStyle name="RIGs input cells 8 22" xfId="31813" xr:uid="{00000000-0005-0000-0000-0000CA7D0000}"/>
    <cellStyle name="RIGs input cells 8 23" xfId="31814" xr:uid="{00000000-0005-0000-0000-0000CB7D0000}"/>
    <cellStyle name="RIGs input cells 8 24" xfId="31815" xr:uid="{00000000-0005-0000-0000-0000CC7D0000}"/>
    <cellStyle name="RIGs input cells 8 25" xfId="31816" xr:uid="{00000000-0005-0000-0000-0000CD7D0000}"/>
    <cellStyle name="RIGs input cells 8 26" xfId="31817" xr:uid="{00000000-0005-0000-0000-0000CE7D0000}"/>
    <cellStyle name="RIGs input cells 8 27" xfId="31818" xr:uid="{00000000-0005-0000-0000-0000CF7D0000}"/>
    <cellStyle name="RIGs input cells 8 28" xfId="31819" xr:uid="{00000000-0005-0000-0000-0000D07D0000}"/>
    <cellStyle name="RIGs input cells 8 29" xfId="31820" xr:uid="{00000000-0005-0000-0000-0000D17D0000}"/>
    <cellStyle name="RIGs input cells 8 3" xfId="31821" xr:uid="{00000000-0005-0000-0000-0000D27D0000}"/>
    <cellStyle name="RIGs input cells 8 3 10" xfId="31822" xr:uid="{00000000-0005-0000-0000-0000D37D0000}"/>
    <cellStyle name="RIGs input cells 8 3 11" xfId="31823" xr:uid="{00000000-0005-0000-0000-0000D47D0000}"/>
    <cellStyle name="RIGs input cells 8 3 12" xfId="31824" xr:uid="{00000000-0005-0000-0000-0000D57D0000}"/>
    <cellStyle name="RIGs input cells 8 3 13" xfId="31825" xr:uid="{00000000-0005-0000-0000-0000D67D0000}"/>
    <cellStyle name="RIGs input cells 8 3 14" xfId="31826" xr:uid="{00000000-0005-0000-0000-0000D77D0000}"/>
    <cellStyle name="RIGs input cells 8 3 15" xfId="31827" xr:uid="{00000000-0005-0000-0000-0000D87D0000}"/>
    <cellStyle name="RIGs input cells 8 3 16" xfId="31828" xr:uid="{00000000-0005-0000-0000-0000D97D0000}"/>
    <cellStyle name="RIGs input cells 8 3 17" xfId="31829" xr:uid="{00000000-0005-0000-0000-0000DA7D0000}"/>
    <cellStyle name="RIGs input cells 8 3 18" xfId="31830" xr:uid="{00000000-0005-0000-0000-0000DB7D0000}"/>
    <cellStyle name="RIGs input cells 8 3 19" xfId="31831" xr:uid="{00000000-0005-0000-0000-0000DC7D0000}"/>
    <cellStyle name="RIGs input cells 8 3 2" xfId="31832" xr:uid="{00000000-0005-0000-0000-0000DD7D0000}"/>
    <cellStyle name="RIGs input cells 8 3 2 10" xfId="31833" xr:uid="{00000000-0005-0000-0000-0000DE7D0000}"/>
    <cellStyle name="RIGs input cells 8 3 2 11" xfId="31834" xr:uid="{00000000-0005-0000-0000-0000DF7D0000}"/>
    <cellStyle name="RIGs input cells 8 3 2 12" xfId="31835" xr:uid="{00000000-0005-0000-0000-0000E07D0000}"/>
    <cellStyle name="RIGs input cells 8 3 2 13" xfId="31836" xr:uid="{00000000-0005-0000-0000-0000E17D0000}"/>
    <cellStyle name="RIGs input cells 8 3 2 2" xfId="31837" xr:uid="{00000000-0005-0000-0000-0000E27D0000}"/>
    <cellStyle name="RIGs input cells 8 3 2 3" xfId="31838" xr:uid="{00000000-0005-0000-0000-0000E37D0000}"/>
    <cellStyle name="RIGs input cells 8 3 2 4" xfId="31839" xr:uid="{00000000-0005-0000-0000-0000E47D0000}"/>
    <cellStyle name="RIGs input cells 8 3 2 5" xfId="31840" xr:uid="{00000000-0005-0000-0000-0000E57D0000}"/>
    <cellStyle name="RIGs input cells 8 3 2 6" xfId="31841" xr:uid="{00000000-0005-0000-0000-0000E67D0000}"/>
    <cellStyle name="RIGs input cells 8 3 2 7" xfId="31842" xr:uid="{00000000-0005-0000-0000-0000E77D0000}"/>
    <cellStyle name="RIGs input cells 8 3 2 8" xfId="31843" xr:uid="{00000000-0005-0000-0000-0000E87D0000}"/>
    <cellStyle name="RIGs input cells 8 3 2 9" xfId="31844" xr:uid="{00000000-0005-0000-0000-0000E97D0000}"/>
    <cellStyle name="RIGs input cells 8 3 20" xfId="31845" xr:uid="{00000000-0005-0000-0000-0000EA7D0000}"/>
    <cellStyle name="RIGs input cells 8 3 21" xfId="31846" xr:uid="{00000000-0005-0000-0000-0000EB7D0000}"/>
    <cellStyle name="RIGs input cells 8 3 22" xfId="31847" xr:uid="{00000000-0005-0000-0000-0000EC7D0000}"/>
    <cellStyle name="RIGs input cells 8 3 23" xfId="31848" xr:uid="{00000000-0005-0000-0000-0000ED7D0000}"/>
    <cellStyle name="RIGs input cells 8 3 24" xfId="31849" xr:uid="{00000000-0005-0000-0000-0000EE7D0000}"/>
    <cellStyle name="RIGs input cells 8 3 25" xfId="31850" xr:uid="{00000000-0005-0000-0000-0000EF7D0000}"/>
    <cellStyle name="RIGs input cells 8 3 26" xfId="31851" xr:uid="{00000000-0005-0000-0000-0000F07D0000}"/>
    <cellStyle name="RIGs input cells 8 3 27" xfId="31852" xr:uid="{00000000-0005-0000-0000-0000F17D0000}"/>
    <cellStyle name="RIGs input cells 8 3 28" xfId="31853" xr:uid="{00000000-0005-0000-0000-0000F27D0000}"/>
    <cellStyle name="RIGs input cells 8 3 29" xfId="31854" xr:uid="{00000000-0005-0000-0000-0000F37D0000}"/>
    <cellStyle name="RIGs input cells 8 3 3" xfId="31855" xr:uid="{00000000-0005-0000-0000-0000F47D0000}"/>
    <cellStyle name="RIGs input cells 8 3 30" xfId="31856" xr:uid="{00000000-0005-0000-0000-0000F57D0000}"/>
    <cellStyle name="RIGs input cells 8 3 4" xfId="31857" xr:uid="{00000000-0005-0000-0000-0000F67D0000}"/>
    <cellStyle name="RIGs input cells 8 3 5" xfId="31858" xr:uid="{00000000-0005-0000-0000-0000F77D0000}"/>
    <cellStyle name="RIGs input cells 8 3 6" xfId="31859" xr:uid="{00000000-0005-0000-0000-0000F87D0000}"/>
    <cellStyle name="RIGs input cells 8 3 7" xfId="31860" xr:uid="{00000000-0005-0000-0000-0000F97D0000}"/>
    <cellStyle name="RIGs input cells 8 3 8" xfId="31861" xr:uid="{00000000-0005-0000-0000-0000FA7D0000}"/>
    <cellStyle name="RIGs input cells 8 3 9" xfId="31862" xr:uid="{00000000-0005-0000-0000-0000FB7D0000}"/>
    <cellStyle name="RIGs input cells 8 30" xfId="31863" xr:uid="{00000000-0005-0000-0000-0000FC7D0000}"/>
    <cellStyle name="RIGs input cells 8 31" xfId="31864" xr:uid="{00000000-0005-0000-0000-0000FD7D0000}"/>
    <cellStyle name="RIGs input cells 8 32" xfId="31865" xr:uid="{00000000-0005-0000-0000-0000FE7D0000}"/>
    <cellStyle name="RIGs input cells 8 33" xfId="31866" xr:uid="{00000000-0005-0000-0000-0000FF7D0000}"/>
    <cellStyle name="RIGs input cells 8 4" xfId="31867" xr:uid="{00000000-0005-0000-0000-0000007E0000}"/>
    <cellStyle name="RIGs input cells 8 4 10" xfId="31868" xr:uid="{00000000-0005-0000-0000-0000017E0000}"/>
    <cellStyle name="RIGs input cells 8 4 11" xfId="31869" xr:uid="{00000000-0005-0000-0000-0000027E0000}"/>
    <cellStyle name="RIGs input cells 8 4 12" xfId="31870" xr:uid="{00000000-0005-0000-0000-0000037E0000}"/>
    <cellStyle name="RIGs input cells 8 4 13" xfId="31871" xr:uid="{00000000-0005-0000-0000-0000047E0000}"/>
    <cellStyle name="RIGs input cells 8 4 14" xfId="31872" xr:uid="{00000000-0005-0000-0000-0000057E0000}"/>
    <cellStyle name="RIGs input cells 8 4 15" xfId="31873" xr:uid="{00000000-0005-0000-0000-0000067E0000}"/>
    <cellStyle name="RIGs input cells 8 4 16" xfId="31874" xr:uid="{00000000-0005-0000-0000-0000077E0000}"/>
    <cellStyle name="RIGs input cells 8 4 17" xfId="31875" xr:uid="{00000000-0005-0000-0000-0000087E0000}"/>
    <cellStyle name="RIGs input cells 8 4 18" xfId="31876" xr:uid="{00000000-0005-0000-0000-0000097E0000}"/>
    <cellStyle name="RIGs input cells 8 4 19" xfId="31877" xr:uid="{00000000-0005-0000-0000-00000A7E0000}"/>
    <cellStyle name="RIGs input cells 8 4 2" xfId="31878" xr:uid="{00000000-0005-0000-0000-00000B7E0000}"/>
    <cellStyle name="RIGs input cells 8 4 2 10" xfId="31879" xr:uid="{00000000-0005-0000-0000-00000C7E0000}"/>
    <cellStyle name="RIGs input cells 8 4 2 11" xfId="31880" xr:uid="{00000000-0005-0000-0000-00000D7E0000}"/>
    <cellStyle name="RIGs input cells 8 4 2 12" xfId="31881" xr:uid="{00000000-0005-0000-0000-00000E7E0000}"/>
    <cellStyle name="RIGs input cells 8 4 2 13" xfId="31882" xr:uid="{00000000-0005-0000-0000-00000F7E0000}"/>
    <cellStyle name="RIGs input cells 8 4 2 2" xfId="31883" xr:uid="{00000000-0005-0000-0000-0000107E0000}"/>
    <cellStyle name="RIGs input cells 8 4 2 3" xfId="31884" xr:uid="{00000000-0005-0000-0000-0000117E0000}"/>
    <cellStyle name="RIGs input cells 8 4 2 4" xfId="31885" xr:uid="{00000000-0005-0000-0000-0000127E0000}"/>
    <cellStyle name="RIGs input cells 8 4 2 5" xfId="31886" xr:uid="{00000000-0005-0000-0000-0000137E0000}"/>
    <cellStyle name="RIGs input cells 8 4 2 6" xfId="31887" xr:uid="{00000000-0005-0000-0000-0000147E0000}"/>
    <cellStyle name="RIGs input cells 8 4 2 7" xfId="31888" xr:uid="{00000000-0005-0000-0000-0000157E0000}"/>
    <cellStyle name="RIGs input cells 8 4 2 8" xfId="31889" xr:uid="{00000000-0005-0000-0000-0000167E0000}"/>
    <cellStyle name="RIGs input cells 8 4 2 9" xfId="31890" xr:uid="{00000000-0005-0000-0000-0000177E0000}"/>
    <cellStyle name="RIGs input cells 8 4 20" xfId="31891" xr:uid="{00000000-0005-0000-0000-0000187E0000}"/>
    <cellStyle name="RIGs input cells 8 4 21" xfId="31892" xr:uid="{00000000-0005-0000-0000-0000197E0000}"/>
    <cellStyle name="RIGs input cells 8 4 22" xfId="31893" xr:uid="{00000000-0005-0000-0000-00001A7E0000}"/>
    <cellStyle name="RIGs input cells 8 4 23" xfId="31894" xr:uid="{00000000-0005-0000-0000-00001B7E0000}"/>
    <cellStyle name="RIGs input cells 8 4 24" xfId="31895" xr:uid="{00000000-0005-0000-0000-00001C7E0000}"/>
    <cellStyle name="RIGs input cells 8 4 25" xfId="31896" xr:uid="{00000000-0005-0000-0000-00001D7E0000}"/>
    <cellStyle name="RIGs input cells 8 4 26" xfId="31897" xr:uid="{00000000-0005-0000-0000-00001E7E0000}"/>
    <cellStyle name="RIGs input cells 8 4 27" xfId="31898" xr:uid="{00000000-0005-0000-0000-00001F7E0000}"/>
    <cellStyle name="RIGs input cells 8 4 28" xfId="31899" xr:uid="{00000000-0005-0000-0000-0000207E0000}"/>
    <cellStyle name="RIGs input cells 8 4 29" xfId="31900" xr:uid="{00000000-0005-0000-0000-0000217E0000}"/>
    <cellStyle name="RIGs input cells 8 4 3" xfId="31901" xr:uid="{00000000-0005-0000-0000-0000227E0000}"/>
    <cellStyle name="RIGs input cells 8 4 30" xfId="31902" xr:uid="{00000000-0005-0000-0000-0000237E0000}"/>
    <cellStyle name="RIGs input cells 8 4 4" xfId="31903" xr:uid="{00000000-0005-0000-0000-0000247E0000}"/>
    <cellStyle name="RIGs input cells 8 4 5" xfId="31904" xr:uid="{00000000-0005-0000-0000-0000257E0000}"/>
    <cellStyle name="RIGs input cells 8 4 6" xfId="31905" xr:uid="{00000000-0005-0000-0000-0000267E0000}"/>
    <cellStyle name="RIGs input cells 8 4 7" xfId="31906" xr:uid="{00000000-0005-0000-0000-0000277E0000}"/>
    <cellStyle name="RIGs input cells 8 4 8" xfId="31907" xr:uid="{00000000-0005-0000-0000-0000287E0000}"/>
    <cellStyle name="RIGs input cells 8 4 9" xfId="31908" xr:uid="{00000000-0005-0000-0000-0000297E0000}"/>
    <cellStyle name="RIGs input cells 8 5" xfId="31909" xr:uid="{00000000-0005-0000-0000-00002A7E0000}"/>
    <cellStyle name="RIGs input cells 8 5 10" xfId="31910" xr:uid="{00000000-0005-0000-0000-00002B7E0000}"/>
    <cellStyle name="RIGs input cells 8 5 11" xfId="31911" xr:uid="{00000000-0005-0000-0000-00002C7E0000}"/>
    <cellStyle name="RIGs input cells 8 5 12" xfId="31912" xr:uid="{00000000-0005-0000-0000-00002D7E0000}"/>
    <cellStyle name="RIGs input cells 8 5 13" xfId="31913" xr:uid="{00000000-0005-0000-0000-00002E7E0000}"/>
    <cellStyle name="RIGs input cells 8 5 2" xfId="31914" xr:uid="{00000000-0005-0000-0000-00002F7E0000}"/>
    <cellStyle name="RIGs input cells 8 5 3" xfId="31915" xr:uid="{00000000-0005-0000-0000-0000307E0000}"/>
    <cellStyle name="RIGs input cells 8 5 4" xfId="31916" xr:uid="{00000000-0005-0000-0000-0000317E0000}"/>
    <cellStyle name="RIGs input cells 8 5 5" xfId="31917" xr:uid="{00000000-0005-0000-0000-0000327E0000}"/>
    <cellStyle name="RIGs input cells 8 5 6" xfId="31918" xr:uid="{00000000-0005-0000-0000-0000337E0000}"/>
    <cellStyle name="RIGs input cells 8 5 7" xfId="31919" xr:uid="{00000000-0005-0000-0000-0000347E0000}"/>
    <cellStyle name="RIGs input cells 8 5 8" xfId="31920" xr:uid="{00000000-0005-0000-0000-0000357E0000}"/>
    <cellStyle name="RIGs input cells 8 5 9" xfId="31921" xr:uid="{00000000-0005-0000-0000-0000367E0000}"/>
    <cellStyle name="RIGs input cells 8 6" xfId="31922" xr:uid="{00000000-0005-0000-0000-0000377E0000}"/>
    <cellStyle name="RIGs input cells 8 7" xfId="31923" xr:uid="{00000000-0005-0000-0000-0000387E0000}"/>
    <cellStyle name="RIGs input cells 8 8" xfId="31924" xr:uid="{00000000-0005-0000-0000-0000397E0000}"/>
    <cellStyle name="RIGs input cells 8 9" xfId="31925" xr:uid="{00000000-0005-0000-0000-00003A7E0000}"/>
    <cellStyle name="RIGs input cells 8_4 28 1_Asst_Health_Crit_AllTO_RIIO_20110714pm" xfId="31926" xr:uid="{00000000-0005-0000-0000-00003B7E0000}"/>
    <cellStyle name="RIGs input cells 9" xfId="31927" xr:uid="{00000000-0005-0000-0000-00003C7E0000}"/>
    <cellStyle name="RIGs input cells 9 10" xfId="31928" xr:uid="{00000000-0005-0000-0000-00003D7E0000}"/>
    <cellStyle name="RIGs input cells 9 11" xfId="31929" xr:uid="{00000000-0005-0000-0000-00003E7E0000}"/>
    <cellStyle name="RIGs input cells 9 12" xfId="31930" xr:uid="{00000000-0005-0000-0000-00003F7E0000}"/>
    <cellStyle name="RIGs input cells 9 13" xfId="31931" xr:uid="{00000000-0005-0000-0000-0000407E0000}"/>
    <cellStyle name="RIGs input cells 9 14" xfId="31932" xr:uid="{00000000-0005-0000-0000-0000417E0000}"/>
    <cellStyle name="RIGs input cells 9 15" xfId="31933" xr:uid="{00000000-0005-0000-0000-0000427E0000}"/>
    <cellStyle name="RIGs input cells 9 16" xfId="31934" xr:uid="{00000000-0005-0000-0000-0000437E0000}"/>
    <cellStyle name="RIGs input cells 9 17" xfId="31935" xr:uid="{00000000-0005-0000-0000-0000447E0000}"/>
    <cellStyle name="RIGs input cells 9 18" xfId="31936" xr:uid="{00000000-0005-0000-0000-0000457E0000}"/>
    <cellStyle name="RIGs input cells 9 19" xfId="31937" xr:uid="{00000000-0005-0000-0000-0000467E0000}"/>
    <cellStyle name="RIGs input cells 9 2" xfId="31938" xr:uid="{00000000-0005-0000-0000-0000477E0000}"/>
    <cellStyle name="RIGs input cells 9 2 10" xfId="31939" xr:uid="{00000000-0005-0000-0000-0000487E0000}"/>
    <cellStyle name="RIGs input cells 9 2 11" xfId="31940" xr:uid="{00000000-0005-0000-0000-0000497E0000}"/>
    <cellStyle name="RIGs input cells 9 2 12" xfId="31941" xr:uid="{00000000-0005-0000-0000-00004A7E0000}"/>
    <cellStyle name="RIGs input cells 9 2 13" xfId="31942" xr:uid="{00000000-0005-0000-0000-00004B7E0000}"/>
    <cellStyle name="RIGs input cells 9 2 14" xfId="31943" xr:uid="{00000000-0005-0000-0000-00004C7E0000}"/>
    <cellStyle name="RIGs input cells 9 2 15" xfId="31944" xr:uid="{00000000-0005-0000-0000-00004D7E0000}"/>
    <cellStyle name="RIGs input cells 9 2 16" xfId="31945" xr:uid="{00000000-0005-0000-0000-00004E7E0000}"/>
    <cellStyle name="RIGs input cells 9 2 17" xfId="31946" xr:uid="{00000000-0005-0000-0000-00004F7E0000}"/>
    <cellStyle name="RIGs input cells 9 2 18" xfId="31947" xr:uid="{00000000-0005-0000-0000-0000507E0000}"/>
    <cellStyle name="RIGs input cells 9 2 19" xfId="31948" xr:uid="{00000000-0005-0000-0000-0000517E0000}"/>
    <cellStyle name="RIGs input cells 9 2 2" xfId="31949" xr:uid="{00000000-0005-0000-0000-0000527E0000}"/>
    <cellStyle name="RIGs input cells 9 2 2 10" xfId="31950" xr:uid="{00000000-0005-0000-0000-0000537E0000}"/>
    <cellStyle name="RIGs input cells 9 2 2 11" xfId="31951" xr:uid="{00000000-0005-0000-0000-0000547E0000}"/>
    <cellStyle name="RIGs input cells 9 2 2 12" xfId="31952" xr:uid="{00000000-0005-0000-0000-0000557E0000}"/>
    <cellStyle name="RIGs input cells 9 2 2 13" xfId="31953" xr:uid="{00000000-0005-0000-0000-0000567E0000}"/>
    <cellStyle name="RIGs input cells 9 2 2 2" xfId="31954" xr:uid="{00000000-0005-0000-0000-0000577E0000}"/>
    <cellStyle name="RIGs input cells 9 2 2 3" xfId="31955" xr:uid="{00000000-0005-0000-0000-0000587E0000}"/>
    <cellStyle name="RIGs input cells 9 2 2 4" xfId="31956" xr:uid="{00000000-0005-0000-0000-0000597E0000}"/>
    <cellStyle name="RIGs input cells 9 2 2 5" xfId="31957" xr:uid="{00000000-0005-0000-0000-00005A7E0000}"/>
    <cellStyle name="RIGs input cells 9 2 2 6" xfId="31958" xr:uid="{00000000-0005-0000-0000-00005B7E0000}"/>
    <cellStyle name="RIGs input cells 9 2 2 7" xfId="31959" xr:uid="{00000000-0005-0000-0000-00005C7E0000}"/>
    <cellStyle name="RIGs input cells 9 2 2 8" xfId="31960" xr:uid="{00000000-0005-0000-0000-00005D7E0000}"/>
    <cellStyle name="RIGs input cells 9 2 2 9" xfId="31961" xr:uid="{00000000-0005-0000-0000-00005E7E0000}"/>
    <cellStyle name="RIGs input cells 9 2 20" xfId="31962" xr:uid="{00000000-0005-0000-0000-00005F7E0000}"/>
    <cellStyle name="RIGs input cells 9 2 21" xfId="31963" xr:uid="{00000000-0005-0000-0000-0000607E0000}"/>
    <cellStyle name="RIGs input cells 9 2 22" xfId="31964" xr:uid="{00000000-0005-0000-0000-0000617E0000}"/>
    <cellStyle name="RIGs input cells 9 2 23" xfId="31965" xr:uid="{00000000-0005-0000-0000-0000627E0000}"/>
    <cellStyle name="RIGs input cells 9 2 24" xfId="31966" xr:uid="{00000000-0005-0000-0000-0000637E0000}"/>
    <cellStyle name="RIGs input cells 9 2 25" xfId="31967" xr:uid="{00000000-0005-0000-0000-0000647E0000}"/>
    <cellStyle name="RIGs input cells 9 2 26" xfId="31968" xr:uid="{00000000-0005-0000-0000-0000657E0000}"/>
    <cellStyle name="RIGs input cells 9 2 27" xfId="31969" xr:uid="{00000000-0005-0000-0000-0000667E0000}"/>
    <cellStyle name="RIGs input cells 9 2 28" xfId="31970" xr:uid="{00000000-0005-0000-0000-0000677E0000}"/>
    <cellStyle name="RIGs input cells 9 2 29" xfId="31971" xr:uid="{00000000-0005-0000-0000-0000687E0000}"/>
    <cellStyle name="RIGs input cells 9 2 3" xfId="31972" xr:uid="{00000000-0005-0000-0000-0000697E0000}"/>
    <cellStyle name="RIGs input cells 9 2 30" xfId="31973" xr:uid="{00000000-0005-0000-0000-00006A7E0000}"/>
    <cellStyle name="RIGs input cells 9 2 31" xfId="31974" xr:uid="{00000000-0005-0000-0000-00006B7E0000}"/>
    <cellStyle name="RIGs input cells 9 2 32" xfId="31975" xr:uid="{00000000-0005-0000-0000-00006C7E0000}"/>
    <cellStyle name="RIGs input cells 9 2 33" xfId="31976" xr:uid="{00000000-0005-0000-0000-00006D7E0000}"/>
    <cellStyle name="RIGs input cells 9 2 34" xfId="31977" xr:uid="{00000000-0005-0000-0000-00006E7E0000}"/>
    <cellStyle name="RIGs input cells 9 2 4" xfId="31978" xr:uid="{00000000-0005-0000-0000-00006F7E0000}"/>
    <cellStyle name="RIGs input cells 9 2 5" xfId="31979" xr:uid="{00000000-0005-0000-0000-0000707E0000}"/>
    <cellStyle name="RIGs input cells 9 2 6" xfId="31980" xr:uid="{00000000-0005-0000-0000-0000717E0000}"/>
    <cellStyle name="RIGs input cells 9 2 7" xfId="31981" xr:uid="{00000000-0005-0000-0000-0000727E0000}"/>
    <cellStyle name="RIGs input cells 9 2 8" xfId="31982" xr:uid="{00000000-0005-0000-0000-0000737E0000}"/>
    <cellStyle name="RIGs input cells 9 2 9" xfId="31983" xr:uid="{00000000-0005-0000-0000-0000747E0000}"/>
    <cellStyle name="RIGs input cells 9 20" xfId="31984" xr:uid="{00000000-0005-0000-0000-0000757E0000}"/>
    <cellStyle name="RIGs input cells 9 21" xfId="31985" xr:uid="{00000000-0005-0000-0000-0000767E0000}"/>
    <cellStyle name="RIGs input cells 9 22" xfId="31986" xr:uid="{00000000-0005-0000-0000-0000777E0000}"/>
    <cellStyle name="RIGs input cells 9 23" xfId="31987" xr:uid="{00000000-0005-0000-0000-0000787E0000}"/>
    <cellStyle name="RIGs input cells 9 24" xfId="31988" xr:uid="{00000000-0005-0000-0000-0000797E0000}"/>
    <cellStyle name="RIGs input cells 9 25" xfId="31989" xr:uid="{00000000-0005-0000-0000-00007A7E0000}"/>
    <cellStyle name="RIGs input cells 9 26" xfId="31990" xr:uid="{00000000-0005-0000-0000-00007B7E0000}"/>
    <cellStyle name="RIGs input cells 9 27" xfId="31991" xr:uid="{00000000-0005-0000-0000-00007C7E0000}"/>
    <cellStyle name="RIGs input cells 9 28" xfId="31992" xr:uid="{00000000-0005-0000-0000-00007D7E0000}"/>
    <cellStyle name="RIGs input cells 9 29" xfId="31993" xr:uid="{00000000-0005-0000-0000-00007E7E0000}"/>
    <cellStyle name="RIGs input cells 9 3" xfId="31994" xr:uid="{00000000-0005-0000-0000-00007F7E0000}"/>
    <cellStyle name="RIGs input cells 9 3 10" xfId="31995" xr:uid="{00000000-0005-0000-0000-0000807E0000}"/>
    <cellStyle name="RIGs input cells 9 3 11" xfId="31996" xr:uid="{00000000-0005-0000-0000-0000817E0000}"/>
    <cellStyle name="RIGs input cells 9 3 12" xfId="31997" xr:uid="{00000000-0005-0000-0000-0000827E0000}"/>
    <cellStyle name="RIGs input cells 9 3 13" xfId="31998" xr:uid="{00000000-0005-0000-0000-0000837E0000}"/>
    <cellStyle name="RIGs input cells 9 3 2" xfId="31999" xr:uid="{00000000-0005-0000-0000-0000847E0000}"/>
    <cellStyle name="RIGs input cells 9 3 3" xfId="32000" xr:uid="{00000000-0005-0000-0000-0000857E0000}"/>
    <cellStyle name="RIGs input cells 9 3 4" xfId="32001" xr:uid="{00000000-0005-0000-0000-0000867E0000}"/>
    <cellStyle name="RIGs input cells 9 3 5" xfId="32002" xr:uid="{00000000-0005-0000-0000-0000877E0000}"/>
    <cellStyle name="RIGs input cells 9 3 6" xfId="32003" xr:uid="{00000000-0005-0000-0000-0000887E0000}"/>
    <cellStyle name="RIGs input cells 9 3 7" xfId="32004" xr:uid="{00000000-0005-0000-0000-0000897E0000}"/>
    <cellStyle name="RIGs input cells 9 3 8" xfId="32005" xr:uid="{00000000-0005-0000-0000-00008A7E0000}"/>
    <cellStyle name="RIGs input cells 9 3 9" xfId="32006" xr:uid="{00000000-0005-0000-0000-00008B7E0000}"/>
    <cellStyle name="RIGs input cells 9 30" xfId="32007" xr:uid="{00000000-0005-0000-0000-00008C7E0000}"/>
    <cellStyle name="RIGs input cells 9 31" xfId="32008" xr:uid="{00000000-0005-0000-0000-00008D7E0000}"/>
    <cellStyle name="RIGs input cells 9 32" xfId="32009" xr:uid="{00000000-0005-0000-0000-00008E7E0000}"/>
    <cellStyle name="RIGs input cells 9 33" xfId="32010" xr:uid="{00000000-0005-0000-0000-00008F7E0000}"/>
    <cellStyle name="RIGs input cells 9 34" xfId="32011" xr:uid="{00000000-0005-0000-0000-0000907E0000}"/>
    <cellStyle name="RIGs input cells 9 35" xfId="32012" xr:uid="{00000000-0005-0000-0000-0000917E0000}"/>
    <cellStyle name="RIGs input cells 9 4" xfId="32013" xr:uid="{00000000-0005-0000-0000-0000927E0000}"/>
    <cellStyle name="RIGs input cells 9 5" xfId="32014" xr:uid="{00000000-0005-0000-0000-0000937E0000}"/>
    <cellStyle name="RIGs input cells 9 6" xfId="32015" xr:uid="{00000000-0005-0000-0000-0000947E0000}"/>
    <cellStyle name="RIGs input cells 9 7" xfId="32016" xr:uid="{00000000-0005-0000-0000-0000957E0000}"/>
    <cellStyle name="RIGs input cells 9 8" xfId="32017" xr:uid="{00000000-0005-0000-0000-0000967E0000}"/>
    <cellStyle name="RIGs input cells 9 9" xfId="32018" xr:uid="{00000000-0005-0000-0000-0000977E0000}"/>
    <cellStyle name="RIGs input cells 9_4 28 1_Asst_Health_Crit_AllTO_RIIO_20110714pm" xfId="32019" xr:uid="{00000000-0005-0000-0000-0000987E0000}"/>
    <cellStyle name="RIGs input cells_1.3s Accounting C Costs Scots" xfId="32020" xr:uid="{00000000-0005-0000-0000-0000997E0000}"/>
    <cellStyle name="RIGs input totals" xfId="32021" xr:uid="{00000000-0005-0000-0000-00009A7E0000}"/>
    <cellStyle name="RIGs input totals 10" xfId="32022" xr:uid="{00000000-0005-0000-0000-00009B7E0000}"/>
    <cellStyle name="RIGs input totals 10 10" xfId="32023" xr:uid="{00000000-0005-0000-0000-00009C7E0000}"/>
    <cellStyle name="RIGs input totals 10 11" xfId="32024" xr:uid="{00000000-0005-0000-0000-00009D7E0000}"/>
    <cellStyle name="RIGs input totals 10 12" xfId="32025" xr:uid="{00000000-0005-0000-0000-00009E7E0000}"/>
    <cellStyle name="RIGs input totals 10 13" xfId="32026" xr:uid="{00000000-0005-0000-0000-00009F7E0000}"/>
    <cellStyle name="RIGs input totals 10 14" xfId="32027" xr:uid="{00000000-0005-0000-0000-0000A07E0000}"/>
    <cellStyle name="RIGs input totals 10 15" xfId="32028" xr:uid="{00000000-0005-0000-0000-0000A17E0000}"/>
    <cellStyle name="RIGs input totals 10 16" xfId="32029" xr:uid="{00000000-0005-0000-0000-0000A27E0000}"/>
    <cellStyle name="RIGs input totals 10 17" xfId="32030" xr:uid="{00000000-0005-0000-0000-0000A37E0000}"/>
    <cellStyle name="RIGs input totals 10 18" xfId="32031" xr:uid="{00000000-0005-0000-0000-0000A47E0000}"/>
    <cellStyle name="RIGs input totals 10 19" xfId="32032" xr:uid="{00000000-0005-0000-0000-0000A57E0000}"/>
    <cellStyle name="RIGs input totals 10 2" xfId="32033" xr:uid="{00000000-0005-0000-0000-0000A67E0000}"/>
    <cellStyle name="RIGs input totals 10 2 10" xfId="32034" xr:uid="{00000000-0005-0000-0000-0000A77E0000}"/>
    <cellStyle name="RIGs input totals 10 2 11" xfId="32035" xr:uid="{00000000-0005-0000-0000-0000A87E0000}"/>
    <cellStyle name="RIGs input totals 10 2 12" xfId="32036" xr:uid="{00000000-0005-0000-0000-0000A97E0000}"/>
    <cellStyle name="RIGs input totals 10 2 13" xfId="32037" xr:uid="{00000000-0005-0000-0000-0000AA7E0000}"/>
    <cellStyle name="RIGs input totals 10 2 2" xfId="32038" xr:uid="{00000000-0005-0000-0000-0000AB7E0000}"/>
    <cellStyle name="RIGs input totals 10 2 3" xfId="32039" xr:uid="{00000000-0005-0000-0000-0000AC7E0000}"/>
    <cellStyle name="RIGs input totals 10 2 4" xfId="32040" xr:uid="{00000000-0005-0000-0000-0000AD7E0000}"/>
    <cellStyle name="RIGs input totals 10 2 5" xfId="32041" xr:uid="{00000000-0005-0000-0000-0000AE7E0000}"/>
    <cellStyle name="RIGs input totals 10 2 6" xfId="32042" xr:uid="{00000000-0005-0000-0000-0000AF7E0000}"/>
    <cellStyle name="RIGs input totals 10 2 7" xfId="32043" xr:uid="{00000000-0005-0000-0000-0000B07E0000}"/>
    <cellStyle name="RIGs input totals 10 2 8" xfId="32044" xr:uid="{00000000-0005-0000-0000-0000B17E0000}"/>
    <cellStyle name="RIGs input totals 10 2 9" xfId="32045" xr:uid="{00000000-0005-0000-0000-0000B27E0000}"/>
    <cellStyle name="RIGs input totals 10 20" xfId="32046" xr:uid="{00000000-0005-0000-0000-0000B37E0000}"/>
    <cellStyle name="RIGs input totals 10 21" xfId="32047" xr:uid="{00000000-0005-0000-0000-0000B47E0000}"/>
    <cellStyle name="RIGs input totals 10 22" xfId="32048" xr:uid="{00000000-0005-0000-0000-0000B57E0000}"/>
    <cellStyle name="RIGs input totals 10 23" xfId="32049" xr:uid="{00000000-0005-0000-0000-0000B67E0000}"/>
    <cellStyle name="RIGs input totals 10 24" xfId="32050" xr:uid="{00000000-0005-0000-0000-0000B77E0000}"/>
    <cellStyle name="RIGs input totals 10 25" xfId="32051" xr:uid="{00000000-0005-0000-0000-0000B87E0000}"/>
    <cellStyle name="RIGs input totals 10 26" xfId="32052" xr:uid="{00000000-0005-0000-0000-0000B97E0000}"/>
    <cellStyle name="RIGs input totals 10 27" xfId="32053" xr:uid="{00000000-0005-0000-0000-0000BA7E0000}"/>
    <cellStyle name="RIGs input totals 10 28" xfId="32054" xr:uid="{00000000-0005-0000-0000-0000BB7E0000}"/>
    <cellStyle name="RIGs input totals 10 29" xfId="32055" xr:uid="{00000000-0005-0000-0000-0000BC7E0000}"/>
    <cellStyle name="RIGs input totals 10 3" xfId="32056" xr:uid="{00000000-0005-0000-0000-0000BD7E0000}"/>
    <cellStyle name="RIGs input totals 10 30" xfId="32057" xr:uid="{00000000-0005-0000-0000-0000BE7E0000}"/>
    <cellStyle name="RIGs input totals 10 31" xfId="32058" xr:uid="{00000000-0005-0000-0000-0000BF7E0000}"/>
    <cellStyle name="RIGs input totals 10 32" xfId="32059" xr:uid="{00000000-0005-0000-0000-0000C07E0000}"/>
    <cellStyle name="RIGs input totals 10 33" xfId="32060" xr:uid="{00000000-0005-0000-0000-0000C17E0000}"/>
    <cellStyle name="RIGs input totals 10 34" xfId="32061" xr:uid="{00000000-0005-0000-0000-0000C27E0000}"/>
    <cellStyle name="RIGs input totals 10 4" xfId="32062" xr:uid="{00000000-0005-0000-0000-0000C37E0000}"/>
    <cellStyle name="RIGs input totals 10 5" xfId="32063" xr:uid="{00000000-0005-0000-0000-0000C47E0000}"/>
    <cellStyle name="RIGs input totals 10 6" xfId="32064" xr:uid="{00000000-0005-0000-0000-0000C57E0000}"/>
    <cellStyle name="RIGs input totals 10 7" xfId="32065" xr:uid="{00000000-0005-0000-0000-0000C67E0000}"/>
    <cellStyle name="RIGs input totals 10 8" xfId="32066" xr:uid="{00000000-0005-0000-0000-0000C77E0000}"/>
    <cellStyle name="RIGs input totals 10 9" xfId="32067" xr:uid="{00000000-0005-0000-0000-0000C87E0000}"/>
    <cellStyle name="RIGs input totals 11" xfId="32068" xr:uid="{00000000-0005-0000-0000-0000C97E0000}"/>
    <cellStyle name="RIGs input totals 11 10" xfId="32069" xr:uid="{00000000-0005-0000-0000-0000CA7E0000}"/>
    <cellStyle name="RIGs input totals 11 11" xfId="32070" xr:uid="{00000000-0005-0000-0000-0000CB7E0000}"/>
    <cellStyle name="RIGs input totals 11 12" xfId="32071" xr:uid="{00000000-0005-0000-0000-0000CC7E0000}"/>
    <cellStyle name="RIGs input totals 11 13" xfId="32072" xr:uid="{00000000-0005-0000-0000-0000CD7E0000}"/>
    <cellStyle name="RIGs input totals 11 14" xfId="32073" xr:uid="{00000000-0005-0000-0000-0000CE7E0000}"/>
    <cellStyle name="RIGs input totals 11 15" xfId="32074" xr:uid="{00000000-0005-0000-0000-0000CF7E0000}"/>
    <cellStyle name="RIGs input totals 11 16" xfId="32075" xr:uid="{00000000-0005-0000-0000-0000D07E0000}"/>
    <cellStyle name="RIGs input totals 11 17" xfId="32076" xr:uid="{00000000-0005-0000-0000-0000D17E0000}"/>
    <cellStyle name="RIGs input totals 11 18" xfId="32077" xr:uid="{00000000-0005-0000-0000-0000D27E0000}"/>
    <cellStyle name="RIGs input totals 11 19" xfId="32078" xr:uid="{00000000-0005-0000-0000-0000D37E0000}"/>
    <cellStyle name="RIGs input totals 11 2" xfId="32079" xr:uid="{00000000-0005-0000-0000-0000D47E0000}"/>
    <cellStyle name="RIGs input totals 11 2 10" xfId="32080" xr:uid="{00000000-0005-0000-0000-0000D57E0000}"/>
    <cellStyle name="RIGs input totals 11 2 11" xfId="32081" xr:uid="{00000000-0005-0000-0000-0000D67E0000}"/>
    <cellStyle name="RIGs input totals 11 2 12" xfId="32082" xr:uid="{00000000-0005-0000-0000-0000D77E0000}"/>
    <cellStyle name="RIGs input totals 11 2 13" xfId="32083" xr:uid="{00000000-0005-0000-0000-0000D87E0000}"/>
    <cellStyle name="RIGs input totals 11 2 2" xfId="32084" xr:uid="{00000000-0005-0000-0000-0000D97E0000}"/>
    <cellStyle name="RIGs input totals 11 2 3" xfId="32085" xr:uid="{00000000-0005-0000-0000-0000DA7E0000}"/>
    <cellStyle name="RIGs input totals 11 2 4" xfId="32086" xr:uid="{00000000-0005-0000-0000-0000DB7E0000}"/>
    <cellStyle name="RIGs input totals 11 2 5" xfId="32087" xr:uid="{00000000-0005-0000-0000-0000DC7E0000}"/>
    <cellStyle name="RIGs input totals 11 2 6" xfId="32088" xr:uid="{00000000-0005-0000-0000-0000DD7E0000}"/>
    <cellStyle name="RIGs input totals 11 2 7" xfId="32089" xr:uid="{00000000-0005-0000-0000-0000DE7E0000}"/>
    <cellStyle name="RIGs input totals 11 2 8" xfId="32090" xr:uid="{00000000-0005-0000-0000-0000DF7E0000}"/>
    <cellStyle name="RIGs input totals 11 2 9" xfId="32091" xr:uid="{00000000-0005-0000-0000-0000E07E0000}"/>
    <cellStyle name="RIGs input totals 11 20" xfId="32092" xr:uid="{00000000-0005-0000-0000-0000E17E0000}"/>
    <cellStyle name="RIGs input totals 11 21" xfId="32093" xr:uid="{00000000-0005-0000-0000-0000E27E0000}"/>
    <cellStyle name="RIGs input totals 11 22" xfId="32094" xr:uid="{00000000-0005-0000-0000-0000E37E0000}"/>
    <cellStyle name="RIGs input totals 11 23" xfId="32095" xr:uid="{00000000-0005-0000-0000-0000E47E0000}"/>
    <cellStyle name="RIGs input totals 11 24" xfId="32096" xr:uid="{00000000-0005-0000-0000-0000E57E0000}"/>
    <cellStyle name="RIGs input totals 11 25" xfId="32097" xr:uid="{00000000-0005-0000-0000-0000E67E0000}"/>
    <cellStyle name="RIGs input totals 11 26" xfId="32098" xr:uid="{00000000-0005-0000-0000-0000E77E0000}"/>
    <cellStyle name="RIGs input totals 11 27" xfId="32099" xr:uid="{00000000-0005-0000-0000-0000E87E0000}"/>
    <cellStyle name="RIGs input totals 11 28" xfId="32100" xr:uid="{00000000-0005-0000-0000-0000E97E0000}"/>
    <cellStyle name="RIGs input totals 11 29" xfId="32101" xr:uid="{00000000-0005-0000-0000-0000EA7E0000}"/>
    <cellStyle name="RIGs input totals 11 3" xfId="32102" xr:uid="{00000000-0005-0000-0000-0000EB7E0000}"/>
    <cellStyle name="RIGs input totals 11 30" xfId="32103" xr:uid="{00000000-0005-0000-0000-0000EC7E0000}"/>
    <cellStyle name="RIGs input totals 11 31" xfId="32104" xr:uid="{00000000-0005-0000-0000-0000ED7E0000}"/>
    <cellStyle name="RIGs input totals 11 32" xfId="32105" xr:uid="{00000000-0005-0000-0000-0000EE7E0000}"/>
    <cellStyle name="RIGs input totals 11 33" xfId="32106" xr:uid="{00000000-0005-0000-0000-0000EF7E0000}"/>
    <cellStyle name="RIGs input totals 11 34" xfId="32107" xr:uid="{00000000-0005-0000-0000-0000F07E0000}"/>
    <cellStyle name="RIGs input totals 11 4" xfId="32108" xr:uid="{00000000-0005-0000-0000-0000F17E0000}"/>
    <cellStyle name="RIGs input totals 11 5" xfId="32109" xr:uid="{00000000-0005-0000-0000-0000F27E0000}"/>
    <cellStyle name="RIGs input totals 11 6" xfId="32110" xr:uid="{00000000-0005-0000-0000-0000F37E0000}"/>
    <cellStyle name="RIGs input totals 11 7" xfId="32111" xr:uid="{00000000-0005-0000-0000-0000F47E0000}"/>
    <cellStyle name="RIGs input totals 11 8" xfId="32112" xr:uid="{00000000-0005-0000-0000-0000F57E0000}"/>
    <cellStyle name="RIGs input totals 11 9" xfId="32113" xr:uid="{00000000-0005-0000-0000-0000F67E0000}"/>
    <cellStyle name="RIGs input totals 12" xfId="32114" xr:uid="{00000000-0005-0000-0000-0000F77E0000}"/>
    <cellStyle name="RIGs input totals 12 10" xfId="32115" xr:uid="{00000000-0005-0000-0000-0000F87E0000}"/>
    <cellStyle name="RIGs input totals 12 11" xfId="32116" xr:uid="{00000000-0005-0000-0000-0000F97E0000}"/>
    <cellStyle name="RIGs input totals 12 12" xfId="32117" xr:uid="{00000000-0005-0000-0000-0000FA7E0000}"/>
    <cellStyle name="RIGs input totals 12 13" xfId="32118" xr:uid="{00000000-0005-0000-0000-0000FB7E0000}"/>
    <cellStyle name="RIGs input totals 12 14" xfId="32119" xr:uid="{00000000-0005-0000-0000-0000FC7E0000}"/>
    <cellStyle name="RIGs input totals 12 15" xfId="32120" xr:uid="{00000000-0005-0000-0000-0000FD7E0000}"/>
    <cellStyle name="RIGs input totals 12 16" xfId="32121" xr:uid="{00000000-0005-0000-0000-0000FE7E0000}"/>
    <cellStyle name="RIGs input totals 12 17" xfId="32122" xr:uid="{00000000-0005-0000-0000-0000FF7E0000}"/>
    <cellStyle name="RIGs input totals 12 18" xfId="32123" xr:uid="{00000000-0005-0000-0000-0000007F0000}"/>
    <cellStyle name="RIGs input totals 12 19" xfId="32124" xr:uid="{00000000-0005-0000-0000-0000017F0000}"/>
    <cellStyle name="RIGs input totals 12 2" xfId="32125" xr:uid="{00000000-0005-0000-0000-0000027F0000}"/>
    <cellStyle name="RIGs input totals 12 2 10" xfId="32126" xr:uid="{00000000-0005-0000-0000-0000037F0000}"/>
    <cellStyle name="RIGs input totals 12 2 11" xfId="32127" xr:uid="{00000000-0005-0000-0000-0000047F0000}"/>
    <cellStyle name="RIGs input totals 12 2 12" xfId="32128" xr:uid="{00000000-0005-0000-0000-0000057F0000}"/>
    <cellStyle name="RIGs input totals 12 2 13" xfId="32129" xr:uid="{00000000-0005-0000-0000-0000067F0000}"/>
    <cellStyle name="RIGs input totals 12 2 2" xfId="32130" xr:uid="{00000000-0005-0000-0000-0000077F0000}"/>
    <cellStyle name="RIGs input totals 12 2 3" xfId="32131" xr:uid="{00000000-0005-0000-0000-0000087F0000}"/>
    <cellStyle name="RIGs input totals 12 2 4" xfId="32132" xr:uid="{00000000-0005-0000-0000-0000097F0000}"/>
    <cellStyle name="RIGs input totals 12 2 5" xfId="32133" xr:uid="{00000000-0005-0000-0000-00000A7F0000}"/>
    <cellStyle name="RIGs input totals 12 2 6" xfId="32134" xr:uid="{00000000-0005-0000-0000-00000B7F0000}"/>
    <cellStyle name="RIGs input totals 12 2 7" xfId="32135" xr:uid="{00000000-0005-0000-0000-00000C7F0000}"/>
    <cellStyle name="RIGs input totals 12 2 8" xfId="32136" xr:uid="{00000000-0005-0000-0000-00000D7F0000}"/>
    <cellStyle name="RIGs input totals 12 2 9" xfId="32137" xr:uid="{00000000-0005-0000-0000-00000E7F0000}"/>
    <cellStyle name="RIGs input totals 12 20" xfId="32138" xr:uid="{00000000-0005-0000-0000-00000F7F0000}"/>
    <cellStyle name="RIGs input totals 12 21" xfId="32139" xr:uid="{00000000-0005-0000-0000-0000107F0000}"/>
    <cellStyle name="RIGs input totals 12 22" xfId="32140" xr:uid="{00000000-0005-0000-0000-0000117F0000}"/>
    <cellStyle name="RIGs input totals 12 23" xfId="32141" xr:uid="{00000000-0005-0000-0000-0000127F0000}"/>
    <cellStyle name="RIGs input totals 12 24" xfId="32142" xr:uid="{00000000-0005-0000-0000-0000137F0000}"/>
    <cellStyle name="RIGs input totals 12 25" xfId="32143" xr:uid="{00000000-0005-0000-0000-0000147F0000}"/>
    <cellStyle name="RIGs input totals 12 26" xfId="32144" xr:uid="{00000000-0005-0000-0000-0000157F0000}"/>
    <cellStyle name="RIGs input totals 12 27" xfId="32145" xr:uid="{00000000-0005-0000-0000-0000167F0000}"/>
    <cellStyle name="RIGs input totals 12 28" xfId="32146" xr:uid="{00000000-0005-0000-0000-0000177F0000}"/>
    <cellStyle name="RIGs input totals 12 29" xfId="32147" xr:uid="{00000000-0005-0000-0000-0000187F0000}"/>
    <cellStyle name="RIGs input totals 12 3" xfId="32148" xr:uid="{00000000-0005-0000-0000-0000197F0000}"/>
    <cellStyle name="RIGs input totals 12 30" xfId="32149" xr:uid="{00000000-0005-0000-0000-00001A7F0000}"/>
    <cellStyle name="RIGs input totals 12 31" xfId="32150" xr:uid="{00000000-0005-0000-0000-00001B7F0000}"/>
    <cellStyle name="RIGs input totals 12 32" xfId="32151" xr:uid="{00000000-0005-0000-0000-00001C7F0000}"/>
    <cellStyle name="RIGs input totals 12 33" xfId="32152" xr:uid="{00000000-0005-0000-0000-00001D7F0000}"/>
    <cellStyle name="RIGs input totals 12 34" xfId="32153" xr:uid="{00000000-0005-0000-0000-00001E7F0000}"/>
    <cellStyle name="RIGs input totals 12 4" xfId="32154" xr:uid="{00000000-0005-0000-0000-00001F7F0000}"/>
    <cellStyle name="RIGs input totals 12 5" xfId="32155" xr:uid="{00000000-0005-0000-0000-0000207F0000}"/>
    <cellStyle name="RIGs input totals 12 6" xfId="32156" xr:uid="{00000000-0005-0000-0000-0000217F0000}"/>
    <cellStyle name="RIGs input totals 12 7" xfId="32157" xr:uid="{00000000-0005-0000-0000-0000227F0000}"/>
    <cellStyle name="RIGs input totals 12 8" xfId="32158" xr:uid="{00000000-0005-0000-0000-0000237F0000}"/>
    <cellStyle name="RIGs input totals 12 9" xfId="32159" xr:uid="{00000000-0005-0000-0000-0000247F0000}"/>
    <cellStyle name="RIGs input totals 13" xfId="32160" xr:uid="{00000000-0005-0000-0000-0000257F0000}"/>
    <cellStyle name="RIGs input totals 13 10" xfId="32161" xr:uid="{00000000-0005-0000-0000-0000267F0000}"/>
    <cellStyle name="RIGs input totals 13 11" xfId="32162" xr:uid="{00000000-0005-0000-0000-0000277F0000}"/>
    <cellStyle name="RIGs input totals 13 12" xfId="32163" xr:uid="{00000000-0005-0000-0000-0000287F0000}"/>
    <cellStyle name="RIGs input totals 13 13" xfId="32164" xr:uid="{00000000-0005-0000-0000-0000297F0000}"/>
    <cellStyle name="RIGs input totals 13 2" xfId="32165" xr:uid="{00000000-0005-0000-0000-00002A7F0000}"/>
    <cellStyle name="RIGs input totals 13 3" xfId="32166" xr:uid="{00000000-0005-0000-0000-00002B7F0000}"/>
    <cellStyle name="RIGs input totals 13 4" xfId="32167" xr:uid="{00000000-0005-0000-0000-00002C7F0000}"/>
    <cellStyle name="RIGs input totals 13 5" xfId="32168" xr:uid="{00000000-0005-0000-0000-00002D7F0000}"/>
    <cellStyle name="RIGs input totals 13 6" xfId="32169" xr:uid="{00000000-0005-0000-0000-00002E7F0000}"/>
    <cellStyle name="RIGs input totals 13 7" xfId="32170" xr:uid="{00000000-0005-0000-0000-00002F7F0000}"/>
    <cellStyle name="RIGs input totals 13 8" xfId="32171" xr:uid="{00000000-0005-0000-0000-0000307F0000}"/>
    <cellStyle name="RIGs input totals 13 9" xfId="32172" xr:uid="{00000000-0005-0000-0000-0000317F0000}"/>
    <cellStyle name="RIGs input totals 14" xfId="32173" xr:uid="{00000000-0005-0000-0000-0000327F0000}"/>
    <cellStyle name="RIGs input totals 14 2" xfId="32174" xr:uid="{00000000-0005-0000-0000-0000337F0000}"/>
    <cellStyle name="RIGs input totals 15" xfId="32175" xr:uid="{00000000-0005-0000-0000-0000347F0000}"/>
    <cellStyle name="RIGs input totals 15 2" xfId="32176" xr:uid="{00000000-0005-0000-0000-0000357F0000}"/>
    <cellStyle name="RIGs input totals 15 2 2" xfId="32177" xr:uid="{00000000-0005-0000-0000-0000367F0000}"/>
    <cellStyle name="RIGs input totals 15 3" xfId="32178" xr:uid="{00000000-0005-0000-0000-0000377F0000}"/>
    <cellStyle name="RIGs input totals 16" xfId="32179" xr:uid="{00000000-0005-0000-0000-0000387F0000}"/>
    <cellStyle name="RIGs input totals 17" xfId="32180" xr:uid="{00000000-0005-0000-0000-0000397F0000}"/>
    <cellStyle name="RIGs input totals 18" xfId="32181" xr:uid="{00000000-0005-0000-0000-00003A7F0000}"/>
    <cellStyle name="RIGs input totals 19" xfId="32182" xr:uid="{00000000-0005-0000-0000-00003B7F0000}"/>
    <cellStyle name="RIGs input totals 2" xfId="32183" xr:uid="{00000000-0005-0000-0000-00003C7F0000}"/>
    <cellStyle name="RIGs input totals 2 10" xfId="32184" xr:uid="{00000000-0005-0000-0000-00003D7F0000}"/>
    <cellStyle name="RIGs input totals 2 10 10" xfId="32185" xr:uid="{00000000-0005-0000-0000-00003E7F0000}"/>
    <cellStyle name="RIGs input totals 2 10 11" xfId="32186" xr:uid="{00000000-0005-0000-0000-00003F7F0000}"/>
    <cellStyle name="RIGs input totals 2 10 12" xfId="32187" xr:uid="{00000000-0005-0000-0000-0000407F0000}"/>
    <cellStyle name="RIGs input totals 2 10 13" xfId="32188" xr:uid="{00000000-0005-0000-0000-0000417F0000}"/>
    <cellStyle name="RIGs input totals 2 10 14" xfId="32189" xr:uid="{00000000-0005-0000-0000-0000427F0000}"/>
    <cellStyle name="RIGs input totals 2 10 15" xfId="32190" xr:uid="{00000000-0005-0000-0000-0000437F0000}"/>
    <cellStyle name="RIGs input totals 2 10 16" xfId="32191" xr:uid="{00000000-0005-0000-0000-0000447F0000}"/>
    <cellStyle name="RIGs input totals 2 10 17" xfId="32192" xr:uid="{00000000-0005-0000-0000-0000457F0000}"/>
    <cellStyle name="RIGs input totals 2 10 18" xfId="32193" xr:uid="{00000000-0005-0000-0000-0000467F0000}"/>
    <cellStyle name="RIGs input totals 2 10 19" xfId="32194" xr:uid="{00000000-0005-0000-0000-0000477F0000}"/>
    <cellStyle name="RIGs input totals 2 10 2" xfId="32195" xr:uid="{00000000-0005-0000-0000-0000487F0000}"/>
    <cellStyle name="RIGs input totals 2 10 2 10" xfId="32196" xr:uid="{00000000-0005-0000-0000-0000497F0000}"/>
    <cellStyle name="RIGs input totals 2 10 2 11" xfId="32197" xr:uid="{00000000-0005-0000-0000-00004A7F0000}"/>
    <cellStyle name="RIGs input totals 2 10 2 12" xfId="32198" xr:uid="{00000000-0005-0000-0000-00004B7F0000}"/>
    <cellStyle name="RIGs input totals 2 10 2 13" xfId="32199" xr:uid="{00000000-0005-0000-0000-00004C7F0000}"/>
    <cellStyle name="RIGs input totals 2 10 2 2" xfId="32200" xr:uid="{00000000-0005-0000-0000-00004D7F0000}"/>
    <cellStyle name="RIGs input totals 2 10 2 3" xfId="32201" xr:uid="{00000000-0005-0000-0000-00004E7F0000}"/>
    <cellStyle name="RIGs input totals 2 10 2 4" xfId="32202" xr:uid="{00000000-0005-0000-0000-00004F7F0000}"/>
    <cellStyle name="RIGs input totals 2 10 2 5" xfId="32203" xr:uid="{00000000-0005-0000-0000-0000507F0000}"/>
    <cellStyle name="RIGs input totals 2 10 2 6" xfId="32204" xr:uid="{00000000-0005-0000-0000-0000517F0000}"/>
    <cellStyle name="RIGs input totals 2 10 2 7" xfId="32205" xr:uid="{00000000-0005-0000-0000-0000527F0000}"/>
    <cellStyle name="RIGs input totals 2 10 2 8" xfId="32206" xr:uid="{00000000-0005-0000-0000-0000537F0000}"/>
    <cellStyle name="RIGs input totals 2 10 2 9" xfId="32207" xr:uid="{00000000-0005-0000-0000-0000547F0000}"/>
    <cellStyle name="RIGs input totals 2 10 20" xfId="32208" xr:uid="{00000000-0005-0000-0000-0000557F0000}"/>
    <cellStyle name="RIGs input totals 2 10 21" xfId="32209" xr:uid="{00000000-0005-0000-0000-0000567F0000}"/>
    <cellStyle name="RIGs input totals 2 10 22" xfId="32210" xr:uid="{00000000-0005-0000-0000-0000577F0000}"/>
    <cellStyle name="RIGs input totals 2 10 23" xfId="32211" xr:uid="{00000000-0005-0000-0000-0000587F0000}"/>
    <cellStyle name="RIGs input totals 2 10 24" xfId="32212" xr:uid="{00000000-0005-0000-0000-0000597F0000}"/>
    <cellStyle name="RIGs input totals 2 10 25" xfId="32213" xr:uid="{00000000-0005-0000-0000-00005A7F0000}"/>
    <cellStyle name="RIGs input totals 2 10 26" xfId="32214" xr:uid="{00000000-0005-0000-0000-00005B7F0000}"/>
    <cellStyle name="RIGs input totals 2 10 27" xfId="32215" xr:uid="{00000000-0005-0000-0000-00005C7F0000}"/>
    <cellStyle name="RIGs input totals 2 10 28" xfId="32216" xr:uid="{00000000-0005-0000-0000-00005D7F0000}"/>
    <cellStyle name="RIGs input totals 2 10 29" xfId="32217" xr:uid="{00000000-0005-0000-0000-00005E7F0000}"/>
    <cellStyle name="RIGs input totals 2 10 3" xfId="32218" xr:uid="{00000000-0005-0000-0000-00005F7F0000}"/>
    <cellStyle name="RIGs input totals 2 10 30" xfId="32219" xr:uid="{00000000-0005-0000-0000-0000607F0000}"/>
    <cellStyle name="RIGs input totals 2 10 31" xfId="32220" xr:uid="{00000000-0005-0000-0000-0000617F0000}"/>
    <cellStyle name="RIGs input totals 2 10 32" xfId="32221" xr:uid="{00000000-0005-0000-0000-0000627F0000}"/>
    <cellStyle name="RIGs input totals 2 10 33" xfId="32222" xr:uid="{00000000-0005-0000-0000-0000637F0000}"/>
    <cellStyle name="RIGs input totals 2 10 34" xfId="32223" xr:uid="{00000000-0005-0000-0000-0000647F0000}"/>
    <cellStyle name="RIGs input totals 2 10 4" xfId="32224" xr:uid="{00000000-0005-0000-0000-0000657F0000}"/>
    <cellStyle name="RIGs input totals 2 10 5" xfId="32225" xr:uid="{00000000-0005-0000-0000-0000667F0000}"/>
    <cellStyle name="RIGs input totals 2 10 6" xfId="32226" xr:uid="{00000000-0005-0000-0000-0000677F0000}"/>
    <cellStyle name="RIGs input totals 2 10 7" xfId="32227" xr:uid="{00000000-0005-0000-0000-0000687F0000}"/>
    <cellStyle name="RIGs input totals 2 10 8" xfId="32228" xr:uid="{00000000-0005-0000-0000-0000697F0000}"/>
    <cellStyle name="RIGs input totals 2 10 9" xfId="32229" xr:uid="{00000000-0005-0000-0000-00006A7F0000}"/>
    <cellStyle name="RIGs input totals 2 11" xfId="32230" xr:uid="{00000000-0005-0000-0000-00006B7F0000}"/>
    <cellStyle name="RIGs input totals 2 11 10" xfId="32231" xr:uid="{00000000-0005-0000-0000-00006C7F0000}"/>
    <cellStyle name="RIGs input totals 2 11 11" xfId="32232" xr:uid="{00000000-0005-0000-0000-00006D7F0000}"/>
    <cellStyle name="RIGs input totals 2 11 12" xfId="32233" xr:uid="{00000000-0005-0000-0000-00006E7F0000}"/>
    <cellStyle name="RIGs input totals 2 11 13" xfId="32234" xr:uid="{00000000-0005-0000-0000-00006F7F0000}"/>
    <cellStyle name="RIGs input totals 2 11 14" xfId="32235" xr:uid="{00000000-0005-0000-0000-0000707F0000}"/>
    <cellStyle name="RIGs input totals 2 11 15" xfId="32236" xr:uid="{00000000-0005-0000-0000-0000717F0000}"/>
    <cellStyle name="RIGs input totals 2 11 16" xfId="32237" xr:uid="{00000000-0005-0000-0000-0000727F0000}"/>
    <cellStyle name="RIGs input totals 2 11 17" xfId="32238" xr:uid="{00000000-0005-0000-0000-0000737F0000}"/>
    <cellStyle name="RIGs input totals 2 11 18" xfId="32239" xr:uid="{00000000-0005-0000-0000-0000747F0000}"/>
    <cellStyle name="RIGs input totals 2 11 19" xfId="32240" xr:uid="{00000000-0005-0000-0000-0000757F0000}"/>
    <cellStyle name="RIGs input totals 2 11 2" xfId="32241" xr:uid="{00000000-0005-0000-0000-0000767F0000}"/>
    <cellStyle name="RIGs input totals 2 11 2 10" xfId="32242" xr:uid="{00000000-0005-0000-0000-0000777F0000}"/>
    <cellStyle name="RIGs input totals 2 11 2 11" xfId="32243" xr:uid="{00000000-0005-0000-0000-0000787F0000}"/>
    <cellStyle name="RIGs input totals 2 11 2 12" xfId="32244" xr:uid="{00000000-0005-0000-0000-0000797F0000}"/>
    <cellStyle name="RIGs input totals 2 11 2 13" xfId="32245" xr:uid="{00000000-0005-0000-0000-00007A7F0000}"/>
    <cellStyle name="RIGs input totals 2 11 2 2" xfId="32246" xr:uid="{00000000-0005-0000-0000-00007B7F0000}"/>
    <cellStyle name="RIGs input totals 2 11 2 3" xfId="32247" xr:uid="{00000000-0005-0000-0000-00007C7F0000}"/>
    <cellStyle name="RIGs input totals 2 11 2 4" xfId="32248" xr:uid="{00000000-0005-0000-0000-00007D7F0000}"/>
    <cellStyle name="RIGs input totals 2 11 2 5" xfId="32249" xr:uid="{00000000-0005-0000-0000-00007E7F0000}"/>
    <cellStyle name="RIGs input totals 2 11 2 6" xfId="32250" xr:uid="{00000000-0005-0000-0000-00007F7F0000}"/>
    <cellStyle name="RIGs input totals 2 11 2 7" xfId="32251" xr:uid="{00000000-0005-0000-0000-0000807F0000}"/>
    <cellStyle name="RIGs input totals 2 11 2 8" xfId="32252" xr:uid="{00000000-0005-0000-0000-0000817F0000}"/>
    <cellStyle name="RIGs input totals 2 11 2 9" xfId="32253" xr:uid="{00000000-0005-0000-0000-0000827F0000}"/>
    <cellStyle name="RIGs input totals 2 11 20" xfId="32254" xr:uid="{00000000-0005-0000-0000-0000837F0000}"/>
    <cellStyle name="RIGs input totals 2 11 21" xfId="32255" xr:uid="{00000000-0005-0000-0000-0000847F0000}"/>
    <cellStyle name="RIGs input totals 2 11 22" xfId="32256" xr:uid="{00000000-0005-0000-0000-0000857F0000}"/>
    <cellStyle name="RIGs input totals 2 11 23" xfId="32257" xr:uid="{00000000-0005-0000-0000-0000867F0000}"/>
    <cellStyle name="RIGs input totals 2 11 24" xfId="32258" xr:uid="{00000000-0005-0000-0000-0000877F0000}"/>
    <cellStyle name="RIGs input totals 2 11 25" xfId="32259" xr:uid="{00000000-0005-0000-0000-0000887F0000}"/>
    <cellStyle name="RIGs input totals 2 11 26" xfId="32260" xr:uid="{00000000-0005-0000-0000-0000897F0000}"/>
    <cellStyle name="RIGs input totals 2 11 27" xfId="32261" xr:uid="{00000000-0005-0000-0000-00008A7F0000}"/>
    <cellStyle name="RIGs input totals 2 11 28" xfId="32262" xr:uid="{00000000-0005-0000-0000-00008B7F0000}"/>
    <cellStyle name="RIGs input totals 2 11 29" xfId="32263" xr:uid="{00000000-0005-0000-0000-00008C7F0000}"/>
    <cellStyle name="RIGs input totals 2 11 3" xfId="32264" xr:uid="{00000000-0005-0000-0000-00008D7F0000}"/>
    <cellStyle name="RIGs input totals 2 11 30" xfId="32265" xr:uid="{00000000-0005-0000-0000-00008E7F0000}"/>
    <cellStyle name="RIGs input totals 2 11 31" xfId="32266" xr:uid="{00000000-0005-0000-0000-00008F7F0000}"/>
    <cellStyle name="RIGs input totals 2 11 32" xfId="32267" xr:uid="{00000000-0005-0000-0000-0000907F0000}"/>
    <cellStyle name="RIGs input totals 2 11 33" xfId="32268" xr:uid="{00000000-0005-0000-0000-0000917F0000}"/>
    <cellStyle name="RIGs input totals 2 11 34" xfId="32269" xr:uid="{00000000-0005-0000-0000-0000927F0000}"/>
    <cellStyle name="RIGs input totals 2 11 4" xfId="32270" xr:uid="{00000000-0005-0000-0000-0000937F0000}"/>
    <cellStyle name="RIGs input totals 2 11 5" xfId="32271" xr:uid="{00000000-0005-0000-0000-0000947F0000}"/>
    <cellStyle name="RIGs input totals 2 11 6" xfId="32272" xr:uid="{00000000-0005-0000-0000-0000957F0000}"/>
    <cellStyle name="RIGs input totals 2 11 7" xfId="32273" xr:uid="{00000000-0005-0000-0000-0000967F0000}"/>
    <cellStyle name="RIGs input totals 2 11 8" xfId="32274" xr:uid="{00000000-0005-0000-0000-0000977F0000}"/>
    <cellStyle name="RIGs input totals 2 11 9" xfId="32275" xr:uid="{00000000-0005-0000-0000-0000987F0000}"/>
    <cellStyle name="RIGs input totals 2 12" xfId="32276" xr:uid="{00000000-0005-0000-0000-0000997F0000}"/>
    <cellStyle name="RIGs input totals 2 12 10" xfId="32277" xr:uid="{00000000-0005-0000-0000-00009A7F0000}"/>
    <cellStyle name="RIGs input totals 2 12 11" xfId="32278" xr:uid="{00000000-0005-0000-0000-00009B7F0000}"/>
    <cellStyle name="RIGs input totals 2 12 12" xfId="32279" xr:uid="{00000000-0005-0000-0000-00009C7F0000}"/>
    <cellStyle name="RIGs input totals 2 12 13" xfId="32280" xr:uid="{00000000-0005-0000-0000-00009D7F0000}"/>
    <cellStyle name="RIGs input totals 2 12 2" xfId="32281" xr:uid="{00000000-0005-0000-0000-00009E7F0000}"/>
    <cellStyle name="RIGs input totals 2 12 3" xfId="32282" xr:uid="{00000000-0005-0000-0000-00009F7F0000}"/>
    <cellStyle name="RIGs input totals 2 12 4" xfId="32283" xr:uid="{00000000-0005-0000-0000-0000A07F0000}"/>
    <cellStyle name="RIGs input totals 2 12 5" xfId="32284" xr:uid="{00000000-0005-0000-0000-0000A17F0000}"/>
    <cellStyle name="RIGs input totals 2 12 6" xfId="32285" xr:uid="{00000000-0005-0000-0000-0000A27F0000}"/>
    <cellStyle name="RIGs input totals 2 12 7" xfId="32286" xr:uid="{00000000-0005-0000-0000-0000A37F0000}"/>
    <cellStyle name="RIGs input totals 2 12 8" xfId="32287" xr:uid="{00000000-0005-0000-0000-0000A47F0000}"/>
    <cellStyle name="RIGs input totals 2 12 9" xfId="32288" xr:uid="{00000000-0005-0000-0000-0000A57F0000}"/>
    <cellStyle name="RIGs input totals 2 13" xfId="32289" xr:uid="{00000000-0005-0000-0000-0000A67F0000}"/>
    <cellStyle name="RIGs input totals 2 14" xfId="32290" xr:uid="{00000000-0005-0000-0000-0000A77F0000}"/>
    <cellStyle name="RIGs input totals 2 15" xfId="32291" xr:uid="{00000000-0005-0000-0000-0000A87F0000}"/>
    <cellStyle name="RIGs input totals 2 16" xfId="32292" xr:uid="{00000000-0005-0000-0000-0000A97F0000}"/>
    <cellStyle name="RIGs input totals 2 17" xfId="32293" xr:uid="{00000000-0005-0000-0000-0000AA7F0000}"/>
    <cellStyle name="RIGs input totals 2 18" xfId="32294" xr:uid="{00000000-0005-0000-0000-0000AB7F0000}"/>
    <cellStyle name="RIGs input totals 2 19" xfId="32295" xr:uid="{00000000-0005-0000-0000-0000AC7F0000}"/>
    <cellStyle name="RIGs input totals 2 2" xfId="32296" xr:uid="{00000000-0005-0000-0000-0000AD7F0000}"/>
    <cellStyle name="RIGs input totals 2 2 10" xfId="32297" xr:uid="{00000000-0005-0000-0000-0000AE7F0000}"/>
    <cellStyle name="RIGs input totals 2 2 11" xfId="32298" xr:uid="{00000000-0005-0000-0000-0000AF7F0000}"/>
    <cellStyle name="RIGs input totals 2 2 12" xfId="32299" xr:uid="{00000000-0005-0000-0000-0000B07F0000}"/>
    <cellStyle name="RIGs input totals 2 2 13" xfId="32300" xr:uid="{00000000-0005-0000-0000-0000B17F0000}"/>
    <cellStyle name="RIGs input totals 2 2 14" xfId="32301" xr:uid="{00000000-0005-0000-0000-0000B27F0000}"/>
    <cellStyle name="RIGs input totals 2 2 15" xfId="32302" xr:uid="{00000000-0005-0000-0000-0000B37F0000}"/>
    <cellStyle name="RIGs input totals 2 2 16" xfId="32303" xr:uid="{00000000-0005-0000-0000-0000B47F0000}"/>
    <cellStyle name="RIGs input totals 2 2 17" xfId="32304" xr:uid="{00000000-0005-0000-0000-0000B57F0000}"/>
    <cellStyle name="RIGs input totals 2 2 18" xfId="32305" xr:uid="{00000000-0005-0000-0000-0000B67F0000}"/>
    <cellStyle name="RIGs input totals 2 2 19" xfId="32306" xr:uid="{00000000-0005-0000-0000-0000B77F0000}"/>
    <cellStyle name="RIGs input totals 2 2 2" xfId="32307" xr:uid="{00000000-0005-0000-0000-0000B87F0000}"/>
    <cellStyle name="RIGs input totals 2 2 2 10" xfId="32308" xr:uid="{00000000-0005-0000-0000-0000B97F0000}"/>
    <cellStyle name="RIGs input totals 2 2 2 11" xfId="32309" xr:uid="{00000000-0005-0000-0000-0000BA7F0000}"/>
    <cellStyle name="RIGs input totals 2 2 2 12" xfId="32310" xr:uid="{00000000-0005-0000-0000-0000BB7F0000}"/>
    <cellStyle name="RIGs input totals 2 2 2 13" xfId="32311" xr:uid="{00000000-0005-0000-0000-0000BC7F0000}"/>
    <cellStyle name="RIGs input totals 2 2 2 14" xfId="32312" xr:uid="{00000000-0005-0000-0000-0000BD7F0000}"/>
    <cellStyle name="RIGs input totals 2 2 2 15" xfId="32313" xr:uid="{00000000-0005-0000-0000-0000BE7F0000}"/>
    <cellStyle name="RIGs input totals 2 2 2 16" xfId="32314" xr:uid="{00000000-0005-0000-0000-0000BF7F0000}"/>
    <cellStyle name="RIGs input totals 2 2 2 17" xfId="32315" xr:uid="{00000000-0005-0000-0000-0000C07F0000}"/>
    <cellStyle name="RIGs input totals 2 2 2 18" xfId="32316" xr:uid="{00000000-0005-0000-0000-0000C17F0000}"/>
    <cellStyle name="RIGs input totals 2 2 2 19" xfId="32317" xr:uid="{00000000-0005-0000-0000-0000C27F0000}"/>
    <cellStyle name="RIGs input totals 2 2 2 2" xfId="32318" xr:uid="{00000000-0005-0000-0000-0000C37F0000}"/>
    <cellStyle name="RIGs input totals 2 2 2 2 10" xfId="32319" xr:uid="{00000000-0005-0000-0000-0000C47F0000}"/>
    <cellStyle name="RIGs input totals 2 2 2 2 11" xfId="32320" xr:uid="{00000000-0005-0000-0000-0000C57F0000}"/>
    <cellStyle name="RIGs input totals 2 2 2 2 12" xfId="32321" xr:uid="{00000000-0005-0000-0000-0000C67F0000}"/>
    <cellStyle name="RIGs input totals 2 2 2 2 13" xfId="32322" xr:uid="{00000000-0005-0000-0000-0000C77F0000}"/>
    <cellStyle name="RIGs input totals 2 2 2 2 14" xfId="32323" xr:uid="{00000000-0005-0000-0000-0000C87F0000}"/>
    <cellStyle name="RIGs input totals 2 2 2 2 15" xfId="32324" xr:uid="{00000000-0005-0000-0000-0000C97F0000}"/>
    <cellStyle name="RIGs input totals 2 2 2 2 16" xfId="32325" xr:uid="{00000000-0005-0000-0000-0000CA7F0000}"/>
    <cellStyle name="RIGs input totals 2 2 2 2 17" xfId="32326" xr:uid="{00000000-0005-0000-0000-0000CB7F0000}"/>
    <cellStyle name="RIGs input totals 2 2 2 2 18" xfId="32327" xr:uid="{00000000-0005-0000-0000-0000CC7F0000}"/>
    <cellStyle name="RIGs input totals 2 2 2 2 19" xfId="32328" xr:uid="{00000000-0005-0000-0000-0000CD7F0000}"/>
    <cellStyle name="RIGs input totals 2 2 2 2 2" xfId="32329" xr:uid="{00000000-0005-0000-0000-0000CE7F0000}"/>
    <cellStyle name="RIGs input totals 2 2 2 2 2 10" xfId="32330" xr:uid="{00000000-0005-0000-0000-0000CF7F0000}"/>
    <cellStyle name="RIGs input totals 2 2 2 2 2 11" xfId="32331" xr:uid="{00000000-0005-0000-0000-0000D07F0000}"/>
    <cellStyle name="RIGs input totals 2 2 2 2 2 12" xfId="32332" xr:uid="{00000000-0005-0000-0000-0000D17F0000}"/>
    <cellStyle name="RIGs input totals 2 2 2 2 2 13" xfId="32333" xr:uid="{00000000-0005-0000-0000-0000D27F0000}"/>
    <cellStyle name="RIGs input totals 2 2 2 2 2 14" xfId="32334" xr:uid="{00000000-0005-0000-0000-0000D37F0000}"/>
    <cellStyle name="RIGs input totals 2 2 2 2 2 15" xfId="32335" xr:uid="{00000000-0005-0000-0000-0000D47F0000}"/>
    <cellStyle name="RIGs input totals 2 2 2 2 2 16" xfId="32336" xr:uid="{00000000-0005-0000-0000-0000D57F0000}"/>
    <cellStyle name="RIGs input totals 2 2 2 2 2 17" xfId="32337" xr:uid="{00000000-0005-0000-0000-0000D67F0000}"/>
    <cellStyle name="RIGs input totals 2 2 2 2 2 18" xfId="32338" xr:uid="{00000000-0005-0000-0000-0000D77F0000}"/>
    <cellStyle name="RIGs input totals 2 2 2 2 2 19" xfId="32339" xr:uid="{00000000-0005-0000-0000-0000D87F0000}"/>
    <cellStyle name="RIGs input totals 2 2 2 2 2 2" xfId="32340" xr:uid="{00000000-0005-0000-0000-0000D97F0000}"/>
    <cellStyle name="RIGs input totals 2 2 2 2 2 2 10" xfId="32341" xr:uid="{00000000-0005-0000-0000-0000DA7F0000}"/>
    <cellStyle name="RIGs input totals 2 2 2 2 2 2 11" xfId="32342" xr:uid="{00000000-0005-0000-0000-0000DB7F0000}"/>
    <cellStyle name="RIGs input totals 2 2 2 2 2 2 12" xfId="32343" xr:uid="{00000000-0005-0000-0000-0000DC7F0000}"/>
    <cellStyle name="RIGs input totals 2 2 2 2 2 2 13" xfId="32344" xr:uid="{00000000-0005-0000-0000-0000DD7F0000}"/>
    <cellStyle name="RIGs input totals 2 2 2 2 2 2 2" xfId="32345" xr:uid="{00000000-0005-0000-0000-0000DE7F0000}"/>
    <cellStyle name="RIGs input totals 2 2 2 2 2 2 3" xfId="32346" xr:uid="{00000000-0005-0000-0000-0000DF7F0000}"/>
    <cellStyle name="RIGs input totals 2 2 2 2 2 2 4" xfId="32347" xr:uid="{00000000-0005-0000-0000-0000E07F0000}"/>
    <cellStyle name="RIGs input totals 2 2 2 2 2 2 5" xfId="32348" xr:uid="{00000000-0005-0000-0000-0000E17F0000}"/>
    <cellStyle name="RIGs input totals 2 2 2 2 2 2 6" xfId="32349" xr:uid="{00000000-0005-0000-0000-0000E27F0000}"/>
    <cellStyle name="RIGs input totals 2 2 2 2 2 2 7" xfId="32350" xr:uid="{00000000-0005-0000-0000-0000E37F0000}"/>
    <cellStyle name="RIGs input totals 2 2 2 2 2 2 8" xfId="32351" xr:uid="{00000000-0005-0000-0000-0000E47F0000}"/>
    <cellStyle name="RIGs input totals 2 2 2 2 2 2 9" xfId="32352" xr:uid="{00000000-0005-0000-0000-0000E57F0000}"/>
    <cellStyle name="RIGs input totals 2 2 2 2 2 20" xfId="32353" xr:uid="{00000000-0005-0000-0000-0000E67F0000}"/>
    <cellStyle name="RIGs input totals 2 2 2 2 2 21" xfId="32354" xr:uid="{00000000-0005-0000-0000-0000E77F0000}"/>
    <cellStyle name="RIGs input totals 2 2 2 2 2 22" xfId="32355" xr:uid="{00000000-0005-0000-0000-0000E87F0000}"/>
    <cellStyle name="RIGs input totals 2 2 2 2 2 23" xfId="32356" xr:uid="{00000000-0005-0000-0000-0000E97F0000}"/>
    <cellStyle name="RIGs input totals 2 2 2 2 2 24" xfId="32357" xr:uid="{00000000-0005-0000-0000-0000EA7F0000}"/>
    <cellStyle name="RIGs input totals 2 2 2 2 2 25" xfId="32358" xr:uid="{00000000-0005-0000-0000-0000EB7F0000}"/>
    <cellStyle name="RIGs input totals 2 2 2 2 2 26" xfId="32359" xr:uid="{00000000-0005-0000-0000-0000EC7F0000}"/>
    <cellStyle name="RIGs input totals 2 2 2 2 2 27" xfId="32360" xr:uid="{00000000-0005-0000-0000-0000ED7F0000}"/>
    <cellStyle name="RIGs input totals 2 2 2 2 2 28" xfId="32361" xr:uid="{00000000-0005-0000-0000-0000EE7F0000}"/>
    <cellStyle name="RIGs input totals 2 2 2 2 2 29" xfId="32362" xr:uid="{00000000-0005-0000-0000-0000EF7F0000}"/>
    <cellStyle name="RIGs input totals 2 2 2 2 2 3" xfId="32363" xr:uid="{00000000-0005-0000-0000-0000F07F0000}"/>
    <cellStyle name="RIGs input totals 2 2 2 2 2 30" xfId="32364" xr:uid="{00000000-0005-0000-0000-0000F17F0000}"/>
    <cellStyle name="RIGs input totals 2 2 2 2 2 31" xfId="32365" xr:uid="{00000000-0005-0000-0000-0000F27F0000}"/>
    <cellStyle name="RIGs input totals 2 2 2 2 2 32" xfId="32366" xr:uid="{00000000-0005-0000-0000-0000F37F0000}"/>
    <cellStyle name="RIGs input totals 2 2 2 2 2 33" xfId="32367" xr:uid="{00000000-0005-0000-0000-0000F47F0000}"/>
    <cellStyle name="RIGs input totals 2 2 2 2 2 34" xfId="32368" xr:uid="{00000000-0005-0000-0000-0000F57F0000}"/>
    <cellStyle name="RIGs input totals 2 2 2 2 2 4" xfId="32369" xr:uid="{00000000-0005-0000-0000-0000F67F0000}"/>
    <cellStyle name="RIGs input totals 2 2 2 2 2 5" xfId="32370" xr:uid="{00000000-0005-0000-0000-0000F77F0000}"/>
    <cellStyle name="RIGs input totals 2 2 2 2 2 6" xfId="32371" xr:uid="{00000000-0005-0000-0000-0000F87F0000}"/>
    <cellStyle name="RIGs input totals 2 2 2 2 2 7" xfId="32372" xr:uid="{00000000-0005-0000-0000-0000F97F0000}"/>
    <cellStyle name="RIGs input totals 2 2 2 2 2 8" xfId="32373" xr:uid="{00000000-0005-0000-0000-0000FA7F0000}"/>
    <cellStyle name="RIGs input totals 2 2 2 2 2 9" xfId="32374" xr:uid="{00000000-0005-0000-0000-0000FB7F0000}"/>
    <cellStyle name="RIGs input totals 2 2 2 2 20" xfId="32375" xr:uid="{00000000-0005-0000-0000-0000FC7F0000}"/>
    <cellStyle name="RIGs input totals 2 2 2 2 21" xfId="32376" xr:uid="{00000000-0005-0000-0000-0000FD7F0000}"/>
    <cellStyle name="RIGs input totals 2 2 2 2 22" xfId="32377" xr:uid="{00000000-0005-0000-0000-0000FE7F0000}"/>
    <cellStyle name="RIGs input totals 2 2 2 2 23" xfId="32378" xr:uid="{00000000-0005-0000-0000-0000FF7F0000}"/>
    <cellStyle name="RIGs input totals 2 2 2 2 24" xfId="32379" xr:uid="{00000000-0005-0000-0000-000000800000}"/>
    <cellStyle name="RIGs input totals 2 2 2 2 25" xfId="32380" xr:uid="{00000000-0005-0000-0000-000001800000}"/>
    <cellStyle name="RIGs input totals 2 2 2 2 26" xfId="32381" xr:uid="{00000000-0005-0000-0000-000002800000}"/>
    <cellStyle name="RIGs input totals 2 2 2 2 27" xfId="32382" xr:uid="{00000000-0005-0000-0000-000003800000}"/>
    <cellStyle name="RIGs input totals 2 2 2 2 28" xfId="32383" xr:uid="{00000000-0005-0000-0000-000004800000}"/>
    <cellStyle name="RIGs input totals 2 2 2 2 29" xfId="32384" xr:uid="{00000000-0005-0000-0000-000005800000}"/>
    <cellStyle name="RIGs input totals 2 2 2 2 3" xfId="32385" xr:uid="{00000000-0005-0000-0000-000006800000}"/>
    <cellStyle name="RIGs input totals 2 2 2 2 3 10" xfId="32386" xr:uid="{00000000-0005-0000-0000-000007800000}"/>
    <cellStyle name="RIGs input totals 2 2 2 2 3 11" xfId="32387" xr:uid="{00000000-0005-0000-0000-000008800000}"/>
    <cellStyle name="RIGs input totals 2 2 2 2 3 12" xfId="32388" xr:uid="{00000000-0005-0000-0000-000009800000}"/>
    <cellStyle name="RIGs input totals 2 2 2 2 3 13" xfId="32389" xr:uid="{00000000-0005-0000-0000-00000A800000}"/>
    <cellStyle name="RIGs input totals 2 2 2 2 3 2" xfId="32390" xr:uid="{00000000-0005-0000-0000-00000B800000}"/>
    <cellStyle name="RIGs input totals 2 2 2 2 3 3" xfId="32391" xr:uid="{00000000-0005-0000-0000-00000C800000}"/>
    <cellStyle name="RIGs input totals 2 2 2 2 3 4" xfId="32392" xr:uid="{00000000-0005-0000-0000-00000D800000}"/>
    <cellStyle name="RIGs input totals 2 2 2 2 3 5" xfId="32393" xr:uid="{00000000-0005-0000-0000-00000E800000}"/>
    <cellStyle name="RIGs input totals 2 2 2 2 3 6" xfId="32394" xr:uid="{00000000-0005-0000-0000-00000F800000}"/>
    <cellStyle name="RIGs input totals 2 2 2 2 3 7" xfId="32395" xr:uid="{00000000-0005-0000-0000-000010800000}"/>
    <cellStyle name="RIGs input totals 2 2 2 2 3 8" xfId="32396" xr:uid="{00000000-0005-0000-0000-000011800000}"/>
    <cellStyle name="RIGs input totals 2 2 2 2 3 9" xfId="32397" xr:uid="{00000000-0005-0000-0000-000012800000}"/>
    <cellStyle name="RIGs input totals 2 2 2 2 30" xfId="32398" xr:uid="{00000000-0005-0000-0000-000013800000}"/>
    <cellStyle name="RIGs input totals 2 2 2 2 31" xfId="32399" xr:uid="{00000000-0005-0000-0000-000014800000}"/>
    <cellStyle name="RIGs input totals 2 2 2 2 32" xfId="32400" xr:uid="{00000000-0005-0000-0000-000015800000}"/>
    <cellStyle name="RIGs input totals 2 2 2 2 33" xfId="32401" xr:uid="{00000000-0005-0000-0000-000016800000}"/>
    <cellStyle name="RIGs input totals 2 2 2 2 34" xfId="32402" xr:uid="{00000000-0005-0000-0000-000017800000}"/>
    <cellStyle name="RIGs input totals 2 2 2 2 35" xfId="32403" xr:uid="{00000000-0005-0000-0000-000018800000}"/>
    <cellStyle name="RIGs input totals 2 2 2 2 4" xfId="32404" xr:uid="{00000000-0005-0000-0000-000019800000}"/>
    <cellStyle name="RIGs input totals 2 2 2 2 5" xfId="32405" xr:uid="{00000000-0005-0000-0000-00001A800000}"/>
    <cellStyle name="RIGs input totals 2 2 2 2 6" xfId="32406" xr:uid="{00000000-0005-0000-0000-00001B800000}"/>
    <cellStyle name="RIGs input totals 2 2 2 2 7" xfId="32407" xr:uid="{00000000-0005-0000-0000-00001C800000}"/>
    <cellStyle name="RIGs input totals 2 2 2 2 8" xfId="32408" xr:uid="{00000000-0005-0000-0000-00001D800000}"/>
    <cellStyle name="RIGs input totals 2 2 2 2 9" xfId="32409" xr:uid="{00000000-0005-0000-0000-00001E800000}"/>
    <cellStyle name="RIGs input totals 2 2 2 2_4 28 1_Asst_Health_Crit_AllTO_RIIO_20110714pm" xfId="32410" xr:uid="{00000000-0005-0000-0000-00001F800000}"/>
    <cellStyle name="RIGs input totals 2 2 2 20" xfId="32411" xr:uid="{00000000-0005-0000-0000-000020800000}"/>
    <cellStyle name="RIGs input totals 2 2 2 21" xfId="32412" xr:uid="{00000000-0005-0000-0000-000021800000}"/>
    <cellStyle name="RIGs input totals 2 2 2 22" xfId="32413" xr:uid="{00000000-0005-0000-0000-000022800000}"/>
    <cellStyle name="RIGs input totals 2 2 2 23" xfId="32414" xr:uid="{00000000-0005-0000-0000-000023800000}"/>
    <cellStyle name="RIGs input totals 2 2 2 24" xfId="32415" xr:uid="{00000000-0005-0000-0000-000024800000}"/>
    <cellStyle name="RIGs input totals 2 2 2 25" xfId="32416" xr:uid="{00000000-0005-0000-0000-000025800000}"/>
    <cellStyle name="RIGs input totals 2 2 2 26" xfId="32417" xr:uid="{00000000-0005-0000-0000-000026800000}"/>
    <cellStyle name="RIGs input totals 2 2 2 27" xfId="32418" xr:uid="{00000000-0005-0000-0000-000027800000}"/>
    <cellStyle name="RIGs input totals 2 2 2 28" xfId="32419" xr:uid="{00000000-0005-0000-0000-000028800000}"/>
    <cellStyle name="RIGs input totals 2 2 2 29" xfId="32420" xr:uid="{00000000-0005-0000-0000-000029800000}"/>
    <cellStyle name="RIGs input totals 2 2 2 3" xfId="32421" xr:uid="{00000000-0005-0000-0000-00002A800000}"/>
    <cellStyle name="RIGs input totals 2 2 2 3 10" xfId="32422" xr:uid="{00000000-0005-0000-0000-00002B800000}"/>
    <cellStyle name="RIGs input totals 2 2 2 3 11" xfId="32423" xr:uid="{00000000-0005-0000-0000-00002C800000}"/>
    <cellStyle name="RIGs input totals 2 2 2 3 12" xfId="32424" xr:uid="{00000000-0005-0000-0000-00002D800000}"/>
    <cellStyle name="RIGs input totals 2 2 2 3 13" xfId="32425" xr:uid="{00000000-0005-0000-0000-00002E800000}"/>
    <cellStyle name="RIGs input totals 2 2 2 3 14" xfId="32426" xr:uid="{00000000-0005-0000-0000-00002F800000}"/>
    <cellStyle name="RIGs input totals 2 2 2 3 15" xfId="32427" xr:uid="{00000000-0005-0000-0000-000030800000}"/>
    <cellStyle name="RIGs input totals 2 2 2 3 16" xfId="32428" xr:uid="{00000000-0005-0000-0000-000031800000}"/>
    <cellStyle name="RIGs input totals 2 2 2 3 17" xfId="32429" xr:uid="{00000000-0005-0000-0000-000032800000}"/>
    <cellStyle name="RIGs input totals 2 2 2 3 18" xfId="32430" xr:uid="{00000000-0005-0000-0000-000033800000}"/>
    <cellStyle name="RIGs input totals 2 2 2 3 19" xfId="32431" xr:uid="{00000000-0005-0000-0000-000034800000}"/>
    <cellStyle name="RIGs input totals 2 2 2 3 2" xfId="32432" xr:uid="{00000000-0005-0000-0000-000035800000}"/>
    <cellStyle name="RIGs input totals 2 2 2 3 2 10" xfId="32433" xr:uid="{00000000-0005-0000-0000-000036800000}"/>
    <cellStyle name="RIGs input totals 2 2 2 3 2 11" xfId="32434" xr:uid="{00000000-0005-0000-0000-000037800000}"/>
    <cellStyle name="RIGs input totals 2 2 2 3 2 12" xfId="32435" xr:uid="{00000000-0005-0000-0000-000038800000}"/>
    <cellStyle name="RIGs input totals 2 2 2 3 2 13" xfId="32436" xr:uid="{00000000-0005-0000-0000-000039800000}"/>
    <cellStyle name="RIGs input totals 2 2 2 3 2 2" xfId="32437" xr:uid="{00000000-0005-0000-0000-00003A800000}"/>
    <cellStyle name="RIGs input totals 2 2 2 3 2 3" xfId="32438" xr:uid="{00000000-0005-0000-0000-00003B800000}"/>
    <cellStyle name="RIGs input totals 2 2 2 3 2 4" xfId="32439" xr:uid="{00000000-0005-0000-0000-00003C800000}"/>
    <cellStyle name="RIGs input totals 2 2 2 3 2 5" xfId="32440" xr:uid="{00000000-0005-0000-0000-00003D800000}"/>
    <cellStyle name="RIGs input totals 2 2 2 3 2 6" xfId="32441" xr:uid="{00000000-0005-0000-0000-00003E800000}"/>
    <cellStyle name="RIGs input totals 2 2 2 3 2 7" xfId="32442" xr:uid="{00000000-0005-0000-0000-00003F800000}"/>
    <cellStyle name="RIGs input totals 2 2 2 3 2 8" xfId="32443" xr:uid="{00000000-0005-0000-0000-000040800000}"/>
    <cellStyle name="RIGs input totals 2 2 2 3 2 9" xfId="32444" xr:uid="{00000000-0005-0000-0000-000041800000}"/>
    <cellStyle name="RIGs input totals 2 2 2 3 20" xfId="32445" xr:uid="{00000000-0005-0000-0000-000042800000}"/>
    <cellStyle name="RIGs input totals 2 2 2 3 21" xfId="32446" xr:uid="{00000000-0005-0000-0000-000043800000}"/>
    <cellStyle name="RIGs input totals 2 2 2 3 22" xfId="32447" xr:uid="{00000000-0005-0000-0000-000044800000}"/>
    <cellStyle name="RIGs input totals 2 2 2 3 23" xfId="32448" xr:uid="{00000000-0005-0000-0000-000045800000}"/>
    <cellStyle name="RIGs input totals 2 2 2 3 24" xfId="32449" xr:uid="{00000000-0005-0000-0000-000046800000}"/>
    <cellStyle name="RIGs input totals 2 2 2 3 25" xfId="32450" xr:uid="{00000000-0005-0000-0000-000047800000}"/>
    <cellStyle name="RIGs input totals 2 2 2 3 26" xfId="32451" xr:uid="{00000000-0005-0000-0000-000048800000}"/>
    <cellStyle name="RIGs input totals 2 2 2 3 27" xfId="32452" xr:uid="{00000000-0005-0000-0000-000049800000}"/>
    <cellStyle name="RIGs input totals 2 2 2 3 28" xfId="32453" xr:uid="{00000000-0005-0000-0000-00004A800000}"/>
    <cellStyle name="RIGs input totals 2 2 2 3 29" xfId="32454" xr:uid="{00000000-0005-0000-0000-00004B800000}"/>
    <cellStyle name="RIGs input totals 2 2 2 3 3" xfId="32455" xr:uid="{00000000-0005-0000-0000-00004C800000}"/>
    <cellStyle name="RIGs input totals 2 2 2 3 30" xfId="32456" xr:uid="{00000000-0005-0000-0000-00004D800000}"/>
    <cellStyle name="RIGs input totals 2 2 2 3 31" xfId="32457" xr:uid="{00000000-0005-0000-0000-00004E800000}"/>
    <cellStyle name="RIGs input totals 2 2 2 3 32" xfId="32458" xr:uid="{00000000-0005-0000-0000-00004F800000}"/>
    <cellStyle name="RIGs input totals 2 2 2 3 33" xfId="32459" xr:uid="{00000000-0005-0000-0000-000050800000}"/>
    <cellStyle name="RIGs input totals 2 2 2 3 34" xfId="32460" xr:uid="{00000000-0005-0000-0000-000051800000}"/>
    <cellStyle name="RIGs input totals 2 2 2 3 4" xfId="32461" xr:uid="{00000000-0005-0000-0000-000052800000}"/>
    <cellStyle name="RIGs input totals 2 2 2 3 5" xfId="32462" xr:uid="{00000000-0005-0000-0000-000053800000}"/>
    <cellStyle name="RIGs input totals 2 2 2 3 6" xfId="32463" xr:uid="{00000000-0005-0000-0000-000054800000}"/>
    <cellStyle name="RIGs input totals 2 2 2 3 7" xfId="32464" xr:uid="{00000000-0005-0000-0000-000055800000}"/>
    <cellStyle name="RIGs input totals 2 2 2 3 8" xfId="32465" xr:uid="{00000000-0005-0000-0000-000056800000}"/>
    <cellStyle name="RIGs input totals 2 2 2 3 9" xfId="32466" xr:uid="{00000000-0005-0000-0000-000057800000}"/>
    <cellStyle name="RIGs input totals 2 2 2 30" xfId="32467" xr:uid="{00000000-0005-0000-0000-000058800000}"/>
    <cellStyle name="RIGs input totals 2 2 2 31" xfId="32468" xr:uid="{00000000-0005-0000-0000-000059800000}"/>
    <cellStyle name="RIGs input totals 2 2 2 32" xfId="32469" xr:uid="{00000000-0005-0000-0000-00005A800000}"/>
    <cellStyle name="RIGs input totals 2 2 2 33" xfId="32470" xr:uid="{00000000-0005-0000-0000-00005B800000}"/>
    <cellStyle name="RIGs input totals 2 2 2 34" xfId="32471" xr:uid="{00000000-0005-0000-0000-00005C800000}"/>
    <cellStyle name="RIGs input totals 2 2 2 35" xfId="32472" xr:uid="{00000000-0005-0000-0000-00005D800000}"/>
    <cellStyle name="RIGs input totals 2 2 2 36" xfId="32473" xr:uid="{00000000-0005-0000-0000-00005E800000}"/>
    <cellStyle name="RIGs input totals 2 2 2 37" xfId="32474" xr:uid="{00000000-0005-0000-0000-00005F800000}"/>
    <cellStyle name="RIGs input totals 2 2 2 38" xfId="32475" xr:uid="{00000000-0005-0000-0000-000060800000}"/>
    <cellStyle name="RIGs input totals 2 2 2 4" xfId="32476" xr:uid="{00000000-0005-0000-0000-000061800000}"/>
    <cellStyle name="RIGs input totals 2 2 2 4 10" xfId="32477" xr:uid="{00000000-0005-0000-0000-000062800000}"/>
    <cellStyle name="RIGs input totals 2 2 2 4 11" xfId="32478" xr:uid="{00000000-0005-0000-0000-000063800000}"/>
    <cellStyle name="RIGs input totals 2 2 2 4 12" xfId="32479" xr:uid="{00000000-0005-0000-0000-000064800000}"/>
    <cellStyle name="RIGs input totals 2 2 2 4 13" xfId="32480" xr:uid="{00000000-0005-0000-0000-000065800000}"/>
    <cellStyle name="RIGs input totals 2 2 2 4 14" xfId="32481" xr:uid="{00000000-0005-0000-0000-000066800000}"/>
    <cellStyle name="RIGs input totals 2 2 2 4 15" xfId="32482" xr:uid="{00000000-0005-0000-0000-000067800000}"/>
    <cellStyle name="RIGs input totals 2 2 2 4 16" xfId="32483" xr:uid="{00000000-0005-0000-0000-000068800000}"/>
    <cellStyle name="RIGs input totals 2 2 2 4 17" xfId="32484" xr:uid="{00000000-0005-0000-0000-000069800000}"/>
    <cellStyle name="RIGs input totals 2 2 2 4 18" xfId="32485" xr:uid="{00000000-0005-0000-0000-00006A800000}"/>
    <cellStyle name="RIGs input totals 2 2 2 4 19" xfId="32486" xr:uid="{00000000-0005-0000-0000-00006B800000}"/>
    <cellStyle name="RIGs input totals 2 2 2 4 2" xfId="32487" xr:uid="{00000000-0005-0000-0000-00006C800000}"/>
    <cellStyle name="RIGs input totals 2 2 2 4 2 10" xfId="32488" xr:uid="{00000000-0005-0000-0000-00006D800000}"/>
    <cellStyle name="RIGs input totals 2 2 2 4 2 11" xfId="32489" xr:uid="{00000000-0005-0000-0000-00006E800000}"/>
    <cellStyle name="RIGs input totals 2 2 2 4 2 12" xfId="32490" xr:uid="{00000000-0005-0000-0000-00006F800000}"/>
    <cellStyle name="RIGs input totals 2 2 2 4 2 13" xfId="32491" xr:uid="{00000000-0005-0000-0000-000070800000}"/>
    <cellStyle name="RIGs input totals 2 2 2 4 2 2" xfId="32492" xr:uid="{00000000-0005-0000-0000-000071800000}"/>
    <cellStyle name="RIGs input totals 2 2 2 4 2 3" xfId="32493" xr:uid="{00000000-0005-0000-0000-000072800000}"/>
    <cellStyle name="RIGs input totals 2 2 2 4 2 4" xfId="32494" xr:uid="{00000000-0005-0000-0000-000073800000}"/>
    <cellStyle name="RIGs input totals 2 2 2 4 2 5" xfId="32495" xr:uid="{00000000-0005-0000-0000-000074800000}"/>
    <cellStyle name="RIGs input totals 2 2 2 4 2 6" xfId="32496" xr:uid="{00000000-0005-0000-0000-000075800000}"/>
    <cellStyle name="RIGs input totals 2 2 2 4 2 7" xfId="32497" xr:uid="{00000000-0005-0000-0000-000076800000}"/>
    <cellStyle name="RIGs input totals 2 2 2 4 2 8" xfId="32498" xr:uid="{00000000-0005-0000-0000-000077800000}"/>
    <cellStyle name="RIGs input totals 2 2 2 4 2 9" xfId="32499" xr:uid="{00000000-0005-0000-0000-000078800000}"/>
    <cellStyle name="RIGs input totals 2 2 2 4 20" xfId="32500" xr:uid="{00000000-0005-0000-0000-000079800000}"/>
    <cellStyle name="RIGs input totals 2 2 2 4 21" xfId="32501" xr:uid="{00000000-0005-0000-0000-00007A800000}"/>
    <cellStyle name="RIGs input totals 2 2 2 4 22" xfId="32502" xr:uid="{00000000-0005-0000-0000-00007B800000}"/>
    <cellStyle name="RIGs input totals 2 2 2 4 23" xfId="32503" xr:uid="{00000000-0005-0000-0000-00007C800000}"/>
    <cellStyle name="RIGs input totals 2 2 2 4 24" xfId="32504" xr:uid="{00000000-0005-0000-0000-00007D800000}"/>
    <cellStyle name="RIGs input totals 2 2 2 4 25" xfId="32505" xr:uid="{00000000-0005-0000-0000-00007E800000}"/>
    <cellStyle name="RIGs input totals 2 2 2 4 26" xfId="32506" xr:uid="{00000000-0005-0000-0000-00007F800000}"/>
    <cellStyle name="RIGs input totals 2 2 2 4 27" xfId="32507" xr:uid="{00000000-0005-0000-0000-000080800000}"/>
    <cellStyle name="RIGs input totals 2 2 2 4 28" xfId="32508" xr:uid="{00000000-0005-0000-0000-000081800000}"/>
    <cellStyle name="RIGs input totals 2 2 2 4 29" xfId="32509" xr:uid="{00000000-0005-0000-0000-000082800000}"/>
    <cellStyle name="RIGs input totals 2 2 2 4 3" xfId="32510" xr:uid="{00000000-0005-0000-0000-000083800000}"/>
    <cellStyle name="RIGs input totals 2 2 2 4 30" xfId="32511" xr:uid="{00000000-0005-0000-0000-000084800000}"/>
    <cellStyle name="RIGs input totals 2 2 2 4 31" xfId="32512" xr:uid="{00000000-0005-0000-0000-000085800000}"/>
    <cellStyle name="RIGs input totals 2 2 2 4 32" xfId="32513" xr:uid="{00000000-0005-0000-0000-000086800000}"/>
    <cellStyle name="RIGs input totals 2 2 2 4 33" xfId="32514" xr:uid="{00000000-0005-0000-0000-000087800000}"/>
    <cellStyle name="RIGs input totals 2 2 2 4 34" xfId="32515" xr:uid="{00000000-0005-0000-0000-000088800000}"/>
    <cellStyle name="RIGs input totals 2 2 2 4 4" xfId="32516" xr:uid="{00000000-0005-0000-0000-000089800000}"/>
    <cellStyle name="RIGs input totals 2 2 2 4 5" xfId="32517" xr:uid="{00000000-0005-0000-0000-00008A800000}"/>
    <cellStyle name="RIGs input totals 2 2 2 4 6" xfId="32518" xr:uid="{00000000-0005-0000-0000-00008B800000}"/>
    <cellStyle name="RIGs input totals 2 2 2 4 7" xfId="32519" xr:uid="{00000000-0005-0000-0000-00008C800000}"/>
    <cellStyle name="RIGs input totals 2 2 2 4 8" xfId="32520" xr:uid="{00000000-0005-0000-0000-00008D800000}"/>
    <cellStyle name="RIGs input totals 2 2 2 4 9" xfId="32521" xr:uid="{00000000-0005-0000-0000-00008E800000}"/>
    <cellStyle name="RIGs input totals 2 2 2 5" xfId="32522" xr:uid="{00000000-0005-0000-0000-00008F800000}"/>
    <cellStyle name="RIGs input totals 2 2 2 5 10" xfId="32523" xr:uid="{00000000-0005-0000-0000-000090800000}"/>
    <cellStyle name="RIGs input totals 2 2 2 5 11" xfId="32524" xr:uid="{00000000-0005-0000-0000-000091800000}"/>
    <cellStyle name="RIGs input totals 2 2 2 5 12" xfId="32525" xr:uid="{00000000-0005-0000-0000-000092800000}"/>
    <cellStyle name="RIGs input totals 2 2 2 5 13" xfId="32526" xr:uid="{00000000-0005-0000-0000-000093800000}"/>
    <cellStyle name="RIGs input totals 2 2 2 5 2" xfId="32527" xr:uid="{00000000-0005-0000-0000-000094800000}"/>
    <cellStyle name="RIGs input totals 2 2 2 5 3" xfId="32528" xr:uid="{00000000-0005-0000-0000-000095800000}"/>
    <cellStyle name="RIGs input totals 2 2 2 5 4" xfId="32529" xr:uid="{00000000-0005-0000-0000-000096800000}"/>
    <cellStyle name="RIGs input totals 2 2 2 5 5" xfId="32530" xr:uid="{00000000-0005-0000-0000-000097800000}"/>
    <cellStyle name="RIGs input totals 2 2 2 5 6" xfId="32531" xr:uid="{00000000-0005-0000-0000-000098800000}"/>
    <cellStyle name="RIGs input totals 2 2 2 5 7" xfId="32532" xr:uid="{00000000-0005-0000-0000-000099800000}"/>
    <cellStyle name="RIGs input totals 2 2 2 5 8" xfId="32533" xr:uid="{00000000-0005-0000-0000-00009A800000}"/>
    <cellStyle name="RIGs input totals 2 2 2 5 9" xfId="32534" xr:uid="{00000000-0005-0000-0000-00009B800000}"/>
    <cellStyle name="RIGs input totals 2 2 2 6" xfId="32535" xr:uid="{00000000-0005-0000-0000-00009C800000}"/>
    <cellStyle name="RIGs input totals 2 2 2 7" xfId="32536" xr:uid="{00000000-0005-0000-0000-00009D800000}"/>
    <cellStyle name="RIGs input totals 2 2 2 8" xfId="32537" xr:uid="{00000000-0005-0000-0000-00009E800000}"/>
    <cellStyle name="RIGs input totals 2 2 2 9" xfId="32538" xr:uid="{00000000-0005-0000-0000-00009F800000}"/>
    <cellStyle name="RIGs input totals 2 2 2_4 28 1_Asst_Health_Crit_AllTO_RIIO_20110714pm" xfId="32539" xr:uid="{00000000-0005-0000-0000-0000A0800000}"/>
    <cellStyle name="RIGs input totals 2 2 20" xfId="32540" xr:uid="{00000000-0005-0000-0000-0000A1800000}"/>
    <cellStyle name="RIGs input totals 2 2 21" xfId="32541" xr:uid="{00000000-0005-0000-0000-0000A2800000}"/>
    <cellStyle name="RIGs input totals 2 2 22" xfId="32542" xr:uid="{00000000-0005-0000-0000-0000A3800000}"/>
    <cellStyle name="RIGs input totals 2 2 23" xfId="32543" xr:uid="{00000000-0005-0000-0000-0000A4800000}"/>
    <cellStyle name="RIGs input totals 2 2 24" xfId="32544" xr:uid="{00000000-0005-0000-0000-0000A5800000}"/>
    <cellStyle name="RIGs input totals 2 2 25" xfId="32545" xr:uid="{00000000-0005-0000-0000-0000A6800000}"/>
    <cellStyle name="RIGs input totals 2 2 26" xfId="32546" xr:uid="{00000000-0005-0000-0000-0000A7800000}"/>
    <cellStyle name="RIGs input totals 2 2 27" xfId="32547" xr:uid="{00000000-0005-0000-0000-0000A8800000}"/>
    <cellStyle name="RIGs input totals 2 2 28" xfId="32548" xr:uid="{00000000-0005-0000-0000-0000A9800000}"/>
    <cellStyle name="RIGs input totals 2 2 29" xfId="32549" xr:uid="{00000000-0005-0000-0000-0000AA800000}"/>
    <cellStyle name="RIGs input totals 2 2 3" xfId="32550" xr:uid="{00000000-0005-0000-0000-0000AB800000}"/>
    <cellStyle name="RIGs input totals 2 2 3 10" xfId="32551" xr:uid="{00000000-0005-0000-0000-0000AC800000}"/>
    <cellStyle name="RIGs input totals 2 2 3 11" xfId="32552" xr:uid="{00000000-0005-0000-0000-0000AD800000}"/>
    <cellStyle name="RIGs input totals 2 2 3 12" xfId="32553" xr:uid="{00000000-0005-0000-0000-0000AE800000}"/>
    <cellStyle name="RIGs input totals 2 2 3 13" xfId="32554" xr:uid="{00000000-0005-0000-0000-0000AF800000}"/>
    <cellStyle name="RIGs input totals 2 2 3 14" xfId="32555" xr:uid="{00000000-0005-0000-0000-0000B0800000}"/>
    <cellStyle name="RIGs input totals 2 2 3 15" xfId="32556" xr:uid="{00000000-0005-0000-0000-0000B1800000}"/>
    <cellStyle name="RIGs input totals 2 2 3 16" xfId="32557" xr:uid="{00000000-0005-0000-0000-0000B2800000}"/>
    <cellStyle name="RIGs input totals 2 2 3 17" xfId="32558" xr:uid="{00000000-0005-0000-0000-0000B3800000}"/>
    <cellStyle name="RIGs input totals 2 2 3 18" xfId="32559" xr:uid="{00000000-0005-0000-0000-0000B4800000}"/>
    <cellStyle name="RIGs input totals 2 2 3 19" xfId="32560" xr:uid="{00000000-0005-0000-0000-0000B5800000}"/>
    <cellStyle name="RIGs input totals 2 2 3 2" xfId="32561" xr:uid="{00000000-0005-0000-0000-0000B6800000}"/>
    <cellStyle name="RIGs input totals 2 2 3 2 10" xfId="32562" xr:uid="{00000000-0005-0000-0000-0000B7800000}"/>
    <cellStyle name="RIGs input totals 2 2 3 2 11" xfId="32563" xr:uid="{00000000-0005-0000-0000-0000B8800000}"/>
    <cellStyle name="RIGs input totals 2 2 3 2 12" xfId="32564" xr:uid="{00000000-0005-0000-0000-0000B9800000}"/>
    <cellStyle name="RIGs input totals 2 2 3 2 13" xfId="32565" xr:uid="{00000000-0005-0000-0000-0000BA800000}"/>
    <cellStyle name="RIGs input totals 2 2 3 2 14" xfId="32566" xr:uid="{00000000-0005-0000-0000-0000BB800000}"/>
    <cellStyle name="RIGs input totals 2 2 3 2 15" xfId="32567" xr:uid="{00000000-0005-0000-0000-0000BC800000}"/>
    <cellStyle name="RIGs input totals 2 2 3 2 16" xfId="32568" xr:uid="{00000000-0005-0000-0000-0000BD800000}"/>
    <cellStyle name="RIGs input totals 2 2 3 2 17" xfId="32569" xr:uid="{00000000-0005-0000-0000-0000BE800000}"/>
    <cellStyle name="RIGs input totals 2 2 3 2 18" xfId="32570" xr:uid="{00000000-0005-0000-0000-0000BF800000}"/>
    <cellStyle name="RIGs input totals 2 2 3 2 19" xfId="32571" xr:uid="{00000000-0005-0000-0000-0000C0800000}"/>
    <cellStyle name="RIGs input totals 2 2 3 2 2" xfId="32572" xr:uid="{00000000-0005-0000-0000-0000C1800000}"/>
    <cellStyle name="RIGs input totals 2 2 3 2 2 10" xfId="32573" xr:uid="{00000000-0005-0000-0000-0000C2800000}"/>
    <cellStyle name="RIGs input totals 2 2 3 2 2 11" xfId="32574" xr:uid="{00000000-0005-0000-0000-0000C3800000}"/>
    <cellStyle name="RIGs input totals 2 2 3 2 2 12" xfId="32575" xr:uid="{00000000-0005-0000-0000-0000C4800000}"/>
    <cellStyle name="RIGs input totals 2 2 3 2 2 13" xfId="32576" xr:uid="{00000000-0005-0000-0000-0000C5800000}"/>
    <cellStyle name="RIGs input totals 2 2 3 2 2 2" xfId="32577" xr:uid="{00000000-0005-0000-0000-0000C6800000}"/>
    <cellStyle name="RIGs input totals 2 2 3 2 2 3" xfId="32578" xr:uid="{00000000-0005-0000-0000-0000C7800000}"/>
    <cellStyle name="RIGs input totals 2 2 3 2 2 4" xfId="32579" xr:uid="{00000000-0005-0000-0000-0000C8800000}"/>
    <cellStyle name="RIGs input totals 2 2 3 2 2 5" xfId="32580" xr:uid="{00000000-0005-0000-0000-0000C9800000}"/>
    <cellStyle name="RIGs input totals 2 2 3 2 2 6" xfId="32581" xr:uid="{00000000-0005-0000-0000-0000CA800000}"/>
    <cellStyle name="RIGs input totals 2 2 3 2 2 7" xfId="32582" xr:uid="{00000000-0005-0000-0000-0000CB800000}"/>
    <cellStyle name="RIGs input totals 2 2 3 2 2 8" xfId="32583" xr:uid="{00000000-0005-0000-0000-0000CC800000}"/>
    <cellStyle name="RIGs input totals 2 2 3 2 2 9" xfId="32584" xr:uid="{00000000-0005-0000-0000-0000CD800000}"/>
    <cellStyle name="RIGs input totals 2 2 3 2 20" xfId="32585" xr:uid="{00000000-0005-0000-0000-0000CE800000}"/>
    <cellStyle name="RIGs input totals 2 2 3 2 21" xfId="32586" xr:uid="{00000000-0005-0000-0000-0000CF800000}"/>
    <cellStyle name="RIGs input totals 2 2 3 2 22" xfId="32587" xr:uid="{00000000-0005-0000-0000-0000D0800000}"/>
    <cellStyle name="RIGs input totals 2 2 3 2 23" xfId="32588" xr:uid="{00000000-0005-0000-0000-0000D1800000}"/>
    <cellStyle name="RIGs input totals 2 2 3 2 24" xfId="32589" xr:uid="{00000000-0005-0000-0000-0000D2800000}"/>
    <cellStyle name="RIGs input totals 2 2 3 2 25" xfId="32590" xr:uid="{00000000-0005-0000-0000-0000D3800000}"/>
    <cellStyle name="RIGs input totals 2 2 3 2 26" xfId="32591" xr:uid="{00000000-0005-0000-0000-0000D4800000}"/>
    <cellStyle name="RIGs input totals 2 2 3 2 27" xfId="32592" xr:uid="{00000000-0005-0000-0000-0000D5800000}"/>
    <cellStyle name="RIGs input totals 2 2 3 2 28" xfId="32593" xr:uid="{00000000-0005-0000-0000-0000D6800000}"/>
    <cellStyle name="RIGs input totals 2 2 3 2 29" xfId="32594" xr:uid="{00000000-0005-0000-0000-0000D7800000}"/>
    <cellStyle name="RIGs input totals 2 2 3 2 3" xfId="32595" xr:uid="{00000000-0005-0000-0000-0000D8800000}"/>
    <cellStyle name="RIGs input totals 2 2 3 2 30" xfId="32596" xr:uid="{00000000-0005-0000-0000-0000D9800000}"/>
    <cellStyle name="RIGs input totals 2 2 3 2 31" xfId="32597" xr:uid="{00000000-0005-0000-0000-0000DA800000}"/>
    <cellStyle name="RIGs input totals 2 2 3 2 32" xfId="32598" xr:uid="{00000000-0005-0000-0000-0000DB800000}"/>
    <cellStyle name="RIGs input totals 2 2 3 2 33" xfId="32599" xr:uid="{00000000-0005-0000-0000-0000DC800000}"/>
    <cellStyle name="RIGs input totals 2 2 3 2 34" xfId="32600" xr:uid="{00000000-0005-0000-0000-0000DD800000}"/>
    <cellStyle name="RIGs input totals 2 2 3 2 4" xfId="32601" xr:uid="{00000000-0005-0000-0000-0000DE800000}"/>
    <cellStyle name="RIGs input totals 2 2 3 2 5" xfId="32602" xr:uid="{00000000-0005-0000-0000-0000DF800000}"/>
    <cellStyle name="RIGs input totals 2 2 3 2 6" xfId="32603" xr:uid="{00000000-0005-0000-0000-0000E0800000}"/>
    <cellStyle name="RIGs input totals 2 2 3 2 7" xfId="32604" xr:uid="{00000000-0005-0000-0000-0000E1800000}"/>
    <cellStyle name="RIGs input totals 2 2 3 2 8" xfId="32605" xr:uid="{00000000-0005-0000-0000-0000E2800000}"/>
    <cellStyle name="RIGs input totals 2 2 3 2 9" xfId="32606" xr:uid="{00000000-0005-0000-0000-0000E3800000}"/>
    <cellStyle name="RIGs input totals 2 2 3 20" xfId="32607" xr:uid="{00000000-0005-0000-0000-0000E4800000}"/>
    <cellStyle name="RIGs input totals 2 2 3 21" xfId="32608" xr:uid="{00000000-0005-0000-0000-0000E5800000}"/>
    <cellStyle name="RIGs input totals 2 2 3 22" xfId="32609" xr:uid="{00000000-0005-0000-0000-0000E6800000}"/>
    <cellStyle name="RIGs input totals 2 2 3 23" xfId="32610" xr:uid="{00000000-0005-0000-0000-0000E7800000}"/>
    <cellStyle name="RIGs input totals 2 2 3 24" xfId="32611" xr:uid="{00000000-0005-0000-0000-0000E8800000}"/>
    <cellStyle name="RIGs input totals 2 2 3 25" xfId="32612" xr:uid="{00000000-0005-0000-0000-0000E9800000}"/>
    <cellStyle name="RIGs input totals 2 2 3 26" xfId="32613" xr:uid="{00000000-0005-0000-0000-0000EA800000}"/>
    <cellStyle name="RIGs input totals 2 2 3 27" xfId="32614" xr:uid="{00000000-0005-0000-0000-0000EB800000}"/>
    <cellStyle name="RIGs input totals 2 2 3 28" xfId="32615" xr:uid="{00000000-0005-0000-0000-0000EC800000}"/>
    <cellStyle name="RIGs input totals 2 2 3 29" xfId="32616" xr:uid="{00000000-0005-0000-0000-0000ED800000}"/>
    <cellStyle name="RIGs input totals 2 2 3 3" xfId="32617" xr:uid="{00000000-0005-0000-0000-0000EE800000}"/>
    <cellStyle name="RIGs input totals 2 2 3 3 10" xfId="32618" xr:uid="{00000000-0005-0000-0000-0000EF800000}"/>
    <cellStyle name="RIGs input totals 2 2 3 3 11" xfId="32619" xr:uid="{00000000-0005-0000-0000-0000F0800000}"/>
    <cellStyle name="RIGs input totals 2 2 3 3 12" xfId="32620" xr:uid="{00000000-0005-0000-0000-0000F1800000}"/>
    <cellStyle name="RIGs input totals 2 2 3 3 13" xfId="32621" xr:uid="{00000000-0005-0000-0000-0000F2800000}"/>
    <cellStyle name="RIGs input totals 2 2 3 3 2" xfId="32622" xr:uid="{00000000-0005-0000-0000-0000F3800000}"/>
    <cellStyle name="RIGs input totals 2 2 3 3 3" xfId="32623" xr:uid="{00000000-0005-0000-0000-0000F4800000}"/>
    <cellStyle name="RIGs input totals 2 2 3 3 4" xfId="32624" xr:uid="{00000000-0005-0000-0000-0000F5800000}"/>
    <cellStyle name="RIGs input totals 2 2 3 3 5" xfId="32625" xr:uid="{00000000-0005-0000-0000-0000F6800000}"/>
    <cellStyle name="RIGs input totals 2 2 3 3 6" xfId="32626" xr:uid="{00000000-0005-0000-0000-0000F7800000}"/>
    <cellStyle name="RIGs input totals 2 2 3 3 7" xfId="32627" xr:uid="{00000000-0005-0000-0000-0000F8800000}"/>
    <cellStyle name="RIGs input totals 2 2 3 3 8" xfId="32628" xr:uid="{00000000-0005-0000-0000-0000F9800000}"/>
    <cellStyle name="RIGs input totals 2 2 3 3 9" xfId="32629" xr:uid="{00000000-0005-0000-0000-0000FA800000}"/>
    <cellStyle name="RIGs input totals 2 2 3 30" xfId="32630" xr:uid="{00000000-0005-0000-0000-0000FB800000}"/>
    <cellStyle name="RIGs input totals 2 2 3 31" xfId="32631" xr:uid="{00000000-0005-0000-0000-0000FC800000}"/>
    <cellStyle name="RIGs input totals 2 2 3 32" xfId="32632" xr:uid="{00000000-0005-0000-0000-0000FD800000}"/>
    <cellStyle name="RIGs input totals 2 2 3 33" xfId="32633" xr:uid="{00000000-0005-0000-0000-0000FE800000}"/>
    <cellStyle name="RIGs input totals 2 2 3 34" xfId="32634" xr:uid="{00000000-0005-0000-0000-0000FF800000}"/>
    <cellStyle name="RIGs input totals 2 2 3 35" xfId="32635" xr:uid="{00000000-0005-0000-0000-000000810000}"/>
    <cellStyle name="RIGs input totals 2 2 3 4" xfId="32636" xr:uid="{00000000-0005-0000-0000-000001810000}"/>
    <cellStyle name="RIGs input totals 2 2 3 5" xfId="32637" xr:uid="{00000000-0005-0000-0000-000002810000}"/>
    <cellStyle name="RIGs input totals 2 2 3 6" xfId="32638" xr:uid="{00000000-0005-0000-0000-000003810000}"/>
    <cellStyle name="RIGs input totals 2 2 3 7" xfId="32639" xr:uid="{00000000-0005-0000-0000-000004810000}"/>
    <cellStyle name="RIGs input totals 2 2 3 8" xfId="32640" xr:uid="{00000000-0005-0000-0000-000005810000}"/>
    <cellStyle name="RIGs input totals 2 2 3 9" xfId="32641" xr:uid="{00000000-0005-0000-0000-000006810000}"/>
    <cellStyle name="RIGs input totals 2 2 3_4 28 1_Asst_Health_Crit_AllTO_RIIO_20110714pm" xfId="32642" xr:uid="{00000000-0005-0000-0000-000007810000}"/>
    <cellStyle name="RIGs input totals 2 2 30" xfId="32643" xr:uid="{00000000-0005-0000-0000-000008810000}"/>
    <cellStyle name="RIGs input totals 2 2 31" xfId="32644" xr:uid="{00000000-0005-0000-0000-000009810000}"/>
    <cellStyle name="RIGs input totals 2 2 32" xfId="32645" xr:uid="{00000000-0005-0000-0000-00000A810000}"/>
    <cellStyle name="RIGs input totals 2 2 33" xfId="32646" xr:uid="{00000000-0005-0000-0000-00000B810000}"/>
    <cellStyle name="RIGs input totals 2 2 34" xfId="32647" xr:uid="{00000000-0005-0000-0000-00000C810000}"/>
    <cellStyle name="RIGs input totals 2 2 35" xfId="32648" xr:uid="{00000000-0005-0000-0000-00000D810000}"/>
    <cellStyle name="RIGs input totals 2 2 36" xfId="32649" xr:uid="{00000000-0005-0000-0000-00000E810000}"/>
    <cellStyle name="RIGs input totals 2 2 37" xfId="32650" xr:uid="{00000000-0005-0000-0000-00000F810000}"/>
    <cellStyle name="RIGs input totals 2 2 38" xfId="32651" xr:uid="{00000000-0005-0000-0000-000010810000}"/>
    <cellStyle name="RIGs input totals 2 2 39" xfId="32652" xr:uid="{00000000-0005-0000-0000-000011810000}"/>
    <cellStyle name="RIGs input totals 2 2 4" xfId="32653" xr:uid="{00000000-0005-0000-0000-000012810000}"/>
    <cellStyle name="RIGs input totals 2 2 4 10" xfId="32654" xr:uid="{00000000-0005-0000-0000-000013810000}"/>
    <cellStyle name="RIGs input totals 2 2 4 11" xfId="32655" xr:uid="{00000000-0005-0000-0000-000014810000}"/>
    <cellStyle name="RIGs input totals 2 2 4 12" xfId="32656" xr:uid="{00000000-0005-0000-0000-000015810000}"/>
    <cellStyle name="RIGs input totals 2 2 4 13" xfId="32657" xr:uid="{00000000-0005-0000-0000-000016810000}"/>
    <cellStyle name="RIGs input totals 2 2 4 14" xfId="32658" xr:uid="{00000000-0005-0000-0000-000017810000}"/>
    <cellStyle name="RIGs input totals 2 2 4 15" xfId="32659" xr:uid="{00000000-0005-0000-0000-000018810000}"/>
    <cellStyle name="RIGs input totals 2 2 4 16" xfId="32660" xr:uid="{00000000-0005-0000-0000-000019810000}"/>
    <cellStyle name="RIGs input totals 2 2 4 17" xfId="32661" xr:uid="{00000000-0005-0000-0000-00001A810000}"/>
    <cellStyle name="RIGs input totals 2 2 4 18" xfId="32662" xr:uid="{00000000-0005-0000-0000-00001B810000}"/>
    <cellStyle name="RIGs input totals 2 2 4 19" xfId="32663" xr:uid="{00000000-0005-0000-0000-00001C810000}"/>
    <cellStyle name="RIGs input totals 2 2 4 2" xfId="32664" xr:uid="{00000000-0005-0000-0000-00001D810000}"/>
    <cellStyle name="RIGs input totals 2 2 4 2 10" xfId="32665" xr:uid="{00000000-0005-0000-0000-00001E810000}"/>
    <cellStyle name="RIGs input totals 2 2 4 2 11" xfId="32666" xr:uid="{00000000-0005-0000-0000-00001F810000}"/>
    <cellStyle name="RIGs input totals 2 2 4 2 12" xfId="32667" xr:uid="{00000000-0005-0000-0000-000020810000}"/>
    <cellStyle name="RIGs input totals 2 2 4 2 13" xfId="32668" xr:uid="{00000000-0005-0000-0000-000021810000}"/>
    <cellStyle name="RIGs input totals 2 2 4 2 2" xfId="32669" xr:uid="{00000000-0005-0000-0000-000022810000}"/>
    <cellStyle name="RIGs input totals 2 2 4 2 3" xfId="32670" xr:uid="{00000000-0005-0000-0000-000023810000}"/>
    <cellStyle name="RIGs input totals 2 2 4 2 4" xfId="32671" xr:uid="{00000000-0005-0000-0000-000024810000}"/>
    <cellStyle name="RIGs input totals 2 2 4 2 5" xfId="32672" xr:uid="{00000000-0005-0000-0000-000025810000}"/>
    <cellStyle name="RIGs input totals 2 2 4 2 6" xfId="32673" xr:uid="{00000000-0005-0000-0000-000026810000}"/>
    <cellStyle name="RIGs input totals 2 2 4 2 7" xfId="32674" xr:uid="{00000000-0005-0000-0000-000027810000}"/>
    <cellStyle name="RIGs input totals 2 2 4 2 8" xfId="32675" xr:uid="{00000000-0005-0000-0000-000028810000}"/>
    <cellStyle name="RIGs input totals 2 2 4 2 9" xfId="32676" xr:uid="{00000000-0005-0000-0000-000029810000}"/>
    <cellStyle name="RIGs input totals 2 2 4 20" xfId="32677" xr:uid="{00000000-0005-0000-0000-00002A810000}"/>
    <cellStyle name="RIGs input totals 2 2 4 21" xfId="32678" xr:uid="{00000000-0005-0000-0000-00002B810000}"/>
    <cellStyle name="RIGs input totals 2 2 4 22" xfId="32679" xr:uid="{00000000-0005-0000-0000-00002C810000}"/>
    <cellStyle name="RIGs input totals 2 2 4 23" xfId="32680" xr:uid="{00000000-0005-0000-0000-00002D810000}"/>
    <cellStyle name="RIGs input totals 2 2 4 24" xfId="32681" xr:uid="{00000000-0005-0000-0000-00002E810000}"/>
    <cellStyle name="RIGs input totals 2 2 4 25" xfId="32682" xr:uid="{00000000-0005-0000-0000-00002F810000}"/>
    <cellStyle name="RIGs input totals 2 2 4 26" xfId="32683" xr:uid="{00000000-0005-0000-0000-000030810000}"/>
    <cellStyle name="RIGs input totals 2 2 4 27" xfId="32684" xr:uid="{00000000-0005-0000-0000-000031810000}"/>
    <cellStyle name="RIGs input totals 2 2 4 28" xfId="32685" xr:uid="{00000000-0005-0000-0000-000032810000}"/>
    <cellStyle name="RIGs input totals 2 2 4 29" xfId="32686" xr:uid="{00000000-0005-0000-0000-000033810000}"/>
    <cellStyle name="RIGs input totals 2 2 4 3" xfId="32687" xr:uid="{00000000-0005-0000-0000-000034810000}"/>
    <cellStyle name="RIGs input totals 2 2 4 30" xfId="32688" xr:uid="{00000000-0005-0000-0000-000035810000}"/>
    <cellStyle name="RIGs input totals 2 2 4 31" xfId="32689" xr:uid="{00000000-0005-0000-0000-000036810000}"/>
    <cellStyle name="RIGs input totals 2 2 4 32" xfId="32690" xr:uid="{00000000-0005-0000-0000-000037810000}"/>
    <cellStyle name="RIGs input totals 2 2 4 33" xfId="32691" xr:uid="{00000000-0005-0000-0000-000038810000}"/>
    <cellStyle name="RIGs input totals 2 2 4 34" xfId="32692" xr:uid="{00000000-0005-0000-0000-000039810000}"/>
    <cellStyle name="RIGs input totals 2 2 4 4" xfId="32693" xr:uid="{00000000-0005-0000-0000-00003A810000}"/>
    <cellStyle name="RIGs input totals 2 2 4 5" xfId="32694" xr:uid="{00000000-0005-0000-0000-00003B810000}"/>
    <cellStyle name="RIGs input totals 2 2 4 6" xfId="32695" xr:uid="{00000000-0005-0000-0000-00003C810000}"/>
    <cellStyle name="RIGs input totals 2 2 4 7" xfId="32696" xr:uid="{00000000-0005-0000-0000-00003D810000}"/>
    <cellStyle name="RIGs input totals 2 2 4 8" xfId="32697" xr:uid="{00000000-0005-0000-0000-00003E810000}"/>
    <cellStyle name="RIGs input totals 2 2 4 9" xfId="32698" xr:uid="{00000000-0005-0000-0000-00003F810000}"/>
    <cellStyle name="RIGs input totals 2 2 5" xfId="32699" xr:uid="{00000000-0005-0000-0000-000040810000}"/>
    <cellStyle name="RIGs input totals 2 2 5 10" xfId="32700" xr:uid="{00000000-0005-0000-0000-000041810000}"/>
    <cellStyle name="RIGs input totals 2 2 5 11" xfId="32701" xr:uid="{00000000-0005-0000-0000-000042810000}"/>
    <cellStyle name="RIGs input totals 2 2 5 12" xfId="32702" xr:uid="{00000000-0005-0000-0000-000043810000}"/>
    <cellStyle name="RIGs input totals 2 2 5 13" xfId="32703" xr:uid="{00000000-0005-0000-0000-000044810000}"/>
    <cellStyle name="RIGs input totals 2 2 5 14" xfId="32704" xr:uid="{00000000-0005-0000-0000-000045810000}"/>
    <cellStyle name="RIGs input totals 2 2 5 15" xfId="32705" xr:uid="{00000000-0005-0000-0000-000046810000}"/>
    <cellStyle name="RIGs input totals 2 2 5 16" xfId="32706" xr:uid="{00000000-0005-0000-0000-000047810000}"/>
    <cellStyle name="RIGs input totals 2 2 5 17" xfId="32707" xr:uid="{00000000-0005-0000-0000-000048810000}"/>
    <cellStyle name="RIGs input totals 2 2 5 18" xfId="32708" xr:uid="{00000000-0005-0000-0000-000049810000}"/>
    <cellStyle name="RIGs input totals 2 2 5 19" xfId="32709" xr:uid="{00000000-0005-0000-0000-00004A810000}"/>
    <cellStyle name="RIGs input totals 2 2 5 2" xfId="32710" xr:uid="{00000000-0005-0000-0000-00004B810000}"/>
    <cellStyle name="RIGs input totals 2 2 5 2 10" xfId="32711" xr:uid="{00000000-0005-0000-0000-00004C810000}"/>
    <cellStyle name="RIGs input totals 2 2 5 2 11" xfId="32712" xr:uid="{00000000-0005-0000-0000-00004D810000}"/>
    <cellStyle name="RIGs input totals 2 2 5 2 12" xfId="32713" xr:uid="{00000000-0005-0000-0000-00004E810000}"/>
    <cellStyle name="RIGs input totals 2 2 5 2 13" xfId="32714" xr:uid="{00000000-0005-0000-0000-00004F810000}"/>
    <cellStyle name="RIGs input totals 2 2 5 2 2" xfId="32715" xr:uid="{00000000-0005-0000-0000-000050810000}"/>
    <cellStyle name="RIGs input totals 2 2 5 2 3" xfId="32716" xr:uid="{00000000-0005-0000-0000-000051810000}"/>
    <cellStyle name="RIGs input totals 2 2 5 2 4" xfId="32717" xr:uid="{00000000-0005-0000-0000-000052810000}"/>
    <cellStyle name="RIGs input totals 2 2 5 2 5" xfId="32718" xr:uid="{00000000-0005-0000-0000-000053810000}"/>
    <cellStyle name="RIGs input totals 2 2 5 2 6" xfId="32719" xr:uid="{00000000-0005-0000-0000-000054810000}"/>
    <cellStyle name="RIGs input totals 2 2 5 2 7" xfId="32720" xr:uid="{00000000-0005-0000-0000-000055810000}"/>
    <cellStyle name="RIGs input totals 2 2 5 2 8" xfId="32721" xr:uid="{00000000-0005-0000-0000-000056810000}"/>
    <cellStyle name="RIGs input totals 2 2 5 2 9" xfId="32722" xr:uid="{00000000-0005-0000-0000-000057810000}"/>
    <cellStyle name="RIGs input totals 2 2 5 20" xfId="32723" xr:uid="{00000000-0005-0000-0000-000058810000}"/>
    <cellStyle name="RIGs input totals 2 2 5 21" xfId="32724" xr:uid="{00000000-0005-0000-0000-000059810000}"/>
    <cellStyle name="RIGs input totals 2 2 5 22" xfId="32725" xr:uid="{00000000-0005-0000-0000-00005A810000}"/>
    <cellStyle name="RIGs input totals 2 2 5 23" xfId="32726" xr:uid="{00000000-0005-0000-0000-00005B810000}"/>
    <cellStyle name="RIGs input totals 2 2 5 24" xfId="32727" xr:uid="{00000000-0005-0000-0000-00005C810000}"/>
    <cellStyle name="RIGs input totals 2 2 5 25" xfId="32728" xr:uid="{00000000-0005-0000-0000-00005D810000}"/>
    <cellStyle name="RIGs input totals 2 2 5 26" xfId="32729" xr:uid="{00000000-0005-0000-0000-00005E810000}"/>
    <cellStyle name="RIGs input totals 2 2 5 27" xfId="32730" xr:uid="{00000000-0005-0000-0000-00005F810000}"/>
    <cellStyle name="RIGs input totals 2 2 5 28" xfId="32731" xr:uid="{00000000-0005-0000-0000-000060810000}"/>
    <cellStyle name="RIGs input totals 2 2 5 29" xfId="32732" xr:uid="{00000000-0005-0000-0000-000061810000}"/>
    <cellStyle name="RIGs input totals 2 2 5 3" xfId="32733" xr:uid="{00000000-0005-0000-0000-000062810000}"/>
    <cellStyle name="RIGs input totals 2 2 5 30" xfId="32734" xr:uid="{00000000-0005-0000-0000-000063810000}"/>
    <cellStyle name="RIGs input totals 2 2 5 31" xfId="32735" xr:uid="{00000000-0005-0000-0000-000064810000}"/>
    <cellStyle name="RIGs input totals 2 2 5 32" xfId="32736" xr:uid="{00000000-0005-0000-0000-000065810000}"/>
    <cellStyle name="RIGs input totals 2 2 5 33" xfId="32737" xr:uid="{00000000-0005-0000-0000-000066810000}"/>
    <cellStyle name="RIGs input totals 2 2 5 34" xfId="32738" xr:uid="{00000000-0005-0000-0000-000067810000}"/>
    <cellStyle name="RIGs input totals 2 2 5 4" xfId="32739" xr:uid="{00000000-0005-0000-0000-000068810000}"/>
    <cellStyle name="RIGs input totals 2 2 5 5" xfId="32740" xr:uid="{00000000-0005-0000-0000-000069810000}"/>
    <cellStyle name="RIGs input totals 2 2 5 6" xfId="32741" xr:uid="{00000000-0005-0000-0000-00006A810000}"/>
    <cellStyle name="RIGs input totals 2 2 5 7" xfId="32742" xr:uid="{00000000-0005-0000-0000-00006B810000}"/>
    <cellStyle name="RIGs input totals 2 2 5 8" xfId="32743" xr:uid="{00000000-0005-0000-0000-00006C810000}"/>
    <cellStyle name="RIGs input totals 2 2 5 9" xfId="32744" xr:uid="{00000000-0005-0000-0000-00006D810000}"/>
    <cellStyle name="RIGs input totals 2 2 6" xfId="32745" xr:uid="{00000000-0005-0000-0000-00006E810000}"/>
    <cellStyle name="RIGs input totals 2 2 6 10" xfId="32746" xr:uid="{00000000-0005-0000-0000-00006F810000}"/>
    <cellStyle name="RIGs input totals 2 2 6 11" xfId="32747" xr:uid="{00000000-0005-0000-0000-000070810000}"/>
    <cellStyle name="RIGs input totals 2 2 6 12" xfId="32748" xr:uid="{00000000-0005-0000-0000-000071810000}"/>
    <cellStyle name="RIGs input totals 2 2 6 13" xfId="32749" xr:uid="{00000000-0005-0000-0000-000072810000}"/>
    <cellStyle name="RIGs input totals 2 2 6 2" xfId="32750" xr:uid="{00000000-0005-0000-0000-000073810000}"/>
    <cellStyle name="RIGs input totals 2 2 6 3" xfId="32751" xr:uid="{00000000-0005-0000-0000-000074810000}"/>
    <cellStyle name="RIGs input totals 2 2 6 4" xfId="32752" xr:uid="{00000000-0005-0000-0000-000075810000}"/>
    <cellStyle name="RIGs input totals 2 2 6 5" xfId="32753" xr:uid="{00000000-0005-0000-0000-000076810000}"/>
    <cellStyle name="RIGs input totals 2 2 6 6" xfId="32754" xr:uid="{00000000-0005-0000-0000-000077810000}"/>
    <cellStyle name="RIGs input totals 2 2 6 7" xfId="32755" xr:uid="{00000000-0005-0000-0000-000078810000}"/>
    <cellStyle name="RIGs input totals 2 2 6 8" xfId="32756" xr:uid="{00000000-0005-0000-0000-000079810000}"/>
    <cellStyle name="RIGs input totals 2 2 6 9" xfId="32757" xr:uid="{00000000-0005-0000-0000-00007A810000}"/>
    <cellStyle name="RIGs input totals 2 2 7" xfId="32758" xr:uid="{00000000-0005-0000-0000-00007B810000}"/>
    <cellStyle name="RIGs input totals 2 2 8" xfId="32759" xr:uid="{00000000-0005-0000-0000-00007C810000}"/>
    <cellStyle name="RIGs input totals 2 2 9" xfId="32760" xr:uid="{00000000-0005-0000-0000-00007D810000}"/>
    <cellStyle name="RIGs input totals 2 2_1.3s Accounting C Costs Scots" xfId="32761" xr:uid="{00000000-0005-0000-0000-00007E810000}"/>
    <cellStyle name="RIGs input totals 2 20" xfId="32762" xr:uid="{00000000-0005-0000-0000-00007F810000}"/>
    <cellStyle name="RIGs input totals 2 21" xfId="32763" xr:uid="{00000000-0005-0000-0000-000080810000}"/>
    <cellStyle name="RIGs input totals 2 22" xfId="32764" xr:uid="{00000000-0005-0000-0000-000081810000}"/>
    <cellStyle name="RIGs input totals 2 23" xfId="32765" xr:uid="{00000000-0005-0000-0000-000082810000}"/>
    <cellStyle name="RIGs input totals 2 24" xfId="32766" xr:uid="{00000000-0005-0000-0000-000083810000}"/>
    <cellStyle name="RIGs input totals 2 25" xfId="32767" xr:uid="{00000000-0005-0000-0000-000084810000}"/>
    <cellStyle name="RIGs input totals 2 26" xfId="32768" xr:uid="{00000000-0005-0000-0000-000085810000}"/>
    <cellStyle name="RIGs input totals 2 27" xfId="32769" xr:uid="{00000000-0005-0000-0000-000086810000}"/>
    <cellStyle name="RIGs input totals 2 28" xfId="32770" xr:uid="{00000000-0005-0000-0000-000087810000}"/>
    <cellStyle name="RIGs input totals 2 29" xfId="32771" xr:uid="{00000000-0005-0000-0000-000088810000}"/>
    <cellStyle name="RIGs input totals 2 3" xfId="32772" xr:uid="{00000000-0005-0000-0000-000089810000}"/>
    <cellStyle name="RIGs input totals 2 3 10" xfId="32773" xr:uid="{00000000-0005-0000-0000-00008A810000}"/>
    <cellStyle name="RIGs input totals 2 3 11" xfId="32774" xr:uid="{00000000-0005-0000-0000-00008B810000}"/>
    <cellStyle name="RIGs input totals 2 3 12" xfId="32775" xr:uid="{00000000-0005-0000-0000-00008C810000}"/>
    <cellStyle name="RIGs input totals 2 3 13" xfId="32776" xr:uid="{00000000-0005-0000-0000-00008D810000}"/>
    <cellStyle name="RIGs input totals 2 3 14" xfId="32777" xr:uid="{00000000-0005-0000-0000-00008E810000}"/>
    <cellStyle name="RIGs input totals 2 3 15" xfId="32778" xr:uid="{00000000-0005-0000-0000-00008F810000}"/>
    <cellStyle name="RIGs input totals 2 3 16" xfId="32779" xr:uid="{00000000-0005-0000-0000-000090810000}"/>
    <cellStyle name="RIGs input totals 2 3 17" xfId="32780" xr:uid="{00000000-0005-0000-0000-000091810000}"/>
    <cellStyle name="RIGs input totals 2 3 18" xfId="32781" xr:uid="{00000000-0005-0000-0000-000092810000}"/>
    <cellStyle name="RIGs input totals 2 3 19" xfId="32782" xr:uid="{00000000-0005-0000-0000-000093810000}"/>
    <cellStyle name="RIGs input totals 2 3 2" xfId="32783" xr:uid="{00000000-0005-0000-0000-000094810000}"/>
    <cellStyle name="RIGs input totals 2 3 2 10" xfId="32784" xr:uid="{00000000-0005-0000-0000-000095810000}"/>
    <cellStyle name="RIGs input totals 2 3 2 11" xfId="32785" xr:uid="{00000000-0005-0000-0000-000096810000}"/>
    <cellStyle name="RIGs input totals 2 3 2 12" xfId="32786" xr:uid="{00000000-0005-0000-0000-000097810000}"/>
    <cellStyle name="RIGs input totals 2 3 2 13" xfId="32787" xr:uid="{00000000-0005-0000-0000-000098810000}"/>
    <cellStyle name="RIGs input totals 2 3 2 14" xfId="32788" xr:uid="{00000000-0005-0000-0000-000099810000}"/>
    <cellStyle name="RIGs input totals 2 3 2 15" xfId="32789" xr:uid="{00000000-0005-0000-0000-00009A810000}"/>
    <cellStyle name="RIGs input totals 2 3 2 16" xfId="32790" xr:uid="{00000000-0005-0000-0000-00009B810000}"/>
    <cellStyle name="RIGs input totals 2 3 2 17" xfId="32791" xr:uid="{00000000-0005-0000-0000-00009C810000}"/>
    <cellStyle name="RIGs input totals 2 3 2 18" xfId="32792" xr:uid="{00000000-0005-0000-0000-00009D810000}"/>
    <cellStyle name="RIGs input totals 2 3 2 19" xfId="32793" xr:uid="{00000000-0005-0000-0000-00009E810000}"/>
    <cellStyle name="RIGs input totals 2 3 2 2" xfId="32794" xr:uid="{00000000-0005-0000-0000-00009F810000}"/>
    <cellStyle name="RIGs input totals 2 3 2 2 10" xfId="32795" xr:uid="{00000000-0005-0000-0000-0000A0810000}"/>
    <cellStyle name="RIGs input totals 2 3 2 2 11" xfId="32796" xr:uid="{00000000-0005-0000-0000-0000A1810000}"/>
    <cellStyle name="RIGs input totals 2 3 2 2 12" xfId="32797" xr:uid="{00000000-0005-0000-0000-0000A2810000}"/>
    <cellStyle name="RIGs input totals 2 3 2 2 13" xfId="32798" xr:uid="{00000000-0005-0000-0000-0000A3810000}"/>
    <cellStyle name="RIGs input totals 2 3 2 2 14" xfId="32799" xr:uid="{00000000-0005-0000-0000-0000A4810000}"/>
    <cellStyle name="RIGs input totals 2 3 2 2 15" xfId="32800" xr:uid="{00000000-0005-0000-0000-0000A5810000}"/>
    <cellStyle name="RIGs input totals 2 3 2 2 16" xfId="32801" xr:uid="{00000000-0005-0000-0000-0000A6810000}"/>
    <cellStyle name="RIGs input totals 2 3 2 2 17" xfId="32802" xr:uid="{00000000-0005-0000-0000-0000A7810000}"/>
    <cellStyle name="RIGs input totals 2 3 2 2 18" xfId="32803" xr:uid="{00000000-0005-0000-0000-0000A8810000}"/>
    <cellStyle name="RIGs input totals 2 3 2 2 19" xfId="32804" xr:uid="{00000000-0005-0000-0000-0000A9810000}"/>
    <cellStyle name="RIGs input totals 2 3 2 2 2" xfId="32805" xr:uid="{00000000-0005-0000-0000-0000AA810000}"/>
    <cellStyle name="RIGs input totals 2 3 2 2 2 10" xfId="32806" xr:uid="{00000000-0005-0000-0000-0000AB810000}"/>
    <cellStyle name="RIGs input totals 2 3 2 2 2 11" xfId="32807" xr:uid="{00000000-0005-0000-0000-0000AC810000}"/>
    <cellStyle name="RIGs input totals 2 3 2 2 2 12" xfId="32808" xr:uid="{00000000-0005-0000-0000-0000AD810000}"/>
    <cellStyle name="RIGs input totals 2 3 2 2 2 13" xfId="32809" xr:uid="{00000000-0005-0000-0000-0000AE810000}"/>
    <cellStyle name="RIGs input totals 2 3 2 2 2 14" xfId="32810" xr:uid="{00000000-0005-0000-0000-0000AF810000}"/>
    <cellStyle name="RIGs input totals 2 3 2 2 2 15" xfId="32811" xr:uid="{00000000-0005-0000-0000-0000B0810000}"/>
    <cellStyle name="RIGs input totals 2 3 2 2 2 16" xfId="32812" xr:uid="{00000000-0005-0000-0000-0000B1810000}"/>
    <cellStyle name="RIGs input totals 2 3 2 2 2 17" xfId="32813" xr:uid="{00000000-0005-0000-0000-0000B2810000}"/>
    <cellStyle name="RIGs input totals 2 3 2 2 2 18" xfId="32814" xr:uid="{00000000-0005-0000-0000-0000B3810000}"/>
    <cellStyle name="RIGs input totals 2 3 2 2 2 19" xfId="32815" xr:uid="{00000000-0005-0000-0000-0000B4810000}"/>
    <cellStyle name="RIGs input totals 2 3 2 2 2 2" xfId="32816" xr:uid="{00000000-0005-0000-0000-0000B5810000}"/>
    <cellStyle name="RIGs input totals 2 3 2 2 2 2 10" xfId="32817" xr:uid="{00000000-0005-0000-0000-0000B6810000}"/>
    <cellStyle name="RIGs input totals 2 3 2 2 2 2 11" xfId="32818" xr:uid="{00000000-0005-0000-0000-0000B7810000}"/>
    <cellStyle name="RIGs input totals 2 3 2 2 2 2 12" xfId="32819" xr:uid="{00000000-0005-0000-0000-0000B8810000}"/>
    <cellStyle name="RIGs input totals 2 3 2 2 2 2 13" xfId="32820" xr:uid="{00000000-0005-0000-0000-0000B9810000}"/>
    <cellStyle name="RIGs input totals 2 3 2 2 2 2 2" xfId="32821" xr:uid="{00000000-0005-0000-0000-0000BA810000}"/>
    <cellStyle name="RIGs input totals 2 3 2 2 2 2 3" xfId="32822" xr:uid="{00000000-0005-0000-0000-0000BB810000}"/>
    <cellStyle name="RIGs input totals 2 3 2 2 2 2 4" xfId="32823" xr:uid="{00000000-0005-0000-0000-0000BC810000}"/>
    <cellStyle name="RIGs input totals 2 3 2 2 2 2 5" xfId="32824" xr:uid="{00000000-0005-0000-0000-0000BD810000}"/>
    <cellStyle name="RIGs input totals 2 3 2 2 2 2 6" xfId="32825" xr:uid="{00000000-0005-0000-0000-0000BE810000}"/>
    <cellStyle name="RIGs input totals 2 3 2 2 2 2 7" xfId="32826" xr:uid="{00000000-0005-0000-0000-0000BF810000}"/>
    <cellStyle name="RIGs input totals 2 3 2 2 2 2 8" xfId="32827" xr:uid="{00000000-0005-0000-0000-0000C0810000}"/>
    <cellStyle name="RIGs input totals 2 3 2 2 2 2 9" xfId="32828" xr:uid="{00000000-0005-0000-0000-0000C1810000}"/>
    <cellStyle name="RIGs input totals 2 3 2 2 2 20" xfId="32829" xr:uid="{00000000-0005-0000-0000-0000C2810000}"/>
    <cellStyle name="RIGs input totals 2 3 2 2 2 21" xfId="32830" xr:uid="{00000000-0005-0000-0000-0000C3810000}"/>
    <cellStyle name="RIGs input totals 2 3 2 2 2 22" xfId="32831" xr:uid="{00000000-0005-0000-0000-0000C4810000}"/>
    <cellStyle name="RIGs input totals 2 3 2 2 2 23" xfId="32832" xr:uid="{00000000-0005-0000-0000-0000C5810000}"/>
    <cellStyle name="RIGs input totals 2 3 2 2 2 24" xfId="32833" xr:uid="{00000000-0005-0000-0000-0000C6810000}"/>
    <cellStyle name="RIGs input totals 2 3 2 2 2 25" xfId="32834" xr:uid="{00000000-0005-0000-0000-0000C7810000}"/>
    <cellStyle name="RIGs input totals 2 3 2 2 2 26" xfId="32835" xr:uid="{00000000-0005-0000-0000-0000C8810000}"/>
    <cellStyle name="RIGs input totals 2 3 2 2 2 27" xfId="32836" xr:uid="{00000000-0005-0000-0000-0000C9810000}"/>
    <cellStyle name="RIGs input totals 2 3 2 2 2 28" xfId="32837" xr:uid="{00000000-0005-0000-0000-0000CA810000}"/>
    <cellStyle name="RIGs input totals 2 3 2 2 2 29" xfId="32838" xr:uid="{00000000-0005-0000-0000-0000CB810000}"/>
    <cellStyle name="RIGs input totals 2 3 2 2 2 3" xfId="32839" xr:uid="{00000000-0005-0000-0000-0000CC810000}"/>
    <cellStyle name="RIGs input totals 2 3 2 2 2 30" xfId="32840" xr:uid="{00000000-0005-0000-0000-0000CD810000}"/>
    <cellStyle name="RIGs input totals 2 3 2 2 2 31" xfId="32841" xr:uid="{00000000-0005-0000-0000-0000CE810000}"/>
    <cellStyle name="RIGs input totals 2 3 2 2 2 32" xfId="32842" xr:uid="{00000000-0005-0000-0000-0000CF810000}"/>
    <cellStyle name="RIGs input totals 2 3 2 2 2 33" xfId="32843" xr:uid="{00000000-0005-0000-0000-0000D0810000}"/>
    <cellStyle name="RIGs input totals 2 3 2 2 2 34" xfId="32844" xr:uid="{00000000-0005-0000-0000-0000D1810000}"/>
    <cellStyle name="RIGs input totals 2 3 2 2 2 4" xfId="32845" xr:uid="{00000000-0005-0000-0000-0000D2810000}"/>
    <cellStyle name="RIGs input totals 2 3 2 2 2 5" xfId="32846" xr:uid="{00000000-0005-0000-0000-0000D3810000}"/>
    <cellStyle name="RIGs input totals 2 3 2 2 2 6" xfId="32847" xr:uid="{00000000-0005-0000-0000-0000D4810000}"/>
    <cellStyle name="RIGs input totals 2 3 2 2 2 7" xfId="32848" xr:uid="{00000000-0005-0000-0000-0000D5810000}"/>
    <cellStyle name="RIGs input totals 2 3 2 2 2 8" xfId="32849" xr:uid="{00000000-0005-0000-0000-0000D6810000}"/>
    <cellStyle name="RIGs input totals 2 3 2 2 2 9" xfId="32850" xr:uid="{00000000-0005-0000-0000-0000D7810000}"/>
    <cellStyle name="RIGs input totals 2 3 2 2 20" xfId="32851" xr:uid="{00000000-0005-0000-0000-0000D8810000}"/>
    <cellStyle name="RIGs input totals 2 3 2 2 21" xfId="32852" xr:uid="{00000000-0005-0000-0000-0000D9810000}"/>
    <cellStyle name="RIGs input totals 2 3 2 2 22" xfId="32853" xr:uid="{00000000-0005-0000-0000-0000DA810000}"/>
    <cellStyle name="RIGs input totals 2 3 2 2 23" xfId="32854" xr:uid="{00000000-0005-0000-0000-0000DB810000}"/>
    <cellStyle name="RIGs input totals 2 3 2 2 24" xfId="32855" xr:uid="{00000000-0005-0000-0000-0000DC810000}"/>
    <cellStyle name="RIGs input totals 2 3 2 2 25" xfId="32856" xr:uid="{00000000-0005-0000-0000-0000DD810000}"/>
    <cellStyle name="RIGs input totals 2 3 2 2 26" xfId="32857" xr:uid="{00000000-0005-0000-0000-0000DE810000}"/>
    <cellStyle name="RIGs input totals 2 3 2 2 27" xfId="32858" xr:uid="{00000000-0005-0000-0000-0000DF810000}"/>
    <cellStyle name="RIGs input totals 2 3 2 2 28" xfId="32859" xr:uid="{00000000-0005-0000-0000-0000E0810000}"/>
    <cellStyle name="RIGs input totals 2 3 2 2 29" xfId="32860" xr:uid="{00000000-0005-0000-0000-0000E1810000}"/>
    <cellStyle name="RIGs input totals 2 3 2 2 3" xfId="32861" xr:uid="{00000000-0005-0000-0000-0000E2810000}"/>
    <cellStyle name="RIGs input totals 2 3 2 2 3 10" xfId="32862" xr:uid="{00000000-0005-0000-0000-0000E3810000}"/>
    <cellStyle name="RIGs input totals 2 3 2 2 3 11" xfId="32863" xr:uid="{00000000-0005-0000-0000-0000E4810000}"/>
    <cellStyle name="RIGs input totals 2 3 2 2 3 12" xfId="32864" xr:uid="{00000000-0005-0000-0000-0000E5810000}"/>
    <cellStyle name="RIGs input totals 2 3 2 2 3 13" xfId="32865" xr:uid="{00000000-0005-0000-0000-0000E6810000}"/>
    <cellStyle name="RIGs input totals 2 3 2 2 3 2" xfId="32866" xr:uid="{00000000-0005-0000-0000-0000E7810000}"/>
    <cellStyle name="RIGs input totals 2 3 2 2 3 3" xfId="32867" xr:uid="{00000000-0005-0000-0000-0000E8810000}"/>
    <cellStyle name="RIGs input totals 2 3 2 2 3 4" xfId="32868" xr:uid="{00000000-0005-0000-0000-0000E9810000}"/>
    <cellStyle name="RIGs input totals 2 3 2 2 3 5" xfId="32869" xr:uid="{00000000-0005-0000-0000-0000EA810000}"/>
    <cellStyle name="RIGs input totals 2 3 2 2 3 6" xfId="32870" xr:uid="{00000000-0005-0000-0000-0000EB810000}"/>
    <cellStyle name="RIGs input totals 2 3 2 2 3 7" xfId="32871" xr:uid="{00000000-0005-0000-0000-0000EC810000}"/>
    <cellStyle name="RIGs input totals 2 3 2 2 3 8" xfId="32872" xr:uid="{00000000-0005-0000-0000-0000ED810000}"/>
    <cellStyle name="RIGs input totals 2 3 2 2 3 9" xfId="32873" xr:uid="{00000000-0005-0000-0000-0000EE810000}"/>
    <cellStyle name="RIGs input totals 2 3 2 2 30" xfId="32874" xr:uid="{00000000-0005-0000-0000-0000EF810000}"/>
    <cellStyle name="RIGs input totals 2 3 2 2 31" xfId="32875" xr:uid="{00000000-0005-0000-0000-0000F0810000}"/>
    <cellStyle name="RIGs input totals 2 3 2 2 32" xfId="32876" xr:uid="{00000000-0005-0000-0000-0000F1810000}"/>
    <cellStyle name="RIGs input totals 2 3 2 2 33" xfId="32877" xr:uid="{00000000-0005-0000-0000-0000F2810000}"/>
    <cellStyle name="RIGs input totals 2 3 2 2 34" xfId="32878" xr:uid="{00000000-0005-0000-0000-0000F3810000}"/>
    <cellStyle name="RIGs input totals 2 3 2 2 35" xfId="32879" xr:uid="{00000000-0005-0000-0000-0000F4810000}"/>
    <cellStyle name="RIGs input totals 2 3 2 2 4" xfId="32880" xr:uid="{00000000-0005-0000-0000-0000F5810000}"/>
    <cellStyle name="RIGs input totals 2 3 2 2 5" xfId="32881" xr:uid="{00000000-0005-0000-0000-0000F6810000}"/>
    <cellStyle name="RIGs input totals 2 3 2 2 6" xfId="32882" xr:uid="{00000000-0005-0000-0000-0000F7810000}"/>
    <cellStyle name="RIGs input totals 2 3 2 2 7" xfId="32883" xr:uid="{00000000-0005-0000-0000-0000F8810000}"/>
    <cellStyle name="RIGs input totals 2 3 2 2 8" xfId="32884" xr:uid="{00000000-0005-0000-0000-0000F9810000}"/>
    <cellStyle name="RIGs input totals 2 3 2 2 9" xfId="32885" xr:uid="{00000000-0005-0000-0000-0000FA810000}"/>
    <cellStyle name="RIGs input totals 2 3 2 2_4 28 1_Asst_Health_Crit_AllTO_RIIO_20110714pm" xfId="32886" xr:uid="{00000000-0005-0000-0000-0000FB810000}"/>
    <cellStyle name="RIGs input totals 2 3 2 20" xfId="32887" xr:uid="{00000000-0005-0000-0000-0000FC810000}"/>
    <cellStyle name="RIGs input totals 2 3 2 21" xfId="32888" xr:uid="{00000000-0005-0000-0000-0000FD810000}"/>
    <cellStyle name="RIGs input totals 2 3 2 22" xfId="32889" xr:uid="{00000000-0005-0000-0000-0000FE810000}"/>
    <cellStyle name="RIGs input totals 2 3 2 23" xfId="32890" xr:uid="{00000000-0005-0000-0000-0000FF810000}"/>
    <cellStyle name="RIGs input totals 2 3 2 24" xfId="32891" xr:uid="{00000000-0005-0000-0000-000000820000}"/>
    <cellStyle name="RIGs input totals 2 3 2 25" xfId="32892" xr:uid="{00000000-0005-0000-0000-000001820000}"/>
    <cellStyle name="RIGs input totals 2 3 2 26" xfId="32893" xr:uid="{00000000-0005-0000-0000-000002820000}"/>
    <cellStyle name="RIGs input totals 2 3 2 27" xfId="32894" xr:uid="{00000000-0005-0000-0000-000003820000}"/>
    <cellStyle name="RIGs input totals 2 3 2 28" xfId="32895" xr:uid="{00000000-0005-0000-0000-000004820000}"/>
    <cellStyle name="RIGs input totals 2 3 2 29" xfId="32896" xr:uid="{00000000-0005-0000-0000-000005820000}"/>
    <cellStyle name="RIGs input totals 2 3 2 3" xfId="32897" xr:uid="{00000000-0005-0000-0000-000006820000}"/>
    <cellStyle name="RIGs input totals 2 3 2 3 10" xfId="32898" xr:uid="{00000000-0005-0000-0000-000007820000}"/>
    <cellStyle name="RIGs input totals 2 3 2 3 11" xfId="32899" xr:uid="{00000000-0005-0000-0000-000008820000}"/>
    <cellStyle name="RIGs input totals 2 3 2 3 12" xfId="32900" xr:uid="{00000000-0005-0000-0000-000009820000}"/>
    <cellStyle name="RIGs input totals 2 3 2 3 13" xfId="32901" xr:uid="{00000000-0005-0000-0000-00000A820000}"/>
    <cellStyle name="RIGs input totals 2 3 2 3 14" xfId="32902" xr:uid="{00000000-0005-0000-0000-00000B820000}"/>
    <cellStyle name="RIGs input totals 2 3 2 3 15" xfId="32903" xr:uid="{00000000-0005-0000-0000-00000C820000}"/>
    <cellStyle name="RIGs input totals 2 3 2 3 16" xfId="32904" xr:uid="{00000000-0005-0000-0000-00000D820000}"/>
    <cellStyle name="RIGs input totals 2 3 2 3 17" xfId="32905" xr:uid="{00000000-0005-0000-0000-00000E820000}"/>
    <cellStyle name="RIGs input totals 2 3 2 3 18" xfId="32906" xr:uid="{00000000-0005-0000-0000-00000F820000}"/>
    <cellStyle name="RIGs input totals 2 3 2 3 19" xfId="32907" xr:uid="{00000000-0005-0000-0000-000010820000}"/>
    <cellStyle name="RIGs input totals 2 3 2 3 2" xfId="32908" xr:uid="{00000000-0005-0000-0000-000011820000}"/>
    <cellStyle name="RIGs input totals 2 3 2 3 2 10" xfId="32909" xr:uid="{00000000-0005-0000-0000-000012820000}"/>
    <cellStyle name="RIGs input totals 2 3 2 3 2 11" xfId="32910" xr:uid="{00000000-0005-0000-0000-000013820000}"/>
    <cellStyle name="RIGs input totals 2 3 2 3 2 12" xfId="32911" xr:uid="{00000000-0005-0000-0000-000014820000}"/>
    <cellStyle name="RIGs input totals 2 3 2 3 2 13" xfId="32912" xr:uid="{00000000-0005-0000-0000-000015820000}"/>
    <cellStyle name="RIGs input totals 2 3 2 3 2 2" xfId="32913" xr:uid="{00000000-0005-0000-0000-000016820000}"/>
    <cellStyle name="RIGs input totals 2 3 2 3 2 3" xfId="32914" xr:uid="{00000000-0005-0000-0000-000017820000}"/>
    <cellStyle name="RIGs input totals 2 3 2 3 2 4" xfId="32915" xr:uid="{00000000-0005-0000-0000-000018820000}"/>
    <cellStyle name="RIGs input totals 2 3 2 3 2 5" xfId="32916" xr:uid="{00000000-0005-0000-0000-000019820000}"/>
    <cellStyle name="RIGs input totals 2 3 2 3 2 6" xfId="32917" xr:uid="{00000000-0005-0000-0000-00001A820000}"/>
    <cellStyle name="RIGs input totals 2 3 2 3 2 7" xfId="32918" xr:uid="{00000000-0005-0000-0000-00001B820000}"/>
    <cellStyle name="RIGs input totals 2 3 2 3 2 8" xfId="32919" xr:uid="{00000000-0005-0000-0000-00001C820000}"/>
    <cellStyle name="RIGs input totals 2 3 2 3 2 9" xfId="32920" xr:uid="{00000000-0005-0000-0000-00001D820000}"/>
    <cellStyle name="RIGs input totals 2 3 2 3 20" xfId="32921" xr:uid="{00000000-0005-0000-0000-00001E820000}"/>
    <cellStyle name="RIGs input totals 2 3 2 3 21" xfId="32922" xr:uid="{00000000-0005-0000-0000-00001F820000}"/>
    <cellStyle name="RIGs input totals 2 3 2 3 22" xfId="32923" xr:uid="{00000000-0005-0000-0000-000020820000}"/>
    <cellStyle name="RIGs input totals 2 3 2 3 23" xfId="32924" xr:uid="{00000000-0005-0000-0000-000021820000}"/>
    <cellStyle name="RIGs input totals 2 3 2 3 24" xfId="32925" xr:uid="{00000000-0005-0000-0000-000022820000}"/>
    <cellStyle name="RIGs input totals 2 3 2 3 25" xfId="32926" xr:uid="{00000000-0005-0000-0000-000023820000}"/>
    <cellStyle name="RIGs input totals 2 3 2 3 26" xfId="32927" xr:uid="{00000000-0005-0000-0000-000024820000}"/>
    <cellStyle name="RIGs input totals 2 3 2 3 27" xfId="32928" xr:uid="{00000000-0005-0000-0000-000025820000}"/>
    <cellStyle name="RIGs input totals 2 3 2 3 28" xfId="32929" xr:uid="{00000000-0005-0000-0000-000026820000}"/>
    <cellStyle name="RIGs input totals 2 3 2 3 29" xfId="32930" xr:uid="{00000000-0005-0000-0000-000027820000}"/>
    <cellStyle name="RIGs input totals 2 3 2 3 3" xfId="32931" xr:uid="{00000000-0005-0000-0000-000028820000}"/>
    <cellStyle name="RIGs input totals 2 3 2 3 30" xfId="32932" xr:uid="{00000000-0005-0000-0000-000029820000}"/>
    <cellStyle name="RIGs input totals 2 3 2 3 31" xfId="32933" xr:uid="{00000000-0005-0000-0000-00002A820000}"/>
    <cellStyle name="RIGs input totals 2 3 2 3 32" xfId="32934" xr:uid="{00000000-0005-0000-0000-00002B820000}"/>
    <cellStyle name="RIGs input totals 2 3 2 3 33" xfId="32935" xr:uid="{00000000-0005-0000-0000-00002C820000}"/>
    <cellStyle name="RIGs input totals 2 3 2 3 34" xfId="32936" xr:uid="{00000000-0005-0000-0000-00002D820000}"/>
    <cellStyle name="RIGs input totals 2 3 2 3 4" xfId="32937" xr:uid="{00000000-0005-0000-0000-00002E820000}"/>
    <cellStyle name="RIGs input totals 2 3 2 3 5" xfId="32938" xr:uid="{00000000-0005-0000-0000-00002F820000}"/>
    <cellStyle name="RIGs input totals 2 3 2 3 6" xfId="32939" xr:uid="{00000000-0005-0000-0000-000030820000}"/>
    <cellStyle name="RIGs input totals 2 3 2 3 7" xfId="32940" xr:uid="{00000000-0005-0000-0000-000031820000}"/>
    <cellStyle name="RIGs input totals 2 3 2 3 8" xfId="32941" xr:uid="{00000000-0005-0000-0000-000032820000}"/>
    <cellStyle name="RIGs input totals 2 3 2 3 9" xfId="32942" xr:uid="{00000000-0005-0000-0000-000033820000}"/>
    <cellStyle name="RIGs input totals 2 3 2 30" xfId="32943" xr:uid="{00000000-0005-0000-0000-000034820000}"/>
    <cellStyle name="RIGs input totals 2 3 2 31" xfId="32944" xr:uid="{00000000-0005-0000-0000-000035820000}"/>
    <cellStyle name="RIGs input totals 2 3 2 32" xfId="32945" xr:uid="{00000000-0005-0000-0000-000036820000}"/>
    <cellStyle name="RIGs input totals 2 3 2 33" xfId="32946" xr:uid="{00000000-0005-0000-0000-000037820000}"/>
    <cellStyle name="RIGs input totals 2 3 2 34" xfId="32947" xr:uid="{00000000-0005-0000-0000-000038820000}"/>
    <cellStyle name="RIGs input totals 2 3 2 35" xfId="32948" xr:uid="{00000000-0005-0000-0000-000039820000}"/>
    <cellStyle name="RIGs input totals 2 3 2 36" xfId="32949" xr:uid="{00000000-0005-0000-0000-00003A820000}"/>
    <cellStyle name="RIGs input totals 2 3 2 37" xfId="32950" xr:uid="{00000000-0005-0000-0000-00003B820000}"/>
    <cellStyle name="RIGs input totals 2 3 2 38" xfId="32951" xr:uid="{00000000-0005-0000-0000-00003C820000}"/>
    <cellStyle name="RIGs input totals 2 3 2 4" xfId="32952" xr:uid="{00000000-0005-0000-0000-00003D820000}"/>
    <cellStyle name="RIGs input totals 2 3 2 4 10" xfId="32953" xr:uid="{00000000-0005-0000-0000-00003E820000}"/>
    <cellStyle name="RIGs input totals 2 3 2 4 11" xfId="32954" xr:uid="{00000000-0005-0000-0000-00003F820000}"/>
    <cellStyle name="RIGs input totals 2 3 2 4 12" xfId="32955" xr:uid="{00000000-0005-0000-0000-000040820000}"/>
    <cellStyle name="RIGs input totals 2 3 2 4 13" xfId="32956" xr:uid="{00000000-0005-0000-0000-000041820000}"/>
    <cellStyle name="RIGs input totals 2 3 2 4 14" xfId="32957" xr:uid="{00000000-0005-0000-0000-000042820000}"/>
    <cellStyle name="RIGs input totals 2 3 2 4 15" xfId="32958" xr:uid="{00000000-0005-0000-0000-000043820000}"/>
    <cellStyle name="RIGs input totals 2 3 2 4 16" xfId="32959" xr:uid="{00000000-0005-0000-0000-000044820000}"/>
    <cellStyle name="RIGs input totals 2 3 2 4 17" xfId="32960" xr:uid="{00000000-0005-0000-0000-000045820000}"/>
    <cellStyle name="RIGs input totals 2 3 2 4 18" xfId="32961" xr:uid="{00000000-0005-0000-0000-000046820000}"/>
    <cellStyle name="RIGs input totals 2 3 2 4 19" xfId="32962" xr:uid="{00000000-0005-0000-0000-000047820000}"/>
    <cellStyle name="RIGs input totals 2 3 2 4 2" xfId="32963" xr:uid="{00000000-0005-0000-0000-000048820000}"/>
    <cellStyle name="RIGs input totals 2 3 2 4 2 10" xfId="32964" xr:uid="{00000000-0005-0000-0000-000049820000}"/>
    <cellStyle name="RIGs input totals 2 3 2 4 2 11" xfId="32965" xr:uid="{00000000-0005-0000-0000-00004A820000}"/>
    <cellStyle name="RIGs input totals 2 3 2 4 2 12" xfId="32966" xr:uid="{00000000-0005-0000-0000-00004B820000}"/>
    <cellStyle name="RIGs input totals 2 3 2 4 2 13" xfId="32967" xr:uid="{00000000-0005-0000-0000-00004C820000}"/>
    <cellStyle name="RIGs input totals 2 3 2 4 2 2" xfId="32968" xr:uid="{00000000-0005-0000-0000-00004D820000}"/>
    <cellStyle name="RIGs input totals 2 3 2 4 2 3" xfId="32969" xr:uid="{00000000-0005-0000-0000-00004E820000}"/>
    <cellStyle name="RIGs input totals 2 3 2 4 2 4" xfId="32970" xr:uid="{00000000-0005-0000-0000-00004F820000}"/>
    <cellStyle name="RIGs input totals 2 3 2 4 2 5" xfId="32971" xr:uid="{00000000-0005-0000-0000-000050820000}"/>
    <cellStyle name="RIGs input totals 2 3 2 4 2 6" xfId="32972" xr:uid="{00000000-0005-0000-0000-000051820000}"/>
    <cellStyle name="RIGs input totals 2 3 2 4 2 7" xfId="32973" xr:uid="{00000000-0005-0000-0000-000052820000}"/>
    <cellStyle name="RIGs input totals 2 3 2 4 2 8" xfId="32974" xr:uid="{00000000-0005-0000-0000-000053820000}"/>
    <cellStyle name="RIGs input totals 2 3 2 4 2 9" xfId="32975" xr:uid="{00000000-0005-0000-0000-000054820000}"/>
    <cellStyle name="RIGs input totals 2 3 2 4 20" xfId="32976" xr:uid="{00000000-0005-0000-0000-000055820000}"/>
    <cellStyle name="RIGs input totals 2 3 2 4 21" xfId="32977" xr:uid="{00000000-0005-0000-0000-000056820000}"/>
    <cellStyle name="RIGs input totals 2 3 2 4 22" xfId="32978" xr:uid="{00000000-0005-0000-0000-000057820000}"/>
    <cellStyle name="RIGs input totals 2 3 2 4 23" xfId="32979" xr:uid="{00000000-0005-0000-0000-000058820000}"/>
    <cellStyle name="RIGs input totals 2 3 2 4 24" xfId="32980" xr:uid="{00000000-0005-0000-0000-000059820000}"/>
    <cellStyle name="RIGs input totals 2 3 2 4 25" xfId="32981" xr:uid="{00000000-0005-0000-0000-00005A820000}"/>
    <cellStyle name="RIGs input totals 2 3 2 4 26" xfId="32982" xr:uid="{00000000-0005-0000-0000-00005B820000}"/>
    <cellStyle name="RIGs input totals 2 3 2 4 27" xfId="32983" xr:uid="{00000000-0005-0000-0000-00005C820000}"/>
    <cellStyle name="RIGs input totals 2 3 2 4 28" xfId="32984" xr:uid="{00000000-0005-0000-0000-00005D820000}"/>
    <cellStyle name="RIGs input totals 2 3 2 4 29" xfId="32985" xr:uid="{00000000-0005-0000-0000-00005E820000}"/>
    <cellStyle name="RIGs input totals 2 3 2 4 3" xfId="32986" xr:uid="{00000000-0005-0000-0000-00005F820000}"/>
    <cellStyle name="RIGs input totals 2 3 2 4 30" xfId="32987" xr:uid="{00000000-0005-0000-0000-000060820000}"/>
    <cellStyle name="RIGs input totals 2 3 2 4 31" xfId="32988" xr:uid="{00000000-0005-0000-0000-000061820000}"/>
    <cellStyle name="RIGs input totals 2 3 2 4 32" xfId="32989" xr:uid="{00000000-0005-0000-0000-000062820000}"/>
    <cellStyle name="RIGs input totals 2 3 2 4 33" xfId="32990" xr:uid="{00000000-0005-0000-0000-000063820000}"/>
    <cellStyle name="RIGs input totals 2 3 2 4 34" xfId="32991" xr:uid="{00000000-0005-0000-0000-000064820000}"/>
    <cellStyle name="RIGs input totals 2 3 2 4 4" xfId="32992" xr:uid="{00000000-0005-0000-0000-000065820000}"/>
    <cellStyle name="RIGs input totals 2 3 2 4 5" xfId="32993" xr:uid="{00000000-0005-0000-0000-000066820000}"/>
    <cellStyle name="RIGs input totals 2 3 2 4 6" xfId="32994" xr:uid="{00000000-0005-0000-0000-000067820000}"/>
    <cellStyle name="RIGs input totals 2 3 2 4 7" xfId="32995" xr:uid="{00000000-0005-0000-0000-000068820000}"/>
    <cellStyle name="RIGs input totals 2 3 2 4 8" xfId="32996" xr:uid="{00000000-0005-0000-0000-000069820000}"/>
    <cellStyle name="RIGs input totals 2 3 2 4 9" xfId="32997" xr:uid="{00000000-0005-0000-0000-00006A820000}"/>
    <cellStyle name="RIGs input totals 2 3 2 5" xfId="32998" xr:uid="{00000000-0005-0000-0000-00006B820000}"/>
    <cellStyle name="RIGs input totals 2 3 2 5 10" xfId="32999" xr:uid="{00000000-0005-0000-0000-00006C820000}"/>
    <cellStyle name="RIGs input totals 2 3 2 5 11" xfId="33000" xr:uid="{00000000-0005-0000-0000-00006D820000}"/>
    <cellStyle name="RIGs input totals 2 3 2 5 12" xfId="33001" xr:uid="{00000000-0005-0000-0000-00006E820000}"/>
    <cellStyle name="RIGs input totals 2 3 2 5 13" xfId="33002" xr:uid="{00000000-0005-0000-0000-00006F820000}"/>
    <cellStyle name="RIGs input totals 2 3 2 5 2" xfId="33003" xr:uid="{00000000-0005-0000-0000-000070820000}"/>
    <cellStyle name="RIGs input totals 2 3 2 5 3" xfId="33004" xr:uid="{00000000-0005-0000-0000-000071820000}"/>
    <cellStyle name="RIGs input totals 2 3 2 5 4" xfId="33005" xr:uid="{00000000-0005-0000-0000-000072820000}"/>
    <cellStyle name="RIGs input totals 2 3 2 5 5" xfId="33006" xr:uid="{00000000-0005-0000-0000-000073820000}"/>
    <cellStyle name="RIGs input totals 2 3 2 5 6" xfId="33007" xr:uid="{00000000-0005-0000-0000-000074820000}"/>
    <cellStyle name="RIGs input totals 2 3 2 5 7" xfId="33008" xr:uid="{00000000-0005-0000-0000-000075820000}"/>
    <cellStyle name="RIGs input totals 2 3 2 5 8" xfId="33009" xr:uid="{00000000-0005-0000-0000-000076820000}"/>
    <cellStyle name="RIGs input totals 2 3 2 5 9" xfId="33010" xr:uid="{00000000-0005-0000-0000-000077820000}"/>
    <cellStyle name="RIGs input totals 2 3 2 6" xfId="33011" xr:uid="{00000000-0005-0000-0000-000078820000}"/>
    <cellStyle name="RIGs input totals 2 3 2 7" xfId="33012" xr:uid="{00000000-0005-0000-0000-000079820000}"/>
    <cellStyle name="RIGs input totals 2 3 2 8" xfId="33013" xr:uid="{00000000-0005-0000-0000-00007A820000}"/>
    <cellStyle name="RIGs input totals 2 3 2 9" xfId="33014" xr:uid="{00000000-0005-0000-0000-00007B820000}"/>
    <cellStyle name="RIGs input totals 2 3 2_4 28 1_Asst_Health_Crit_AllTO_RIIO_20110714pm" xfId="33015" xr:uid="{00000000-0005-0000-0000-00007C820000}"/>
    <cellStyle name="RIGs input totals 2 3 20" xfId="33016" xr:uid="{00000000-0005-0000-0000-00007D820000}"/>
    <cellStyle name="RIGs input totals 2 3 21" xfId="33017" xr:uid="{00000000-0005-0000-0000-00007E820000}"/>
    <cellStyle name="RIGs input totals 2 3 22" xfId="33018" xr:uid="{00000000-0005-0000-0000-00007F820000}"/>
    <cellStyle name="RIGs input totals 2 3 23" xfId="33019" xr:uid="{00000000-0005-0000-0000-000080820000}"/>
    <cellStyle name="RIGs input totals 2 3 24" xfId="33020" xr:uid="{00000000-0005-0000-0000-000081820000}"/>
    <cellStyle name="RIGs input totals 2 3 25" xfId="33021" xr:uid="{00000000-0005-0000-0000-000082820000}"/>
    <cellStyle name="RIGs input totals 2 3 26" xfId="33022" xr:uid="{00000000-0005-0000-0000-000083820000}"/>
    <cellStyle name="RIGs input totals 2 3 27" xfId="33023" xr:uid="{00000000-0005-0000-0000-000084820000}"/>
    <cellStyle name="RIGs input totals 2 3 28" xfId="33024" xr:uid="{00000000-0005-0000-0000-000085820000}"/>
    <cellStyle name="RIGs input totals 2 3 29" xfId="33025" xr:uid="{00000000-0005-0000-0000-000086820000}"/>
    <cellStyle name="RIGs input totals 2 3 3" xfId="33026" xr:uid="{00000000-0005-0000-0000-000087820000}"/>
    <cellStyle name="RIGs input totals 2 3 3 10" xfId="33027" xr:uid="{00000000-0005-0000-0000-000088820000}"/>
    <cellStyle name="RIGs input totals 2 3 3 11" xfId="33028" xr:uid="{00000000-0005-0000-0000-000089820000}"/>
    <cellStyle name="RIGs input totals 2 3 3 12" xfId="33029" xr:uid="{00000000-0005-0000-0000-00008A820000}"/>
    <cellStyle name="RIGs input totals 2 3 3 13" xfId="33030" xr:uid="{00000000-0005-0000-0000-00008B820000}"/>
    <cellStyle name="RIGs input totals 2 3 3 14" xfId="33031" xr:uid="{00000000-0005-0000-0000-00008C820000}"/>
    <cellStyle name="RIGs input totals 2 3 3 15" xfId="33032" xr:uid="{00000000-0005-0000-0000-00008D820000}"/>
    <cellStyle name="RIGs input totals 2 3 3 16" xfId="33033" xr:uid="{00000000-0005-0000-0000-00008E820000}"/>
    <cellStyle name="RIGs input totals 2 3 3 17" xfId="33034" xr:uid="{00000000-0005-0000-0000-00008F820000}"/>
    <cellStyle name="RIGs input totals 2 3 3 18" xfId="33035" xr:uid="{00000000-0005-0000-0000-000090820000}"/>
    <cellStyle name="RIGs input totals 2 3 3 19" xfId="33036" xr:uid="{00000000-0005-0000-0000-000091820000}"/>
    <cellStyle name="RIGs input totals 2 3 3 2" xfId="33037" xr:uid="{00000000-0005-0000-0000-000092820000}"/>
    <cellStyle name="RIGs input totals 2 3 3 2 10" xfId="33038" xr:uid="{00000000-0005-0000-0000-000093820000}"/>
    <cellStyle name="RIGs input totals 2 3 3 2 11" xfId="33039" xr:uid="{00000000-0005-0000-0000-000094820000}"/>
    <cellStyle name="RIGs input totals 2 3 3 2 12" xfId="33040" xr:uid="{00000000-0005-0000-0000-000095820000}"/>
    <cellStyle name="RIGs input totals 2 3 3 2 13" xfId="33041" xr:uid="{00000000-0005-0000-0000-000096820000}"/>
    <cellStyle name="RIGs input totals 2 3 3 2 14" xfId="33042" xr:uid="{00000000-0005-0000-0000-000097820000}"/>
    <cellStyle name="RIGs input totals 2 3 3 2 15" xfId="33043" xr:uid="{00000000-0005-0000-0000-000098820000}"/>
    <cellStyle name="RIGs input totals 2 3 3 2 16" xfId="33044" xr:uid="{00000000-0005-0000-0000-000099820000}"/>
    <cellStyle name="RIGs input totals 2 3 3 2 17" xfId="33045" xr:uid="{00000000-0005-0000-0000-00009A820000}"/>
    <cellStyle name="RIGs input totals 2 3 3 2 18" xfId="33046" xr:uid="{00000000-0005-0000-0000-00009B820000}"/>
    <cellStyle name="RIGs input totals 2 3 3 2 19" xfId="33047" xr:uid="{00000000-0005-0000-0000-00009C820000}"/>
    <cellStyle name="RIGs input totals 2 3 3 2 2" xfId="33048" xr:uid="{00000000-0005-0000-0000-00009D820000}"/>
    <cellStyle name="RIGs input totals 2 3 3 2 2 10" xfId="33049" xr:uid="{00000000-0005-0000-0000-00009E820000}"/>
    <cellStyle name="RIGs input totals 2 3 3 2 2 11" xfId="33050" xr:uid="{00000000-0005-0000-0000-00009F820000}"/>
    <cellStyle name="RIGs input totals 2 3 3 2 2 12" xfId="33051" xr:uid="{00000000-0005-0000-0000-0000A0820000}"/>
    <cellStyle name="RIGs input totals 2 3 3 2 2 13" xfId="33052" xr:uid="{00000000-0005-0000-0000-0000A1820000}"/>
    <cellStyle name="RIGs input totals 2 3 3 2 2 2" xfId="33053" xr:uid="{00000000-0005-0000-0000-0000A2820000}"/>
    <cellStyle name="RIGs input totals 2 3 3 2 2 3" xfId="33054" xr:uid="{00000000-0005-0000-0000-0000A3820000}"/>
    <cellStyle name="RIGs input totals 2 3 3 2 2 4" xfId="33055" xr:uid="{00000000-0005-0000-0000-0000A4820000}"/>
    <cellStyle name="RIGs input totals 2 3 3 2 2 5" xfId="33056" xr:uid="{00000000-0005-0000-0000-0000A5820000}"/>
    <cellStyle name="RIGs input totals 2 3 3 2 2 6" xfId="33057" xr:uid="{00000000-0005-0000-0000-0000A6820000}"/>
    <cellStyle name="RIGs input totals 2 3 3 2 2 7" xfId="33058" xr:uid="{00000000-0005-0000-0000-0000A7820000}"/>
    <cellStyle name="RIGs input totals 2 3 3 2 2 8" xfId="33059" xr:uid="{00000000-0005-0000-0000-0000A8820000}"/>
    <cellStyle name="RIGs input totals 2 3 3 2 2 9" xfId="33060" xr:uid="{00000000-0005-0000-0000-0000A9820000}"/>
    <cellStyle name="RIGs input totals 2 3 3 2 20" xfId="33061" xr:uid="{00000000-0005-0000-0000-0000AA820000}"/>
    <cellStyle name="RIGs input totals 2 3 3 2 21" xfId="33062" xr:uid="{00000000-0005-0000-0000-0000AB820000}"/>
    <cellStyle name="RIGs input totals 2 3 3 2 22" xfId="33063" xr:uid="{00000000-0005-0000-0000-0000AC820000}"/>
    <cellStyle name="RIGs input totals 2 3 3 2 23" xfId="33064" xr:uid="{00000000-0005-0000-0000-0000AD820000}"/>
    <cellStyle name="RIGs input totals 2 3 3 2 24" xfId="33065" xr:uid="{00000000-0005-0000-0000-0000AE820000}"/>
    <cellStyle name="RIGs input totals 2 3 3 2 25" xfId="33066" xr:uid="{00000000-0005-0000-0000-0000AF820000}"/>
    <cellStyle name="RIGs input totals 2 3 3 2 26" xfId="33067" xr:uid="{00000000-0005-0000-0000-0000B0820000}"/>
    <cellStyle name="RIGs input totals 2 3 3 2 27" xfId="33068" xr:uid="{00000000-0005-0000-0000-0000B1820000}"/>
    <cellStyle name="RIGs input totals 2 3 3 2 28" xfId="33069" xr:uid="{00000000-0005-0000-0000-0000B2820000}"/>
    <cellStyle name="RIGs input totals 2 3 3 2 29" xfId="33070" xr:uid="{00000000-0005-0000-0000-0000B3820000}"/>
    <cellStyle name="RIGs input totals 2 3 3 2 3" xfId="33071" xr:uid="{00000000-0005-0000-0000-0000B4820000}"/>
    <cellStyle name="RIGs input totals 2 3 3 2 30" xfId="33072" xr:uid="{00000000-0005-0000-0000-0000B5820000}"/>
    <cellStyle name="RIGs input totals 2 3 3 2 31" xfId="33073" xr:uid="{00000000-0005-0000-0000-0000B6820000}"/>
    <cellStyle name="RIGs input totals 2 3 3 2 32" xfId="33074" xr:uid="{00000000-0005-0000-0000-0000B7820000}"/>
    <cellStyle name="RIGs input totals 2 3 3 2 33" xfId="33075" xr:uid="{00000000-0005-0000-0000-0000B8820000}"/>
    <cellStyle name="RIGs input totals 2 3 3 2 34" xfId="33076" xr:uid="{00000000-0005-0000-0000-0000B9820000}"/>
    <cellStyle name="RIGs input totals 2 3 3 2 4" xfId="33077" xr:uid="{00000000-0005-0000-0000-0000BA820000}"/>
    <cellStyle name="RIGs input totals 2 3 3 2 5" xfId="33078" xr:uid="{00000000-0005-0000-0000-0000BB820000}"/>
    <cellStyle name="RIGs input totals 2 3 3 2 6" xfId="33079" xr:uid="{00000000-0005-0000-0000-0000BC820000}"/>
    <cellStyle name="RIGs input totals 2 3 3 2 7" xfId="33080" xr:uid="{00000000-0005-0000-0000-0000BD820000}"/>
    <cellStyle name="RIGs input totals 2 3 3 2 8" xfId="33081" xr:uid="{00000000-0005-0000-0000-0000BE820000}"/>
    <cellStyle name="RIGs input totals 2 3 3 2 9" xfId="33082" xr:uid="{00000000-0005-0000-0000-0000BF820000}"/>
    <cellStyle name="RIGs input totals 2 3 3 20" xfId="33083" xr:uid="{00000000-0005-0000-0000-0000C0820000}"/>
    <cellStyle name="RIGs input totals 2 3 3 21" xfId="33084" xr:uid="{00000000-0005-0000-0000-0000C1820000}"/>
    <cellStyle name="RIGs input totals 2 3 3 22" xfId="33085" xr:uid="{00000000-0005-0000-0000-0000C2820000}"/>
    <cellStyle name="RIGs input totals 2 3 3 23" xfId="33086" xr:uid="{00000000-0005-0000-0000-0000C3820000}"/>
    <cellStyle name="RIGs input totals 2 3 3 24" xfId="33087" xr:uid="{00000000-0005-0000-0000-0000C4820000}"/>
    <cellStyle name="RIGs input totals 2 3 3 25" xfId="33088" xr:uid="{00000000-0005-0000-0000-0000C5820000}"/>
    <cellStyle name="RIGs input totals 2 3 3 26" xfId="33089" xr:uid="{00000000-0005-0000-0000-0000C6820000}"/>
    <cellStyle name="RIGs input totals 2 3 3 27" xfId="33090" xr:uid="{00000000-0005-0000-0000-0000C7820000}"/>
    <cellStyle name="RIGs input totals 2 3 3 28" xfId="33091" xr:uid="{00000000-0005-0000-0000-0000C8820000}"/>
    <cellStyle name="RIGs input totals 2 3 3 29" xfId="33092" xr:uid="{00000000-0005-0000-0000-0000C9820000}"/>
    <cellStyle name="RIGs input totals 2 3 3 3" xfId="33093" xr:uid="{00000000-0005-0000-0000-0000CA820000}"/>
    <cellStyle name="RIGs input totals 2 3 3 3 10" xfId="33094" xr:uid="{00000000-0005-0000-0000-0000CB820000}"/>
    <cellStyle name="RIGs input totals 2 3 3 3 11" xfId="33095" xr:uid="{00000000-0005-0000-0000-0000CC820000}"/>
    <cellStyle name="RIGs input totals 2 3 3 3 12" xfId="33096" xr:uid="{00000000-0005-0000-0000-0000CD820000}"/>
    <cellStyle name="RIGs input totals 2 3 3 3 13" xfId="33097" xr:uid="{00000000-0005-0000-0000-0000CE820000}"/>
    <cellStyle name="RIGs input totals 2 3 3 3 2" xfId="33098" xr:uid="{00000000-0005-0000-0000-0000CF820000}"/>
    <cellStyle name="RIGs input totals 2 3 3 3 3" xfId="33099" xr:uid="{00000000-0005-0000-0000-0000D0820000}"/>
    <cellStyle name="RIGs input totals 2 3 3 3 4" xfId="33100" xr:uid="{00000000-0005-0000-0000-0000D1820000}"/>
    <cellStyle name="RIGs input totals 2 3 3 3 5" xfId="33101" xr:uid="{00000000-0005-0000-0000-0000D2820000}"/>
    <cellStyle name="RIGs input totals 2 3 3 3 6" xfId="33102" xr:uid="{00000000-0005-0000-0000-0000D3820000}"/>
    <cellStyle name="RIGs input totals 2 3 3 3 7" xfId="33103" xr:uid="{00000000-0005-0000-0000-0000D4820000}"/>
    <cellStyle name="RIGs input totals 2 3 3 3 8" xfId="33104" xr:uid="{00000000-0005-0000-0000-0000D5820000}"/>
    <cellStyle name="RIGs input totals 2 3 3 3 9" xfId="33105" xr:uid="{00000000-0005-0000-0000-0000D6820000}"/>
    <cellStyle name="RIGs input totals 2 3 3 30" xfId="33106" xr:uid="{00000000-0005-0000-0000-0000D7820000}"/>
    <cellStyle name="RIGs input totals 2 3 3 31" xfId="33107" xr:uid="{00000000-0005-0000-0000-0000D8820000}"/>
    <cellStyle name="RIGs input totals 2 3 3 32" xfId="33108" xr:uid="{00000000-0005-0000-0000-0000D9820000}"/>
    <cellStyle name="RIGs input totals 2 3 3 33" xfId="33109" xr:uid="{00000000-0005-0000-0000-0000DA820000}"/>
    <cellStyle name="RIGs input totals 2 3 3 34" xfId="33110" xr:uid="{00000000-0005-0000-0000-0000DB820000}"/>
    <cellStyle name="RIGs input totals 2 3 3 35" xfId="33111" xr:uid="{00000000-0005-0000-0000-0000DC820000}"/>
    <cellStyle name="RIGs input totals 2 3 3 4" xfId="33112" xr:uid="{00000000-0005-0000-0000-0000DD820000}"/>
    <cellStyle name="RIGs input totals 2 3 3 5" xfId="33113" xr:uid="{00000000-0005-0000-0000-0000DE820000}"/>
    <cellStyle name="RIGs input totals 2 3 3 6" xfId="33114" xr:uid="{00000000-0005-0000-0000-0000DF820000}"/>
    <cellStyle name="RIGs input totals 2 3 3 7" xfId="33115" xr:uid="{00000000-0005-0000-0000-0000E0820000}"/>
    <cellStyle name="RIGs input totals 2 3 3 8" xfId="33116" xr:uid="{00000000-0005-0000-0000-0000E1820000}"/>
    <cellStyle name="RIGs input totals 2 3 3 9" xfId="33117" xr:uid="{00000000-0005-0000-0000-0000E2820000}"/>
    <cellStyle name="RIGs input totals 2 3 3_4 28 1_Asst_Health_Crit_AllTO_RIIO_20110714pm" xfId="33118" xr:uid="{00000000-0005-0000-0000-0000E3820000}"/>
    <cellStyle name="RIGs input totals 2 3 30" xfId="33119" xr:uid="{00000000-0005-0000-0000-0000E4820000}"/>
    <cellStyle name="RIGs input totals 2 3 31" xfId="33120" xr:uid="{00000000-0005-0000-0000-0000E5820000}"/>
    <cellStyle name="RIGs input totals 2 3 32" xfId="33121" xr:uid="{00000000-0005-0000-0000-0000E6820000}"/>
    <cellStyle name="RIGs input totals 2 3 33" xfId="33122" xr:uid="{00000000-0005-0000-0000-0000E7820000}"/>
    <cellStyle name="RIGs input totals 2 3 34" xfId="33123" xr:uid="{00000000-0005-0000-0000-0000E8820000}"/>
    <cellStyle name="RIGs input totals 2 3 35" xfId="33124" xr:uid="{00000000-0005-0000-0000-0000E9820000}"/>
    <cellStyle name="RIGs input totals 2 3 36" xfId="33125" xr:uid="{00000000-0005-0000-0000-0000EA820000}"/>
    <cellStyle name="RIGs input totals 2 3 37" xfId="33126" xr:uid="{00000000-0005-0000-0000-0000EB820000}"/>
    <cellStyle name="RIGs input totals 2 3 38" xfId="33127" xr:uid="{00000000-0005-0000-0000-0000EC820000}"/>
    <cellStyle name="RIGs input totals 2 3 39" xfId="33128" xr:uid="{00000000-0005-0000-0000-0000ED820000}"/>
    <cellStyle name="RIGs input totals 2 3 4" xfId="33129" xr:uid="{00000000-0005-0000-0000-0000EE820000}"/>
    <cellStyle name="RIGs input totals 2 3 4 10" xfId="33130" xr:uid="{00000000-0005-0000-0000-0000EF820000}"/>
    <cellStyle name="RIGs input totals 2 3 4 11" xfId="33131" xr:uid="{00000000-0005-0000-0000-0000F0820000}"/>
    <cellStyle name="RIGs input totals 2 3 4 12" xfId="33132" xr:uid="{00000000-0005-0000-0000-0000F1820000}"/>
    <cellStyle name="RIGs input totals 2 3 4 13" xfId="33133" xr:uid="{00000000-0005-0000-0000-0000F2820000}"/>
    <cellStyle name="RIGs input totals 2 3 4 14" xfId="33134" xr:uid="{00000000-0005-0000-0000-0000F3820000}"/>
    <cellStyle name="RIGs input totals 2 3 4 15" xfId="33135" xr:uid="{00000000-0005-0000-0000-0000F4820000}"/>
    <cellStyle name="RIGs input totals 2 3 4 16" xfId="33136" xr:uid="{00000000-0005-0000-0000-0000F5820000}"/>
    <cellStyle name="RIGs input totals 2 3 4 17" xfId="33137" xr:uid="{00000000-0005-0000-0000-0000F6820000}"/>
    <cellStyle name="RIGs input totals 2 3 4 18" xfId="33138" xr:uid="{00000000-0005-0000-0000-0000F7820000}"/>
    <cellStyle name="RIGs input totals 2 3 4 19" xfId="33139" xr:uid="{00000000-0005-0000-0000-0000F8820000}"/>
    <cellStyle name="RIGs input totals 2 3 4 2" xfId="33140" xr:uid="{00000000-0005-0000-0000-0000F9820000}"/>
    <cellStyle name="RIGs input totals 2 3 4 2 10" xfId="33141" xr:uid="{00000000-0005-0000-0000-0000FA820000}"/>
    <cellStyle name="RIGs input totals 2 3 4 2 11" xfId="33142" xr:uid="{00000000-0005-0000-0000-0000FB820000}"/>
    <cellStyle name="RIGs input totals 2 3 4 2 12" xfId="33143" xr:uid="{00000000-0005-0000-0000-0000FC820000}"/>
    <cellStyle name="RIGs input totals 2 3 4 2 13" xfId="33144" xr:uid="{00000000-0005-0000-0000-0000FD820000}"/>
    <cellStyle name="RIGs input totals 2 3 4 2 2" xfId="33145" xr:uid="{00000000-0005-0000-0000-0000FE820000}"/>
    <cellStyle name="RIGs input totals 2 3 4 2 3" xfId="33146" xr:uid="{00000000-0005-0000-0000-0000FF820000}"/>
    <cellStyle name="RIGs input totals 2 3 4 2 4" xfId="33147" xr:uid="{00000000-0005-0000-0000-000000830000}"/>
    <cellStyle name="RIGs input totals 2 3 4 2 5" xfId="33148" xr:uid="{00000000-0005-0000-0000-000001830000}"/>
    <cellStyle name="RIGs input totals 2 3 4 2 6" xfId="33149" xr:uid="{00000000-0005-0000-0000-000002830000}"/>
    <cellStyle name="RIGs input totals 2 3 4 2 7" xfId="33150" xr:uid="{00000000-0005-0000-0000-000003830000}"/>
    <cellStyle name="RIGs input totals 2 3 4 2 8" xfId="33151" xr:uid="{00000000-0005-0000-0000-000004830000}"/>
    <cellStyle name="RIGs input totals 2 3 4 2 9" xfId="33152" xr:uid="{00000000-0005-0000-0000-000005830000}"/>
    <cellStyle name="RIGs input totals 2 3 4 20" xfId="33153" xr:uid="{00000000-0005-0000-0000-000006830000}"/>
    <cellStyle name="RIGs input totals 2 3 4 21" xfId="33154" xr:uid="{00000000-0005-0000-0000-000007830000}"/>
    <cellStyle name="RIGs input totals 2 3 4 22" xfId="33155" xr:uid="{00000000-0005-0000-0000-000008830000}"/>
    <cellStyle name="RIGs input totals 2 3 4 23" xfId="33156" xr:uid="{00000000-0005-0000-0000-000009830000}"/>
    <cellStyle name="RIGs input totals 2 3 4 24" xfId="33157" xr:uid="{00000000-0005-0000-0000-00000A830000}"/>
    <cellStyle name="RIGs input totals 2 3 4 25" xfId="33158" xr:uid="{00000000-0005-0000-0000-00000B830000}"/>
    <cellStyle name="RIGs input totals 2 3 4 26" xfId="33159" xr:uid="{00000000-0005-0000-0000-00000C830000}"/>
    <cellStyle name="RIGs input totals 2 3 4 27" xfId="33160" xr:uid="{00000000-0005-0000-0000-00000D830000}"/>
    <cellStyle name="RIGs input totals 2 3 4 28" xfId="33161" xr:uid="{00000000-0005-0000-0000-00000E830000}"/>
    <cellStyle name="RIGs input totals 2 3 4 29" xfId="33162" xr:uid="{00000000-0005-0000-0000-00000F830000}"/>
    <cellStyle name="RIGs input totals 2 3 4 3" xfId="33163" xr:uid="{00000000-0005-0000-0000-000010830000}"/>
    <cellStyle name="RIGs input totals 2 3 4 30" xfId="33164" xr:uid="{00000000-0005-0000-0000-000011830000}"/>
    <cellStyle name="RIGs input totals 2 3 4 31" xfId="33165" xr:uid="{00000000-0005-0000-0000-000012830000}"/>
    <cellStyle name="RIGs input totals 2 3 4 32" xfId="33166" xr:uid="{00000000-0005-0000-0000-000013830000}"/>
    <cellStyle name="RIGs input totals 2 3 4 33" xfId="33167" xr:uid="{00000000-0005-0000-0000-000014830000}"/>
    <cellStyle name="RIGs input totals 2 3 4 34" xfId="33168" xr:uid="{00000000-0005-0000-0000-000015830000}"/>
    <cellStyle name="RIGs input totals 2 3 4 4" xfId="33169" xr:uid="{00000000-0005-0000-0000-000016830000}"/>
    <cellStyle name="RIGs input totals 2 3 4 5" xfId="33170" xr:uid="{00000000-0005-0000-0000-000017830000}"/>
    <cellStyle name="RIGs input totals 2 3 4 6" xfId="33171" xr:uid="{00000000-0005-0000-0000-000018830000}"/>
    <cellStyle name="RIGs input totals 2 3 4 7" xfId="33172" xr:uid="{00000000-0005-0000-0000-000019830000}"/>
    <cellStyle name="RIGs input totals 2 3 4 8" xfId="33173" xr:uid="{00000000-0005-0000-0000-00001A830000}"/>
    <cellStyle name="RIGs input totals 2 3 4 9" xfId="33174" xr:uid="{00000000-0005-0000-0000-00001B830000}"/>
    <cellStyle name="RIGs input totals 2 3 5" xfId="33175" xr:uid="{00000000-0005-0000-0000-00001C830000}"/>
    <cellStyle name="RIGs input totals 2 3 5 10" xfId="33176" xr:uid="{00000000-0005-0000-0000-00001D830000}"/>
    <cellStyle name="RIGs input totals 2 3 5 11" xfId="33177" xr:uid="{00000000-0005-0000-0000-00001E830000}"/>
    <cellStyle name="RIGs input totals 2 3 5 12" xfId="33178" xr:uid="{00000000-0005-0000-0000-00001F830000}"/>
    <cellStyle name="RIGs input totals 2 3 5 13" xfId="33179" xr:uid="{00000000-0005-0000-0000-000020830000}"/>
    <cellStyle name="RIGs input totals 2 3 5 14" xfId="33180" xr:uid="{00000000-0005-0000-0000-000021830000}"/>
    <cellStyle name="RIGs input totals 2 3 5 15" xfId="33181" xr:uid="{00000000-0005-0000-0000-000022830000}"/>
    <cellStyle name="RIGs input totals 2 3 5 16" xfId="33182" xr:uid="{00000000-0005-0000-0000-000023830000}"/>
    <cellStyle name="RIGs input totals 2 3 5 17" xfId="33183" xr:uid="{00000000-0005-0000-0000-000024830000}"/>
    <cellStyle name="RIGs input totals 2 3 5 18" xfId="33184" xr:uid="{00000000-0005-0000-0000-000025830000}"/>
    <cellStyle name="RIGs input totals 2 3 5 19" xfId="33185" xr:uid="{00000000-0005-0000-0000-000026830000}"/>
    <cellStyle name="RIGs input totals 2 3 5 2" xfId="33186" xr:uid="{00000000-0005-0000-0000-000027830000}"/>
    <cellStyle name="RIGs input totals 2 3 5 2 10" xfId="33187" xr:uid="{00000000-0005-0000-0000-000028830000}"/>
    <cellStyle name="RIGs input totals 2 3 5 2 11" xfId="33188" xr:uid="{00000000-0005-0000-0000-000029830000}"/>
    <cellStyle name="RIGs input totals 2 3 5 2 12" xfId="33189" xr:uid="{00000000-0005-0000-0000-00002A830000}"/>
    <cellStyle name="RIGs input totals 2 3 5 2 13" xfId="33190" xr:uid="{00000000-0005-0000-0000-00002B830000}"/>
    <cellStyle name="RIGs input totals 2 3 5 2 2" xfId="33191" xr:uid="{00000000-0005-0000-0000-00002C830000}"/>
    <cellStyle name="RIGs input totals 2 3 5 2 3" xfId="33192" xr:uid="{00000000-0005-0000-0000-00002D830000}"/>
    <cellStyle name="RIGs input totals 2 3 5 2 4" xfId="33193" xr:uid="{00000000-0005-0000-0000-00002E830000}"/>
    <cellStyle name="RIGs input totals 2 3 5 2 5" xfId="33194" xr:uid="{00000000-0005-0000-0000-00002F830000}"/>
    <cellStyle name="RIGs input totals 2 3 5 2 6" xfId="33195" xr:uid="{00000000-0005-0000-0000-000030830000}"/>
    <cellStyle name="RIGs input totals 2 3 5 2 7" xfId="33196" xr:uid="{00000000-0005-0000-0000-000031830000}"/>
    <cellStyle name="RIGs input totals 2 3 5 2 8" xfId="33197" xr:uid="{00000000-0005-0000-0000-000032830000}"/>
    <cellStyle name="RIGs input totals 2 3 5 2 9" xfId="33198" xr:uid="{00000000-0005-0000-0000-000033830000}"/>
    <cellStyle name="RIGs input totals 2 3 5 20" xfId="33199" xr:uid="{00000000-0005-0000-0000-000034830000}"/>
    <cellStyle name="RIGs input totals 2 3 5 21" xfId="33200" xr:uid="{00000000-0005-0000-0000-000035830000}"/>
    <cellStyle name="RIGs input totals 2 3 5 22" xfId="33201" xr:uid="{00000000-0005-0000-0000-000036830000}"/>
    <cellStyle name="RIGs input totals 2 3 5 23" xfId="33202" xr:uid="{00000000-0005-0000-0000-000037830000}"/>
    <cellStyle name="RIGs input totals 2 3 5 24" xfId="33203" xr:uid="{00000000-0005-0000-0000-000038830000}"/>
    <cellStyle name="RIGs input totals 2 3 5 25" xfId="33204" xr:uid="{00000000-0005-0000-0000-000039830000}"/>
    <cellStyle name="RIGs input totals 2 3 5 26" xfId="33205" xr:uid="{00000000-0005-0000-0000-00003A830000}"/>
    <cellStyle name="RIGs input totals 2 3 5 27" xfId="33206" xr:uid="{00000000-0005-0000-0000-00003B830000}"/>
    <cellStyle name="RIGs input totals 2 3 5 28" xfId="33207" xr:uid="{00000000-0005-0000-0000-00003C830000}"/>
    <cellStyle name="RIGs input totals 2 3 5 29" xfId="33208" xr:uid="{00000000-0005-0000-0000-00003D830000}"/>
    <cellStyle name="RIGs input totals 2 3 5 3" xfId="33209" xr:uid="{00000000-0005-0000-0000-00003E830000}"/>
    <cellStyle name="RIGs input totals 2 3 5 30" xfId="33210" xr:uid="{00000000-0005-0000-0000-00003F830000}"/>
    <cellStyle name="RIGs input totals 2 3 5 31" xfId="33211" xr:uid="{00000000-0005-0000-0000-000040830000}"/>
    <cellStyle name="RIGs input totals 2 3 5 32" xfId="33212" xr:uid="{00000000-0005-0000-0000-000041830000}"/>
    <cellStyle name="RIGs input totals 2 3 5 33" xfId="33213" xr:uid="{00000000-0005-0000-0000-000042830000}"/>
    <cellStyle name="RIGs input totals 2 3 5 34" xfId="33214" xr:uid="{00000000-0005-0000-0000-000043830000}"/>
    <cellStyle name="RIGs input totals 2 3 5 4" xfId="33215" xr:uid="{00000000-0005-0000-0000-000044830000}"/>
    <cellStyle name="RIGs input totals 2 3 5 5" xfId="33216" xr:uid="{00000000-0005-0000-0000-000045830000}"/>
    <cellStyle name="RIGs input totals 2 3 5 6" xfId="33217" xr:uid="{00000000-0005-0000-0000-000046830000}"/>
    <cellStyle name="RIGs input totals 2 3 5 7" xfId="33218" xr:uid="{00000000-0005-0000-0000-000047830000}"/>
    <cellStyle name="RIGs input totals 2 3 5 8" xfId="33219" xr:uid="{00000000-0005-0000-0000-000048830000}"/>
    <cellStyle name="RIGs input totals 2 3 5 9" xfId="33220" xr:uid="{00000000-0005-0000-0000-000049830000}"/>
    <cellStyle name="RIGs input totals 2 3 6" xfId="33221" xr:uid="{00000000-0005-0000-0000-00004A830000}"/>
    <cellStyle name="RIGs input totals 2 3 6 10" xfId="33222" xr:uid="{00000000-0005-0000-0000-00004B830000}"/>
    <cellStyle name="RIGs input totals 2 3 6 11" xfId="33223" xr:uid="{00000000-0005-0000-0000-00004C830000}"/>
    <cellStyle name="RIGs input totals 2 3 6 12" xfId="33224" xr:uid="{00000000-0005-0000-0000-00004D830000}"/>
    <cellStyle name="RIGs input totals 2 3 6 13" xfId="33225" xr:uid="{00000000-0005-0000-0000-00004E830000}"/>
    <cellStyle name="RIGs input totals 2 3 6 2" xfId="33226" xr:uid="{00000000-0005-0000-0000-00004F830000}"/>
    <cellStyle name="RIGs input totals 2 3 6 3" xfId="33227" xr:uid="{00000000-0005-0000-0000-000050830000}"/>
    <cellStyle name="RIGs input totals 2 3 6 4" xfId="33228" xr:uid="{00000000-0005-0000-0000-000051830000}"/>
    <cellStyle name="RIGs input totals 2 3 6 5" xfId="33229" xr:uid="{00000000-0005-0000-0000-000052830000}"/>
    <cellStyle name="RIGs input totals 2 3 6 6" xfId="33230" xr:uid="{00000000-0005-0000-0000-000053830000}"/>
    <cellStyle name="RIGs input totals 2 3 6 7" xfId="33231" xr:uid="{00000000-0005-0000-0000-000054830000}"/>
    <cellStyle name="RIGs input totals 2 3 6 8" xfId="33232" xr:uid="{00000000-0005-0000-0000-000055830000}"/>
    <cellStyle name="RIGs input totals 2 3 6 9" xfId="33233" xr:uid="{00000000-0005-0000-0000-000056830000}"/>
    <cellStyle name="RIGs input totals 2 3 7" xfId="33234" xr:uid="{00000000-0005-0000-0000-000057830000}"/>
    <cellStyle name="RIGs input totals 2 3 8" xfId="33235" xr:uid="{00000000-0005-0000-0000-000058830000}"/>
    <cellStyle name="RIGs input totals 2 3 9" xfId="33236" xr:uid="{00000000-0005-0000-0000-000059830000}"/>
    <cellStyle name="RIGs input totals 2 3_1.3s Accounting C Costs Scots" xfId="33237" xr:uid="{00000000-0005-0000-0000-00005A830000}"/>
    <cellStyle name="RIGs input totals 2 30" xfId="33238" xr:uid="{00000000-0005-0000-0000-00005B830000}"/>
    <cellStyle name="RIGs input totals 2 31" xfId="33239" xr:uid="{00000000-0005-0000-0000-00005C830000}"/>
    <cellStyle name="RIGs input totals 2 32" xfId="33240" xr:uid="{00000000-0005-0000-0000-00005D830000}"/>
    <cellStyle name="RIGs input totals 2 33" xfId="33241" xr:uid="{00000000-0005-0000-0000-00005E830000}"/>
    <cellStyle name="RIGs input totals 2 34" xfId="33242" xr:uid="{00000000-0005-0000-0000-00005F830000}"/>
    <cellStyle name="RIGs input totals 2 35" xfId="33243" xr:uid="{00000000-0005-0000-0000-000060830000}"/>
    <cellStyle name="RIGs input totals 2 36" xfId="33244" xr:uid="{00000000-0005-0000-0000-000061830000}"/>
    <cellStyle name="RIGs input totals 2 37" xfId="33245" xr:uid="{00000000-0005-0000-0000-000062830000}"/>
    <cellStyle name="RIGs input totals 2 38" xfId="33246" xr:uid="{00000000-0005-0000-0000-000063830000}"/>
    <cellStyle name="RIGs input totals 2 39" xfId="33247" xr:uid="{00000000-0005-0000-0000-000064830000}"/>
    <cellStyle name="RIGs input totals 2 4" xfId="33248" xr:uid="{00000000-0005-0000-0000-000065830000}"/>
    <cellStyle name="RIGs input totals 2 4 10" xfId="33249" xr:uid="{00000000-0005-0000-0000-000066830000}"/>
    <cellStyle name="RIGs input totals 2 4 11" xfId="33250" xr:uid="{00000000-0005-0000-0000-000067830000}"/>
    <cellStyle name="RIGs input totals 2 4 12" xfId="33251" xr:uid="{00000000-0005-0000-0000-000068830000}"/>
    <cellStyle name="RIGs input totals 2 4 13" xfId="33252" xr:uid="{00000000-0005-0000-0000-000069830000}"/>
    <cellStyle name="RIGs input totals 2 4 14" xfId="33253" xr:uid="{00000000-0005-0000-0000-00006A830000}"/>
    <cellStyle name="RIGs input totals 2 4 15" xfId="33254" xr:uid="{00000000-0005-0000-0000-00006B830000}"/>
    <cellStyle name="RIGs input totals 2 4 16" xfId="33255" xr:uid="{00000000-0005-0000-0000-00006C830000}"/>
    <cellStyle name="RIGs input totals 2 4 17" xfId="33256" xr:uid="{00000000-0005-0000-0000-00006D830000}"/>
    <cellStyle name="RIGs input totals 2 4 18" xfId="33257" xr:uid="{00000000-0005-0000-0000-00006E830000}"/>
    <cellStyle name="RIGs input totals 2 4 19" xfId="33258" xr:uid="{00000000-0005-0000-0000-00006F830000}"/>
    <cellStyle name="RIGs input totals 2 4 2" xfId="33259" xr:uid="{00000000-0005-0000-0000-000070830000}"/>
    <cellStyle name="RIGs input totals 2 4 2 10" xfId="33260" xr:uid="{00000000-0005-0000-0000-000071830000}"/>
    <cellStyle name="RIGs input totals 2 4 2 11" xfId="33261" xr:uid="{00000000-0005-0000-0000-000072830000}"/>
    <cellStyle name="RIGs input totals 2 4 2 12" xfId="33262" xr:uid="{00000000-0005-0000-0000-000073830000}"/>
    <cellStyle name="RIGs input totals 2 4 2 13" xfId="33263" xr:uid="{00000000-0005-0000-0000-000074830000}"/>
    <cellStyle name="RIGs input totals 2 4 2 14" xfId="33264" xr:uid="{00000000-0005-0000-0000-000075830000}"/>
    <cellStyle name="RIGs input totals 2 4 2 15" xfId="33265" xr:uid="{00000000-0005-0000-0000-000076830000}"/>
    <cellStyle name="RIGs input totals 2 4 2 16" xfId="33266" xr:uid="{00000000-0005-0000-0000-000077830000}"/>
    <cellStyle name="RIGs input totals 2 4 2 17" xfId="33267" xr:uid="{00000000-0005-0000-0000-000078830000}"/>
    <cellStyle name="RIGs input totals 2 4 2 18" xfId="33268" xr:uid="{00000000-0005-0000-0000-000079830000}"/>
    <cellStyle name="RIGs input totals 2 4 2 19" xfId="33269" xr:uid="{00000000-0005-0000-0000-00007A830000}"/>
    <cellStyle name="RIGs input totals 2 4 2 2" xfId="33270" xr:uid="{00000000-0005-0000-0000-00007B830000}"/>
    <cellStyle name="RIGs input totals 2 4 2 2 10" xfId="33271" xr:uid="{00000000-0005-0000-0000-00007C830000}"/>
    <cellStyle name="RIGs input totals 2 4 2 2 11" xfId="33272" xr:uid="{00000000-0005-0000-0000-00007D830000}"/>
    <cellStyle name="RIGs input totals 2 4 2 2 12" xfId="33273" xr:uid="{00000000-0005-0000-0000-00007E830000}"/>
    <cellStyle name="RIGs input totals 2 4 2 2 13" xfId="33274" xr:uid="{00000000-0005-0000-0000-00007F830000}"/>
    <cellStyle name="RIGs input totals 2 4 2 2 14" xfId="33275" xr:uid="{00000000-0005-0000-0000-000080830000}"/>
    <cellStyle name="RIGs input totals 2 4 2 2 15" xfId="33276" xr:uid="{00000000-0005-0000-0000-000081830000}"/>
    <cellStyle name="RIGs input totals 2 4 2 2 16" xfId="33277" xr:uid="{00000000-0005-0000-0000-000082830000}"/>
    <cellStyle name="RIGs input totals 2 4 2 2 17" xfId="33278" xr:uid="{00000000-0005-0000-0000-000083830000}"/>
    <cellStyle name="RIGs input totals 2 4 2 2 18" xfId="33279" xr:uid="{00000000-0005-0000-0000-000084830000}"/>
    <cellStyle name="RIGs input totals 2 4 2 2 19" xfId="33280" xr:uid="{00000000-0005-0000-0000-000085830000}"/>
    <cellStyle name="RIGs input totals 2 4 2 2 2" xfId="33281" xr:uid="{00000000-0005-0000-0000-000086830000}"/>
    <cellStyle name="RIGs input totals 2 4 2 2 2 10" xfId="33282" xr:uid="{00000000-0005-0000-0000-000087830000}"/>
    <cellStyle name="RIGs input totals 2 4 2 2 2 11" xfId="33283" xr:uid="{00000000-0005-0000-0000-000088830000}"/>
    <cellStyle name="RIGs input totals 2 4 2 2 2 12" xfId="33284" xr:uid="{00000000-0005-0000-0000-000089830000}"/>
    <cellStyle name="RIGs input totals 2 4 2 2 2 13" xfId="33285" xr:uid="{00000000-0005-0000-0000-00008A830000}"/>
    <cellStyle name="RIGs input totals 2 4 2 2 2 14" xfId="33286" xr:uid="{00000000-0005-0000-0000-00008B830000}"/>
    <cellStyle name="RIGs input totals 2 4 2 2 2 15" xfId="33287" xr:uid="{00000000-0005-0000-0000-00008C830000}"/>
    <cellStyle name="RIGs input totals 2 4 2 2 2 16" xfId="33288" xr:uid="{00000000-0005-0000-0000-00008D830000}"/>
    <cellStyle name="RIGs input totals 2 4 2 2 2 17" xfId="33289" xr:uid="{00000000-0005-0000-0000-00008E830000}"/>
    <cellStyle name="RIGs input totals 2 4 2 2 2 18" xfId="33290" xr:uid="{00000000-0005-0000-0000-00008F830000}"/>
    <cellStyle name="RIGs input totals 2 4 2 2 2 19" xfId="33291" xr:uid="{00000000-0005-0000-0000-000090830000}"/>
    <cellStyle name="RIGs input totals 2 4 2 2 2 2" xfId="33292" xr:uid="{00000000-0005-0000-0000-000091830000}"/>
    <cellStyle name="RIGs input totals 2 4 2 2 2 2 10" xfId="33293" xr:uid="{00000000-0005-0000-0000-000092830000}"/>
    <cellStyle name="RIGs input totals 2 4 2 2 2 2 11" xfId="33294" xr:uid="{00000000-0005-0000-0000-000093830000}"/>
    <cellStyle name="RIGs input totals 2 4 2 2 2 2 12" xfId="33295" xr:uid="{00000000-0005-0000-0000-000094830000}"/>
    <cellStyle name="RIGs input totals 2 4 2 2 2 2 13" xfId="33296" xr:uid="{00000000-0005-0000-0000-000095830000}"/>
    <cellStyle name="RIGs input totals 2 4 2 2 2 2 2" xfId="33297" xr:uid="{00000000-0005-0000-0000-000096830000}"/>
    <cellStyle name="RIGs input totals 2 4 2 2 2 2 3" xfId="33298" xr:uid="{00000000-0005-0000-0000-000097830000}"/>
    <cellStyle name="RIGs input totals 2 4 2 2 2 2 4" xfId="33299" xr:uid="{00000000-0005-0000-0000-000098830000}"/>
    <cellStyle name="RIGs input totals 2 4 2 2 2 2 5" xfId="33300" xr:uid="{00000000-0005-0000-0000-000099830000}"/>
    <cellStyle name="RIGs input totals 2 4 2 2 2 2 6" xfId="33301" xr:uid="{00000000-0005-0000-0000-00009A830000}"/>
    <cellStyle name="RIGs input totals 2 4 2 2 2 2 7" xfId="33302" xr:uid="{00000000-0005-0000-0000-00009B830000}"/>
    <cellStyle name="RIGs input totals 2 4 2 2 2 2 8" xfId="33303" xr:uid="{00000000-0005-0000-0000-00009C830000}"/>
    <cellStyle name="RIGs input totals 2 4 2 2 2 2 9" xfId="33304" xr:uid="{00000000-0005-0000-0000-00009D830000}"/>
    <cellStyle name="RIGs input totals 2 4 2 2 2 20" xfId="33305" xr:uid="{00000000-0005-0000-0000-00009E830000}"/>
    <cellStyle name="RIGs input totals 2 4 2 2 2 21" xfId="33306" xr:uid="{00000000-0005-0000-0000-00009F830000}"/>
    <cellStyle name="RIGs input totals 2 4 2 2 2 22" xfId="33307" xr:uid="{00000000-0005-0000-0000-0000A0830000}"/>
    <cellStyle name="RIGs input totals 2 4 2 2 2 23" xfId="33308" xr:uid="{00000000-0005-0000-0000-0000A1830000}"/>
    <cellStyle name="RIGs input totals 2 4 2 2 2 24" xfId="33309" xr:uid="{00000000-0005-0000-0000-0000A2830000}"/>
    <cellStyle name="RIGs input totals 2 4 2 2 2 25" xfId="33310" xr:uid="{00000000-0005-0000-0000-0000A3830000}"/>
    <cellStyle name="RIGs input totals 2 4 2 2 2 26" xfId="33311" xr:uid="{00000000-0005-0000-0000-0000A4830000}"/>
    <cellStyle name="RIGs input totals 2 4 2 2 2 27" xfId="33312" xr:uid="{00000000-0005-0000-0000-0000A5830000}"/>
    <cellStyle name="RIGs input totals 2 4 2 2 2 28" xfId="33313" xr:uid="{00000000-0005-0000-0000-0000A6830000}"/>
    <cellStyle name="RIGs input totals 2 4 2 2 2 29" xfId="33314" xr:uid="{00000000-0005-0000-0000-0000A7830000}"/>
    <cellStyle name="RIGs input totals 2 4 2 2 2 3" xfId="33315" xr:uid="{00000000-0005-0000-0000-0000A8830000}"/>
    <cellStyle name="RIGs input totals 2 4 2 2 2 30" xfId="33316" xr:uid="{00000000-0005-0000-0000-0000A9830000}"/>
    <cellStyle name="RIGs input totals 2 4 2 2 2 31" xfId="33317" xr:uid="{00000000-0005-0000-0000-0000AA830000}"/>
    <cellStyle name="RIGs input totals 2 4 2 2 2 32" xfId="33318" xr:uid="{00000000-0005-0000-0000-0000AB830000}"/>
    <cellStyle name="RIGs input totals 2 4 2 2 2 33" xfId="33319" xr:uid="{00000000-0005-0000-0000-0000AC830000}"/>
    <cellStyle name="RIGs input totals 2 4 2 2 2 34" xfId="33320" xr:uid="{00000000-0005-0000-0000-0000AD830000}"/>
    <cellStyle name="RIGs input totals 2 4 2 2 2 4" xfId="33321" xr:uid="{00000000-0005-0000-0000-0000AE830000}"/>
    <cellStyle name="RIGs input totals 2 4 2 2 2 5" xfId="33322" xr:uid="{00000000-0005-0000-0000-0000AF830000}"/>
    <cellStyle name="RIGs input totals 2 4 2 2 2 6" xfId="33323" xr:uid="{00000000-0005-0000-0000-0000B0830000}"/>
    <cellStyle name="RIGs input totals 2 4 2 2 2 7" xfId="33324" xr:uid="{00000000-0005-0000-0000-0000B1830000}"/>
    <cellStyle name="RIGs input totals 2 4 2 2 2 8" xfId="33325" xr:uid="{00000000-0005-0000-0000-0000B2830000}"/>
    <cellStyle name="RIGs input totals 2 4 2 2 2 9" xfId="33326" xr:uid="{00000000-0005-0000-0000-0000B3830000}"/>
    <cellStyle name="RIGs input totals 2 4 2 2 20" xfId="33327" xr:uid="{00000000-0005-0000-0000-0000B4830000}"/>
    <cellStyle name="RIGs input totals 2 4 2 2 21" xfId="33328" xr:uid="{00000000-0005-0000-0000-0000B5830000}"/>
    <cellStyle name="RIGs input totals 2 4 2 2 22" xfId="33329" xr:uid="{00000000-0005-0000-0000-0000B6830000}"/>
    <cellStyle name="RIGs input totals 2 4 2 2 23" xfId="33330" xr:uid="{00000000-0005-0000-0000-0000B7830000}"/>
    <cellStyle name="RIGs input totals 2 4 2 2 24" xfId="33331" xr:uid="{00000000-0005-0000-0000-0000B8830000}"/>
    <cellStyle name="RIGs input totals 2 4 2 2 25" xfId="33332" xr:uid="{00000000-0005-0000-0000-0000B9830000}"/>
    <cellStyle name="RIGs input totals 2 4 2 2 26" xfId="33333" xr:uid="{00000000-0005-0000-0000-0000BA830000}"/>
    <cellStyle name="RIGs input totals 2 4 2 2 27" xfId="33334" xr:uid="{00000000-0005-0000-0000-0000BB830000}"/>
    <cellStyle name="RIGs input totals 2 4 2 2 28" xfId="33335" xr:uid="{00000000-0005-0000-0000-0000BC830000}"/>
    <cellStyle name="RIGs input totals 2 4 2 2 29" xfId="33336" xr:uid="{00000000-0005-0000-0000-0000BD830000}"/>
    <cellStyle name="RIGs input totals 2 4 2 2 3" xfId="33337" xr:uid="{00000000-0005-0000-0000-0000BE830000}"/>
    <cellStyle name="RIGs input totals 2 4 2 2 3 10" xfId="33338" xr:uid="{00000000-0005-0000-0000-0000BF830000}"/>
    <cellStyle name="RIGs input totals 2 4 2 2 3 11" xfId="33339" xr:uid="{00000000-0005-0000-0000-0000C0830000}"/>
    <cellStyle name="RIGs input totals 2 4 2 2 3 12" xfId="33340" xr:uid="{00000000-0005-0000-0000-0000C1830000}"/>
    <cellStyle name="RIGs input totals 2 4 2 2 3 13" xfId="33341" xr:uid="{00000000-0005-0000-0000-0000C2830000}"/>
    <cellStyle name="RIGs input totals 2 4 2 2 3 2" xfId="33342" xr:uid="{00000000-0005-0000-0000-0000C3830000}"/>
    <cellStyle name="RIGs input totals 2 4 2 2 3 3" xfId="33343" xr:uid="{00000000-0005-0000-0000-0000C4830000}"/>
    <cellStyle name="RIGs input totals 2 4 2 2 3 4" xfId="33344" xr:uid="{00000000-0005-0000-0000-0000C5830000}"/>
    <cellStyle name="RIGs input totals 2 4 2 2 3 5" xfId="33345" xr:uid="{00000000-0005-0000-0000-0000C6830000}"/>
    <cellStyle name="RIGs input totals 2 4 2 2 3 6" xfId="33346" xr:uid="{00000000-0005-0000-0000-0000C7830000}"/>
    <cellStyle name="RIGs input totals 2 4 2 2 3 7" xfId="33347" xr:uid="{00000000-0005-0000-0000-0000C8830000}"/>
    <cellStyle name="RIGs input totals 2 4 2 2 3 8" xfId="33348" xr:uid="{00000000-0005-0000-0000-0000C9830000}"/>
    <cellStyle name="RIGs input totals 2 4 2 2 3 9" xfId="33349" xr:uid="{00000000-0005-0000-0000-0000CA830000}"/>
    <cellStyle name="RIGs input totals 2 4 2 2 30" xfId="33350" xr:uid="{00000000-0005-0000-0000-0000CB830000}"/>
    <cellStyle name="RIGs input totals 2 4 2 2 31" xfId="33351" xr:uid="{00000000-0005-0000-0000-0000CC830000}"/>
    <cellStyle name="RIGs input totals 2 4 2 2 4" xfId="33352" xr:uid="{00000000-0005-0000-0000-0000CD830000}"/>
    <cellStyle name="RIGs input totals 2 4 2 2 5" xfId="33353" xr:uid="{00000000-0005-0000-0000-0000CE830000}"/>
    <cellStyle name="RIGs input totals 2 4 2 2 6" xfId="33354" xr:uid="{00000000-0005-0000-0000-0000CF830000}"/>
    <cellStyle name="RIGs input totals 2 4 2 2 7" xfId="33355" xr:uid="{00000000-0005-0000-0000-0000D0830000}"/>
    <cellStyle name="RIGs input totals 2 4 2 2 8" xfId="33356" xr:uid="{00000000-0005-0000-0000-0000D1830000}"/>
    <cellStyle name="RIGs input totals 2 4 2 2 9" xfId="33357" xr:uid="{00000000-0005-0000-0000-0000D2830000}"/>
    <cellStyle name="RIGs input totals 2 4 2 2_4 28 1_Asst_Health_Crit_AllTO_RIIO_20110714pm" xfId="33358" xr:uid="{00000000-0005-0000-0000-0000D3830000}"/>
    <cellStyle name="RIGs input totals 2 4 2 20" xfId="33359" xr:uid="{00000000-0005-0000-0000-0000D4830000}"/>
    <cellStyle name="RIGs input totals 2 4 2 21" xfId="33360" xr:uid="{00000000-0005-0000-0000-0000D5830000}"/>
    <cellStyle name="RIGs input totals 2 4 2 22" xfId="33361" xr:uid="{00000000-0005-0000-0000-0000D6830000}"/>
    <cellStyle name="RIGs input totals 2 4 2 23" xfId="33362" xr:uid="{00000000-0005-0000-0000-0000D7830000}"/>
    <cellStyle name="RIGs input totals 2 4 2 24" xfId="33363" xr:uid="{00000000-0005-0000-0000-0000D8830000}"/>
    <cellStyle name="RIGs input totals 2 4 2 25" xfId="33364" xr:uid="{00000000-0005-0000-0000-0000D9830000}"/>
    <cellStyle name="RIGs input totals 2 4 2 26" xfId="33365" xr:uid="{00000000-0005-0000-0000-0000DA830000}"/>
    <cellStyle name="RIGs input totals 2 4 2 27" xfId="33366" xr:uid="{00000000-0005-0000-0000-0000DB830000}"/>
    <cellStyle name="RIGs input totals 2 4 2 28" xfId="33367" xr:uid="{00000000-0005-0000-0000-0000DC830000}"/>
    <cellStyle name="RIGs input totals 2 4 2 29" xfId="33368" xr:uid="{00000000-0005-0000-0000-0000DD830000}"/>
    <cellStyle name="RIGs input totals 2 4 2 3" xfId="33369" xr:uid="{00000000-0005-0000-0000-0000DE830000}"/>
    <cellStyle name="RIGs input totals 2 4 2 3 10" xfId="33370" xr:uid="{00000000-0005-0000-0000-0000DF830000}"/>
    <cellStyle name="RIGs input totals 2 4 2 3 11" xfId="33371" xr:uid="{00000000-0005-0000-0000-0000E0830000}"/>
    <cellStyle name="RIGs input totals 2 4 2 3 12" xfId="33372" xr:uid="{00000000-0005-0000-0000-0000E1830000}"/>
    <cellStyle name="RIGs input totals 2 4 2 3 13" xfId="33373" xr:uid="{00000000-0005-0000-0000-0000E2830000}"/>
    <cellStyle name="RIGs input totals 2 4 2 3 14" xfId="33374" xr:uid="{00000000-0005-0000-0000-0000E3830000}"/>
    <cellStyle name="RIGs input totals 2 4 2 3 15" xfId="33375" xr:uid="{00000000-0005-0000-0000-0000E4830000}"/>
    <cellStyle name="RIGs input totals 2 4 2 3 16" xfId="33376" xr:uid="{00000000-0005-0000-0000-0000E5830000}"/>
    <cellStyle name="RIGs input totals 2 4 2 3 17" xfId="33377" xr:uid="{00000000-0005-0000-0000-0000E6830000}"/>
    <cellStyle name="RIGs input totals 2 4 2 3 18" xfId="33378" xr:uid="{00000000-0005-0000-0000-0000E7830000}"/>
    <cellStyle name="RIGs input totals 2 4 2 3 19" xfId="33379" xr:uid="{00000000-0005-0000-0000-0000E8830000}"/>
    <cellStyle name="RIGs input totals 2 4 2 3 2" xfId="33380" xr:uid="{00000000-0005-0000-0000-0000E9830000}"/>
    <cellStyle name="RIGs input totals 2 4 2 3 2 10" xfId="33381" xr:uid="{00000000-0005-0000-0000-0000EA830000}"/>
    <cellStyle name="RIGs input totals 2 4 2 3 2 11" xfId="33382" xr:uid="{00000000-0005-0000-0000-0000EB830000}"/>
    <cellStyle name="RIGs input totals 2 4 2 3 2 12" xfId="33383" xr:uid="{00000000-0005-0000-0000-0000EC830000}"/>
    <cellStyle name="RIGs input totals 2 4 2 3 2 13" xfId="33384" xr:uid="{00000000-0005-0000-0000-0000ED830000}"/>
    <cellStyle name="RIGs input totals 2 4 2 3 2 2" xfId="33385" xr:uid="{00000000-0005-0000-0000-0000EE830000}"/>
    <cellStyle name="RIGs input totals 2 4 2 3 2 3" xfId="33386" xr:uid="{00000000-0005-0000-0000-0000EF830000}"/>
    <cellStyle name="RIGs input totals 2 4 2 3 2 4" xfId="33387" xr:uid="{00000000-0005-0000-0000-0000F0830000}"/>
    <cellStyle name="RIGs input totals 2 4 2 3 2 5" xfId="33388" xr:uid="{00000000-0005-0000-0000-0000F1830000}"/>
    <cellStyle name="RIGs input totals 2 4 2 3 2 6" xfId="33389" xr:uid="{00000000-0005-0000-0000-0000F2830000}"/>
    <cellStyle name="RIGs input totals 2 4 2 3 2 7" xfId="33390" xr:uid="{00000000-0005-0000-0000-0000F3830000}"/>
    <cellStyle name="RIGs input totals 2 4 2 3 2 8" xfId="33391" xr:uid="{00000000-0005-0000-0000-0000F4830000}"/>
    <cellStyle name="RIGs input totals 2 4 2 3 2 9" xfId="33392" xr:uid="{00000000-0005-0000-0000-0000F5830000}"/>
    <cellStyle name="RIGs input totals 2 4 2 3 20" xfId="33393" xr:uid="{00000000-0005-0000-0000-0000F6830000}"/>
    <cellStyle name="RIGs input totals 2 4 2 3 21" xfId="33394" xr:uid="{00000000-0005-0000-0000-0000F7830000}"/>
    <cellStyle name="RIGs input totals 2 4 2 3 22" xfId="33395" xr:uid="{00000000-0005-0000-0000-0000F8830000}"/>
    <cellStyle name="RIGs input totals 2 4 2 3 23" xfId="33396" xr:uid="{00000000-0005-0000-0000-0000F9830000}"/>
    <cellStyle name="RIGs input totals 2 4 2 3 24" xfId="33397" xr:uid="{00000000-0005-0000-0000-0000FA830000}"/>
    <cellStyle name="RIGs input totals 2 4 2 3 25" xfId="33398" xr:uid="{00000000-0005-0000-0000-0000FB830000}"/>
    <cellStyle name="RIGs input totals 2 4 2 3 26" xfId="33399" xr:uid="{00000000-0005-0000-0000-0000FC830000}"/>
    <cellStyle name="RIGs input totals 2 4 2 3 27" xfId="33400" xr:uid="{00000000-0005-0000-0000-0000FD830000}"/>
    <cellStyle name="RIGs input totals 2 4 2 3 28" xfId="33401" xr:uid="{00000000-0005-0000-0000-0000FE830000}"/>
    <cellStyle name="RIGs input totals 2 4 2 3 29" xfId="33402" xr:uid="{00000000-0005-0000-0000-0000FF830000}"/>
    <cellStyle name="RIGs input totals 2 4 2 3 3" xfId="33403" xr:uid="{00000000-0005-0000-0000-000000840000}"/>
    <cellStyle name="RIGs input totals 2 4 2 3 30" xfId="33404" xr:uid="{00000000-0005-0000-0000-000001840000}"/>
    <cellStyle name="RIGs input totals 2 4 2 3 4" xfId="33405" xr:uid="{00000000-0005-0000-0000-000002840000}"/>
    <cellStyle name="RIGs input totals 2 4 2 3 5" xfId="33406" xr:uid="{00000000-0005-0000-0000-000003840000}"/>
    <cellStyle name="RIGs input totals 2 4 2 3 6" xfId="33407" xr:uid="{00000000-0005-0000-0000-000004840000}"/>
    <cellStyle name="RIGs input totals 2 4 2 3 7" xfId="33408" xr:uid="{00000000-0005-0000-0000-000005840000}"/>
    <cellStyle name="RIGs input totals 2 4 2 3 8" xfId="33409" xr:uid="{00000000-0005-0000-0000-000006840000}"/>
    <cellStyle name="RIGs input totals 2 4 2 3 9" xfId="33410" xr:uid="{00000000-0005-0000-0000-000007840000}"/>
    <cellStyle name="RIGs input totals 2 4 2 30" xfId="33411" xr:uid="{00000000-0005-0000-0000-000008840000}"/>
    <cellStyle name="RIGs input totals 2 4 2 31" xfId="33412" xr:uid="{00000000-0005-0000-0000-000009840000}"/>
    <cellStyle name="RIGs input totals 2 4 2 32" xfId="33413" xr:uid="{00000000-0005-0000-0000-00000A840000}"/>
    <cellStyle name="RIGs input totals 2 4 2 33" xfId="33414" xr:uid="{00000000-0005-0000-0000-00000B840000}"/>
    <cellStyle name="RIGs input totals 2 4 2 4" xfId="33415" xr:uid="{00000000-0005-0000-0000-00000C840000}"/>
    <cellStyle name="RIGs input totals 2 4 2 4 10" xfId="33416" xr:uid="{00000000-0005-0000-0000-00000D840000}"/>
    <cellStyle name="RIGs input totals 2 4 2 4 11" xfId="33417" xr:uid="{00000000-0005-0000-0000-00000E840000}"/>
    <cellStyle name="RIGs input totals 2 4 2 4 12" xfId="33418" xr:uid="{00000000-0005-0000-0000-00000F840000}"/>
    <cellStyle name="RIGs input totals 2 4 2 4 13" xfId="33419" xr:uid="{00000000-0005-0000-0000-000010840000}"/>
    <cellStyle name="RIGs input totals 2 4 2 4 14" xfId="33420" xr:uid="{00000000-0005-0000-0000-000011840000}"/>
    <cellStyle name="RIGs input totals 2 4 2 4 15" xfId="33421" xr:uid="{00000000-0005-0000-0000-000012840000}"/>
    <cellStyle name="RIGs input totals 2 4 2 4 16" xfId="33422" xr:uid="{00000000-0005-0000-0000-000013840000}"/>
    <cellStyle name="RIGs input totals 2 4 2 4 17" xfId="33423" xr:uid="{00000000-0005-0000-0000-000014840000}"/>
    <cellStyle name="RIGs input totals 2 4 2 4 18" xfId="33424" xr:uid="{00000000-0005-0000-0000-000015840000}"/>
    <cellStyle name="RIGs input totals 2 4 2 4 19" xfId="33425" xr:uid="{00000000-0005-0000-0000-000016840000}"/>
    <cellStyle name="RIGs input totals 2 4 2 4 2" xfId="33426" xr:uid="{00000000-0005-0000-0000-000017840000}"/>
    <cellStyle name="RIGs input totals 2 4 2 4 2 10" xfId="33427" xr:uid="{00000000-0005-0000-0000-000018840000}"/>
    <cellStyle name="RIGs input totals 2 4 2 4 2 11" xfId="33428" xr:uid="{00000000-0005-0000-0000-000019840000}"/>
    <cellStyle name="RIGs input totals 2 4 2 4 2 12" xfId="33429" xr:uid="{00000000-0005-0000-0000-00001A840000}"/>
    <cellStyle name="RIGs input totals 2 4 2 4 2 13" xfId="33430" xr:uid="{00000000-0005-0000-0000-00001B840000}"/>
    <cellStyle name="RIGs input totals 2 4 2 4 2 2" xfId="33431" xr:uid="{00000000-0005-0000-0000-00001C840000}"/>
    <cellStyle name="RIGs input totals 2 4 2 4 2 3" xfId="33432" xr:uid="{00000000-0005-0000-0000-00001D840000}"/>
    <cellStyle name="RIGs input totals 2 4 2 4 2 4" xfId="33433" xr:uid="{00000000-0005-0000-0000-00001E840000}"/>
    <cellStyle name="RIGs input totals 2 4 2 4 2 5" xfId="33434" xr:uid="{00000000-0005-0000-0000-00001F840000}"/>
    <cellStyle name="RIGs input totals 2 4 2 4 2 6" xfId="33435" xr:uid="{00000000-0005-0000-0000-000020840000}"/>
    <cellStyle name="RIGs input totals 2 4 2 4 2 7" xfId="33436" xr:uid="{00000000-0005-0000-0000-000021840000}"/>
    <cellStyle name="RIGs input totals 2 4 2 4 2 8" xfId="33437" xr:uid="{00000000-0005-0000-0000-000022840000}"/>
    <cellStyle name="RIGs input totals 2 4 2 4 2 9" xfId="33438" xr:uid="{00000000-0005-0000-0000-000023840000}"/>
    <cellStyle name="RIGs input totals 2 4 2 4 20" xfId="33439" xr:uid="{00000000-0005-0000-0000-000024840000}"/>
    <cellStyle name="RIGs input totals 2 4 2 4 21" xfId="33440" xr:uid="{00000000-0005-0000-0000-000025840000}"/>
    <cellStyle name="RIGs input totals 2 4 2 4 22" xfId="33441" xr:uid="{00000000-0005-0000-0000-000026840000}"/>
    <cellStyle name="RIGs input totals 2 4 2 4 23" xfId="33442" xr:uid="{00000000-0005-0000-0000-000027840000}"/>
    <cellStyle name="RIGs input totals 2 4 2 4 24" xfId="33443" xr:uid="{00000000-0005-0000-0000-000028840000}"/>
    <cellStyle name="RIGs input totals 2 4 2 4 25" xfId="33444" xr:uid="{00000000-0005-0000-0000-000029840000}"/>
    <cellStyle name="RIGs input totals 2 4 2 4 26" xfId="33445" xr:uid="{00000000-0005-0000-0000-00002A840000}"/>
    <cellStyle name="RIGs input totals 2 4 2 4 27" xfId="33446" xr:uid="{00000000-0005-0000-0000-00002B840000}"/>
    <cellStyle name="RIGs input totals 2 4 2 4 28" xfId="33447" xr:uid="{00000000-0005-0000-0000-00002C840000}"/>
    <cellStyle name="RIGs input totals 2 4 2 4 29" xfId="33448" xr:uid="{00000000-0005-0000-0000-00002D840000}"/>
    <cellStyle name="RIGs input totals 2 4 2 4 3" xfId="33449" xr:uid="{00000000-0005-0000-0000-00002E840000}"/>
    <cellStyle name="RIGs input totals 2 4 2 4 30" xfId="33450" xr:uid="{00000000-0005-0000-0000-00002F840000}"/>
    <cellStyle name="RIGs input totals 2 4 2 4 4" xfId="33451" xr:uid="{00000000-0005-0000-0000-000030840000}"/>
    <cellStyle name="RIGs input totals 2 4 2 4 5" xfId="33452" xr:uid="{00000000-0005-0000-0000-000031840000}"/>
    <cellStyle name="RIGs input totals 2 4 2 4 6" xfId="33453" xr:uid="{00000000-0005-0000-0000-000032840000}"/>
    <cellStyle name="RIGs input totals 2 4 2 4 7" xfId="33454" xr:uid="{00000000-0005-0000-0000-000033840000}"/>
    <cellStyle name="RIGs input totals 2 4 2 4 8" xfId="33455" xr:uid="{00000000-0005-0000-0000-000034840000}"/>
    <cellStyle name="RIGs input totals 2 4 2 4 9" xfId="33456" xr:uid="{00000000-0005-0000-0000-000035840000}"/>
    <cellStyle name="RIGs input totals 2 4 2 5" xfId="33457" xr:uid="{00000000-0005-0000-0000-000036840000}"/>
    <cellStyle name="RIGs input totals 2 4 2 5 10" xfId="33458" xr:uid="{00000000-0005-0000-0000-000037840000}"/>
    <cellStyle name="RIGs input totals 2 4 2 5 11" xfId="33459" xr:uid="{00000000-0005-0000-0000-000038840000}"/>
    <cellStyle name="RIGs input totals 2 4 2 5 12" xfId="33460" xr:uid="{00000000-0005-0000-0000-000039840000}"/>
    <cellStyle name="RIGs input totals 2 4 2 5 13" xfId="33461" xr:uid="{00000000-0005-0000-0000-00003A840000}"/>
    <cellStyle name="RIGs input totals 2 4 2 5 2" xfId="33462" xr:uid="{00000000-0005-0000-0000-00003B840000}"/>
    <cellStyle name="RIGs input totals 2 4 2 5 3" xfId="33463" xr:uid="{00000000-0005-0000-0000-00003C840000}"/>
    <cellStyle name="RIGs input totals 2 4 2 5 4" xfId="33464" xr:uid="{00000000-0005-0000-0000-00003D840000}"/>
    <cellStyle name="RIGs input totals 2 4 2 5 5" xfId="33465" xr:uid="{00000000-0005-0000-0000-00003E840000}"/>
    <cellStyle name="RIGs input totals 2 4 2 5 6" xfId="33466" xr:uid="{00000000-0005-0000-0000-00003F840000}"/>
    <cellStyle name="RIGs input totals 2 4 2 5 7" xfId="33467" xr:uid="{00000000-0005-0000-0000-000040840000}"/>
    <cellStyle name="RIGs input totals 2 4 2 5 8" xfId="33468" xr:uid="{00000000-0005-0000-0000-000041840000}"/>
    <cellStyle name="RIGs input totals 2 4 2 5 9" xfId="33469" xr:uid="{00000000-0005-0000-0000-000042840000}"/>
    <cellStyle name="RIGs input totals 2 4 2 6" xfId="33470" xr:uid="{00000000-0005-0000-0000-000043840000}"/>
    <cellStyle name="RIGs input totals 2 4 2 7" xfId="33471" xr:uid="{00000000-0005-0000-0000-000044840000}"/>
    <cellStyle name="RIGs input totals 2 4 2 8" xfId="33472" xr:uid="{00000000-0005-0000-0000-000045840000}"/>
    <cellStyle name="RIGs input totals 2 4 2 9" xfId="33473" xr:uid="{00000000-0005-0000-0000-000046840000}"/>
    <cellStyle name="RIGs input totals 2 4 2_4 28 1_Asst_Health_Crit_AllTO_RIIO_20110714pm" xfId="33474" xr:uid="{00000000-0005-0000-0000-000047840000}"/>
    <cellStyle name="RIGs input totals 2 4 20" xfId="33475" xr:uid="{00000000-0005-0000-0000-000048840000}"/>
    <cellStyle name="RIGs input totals 2 4 21" xfId="33476" xr:uid="{00000000-0005-0000-0000-000049840000}"/>
    <cellStyle name="RIGs input totals 2 4 22" xfId="33477" xr:uid="{00000000-0005-0000-0000-00004A840000}"/>
    <cellStyle name="RIGs input totals 2 4 23" xfId="33478" xr:uid="{00000000-0005-0000-0000-00004B840000}"/>
    <cellStyle name="RIGs input totals 2 4 24" xfId="33479" xr:uid="{00000000-0005-0000-0000-00004C840000}"/>
    <cellStyle name="RIGs input totals 2 4 25" xfId="33480" xr:uid="{00000000-0005-0000-0000-00004D840000}"/>
    <cellStyle name="RIGs input totals 2 4 26" xfId="33481" xr:uid="{00000000-0005-0000-0000-00004E840000}"/>
    <cellStyle name="RIGs input totals 2 4 27" xfId="33482" xr:uid="{00000000-0005-0000-0000-00004F840000}"/>
    <cellStyle name="RIGs input totals 2 4 28" xfId="33483" xr:uid="{00000000-0005-0000-0000-000050840000}"/>
    <cellStyle name="RIGs input totals 2 4 29" xfId="33484" xr:uid="{00000000-0005-0000-0000-000051840000}"/>
    <cellStyle name="RIGs input totals 2 4 3" xfId="33485" xr:uid="{00000000-0005-0000-0000-000052840000}"/>
    <cellStyle name="RIGs input totals 2 4 3 10" xfId="33486" xr:uid="{00000000-0005-0000-0000-000053840000}"/>
    <cellStyle name="RIGs input totals 2 4 3 11" xfId="33487" xr:uid="{00000000-0005-0000-0000-000054840000}"/>
    <cellStyle name="RIGs input totals 2 4 3 12" xfId="33488" xr:uid="{00000000-0005-0000-0000-000055840000}"/>
    <cellStyle name="RIGs input totals 2 4 3 13" xfId="33489" xr:uid="{00000000-0005-0000-0000-000056840000}"/>
    <cellStyle name="RIGs input totals 2 4 3 14" xfId="33490" xr:uid="{00000000-0005-0000-0000-000057840000}"/>
    <cellStyle name="RIGs input totals 2 4 3 15" xfId="33491" xr:uid="{00000000-0005-0000-0000-000058840000}"/>
    <cellStyle name="RIGs input totals 2 4 3 16" xfId="33492" xr:uid="{00000000-0005-0000-0000-000059840000}"/>
    <cellStyle name="RIGs input totals 2 4 3 17" xfId="33493" xr:uid="{00000000-0005-0000-0000-00005A840000}"/>
    <cellStyle name="RIGs input totals 2 4 3 18" xfId="33494" xr:uid="{00000000-0005-0000-0000-00005B840000}"/>
    <cellStyle name="RIGs input totals 2 4 3 19" xfId="33495" xr:uid="{00000000-0005-0000-0000-00005C840000}"/>
    <cellStyle name="RIGs input totals 2 4 3 2" xfId="33496" xr:uid="{00000000-0005-0000-0000-00005D840000}"/>
    <cellStyle name="RIGs input totals 2 4 3 2 10" xfId="33497" xr:uid="{00000000-0005-0000-0000-00005E840000}"/>
    <cellStyle name="RIGs input totals 2 4 3 2 11" xfId="33498" xr:uid="{00000000-0005-0000-0000-00005F840000}"/>
    <cellStyle name="RIGs input totals 2 4 3 2 12" xfId="33499" xr:uid="{00000000-0005-0000-0000-000060840000}"/>
    <cellStyle name="RIGs input totals 2 4 3 2 13" xfId="33500" xr:uid="{00000000-0005-0000-0000-000061840000}"/>
    <cellStyle name="RIGs input totals 2 4 3 2 14" xfId="33501" xr:uid="{00000000-0005-0000-0000-000062840000}"/>
    <cellStyle name="RIGs input totals 2 4 3 2 15" xfId="33502" xr:uid="{00000000-0005-0000-0000-000063840000}"/>
    <cellStyle name="RIGs input totals 2 4 3 2 16" xfId="33503" xr:uid="{00000000-0005-0000-0000-000064840000}"/>
    <cellStyle name="RIGs input totals 2 4 3 2 17" xfId="33504" xr:uid="{00000000-0005-0000-0000-000065840000}"/>
    <cellStyle name="RIGs input totals 2 4 3 2 18" xfId="33505" xr:uid="{00000000-0005-0000-0000-000066840000}"/>
    <cellStyle name="RIGs input totals 2 4 3 2 19" xfId="33506" xr:uid="{00000000-0005-0000-0000-000067840000}"/>
    <cellStyle name="RIGs input totals 2 4 3 2 2" xfId="33507" xr:uid="{00000000-0005-0000-0000-000068840000}"/>
    <cellStyle name="RIGs input totals 2 4 3 2 2 10" xfId="33508" xr:uid="{00000000-0005-0000-0000-000069840000}"/>
    <cellStyle name="RIGs input totals 2 4 3 2 2 11" xfId="33509" xr:uid="{00000000-0005-0000-0000-00006A840000}"/>
    <cellStyle name="RIGs input totals 2 4 3 2 2 12" xfId="33510" xr:uid="{00000000-0005-0000-0000-00006B840000}"/>
    <cellStyle name="RIGs input totals 2 4 3 2 2 13" xfId="33511" xr:uid="{00000000-0005-0000-0000-00006C840000}"/>
    <cellStyle name="RIGs input totals 2 4 3 2 2 14" xfId="33512" xr:uid="{00000000-0005-0000-0000-00006D840000}"/>
    <cellStyle name="RIGs input totals 2 4 3 2 2 15" xfId="33513" xr:uid="{00000000-0005-0000-0000-00006E840000}"/>
    <cellStyle name="RIGs input totals 2 4 3 2 2 16" xfId="33514" xr:uid="{00000000-0005-0000-0000-00006F840000}"/>
    <cellStyle name="RIGs input totals 2 4 3 2 2 17" xfId="33515" xr:uid="{00000000-0005-0000-0000-000070840000}"/>
    <cellStyle name="RIGs input totals 2 4 3 2 2 18" xfId="33516" xr:uid="{00000000-0005-0000-0000-000071840000}"/>
    <cellStyle name="RIGs input totals 2 4 3 2 2 19" xfId="33517" xr:uid="{00000000-0005-0000-0000-000072840000}"/>
    <cellStyle name="RIGs input totals 2 4 3 2 2 2" xfId="33518" xr:uid="{00000000-0005-0000-0000-000073840000}"/>
    <cellStyle name="RIGs input totals 2 4 3 2 2 2 10" xfId="33519" xr:uid="{00000000-0005-0000-0000-000074840000}"/>
    <cellStyle name="RIGs input totals 2 4 3 2 2 2 11" xfId="33520" xr:uid="{00000000-0005-0000-0000-000075840000}"/>
    <cellStyle name="RIGs input totals 2 4 3 2 2 2 12" xfId="33521" xr:uid="{00000000-0005-0000-0000-000076840000}"/>
    <cellStyle name="RIGs input totals 2 4 3 2 2 2 13" xfId="33522" xr:uid="{00000000-0005-0000-0000-000077840000}"/>
    <cellStyle name="RIGs input totals 2 4 3 2 2 2 2" xfId="33523" xr:uid="{00000000-0005-0000-0000-000078840000}"/>
    <cellStyle name="RIGs input totals 2 4 3 2 2 2 3" xfId="33524" xr:uid="{00000000-0005-0000-0000-000079840000}"/>
    <cellStyle name="RIGs input totals 2 4 3 2 2 2 4" xfId="33525" xr:uid="{00000000-0005-0000-0000-00007A840000}"/>
    <cellStyle name="RIGs input totals 2 4 3 2 2 2 5" xfId="33526" xr:uid="{00000000-0005-0000-0000-00007B840000}"/>
    <cellStyle name="RIGs input totals 2 4 3 2 2 2 6" xfId="33527" xr:uid="{00000000-0005-0000-0000-00007C840000}"/>
    <cellStyle name="RIGs input totals 2 4 3 2 2 2 7" xfId="33528" xr:uid="{00000000-0005-0000-0000-00007D840000}"/>
    <cellStyle name="RIGs input totals 2 4 3 2 2 2 8" xfId="33529" xr:uid="{00000000-0005-0000-0000-00007E840000}"/>
    <cellStyle name="RIGs input totals 2 4 3 2 2 2 9" xfId="33530" xr:uid="{00000000-0005-0000-0000-00007F840000}"/>
    <cellStyle name="RIGs input totals 2 4 3 2 2 20" xfId="33531" xr:uid="{00000000-0005-0000-0000-000080840000}"/>
    <cellStyle name="RIGs input totals 2 4 3 2 2 21" xfId="33532" xr:uid="{00000000-0005-0000-0000-000081840000}"/>
    <cellStyle name="RIGs input totals 2 4 3 2 2 22" xfId="33533" xr:uid="{00000000-0005-0000-0000-000082840000}"/>
    <cellStyle name="RIGs input totals 2 4 3 2 2 23" xfId="33534" xr:uid="{00000000-0005-0000-0000-000083840000}"/>
    <cellStyle name="RIGs input totals 2 4 3 2 2 24" xfId="33535" xr:uid="{00000000-0005-0000-0000-000084840000}"/>
    <cellStyle name="RIGs input totals 2 4 3 2 2 25" xfId="33536" xr:uid="{00000000-0005-0000-0000-000085840000}"/>
    <cellStyle name="RIGs input totals 2 4 3 2 2 26" xfId="33537" xr:uid="{00000000-0005-0000-0000-000086840000}"/>
    <cellStyle name="RIGs input totals 2 4 3 2 2 27" xfId="33538" xr:uid="{00000000-0005-0000-0000-000087840000}"/>
    <cellStyle name="RIGs input totals 2 4 3 2 2 28" xfId="33539" xr:uid="{00000000-0005-0000-0000-000088840000}"/>
    <cellStyle name="RIGs input totals 2 4 3 2 2 29" xfId="33540" xr:uid="{00000000-0005-0000-0000-000089840000}"/>
    <cellStyle name="RIGs input totals 2 4 3 2 2 3" xfId="33541" xr:uid="{00000000-0005-0000-0000-00008A840000}"/>
    <cellStyle name="RIGs input totals 2 4 3 2 2 30" xfId="33542" xr:uid="{00000000-0005-0000-0000-00008B840000}"/>
    <cellStyle name="RIGs input totals 2 4 3 2 2 31" xfId="33543" xr:uid="{00000000-0005-0000-0000-00008C840000}"/>
    <cellStyle name="RIGs input totals 2 4 3 2 2 32" xfId="33544" xr:uid="{00000000-0005-0000-0000-00008D840000}"/>
    <cellStyle name="RIGs input totals 2 4 3 2 2 33" xfId="33545" xr:uid="{00000000-0005-0000-0000-00008E840000}"/>
    <cellStyle name="RIGs input totals 2 4 3 2 2 34" xfId="33546" xr:uid="{00000000-0005-0000-0000-00008F840000}"/>
    <cellStyle name="RIGs input totals 2 4 3 2 2 4" xfId="33547" xr:uid="{00000000-0005-0000-0000-000090840000}"/>
    <cellStyle name="RIGs input totals 2 4 3 2 2 5" xfId="33548" xr:uid="{00000000-0005-0000-0000-000091840000}"/>
    <cellStyle name="RIGs input totals 2 4 3 2 2 6" xfId="33549" xr:uid="{00000000-0005-0000-0000-000092840000}"/>
    <cellStyle name="RIGs input totals 2 4 3 2 2 7" xfId="33550" xr:uid="{00000000-0005-0000-0000-000093840000}"/>
    <cellStyle name="RIGs input totals 2 4 3 2 2 8" xfId="33551" xr:uid="{00000000-0005-0000-0000-000094840000}"/>
    <cellStyle name="RIGs input totals 2 4 3 2 2 9" xfId="33552" xr:uid="{00000000-0005-0000-0000-000095840000}"/>
    <cellStyle name="RIGs input totals 2 4 3 2 20" xfId="33553" xr:uid="{00000000-0005-0000-0000-000096840000}"/>
    <cellStyle name="RIGs input totals 2 4 3 2 21" xfId="33554" xr:uid="{00000000-0005-0000-0000-000097840000}"/>
    <cellStyle name="RIGs input totals 2 4 3 2 22" xfId="33555" xr:uid="{00000000-0005-0000-0000-000098840000}"/>
    <cellStyle name="RIGs input totals 2 4 3 2 23" xfId="33556" xr:uid="{00000000-0005-0000-0000-000099840000}"/>
    <cellStyle name="RIGs input totals 2 4 3 2 24" xfId="33557" xr:uid="{00000000-0005-0000-0000-00009A840000}"/>
    <cellStyle name="RIGs input totals 2 4 3 2 25" xfId="33558" xr:uid="{00000000-0005-0000-0000-00009B840000}"/>
    <cellStyle name="RIGs input totals 2 4 3 2 26" xfId="33559" xr:uid="{00000000-0005-0000-0000-00009C840000}"/>
    <cellStyle name="RIGs input totals 2 4 3 2 27" xfId="33560" xr:uid="{00000000-0005-0000-0000-00009D840000}"/>
    <cellStyle name="RIGs input totals 2 4 3 2 28" xfId="33561" xr:uid="{00000000-0005-0000-0000-00009E840000}"/>
    <cellStyle name="RIGs input totals 2 4 3 2 29" xfId="33562" xr:uid="{00000000-0005-0000-0000-00009F840000}"/>
    <cellStyle name="RIGs input totals 2 4 3 2 3" xfId="33563" xr:uid="{00000000-0005-0000-0000-0000A0840000}"/>
    <cellStyle name="RIGs input totals 2 4 3 2 3 10" xfId="33564" xr:uid="{00000000-0005-0000-0000-0000A1840000}"/>
    <cellStyle name="RIGs input totals 2 4 3 2 3 11" xfId="33565" xr:uid="{00000000-0005-0000-0000-0000A2840000}"/>
    <cellStyle name="RIGs input totals 2 4 3 2 3 12" xfId="33566" xr:uid="{00000000-0005-0000-0000-0000A3840000}"/>
    <cellStyle name="RIGs input totals 2 4 3 2 3 13" xfId="33567" xr:uid="{00000000-0005-0000-0000-0000A4840000}"/>
    <cellStyle name="RIGs input totals 2 4 3 2 3 2" xfId="33568" xr:uid="{00000000-0005-0000-0000-0000A5840000}"/>
    <cellStyle name="RIGs input totals 2 4 3 2 3 3" xfId="33569" xr:uid="{00000000-0005-0000-0000-0000A6840000}"/>
    <cellStyle name="RIGs input totals 2 4 3 2 3 4" xfId="33570" xr:uid="{00000000-0005-0000-0000-0000A7840000}"/>
    <cellStyle name="RIGs input totals 2 4 3 2 3 5" xfId="33571" xr:uid="{00000000-0005-0000-0000-0000A8840000}"/>
    <cellStyle name="RIGs input totals 2 4 3 2 3 6" xfId="33572" xr:uid="{00000000-0005-0000-0000-0000A9840000}"/>
    <cellStyle name="RIGs input totals 2 4 3 2 3 7" xfId="33573" xr:uid="{00000000-0005-0000-0000-0000AA840000}"/>
    <cellStyle name="RIGs input totals 2 4 3 2 3 8" xfId="33574" xr:uid="{00000000-0005-0000-0000-0000AB840000}"/>
    <cellStyle name="RIGs input totals 2 4 3 2 3 9" xfId="33575" xr:uid="{00000000-0005-0000-0000-0000AC840000}"/>
    <cellStyle name="RIGs input totals 2 4 3 2 30" xfId="33576" xr:uid="{00000000-0005-0000-0000-0000AD840000}"/>
    <cellStyle name="RIGs input totals 2 4 3 2 31" xfId="33577" xr:uid="{00000000-0005-0000-0000-0000AE840000}"/>
    <cellStyle name="RIGs input totals 2 4 3 2 4" xfId="33578" xr:uid="{00000000-0005-0000-0000-0000AF840000}"/>
    <cellStyle name="RIGs input totals 2 4 3 2 5" xfId="33579" xr:uid="{00000000-0005-0000-0000-0000B0840000}"/>
    <cellStyle name="RIGs input totals 2 4 3 2 6" xfId="33580" xr:uid="{00000000-0005-0000-0000-0000B1840000}"/>
    <cellStyle name="RIGs input totals 2 4 3 2 7" xfId="33581" xr:uid="{00000000-0005-0000-0000-0000B2840000}"/>
    <cellStyle name="RIGs input totals 2 4 3 2 8" xfId="33582" xr:uid="{00000000-0005-0000-0000-0000B3840000}"/>
    <cellStyle name="RIGs input totals 2 4 3 2 9" xfId="33583" xr:uid="{00000000-0005-0000-0000-0000B4840000}"/>
    <cellStyle name="RIGs input totals 2 4 3 2_4 28 1_Asst_Health_Crit_AllTO_RIIO_20110714pm" xfId="33584" xr:uid="{00000000-0005-0000-0000-0000B5840000}"/>
    <cellStyle name="RIGs input totals 2 4 3 20" xfId="33585" xr:uid="{00000000-0005-0000-0000-0000B6840000}"/>
    <cellStyle name="RIGs input totals 2 4 3 21" xfId="33586" xr:uid="{00000000-0005-0000-0000-0000B7840000}"/>
    <cellStyle name="RIGs input totals 2 4 3 22" xfId="33587" xr:uid="{00000000-0005-0000-0000-0000B8840000}"/>
    <cellStyle name="RIGs input totals 2 4 3 23" xfId="33588" xr:uid="{00000000-0005-0000-0000-0000B9840000}"/>
    <cellStyle name="RIGs input totals 2 4 3 24" xfId="33589" xr:uid="{00000000-0005-0000-0000-0000BA840000}"/>
    <cellStyle name="RIGs input totals 2 4 3 25" xfId="33590" xr:uid="{00000000-0005-0000-0000-0000BB840000}"/>
    <cellStyle name="RIGs input totals 2 4 3 26" xfId="33591" xr:uid="{00000000-0005-0000-0000-0000BC840000}"/>
    <cellStyle name="RIGs input totals 2 4 3 27" xfId="33592" xr:uid="{00000000-0005-0000-0000-0000BD840000}"/>
    <cellStyle name="RIGs input totals 2 4 3 28" xfId="33593" xr:uid="{00000000-0005-0000-0000-0000BE840000}"/>
    <cellStyle name="RIGs input totals 2 4 3 29" xfId="33594" xr:uid="{00000000-0005-0000-0000-0000BF840000}"/>
    <cellStyle name="RIGs input totals 2 4 3 3" xfId="33595" xr:uid="{00000000-0005-0000-0000-0000C0840000}"/>
    <cellStyle name="RIGs input totals 2 4 3 3 10" xfId="33596" xr:uid="{00000000-0005-0000-0000-0000C1840000}"/>
    <cellStyle name="RIGs input totals 2 4 3 3 11" xfId="33597" xr:uid="{00000000-0005-0000-0000-0000C2840000}"/>
    <cellStyle name="RIGs input totals 2 4 3 3 12" xfId="33598" xr:uid="{00000000-0005-0000-0000-0000C3840000}"/>
    <cellStyle name="RIGs input totals 2 4 3 3 13" xfId="33599" xr:uid="{00000000-0005-0000-0000-0000C4840000}"/>
    <cellStyle name="RIGs input totals 2 4 3 3 14" xfId="33600" xr:uid="{00000000-0005-0000-0000-0000C5840000}"/>
    <cellStyle name="RIGs input totals 2 4 3 3 15" xfId="33601" xr:uid="{00000000-0005-0000-0000-0000C6840000}"/>
    <cellStyle name="RIGs input totals 2 4 3 3 16" xfId="33602" xr:uid="{00000000-0005-0000-0000-0000C7840000}"/>
    <cellStyle name="RIGs input totals 2 4 3 3 17" xfId="33603" xr:uid="{00000000-0005-0000-0000-0000C8840000}"/>
    <cellStyle name="RIGs input totals 2 4 3 3 18" xfId="33604" xr:uid="{00000000-0005-0000-0000-0000C9840000}"/>
    <cellStyle name="RIGs input totals 2 4 3 3 19" xfId="33605" xr:uid="{00000000-0005-0000-0000-0000CA840000}"/>
    <cellStyle name="RIGs input totals 2 4 3 3 2" xfId="33606" xr:uid="{00000000-0005-0000-0000-0000CB840000}"/>
    <cellStyle name="RIGs input totals 2 4 3 3 2 10" xfId="33607" xr:uid="{00000000-0005-0000-0000-0000CC840000}"/>
    <cellStyle name="RIGs input totals 2 4 3 3 2 11" xfId="33608" xr:uid="{00000000-0005-0000-0000-0000CD840000}"/>
    <cellStyle name="RIGs input totals 2 4 3 3 2 12" xfId="33609" xr:uid="{00000000-0005-0000-0000-0000CE840000}"/>
    <cellStyle name="RIGs input totals 2 4 3 3 2 13" xfId="33610" xr:uid="{00000000-0005-0000-0000-0000CF840000}"/>
    <cellStyle name="RIGs input totals 2 4 3 3 2 2" xfId="33611" xr:uid="{00000000-0005-0000-0000-0000D0840000}"/>
    <cellStyle name="RIGs input totals 2 4 3 3 2 3" xfId="33612" xr:uid="{00000000-0005-0000-0000-0000D1840000}"/>
    <cellStyle name="RIGs input totals 2 4 3 3 2 4" xfId="33613" xr:uid="{00000000-0005-0000-0000-0000D2840000}"/>
    <cellStyle name="RIGs input totals 2 4 3 3 2 5" xfId="33614" xr:uid="{00000000-0005-0000-0000-0000D3840000}"/>
    <cellStyle name="RIGs input totals 2 4 3 3 2 6" xfId="33615" xr:uid="{00000000-0005-0000-0000-0000D4840000}"/>
    <cellStyle name="RIGs input totals 2 4 3 3 2 7" xfId="33616" xr:uid="{00000000-0005-0000-0000-0000D5840000}"/>
    <cellStyle name="RIGs input totals 2 4 3 3 2 8" xfId="33617" xr:uid="{00000000-0005-0000-0000-0000D6840000}"/>
    <cellStyle name="RIGs input totals 2 4 3 3 2 9" xfId="33618" xr:uid="{00000000-0005-0000-0000-0000D7840000}"/>
    <cellStyle name="RIGs input totals 2 4 3 3 20" xfId="33619" xr:uid="{00000000-0005-0000-0000-0000D8840000}"/>
    <cellStyle name="RIGs input totals 2 4 3 3 21" xfId="33620" xr:uid="{00000000-0005-0000-0000-0000D9840000}"/>
    <cellStyle name="RIGs input totals 2 4 3 3 22" xfId="33621" xr:uid="{00000000-0005-0000-0000-0000DA840000}"/>
    <cellStyle name="RIGs input totals 2 4 3 3 23" xfId="33622" xr:uid="{00000000-0005-0000-0000-0000DB840000}"/>
    <cellStyle name="RIGs input totals 2 4 3 3 24" xfId="33623" xr:uid="{00000000-0005-0000-0000-0000DC840000}"/>
    <cellStyle name="RIGs input totals 2 4 3 3 25" xfId="33624" xr:uid="{00000000-0005-0000-0000-0000DD840000}"/>
    <cellStyle name="RIGs input totals 2 4 3 3 26" xfId="33625" xr:uid="{00000000-0005-0000-0000-0000DE840000}"/>
    <cellStyle name="RIGs input totals 2 4 3 3 27" xfId="33626" xr:uid="{00000000-0005-0000-0000-0000DF840000}"/>
    <cellStyle name="RIGs input totals 2 4 3 3 28" xfId="33627" xr:uid="{00000000-0005-0000-0000-0000E0840000}"/>
    <cellStyle name="RIGs input totals 2 4 3 3 29" xfId="33628" xr:uid="{00000000-0005-0000-0000-0000E1840000}"/>
    <cellStyle name="RIGs input totals 2 4 3 3 3" xfId="33629" xr:uid="{00000000-0005-0000-0000-0000E2840000}"/>
    <cellStyle name="RIGs input totals 2 4 3 3 30" xfId="33630" xr:uid="{00000000-0005-0000-0000-0000E3840000}"/>
    <cellStyle name="RIGs input totals 2 4 3 3 4" xfId="33631" xr:uid="{00000000-0005-0000-0000-0000E4840000}"/>
    <cellStyle name="RIGs input totals 2 4 3 3 5" xfId="33632" xr:uid="{00000000-0005-0000-0000-0000E5840000}"/>
    <cellStyle name="RIGs input totals 2 4 3 3 6" xfId="33633" xr:uid="{00000000-0005-0000-0000-0000E6840000}"/>
    <cellStyle name="RIGs input totals 2 4 3 3 7" xfId="33634" xr:uid="{00000000-0005-0000-0000-0000E7840000}"/>
    <cellStyle name="RIGs input totals 2 4 3 3 8" xfId="33635" xr:uid="{00000000-0005-0000-0000-0000E8840000}"/>
    <cellStyle name="RIGs input totals 2 4 3 3 9" xfId="33636" xr:uid="{00000000-0005-0000-0000-0000E9840000}"/>
    <cellStyle name="RIGs input totals 2 4 3 30" xfId="33637" xr:uid="{00000000-0005-0000-0000-0000EA840000}"/>
    <cellStyle name="RIGs input totals 2 4 3 31" xfId="33638" xr:uid="{00000000-0005-0000-0000-0000EB840000}"/>
    <cellStyle name="RIGs input totals 2 4 3 32" xfId="33639" xr:uid="{00000000-0005-0000-0000-0000EC840000}"/>
    <cellStyle name="RIGs input totals 2 4 3 33" xfId="33640" xr:uid="{00000000-0005-0000-0000-0000ED840000}"/>
    <cellStyle name="RIGs input totals 2 4 3 4" xfId="33641" xr:uid="{00000000-0005-0000-0000-0000EE840000}"/>
    <cellStyle name="RIGs input totals 2 4 3 4 10" xfId="33642" xr:uid="{00000000-0005-0000-0000-0000EF840000}"/>
    <cellStyle name="RIGs input totals 2 4 3 4 11" xfId="33643" xr:uid="{00000000-0005-0000-0000-0000F0840000}"/>
    <cellStyle name="RIGs input totals 2 4 3 4 12" xfId="33644" xr:uid="{00000000-0005-0000-0000-0000F1840000}"/>
    <cellStyle name="RIGs input totals 2 4 3 4 13" xfId="33645" xr:uid="{00000000-0005-0000-0000-0000F2840000}"/>
    <cellStyle name="RIGs input totals 2 4 3 4 14" xfId="33646" xr:uid="{00000000-0005-0000-0000-0000F3840000}"/>
    <cellStyle name="RIGs input totals 2 4 3 4 15" xfId="33647" xr:uid="{00000000-0005-0000-0000-0000F4840000}"/>
    <cellStyle name="RIGs input totals 2 4 3 4 16" xfId="33648" xr:uid="{00000000-0005-0000-0000-0000F5840000}"/>
    <cellStyle name="RIGs input totals 2 4 3 4 17" xfId="33649" xr:uid="{00000000-0005-0000-0000-0000F6840000}"/>
    <cellStyle name="RIGs input totals 2 4 3 4 18" xfId="33650" xr:uid="{00000000-0005-0000-0000-0000F7840000}"/>
    <cellStyle name="RIGs input totals 2 4 3 4 19" xfId="33651" xr:uid="{00000000-0005-0000-0000-0000F8840000}"/>
    <cellStyle name="RIGs input totals 2 4 3 4 2" xfId="33652" xr:uid="{00000000-0005-0000-0000-0000F9840000}"/>
    <cellStyle name="RIGs input totals 2 4 3 4 2 10" xfId="33653" xr:uid="{00000000-0005-0000-0000-0000FA840000}"/>
    <cellStyle name="RIGs input totals 2 4 3 4 2 11" xfId="33654" xr:uid="{00000000-0005-0000-0000-0000FB840000}"/>
    <cellStyle name="RIGs input totals 2 4 3 4 2 12" xfId="33655" xr:uid="{00000000-0005-0000-0000-0000FC840000}"/>
    <cellStyle name="RIGs input totals 2 4 3 4 2 13" xfId="33656" xr:uid="{00000000-0005-0000-0000-0000FD840000}"/>
    <cellStyle name="RIGs input totals 2 4 3 4 2 2" xfId="33657" xr:uid="{00000000-0005-0000-0000-0000FE840000}"/>
    <cellStyle name="RIGs input totals 2 4 3 4 2 3" xfId="33658" xr:uid="{00000000-0005-0000-0000-0000FF840000}"/>
    <cellStyle name="RIGs input totals 2 4 3 4 2 4" xfId="33659" xr:uid="{00000000-0005-0000-0000-000000850000}"/>
    <cellStyle name="RIGs input totals 2 4 3 4 2 5" xfId="33660" xr:uid="{00000000-0005-0000-0000-000001850000}"/>
    <cellStyle name="RIGs input totals 2 4 3 4 2 6" xfId="33661" xr:uid="{00000000-0005-0000-0000-000002850000}"/>
    <cellStyle name="RIGs input totals 2 4 3 4 2 7" xfId="33662" xr:uid="{00000000-0005-0000-0000-000003850000}"/>
    <cellStyle name="RIGs input totals 2 4 3 4 2 8" xfId="33663" xr:uid="{00000000-0005-0000-0000-000004850000}"/>
    <cellStyle name="RIGs input totals 2 4 3 4 2 9" xfId="33664" xr:uid="{00000000-0005-0000-0000-000005850000}"/>
    <cellStyle name="RIGs input totals 2 4 3 4 20" xfId="33665" xr:uid="{00000000-0005-0000-0000-000006850000}"/>
    <cellStyle name="RIGs input totals 2 4 3 4 21" xfId="33666" xr:uid="{00000000-0005-0000-0000-000007850000}"/>
    <cellStyle name="RIGs input totals 2 4 3 4 22" xfId="33667" xr:uid="{00000000-0005-0000-0000-000008850000}"/>
    <cellStyle name="RIGs input totals 2 4 3 4 23" xfId="33668" xr:uid="{00000000-0005-0000-0000-000009850000}"/>
    <cellStyle name="RIGs input totals 2 4 3 4 24" xfId="33669" xr:uid="{00000000-0005-0000-0000-00000A850000}"/>
    <cellStyle name="RIGs input totals 2 4 3 4 25" xfId="33670" xr:uid="{00000000-0005-0000-0000-00000B850000}"/>
    <cellStyle name="RIGs input totals 2 4 3 4 26" xfId="33671" xr:uid="{00000000-0005-0000-0000-00000C850000}"/>
    <cellStyle name="RIGs input totals 2 4 3 4 27" xfId="33672" xr:uid="{00000000-0005-0000-0000-00000D850000}"/>
    <cellStyle name="RIGs input totals 2 4 3 4 28" xfId="33673" xr:uid="{00000000-0005-0000-0000-00000E850000}"/>
    <cellStyle name="RIGs input totals 2 4 3 4 29" xfId="33674" xr:uid="{00000000-0005-0000-0000-00000F850000}"/>
    <cellStyle name="RIGs input totals 2 4 3 4 3" xfId="33675" xr:uid="{00000000-0005-0000-0000-000010850000}"/>
    <cellStyle name="RIGs input totals 2 4 3 4 30" xfId="33676" xr:uid="{00000000-0005-0000-0000-000011850000}"/>
    <cellStyle name="RIGs input totals 2 4 3 4 4" xfId="33677" xr:uid="{00000000-0005-0000-0000-000012850000}"/>
    <cellStyle name="RIGs input totals 2 4 3 4 5" xfId="33678" xr:uid="{00000000-0005-0000-0000-000013850000}"/>
    <cellStyle name="RIGs input totals 2 4 3 4 6" xfId="33679" xr:uid="{00000000-0005-0000-0000-000014850000}"/>
    <cellStyle name="RIGs input totals 2 4 3 4 7" xfId="33680" xr:uid="{00000000-0005-0000-0000-000015850000}"/>
    <cellStyle name="RIGs input totals 2 4 3 4 8" xfId="33681" xr:uid="{00000000-0005-0000-0000-000016850000}"/>
    <cellStyle name="RIGs input totals 2 4 3 4 9" xfId="33682" xr:uid="{00000000-0005-0000-0000-000017850000}"/>
    <cellStyle name="RIGs input totals 2 4 3 5" xfId="33683" xr:uid="{00000000-0005-0000-0000-000018850000}"/>
    <cellStyle name="RIGs input totals 2 4 3 5 10" xfId="33684" xr:uid="{00000000-0005-0000-0000-000019850000}"/>
    <cellStyle name="RIGs input totals 2 4 3 5 11" xfId="33685" xr:uid="{00000000-0005-0000-0000-00001A850000}"/>
    <cellStyle name="RIGs input totals 2 4 3 5 12" xfId="33686" xr:uid="{00000000-0005-0000-0000-00001B850000}"/>
    <cellStyle name="RIGs input totals 2 4 3 5 13" xfId="33687" xr:uid="{00000000-0005-0000-0000-00001C850000}"/>
    <cellStyle name="RIGs input totals 2 4 3 5 2" xfId="33688" xr:uid="{00000000-0005-0000-0000-00001D850000}"/>
    <cellStyle name="RIGs input totals 2 4 3 5 3" xfId="33689" xr:uid="{00000000-0005-0000-0000-00001E850000}"/>
    <cellStyle name="RIGs input totals 2 4 3 5 4" xfId="33690" xr:uid="{00000000-0005-0000-0000-00001F850000}"/>
    <cellStyle name="RIGs input totals 2 4 3 5 5" xfId="33691" xr:uid="{00000000-0005-0000-0000-000020850000}"/>
    <cellStyle name="RIGs input totals 2 4 3 5 6" xfId="33692" xr:uid="{00000000-0005-0000-0000-000021850000}"/>
    <cellStyle name="RIGs input totals 2 4 3 5 7" xfId="33693" xr:uid="{00000000-0005-0000-0000-000022850000}"/>
    <cellStyle name="RIGs input totals 2 4 3 5 8" xfId="33694" xr:uid="{00000000-0005-0000-0000-000023850000}"/>
    <cellStyle name="RIGs input totals 2 4 3 5 9" xfId="33695" xr:uid="{00000000-0005-0000-0000-000024850000}"/>
    <cellStyle name="RIGs input totals 2 4 3 6" xfId="33696" xr:uid="{00000000-0005-0000-0000-000025850000}"/>
    <cellStyle name="RIGs input totals 2 4 3 7" xfId="33697" xr:uid="{00000000-0005-0000-0000-000026850000}"/>
    <cellStyle name="RIGs input totals 2 4 3 8" xfId="33698" xr:uid="{00000000-0005-0000-0000-000027850000}"/>
    <cellStyle name="RIGs input totals 2 4 3 9" xfId="33699" xr:uid="{00000000-0005-0000-0000-000028850000}"/>
    <cellStyle name="RIGs input totals 2 4 3_4 28 1_Asst_Health_Crit_AllTO_RIIO_20110714pm" xfId="33700" xr:uid="{00000000-0005-0000-0000-000029850000}"/>
    <cellStyle name="RIGs input totals 2 4 30" xfId="33701" xr:uid="{00000000-0005-0000-0000-00002A850000}"/>
    <cellStyle name="RIGs input totals 2 4 31" xfId="33702" xr:uid="{00000000-0005-0000-0000-00002B850000}"/>
    <cellStyle name="RIGs input totals 2 4 32" xfId="33703" xr:uid="{00000000-0005-0000-0000-00002C850000}"/>
    <cellStyle name="RIGs input totals 2 4 33" xfId="33704" xr:uid="{00000000-0005-0000-0000-00002D850000}"/>
    <cellStyle name="RIGs input totals 2 4 34" xfId="33705" xr:uid="{00000000-0005-0000-0000-00002E850000}"/>
    <cellStyle name="RIGs input totals 2 4 35" xfId="33706" xr:uid="{00000000-0005-0000-0000-00002F850000}"/>
    <cellStyle name="RIGs input totals 2 4 36" xfId="33707" xr:uid="{00000000-0005-0000-0000-000030850000}"/>
    <cellStyle name="RIGs input totals 2 4 37" xfId="33708" xr:uid="{00000000-0005-0000-0000-000031850000}"/>
    <cellStyle name="RIGs input totals 2 4 38" xfId="33709" xr:uid="{00000000-0005-0000-0000-000032850000}"/>
    <cellStyle name="RIGs input totals 2 4 39" xfId="33710" xr:uid="{00000000-0005-0000-0000-000033850000}"/>
    <cellStyle name="RIGs input totals 2 4 4" xfId="33711" xr:uid="{00000000-0005-0000-0000-000034850000}"/>
    <cellStyle name="RIGs input totals 2 4 4 10" xfId="33712" xr:uid="{00000000-0005-0000-0000-000035850000}"/>
    <cellStyle name="RIGs input totals 2 4 4 11" xfId="33713" xr:uid="{00000000-0005-0000-0000-000036850000}"/>
    <cellStyle name="RIGs input totals 2 4 4 12" xfId="33714" xr:uid="{00000000-0005-0000-0000-000037850000}"/>
    <cellStyle name="RIGs input totals 2 4 4 13" xfId="33715" xr:uid="{00000000-0005-0000-0000-000038850000}"/>
    <cellStyle name="RIGs input totals 2 4 4 14" xfId="33716" xr:uid="{00000000-0005-0000-0000-000039850000}"/>
    <cellStyle name="RIGs input totals 2 4 4 15" xfId="33717" xr:uid="{00000000-0005-0000-0000-00003A850000}"/>
    <cellStyle name="RIGs input totals 2 4 4 16" xfId="33718" xr:uid="{00000000-0005-0000-0000-00003B850000}"/>
    <cellStyle name="RIGs input totals 2 4 4 17" xfId="33719" xr:uid="{00000000-0005-0000-0000-00003C850000}"/>
    <cellStyle name="RIGs input totals 2 4 4 18" xfId="33720" xr:uid="{00000000-0005-0000-0000-00003D850000}"/>
    <cellStyle name="RIGs input totals 2 4 4 19" xfId="33721" xr:uid="{00000000-0005-0000-0000-00003E850000}"/>
    <cellStyle name="RIGs input totals 2 4 4 2" xfId="33722" xr:uid="{00000000-0005-0000-0000-00003F850000}"/>
    <cellStyle name="RIGs input totals 2 4 4 2 10" xfId="33723" xr:uid="{00000000-0005-0000-0000-000040850000}"/>
    <cellStyle name="RIGs input totals 2 4 4 2 11" xfId="33724" xr:uid="{00000000-0005-0000-0000-000041850000}"/>
    <cellStyle name="RIGs input totals 2 4 4 2 12" xfId="33725" xr:uid="{00000000-0005-0000-0000-000042850000}"/>
    <cellStyle name="RIGs input totals 2 4 4 2 13" xfId="33726" xr:uid="{00000000-0005-0000-0000-000043850000}"/>
    <cellStyle name="RIGs input totals 2 4 4 2 14" xfId="33727" xr:uid="{00000000-0005-0000-0000-000044850000}"/>
    <cellStyle name="RIGs input totals 2 4 4 2 15" xfId="33728" xr:uid="{00000000-0005-0000-0000-000045850000}"/>
    <cellStyle name="RIGs input totals 2 4 4 2 16" xfId="33729" xr:uid="{00000000-0005-0000-0000-000046850000}"/>
    <cellStyle name="RIGs input totals 2 4 4 2 17" xfId="33730" xr:uid="{00000000-0005-0000-0000-000047850000}"/>
    <cellStyle name="RIGs input totals 2 4 4 2 18" xfId="33731" xr:uid="{00000000-0005-0000-0000-000048850000}"/>
    <cellStyle name="RIGs input totals 2 4 4 2 19" xfId="33732" xr:uid="{00000000-0005-0000-0000-000049850000}"/>
    <cellStyle name="RIGs input totals 2 4 4 2 2" xfId="33733" xr:uid="{00000000-0005-0000-0000-00004A850000}"/>
    <cellStyle name="RIGs input totals 2 4 4 2 2 10" xfId="33734" xr:uid="{00000000-0005-0000-0000-00004B850000}"/>
    <cellStyle name="RIGs input totals 2 4 4 2 2 11" xfId="33735" xr:uid="{00000000-0005-0000-0000-00004C850000}"/>
    <cellStyle name="RIGs input totals 2 4 4 2 2 12" xfId="33736" xr:uid="{00000000-0005-0000-0000-00004D850000}"/>
    <cellStyle name="RIGs input totals 2 4 4 2 2 13" xfId="33737" xr:uid="{00000000-0005-0000-0000-00004E850000}"/>
    <cellStyle name="RIGs input totals 2 4 4 2 2 2" xfId="33738" xr:uid="{00000000-0005-0000-0000-00004F850000}"/>
    <cellStyle name="RIGs input totals 2 4 4 2 2 3" xfId="33739" xr:uid="{00000000-0005-0000-0000-000050850000}"/>
    <cellStyle name="RIGs input totals 2 4 4 2 2 4" xfId="33740" xr:uid="{00000000-0005-0000-0000-000051850000}"/>
    <cellStyle name="RIGs input totals 2 4 4 2 2 5" xfId="33741" xr:uid="{00000000-0005-0000-0000-000052850000}"/>
    <cellStyle name="RIGs input totals 2 4 4 2 2 6" xfId="33742" xr:uid="{00000000-0005-0000-0000-000053850000}"/>
    <cellStyle name="RIGs input totals 2 4 4 2 2 7" xfId="33743" xr:uid="{00000000-0005-0000-0000-000054850000}"/>
    <cellStyle name="RIGs input totals 2 4 4 2 2 8" xfId="33744" xr:uid="{00000000-0005-0000-0000-000055850000}"/>
    <cellStyle name="RIGs input totals 2 4 4 2 2 9" xfId="33745" xr:uid="{00000000-0005-0000-0000-000056850000}"/>
    <cellStyle name="RIGs input totals 2 4 4 2 20" xfId="33746" xr:uid="{00000000-0005-0000-0000-000057850000}"/>
    <cellStyle name="RIGs input totals 2 4 4 2 21" xfId="33747" xr:uid="{00000000-0005-0000-0000-000058850000}"/>
    <cellStyle name="RIGs input totals 2 4 4 2 22" xfId="33748" xr:uid="{00000000-0005-0000-0000-000059850000}"/>
    <cellStyle name="RIGs input totals 2 4 4 2 23" xfId="33749" xr:uid="{00000000-0005-0000-0000-00005A850000}"/>
    <cellStyle name="RIGs input totals 2 4 4 2 24" xfId="33750" xr:uid="{00000000-0005-0000-0000-00005B850000}"/>
    <cellStyle name="RIGs input totals 2 4 4 2 25" xfId="33751" xr:uid="{00000000-0005-0000-0000-00005C850000}"/>
    <cellStyle name="RIGs input totals 2 4 4 2 26" xfId="33752" xr:uid="{00000000-0005-0000-0000-00005D850000}"/>
    <cellStyle name="RIGs input totals 2 4 4 2 27" xfId="33753" xr:uid="{00000000-0005-0000-0000-00005E850000}"/>
    <cellStyle name="RIGs input totals 2 4 4 2 28" xfId="33754" xr:uid="{00000000-0005-0000-0000-00005F850000}"/>
    <cellStyle name="RIGs input totals 2 4 4 2 29" xfId="33755" xr:uid="{00000000-0005-0000-0000-000060850000}"/>
    <cellStyle name="RIGs input totals 2 4 4 2 3" xfId="33756" xr:uid="{00000000-0005-0000-0000-000061850000}"/>
    <cellStyle name="RIGs input totals 2 4 4 2 30" xfId="33757" xr:uid="{00000000-0005-0000-0000-000062850000}"/>
    <cellStyle name="RIGs input totals 2 4 4 2 31" xfId="33758" xr:uid="{00000000-0005-0000-0000-000063850000}"/>
    <cellStyle name="RIGs input totals 2 4 4 2 32" xfId="33759" xr:uid="{00000000-0005-0000-0000-000064850000}"/>
    <cellStyle name="RIGs input totals 2 4 4 2 33" xfId="33760" xr:uid="{00000000-0005-0000-0000-000065850000}"/>
    <cellStyle name="RIGs input totals 2 4 4 2 34" xfId="33761" xr:uid="{00000000-0005-0000-0000-000066850000}"/>
    <cellStyle name="RIGs input totals 2 4 4 2 4" xfId="33762" xr:uid="{00000000-0005-0000-0000-000067850000}"/>
    <cellStyle name="RIGs input totals 2 4 4 2 5" xfId="33763" xr:uid="{00000000-0005-0000-0000-000068850000}"/>
    <cellStyle name="RIGs input totals 2 4 4 2 6" xfId="33764" xr:uid="{00000000-0005-0000-0000-000069850000}"/>
    <cellStyle name="RIGs input totals 2 4 4 2 7" xfId="33765" xr:uid="{00000000-0005-0000-0000-00006A850000}"/>
    <cellStyle name="RIGs input totals 2 4 4 2 8" xfId="33766" xr:uid="{00000000-0005-0000-0000-00006B850000}"/>
    <cellStyle name="RIGs input totals 2 4 4 2 9" xfId="33767" xr:uid="{00000000-0005-0000-0000-00006C850000}"/>
    <cellStyle name="RIGs input totals 2 4 4 20" xfId="33768" xr:uid="{00000000-0005-0000-0000-00006D850000}"/>
    <cellStyle name="RIGs input totals 2 4 4 21" xfId="33769" xr:uid="{00000000-0005-0000-0000-00006E850000}"/>
    <cellStyle name="RIGs input totals 2 4 4 22" xfId="33770" xr:uid="{00000000-0005-0000-0000-00006F850000}"/>
    <cellStyle name="RIGs input totals 2 4 4 23" xfId="33771" xr:uid="{00000000-0005-0000-0000-000070850000}"/>
    <cellStyle name="RIGs input totals 2 4 4 24" xfId="33772" xr:uid="{00000000-0005-0000-0000-000071850000}"/>
    <cellStyle name="RIGs input totals 2 4 4 25" xfId="33773" xr:uid="{00000000-0005-0000-0000-000072850000}"/>
    <cellStyle name="RIGs input totals 2 4 4 26" xfId="33774" xr:uid="{00000000-0005-0000-0000-000073850000}"/>
    <cellStyle name="RIGs input totals 2 4 4 27" xfId="33775" xr:uid="{00000000-0005-0000-0000-000074850000}"/>
    <cellStyle name="RIGs input totals 2 4 4 28" xfId="33776" xr:uid="{00000000-0005-0000-0000-000075850000}"/>
    <cellStyle name="RIGs input totals 2 4 4 29" xfId="33777" xr:uid="{00000000-0005-0000-0000-000076850000}"/>
    <cellStyle name="RIGs input totals 2 4 4 3" xfId="33778" xr:uid="{00000000-0005-0000-0000-000077850000}"/>
    <cellStyle name="RIGs input totals 2 4 4 3 10" xfId="33779" xr:uid="{00000000-0005-0000-0000-000078850000}"/>
    <cellStyle name="RIGs input totals 2 4 4 3 11" xfId="33780" xr:uid="{00000000-0005-0000-0000-000079850000}"/>
    <cellStyle name="RIGs input totals 2 4 4 3 12" xfId="33781" xr:uid="{00000000-0005-0000-0000-00007A850000}"/>
    <cellStyle name="RIGs input totals 2 4 4 3 13" xfId="33782" xr:uid="{00000000-0005-0000-0000-00007B850000}"/>
    <cellStyle name="RIGs input totals 2 4 4 3 2" xfId="33783" xr:uid="{00000000-0005-0000-0000-00007C850000}"/>
    <cellStyle name="RIGs input totals 2 4 4 3 3" xfId="33784" xr:uid="{00000000-0005-0000-0000-00007D850000}"/>
    <cellStyle name="RIGs input totals 2 4 4 3 4" xfId="33785" xr:uid="{00000000-0005-0000-0000-00007E850000}"/>
    <cellStyle name="RIGs input totals 2 4 4 3 5" xfId="33786" xr:uid="{00000000-0005-0000-0000-00007F850000}"/>
    <cellStyle name="RIGs input totals 2 4 4 3 6" xfId="33787" xr:uid="{00000000-0005-0000-0000-000080850000}"/>
    <cellStyle name="RIGs input totals 2 4 4 3 7" xfId="33788" xr:uid="{00000000-0005-0000-0000-000081850000}"/>
    <cellStyle name="RIGs input totals 2 4 4 3 8" xfId="33789" xr:uid="{00000000-0005-0000-0000-000082850000}"/>
    <cellStyle name="RIGs input totals 2 4 4 3 9" xfId="33790" xr:uid="{00000000-0005-0000-0000-000083850000}"/>
    <cellStyle name="RIGs input totals 2 4 4 30" xfId="33791" xr:uid="{00000000-0005-0000-0000-000084850000}"/>
    <cellStyle name="RIGs input totals 2 4 4 31" xfId="33792" xr:uid="{00000000-0005-0000-0000-000085850000}"/>
    <cellStyle name="RIGs input totals 2 4 4 32" xfId="33793" xr:uid="{00000000-0005-0000-0000-000086850000}"/>
    <cellStyle name="RIGs input totals 2 4 4 33" xfId="33794" xr:uid="{00000000-0005-0000-0000-000087850000}"/>
    <cellStyle name="RIGs input totals 2 4 4 34" xfId="33795" xr:uid="{00000000-0005-0000-0000-000088850000}"/>
    <cellStyle name="RIGs input totals 2 4 4 35" xfId="33796" xr:uid="{00000000-0005-0000-0000-000089850000}"/>
    <cellStyle name="RIGs input totals 2 4 4 4" xfId="33797" xr:uid="{00000000-0005-0000-0000-00008A850000}"/>
    <cellStyle name="RIGs input totals 2 4 4 5" xfId="33798" xr:uid="{00000000-0005-0000-0000-00008B850000}"/>
    <cellStyle name="RIGs input totals 2 4 4 6" xfId="33799" xr:uid="{00000000-0005-0000-0000-00008C850000}"/>
    <cellStyle name="RIGs input totals 2 4 4 7" xfId="33800" xr:uid="{00000000-0005-0000-0000-00008D850000}"/>
    <cellStyle name="RIGs input totals 2 4 4 8" xfId="33801" xr:uid="{00000000-0005-0000-0000-00008E850000}"/>
    <cellStyle name="RIGs input totals 2 4 4 9" xfId="33802" xr:uid="{00000000-0005-0000-0000-00008F850000}"/>
    <cellStyle name="RIGs input totals 2 4 4_4 28 1_Asst_Health_Crit_AllTO_RIIO_20110714pm" xfId="33803" xr:uid="{00000000-0005-0000-0000-000090850000}"/>
    <cellStyle name="RIGs input totals 2 4 40" xfId="33804" xr:uid="{00000000-0005-0000-0000-000091850000}"/>
    <cellStyle name="RIGs input totals 2 4 5" xfId="33805" xr:uid="{00000000-0005-0000-0000-000092850000}"/>
    <cellStyle name="RIGs input totals 2 4 5 10" xfId="33806" xr:uid="{00000000-0005-0000-0000-000093850000}"/>
    <cellStyle name="RIGs input totals 2 4 5 11" xfId="33807" xr:uid="{00000000-0005-0000-0000-000094850000}"/>
    <cellStyle name="RIGs input totals 2 4 5 12" xfId="33808" xr:uid="{00000000-0005-0000-0000-000095850000}"/>
    <cellStyle name="RIGs input totals 2 4 5 13" xfId="33809" xr:uid="{00000000-0005-0000-0000-000096850000}"/>
    <cellStyle name="RIGs input totals 2 4 5 14" xfId="33810" xr:uid="{00000000-0005-0000-0000-000097850000}"/>
    <cellStyle name="RIGs input totals 2 4 5 15" xfId="33811" xr:uid="{00000000-0005-0000-0000-000098850000}"/>
    <cellStyle name="RIGs input totals 2 4 5 16" xfId="33812" xr:uid="{00000000-0005-0000-0000-000099850000}"/>
    <cellStyle name="RIGs input totals 2 4 5 17" xfId="33813" xr:uid="{00000000-0005-0000-0000-00009A850000}"/>
    <cellStyle name="RIGs input totals 2 4 5 18" xfId="33814" xr:uid="{00000000-0005-0000-0000-00009B850000}"/>
    <cellStyle name="RIGs input totals 2 4 5 19" xfId="33815" xr:uid="{00000000-0005-0000-0000-00009C850000}"/>
    <cellStyle name="RIGs input totals 2 4 5 2" xfId="33816" xr:uid="{00000000-0005-0000-0000-00009D850000}"/>
    <cellStyle name="RIGs input totals 2 4 5 2 10" xfId="33817" xr:uid="{00000000-0005-0000-0000-00009E850000}"/>
    <cellStyle name="RIGs input totals 2 4 5 2 11" xfId="33818" xr:uid="{00000000-0005-0000-0000-00009F850000}"/>
    <cellStyle name="RIGs input totals 2 4 5 2 12" xfId="33819" xr:uid="{00000000-0005-0000-0000-0000A0850000}"/>
    <cellStyle name="RIGs input totals 2 4 5 2 13" xfId="33820" xr:uid="{00000000-0005-0000-0000-0000A1850000}"/>
    <cellStyle name="RIGs input totals 2 4 5 2 2" xfId="33821" xr:uid="{00000000-0005-0000-0000-0000A2850000}"/>
    <cellStyle name="RIGs input totals 2 4 5 2 3" xfId="33822" xr:uid="{00000000-0005-0000-0000-0000A3850000}"/>
    <cellStyle name="RIGs input totals 2 4 5 2 4" xfId="33823" xr:uid="{00000000-0005-0000-0000-0000A4850000}"/>
    <cellStyle name="RIGs input totals 2 4 5 2 5" xfId="33824" xr:uid="{00000000-0005-0000-0000-0000A5850000}"/>
    <cellStyle name="RIGs input totals 2 4 5 2 6" xfId="33825" xr:uid="{00000000-0005-0000-0000-0000A6850000}"/>
    <cellStyle name="RIGs input totals 2 4 5 2 7" xfId="33826" xr:uid="{00000000-0005-0000-0000-0000A7850000}"/>
    <cellStyle name="RIGs input totals 2 4 5 2 8" xfId="33827" xr:uid="{00000000-0005-0000-0000-0000A8850000}"/>
    <cellStyle name="RIGs input totals 2 4 5 2 9" xfId="33828" xr:uid="{00000000-0005-0000-0000-0000A9850000}"/>
    <cellStyle name="RIGs input totals 2 4 5 20" xfId="33829" xr:uid="{00000000-0005-0000-0000-0000AA850000}"/>
    <cellStyle name="RIGs input totals 2 4 5 21" xfId="33830" xr:uid="{00000000-0005-0000-0000-0000AB850000}"/>
    <cellStyle name="RIGs input totals 2 4 5 22" xfId="33831" xr:uid="{00000000-0005-0000-0000-0000AC850000}"/>
    <cellStyle name="RIGs input totals 2 4 5 23" xfId="33832" xr:uid="{00000000-0005-0000-0000-0000AD850000}"/>
    <cellStyle name="RIGs input totals 2 4 5 24" xfId="33833" xr:uid="{00000000-0005-0000-0000-0000AE850000}"/>
    <cellStyle name="RIGs input totals 2 4 5 25" xfId="33834" xr:uid="{00000000-0005-0000-0000-0000AF850000}"/>
    <cellStyle name="RIGs input totals 2 4 5 26" xfId="33835" xr:uid="{00000000-0005-0000-0000-0000B0850000}"/>
    <cellStyle name="RIGs input totals 2 4 5 27" xfId="33836" xr:uid="{00000000-0005-0000-0000-0000B1850000}"/>
    <cellStyle name="RIGs input totals 2 4 5 28" xfId="33837" xr:uid="{00000000-0005-0000-0000-0000B2850000}"/>
    <cellStyle name="RIGs input totals 2 4 5 29" xfId="33838" xr:uid="{00000000-0005-0000-0000-0000B3850000}"/>
    <cellStyle name="RIGs input totals 2 4 5 3" xfId="33839" xr:uid="{00000000-0005-0000-0000-0000B4850000}"/>
    <cellStyle name="RIGs input totals 2 4 5 30" xfId="33840" xr:uid="{00000000-0005-0000-0000-0000B5850000}"/>
    <cellStyle name="RIGs input totals 2 4 5 31" xfId="33841" xr:uid="{00000000-0005-0000-0000-0000B6850000}"/>
    <cellStyle name="RIGs input totals 2 4 5 32" xfId="33842" xr:uid="{00000000-0005-0000-0000-0000B7850000}"/>
    <cellStyle name="RIGs input totals 2 4 5 33" xfId="33843" xr:uid="{00000000-0005-0000-0000-0000B8850000}"/>
    <cellStyle name="RIGs input totals 2 4 5 34" xfId="33844" xr:uid="{00000000-0005-0000-0000-0000B9850000}"/>
    <cellStyle name="RIGs input totals 2 4 5 4" xfId="33845" xr:uid="{00000000-0005-0000-0000-0000BA850000}"/>
    <cellStyle name="RIGs input totals 2 4 5 5" xfId="33846" xr:uid="{00000000-0005-0000-0000-0000BB850000}"/>
    <cellStyle name="RIGs input totals 2 4 5 6" xfId="33847" xr:uid="{00000000-0005-0000-0000-0000BC850000}"/>
    <cellStyle name="RIGs input totals 2 4 5 7" xfId="33848" xr:uid="{00000000-0005-0000-0000-0000BD850000}"/>
    <cellStyle name="RIGs input totals 2 4 5 8" xfId="33849" xr:uid="{00000000-0005-0000-0000-0000BE850000}"/>
    <cellStyle name="RIGs input totals 2 4 5 9" xfId="33850" xr:uid="{00000000-0005-0000-0000-0000BF850000}"/>
    <cellStyle name="RIGs input totals 2 4 6" xfId="33851" xr:uid="{00000000-0005-0000-0000-0000C0850000}"/>
    <cellStyle name="RIGs input totals 2 4 6 10" xfId="33852" xr:uid="{00000000-0005-0000-0000-0000C1850000}"/>
    <cellStyle name="RIGs input totals 2 4 6 11" xfId="33853" xr:uid="{00000000-0005-0000-0000-0000C2850000}"/>
    <cellStyle name="RIGs input totals 2 4 6 12" xfId="33854" xr:uid="{00000000-0005-0000-0000-0000C3850000}"/>
    <cellStyle name="RIGs input totals 2 4 6 13" xfId="33855" xr:uid="{00000000-0005-0000-0000-0000C4850000}"/>
    <cellStyle name="RIGs input totals 2 4 6 14" xfId="33856" xr:uid="{00000000-0005-0000-0000-0000C5850000}"/>
    <cellStyle name="RIGs input totals 2 4 6 15" xfId="33857" xr:uid="{00000000-0005-0000-0000-0000C6850000}"/>
    <cellStyle name="RIGs input totals 2 4 6 16" xfId="33858" xr:uid="{00000000-0005-0000-0000-0000C7850000}"/>
    <cellStyle name="RIGs input totals 2 4 6 17" xfId="33859" xr:uid="{00000000-0005-0000-0000-0000C8850000}"/>
    <cellStyle name="RIGs input totals 2 4 6 18" xfId="33860" xr:uid="{00000000-0005-0000-0000-0000C9850000}"/>
    <cellStyle name="RIGs input totals 2 4 6 19" xfId="33861" xr:uid="{00000000-0005-0000-0000-0000CA850000}"/>
    <cellStyle name="RIGs input totals 2 4 6 2" xfId="33862" xr:uid="{00000000-0005-0000-0000-0000CB850000}"/>
    <cellStyle name="RIGs input totals 2 4 6 2 10" xfId="33863" xr:uid="{00000000-0005-0000-0000-0000CC850000}"/>
    <cellStyle name="RIGs input totals 2 4 6 2 11" xfId="33864" xr:uid="{00000000-0005-0000-0000-0000CD850000}"/>
    <cellStyle name="RIGs input totals 2 4 6 2 12" xfId="33865" xr:uid="{00000000-0005-0000-0000-0000CE850000}"/>
    <cellStyle name="RIGs input totals 2 4 6 2 13" xfId="33866" xr:uid="{00000000-0005-0000-0000-0000CF850000}"/>
    <cellStyle name="RIGs input totals 2 4 6 2 2" xfId="33867" xr:uid="{00000000-0005-0000-0000-0000D0850000}"/>
    <cellStyle name="RIGs input totals 2 4 6 2 3" xfId="33868" xr:uid="{00000000-0005-0000-0000-0000D1850000}"/>
    <cellStyle name="RIGs input totals 2 4 6 2 4" xfId="33869" xr:uid="{00000000-0005-0000-0000-0000D2850000}"/>
    <cellStyle name="RIGs input totals 2 4 6 2 5" xfId="33870" xr:uid="{00000000-0005-0000-0000-0000D3850000}"/>
    <cellStyle name="RIGs input totals 2 4 6 2 6" xfId="33871" xr:uid="{00000000-0005-0000-0000-0000D4850000}"/>
    <cellStyle name="RIGs input totals 2 4 6 2 7" xfId="33872" xr:uid="{00000000-0005-0000-0000-0000D5850000}"/>
    <cellStyle name="RIGs input totals 2 4 6 2 8" xfId="33873" xr:uid="{00000000-0005-0000-0000-0000D6850000}"/>
    <cellStyle name="RIGs input totals 2 4 6 2 9" xfId="33874" xr:uid="{00000000-0005-0000-0000-0000D7850000}"/>
    <cellStyle name="RIGs input totals 2 4 6 20" xfId="33875" xr:uid="{00000000-0005-0000-0000-0000D8850000}"/>
    <cellStyle name="RIGs input totals 2 4 6 21" xfId="33876" xr:uid="{00000000-0005-0000-0000-0000D9850000}"/>
    <cellStyle name="RIGs input totals 2 4 6 22" xfId="33877" xr:uid="{00000000-0005-0000-0000-0000DA850000}"/>
    <cellStyle name="RIGs input totals 2 4 6 23" xfId="33878" xr:uid="{00000000-0005-0000-0000-0000DB850000}"/>
    <cellStyle name="RIGs input totals 2 4 6 24" xfId="33879" xr:uid="{00000000-0005-0000-0000-0000DC850000}"/>
    <cellStyle name="RIGs input totals 2 4 6 25" xfId="33880" xr:uid="{00000000-0005-0000-0000-0000DD850000}"/>
    <cellStyle name="RIGs input totals 2 4 6 26" xfId="33881" xr:uid="{00000000-0005-0000-0000-0000DE850000}"/>
    <cellStyle name="RIGs input totals 2 4 6 27" xfId="33882" xr:uid="{00000000-0005-0000-0000-0000DF850000}"/>
    <cellStyle name="RIGs input totals 2 4 6 28" xfId="33883" xr:uid="{00000000-0005-0000-0000-0000E0850000}"/>
    <cellStyle name="RIGs input totals 2 4 6 29" xfId="33884" xr:uid="{00000000-0005-0000-0000-0000E1850000}"/>
    <cellStyle name="RIGs input totals 2 4 6 3" xfId="33885" xr:uid="{00000000-0005-0000-0000-0000E2850000}"/>
    <cellStyle name="RIGs input totals 2 4 6 30" xfId="33886" xr:uid="{00000000-0005-0000-0000-0000E3850000}"/>
    <cellStyle name="RIGs input totals 2 4 6 31" xfId="33887" xr:uid="{00000000-0005-0000-0000-0000E4850000}"/>
    <cellStyle name="RIGs input totals 2 4 6 32" xfId="33888" xr:uid="{00000000-0005-0000-0000-0000E5850000}"/>
    <cellStyle name="RIGs input totals 2 4 6 33" xfId="33889" xr:uid="{00000000-0005-0000-0000-0000E6850000}"/>
    <cellStyle name="RIGs input totals 2 4 6 34" xfId="33890" xr:uid="{00000000-0005-0000-0000-0000E7850000}"/>
    <cellStyle name="RIGs input totals 2 4 6 4" xfId="33891" xr:uid="{00000000-0005-0000-0000-0000E8850000}"/>
    <cellStyle name="RIGs input totals 2 4 6 5" xfId="33892" xr:uid="{00000000-0005-0000-0000-0000E9850000}"/>
    <cellStyle name="RIGs input totals 2 4 6 6" xfId="33893" xr:uid="{00000000-0005-0000-0000-0000EA850000}"/>
    <cellStyle name="RIGs input totals 2 4 6 7" xfId="33894" xr:uid="{00000000-0005-0000-0000-0000EB850000}"/>
    <cellStyle name="RIGs input totals 2 4 6 8" xfId="33895" xr:uid="{00000000-0005-0000-0000-0000EC850000}"/>
    <cellStyle name="RIGs input totals 2 4 6 9" xfId="33896" xr:uid="{00000000-0005-0000-0000-0000ED850000}"/>
    <cellStyle name="RIGs input totals 2 4 7" xfId="33897" xr:uid="{00000000-0005-0000-0000-0000EE850000}"/>
    <cellStyle name="RIGs input totals 2 4 7 10" xfId="33898" xr:uid="{00000000-0005-0000-0000-0000EF850000}"/>
    <cellStyle name="RIGs input totals 2 4 7 11" xfId="33899" xr:uid="{00000000-0005-0000-0000-0000F0850000}"/>
    <cellStyle name="RIGs input totals 2 4 7 12" xfId="33900" xr:uid="{00000000-0005-0000-0000-0000F1850000}"/>
    <cellStyle name="RIGs input totals 2 4 7 13" xfId="33901" xr:uid="{00000000-0005-0000-0000-0000F2850000}"/>
    <cellStyle name="RIGs input totals 2 4 7 2" xfId="33902" xr:uid="{00000000-0005-0000-0000-0000F3850000}"/>
    <cellStyle name="RIGs input totals 2 4 7 3" xfId="33903" xr:uid="{00000000-0005-0000-0000-0000F4850000}"/>
    <cellStyle name="RIGs input totals 2 4 7 4" xfId="33904" xr:uid="{00000000-0005-0000-0000-0000F5850000}"/>
    <cellStyle name="RIGs input totals 2 4 7 5" xfId="33905" xr:uid="{00000000-0005-0000-0000-0000F6850000}"/>
    <cellStyle name="RIGs input totals 2 4 7 6" xfId="33906" xr:uid="{00000000-0005-0000-0000-0000F7850000}"/>
    <cellStyle name="RIGs input totals 2 4 7 7" xfId="33907" xr:uid="{00000000-0005-0000-0000-0000F8850000}"/>
    <cellStyle name="RIGs input totals 2 4 7 8" xfId="33908" xr:uid="{00000000-0005-0000-0000-0000F9850000}"/>
    <cellStyle name="RIGs input totals 2 4 7 9" xfId="33909" xr:uid="{00000000-0005-0000-0000-0000FA850000}"/>
    <cellStyle name="RIGs input totals 2 4 8" xfId="33910" xr:uid="{00000000-0005-0000-0000-0000FB850000}"/>
    <cellStyle name="RIGs input totals 2 4 9" xfId="33911" xr:uid="{00000000-0005-0000-0000-0000FC850000}"/>
    <cellStyle name="RIGs input totals 2 4_3.15 Additional Data" xfId="42408" xr:uid="{00000000-0005-0000-0000-0000FD850000}"/>
    <cellStyle name="RIGs input totals 2 40" xfId="33912" xr:uid="{00000000-0005-0000-0000-0000FE850000}"/>
    <cellStyle name="RIGs input totals 2 41" xfId="33913" xr:uid="{00000000-0005-0000-0000-0000FF850000}"/>
    <cellStyle name="RIGs input totals 2 42" xfId="33914" xr:uid="{00000000-0005-0000-0000-000000860000}"/>
    <cellStyle name="RIGs input totals 2 43" xfId="33915" xr:uid="{00000000-0005-0000-0000-000001860000}"/>
    <cellStyle name="RIGs input totals 2 44" xfId="33916" xr:uid="{00000000-0005-0000-0000-000002860000}"/>
    <cellStyle name="RIGs input totals 2 45" xfId="33917" xr:uid="{00000000-0005-0000-0000-000003860000}"/>
    <cellStyle name="RIGs input totals 2 5" xfId="33918" xr:uid="{00000000-0005-0000-0000-000004860000}"/>
    <cellStyle name="RIGs input totals 2 5 10" xfId="33919" xr:uid="{00000000-0005-0000-0000-000005860000}"/>
    <cellStyle name="RIGs input totals 2 5 11" xfId="33920" xr:uid="{00000000-0005-0000-0000-000006860000}"/>
    <cellStyle name="RIGs input totals 2 5 12" xfId="33921" xr:uid="{00000000-0005-0000-0000-000007860000}"/>
    <cellStyle name="RIGs input totals 2 5 13" xfId="33922" xr:uid="{00000000-0005-0000-0000-000008860000}"/>
    <cellStyle name="RIGs input totals 2 5 14" xfId="33923" xr:uid="{00000000-0005-0000-0000-000009860000}"/>
    <cellStyle name="RIGs input totals 2 5 15" xfId="33924" xr:uid="{00000000-0005-0000-0000-00000A860000}"/>
    <cellStyle name="RIGs input totals 2 5 16" xfId="33925" xr:uid="{00000000-0005-0000-0000-00000B860000}"/>
    <cellStyle name="RIGs input totals 2 5 17" xfId="33926" xr:uid="{00000000-0005-0000-0000-00000C860000}"/>
    <cellStyle name="RIGs input totals 2 5 18" xfId="33927" xr:uid="{00000000-0005-0000-0000-00000D860000}"/>
    <cellStyle name="RIGs input totals 2 5 19" xfId="33928" xr:uid="{00000000-0005-0000-0000-00000E860000}"/>
    <cellStyle name="RIGs input totals 2 5 2" xfId="33929" xr:uid="{00000000-0005-0000-0000-00000F860000}"/>
    <cellStyle name="RIGs input totals 2 5 2 10" xfId="33930" xr:uid="{00000000-0005-0000-0000-000010860000}"/>
    <cellStyle name="RIGs input totals 2 5 2 11" xfId="33931" xr:uid="{00000000-0005-0000-0000-000011860000}"/>
    <cellStyle name="RIGs input totals 2 5 2 12" xfId="33932" xr:uid="{00000000-0005-0000-0000-000012860000}"/>
    <cellStyle name="RIGs input totals 2 5 2 13" xfId="33933" xr:uid="{00000000-0005-0000-0000-000013860000}"/>
    <cellStyle name="RIGs input totals 2 5 2 14" xfId="33934" xr:uid="{00000000-0005-0000-0000-000014860000}"/>
    <cellStyle name="RIGs input totals 2 5 2 15" xfId="33935" xr:uid="{00000000-0005-0000-0000-000015860000}"/>
    <cellStyle name="RIGs input totals 2 5 2 16" xfId="33936" xr:uid="{00000000-0005-0000-0000-000016860000}"/>
    <cellStyle name="RIGs input totals 2 5 2 17" xfId="33937" xr:uid="{00000000-0005-0000-0000-000017860000}"/>
    <cellStyle name="RIGs input totals 2 5 2 18" xfId="33938" xr:uid="{00000000-0005-0000-0000-000018860000}"/>
    <cellStyle name="RIGs input totals 2 5 2 19" xfId="33939" xr:uid="{00000000-0005-0000-0000-000019860000}"/>
    <cellStyle name="RIGs input totals 2 5 2 2" xfId="33940" xr:uid="{00000000-0005-0000-0000-00001A860000}"/>
    <cellStyle name="RIGs input totals 2 5 2 2 10" xfId="33941" xr:uid="{00000000-0005-0000-0000-00001B860000}"/>
    <cellStyle name="RIGs input totals 2 5 2 2 11" xfId="33942" xr:uid="{00000000-0005-0000-0000-00001C860000}"/>
    <cellStyle name="RIGs input totals 2 5 2 2 12" xfId="33943" xr:uid="{00000000-0005-0000-0000-00001D860000}"/>
    <cellStyle name="RIGs input totals 2 5 2 2 13" xfId="33944" xr:uid="{00000000-0005-0000-0000-00001E860000}"/>
    <cellStyle name="RIGs input totals 2 5 2 2 14" xfId="33945" xr:uid="{00000000-0005-0000-0000-00001F860000}"/>
    <cellStyle name="RIGs input totals 2 5 2 2 15" xfId="33946" xr:uid="{00000000-0005-0000-0000-000020860000}"/>
    <cellStyle name="RIGs input totals 2 5 2 2 16" xfId="33947" xr:uid="{00000000-0005-0000-0000-000021860000}"/>
    <cellStyle name="RIGs input totals 2 5 2 2 17" xfId="33948" xr:uid="{00000000-0005-0000-0000-000022860000}"/>
    <cellStyle name="RIGs input totals 2 5 2 2 18" xfId="33949" xr:uid="{00000000-0005-0000-0000-000023860000}"/>
    <cellStyle name="RIGs input totals 2 5 2 2 19" xfId="33950" xr:uid="{00000000-0005-0000-0000-000024860000}"/>
    <cellStyle name="RIGs input totals 2 5 2 2 2" xfId="33951" xr:uid="{00000000-0005-0000-0000-000025860000}"/>
    <cellStyle name="RIGs input totals 2 5 2 2 2 10" xfId="33952" xr:uid="{00000000-0005-0000-0000-000026860000}"/>
    <cellStyle name="RIGs input totals 2 5 2 2 2 11" xfId="33953" xr:uid="{00000000-0005-0000-0000-000027860000}"/>
    <cellStyle name="RIGs input totals 2 5 2 2 2 12" xfId="33954" xr:uid="{00000000-0005-0000-0000-000028860000}"/>
    <cellStyle name="RIGs input totals 2 5 2 2 2 13" xfId="33955" xr:uid="{00000000-0005-0000-0000-000029860000}"/>
    <cellStyle name="RIGs input totals 2 5 2 2 2 14" xfId="33956" xr:uid="{00000000-0005-0000-0000-00002A860000}"/>
    <cellStyle name="RIGs input totals 2 5 2 2 2 15" xfId="33957" xr:uid="{00000000-0005-0000-0000-00002B860000}"/>
    <cellStyle name="RIGs input totals 2 5 2 2 2 16" xfId="33958" xr:uid="{00000000-0005-0000-0000-00002C860000}"/>
    <cellStyle name="RIGs input totals 2 5 2 2 2 17" xfId="33959" xr:uid="{00000000-0005-0000-0000-00002D860000}"/>
    <cellStyle name="RIGs input totals 2 5 2 2 2 18" xfId="33960" xr:uid="{00000000-0005-0000-0000-00002E860000}"/>
    <cellStyle name="RIGs input totals 2 5 2 2 2 19" xfId="33961" xr:uid="{00000000-0005-0000-0000-00002F860000}"/>
    <cellStyle name="RIGs input totals 2 5 2 2 2 2" xfId="33962" xr:uid="{00000000-0005-0000-0000-000030860000}"/>
    <cellStyle name="RIGs input totals 2 5 2 2 2 2 10" xfId="33963" xr:uid="{00000000-0005-0000-0000-000031860000}"/>
    <cellStyle name="RIGs input totals 2 5 2 2 2 2 11" xfId="33964" xr:uid="{00000000-0005-0000-0000-000032860000}"/>
    <cellStyle name="RIGs input totals 2 5 2 2 2 2 12" xfId="33965" xr:uid="{00000000-0005-0000-0000-000033860000}"/>
    <cellStyle name="RIGs input totals 2 5 2 2 2 2 13" xfId="33966" xr:uid="{00000000-0005-0000-0000-000034860000}"/>
    <cellStyle name="RIGs input totals 2 5 2 2 2 2 2" xfId="33967" xr:uid="{00000000-0005-0000-0000-000035860000}"/>
    <cellStyle name="RIGs input totals 2 5 2 2 2 2 3" xfId="33968" xr:uid="{00000000-0005-0000-0000-000036860000}"/>
    <cellStyle name="RIGs input totals 2 5 2 2 2 2 4" xfId="33969" xr:uid="{00000000-0005-0000-0000-000037860000}"/>
    <cellStyle name="RIGs input totals 2 5 2 2 2 2 5" xfId="33970" xr:uid="{00000000-0005-0000-0000-000038860000}"/>
    <cellStyle name="RIGs input totals 2 5 2 2 2 2 6" xfId="33971" xr:uid="{00000000-0005-0000-0000-000039860000}"/>
    <cellStyle name="RIGs input totals 2 5 2 2 2 2 7" xfId="33972" xr:uid="{00000000-0005-0000-0000-00003A860000}"/>
    <cellStyle name="RIGs input totals 2 5 2 2 2 2 8" xfId="33973" xr:uid="{00000000-0005-0000-0000-00003B860000}"/>
    <cellStyle name="RIGs input totals 2 5 2 2 2 2 9" xfId="33974" xr:uid="{00000000-0005-0000-0000-00003C860000}"/>
    <cellStyle name="RIGs input totals 2 5 2 2 2 20" xfId="33975" xr:uid="{00000000-0005-0000-0000-00003D860000}"/>
    <cellStyle name="RIGs input totals 2 5 2 2 2 21" xfId="33976" xr:uid="{00000000-0005-0000-0000-00003E860000}"/>
    <cellStyle name="RIGs input totals 2 5 2 2 2 22" xfId="33977" xr:uid="{00000000-0005-0000-0000-00003F860000}"/>
    <cellStyle name="RIGs input totals 2 5 2 2 2 23" xfId="33978" xr:uid="{00000000-0005-0000-0000-000040860000}"/>
    <cellStyle name="RIGs input totals 2 5 2 2 2 24" xfId="33979" xr:uid="{00000000-0005-0000-0000-000041860000}"/>
    <cellStyle name="RIGs input totals 2 5 2 2 2 25" xfId="33980" xr:uid="{00000000-0005-0000-0000-000042860000}"/>
    <cellStyle name="RIGs input totals 2 5 2 2 2 26" xfId="33981" xr:uid="{00000000-0005-0000-0000-000043860000}"/>
    <cellStyle name="RIGs input totals 2 5 2 2 2 27" xfId="33982" xr:uid="{00000000-0005-0000-0000-000044860000}"/>
    <cellStyle name="RIGs input totals 2 5 2 2 2 28" xfId="33983" xr:uid="{00000000-0005-0000-0000-000045860000}"/>
    <cellStyle name="RIGs input totals 2 5 2 2 2 29" xfId="33984" xr:uid="{00000000-0005-0000-0000-000046860000}"/>
    <cellStyle name="RIGs input totals 2 5 2 2 2 3" xfId="33985" xr:uid="{00000000-0005-0000-0000-000047860000}"/>
    <cellStyle name="RIGs input totals 2 5 2 2 2 30" xfId="33986" xr:uid="{00000000-0005-0000-0000-000048860000}"/>
    <cellStyle name="RIGs input totals 2 5 2 2 2 31" xfId="33987" xr:uid="{00000000-0005-0000-0000-000049860000}"/>
    <cellStyle name="RIGs input totals 2 5 2 2 2 32" xfId="33988" xr:uid="{00000000-0005-0000-0000-00004A860000}"/>
    <cellStyle name="RIGs input totals 2 5 2 2 2 33" xfId="33989" xr:uid="{00000000-0005-0000-0000-00004B860000}"/>
    <cellStyle name="RIGs input totals 2 5 2 2 2 34" xfId="33990" xr:uid="{00000000-0005-0000-0000-00004C860000}"/>
    <cellStyle name="RIGs input totals 2 5 2 2 2 4" xfId="33991" xr:uid="{00000000-0005-0000-0000-00004D860000}"/>
    <cellStyle name="RIGs input totals 2 5 2 2 2 5" xfId="33992" xr:uid="{00000000-0005-0000-0000-00004E860000}"/>
    <cellStyle name="RIGs input totals 2 5 2 2 2 6" xfId="33993" xr:uid="{00000000-0005-0000-0000-00004F860000}"/>
    <cellStyle name="RIGs input totals 2 5 2 2 2 7" xfId="33994" xr:uid="{00000000-0005-0000-0000-000050860000}"/>
    <cellStyle name="RIGs input totals 2 5 2 2 2 8" xfId="33995" xr:uid="{00000000-0005-0000-0000-000051860000}"/>
    <cellStyle name="RIGs input totals 2 5 2 2 2 9" xfId="33996" xr:uid="{00000000-0005-0000-0000-000052860000}"/>
    <cellStyle name="RIGs input totals 2 5 2 2 20" xfId="33997" xr:uid="{00000000-0005-0000-0000-000053860000}"/>
    <cellStyle name="RIGs input totals 2 5 2 2 21" xfId="33998" xr:uid="{00000000-0005-0000-0000-000054860000}"/>
    <cellStyle name="RIGs input totals 2 5 2 2 22" xfId="33999" xr:uid="{00000000-0005-0000-0000-000055860000}"/>
    <cellStyle name="RIGs input totals 2 5 2 2 23" xfId="34000" xr:uid="{00000000-0005-0000-0000-000056860000}"/>
    <cellStyle name="RIGs input totals 2 5 2 2 24" xfId="34001" xr:uid="{00000000-0005-0000-0000-000057860000}"/>
    <cellStyle name="RIGs input totals 2 5 2 2 25" xfId="34002" xr:uid="{00000000-0005-0000-0000-000058860000}"/>
    <cellStyle name="RIGs input totals 2 5 2 2 26" xfId="34003" xr:uid="{00000000-0005-0000-0000-000059860000}"/>
    <cellStyle name="RIGs input totals 2 5 2 2 27" xfId="34004" xr:uid="{00000000-0005-0000-0000-00005A860000}"/>
    <cellStyle name="RIGs input totals 2 5 2 2 28" xfId="34005" xr:uid="{00000000-0005-0000-0000-00005B860000}"/>
    <cellStyle name="RIGs input totals 2 5 2 2 29" xfId="34006" xr:uid="{00000000-0005-0000-0000-00005C860000}"/>
    <cellStyle name="RIGs input totals 2 5 2 2 3" xfId="34007" xr:uid="{00000000-0005-0000-0000-00005D860000}"/>
    <cellStyle name="RIGs input totals 2 5 2 2 3 10" xfId="34008" xr:uid="{00000000-0005-0000-0000-00005E860000}"/>
    <cellStyle name="RIGs input totals 2 5 2 2 3 11" xfId="34009" xr:uid="{00000000-0005-0000-0000-00005F860000}"/>
    <cellStyle name="RIGs input totals 2 5 2 2 3 12" xfId="34010" xr:uid="{00000000-0005-0000-0000-000060860000}"/>
    <cellStyle name="RIGs input totals 2 5 2 2 3 13" xfId="34011" xr:uid="{00000000-0005-0000-0000-000061860000}"/>
    <cellStyle name="RIGs input totals 2 5 2 2 3 2" xfId="34012" xr:uid="{00000000-0005-0000-0000-000062860000}"/>
    <cellStyle name="RIGs input totals 2 5 2 2 3 3" xfId="34013" xr:uid="{00000000-0005-0000-0000-000063860000}"/>
    <cellStyle name="RIGs input totals 2 5 2 2 3 4" xfId="34014" xr:uid="{00000000-0005-0000-0000-000064860000}"/>
    <cellStyle name="RIGs input totals 2 5 2 2 3 5" xfId="34015" xr:uid="{00000000-0005-0000-0000-000065860000}"/>
    <cellStyle name="RIGs input totals 2 5 2 2 3 6" xfId="34016" xr:uid="{00000000-0005-0000-0000-000066860000}"/>
    <cellStyle name="RIGs input totals 2 5 2 2 3 7" xfId="34017" xr:uid="{00000000-0005-0000-0000-000067860000}"/>
    <cellStyle name="RIGs input totals 2 5 2 2 3 8" xfId="34018" xr:uid="{00000000-0005-0000-0000-000068860000}"/>
    <cellStyle name="RIGs input totals 2 5 2 2 3 9" xfId="34019" xr:uid="{00000000-0005-0000-0000-000069860000}"/>
    <cellStyle name="RIGs input totals 2 5 2 2 30" xfId="34020" xr:uid="{00000000-0005-0000-0000-00006A860000}"/>
    <cellStyle name="RIGs input totals 2 5 2 2 31" xfId="34021" xr:uid="{00000000-0005-0000-0000-00006B860000}"/>
    <cellStyle name="RIGs input totals 2 5 2 2 4" xfId="34022" xr:uid="{00000000-0005-0000-0000-00006C860000}"/>
    <cellStyle name="RIGs input totals 2 5 2 2 5" xfId="34023" xr:uid="{00000000-0005-0000-0000-00006D860000}"/>
    <cellStyle name="RIGs input totals 2 5 2 2 6" xfId="34024" xr:uid="{00000000-0005-0000-0000-00006E860000}"/>
    <cellStyle name="RIGs input totals 2 5 2 2 7" xfId="34025" xr:uid="{00000000-0005-0000-0000-00006F860000}"/>
    <cellStyle name="RIGs input totals 2 5 2 2 8" xfId="34026" xr:uid="{00000000-0005-0000-0000-000070860000}"/>
    <cellStyle name="RIGs input totals 2 5 2 2 9" xfId="34027" xr:uid="{00000000-0005-0000-0000-000071860000}"/>
    <cellStyle name="RIGs input totals 2 5 2 2_4 28 1_Asst_Health_Crit_AllTO_RIIO_20110714pm" xfId="34028" xr:uid="{00000000-0005-0000-0000-000072860000}"/>
    <cellStyle name="RIGs input totals 2 5 2 20" xfId="34029" xr:uid="{00000000-0005-0000-0000-000073860000}"/>
    <cellStyle name="RIGs input totals 2 5 2 21" xfId="34030" xr:uid="{00000000-0005-0000-0000-000074860000}"/>
    <cellStyle name="RIGs input totals 2 5 2 22" xfId="34031" xr:uid="{00000000-0005-0000-0000-000075860000}"/>
    <cellStyle name="RIGs input totals 2 5 2 23" xfId="34032" xr:uid="{00000000-0005-0000-0000-000076860000}"/>
    <cellStyle name="RIGs input totals 2 5 2 24" xfId="34033" xr:uid="{00000000-0005-0000-0000-000077860000}"/>
    <cellStyle name="RIGs input totals 2 5 2 25" xfId="34034" xr:uid="{00000000-0005-0000-0000-000078860000}"/>
    <cellStyle name="RIGs input totals 2 5 2 26" xfId="34035" xr:uid="{00000000-0005-0000-0000-000079860000}"/>
    <cellStyle name="RIGs input totals 2 5 2 27" xfId="34036" xr:uid="{00000000-0005-0000-0000-00007A860000}"/>
    <cellStyle name="RIGs input totals 2 5 2 28" xfId="34037" xr:uid="{00000000-0005-0000-0000-00007B860000}"/>
    <cellStyle name="RIGs input totals 2 5 2 29" xfId="34038" xr:uid="{00000000-0005-0000-0000-00007C860000}"/>
    <cellStyle name="RIGs input totals 2 5 2 3" xfId="34039" xr:uid="{00000000-0005-0000-0000-00007D860000}"/>
    <cellStyle name="RIGs input totals 2 5 2 3 10" xfId="34040" xr:uid="{00000000-0005-0000-0000-00007E860000}"/>
    <cellStyle name="RIGs input totals 2 5 2 3 11" xfId="34041" xr:uid="{00000000-0005-0000-0000-00007F860000}"/>
    <cellStyle name="RIGs input totals 2 5 2 3 12" xfId="34042" xr:uid="{00000000-0005-0000-0000-000080860000}"/>
    <cellStyle name="RIGs input totals 2 5 2 3 13" xfId="34043" xr:uid="{00000000-0005-0000-0000-000081860000}"/>
    <cellStyle name="RIGs input totals 2 5 2 3 14" xfId="34044" xr:uid="{00000000-0005-0000-0000-000082860000}"/>
    <cellStyle name="RIGs input totals 2 5 2 3 15" xfId="34045" xr:uid="{00000000-0005-0000-0000-000083860000}"/>
    <cellStyle name="RIGs input totals 2 5 2 3 16" xfId="34046" xr:uid="{00000000-0005-0000-0000-000084860000}"/>
    <cellStyle name="RIGs input totals 2 5 2 3 17" xfId="34047" xr:uid="{00000000-0005-0000-0000-000085860000}"/>
    <cellStyle name="RIGs input totals 2 5 2 3 18" xfId="34048" xr:uid="{00000000-0005-0000-0000-000086860000}"/>
    <cellStyle name="RIGs input totals 2 5 2 3 19" xfId="34049" xr:uid="{00000000-0005-0000-0000-000087860000}"/>
    <cellStyle name="RIGs input totals 2 5 2 3 2" xfId="34050" xr:uid="{00000000-0005-0000-0000-000088860000}"/>
    <cellStyle name="RIGs input totals 2 5 2 3 2 10" xfId="34051" xr:uid="{00000000-0005-0000-0000-000089860000}"/>
    <cellStyle name="RIGs input totals 2 5 2 3 2 11" xfId="34052" xr:uid="{00000000-0005-0000-0000-00008A860000}"/>
    <cellStyle name="RIGs input totals 2 5 2 3 2 12" xfId="34053" xr:uid="{00000000-0005-0000-0000-00008B860000}"/>
    <cellStyle name="RIGs input totals 2 5 2 3 2 13" xfId="34054" xr:uid="{00000000-0005-0000-0000-00008C860000}"/>
    <cellStyle name="RIGs input totals 2 5 2 3 2 2" xfId="34055" xr:uid="{00000000-0005-0000-0000-00008D860000}"/>
    <cellStyle name="RIGs input totals 2 5 2 3 2 3" xfId="34056" xr:uid="{00000000-0005-0000-0000-00008E860000}"/>
    <cellStyle name="RIGs input totals 2 5 2 3 2 4" xfId="34057" xr:uid="{00000000-0005-0000-0000-00008F860000}"/>
    <cellStyle name="RIGs input totals 2 5 2 3 2 5" xfId="34058" xr:uid="{00000000-0005-0000-0000-000090860000}"/>
    <cellStyle name="RIGs input totals 2 5 2 3 2 6" xfId="34059" xr:uid="{00000000-0005-0000-0000-000091860000}"/>
    <cellStyle name="RIGs input totals 2 5 2 3 2 7" xfId="34060" xr:uid="{00000000-0005-0000-0000-000092860000}"/>
    <cellStyle name="RIGs input totals 2 5 2 3 2 8" xfId="34061" xr:uid="{00000000-0005-0000-0000-000093860000}"/>
    <cellStyle name="RIGs input totals 2 5 2 3 2 9" xfId="34062" xr:uid="{00000000-0005-0000-0000-000094860000}"/>
    <cellStyle name="RIGs input totals 2 5 2 3 20" xfId="34063" xr:uid="{00000000-0005-0000-0000-000095860000}"/>
    <cellStyle name="RIGs input totals 2 5 2 3 21" xfId="34064" xr:uid="{00000000-0005-0000-0000-000096860000}"/>
    <cellStyle name="RIGs input totals 2 5 2 3 22" xfId="34065" xr:uid="{00000000-0005-0000-0000-000097860000}"/>
    <cellStyle name="RIGs input totals 2 5 2 3 23" xfId="34066" xr:uid="{00000000-0005-0000-0000-000098860000}"/>
    <cellStyle name="RIGs input totals 2 5 2 3 24" xfId="34067" xr:uid="{00000000-0005-0000-0000-000099860000}"/>
    <cellStyle name="RIGs input totals 2 5 2 3 25" xfId="34068" xr:uid="{00000000-0005-0000-0000-00009A860000}"/>
    <cellStyle name="RIGs input totals 2 5 2 3 26" xfId="34069" xr:uid="{00000000-0005-0000-0000-00009B860000}"/>
    <cellStyle name="RIGs input totals 2 5 2 3 27" xfId="34070" xr:uid="{00000000-0005-0000-0000-00009C860000}"/>
    <cellStyle name="RIGs input totals 2 5 2 3 28" xfId="34071" xr:uid="{00000000-0005-0000-0000-00009D860000}"/>
    <cellStyle name="RIGs input totals 2 5 2 3 29" xfId="34072" xr:uid="{00000000-0005-0000-0000-00009E860000}"/>
    <cellStyle name="RIGs input totals 2 5 2 3 3" xfId="34073" xr:uid="{00000000-0005-0000-0000-00009F860000}"/>
    <cellStyle name="RIGs input totals 2 5 2 3 30" xfId="34074" xr:uid="{00000000-0005-0000-0000-0000A0860000}"/>
    <cellStyle name="RIGs input totals 2 5 2 3 4" xfId="34075" xr:uid="{00000000-0005-0000-0000-0000A1860000}"/>
    <cellStyle name="RIGs input totals 2 5 2 3 5" xfId="34076" xr:uid="{00000000-0005-0000-0000-0000A2860000}"/>
    <cellStyle name="RIGs input totals 2 5 2 3 6" xfId="34077" xr:uid="{00000000-0005-0000-0000-0000A3860000}"/>
    <cellStyle name="RIGs input totals 2 5 2 3 7" xfId="34078" xr:uid="{00000000-0005-0000-0000-0000A4860000}"/>
    <cellStyle name="RIGs input totals 2 5 2 3 8" xfId="34079" xr:uid="{00000000-0005-0000-0000-0000A5860000}"/>
    <cellStyle name="RIGs input totals 2 5 2 3 9" xfId="34080" xr:uid="{00000000-0005-0000-0000-0000A6860000}"/>
    <cellStyle name="RIGs input totals 2 5 2 30" xfId="34081" xr:uid="{00000000-0005-0000-0000-0000A7860000}"/>
    <cellStyle name="RIGs input totals 2 5 2 31" xfId="34082" xr:uid="{00000000-0005-0000-0000-0000A8860000}"/>
    <cellStyle name="RIGs input totals 2 5 2 32" xfId="34083" xr:uid="{00000000-0005-0000-0000-0000A9860000}"/>
    <cellStyle name="RIGs input totals 2 5 2 33" xfId="34084" xr:uid="{00000000-0005-0000-0000-0000AA860000}"/>
    <cellStyle name="RIGs input totals 2 5 2 4" xfId="34085" xr:uid="{00000000-0005-0000-0000-0000AB860000}"/>
    <cellStyle name="RIGs input totals 2 5 2 4 10" xfId="34086" xr:uid="{00000000-0005-0000-0000-0000AC860000}"/>
    <cellStyle name="RIGs input totals 2 5 2 4 11" xfId="34087" xr:uid="{00000000-0005-0000-0000-0000AD860000}"/>
    <cellStyle name="RIGs input totals 2 5 2 4 12" xfId="34088" xr:uid="{00000000-0005-0000-0000-0000AE860000}"/>
    <cellStyle name="RIGs input totals 2 5 2 4 13" xfId="34089" xr:uid="{00000000-0005-0000-0000-0000AF860000}"/>
    <cellStyle name="RIGs input totals 2 5 2 4 14" xfId="34090" xr:uid="{00000000-0005-0000-0000-0000B0860000}"/>
    <cellStyle name="RIGs input totals 2 5 2 4 15" xfId="34091" xr:uid="{00000000-0005-0000-0000-0000B1860000}"/>
    <cellStyle name="RIGs input totals 2 5 2 4 16" xfId="34092" xr:uid="{00000000-0005-0000-0000-0000B2860000}"/>
    <cellStyle name="RIGs input totals 2 5 2 4 17" xfId="34093" xr:uid="{00000000-0005-0000-0000-0000B3860000}"/>
    <cellStyle name="RIGs input totals 2 5 2 4 18" xfId="34094" xr:uid="{00000000-0005-0000-0000-0000B4860000}"/>
    <cellStyle name="RIGs input totals 2 5 2 4 19" xfId="34095" xr:uid="{00000000-0005-0000-0000-0000B5860000}"/>
    <cellStyle name="RIGs input totals 2 5 2 4 2" xfId="34096" xr:uid="{00000000-0005-0000-0000-0000B6860000}"/>
    <cellStyle name="RIGs input totals 2 5 2 4 2 10" xfId="34097" xr:uid="{00000000-0005-0000-0000-0000B7860000}"/>
    <cellStyle name="RIGs input totals 2 5 2 4 2 11" xfId="34098" xr:uid="{00000000-0005-0000-0000-0000B8860000}"/>
    <cellStyle name="RIGs input totals 2 5 2 4 2 12" xfId="34099" xr:uid="{00000000-0005-0000-0000-0000B9860000}"/>
    <cellStyle name="RIGs input totals 2 5 2 4 2 13" xfId="34100" xr:uid="{00000000-0005-0000-0000-0000BA860000}"/>
    <cellStyle name="RIGs input totals 2 5 2 4 2 2" xfId="34101" xr:uid="{00000000-0005-0000-0000-0000BB860000}"/>
    <cellStyle name="RIGs input totals 2 5 2 4 2 3" xfId="34102" xr:uid="{00000000-0005-0000-0000-0000BC860000}"/>
    <cellStyle name="RIGs input totals 2 5 2 4 2 4" xfId="34103" xr:uid="{00000000-0005-0000-0000-0000BD860000}"/>
    <cellStyle name="RIGs input totals 2 5 2 4 2 5" xfId="34104" xr:uid="{00000000-0005-0000-0000-0000BE860000}"/>
    <cellStyle name="RIGs input totals 2 5 2 4 2 6" xfId="34105" xr:uid="{00000000-0005-0000-0000-0000BF860000}"/>
    <cellStyle name="RIGs input totals 2 5 2 4 2 7" xfId="34106" xr:uid="{00000000-0005-0000-0000-0000C0860000}"/>
    <cellStyle name="RIGs input totals 2 5 2 4 2 8" xfId="34107" xr:uid="{00000000-0005-0000-0000-0000C1860000}"/>
    <cellStyle name="RIGs input totals 2 5 2 4 2 9" xfId="34108" xr:uid="{00000000-0005-0000-0000-0000C2860000}"/>
    <cellStyle name="RIGs input totals 2 5 2 4 20" xfId="34109" xr:uid="{00000000-0005-0000-0000-0000C3860000}"/>
    <cellStyle name="RIGs input totals 2 5 2 4 21" xfId="34110" xr:uid="{00000000-0005-0000-0000-0000C4860000}"/>
    <cellStyle name="RIGs input totals 2 5 2 4 22" xfId="34111" xr:uid="{00000000-0005-0000-0000-0000C5860000}"/>
    <cellStyle name="RIGs input totals 2 5 2 4 23" xfId="34112" xr:uid="{00000000-0005-0000-0000-0000C6860000}"/>
    <cellStyle name="RIGs input totals 2 5 2 4 24" xfId="34113" xr:uid="{00000000-0005-0000-0000-0000C7860000}"/>
    <cellStyle name="RIGs input totals 2 5 2 4 25" xfId="34114" xr:uid="{00000000-0005-0000-0000-0000C8860000}"/>
    <cellStyle name="RIGs input totals 2 5 2 4 26" xfId="34115" xr:uid="{00000000-0005-0000-0000-0000C9860000}"/>
    <cellStyle name="RIGs input totals 2 5 2 4 27" xfId="34116" xr:uid="{00000000-0005-0000-0000-0000CA860000}"/>
    <cellStyle name="RIGs input totals 2 5 2 4 28" xfId="34117" xr:uid="{00000000-0005-0000-0000-0000CB860000}"/>
    <cellStyle name="RIGs input totals 2 5 2 4 29" xfId="34118" xr:uid="{00000000-0005-0000-0000-0000CC860000}"/>
    <cellStyle name="RIGs input totals 2 5 2 4 3" xfId="34119" xr:uid="{00000000-0005-0000-0000-0000CD860000}"/>
    <cellStyle name="RIGs input totals 2 5 2 4 30" xfId="34120" xr:uid="{00000000-0005-0000-0000-0000CE860000}"/>
    <cellStyle name="RIGs input totals 2 5 2 4 4" xfId="34121" xr:uid="{00000000-0005-0000-0000-0000CF860000}"/>
    <cellStyle name="RIGs input totals 2 5 2 4 5" xfId="34122" xr:uid="{00000000-0005-0000-0000-0000D0860000}"/>
    <cellStyle name="RIGs input totals 2 5 2 4 6" xfId="34123" xr:uid="{00000000-0005-0000-0000-0000D1860000}"/>
    <cellStyle name="RIGs input totals 2 5 2 4 7" xfId="34124" xr:uid="{00000000-0005-0000-0000-0000D2860000}"/>
    <cellStyle name="RIGs input totals 2 5 2 4 8" xfId="34125" xr:uid="{00000000-0005-0000-0000-0000D3860000}"/>
    <cellStyle name="RIGs input totals 2 5 2 4 9" xfId="34126" xr:uid="{00000000-0005-0000-0000-0000D4860000}"/>
    <cellStyle name="RIGs input totals 2 5 2 5" xfId="34127" xr:uid="{00000000-0005-0000-0000-0000D5860000}"/>
    <cellStyle name="RIGs input totals 2 5 2 5 10" xfId="34128" xr:uid="{00000000-0005-0000-0000-0000D6860000}"/>
    <cellStyle name="RIGs input totals 2 5 2 5 11" xfId="34129" xr:uid="{00000000-0005-0000-0000-0000D7860000}"/>
    <cellStyle name="RIGs input totals 2 5 2 5 12" xfId="34130" xr:uid="{00000000-0005-0000-0000-0000D8860000}"/>
    <cellStyle name="RIGs input totals 2 5 2 5 13" xfId="34131" xr:uid="{00000000-0005-0000-0000-0000D9860000}"/>
    <cellStyle name="RIGs input totals 2 5 2 5 2" xfId="34132" xr:uid="{00000000-0005-0000-0000-0000DA860000}"/>
    <cellStyle name="RIGs input totals 2 5 2 5 3" xfId="34133" xr:uid="{00000000-0005-0000-0000-0000DB860000}"/>
    <cellStyle name="RIGs input totals 2 5 2 5 4" xfId="34134" xr:uid="{00000000-0005-0000-0000-0000DC860000}"/>
    <cellStyle name="RIGs input totals 2 5 2 5 5" xfId="34135" xr:uid="{00000000-0005-0000-0000-0000DD860000}"/>
    <cellStyle name="RIGs input totals 2 5 2 5 6" xfId="34136" xr:uid="{00000000-0005-0000-0000-0000DE860000}"/>
    <cellStyle name="RIGs input totals 2 5 2 5 7" xfId="34137" xr:uid="{00000000-0005-0000-0000-0000DF860000}"/>
    <cellStyle name="RIGs input totals 2 5 2 5 8" xfId="34138" xr:uid="{00000000-0005-0000-0000-0000E0860000}"/>
    <cellStyle name="RIGs input totals 2 5 2 5 9" xfId="34139" xr:uid="{00000000-0005-0000-0000-0000E1860000}"/>
    <cellStyle name="RIGs input totals 2 5 2 6" xfId="34140" xr:uid="{00000000-0005-0000-0000-0000E2860000}"/>
    <cellStyle name="RIGs input totals 2 5 2 7" xfId="34141" xr:uid="{00000000-0005-0000-0000-0000E3860000}"/>
    <cellStyle name="RIGs input totals 2 5 2 8" xfId="34142" xr:uid="{00000000-0005-0000-0000-0000E4860000}"/>
    <cellStyle name="RIGs input totals 2 5 2 9" xfId="34143" xr:uid="{00000000-0005-0000-0000-0000E5860000}"/>
    <cellStyle name="RIGs input totals 2 5 2_4 28 1_Asst_Health_Crit_AllTO_RIIO_20110714pm" xfId="34144" xr:uid="{00000000-0005-0000-0000-0000E6860000}"/>
    <cellStyle name="RIGs input totals 2 5 20" xfId="34145" xr:uid="{00000000-0005-0000-0000-0000E7860000}"/>
    <cellStyle name="RIGs input totals 2 5 21" xfId="34146" xr:uid="{00000000-0005-0000-0000-0000E8860000}"/>
    <cellStyle name="RIGs input totals 2 5 22" xfId="34147" xr:uid="{00000000-0005-0000-0000-0000E9860000}"/>
    <cellStyle name="RIGs input totals 2 5 23" xfId="34148" xr:uid="{00000000-0005-0000-0000-0000EA860000}"/>
    <cellStyle name="RIGs input totals 2 5 24" xfId="34149" xr:uid="{00000000-0005-0000-0000-0000EB860000}"/>
    <cellStyle name="RIGs input totals 2 5 25" xfId="34150" xr:uid="{00000000-0005-0000-0000-0000EC860000}"/>
    <cellStyle name="RIGs input totals 2 5 26" xfId="34151" xr:uid="{00000000-0005-0000-0000-0000ED860000}"/>
    <cellStyle name="RIGs input totals 2 5 27" xfId="34152" xr:uid="{00000000-0005-0000-0000-0000EE860000}"/>
    <cellStyle name="RIGs input totals 2 5 28" xfId="34153" xr:uid="{00000000-0005-0000-0000-0000EF860000}"/>
    <cellStyle name="RIGs input totals 2 5 29" xfId="34154" xr:uid="{00000000-0005-0000-0000-0000F0860000}"/>
    <cellStyle name="RIGs input totals 2 5 3" xfId="34155" xr:uid="{00000000-0005-0000-0000-0000F1860000}"/>
    <cellStyle name="RIGs input totals 2 5 3 10" xfId="34156" xr:uid="{00000000-0005-0000-0000-0000F2860000}"/>
    <cellStyle name="RIGs input totals 2 5 3 11" xfId="34157" xr:uid="{00000000-0005-0000-0000-0000F3860000}"/>
    <cellStyle name="RIGs input totals 2 5 3 12" xfId="34158" xr:uid="{00000000-0005-0000-0000-0000F4860000}"/>
    <cellStyle name="RIGs input totals 2 5 3 13" xfId="34159" xr:uid="{00000000-0005-0000-0000-0000F5860000}"/>
    <cellStyle name="RIGs input totals 2 5 3 14" xfId="34160" xr:uid="{00000000-0005-0000-0000-0000F6860000}"/>
    <cellStyle name="RIGs input totals 2 5 3 15" xfId="34161" xr:uid="{00000000-0005-0000-0000-0000F7860000}"/>
    <cellStyle name="RIGs input totals 2 5 3 16" xfId="34162" xr:uid="{00000000-0005-0000-0000-0000F8860000}"/>
    <cellStyle name="RIGs input totals 2 5 3 17" xfId="34163" xr:uid="{00000000-0005-0000-0000-0000F9860000}"/>
    <cellStyle name="RIGs input totals 2 5 3 18" xfId="34164" xr:uid="{00000000-0005-0000-0000-0000FA860000}"/>
    <cellStyle name="RIGs input totals 2 5 3 19" xfId="34165" xr:uid="{00000000-0005-0000-0000-0000FB860000}"/>
    <cellStyle name="RIGs input totals 2 5 3 2" xfId="34166" xr:uid="{00000000-0005-0000-0000-0000FC860000}"/>
    <cellStyle name="RIGs input totals 2 5 3 2 10" xfId="34167" xr:uid="{00000000-0005-0000-0000-0000FD860000}"/>
    <cellStyle name="RIGs input totals 2 5 3 2 11" xfId="34168" xr:uid="{00000000-0005-0000-0000-0000FE860000}"/>
    <cellStyle name="RIGs input totals 2 5 3 2 12" xfId="34169" xr:uid="{00000000-0005-0000-0000-0000FF860000}"/>
    <cellStyle name="RIGs input totals 2 5 3 2 13" xfId="34170" xr:uid="{00000000-0005-0000-0000-000000870000}"/>
    <cellStyle name="RIGs input totals 2 5 3 2 14" xfId="34171" xr:uid="{00000000-0005-0000-0000-000001870000}"/>
    <cellStyle name="RIGs input totals 2 5 3 2 15" xfId="34172" xr:uid="{00000000-0005-0000-0000-000002870000}"/>
    <cellStyle name="RIGs input totals 2 5 3 2 16" xfId="34173" xr:uid="{00000000-0005-0000-0000-000003870000}"/>
    <cellStyle name="RIGs input totals 2 5 3 2 17" xfId="34174" xr:uid="{00000000-0005-0000-0000-000004870000}"/>
    <cellStyle name="RIGs input totals 2 5 3 2 18" xfId="34175" xr:uid="{00000000-0005-0000-0000-000005870000}"/>
    <cellStyle name="RIGs input totals 2 5 3 2 19" xfId="34176" xr:uid="{00000000-0005-0000-0000-000006870000}"/>
    <cellStyle name="RIGs input totals 2 5 3 2 2" xfId="34177" xr:uid="{00000000-0005-0000-0000-000007870000}"/>
    <cellStyle name="RIGs input totals 2 5 3 2 2 10" xfId="34178" xr:uid="{00000000-0005-0000-0000-000008870000}"/>
    <cellStyle name="RIGs input totals 2 5 3 2 2 11" xfId="34179" xr:uid="{00000000-0005-0000-0000-000009870000}"/>
    <cellStyle name="RIGs input totals 2 5 3 2 2 12" xfId="34180" xr:uid="{00000000-0005-0000-0000-00000A870000}"/>
    <cellStyle name="RIGs input totals 2 5 3 2 2 13" xfId="34181" xr:uid="{00000000-0005-0000-0000-00000B870000}"/>
    <cellStyle name="RIGs input totals 2 5 3 2 2 2" xfId="34182" xr:uid="{00000000-0005-0000-0000-00000C870000}"/>
    <cellStyle name="RIGs input totals 2 5 3 2 2 3" xfId="34183" xr:uid="{00000000-0005-0000-0000-00000D870000}"/>
    <cellStyle name="RIGs input totals 2 5 3 2 2 4" xfId="34184" xr:uid="{00000000-0005-0000-0000-00000E870000}"/>
    <cellStyle name="RIGs input totals 2 5 3 2 2 5" xfId="34185" xr:uid="{00000000-0005-0000-0000-00000F870000}"/>
    <cellStyle name="RIGs input totals 2 5 3 2 2 6" xfId="34186" xr:uid="{00000000-0005-0000-0000-000010870000}"/>
    <cellStyle name="RIGs input totals 2 5 3 2 2 7" xfId="34187" xr:uid="{00000000-0005-0000-0000-000011870000}"/>
    <cellStyle name="RIGs input totals 2 5 3 2 2 8" xfId="34188" xr:uid="{00000000-0005-0000-0000-000012870000}"/>
    <cellStyle name="RIGs input totals 2 5 3 2 2 9" xfId="34189" xr:uid="{00000000-0005-0000-0000-000013870000}"/>
    <cellStyle name="RIGs input totals 2 5 3 2 20" xfId="34190" xr:uid="{00000000-0005-0000-0000-000014870000}"/>
    <cellStyle name="RIGs input totals 2 5 3 2 21" xfId="34191" xr:uid="{00000000-0005-0000-0000-000015870000}"/>
    <cellStyle name="RIGs input totals 2 5 3 2 22" xfId="34192" xr:uid="{00000000-0005-0000-0000-000016870000}"/>
    <cellStyle name="RIGs input totals 2 5 3 2 23" xfId="34193" xr:uid="{00000000-0005-0000-0000-000017870000}"/>
    <cellStyle name="RIGs input totals 2 5 3 2 24" xfId="34194" xr:uid="{00000000-0005-0000-0000-000018870000}"/>
    <cellStyle name="RIGs input totals 2 5 3 2 25" xfId="34195" xr:uid="{00000000-0005-0000-0000-000019870000}"/>
    <cellStyle name="RIGs input totals 2 5 3 2 26" xfId="34196" xr:uid="{00000000-0005-0000-0000-00001A870000}"/>
    <cellStyle name="RIGs input totals 2 5 3 2 27" xfId="34197" xr:uid="{00000000-0005-0000-0000-00001B870000}"/>
    <cellStyle name="RIGs input totals 2 5 3 2 28" xfId="34198" xr:uid="{00000000-0005-0000-0000-00001C870000}"/>
    <cellStyle name="RIGs input totals 2 5 3 2 29" xfId="34199" xr:uid="{00000000-0005-0000-0000-00001D870000}"/>
    <cellStyle name="RIGs input totals 2 5 3 2 3" xfId="34200" xr:uid="{00000000-0005-0000-0000-00001E870000}"/>
    <cellStyle name="RIGs input totals 2 5 3 2 30" xfId="34201" xr:uid="{00000000-0005-0000-0000-00001F870000}"/>
    <cellStyle name="RIGs input totals 2 5 3 2 31" xfId="34202" xr:uid="{00000000-0005-0000-0000-000020870000}"/>
    <cellStyle name="RIGs input totals 2 5 3 2 32" xfId="34203" xr:uid="{00000000-0005-0000-0000-000021870000}"/>
    <cellStyle name="RIGs input totals 2 5 3 2 33" xfId="34204" xr:uid="{00000000-0005-0000-0000-000022870000}"/>
    <cellStyle name="RIGs input totals 2 5 3 2 34" xfId="34205" xr:uid="{00000000-0005-0000-0000-000023870000}"/>
    <cellStyle name="RIGs input totals 2 5 3 2 4" xfId="34206" xr:uid="{00000000-0005-0000-0000-000024870000}"/>
    <cellStyle name="RIGs input totals 2 5 3 2 5" xfId="34207" xr:uid="{00000000-0005-0000-0000-000025870000}"/>
    <cellStyle name="RIGs input totals 2 5 3 2 6" xfId="34208" xr:uid="{00000000-0005-0000-0000-000026870000}"/>
    <cellStyle name="RIGs input totals 2 5 3 2 7" xfId="34209" xr:uid="{00000000-0005-0000-0000-000027870000}"/>
    <cellStyle name="RIGs input totals 2 5 3 2 8" xfId="34210" xr:uid="{00000000-0005-0000-0000-000028870000}"/>
    <cellStyle name="RIGs input totals 2 5 3 2 9" xfId="34211" xr:uid="{00000000-0005-0000-0000-000029870000}"/>
    <cellStyle name="RIGs input totals 2 5 3 20" xfId="34212" xr:uid="{00000000-0005-0000-0000-00002A870000}"/>
    <cellStyle name="RIGs input totals 2 5 3 21" xfId="34213" xr:uid="{00000000-0005-0000-0000-00002B870000}"/>
    <cellStyle name="RIGs input totals 2 5 3 22" xfId="34214" xr:uid="{00000000-0005-0000-0000-00002C870000}"/>
    <cellStyle name="RIGs input totals 2 5 3 23" xfId="34215" xr:uid="{00000000-0005-0000-0000-00002D870000}"/>
    <cellStyle name="RIGs input totals 2 5 3 24" xfId="34216" xr:uid="{00000000-0005-0000-0000-00002E870000}"/>
    <cellStyle name="RIGs input totals 2 5 3 25" xfId="34217" xr:uid="{00000000-0005-0000-0000-00002F870000}"/>
    <cellStyle name="RIGs input totals 2 5 3 26" xfId="34218" xr:uid="{00000000-0005-0000-0000-000030870000}"/>
    <cellStyle name="RIGs input totals 2 5 3 27" xfId="34219" xr:uid="{00000000-0005-0000-0000-000031870000}"/>
    <cellStyle name="RIGs input totals 2 5 3 28" xfId="34220" xr:uid="{00000000-0005-0000-0000-000032870000}"/>
    <cellStyle name="RIGs input totals 2 5 3 29" xfId="34221" xr:uid="{00000000-0005-0000-0000-000033870000}"/>
    <cellStyle name="RIGs input totals 2 5 3 3" xfId="34222" xr:uid="{00000000-0005-0000-0000-000034870000}"/>
    <cellStyle name="RIGs input totals 2 5 3 3 10" xfId="34223" xr:uid="{00000000-0005-0000-0000-000035870000}"/>
    <cellStyle name="RIGs input totals 2 5 3 3 11" xfId="34224" xr:uid="{00000000-0005-0000-0000-000036870000}"/>
    <cellStyle name="RIGs input totals 2 5 3 3 12" xfId="34225" xr:uid="{00000000-0005-0000-0000-000037870000}"/>
    <cellStyle name="RIGs input totals 2 5 3 3 13" xfId="34226" xr:uid="{00000000-0005-0000-0000-000038870000}"/>
    <cellStyle name="RIGs input totals 2 5 3 3 2" xfId="34227" xr:uid="{00000000-0005-0000-0000-000039870000}"/>
    <cellStyle name="RIGs input totals 2 5 3 3 3" xfId="34228" xr:uid="{00000000-0005-0000-0000-00003A870000}"/>
    <cellStyle name="RIGs input totals 2 5 3 3 4" xfId="34229" xr:uid="{00000000-0005-0000-0000-00003B870000}"/>
    <cellStyle name="RIGs input totals 2 5 3 3 5" xfId="34230" xr:uid="{00000000-0005-0000-0000-00003C870000}"/>
    <cellStyle name="RIGs input totals 2 5 3 3 6" xfId="34231" xr:uid="{00000000-0005-0000-0000-00003D870000}"/>
    <cellStyle name="RIGs input totals 2 5 3 3 7" xfId="34232" xr:uid="{00000000-0005-0000-0000-00003E870000}"/>
    <cellStyle name="RIGs input totals 2 5 3 3 8" xfId="34233" xr:uid="{00000000-0005-0000-0000-00003F870000}"/>
    <cellStyle name="RIGs input totals 2 5 3 3 9" xfId="34234" xr:uid="{00000000-0005-0000-0000-000040870000}"/>
    <cellStyle name="RIGs input totals 2 5 3 30" xfId="34235" xr:uid="{00000000-0005-0000-0000-000041870000}"/>
    <cellStyle name="RIGs input totals 2 5 3 31" xfId="34236" xr:uid="{00000000-0005-0000-0000-000042870000}"/>
    <cellStyle name="RIGs input totals 2 5 3 32" xfId="34237" xr:uid="{00000000-0005-0000-0000-000043870000}"/>
    <cellStyle name="RIGs input totals 2 5 3 33" xfId="34238" xr:uid="{00000000-0005-0000-0000-000044870000}"/>
    <cellStyle name="RIGs input totals 2 5 3 34" xfId="34239" xr:uid="{00000000-0005-0000-0000-000045870000}"/>
    <cellStyle name="RIGs input totals 2 5 3 35" xfId="34240" xr:uid="{00000000-0005-0000-0000-000046870000}"/>
    <cellStyle name="RIGs input totals 2 5 3 4" xfId="34241" xr:uid="{00000000-0005-0000-0000-000047870000}"/>
    <cellStyle name="RIGs input totals 2 5 3 5" xfId="34242" xr:uid="{00000000-0005-0000-0000-000048870000}"/>
    <cellStyle name="RIGs input totals 2 5 3 6" xfId="34243" xr:uid="{00000000-0005-0000-0000-000049870000}"/>
    <cellStyle name="RIGs input totals 2 5 3 7" xfId="34244" xr:uid="{00000000-0005-0000-0000-00004A870000}"/>
    <cellStyle name="RIGs input totals 2 5 3 8" xfId="34245" xr:uid="{00000000-0005-0000-0000-00004B870000}"/>
    <cellStyle name="RIGs input totals 2 5 3 9" xfId="34246" xr:uid="{00000000-0005-0000-0000-00004C870000}"/>
    <cellStyle name="RIGs input totals 2 5 3_4 28 1_Asst_Health_Crit_AllTO_RIIO_20110714pm" xfId="34247" xr:uid="{00000000-0005-0000-0000-00004D870000}"/>
    <cellStyle name="RIGs input totals 2 5 30" xfId="34248" xr:uid="{00000000-0005-0000-0000-00004E870000}"/>
    <cellStyle name="RIGs input totals 2 5 31" xfId="34249" xr:uid="{00000000-0005-0000-0000-00004F870000}"/>
    <cellStyle name="RIGs input totals 2 5 32" xfId="34250" xr:uid="{00000000-0005-0000-0000-000050870000}"/>
    <cellStyle name="RIGs input totals 2 5 33" xfId="34251" xr:uid="{00000000-0005-0000-0000-000051870000}"/>
    <cellStyle name="RIGs input totals 2 5 34" xfId="34252" xr:uid="{00000000-0005-0000-0000-000052870000}"/>
    <cellStyle name="RIGs input totals 2 5 35" xfId="34253" xr:uid="{00000000-0005-0000-0000-000053870000}"/>
    <cellStyle name="RIGs input totals 2 5 36" xfId="34254" xr:uid="{00000000-0005-0000-0000-000054870000}"/>
    <cellStyle name="RIGs input totals 2 5 37" xfId="34255" xr:uid="{00000000-0005-0000-0000-000055870000}"/>
    <cellStyle name="RIGs input totals 2 5 38" xfId="34256" xr:uid="{00000000-0005-0000-0000-000056870000}"/>
    <cellStyle name="RIGs input totals 2 5 39" xfId="34257" xr:uid="{00000000-0005-0000-0000-000057870000}"/>
    <cellStyle name="RIGs input totals 2 5 4" xfId="34258" xr:uid="{00000000-0005-0000-0000-000058870000}"/>
    <cellStyle name="RIGs input totals 2 5 4 10" xfId="34259" xr:uid="{00000000-0005-0000-0000-000059870000}"/>
    <cellStyle name="RIGs input totals 2 5 4 11" xfId="34260" xr:uid="{00000000-0005-0000-0000-00005A870000}"/>
    <cellStyle name="RIGs input totals 2 5 4 12" xfId="34261" xr:uid="{00000000-0005-0000-0000-00005B870000}"/>
    <cellStyle name="RIGs input totals 2 5 4 13" xfId="34262" xr:uid="{00000000-0005-0000-0000-00005C870000}"/>
    <cellStyle name="RIGs input totals 2 5 4 14" xfId="34263" xr:uid="{00000000-0005-0000-0000-00005D870000}"/>
    <cellStyle name="RIGs input totals 2 5 4 15" xfId="34264" xr:uid="{00000000-0005-0000-0000-00005E870000}"/>
    <cellStyle name="RIGs input totals 2 5 4 16" xfId="34265" xr:uid="{00000000-0005-0000-0000-00005F870000}"/>
    <cellStyle name="RIGs input totals 2 5 4 17" xfId="34266" xr:uid="{00000000-0005-0000-0000-000060870000}"/>
    <cellStyle name="RIGs input totals 2 5 4 18" xfId="34267" xr:uid="{00000000-0005-0000-0000-000061870000}"/>
    <cellStyle name="RIGs input totals 2 5 4 19" xfId="34268" xr:uid="{00000000-0005-0000-0000-000062870000}"/>
    <cellStyle name="RIGs input totals 2 5 4 2" xfId="34269" xr:uid="{00000000-0005-0000-0000-000063870000}"/>
    <cellStyle name="RIGs input totals 2 5 4 2 10" xfId="34270" xr:uid="{00000000-0005-0000-0000-000064870000}"/>
    <cellStyle name="RIGs input totals 2 5 4 2 11" xfId="34271" xr:uid="{00000000-0005-0000-0000-000065870000}"/>
    <cellStyle name="RIGs input totals 2 5 4 2 12" xfId="34272" xr:uid="{00000000-0005-0000-0000-000066870000}"/>
    <cellStyle name="RIGs input totals 2 5 4 2 13" xfId="34273" xr:uid="{00000000-0005-0000-0000-000067870000}"/>
    <cellStyle name="RIGs input totals 2 5 4 2 2" xfId="34274" xr:uid="{00000000-0005-0000-0000-000068870000}"/>
    <cellStyle name="RIGs input totals 2 5 4 2 3" xfId="34275" xr:uid="{00000000-0005-0000-0000-000069870000}"/>
    <cellStyle name="RIGs input totals 2 5 4 2 4" xfId="34276" xr:uid="{00000000-0005-0000-0000-00006A870000}"/>
    <cellStyle name="RIGs input totals 2 5 4 2 5" xfId="34277" xr:uid="{00000000-0005-0000-0000-00006B870000}"/>
    <cellStyle name="RIGs input totals 2 5 4 2 6" xfId="34278" xr:uid="{00000000-0005-0000-0000-00006C870000}"/>
    <cellStyle name="RIGs input totals 2 5 4 2 7" xfId="34279" xr:uid="{00000000-0005-0000-0000-00006D870000}"/>
    <cellStyle name="RIGs input totals 2 5 4 2 8" xfId="34280" xr:uid="{00000000-0005-0000-0000-00006E870000}"/>
    <cellStyle name="RIGs input totals 2 5 4 2 9" xfId="34281" xr:uid="{00000000-0005-0000-0000-00006F870000}"/>
    <cellStyle name="RIGs input totals 2 5 4 20" xfId="34282" xr:uid="{00000000-0005-0000-0000-000070870000}"/>
    <cellStyle name="RIGs input totals 2 5 4 21" xfId="34283" xr:uid="{00000000-0005-0000-0000-000071870000}"/>
    <cellStyle name="RIGs input totals 2 5 4 22" xfId="34284" xr:uid="{00000000-0005-0000-0000-000072870000}"/>
    <cellStyle name="RIGs input totals 2 5 4 23" xfId="34285" xr:uid="{00000000-0005-0000-0000-000073870000}"/>
    <cellStyle name="RIGs input totals 2 5 4 24" xfId="34286" xr:uid="{00000000-0005-0000-0000-000074870000}"/>
    <cellStyle name="RIGs input totals 2 5 4 25" xfId="34287" xr:uid="{00000000-0005-0000-0000-000075870000}"/>
    <cellStyle name="RIGs input totals 2 5 4 26" xfId="34288" xr:uid="{00000000-0005-0000-0000-000076870000}"/>
    <cellStyle name="RIGs input totals 2 5 4 27" xfId="34289" xr:uid="{00000000-0005-0000-0000-000077870000}"/>
    <cellStyle name="RIGs input totals 2 5 4 28" xfId="34290" xr:uid="{00000000-0005-0000-0000-000078870000}"/>
    <cellStyle name="RIGs input totals 2 5 4 29" xfId="34291" xr:uid="{00000000-0005-0000-0000-000079870000}"/>
    <cellStyle name="RIGs input totals 2 5 4 3" xfId="34292" xr:uid="{00000000-0005-0000-0000-00007A870000}"/>
    <cellStyle name="RIGs input totals 2 5 4 30" xfId="34293" xr:uid="{00000000-0005-0000-0000-00007B870000}"/>
    <cellStyle name="RIGs input totals 2 5 4 31" xfId="34294" xr:uid="{00000000-0005-0000-0000-00007C870000}"/>
    <cellStyle name="RIGs input totals 2 5 4 32" xfId="34295" xr:uid="{00000000-0005-0000-0000-00007D870000}"/>
    <cellStyle name="RIGs input totals 2 5 4 33" xfId="34296" xr:uid="{00000000-0005-0000-0000-00007E870000}"/>
    <cellStyle name="RIGs input totals 2 5 4 34" xfId="34297" xr:uid="{00000000-0005-0000-0000-00007F870000}"/>
    <cellStyle name="RIGs input totals 2 5 4 4" xfId="34298" xr:uid="{00000000-0005-0000-0000-000080870000}"/>
    <cellStyle name="RIGs input totals 2 5 4 5" xfId="34299" xr:uid="{00000000-0005-0000-0000-000081870000}"/>
    <cellStyle name="RIGs input totals 2 5 4 6" xfId="34300" xr:uid="{00000000-0005-0000-0000-000082870000}"/>
    <cellStyle name="RIGs input totals 2 5 4 7" xfId="34301" xr:uid="{00000000-0005-0000-0000-000083870000}"/>
    <cellStyle name="RIGs input totals 2 5 4 8" xfId="34302" xr:uid="{00000000-0005-0000-0000-000084870000}"/>
    <cellStyle name="RIGs input totals 2 5 4 9" xfId="34303" xr:uid="{00000000-0005-0000-0000-000085870000}"/>
    <cellStyle name="RIGs input totals 2 5 5" xfId="34304" xr:uid="{00000000-0005-0000-0000-000086870000}"/>
    <cellStyle name="RIGs input totals 2 5 5 10" xfId="34305" xr:uid="{00000000-0005-0000-0000-000087870000}"/>
    <cellStyle name="RIGs input totals 2 5 5 11" xfId="34306" xr:uid="{00000000-0005-0000-0000-000088870000}"/>
    <cellStyle name="RIGs input totals 2 5 5 12" xfId="34307" xr:uid="{00000000-0005-0000-0000-000089870000}"/>
    <cellStyle name="RIGs input totals 2 5 5 13" xfId="34308" xr:uid="{00000000-0005-0000-0000-00008A870000}"/>
    <cellStyle name="RIGs input totals 2 5 5 14" xfId="34309" xr:uid="{00000000-0005-0000-0000-00008B870000}"/>
    <cellStyle name="RIGs input totals 2 5 5 15" xfId="34310" xr:uid="{00000000-0005-0000-0000-00008C870000}"/>
    <cellStyle name="RIGs input totals 2 5 5 16" xfId="34311" xr:uid="{00000000-0005-0000-0000-00008D870000}"/>
    <cellStyle name="RIGs input totals 2 5 5 17" xfId="34312" xr:uid="{00000000-0005-0000-0000-00008E870000}"/>
    <cellStyle name="RIGs input totals 2 5 5 18" xfId="34313" xr:uid="{00000000-0005-0000-0000-00008F870000}"/>
    <cellStyle name="RIGs input totals 2 5 5 19" xfId="34314" xr:uid="{00000000-0005-0000-0000-000090870000}"/>
    <cellStyle name="RIGs input totals 2 5 5 2" xfId="34315" xr:uid="{00000000-0005-0000-0000-000091870000}"/>
    <cellStyle name="RIGs input totals 2 5 5 2 10" xfId="34316" xr:uid="{00000000-0005-0000-0000-000092870000}"/>
    <cellStyle name="RIGs input totals 2 5 5 2 11" xfId="34317" xr:uid="{00000000-0005-0000-0000-000093870000}"/>
    <cellStyle name="RIGs input totals 2 5 5 2 12" xfId="34318" xr:uid="{00000000-0005-0000-0000-000094870000}"/>
    <cellStyle name="RIGs input totals 2 5 5 2 13" xfId="34319" xr:uid="{00000000-0005-0000-0000-000095870000}"/>
    <cellStyle name="RIGs input totals 2 5 5 2 2" xfId="34320" xr:uid="{00000000-0005-0000-0000-000096870000}"/>
    <cellStyle name="RIGs input totals 2 5 5 2 3" xfId="34321" xr:uid="{00000000-0005-0000-0000-000097870000}"/>
    <cellStyle name="RIGs input totals 2 5 5 2 4" xfId="34322" xr:uid="{00000000-0005-0000-0000-000098870000}"/>
    <cellStyle name="RIGs input totals 2 5 5 2 5" xfId="34323" xr:uid="{00000000-0005-0000-0000-000099870000}"/>
    <cellStyle name="RIGs input totals 2 5 5 2 6" xfId="34324" xr:uid="{00000000-0005-0000-0000-00009A870000}"/>
    <cellStyle name="RIGs input totals 2 5 5 2 7" xfId="34325" xr:uid="{00000000-0005-0000-0000-00009B870000}"/>
    <cellStyle name="RIGs input totals 2 5 5 2 8" xfId="34326" xr:uid="{00000000-0005-0000-0000-00009C870000}"/>
    <cellStyle name="RIGs input totals 2 5 5 2 9" xfId="34327" xr:uid="{00000000-0005-0000-0000-00009D870000}"/>
    <cellStyle name="RIGs input totals 2 5 5 20" xfId="34328" xr:uid="{00000000-0005-0000-0000-00009E870000}"/>
    <cellStyle name="RIGs input totals 2 5 5 21" xfId="34329" xr:uid="{00000000-0005-0000-0000-00009F870000}"/>
    <cellStyle name="RIGs input totals 2 5 5 22" xfId="34330" xr:uid="{00000000-0005-0000-0000-0000A0870000}"/>
    <cellStyle name="RIGs input totals 2 5 5 23" xfId="34331" xr:uid="{00000000-0005-0000-0000-0000A1870000}"/>
    <cellStyle name="RIGs input totals 2 5 5 24" xfId="34332" xr:uid="{00000000-0005-0000-0000-0000A2870000}"/>
    <cellStyle name="RIGs input totals 2 5 5 25" xfId="34333" xr:uid="{00000000-0005-0000-0000-0000A3870000}"/>
    <cellStyle name="RIGs input totals 2 5 5 26" xfId="34334" xr:uid="{00000000-0005-0000-0000-0000A4870000}"/>
    <cellStyle name="RIGs input totals 2 5 5 27" xfId="34335" xr:uid="{00000000-0005-0000-0000-0000A5870000}"/>
    <cellStyle name="RIGs input totals 2 5 5 28" xfId="34336" xr:uid="{00000000-0005-0000-0000-0000A6870000}"/>
    <cellStyle name="RIGs input totals 2 5 5 29" xfId="34337" xr:uid="{00000000-0005-0000-0000-0000A7870000}"/>
    <cellStyle name="RIGs input totals 2 5 5 3" xfId="34338" xr:uid="{00000000-0005-0000-0000-0000A8870000}"/>
    <cellStyle name="RIGs input totals 2 5 5 30" xfId="34339" xr:uid="{00000000-0005-0000-0000-0000A9870000}"/>
    <cellStyle name="RIGs input totals 2 5 5 31" xfId="34340" xr:uid="{00000000-0005-0000-0000-0000AA870000}"/>
    <cellStyle name="RIGs input totals 2 5 5 32" xfId="34341" xr:uid="{00000000-0005-0000-0000-0000AB870000}"/>
    <cellStyle name="RIGs input totals 2 5 5 33" xfId="34342" xr:uid="{00000000-0005-0000-0000-0000AC870000}"/>
    <cellStyle name="RIGs input totals 2 5 5 34" xfId="34343" xr:uid="{00000000-0005-0000-0000-0000AD870000}"/>
    <cellStyle name="RIGs input totals 2 5 5 4" xfId="34344" xr:uid="{00000000-0005-0000-0000-0000AE870000}"/>
    <cellStyle name="RIGs input totals 2 5 5 5" xfId="34345" xr:uid="{00000000-0005-0000-0000-0000AF870000}"/>
    <cellStyle name="RIGs input totals 2 5 5 6" xfId="34346" xr:uid="{00000000-0005-0000-0000-0000B0870000}"/>
    <cellStyle name="RIGs input totals 2 5 5 7" xfId="34347" xr:uid="{00000000-0005-0000-0000-0000B1870000}"/>
    <cellStyle name="RIGs input totals 2 5 5 8" xfId="34348" xr:uid="{00000000-0005-0000-0000-0000B2870000}"/>
    <cellStyle name="RIGs input totals 2 5 5 9" xfId="34349" xr:uid="{00000000-0005-0000-0000-0000B3870000}"/>
    <cellStyle name="RIGs input totals 2 5 6" xfId="34350" xr:uid="{00000000-0005-0000-0000-0000B4870000}"/>
    <cellStyle name="RIGs input totals 2 5 6 10" xfId="34351" xr:uid="{00000000-0005-0000-0000-0000B5870000}"/>
    <cellStyle name="RIGs input totals 2 5 6 11" xfId="34352" xr:uid="{00000000-0005-0000-0000-0000B6870000}"/>
    <cellStyle name="RIGs input totals 2 5 6 12" xfId="34353" xr:uid="{00000000-0005-0000-0000-0000B7870000}"/>
    <cellStyle name="RIGs input totals 2 5 6 13" xfId="34354" xr:uid="{00000000-0005-0000-0000-0000B8870000}"/>
    <cellStyle name="RIGs input totals 2 5 6 2" xfId="34355" xr:uid="{00000000-0005-0000-0000-0000B9870000}"/>
    <cellStyle name="RIGs input totals 2 5 6 3" xfId="34356" xr:uid="{00000000-0005-0000-0000-0000BA870000}"/>
    <cellStyle name="RIGs input totals 2 5 6 4" xfId="34357" xr:uid="{00000000-0005-0000-0000-0000BB870000}"/>
    <cellStyle name="RIGs input totals 2 5 6 5" xfId="34358" xr:uid="{00000000-0005-0000-0000-0000BC870000}"/>
    <cellStyle name="RIGs input totals 2 5 6 6" xfId="34359" xr:uid="{00000000-0005-0000-0000-0000BD870000}"/>
    <cellStyle name="RIGs input totals 2 5 6 7" xfId="34360" xr:uid="{00000000-0005-0000-0000-0000BE870000}"/>
    <cellStyle name="RIGs input totals 2 5 6 8" xfId="34361" xr:uid="{00000000-0005-0000-0000-0000BF870000}"/>
    <cellStyle name="RIGs input totals 2 5 6 9" xfId="34362" xr:uid="{00000000-0005-0000-0000-0000C0870000}"/>
    <cellStyle name="RIGs input totals 2 5 7" xfId="34363" xr:uid="{00000000-0005-0000-0000-0000C1870000}"/>
    <cellStyle name="RIGs input totals 2 5 8" xfId="34364" xr:uid="{00000000-0005-0000-0000-0000C2870000}"/>
    <cellStyle name="RIGs input totals 2 5 9" xfId="34365" xr:uid="{00000000-0005-0000-0000-0000C3870000}"/>
    <cellStyle name="RIGs input totals 2 5_3.15 Additional Data" xfId="42409" xr:uid="{00000000-0005-0000-0000-0000C4870000}"/>
    <cellStyle name="RIGs input totals 2 6" xfId="34366" xr:uid="{00000000-0005-0000-0000-0000C5870000}"/>
    <cellStyle name="RIGs input totals 2 6 10" xfId="34367" xr:uid="{00000000-0005-0000-0000-0000C6870000}"/>
    <cellStyle name="RIGs input totals 2 6 11" xfId="34368" xr:uid="{00000000-0005-0000-0000-0000C7870000}"/>
    <cellStyle name="RIGs input totals 2 6 12" xfId="34369" xr:uid="{00000000-0005-0000-0000-0000C8870000}"/>
    <cellStyle name="RIGs input totals 2 6 13" xfId="34370" xr:uid="{00000000-0005-0000-0000-0000C9870000}"/>
    <cellStyle name="RIGs input totals 2 6 14" xfId="34371" xr:uid="{00000000-0005-0000-0000-0000CA870000}"/>
    <cellStyle name="RIGs input totals 2 6 15" xfId="34372" xr:uid="{00000000-0005-0000-0000-0000CB870000}"/>
    <cellStyle name="RIGs input totals 2 6 16" xfId="34373" xr:uid="{00000000-0005-0000-0000-0000CC870000}"/>
    <cellStyle name="RIGs input totals 2 6 17" xfId="34374" xr:uid="{00000000-0005-0000-0000-0000CD870000}"/>
    <cellStyle name="RIGs input totals 2 6 18" xfId="34375" xr:uid="{00000000-0005-0000-0000-0000CE870000}"/>
    <cellStyle name="RIGs input totals 2 6 19" xfId="34376" xr:uid="{00000000-0005-0000-0000-0000CF870000}"/>
    <cellStyle name="RIGs input totals 2 6 2" xfId="34377" xr:uid="{00000000-0005-0000-0000-0000D0870000}"/>
    <cellStyle name="RIGs input totals 2 6 2 10" xfId="34378" xr:uid="{00000000-0005-0000-0000-0000D1870000}"/>
    <cellStyle name="RIGs input totals 2 6 2 11" xfId="34379" xr:uid="{00000000-0005-0000-0000-0000D2870000}"/>
    <cellStyle name="RIGs input totals 2 6 2 12" xfId="34380" xr:uid="{00000000-0005-0000-0000-0000D3870000}"/>
    <cellStyle name="RIGs input totals 2 6 2 13" xfId="34381" xr:uid="{00000000-0005-0000-0000-0000D4870000}"/>
    <cellStyle name="RIGs input totals 2 6 2 14" xfId="34382" xr:uid="{00000000-0005-0000-0000-0000D5870000}"/>
    <cellStyle name="RIGs input totals 2 6 2 15" xfId="34383" xr:uid="{00000000-0005-0000-0000-0000D6870000}"/>
    <cellStyle name="RIGs input totals 2 6 2 16" xfId="34384" xr:uid="{00000000-0005-0000-0000-0000D7870000}"/>
    <cellStyle name="RIGs input totals 2 6 2 17" xfId="34385" xr:uid="{00000000-0005-0000-0000-0000D8870000}"/>
    <cellStyle name="RIGs input totals 2 6 2 18" xfId="34386" xr:uid="{00000000-0005-0000-0000-0000D9870000}"/>
    <cellStyle name="RIGs input totals 2 6 2 19" xfId="34387" xr:uid="{00000000-0005-0000-0000-0000DA870000}"/>
    <cellStyle name="RIGs input totals 2 6 2 2" xfId="34388" xr:uid="{00000000-0005-0000-0000-0000DB870000}"/>
    <cellStyle name="RIGs input totals 2 6 2 2 10" xfId="34389" xr:uid="{00000000-0005-0000-0000-0000DC870000}"/>
    <cellStyle name="RIGs input totals 2 6 2 2 11" xfId="34390" xr:uid="{00000000-0005-0000-0000-0000DD870000}"/>
    <cellStyle name="RIGs input totals 2 6 2 2 12" xfId="34391" xr:uid="{00000000-0005-0000-0000-0000DE870000}"/>
    <cellStyle name="RIGs input totals 2 6 2 2 13" xfId="34392" xr:uid="{00000000-0005-0000-0000-0000DF870000}"/>
    <cellStyle name="RIGs input totals 2 6 2 2 2" xfId="34393" xr:uid="{00000000-0005-0000-0000-0000E0870000}"/>
    <cellStyle name="RIGs input totals 2 6 2 2 3" xfId="34394" xr:uid="{00000000-0005-0000-0000-0000E1870000}"/>
    <cellStyle name="RIGs input totals 2 6 2 2 4" xfId="34395" xr:uid="{00000000-0005-0000-0000-0000E2870000}"/>
    <cellStyle name="RIGs input totals 2 6 2 2 5" xfId="34396" xr:uid="{00000000-0005-0000-0000-0000E3870000}"/>
    <cellStyle name="RIGs input totals 2 6 2 2 6" xfId="34397" xr:uid="{00000000-0005-0000-0000-0000E4870000}"/>
    <cellStyle name="RIGs input totals 2 6 2 2 7" xfId="34398" xr:uid="{00000000-0005-0000-0000-0000E5870000}"/>
    <cellStyle name="RIGs input totals 2 6 2 2 8" xfId="34399" xr:uid="{00000000-0005-0000-0000-0000E6870000}"/>
    <cellStyle name="RIGs input totals 2 6 2 2 9" xfId="34400" xr:uid="{00000000-0005-0000-0000-0000E7870000}"/>
    <cellStyle name="RIGs input totals 2 6 2 20" xfId="34401" xr:uid="{00000000-0005-0000-0000-0000E8870000}"/>
    <cellStyle name="RIGs input totals 2 6 2 21" xfId="34402" xr:uid="{00000000-0005-0000-0000-0000E9870000}"/>
    <cellStyle name="RIGs input totals 2 6 2 22" xfId="34403" xr:uid="{00000000-0005-0000-0000-0000EA870000}"/>
    <cellStyle name="RIGs input totals 2 6 2 23" xfId="34404" xr:uid="{00000000-0005-0000-0000-0000EB870000}"/>
    <cellStyle name="RIGs input totals 2 6 2 24" xfId="34405" xr:uid="{00000000-0005-0000-0000-0000EC870000}"/>
    <cellStyle name="RIGs input totals 2 6 2 25" xfId="34406" xr:uid="{00000000-0005-0000-0000-0000ED870000}"/>
    <cellStyle name="RIGs input totals 2 6 2 26" xfId="34407" xr:uid="{00000000-0005-0000-0000-0000EE870000}"/>
    <cellStyle name="RIGs input totals 2 6 2 27" xfId="34408" xr:uid="{00000000-0005-0000-0000-0000EF870000}"/>
    <cellStyle name="RIGs input totals 2 6 2 28" xfId="34409" xr:uid="{00000000-0005-0000-0000-0000F0870000}"/>
    <cellStyle name="RIGs input totals 2 6 2 29" xfId="34410" xr:uid="{00000000-0005-0000-0000-0000F1870000}"/>
    <cellStyle name="RIGs input totals 2 6 2 3" xfId="34411" xr:uid="{00000000-0005-0000-0000-0000F2870000}"/>
    <cellStyle name="RIGs input totals 2 6 2 30" xfId="34412" xr:uid="{00000000-0005-0000-0000-0000F3870000}"/>
    <cellStyle name="RIGs input totals 2 6 2 31" xfId="34413" xr:uid="{00000000-0005-0000-0000-0000F4870000}"/>
    <cellStyle name="RIGs input totals 2 6 2 32" xfId="34414" xr:uid="{00000000-0005-0000-0000-0000F5870000}"/>
    <cellStyle name="RIGs input totals 2 6 2 33" xfId="34415" xr:uid="{00000000-0005-0000-0000-0000F6870000}"/>
    <cellStyle name="RIGs input totals 2 6 2 34" xfId="34416" xr:uid="{00000000-0005-0000-0000-0000F7870000}"/>
    <cellStyle name="RIGs input totals 2 6 2 4" xfId="34417" xr:uid="{00000000-0005-0000-0000-0000F8870000}"/>
    <cellStyle name="RIGs input totals 2 6 2 5" xfId="34418" xr:uid="{00000000-0005-0000-0000-0000F9870000}"/>
    <cellStyle name="RIGs input totals 2 6 2 6" xfId="34419" xr:uid="{00000000-0005-0000-0000-0000FA870000}"/>
    <cellStyle name="RIGs input totals 2 6 2 7" xfId="34420" xr:uid="{00000000-0005-0000-0000-0000FB870000}"/>
    <cellStyle name="RIGs input totals 2 6 2 8" xfId="34421" xr:uid="{00000000-0005-0000-0000-0000FC870000}"/>
    <cellStyle name="RIGs input totals 2 6 2 9" xfId="34422" xr:uid="{00000000-0005-0000-0000-0000FD870000}"/>
    <cellStyle name="RIGs input totals 2 6 20" xfId="34423" xr:uid="{00000000-0005-0000-0000-0000FE870000}"/>
    <cellStyle name="RIGs input totals 2 6 21" xfId="34424" xr:uid="{00000000-0005-0000-0000-0000FF870000}"/>
    <cellStyle name="RIGs input totals 2 6 22" xfId="34425" xr:uid="{00000000-0005-0000-0000-000000880000}"/>
    <cellStyle name="RIGs input totals 2 6 23" xfId="34426" xr:uid="{00000000-0005-0000-0000-000001880000}"/>
    <cellStyle name="RIGs input totals 2 6 24" xfId="34427" xr:uid="{00000000-0005-0000-0000-000002880000}"/>
    <cellStyle name="RIGs input totals 2 6 25" xfId="34428" xr:uid="{00000000-0005-0000-0000-000003880000}"/>
    <cellStyle name="RIGs input totals 2 6 26" xfId="34429" xr:uid="{00000000-0005-0000-0000-000004880000}"/>
    <cellStyle name="RIGs input totals 2 6 27" xfId="34430" xr:uid="{00000000-0005-0000-0000-000005880000}"/>
    <cellStyle name="RIGs input totals 2 6 28" xfId="34431" xr:uid="{00000000-0005-0000-0000-000006880000}"/>
    <cellStyle name="RIGs input totals 2 6 29" xfId="34432" xr:uid="{00000000-0005-0000-0000-000007880000}"/>
    <cellStyle name="RIGs input totals 2 6 3" xfId="34433" xr:uid="{00000000-0005-0000-0000-000008880000}"/>
    <cellStyle name="RIGs input totals 2 6 3 10" xfId="34434" xr:uid="{00000000-0005-0000-0000-000009880000}"/>
    <cellStyle name="RIGs input totals 2 6 3 11" xfId="34435" xr:uid="{00000000-0005-0000-0000-00000A880000}"/>
    <cellStyle name="RIGs input totals 2 6 3 12" xfId="34436" xr:uid="{00000000-0005-0000-0000-00000B880000}"/>
    <cellStyle name="RIGs input totals 2 6 3 13" xfId="34437" xr:uid="{00000000-0005-0000-0000-00000C880000}"/>
    <cellStyle name="RIGs input totals 2 6 3 2" xfId="34438" xr:uid="{00000000-0005-0000-0000-00000D880000}"/>
    <cellStyle name="RIGs input totals 2 6 3 3" xfId="34439" xr:uid="{00000000-0005-0000-0000-00000E880000}"/>
    <cellStyle name="RIGs input totals 2 6 3 4" xfId="34440" xr:uid="{00000000-0005-0000-0000-00000F880000}"/>
    <cellStyle name="RIGs input totals 2 6 3 5" xfId="34441" xr:uid="{00000000-0005-0000-0000-000010880000}"/>
    <cellStyle name="RIGs input totals 2 6 3 6" xfId="34442" xr:uid="{00000000-0005-0000-0000-000011880000}"/>
    <cellStyle name="RIGs input totals 2 6 3 7" xfId="34443" xr:uid="{00000000-0005-0000-0000-000012880000}"/>
    <cellStyle name="RIGs input totals 2 6 3 8" xfId="34444" xr:uid="{00000000-0005-0000-0000-000013880000}"/>
    <cellStyle name="RIGs input totals 2 6 3 9" xfId="34445" xr:uid="{00000000-0005-0000-0000-000014880000}"/>
    <cellStyle name="RIGs input totals 2 6 30" xfId="34446" xr:uid="{00000000-0005-0000-0000-000015880000}"/>
    <cellStyle name="RIGs input totals 2 6 31" xfId="34447" xr:uid="{00000000-0005-0000-0000-000016880000}"/>
    <cellStyle name="RIGs input totals 2 6 32" xfId="34448" xr:uid="{00000000-0005-0000-0000-000017880000}"/>
    <cellStyle name="RIGs input totals 2 6 33" xfId="34449" xr:uid="{00000000-0005-0000-0000-000018880000}"/>
    <cellStyle name="RIGs input totals 2 6 34" xfId="34450" xr:uid="{00000000-0005-0000-0000-000019880000}"/>
    <cellStyle name="RIGs input totals 2 6 35" xfId="34451" xr:uid="{00000000-0005-0000-0000-00001A880000}"/>
    <cellStyle name="RIGs input totals 2 6 4" xfId="34452" xr:uid="{00000000-0005-0000-0000-00001B880000}"/>
    <cellStyle name="RIGs input totals 2 6 5" xfId="34453" xr:uid="{00000000-0005-0000-0000-00001C880000}"/>
    <cellStyle name="RIGs input totals 2 6 6" xfId="34454" xr:uid="{00000000-0005-0000-0000-00001D880000}"/>
    <cellStyle name="RIGs input totals 2 6 7" xfId="34455" xr:uid="{00000000-0005-0000-0000-00001E880000}"/>
    <cellStyle name="RIGs input totals 2 6 8" xfId="34456" xr:uid="{00000000-0005-0000-0000-00001F880000}"/>
    <cellStyle name="RIGs input totals 2 6 9" xfId="34457" xr:uid="{00000000-0005-0000-0000-000020880000}"/>
    <cellStyle name="RIGs input totals 2 6_4 28 1_Asst_Health_Crit_AllTO_RIIO_20110714pm" xfId="34458" xr:uid="{00000000-0005-0000-0000-000021880000}"/>
    <cellStyle name="RIGs input totals 2 7" xfId="34459" xr:uid="{00000000-0005-0000-0000-000022880000}"/>
    <cellStyle name="RIGs input totals 2 7 10" xfId="34460" xr:uid="{00000000-0005-0000-0000-000023880000}"/>
    <cellStyle name="RIGs input totals 2 7 11" xfId="34461" xr:uid="{00000000-0005-0000-0000-000024880000}"/>
    <cellStyle name="RIGs input totals 2 7 12" xfId="34462" xr:uid="{00000000-0005-0000-0000-000025880000}"/>
    <cellStyle name="RIGs input totals 2 7 13" xfId="34463" xr:uid="{00000000-0005-0000-0000-000026880000}"/>
    <cellStyle name="RIGs input totals 2 7 14" xfId="34464" xr:uid="{00000000-0005-0000-0000-000027880000}"/>
    <cellStyle name="RIGs input totals 2 7 15" xfId="34465" xr:uid="{00000000-0005-0000-0000-000028880000}"/>
    <cellStyle name="RIGs input totals 2 7 16" xfId="34466" xr:uid="{00000000-0005-0000-0000-000029880000}"/>
    <cellStyle name="RIGs input totals 2 7 17" xfId="34467" xr:uid="{00000000-0005-0000-0000-00002A880000}"/>
    <cellStyle name="RIGs input totals 2 7 18" xfId="34468" xr:uid="{00000000-0005-0000-0000-00002B880000}"/>
    <cellStyle name="RIGs input totals 2 7 19" xfId="34469" xr:uid="{00000000-0005-0000-0000-00002C880000}"/>
    <cellStyle name="RIGs input totals 2 7 2" xfId="34470" xr:uid="{00000000-0005-0000-0000-00002D880000}"/>
    <cellStyle name="RIGs input totals 2 7 2 10" xfId="34471" xr:uid="{00000000-0005-0000-0000-00002E880000}"/>
    <cellStyle name="RIGs input totals 2 7 2 11" xfId="34472" xr:uid="{00000000-0005-0000-0000-00002F880000}"/>
    <cellStyle name="RIGs input totals 2 7 2 12" xfId="34473" xr:uid="{00000000-0005-0000-0000-000030880000}"/>
    <cellStyle name="RIGs input totals 2 7 2 13" xfId="34474" xr:uid="{00000000-0005-0000-0000-000031880000}"/>
    <cellStyle name="RIGs input totals 2 7 2 2" xfId="34475" xr:uid="{00000000-0005-0000-0000-000032880000}"/>
    <cellStyle name="RIGs input totals 2 7 2 3" xfId="34476" xr:uid="{00000000-0005-0000-0000-000033880000}"/>
    <cellStyle name="RIGs input totals 2 7 2 4" xfId="34477" xr:uid="{00000000-0005-0000-0000-000034880000}"/>
    <cellStyle name="RIGs input totals 2 7 2 5" xfId="34478" xr:uid="{00000000-0005-0000-0000-000035880000}"/>
    <cellStyle name="RIGs input totals 2 7 2 6" xfId="34479" xr:uid="{00000000-0005-0000-0000-000036880000}"/>
    <cellStyle name="RIGs input totals 2 7 2 7" xfId="34480" xr:uid="{00000000-0005-0000-0000-000037880000}"/>
    <cellStyle name="RIGs input totals 2 7 2 8" xfId="34481" xr:uid="{00000000-0005-0000-0000-000038880000}"/>
    <cellStyle name="RIGs input totals 2 7 2 9" xfId="34482" xr:uid="{00000000-0005-0000-0000-000039880000}"/>
    <cellStyle name="RIGs input totals 2 7 20" xfId="34483" xr:uid="{00000000-0005-0000-0000-00003A880000}"/>
    <cellStyle name="RIGs input totals 2 7 21" xfId="34484" xr:uid="{00000000-0005-0000-0000-00003B880000}"/>
    <cellStyle name="RIGs input totals 2 7 22" xfId="34485" xr:uid="{00000000-0005-0000-0000-00003C880000}"/>
    <cellStyle name="RIGs input totals 2 7 23" xfId="34486" xr:uid="{00000000-0005-0000-0000-00003D880000}"/>
    <cellStyle name="RIGs input totals 2 7 24" xfId="34487" xr:uid="{00000000-0005-0000-0000-00003E880000}"/>
    <cellStyle name="RIGs input totals 2 7 25" xfId="34488" xr:uid="{00000000-0005-0000-0000-00003F880000}"/>
    <cellStyle name="RIGs input totals 2 7 26" xfId="34489" xr:uid="{00000000-0005-0000-0000-000040880000}"/>
    <cellStyle name="RIGs input totals 2 7 27" xfId="34490" xr:uid="{00000000-0005-0000-0000-000041880000}"/>
    <cellStyle name="RIGs input totals 2 7 28" xfId="34491" xr:uid="{00000000-0005-0000-0000-000042880000}"/>
    <cellStyle name="RIGs input totals 2 7 29" xfId="34492" xr:uid="{00000000-0005-0000-0000-000043880000}"/>
    <cellStyle name="RIGs input totals 2 7 3" xfId="34493" xr:uid="{00000000-0005-0000-0000-000044880000}"/>
    <cellStyle name="RIGs input totals 2 7 30" xfId="34494" xr:uid="{00000000-0005-0000-0000-000045880000}"/>
    <cellStyle name="RIGs input totals 2 7 31" xfId="34495" xr:uid="{00000000-0005-0000-0000-000046880000}"/>
    <cellStyle name="RIGs input totals 2 7 32" xfId="34496" xr:uid="{00000000-0005-0000-0000-000047880000}"/>
    <cellStyle name="RIGs input totals 2 7 33" xfId="34497" xr:uid="{00000000-0005-0000-0000-000048880000}"/>
    <cellStyle name="RIGs input totals 2 7 34" xfId="34498" xr:uid="{00000000-0005-0000-0000-000049880000}"/>
    <cellStyle name="RIGs input totals 2 7 4" xfId="34499" xr:uid="{00000000-0005-0000-0000-00004A880000}"/>
    <cellStyle name="RIGs input totals 2 7 5" xfId="34500" xr:uid="{00000000-0005-0000-0000-00004B880000}"/>
    <cellStyle name="RIGs input totals 2 7 6" xfId="34501" xr:uid="{00000000-0005-0000-0000-00004C880000}"/>
    <cellStyle name="RIGs input totals 2 7 7" xfId="34502" xr:uid="{00000000-0005-0000-0000-00004D880000}"/>
    <cellStyle name="RIGs input totals 2 7 8" xfId="34503" xr:uid="{00000000-0005-0000-0000-00004E880000}"/>
    <cellStyle name="RIGs input totals 2 7 9" xfId="34504" xr:uid="{00000000-0005-0000-0000-00004F880000}"/>
    <cellStyle name="RIGs input totals 2 8" xfId="34505" xr:uid="{00000000-0005-0000-0000-000050880000}"/>
    <cellStyle name="RIGs input totals 2 8 10" xfId="34506" xr:uid="{00000000-0005-0000-0000-000051880000}"/>
    <cellStyle name="RIGs input totals 2 8 11" xfId="34507" xr:uid="{00000000-0005-0000-0000-000052880000}"/>
    <cellStyle name="RIGs input totals 2 8 12" xfId="34508" xr:uid="{00000000-0005-0000-0000-000053880000}"/>
    <cellStyle name="RIGs input totals 2 8 13" xfId="34509" xr:uid="{00000000-0005-0000-0000-000054880000}"/>
    <cellStyle name="RIGs input totals 2 8 14" xfId="34510" xr:uid="{00000000-0005-0000-0000-000055880000}"/>
    <cellStyle name="RIGs input totals 2 8 15" xfId="34511" xr:uid="{00000000-0005-0000-0000-000056880000}"/>
    <cellStyle name="RIGs input totals 2 8 16" xfId="34512" xr:uid="{00000000-0005-0000-0000-000057880000}"/>
    <cellStyle name="RIGs input totals 2 8 17" xfId="34513" xr:uid="{00000000-0005-0000-0000-000058880000}"/>
    <cellStyle name="RIGs input totals 2 8 18" xfId="34514" xr:uid="{00000000-0005-0000-0000-000059880000}"/>
    <cellStyle name="RIGs input totals 2 8 19" xfId="34515" xr:uid="{00000000-0005-0000-0000-00005A880000}"/>
    <cellStyle name="RIGs input totals 2 8 2" xfId="34516" xr:uid="{00000000-0005-0000-0000-00005B880000}"/>
    <cellStyle name="RIGs input totals 2 8 2 10" xfId="34517" xr:uid="{00000000-0005-0000-0000-00005C880000}"/>
    <cellStyle name="RIGs input totals 2 8 2 11" xfId="34518" xr:uid="{00000000-0005-0000-0000-00005D880000}"/>
    <cellStyle name="RIGs input totals 2 8 2 12" xfId="34519" xr:uid="{00000000-0005-0000-0000-00005E880000}"/>
    <cellStyle name="RIGs input totals 2 8 2 13" xfId="34520" xr:uid="{00000000-0005-0000-0000-00005F880000}"/>
    <cellStyle name="RIGs input totals 2 8 2 2" xfId="34521" xr:uid="{00000000-0005-0000-0000-000060880000}"/>
    <cellStyle name="RIGs input totals 2 8 2 3" xfId="34522" xr:uid="{00000000-0005-0000-0000-000061880000}"/>
    <cellStyle name="RIGs input totals 2 8 2 4" xfId="34523" xr:uid="{00000000-0005-0000-0000-000062880000}"/>
    <cellStyle name="RIGs input totals 2 8 2 5" xfId="34524" xr:uid="{00000000-0005-0000-0000-000063880000}"/>
    <cellStyle name="RIGs input totals 2 8 2 6" xfId="34525" xr:uid="{00000000-0005-0000-0000-000064880000}"/>
    <cellStyle name="RIGs input totals 2 8 2 7" xfId="34526" xr:uid="{00000000-0005-0000-0000-000065880000}"/>
    <cellStyle name="RIGs input totals 2 8 2 8" xfId="34527" xr:uid="{00000000-0005-0000-0000-000066880000}"/>
    <cellStyle name="RIGs input totals 2 8 2 9" xfId="34528" xr:uid="{00000000-0005-0000-0000-000067880000}"/>
    <cellStyle name="RIGs input totals 2 8 20" xfId="34529" xr:uid="{00000000-0005-0000-0000-000068880000}"/>
    <cellStyle name="RIGs input totals 2 8 21" xfId="34530" xr:uid="{00000000-0005-0000-0000-000069880000}"/>
    <cellStyle name="RIGs input totals 2 8 22" xfId="34531" xr:uid="{00000000-0005-0000-0000-00006A880000}"/>
    <cellStyle name="RIGs input totals 2 8 23" xfId="34532" xr:uid="{00000000-0005-0000-0000-00006B880000}"/>
    <cellStyle name="RIGs input totals 2 8 24" xfId="34533" xr:uid="{00000000-0005-0000-0000-00006C880000}"/>
    <cellStyle name="RIGs input totals 2 8 25" xfId="34534" xr:uid="{00000000-0005-0000-0000-00006D880000}"/>
    <cellStyle name="RIGs input totals 2 8 26" xfId="34535" xr:uid="{00000000-0005-0000-0000-00006E880000}"/>
    <cellStyle name="RIGs input totals 2 8 27" xfId="34536" xr:uid="{00000000-0005-0000-0000-00006F880000}"/>
    <cellStyle name="RIGs input totals 2 8 28" xfId="34537" xr:uid="{00000000-0005-0000-0000-000070880000}"/>
    <cellStyle name="RIGs input totals 2 8 29" xfId="34538" xr:uid="{00000000-0005-0000-0000-000071880000}"/>
    <cellStyle name="RIGs input totals 2 8 3" xfId="34539" xr:uid="{00000000-0005-0000-0000-000072880000}"/>
    <cellStyle name="RIGs input totals 2 8 30" xfId="34540" xr:uid="{00000000-0005-0000-0000-000073880000}"/>
    <cellStyle name="RIGs input totals 2 8 31" xfId="34541" xr:uid="{00000000-0005-0000-0000-000074880000}"/>
    <cellStyle name="RIGs input totals 2 8 32" xfId="34542" xr:uid="{00000000-0005-0000-0000-000075880000}"/>
    <cellStyle name="RIGs input totals 2 8 33" xfId="34543" xr:uid="{00000000-0005-0000-0000-000076880000}"/>
    <cellStyle name="RIGs input totals 2 8 34" xfId="34544" xr:uid="{00000000-0005-0000-0000-000077880000}"/>
    <cellStyle name="RIGs input totals 2 8 4" xfId="34545" xr:uid="{00000000-0005-0000-0000-000078880000}"/>
    <cellStyle name="RIGs input totals 2 8 5" xfId="34546" xr:uid="{00000000-0005-0000-0000-000079880000}"/>
    <cellStyle name="RIGs input totals 2 8 6" xfId="34547" xr:uid="{00000000-0005-0000-0000-00007A880000}"/>
    <cellStyle name="RIGs input totals 2 8 7" xfId="34548" xr:uid="{00000000-0005-0000-0000-00007B880000}"/>
    <cellStyle name="RIGs input totals 2 8 8" xfId="34549" xr:uid="{00000000-0005-0000-0000-00007C880000}"/>
    <cellStyle name="RIGs input totals 2 8 9" xfId="34550" xr:uid="{00000000-0005-0000-0000-00007D880000}"/>
    <cellStyle name="RIGs input totals 2 9" xfId="34551" xr:uid="{00000000-0005-0000-0000-00007E880000}"/>
    <cellStyle name="RIGs input totals 2 9 10" xfId="34552" xr:uid="{00000000-0005-0000-0000-00007F880000}"/>
    <cellStyle name="RIGs input totals 2 9 11" xfId="34553" xr:uid="{00000000-0005-0000-0000-000080880000}"/>
    <cellStyle name="RIGs input totals 2 9 12" xfId="34554" xr:uid="{00000000-0005-0000-0000-000081880000}"/>
    <cellStyle name="RIGs input totals 2 9 13" xfId="34555" xr:uid="{00000000-0005-0000-0000-000082880000}"/>
    <cellStyle name="RIGs input totals 2 9 14" xfId="34556" xr:uid="{00000000-0005-0000-0000-000083880000}"/>
    <cellStyle name="RIGs input totals 2 9 15" xfId="34557" xr:uid="{00000000-0005-0000-0000-000084880000}"/>
    <cellStyle name="RIGs input totals 2 9 16" xfId="34558" xr:uid="{00000000-0005-0000-0000-000085880000}"/>
    <cellStyle name="RIGs input totals 2 9 17" xfId="34559" xr:uid="{00000000-0005-0000-0000-000086880000}"/>
    <cellStyle name="RIGs input totals 2 9 18" xfId="34560" xr:uid="{00000000-0005-0000-0000-000087880000}"/>
    <cellStyle name="RIGs input totals 2 9 19" xfId="34561" xr:uid="{00000000-0005-0000-0000-000088880000}"/>
    <cellStyle name="RIGs input totals 2 9 2" xfId="34562" xr:uid="{00000000-0005-0000-0000-000089880000}"/>
    <cellStyle name="RIGs input totals 2 9 2 10" xfId="34563" xr:uid="{00000000-0005-0000-0000-00008A880000}"/>
    <cellStyle name="RIGs input totals 2 9 2 11" xfId="34564" xr:uid="{00000000-0005-0000-0000-00008B880000}"/>
    <cellStyle name="RIGs input totals 2 9 2 12" xfId="34565" xr:uid="{00000000-0005-0000-0000-00008C880000}"/>
    <cellStyle name="RIGs input totals 2 9 2 13" xfId="34566" xr:uid="{00000000-0005-0000-0000-00008D880000}"/>
    <cellStyle name="RIGs input totals 2 9 2 2" xfId="34567" xr:uid="{00000000-0005-0000-0000-00008E880000}"/>
    <cellStyle name="RIGs input totals 2 9 2 3" xfId="34568" xr:uid="{00000000-0005-0000-0000-00008F880000}"/>
    <cellStyle name="RIGs input totals 2 9 2 4" xfId="34569" xr:uid="{00000000-0005-0000-0000-000090880000}"/>
    <cellStyle name="RIGs input totals 2 9 2 5" xfId="34570" xr:uid="{00000000-0005-0000-0000-000091880000}"/>
    <cellStyle name="RIGs input totals 2 9 2 6" xfId="34571" xr:uid="{00000000-0005-0000-0000-000092880000}"/>
    <cellStyle name="RIGs input totals 2 9 2 7" xfId="34572" xr:uid="{00000000-0005-0000-0000-000093880000}"/>
    <cellStyle name="RIGs input totals 2 9 2 8" xfId="34573" xr:uid="{00000000-0005-0000-0000-000094880000}"/>
    <cellStyle name="RIGs input totals 2 9 2 9" xfId="34574" xr:uid="{00000000-0005-0000-0000-000095880000}"/>
    <cellStyle name="RIGs input totals 2 9 20" xfId="34575" xr:uid="{00000000-0005-0000-0000-000096880000}"/>
    <cellStyle name="RIGs input totals 2 9 21" xfId="34576" xr:uid="{00000000-0005-0000-0000-000097880000}"/>
    <cellStyle name="RIGs input totals 2 9 22" xfId="34577" xr:uid="{00000000-0005-0000-0000-000098880000}"/>
    <cellStyle name="RIGs input totals 2 9 23" xfId="34578" xr:uid="{00000000-0005-0000-0000-000099880000}"/>
    <cellStyle name="RIGs input totals 2 9 24" xfId="34579" xr:uid="{00000000-0005-0000-0000-00009A880000}"/>
    <cellStyle name="RIGs input totals 2 9 25" xfId="34580" xr:uid="{00000000-0005-0000-0000-00009B880000}"/>
    <cellStyle name="RIGs input totals 2 9 26" xfId="34581" xr:uid="{00000000-0005-0000-0000-00009C880000}"/>
    <cellStyle name="RIGs input totals 2 9 27" xfId="34582" xr:uid="{00000000-0005-0000-0000-00009D880000}"/>
    <cellStyle name="RIGs input totals 2 9 28" xfId="34583" xr:uid="{00000000-0005-0000-0000-00009E880000}"/>
    <cellStyle name="RIGs input totals 2 9 29" xfId="34584" xr:uid="{00000000-0005-0000-0000-00009F880000}"/>
    <cellStyle name="RIGs input totals 2 9 3" xfId="34585" xr:uid="{00000000-0005-0000-0000-0000A0880000}"/>
    <cellStyle name="RIGs input totals 2 9 30" xfId="34586" xr:uid="{00000000-0005-0000-0000-0000A1880000}"/>
    <cellStyle name="RIGs input totals 2 9 31" xfId="34587" xr:uid="{00000000-0005-0000-0000-0000A2880000}"/>
    <cellStyle name="RIGs input totals 2 9 32" xfId="34588" xr:uid="{00000000-0005-0000-0000-0000A3880000}"/>
    <cellStyle name="RIGs input totals 2 9 33" xfId="34589" xr:uid="{00000000-0005-0000-0000-0000A4880000}"/>
    <cellStyle name="RIGs input totals 2 9 34" xfId="34590" xr:uid="{00000000-0005-0000-0000-0000A5880000}"/>
    <cellStyle name="RIGs input totals 2 9 4" xfId="34591" xr:uid="{00000000-0005-0000-0000-0000A6880000}"/>
    <cellStyle name="RIGs input totals 2 9 5" xfId="34592" xr:uid="{00000000-0005-0000-0000-0000A7880000}"/>
    <cellStyle name="RIGs input totals 2 9 6" xfId="34593" xr:uid="{00000000-0005-0000-0000-0000A8880000}"/>
    <cellStyle name="RIGs input totals 2 9 7" xfId="34594" xr:uid="{00000000-0005-0000-0000-0000A9880000}"/>
    <cellStyle name="RIGs input totals 2 9 8" xfId="34595" xr:uid="{00000000-0005-0000-0000-0000AA880000}"/>
    <cellStyle name="RIGs input totals 2 9 9" xfId="34596" xr:uid="{00000000-0005-0000-0000-0000AB880000}"/>
    <cellStyle name="RIGs input totals 2_1.3s Accounting C Costs Scots" xfId="34597" xr:uid="{00000000-0005-0000-0000-0000AC880000}"/>
    <cellStyle name="RIGs input totals 20" xfId="34598" xr:uid="{00000000-0005-0000-0000-0000AD880000}"/>
    <cellStyle name="RIGs input totals 21" xfId="34599" xr:uid="{00000000-0005-0000-0000-0000AE880000}"/>
    <cellStyle name="RIGs input totals 22" xfId="34600" xr:uid="{00000000-0005-0000-0000-0000AF880000}"/>
    <cellStyle name="RIGs input totals 23" xfId="34601" xr:uid="{00000000-0005-0000-0000-0000B0880000}"/>
    <cellStyle name="RIGs input totals 24" xfId="34602" xr:uid="{00000000-0005-0000-0000-0000B1880000}"/>
    <cellStyle name="RIGs input totals 25" xfId="34603" xr:uid="{00000000-0005-0000-0000-0000B2880000}"/>
    <cellStyle name="RIGs input totals 26" xfId="34604" xr:uid="{00000000-0005-0000-0000-0000B3880000}"/>
    <cellStyle name="RIGs input totals 27" xfId="34605" xr:uid="{00000000-0005-0000-0000-0000B4880000}"/>
    <cellStyle name="RIGs input totals 28" xfId="34606" xr:uid="{00000000-0005-0000-0000-0000B5880000}"/>
    <cellStyle name="RIGs input totals 28 2" xfId="34607" xr:uid="{00000000-0005-0000-0000-0000B6880000}"/>
    <cellStyle name="RIGs input totals 29" xfId="34608" xr:uid="{00000000-0005-0000-0000-0000B7880000}"/>
    <cellStyle name="RIGs input totals 3" xfId="34609" xr:uid="{00000000-0005-0000-0000-0000B8880000}"/>
    <cellStyle name="RIGs input totals 3 10" xfId="34610" xr:uid="{00000000-0005-0000-0000-0000B9880000}"/>
    <cellStyle name="RIGs input totals 3 11" xfId="34611" xr:uid="{00000000-0005-0000-0000-0000BA880000}"/>
    <cellStyle name="RIGs input totals 3 12" xfId="34612" xr:uid="{00000000-0005-0000-0000-0000BB880000}"/>
    <cellStyle name="RIGs input totals 3 13" xfId="34613" xr:uid="{00000000-0005-0000-0000-0000BC880000}"/>
    <cellStyle name="RIGs input totals 3 14" xfId="34614" xr:uid="{00000000-0005-0000-0000-0000BD880000}"/>
    <cellStyle name="RIGs input totals 3 15" xfId="34615" xr:uid="{00000000-0005-0000-0000-0000BE880000}"/>
    <cellStyle name="RIGs input totals 3 16" xfId="34616" xr:uid="{00000000-0005-0000-0000-0000BF880000}"/>
    <cellStyle name="RIGs input totals 3 17" xfId="34617" xr:uid="{00000000-0005-0000-0000-0000C0880000}"/>
    <cellStyle name="RIGs input totals 3 18" xfId="34618" xr:uid="{00000000-0005-0000-0000-0000C1880000}"/>
    <cellStyle name="RIGs input totals 3 19" xfId="34619" xr:uid="{00000000-0005-0000-0000-0000C2880000}"/>
    <cellStyle name="RIGs input totals 3 2" xfId="34620" xr:uid="{00000000-0005-0000-0000-0000C3880000}"/>
    <cellStyle name="RIGs input totals 3 2 10" xfId="34621" xr:uid="{00000000-0005-0000-0000-0000C4880000}"/>
    <cellStyle name="RIGs input totals 3 2 11" xfId="34622" xr:uid="{00000000-0005-0000-0000-0000C5880000}"/>
    <cellStyle name="RIGs input totals 3 2 12" xfId="34623" xr:uid="{00000000-0005-0000-0000-0000C6880000}"/>
    <cellStyle name="RIGs input totals 3 2 13" xfId="34624" xr:uid="{00000000-0005-0000-0000-0000C7880000}"/>
    <cellStyle name="RIGs input totals 3 2 14" xfId="34625" xr:uid="{00000000-0005-0000-0000-0000C8880000}"/>
    <cellStyle name="RIGs input totals 3 2 15" xfId="34626" xr:uid="{00000000-0005-0000-0000-0000C9880000}"/>
    <cellStyle name="RIGs input totals 3 2 16" xfId="34627" xr:uid="{00000000-0005-0000-0000-0000CA880000}"/>
    <cellStyle name="RIGs input totals 3 2 17" xfId="34628" xr:uid="{00000000-0005-0000-0000-0000CB880000}"/>
    <cellStyle name="RIGs input totals 3 2 18" xfId="34629" xr:uid="{00000000-0005-0000-0000-0000CC880000}"/>
    <cellStyle name="RIGs input totals 3 2 19" xfId="34630" xr:uid="{00000000-0005-0000-0000-0000CD880000}"/>
    <cellStyle name="RIGs input totals 3 2 2" xfId="34631" xr:uid="{00000000-0005-0000-0000-0000CE880000}"/>
    <cellStyle name="RIGs input totals 3 2 2 10" xfId="34632" xr:uid="{00000000-0005-0000-0000-0000CF880000}"/>
    <cellStyle name="RIGs input totals 3 2 2 11" xfId="34633" xr:uid="{00000000-0005-0000-0000-0000D0880000}"/>
    <cellStyle name="RIGs input totals 3 2 2 12" xfId="34634" xr:uid="{00000000-0005-0000-0000-0000D1880000}"/>
    <cellStyle name="RIGs input totals 3 2 2 13" xfId="34635" xr:uid="{00000000-0005-0000-0000-0000D2880000}"/>
    <cellStyle name="RIGs input totals 3 2 2 14" xfId="34636" xr:uid="{00000000-0005-0000-0000-0000D3880000}"/>
    <cellStyle name="RIGs input totals 3 2 2 15" xfId="34637" xr:uid="{00000000-0005-0000-0000-0000D4880000}"/>
    <cellStyle name="RIGs input totals 3 2 2 16" xfId="34638" xr:uid="{00000000-0005-0000-0000-0000D5880000}"/>
    <cellStyle name="RIGs input totals 3 2 2 17" xfId="34639" xr:uid="{00000000-0005-0000-0000-0000D6880000}"/>
    <cellStyle name="RIGs input totals 3 2 2 18" xfId="34640" xr:uid="{00000000-0005-0000-0000-0000D7880000}"/>
    <cellStyle name="RIGs input totals 3 2 2 19" xfId="34641" xr:uid="{00000000-0005-0000-0000-0000D8880000}"/>
    <cellStyle name="RIGs input totals 3 2 2 2" xfId="34642" xr:uid="{00000000-0005-0000-0000-0000D9880000}"/>
    <cellStyle name="RIGs input totals 3 2 2 2 10" xfId="34643" xr:uid="{00000000-0005-0000-0000-0000DA880000}"/>
    <cellStyle name="RIGs input totals 3 2 2 2 11" xfId="34644" xr:uid="{00000000-0005-0000-0000-0000DB880000}"/>
    <cellStyle name="RIGs input totals 3 2 2 2 12" xfId="34645" xr:uid="{00000000-0005-0000-0000-0000DC880000}"/>
    <cellStyle name="RIGs input totals 3 2 2 2 13" xfId="34646" xr:uid="{00000000-0005-0000-0000-0000DD880000}"/>
    <cellStyle name="RIGs input totals 3 2 2 2 14" xfId="34647" xr:uid="{00000000-0005-0000-0000-0000DE880000}"/>
    <cellStyle name="RIGs input totals 3 2 2 2 15" xfId="34648" xr:uid="{00000000-0005-0000-0000-0000DF880000}"/>
    <cellStyle name="RIGs input totals 3 2 2 2 16" xfId="34649" xr:uid="{00000000-0005-0000-0000-0000E0880000}"/>
    <cellStyle name="RIGs input totals 3 2 2 2 17" xfId="34650" xr:uid="{00000000-0005-0000-0000-0000E1880000}"/>
    <cellStyle name="RIGs input totals 3 2 2 2 18" xfId="34651" xr:uid="{00000000-0005-0000-0000-0000E2880000}"/>
    <cellStyle name="RIGs input totals 3 2 2 2 19" xfId="34652" xr:uid="{00000000-0005-0000-0000-0000E3880000}"/>
    <cellStyle name="RIGs input totals 3 2 2 2 2" xfId="34653" xr:uid="{00000000-0005-0000-0000-0000E4880000}"/>
    <cellStyle name="RIGs input totals 3 2 2 2 2 10" xfId="34654" xr:uid="{00000000-0005-0000-0000-0000E5880000}"/>
    <cellStyle name="RIGs input totals 3 2 2 2 2 11" xfId="34655" xr:uid="{00000000-0005-0000-0000-0000E6880000}"/>
    <cellStyle name="RIGs input totals 3 2 2 2 2 12" xfId="34656" xr:uid="{00000000-0005-0000-0000-0000E7880000}"/>
    <cellStyle name="RIGs input totals 3 2 2 2 2 13" xfId="34657" xr:uid="{00000000-0005-0000-0000-0000E8880000}"/>
    <cellStyle name="RIGs input totals 3 2 2 2 2 2" xfId="34658" xr:uid="{00000000-0005-0000-0000-0000E9880000}"/>
    <cellStyle name="RIGs input totals 3 2 2 2 2 3" xfId="34659" xr:uid="{00000000-0005-0000-0000-0000EA880000}"/>
    <cellStyle name="RIGs input totals 3 2 2 2 2 4" xfId="34660" xr:uid="{00000000-0005-0000-0000-0000EB880000}"/>
    <cellStyle name="RIGs input totals 3 2 2 2 2 5" xfId="34661" xr:uid="{00000000-0005-0000-0000-0000EC880000}"/>
    <cellStyle name="RIGs input totals 3 2 2 2 2 6" xfId="34662" xr:uid="{00000000-0005-0000-0000-0000ED880000}"/>
    <cellStyle name="RIGs input totals 3 2 2 2 2 7" xfId="34663" xr:uid="{00000000-0005-0000-0000-0000EE880000}"/>
    <cellStyle name="RIGs input totals 3 2 2 2 2 8" xfId="34664" xr:uid="{00000000-0005-0000-0000-0000EF880000}"/>
    <cellStyle name="RIGs input totals 3 2 2 2 2 9" xfId="34665" xr:uid="{00000000-0005-0000-0000-0000F0880000}"/>
    <cellStyle name="RIGs input totals 3 2 2 2 20" xfId="34666" xr:uid="{00000000-0005-0000-0000-0000F1880000}"/>
    <cellStyle name="RIGs input totals 3 2 2 2 21" xfId="34667" xr:uid="{00000000-0005-0000-0000-0000F2880000}"/>
    <cellStyle name="RIGs input totals 3 2 2 2 22" xfId="34668" xr:uid="{00000000-0005-0000-0000-0000F3880000}"/>
    <cellStyle name="RIGs input totals 3 2 2 2 23" xfId="34669" xr:uid="{00000000-0005-0000-0000-0000F4880000}"/>
    <cellStyle name="RIGs input totals 3 2 2 2 24" xfId="34670" xr:uid="{00000000-0005-0000-0000-0000F5880000}"/>
    <cellStyle name="RIGs input totals 3 2 2 2 25" xfId="34671" xr:uid="{00000000-0005-0000-0000-0000F6880000}"/>
    <cellStyle name="RIGs input totals 3 2 2 2 26" xfId="34672" xr:uid="{00000000-0005-0000-0000-0000F7880000}"/>
    <cellStyle name="RIGs input totals 3 2 2 2 27" xfId="34673" xr:uid="{00000000-0005-0000-0000-0000F8880000}"/>
    <cellStyle name="RIGs input totals 3 2 2 2 28" xfId="34674" xr:uid="{00000000-0005-0000-0000-0000F9880000}"/>
    <cellStyle name="RIGs input totals 3 2 2 2 29" xfId="34675" xr:uid="{00000000-0005-0000-0000-0000FA880000}"/>
    <cellStyle name="RIGs input totals 3 2 2 2 3" xfId="34676" xr:uid="{00000000-0005-0000-0000-0000FB880000}"/>
    <cellStyle name="RIGs input totals 3 2 2 2 30" xfId="34677" xr:uid="{00000000-0005-0000-0000-0000FC880000}"/>
    <cellStyle name="RIGs input totals 3 2 2 2 31" xfId="34678" xr:uid="{00000000-0005-0000-0000-0000FD880000}"/>
    <cellStyle name="RIGs input totals 3 2 2 2 32" xfId="34679" xr:uid="{00000000-0005-0000-0000-0000FE880000}"/>
    <cellStyle name="RIGs input totals 3 2 2 2 33" xfId="34680" xr:uid="{00000000-0005-0000-0000-0000FF880000}"/>
    <cellStyle name="RIGs input totals 3 2 2 2 34" xfId="34681" xr:uid="{00000000-0005-0000-0000-000000890000}"/>
    <cellStyle name="RIGs input totals 3 2 2 2 4" xfId="34682" xr:uid="{00000000-0005-0000-0000-000001890000}"/>
    <cellStyle name="RIGs input totals 3 2 2 2 5" xfId="34683" xr:uid="{00000000-0005-0000-0000-000002890000}"/>
    <cellStyle name="RIGs input totals 3 2 2 2 6" xfId="34684" xr:uid="{00000000-0005-0000-0000-000003890000}"/>
    <cellStyle name="RIGs input totals 3 2 2 2 7" xfId="34685" xr:uid="{00000000-0005-0000-0000-000004890000}"/>
    <cellStyle name="RIGs input totals 3 2 2 2 8" xfId="34686" xr:uid="{00000000-0005-0000-0000-000005890000}"/>
    <cellStyle name="RIGs input totals 3 2 2 2 9" xfId="34687" xr:uid="{00000000-0005-0000-0000-000006890000}"/>
    <cellStyle name="RIGs input totals 3 2 2 20" xfId="34688" xr:uid="{00000000-0005-0000-0000-000007890000}"/>
    <cellStyle name="RIGs input totals 3 2 2 21" xfId="34689" xr:uid="{00000000-0005-0000-0000-000008890000}"/>
    <cellStyle name="RIGs input totals 3 2 2 22" xfId="34690" xr:uid="{00000000-0005-0000-0000-000009890000}"/>
    <cellStyle name="RIGs input totals 3 2 2 23" xfId="34691" xr:uid="{00000000-0005-0000-0000-00000A890000}"/>
    <cellStyle name="RIGs input totals 3 2 2 24" xfId="34692" xr:uid="{00000000-0005-0000-0000-00000B890000}"/>
    <cellStyle name="RIGs input totals 3 2 2 25" xfId="34693" xr:uid="{00000000-0005-0000-0000-00000C890000}"/>
    <cellStyle name="RIGs input totals 3 2 2 26" xfId="34694" xr:uid="{00000000-0005-0000-0000-00000D890000}"/>
    <cellStyle name="RIGs input totals 3 2 2 27" xfId="34695" xr:uid="{00000000-0005-0000-0000-00000E890000}"/>
    <cellStyle name="RIGs input totals 3 2 2 28" xfId="34696" xr:uid="{00000000-0005-0000-0000-00000F890000}"/>
    <cellStyle name="RIGs input totals 3 2 2 29" xfId="34697" xr:uid="{00000000-0005-0000-0000-000010890000}"/>
    <cellStyle name="RIGs input totals 3 2 2 3" xfId="34698" xr:uid="{00000000-0005-0000-0000-000011890000}"/>
    <cellStyle name="RIGs input totals 3 2 2 3 10" xfId="34699" xr:uid="{00000000-0005-0000-0000-000012890000}"/>
    <cellStyle name="RIGs input totals 3 2 2 3 11" xfId="34700" xr:uid="{00000000-0005-0000-0000-000013890000}"/>
    <cellStyle name="RIGs input totals 3 2 2 3 12" xfId="34701" xr:uid="{00000000-0005-0000-0000-000014890000}"/>
    <cellStyle name="RIGs input totals 3 2 2 3 13" xfId="34702" xr:uid="{00000000-0005-0000-0000-000015890000}"/>
    <cellStyle name="RIGs input totals 3 2 2 3 2" xfId="34703" xr:uid="{00000000-0005-0000-0000-000016890000}"/>
    <cellStyle name="RIGs input totals 3 2 2 3 3" xfId="34704" xr:uid="{00000000-0005-0000-0000-000017890000}"/>
    <cellStyle name="RIGs input totals 3 2 2 3 4" xfId="34705" xr:uid="{00000000-0005-0000-0000-000018890000}"/>
    <cellStyle name="RIGs input totals 3 2 2 3 5" xfId="34706" xr:uid="{00000000-0005-0000-0000-000019890000}"/>
    <cellStyle name="RIGs input totals 3 2 2 3 6" xfId="34707" xr:uid="{00000000-0005-0000-0000-00001A890000}"/>
    <cellStyle name="RIGs input totals 3 2 2 3 7" xfId="34708" xr:uid="{00000000-0005-0000-0000-00001B890000}"/>
    <cellStyle name="RIGs input totals 3 2 2 3 8" xfId="34709" xr:uid="{00000000-0005-0000-0000-00001C890000}"/>
    <cellStyle name="RIGs input totals 3 2 2 3 9" xfId="34710" xr:uid="{00000000-0005-0000-0000-00001D890000}"/>
    <cellStyle name="RIGs input totals 3 2 2 30" xfId="34711" xr:uid="{00000000-0005-0000-0000-00001E890000}"/>
    <cellStyle name="RIGs input totals 3 2 2 31" xfId="34712" xr:uid="{00000000-0005-0000-0000-00001F890000}"/>
    <cellStyle name="RIGs input totals 3 2 2 32" xfId="34713" xr:uid="{00000000-0005-0000-0000-000020890000}"/>
    <cellStyle name="RIGs input totals 3 2 2 33" xfId="34714" xr:uid="{00000000-0005-0000-0000-000021890000}"/>
    <cellStyle name="RIGs input totals 3 2 2 34" xfId="34715" xr:uid="{00000000-0005-0000-0000-000022890000}"/>
    <cellStyle name="RIGs input totals 3 2 2 35" xfId="34716" xr:uid="{00000000-0005-0000-0000-000023890000}"/>
    <cellStyle name="RIGs input totals 3 2 2 4" xfId="34717" xr:uid="{00000000-0005-0000-0000-000024890000}"/>
    <cellStyle name="RIGs input totals 3 2 2 5" xfId="34718" xr:uid="{00000000-0005-0000-0000-000025890000}"/>
    <cellStyle name="RIGs input totals 3 2 2 6" xfId="34719" xr:uid="{00000000-0005-0000-0000-000026890000}"/>
    <cellStyle name="RIGs input totals 3 2 2 7" xfId="34720" xr:uid="{00000000-0005-0000-0000-000027890000}"/>
    <cellStyle name="RIGs input totals 3 2 2 8" xfId="34721" xr:uid="{00000000-0005-0000-0000-000028890000}"/>
    <cellStyle name="RIGs input totals 3 2 2 9" xfId="34722" xr:uid="{00000000-0005-0000-0000-000029890000}"/>
    <cellStyle name="RIGs input totals 3 2 2_4 28 1_Asst_Health_Crit_AllTO_RIIO_20110714pm" xfId="34723" xr:uid="{00000000-0005-0000-0000-00002A890000}"/>
    <cellStyle name="RIGs input totals 3 2 20" xfId="34724" xr:uid="{00000000-0005-0000-0000-00002B890000}"/>
    <cellStyle name="RIGs input totals 3 2 21" xfId="34725" xr:uid="{00000000-0005-0000-0000-00002C890000}"/>
    <cellStyle name="RIGs input totals 3 2 22" xfId="34726" xr:uid="{00000000-0005-0000-0000-00002D890000}"/>
    <cellStyle name="RIGs input totals 3 2 23" xfId="34727" xr:uid="{00000000-0005-0000-0000-00002E890000}"/>
    <cellStyle name="RIGs input totals 3 2 24" xfId="34728" xr:uid="{00000000-0005-0000-0000-00002F890000}"/>
    <cellStyle name="RIGs input totals 3 2 25" xfId="34729" xr:uid="{00000000-0005-0000-0000-000030890000}"/>
    <cellStyle name="RIGs input totals 3 2 26" xfId="34730" xr:uid="{00000000-0005-0000-0000-000031890000}"/>
    <cellStyle name="RIGs input totals 3 2 27" xfId="34731" xr:uid="{00000000-0005-0000-0000-000032890000}"/>
    <cellStyle name="RIGs input totals 3 2 28" xfId="34732" xr:uid="{00000000-0005-0000-0000-000033890000}"/>
    <cellStyle name="RIGs input totals 3 2 29" xfId="34733" xr:uid="{00000000-0005-0000-0000-000034890000}"/>
    <cellStyle name="RIGs input totals 3 2 3" xfId="34734" xr:uid="{00000000-0005-0000-0000-000035890000}"/>
    <cellStyle name="RIGs input totals 3 2 3 10" xfId="34735" xr:uid="{00000000-0005-0000-0000-000036890000}"/>
    <cellStyle name="RIGs input totals 3 2 3 11" xfId="34736" xr:uid="{00000000-0005-0000-0000-000037890000}"/>
    <cellStyle name="RIGs input totals 3 2 3 12" xfId="34737" xr:uid="{00000000-0005-0000-0000-000038890000}"/>
    <cellStyle name="RIGs input totals 3 2 3 13" xfId="34738" xr:uid="{00000000-0005-0000-0000-000039890000}"/>
    <cellStyle name="RIGs input totals 3 2 3 14" xfId="34739" xr:uid="{00000000-0005-0000-0000-00003A890000}"/>
    <cellStyle name="RIGs input totals 3 2 3 15" xfId="34740" xr:uid="{00000000-0005-0000-0000-00003B890000}"/>
    <cellStyle name="RIGs input totals 3 2 3 16" xfId="34741" xr:uid="{00000000-0005-0000-0000-00003C890000}"/>
    <cellStyle name="RIGs input totals 3 2 3 17" xfId="34742" xr:uid="{00000000-0005-0000-0000-00003D890000}"/>
    <cellStyle name="RIGs input totals 3 2 3 18" xfId="34743" xr:uid="{00000000-0005-0000-0000-00003E890000}"/>
    <cellStyle name="RIGs input totals 3 2 3 19" xfId="34744" xr:uid="{00000000-0005-0000-0000-00003F890000}"/>
    <cellStyle name="RIGs input totals 3 2 3 2" xfId="34745" xr:uid="{00000000-0005-0000-0000-000040890000}"/>
    <cellStyle name="RIGs input totals 3 2 3 2 10" xfId="34746" xr:uid="{00000000-0005-0000-0000-000041890000}"/>
    <cellStyle name="RIGs input totals 3 2 3 2 11" xfId="34747" xr:uid="{00000000-0005-0000-0000-000042890000}"/>
    <cellStyle name="RIGs input totals 3 2 3 2 12" xfId="34748" xr:uid="{00000000-0005-0000-0000-000043890000}"/>
    <cellStyle name="RIGs input totals 3 2 3 2 13" xfId="34749" xr:uid="{00000000-0005-0000-0000-000044890000}"/>
    <cellStyle name="RIGs input totals 3 2 3 2 2" xfId="34750" xr:uid="{00000000-0005-0000-0000-000045890000}"/>
    <cellStyle name="RIGs input totals 3 2 3 2 3" xfId="34751" xr:uid="{00000000-0005-0000-0000-000046890000}"/>
    <cellStyle name="RIGs input totals 3 2 3 2 4" xfId="34752" xr:uid="{00000000-0005-0000-0000-000047890000}"/>
    <cellStyle name="RIGs input totals 3 2 3 2 5" xfId="34753" xr:uid="{00000000-0005-0000-0000-000048890000}"/>
    <cellStyle name="RIGs input totals 3 2 3 2 6" xfId="34754" xr:uid="{00000000-0005-0000-0000-000049890000}"/>
    <cellStyle name="RIGs input totals 3 2 3 2 7" xfId="34755" xr:uid="{00000000-0005-0000-0000-00004A890000}"/>
    <cellStyle name="RIGs input totals 3 2 3 2 8" xfId="34756" xr:uid="{00000000-0005-0000-0000-00004B890000}"/>
    <cellStyle name="RIGs input totals 3 2 3 2 9" xfId="34757" xr:uid="{00000000-0005-0000-0000-00004C890000}"/>
    <cellStyle name="RIGs input totals 3 2 3 20" xfId="34758" xr:uid="{00000000-0005-0000-0000-00004D890000}"/>
    <cellStyle name="RIGs input totals 3 2 3 21" xfId="34759" xr:uid="{00000000-0005-0000-0000-00004E890000}"/>
    <cellStyle name="RIGs input totals 3 2 3 22" xfId="34760" xr:uid="{00000000-0005-0000-0000-00004F890000}"/>
    <cellStyle name="RIGs input totals 3 2 3 23" xfId="34761" xr:uid="{00000000-0005-0000-0000-000050890000}"/>
    <cellStyle name="RIGs input totals 3 2 3 24" xfId="34762" xr:uid="{00000000-0005-0000-0000-000051890000}"/>
    <cellStyle name="RIGs input totals 3 2 3 25" xfId="34763" xr:uid="{00000000-0005-0000-0000-000052890000}"/>
    <cellStyle name="RIGs input totals 3 2 3 26" xfId="34764" xr:uid="{00000000-0005-0000-0000-000053890000}"/>
    <cellStyle name="RIGs input totals 3 2 3 27" xfId="34765" xr:uid="{00000000-0005-0000-0000-000054890000}"/>
    <cellStyle name="RIGs input totals 3 2 3 28" xfId="34766" xr:uid="{00000000-0005-0000-0000-000055890000}"/>
    <cellStyle name="RIGs input totals 3 2 3 29" xfId="34767" xr:uid="{00000000-0005-0000-0000-000056890000}"/>
    <cellStyle name="RIGs input totals 3 2 3 3" xfId="34768" xr:uid="{00000000-0005-0000-0000-000057890000}"/>
    <cellStyle name="RIGs input totals 3 2 3 30" xfId="34769" xr:uid="{00000000-0005-0000-0000-000058890000}"/>
    <cellStyle name="RIGs input totals 3 2 3 31" xfId="34770" xr:uid="{00000000-0005-0000-0000-000059890000}"/>
    <cellStyle name="RIGs input totals 3 2 3 32" xfId="34771" xr:uid="{00000000-0005-0000-0000-00005A890000}"/>
    <cellStyle name="RIGs input totals 3 2 3 33" xfId="34772" xr:uid="{00000000-0005-0000-0000-00005B890000}"/>
    <cellStyle name="RIGs input totals 3 2 3 34" xfId="34773" xr:uid="{00000000-0005-0000-0000-00005C890000}"/>
    <cellStyle name="RIGs input totals 3 2 3 4" xfId="34774" xr:uid="{00000000-0005-0000-0000-00005D890000}"/>
    <cellStyle name="RIGs input totals 3 2 3 5" xfId="34775" xr:uid="{00000000-0005-0000-0000-00005E890000}"/>
    <cellStyle name="RIGs input totals 3 2 3 6" xfId="34776" xr:uid="{00000000-0005-0000-0000-00005F890000}"/>
    <cellStyle name="RIGs input totals 3 2 3 7" xfId="34777" xr:uid="{00000000-0005-0000-0000-000060890000}"/>
    <cellStyle name="RIGs input totals 3 2 3 8" xfId="34778" xr:uid="{00000000-0005-0000-0000-000061890000}"/>
    <cellStyle name="RIGs input totals 3 2 3 9" xfId="34779" xr:uid="{00000000-0005-0000-0000-000062890000}"/>
    <cellStyle name="RIGs input totals 3 2 30" xfId="34780" xr:uid="{00000000-0005-0000-0000-000063890000}"/>
    <cellStyle name="RIGs input totals 3 2 31" xfId="34781" xr:uid="{00000000-0005-0000-0000-000064890000}"/>
    <cellStyle name="RIGs input totals 3 2 32" xfId="34782" xr:uid="{00000000-0005-0000-0000-000065890000}"/>
    <cellStyle name="RIGs input totals 3 2 33" xfId="34783" xr:uid="{00000000-0005-0000-0000-000066890000}"/>
    <cellStyle name="RIGs input totals 3 2 34" xfId="34784" xr:uid="{00000000-0005-0000-0000-000067890000}"/>
    <cellStyle name="RIGs input totals 3 2 35" xfId="34785" xr:uid="{00000000-0005-0000-0000-000068890000}"/>
    <cellStyle name="RIGs input totals 3 2 36" xfId="34786" xr:uid="{00000000-0005-0000-0000-000069890000}"/>
    <cellStyle name="RIGs input totals 3 2 37" xfId="34787" xr:uid="{00000000-0005-0000-0000-00006A890000}"/>
    <cellStyle name="RIGs input totals 3 2 38" xfId="34788" xr:uid="{00000000-0005-0000-0000-00006B890000}"/>
    <cellStyle name="RIGs input totals 3 2 4" xfId="34789" xr:uid="{00000000-0005-0000-0000-00006C890000}"/>
    <cellStyle name="RIGs input totals 3 2 4 10" xfId="34790" xr:uid="{00000000-0005-0000-0000-00006D890000}"/>
    <cellStyle name="RIGs input totals 3 2 4 11" xfId="34791" xr:uid="{00000000-0005-0000-0000-00006E890000}"/>
    <cellStyle name="RIGs input totals 3 2 4 12" xfId="34792" xr:uid="{00000000-0005-0000-0000-00006F890000}"/>
    <cellStyle name="RIGs input totals 3 2 4 13" xfId="34793" xr:uid="{00000000-0005-0000-0000-000070890000}"/>
    <cellStyle name="RIGs input totals 3 2 4 14" xfId="34794" xr:uid="{00000000-0005-0000-0000-000071890000}"/>
    <cellStyle name="RIGs input totals 3 2 4 15" xfId="34795" xr:uid="{00000000-0005-0000-0000-000072890000}"/>
    <cellStyle name="RIGs input totals 3 2 4 16" xfId="34796" xr:uid="{00000000-0005-0000-0000-000073890000}"/>
    <cellStyle name="RIGs input totals 3 2 4 17" xfId="34797" xr:uid="{00000000-0005-0000-0000-000074890000}"/>
    <cellStyle name="RIGs input totals 3 2 4 18" xfId="34798" xr:uid="{00000000-0005-0000-0000-000075890000}"/>
    <cellStyle name="RIGs input totals 3 2 4 19" xfId="34799" xr:uid="{00000000-0005-0000-0000-000076890000}"/>
    <cellStyle name="RIGs input totals 3 2 4 2" xfId="34800" xr:uid="{00000000-0005-0000-0000-000077890000}"/>
    <cellStyle name="RIGs input totals 3 2 4 2 10" xfId="34801" xr:uid="{00000000-0005-0000-0000-000078890000}"/>
    <cellStyle name="RIGs input totals 3 2 4 2 11" xfId="34802" xr:uid="{00000000-0005-0000-0000-000079890000}"/>
    <cellStyle name="RIGs input totals 3 2 4 2 12" xfId="34803" xr:uid="{00000000-0005-0000-0000-00007A890000}"/>
    <cellStyle name="RIGs input totals 3 2 4 2 13" xfId="34804" xr:uid="{00000000-0005-0000-0000-00007B890000}"/>
    <cellStyle name="RIGs input totals 3 2 4 2 2" xfId="34805" xr:uid="{00000000-0005-0000-0000-00007C890000}"/>
    <cellStyle name="RIGs input totals 3 2 4 2 3" xfId="34806" xr:uid="{00000000-0005-0000-0000-00007D890000}"/>
    <cellStyle name="RIGs input totals 3 2 4 2 4" xfId="34807" xr:uid="{00000000-0005-0000-0000-00007E890000}"/>
    <cellStyle name="RIGs input totals 3 2 4 2 5" xfId="34808" xr:uid="{00000000-0005-0000-0000-00007F890000}"/>
    <cellStyle name="RIGs input totals 3 2 4 2 6" xfId="34809" xr:uid="{00000000-0005-0000-0000-000080890000}"/>
    <cellStyle name="RIGs input totals 3 2 4 2 7" xfId="34810" xr:uid="{00000000-0005-0000-0000-000081890000}"/>
    <cellStyle name="RIGs input totals 3 2 4 2 8" xfId="34811" xr:uid="{00000000-0005-0000-0000-000082890000}"/>
    <cellStyle name="RIGs input totals 3 2 4 2 9" xfId="34812" xr:uid="{00000000-0005-0000-0000-000083890000}"/>
    <cellStyle name="RIGs input totals 3 2 4 20" xfId="34813" xr:uid="{00000000-0005-0000-0000-000084890000}"/>
    <cellStyle name="RIGs input totals 3 2 4 21" xfId="34814" xr:uid="{00000000-0005-0000-0000-000085890000}"/>
    <cellStyle name="RIGs input totals 3 2 4 22" xfId="34815" xr:uid="{00000000-0005-0000-0000-000086890000}"/>
    <cellStyle name="RIGs input totals 3 2 4 23" xfId="34816" xr:uid="{00000000-0005-0000-0000-000087890000}"/>
    <cellStyle name="RIGs input totals 3 2 4 24" xfId="34817" xr:uid="{00000000-0005-0000-0000-000088890000}"/>
    <cellStyle name="RIGs input totals 3 2 4 25" xfId="34818" xr:uid="{00000000-0005-0000-0000-000089890000}"/>
    <cellStyle name="RIGs input totals 3 2 4 26" xfId="34819" xr:uid="{00000000-0005-0000-0000-00008A890000}"/>
    <cellStyle name="RIGs input totals 3 2 4 27" xfId="34820" xr:uid="{00000000-0005-0000-0000-00008B890000}"/>
    <cellStyle name="RIGs input totals 3 2 4 28" xfId="34821" xr:uid="{00000000-0005-0000-0000-00008C890000}"/>
    <cellStyle name="RIGs input totals 3 2 4 29" xfId="34822" xr:uid="{00000000-0005-0000-0000-00008D890000}"/>
    <cellStyle name="RIGs input totals 3 2 4 3" xfId="34823" xr:uid="{00000000-0005-0000-0000-00008E890000}"/>
    <cellStyle name="RIGs input totals 3 2 4 30" xfId="34824" xr:uid="{00000000-0005-0000-0000-00008F890000}"/>
    <cellStyle name="RIGs input totals 3 2 4 31" xfId="34825" xr:uid="{00000000-0005-0000-0000-000090890000}"/>
    <cellStyle name="RIGs input totals 3 2 4 32" xfId="34826" xr:uid="{00000000-0005-0000-0000-000091890000}"/>
    <cellStyle name="RIGs input totals 3 2 4 33" xfId="34827" xr:uid="{00000000-0005-0000-0000-000092890000}"/>
    <cellStyle name="RIGs input totals 3 2 4 34" xfId="34828" xr:uid="{00000000-0005-0000-0000-000093890000}"/>
    <cellStyle name="RIGs input totals 3 2 4 4" xfId="34829" xr:uid="{00000000-0005-0000-0000-000094890000}"/>
    <cellStyle name="RIGs input totals 3 2 4 5" xfId="34830" xr:uid="{00000000-0005-0000-0000-000095890000}"/>
    <cellStyle name="RIGs input totals 3 2 4 6" xfId="34831" xr:uid="{00000000-0005-0000-0000-000096890000}"/>
    <cellStyle name="RIGs input totals 3 2 4 7" xfId="34832" xr:uid="{00000000-0005-0000-0000-000097890000}"/>
    <cellStyle name="RIGs input totals 3 2 4 8" xfId="34833" xr:uid="{00000000-0005-0000-0000-000098890000}"/>
    <cellStyle name="RIGs input totals 3 2 4 9" xfId="34834" xr:uid="{00000000-0005-0000-0000-000099890000}"/>
    <cellStyle name="RIGs input totals 3 2 5" xfId="34835" xr:uid="{00000000-0005-0000-0000-00009A890000}"/>
    <cellStyle name="RIGs input totals 3 2 5 10" xfId="34836" xr:uid="{00000000-0005-0000-0000-00009B890000}"/>
    <cellStyle name="RIGs input totals 3 2 5 11" xfId="34837" xr:uid="{00000000-0005-0000-0000-00009C890000}"/>
    <cellStyle name="RIGs input totals 3 2 5 12" xfId="34838" xr:uid="{00000000-0005-0000-0000-00009D890000}"/>
    <cellStyle name="RIGs input totals 3 2 5 13" xfId="34839" xr:uid="{00000000-0005-0000-0000-00009E890000}"/>
    <cellStyle name="RIGs input totals 3 2 5 2" xfId="34840" xr:uid="{00000000-0005-0000-0000-00009F890000}"/>
    <cellStyle name="RIGs input totals 3 2 5 3" xfId="34841" xr:uid="{00000000-0005-0000-0000-0000A0890000}"/>
    <cellStyle name="RIGs input totals 3 2 5 4" xfId="34842" xr:uid="{00000000-0005-0000-0000-0000A1890000}"/>
    <cellStyle name="RIGs input totals 3 2 5 5" xfId="34843" xr:uid="{00000000-0005-0000-0000-0000A2890000}"/>
    <cellStyle name="RIGs input totals 3 2 5 6" xfId="34844" xr:uid="{00000000-0005-0000-0000-0000A3890000}"/>
    <cellStyle name="RIGs input totals 3 2 5 7" xfId="34845" xr:uid="{00000000-0005-0000-0000-0000A4890000}"/>
    <cellStyle name="RIGs input totals 3 2 5 8" xfId="34846" xr:uid="{00000000-0005-0000-0000-0000A5890000}"/>
    <cellStyle name="RIGs input totals 3 2 5 9" xfId="34847" xr:uid="{00000000-0005-0000-0000-0000A6890000}"/>
    <cellStyle name="RIGs input totals 3 2 6" xfId="34848" xr:uid="{00000000-0005-0000-0000-0000A7890000}"/>
    <cellStyle name="RIGs input totals 3 2 7" xfId="34849" xr:uid="{00000000-0005-0000-0000-0000A8890000}"/>
    <cellStyle name="RIGs input totals 3 2 8" xfId="34850" xr:uid="{00000000-0005-0000-0000-0000A9890000}"/>
    <cellStyle name="RIGs input totals 3 2 9" xfId="34851" xr:uid="{00000000-0005-0000-0000-0000AA890000}"/>
    <cellStyle name="RIGs input totals 3 2_4 28 1_Asst_Health_Crit_AllTO_RIIO_20110714pm" xfId="34852" xr:uid="{00000000-0005-0000-0000-0000AB890000}"/>
    <cellStyle name="RIGs input totals 3 20" xfId="34853" xr:uid="{00000000-0005-0000-0000-0000AC890000}"/>
    <cellStyle name="RIGs input totals 3 21" xfId="34854" xr:uid="{00000000-0005-0000-0000-0000AD890000}"/>
    <cellStyle name="RIGs input totals 3 22" xfId="34855" xr:uid="{00000000-0005-0000-0000-0000AE890000}"/>
    <cellStyle name="RIGs input totals 3 23" xfId="34856" xr:uid="{00000000-0005-0000-0000-0000AF890000}"/>
    <cellStyle name="RIGs input totals 3 24" xfId="34857" xr:uid="{00000000-0005-0000-0000-0000B0890000}"/>
    <cellStyle name="RIGs input totals 3 25" xfId="34858" xr:uid="{00000000-0005-0000-0000-0000B1890000}"/>
    <cellStyle name="RIGs input totals 3 26" xfId="34859" xr:uid="{00000000-0005-0000-0000-0000B2890000}"/>
    <cellStyle name="RIGs input totals 3 27" xfId="34860" xr:uid="{00000000-0005-0000-0000-0000B3890000}"/>
    <cellStyle name="RIGs input totals 3 28" xfId="34861" xr:uid="{00000000-0005-0000-0000-0000B4890000}"/>
    <cellStyle name="RIGs input totals 3 29" xfId="34862" xr:uid="{00000000-0005-0000-0000-0000B5890000}"/>
    <cellStyle name="RIGs input totals 3 3" xfId="34863" xr:uid="{00000000-0005-0000-0000-0000B6890000}"/>
    <cellStyle name="RIGs input totals 3 3 10" xfId="34864" xr:uid="{00000000-0005-0000-0000-0000B7890000}"/>
    <cellStyle name="RIGs input totals 3 3 11" xfId="34865" xr:uid="{00000000-0005-0000-0000-0000B8890000}"/>
    <cellStyle name="RIGs input totals 3 3 12" xfId="34866" xr:uid="{00000000-0005-0000-0000-0000B9890000}"/>
    <cellStyle name="RIGs input totals 3 3 13" xfId="34867" xr:uid="{00000000-0005-0000-0000-0000BA890000}"/>
    <cellStyle name="RIGs input totals 3 3 14" xfId="34868" xr:uid="{00000000-0005-0000-0000-0000BB890000}"/>
    <cellStyle name="RIGs input totals 3 3 15" xfId="34869" xr:uid="{00000000-0005-0000-0000-0000BC890000}"/>
    <cellStyle name="RIGs input totals 3 3 16" xfId="34870" xr:uid="{00000000-0005-0000-0000-0000BD890000}"/>
    <cellStyle name="RIGs input totals 3 3 17" xfId="34871" xr:uid="{00000000-0005-0000-0000-0000BE890000}"/>
    <cellStyle name="RIGs input totals 3 3 18" xfId="34872" xr:uid="{00000000-0005-0000-0000-0000BF890000}"/>
    <cellStyle name="RIGs input totals 3 3 19" xfId="34873" xr:uid="{00000000-0005-0000-0000-0000C0890000}"/>
    <cellStyle name="RIGs input totals 3 3 2" xfId="34874" xr:uid="{00000000-0005-0000-0000-0000C1890000}"/>
    <cellStyle name="RIGs input totals 3 3 2 10" xfId="34875" xr:uid="{00000000-0005-0000-0000-0000C2890000}"/>
    <cellStyle name="RIGs input totals 3 3 2 11" xfId="34876" xr:uid="{00000000-0005-0000-0000-0000C3890000}"/>
    <cellStyle name="RIGs input totals 3 3 2 12" xfId="34877" xr:uid="{00000000-0005-0000-0000-0000C4890000}"/>
    <cellStyle name="RIGs input totals 3 3 2 13" xfId="34878" xr:uid="{00000000-0005-0000-0000-0000C5890000}"/>
    <cellStyle name="RIGs input totals 3 3 2 14" xfId="34879" xr:uid="{00000000-0005-0000-0000-0000C6890000}"/>
    <cellStyle name="RIGs input totals 3 3 2 15" xfId="34880" xr:uid="{00000000-0005-0000-0000-0000C7890000}"/>
    <cellStyle name="RIGs input totals 3 3 2 16" xfId="34881" xr:uid="{00000000-0005-0000-0000-0000C8890000}"/>
    <cellStyle name="RIGs input totals 3 3 2 17" xfId="34882" xr:uid="{00000000-0005-0000-0000-0000C9890000}"/>
    <cellStyle name="RIGs input totals 3 3 2 18" xfId="34883" xr:uid="{00000000-0005-0000-0000-0000CA890000}"/>
    <cellStyle name="RIGs input totals 3 3 2 19" xfId="34884" xr:uid="{00000000-0005-0000-0000-0000CB890000}"/>
    <cellStyle name="RIGs input totals 3 3 2 2" xfId="34885" xr:uid="{00000000-0005-0000-0000-0000CC890000}"/>
    <cellStyle name="RIGs input totals 3 3 2 2 10" xfId="34886" xr:uid="{00000000-0005-0000-0000-0000CD890000}"/>
    <cellStyle name="RIGs input totals 3 3 2 2 11" xfId="34887" xr:uid="{00000000-0005-0000-0000-0000CE890000}"/>
    <cellStyle name="RIGs input totals 3 3 2 2 12" xfId="34888" xr:uid="{00000000-0005-0000-0000-0000CF890000}"/>
    <cellStyle name="RIGs input totals 3 3 2 2 13" xfId="34889" xr:uid="{00000000-0005-0000-0000-0000D0890000}"/>
    <cellStyle name="RIGs input totals 3 3 2 2 2" xfId="34890" xr:uid="{00000000-0005-0000-0000-0000D1890000}"/>
    <cellStyle name="RIGs input totals 3 3 2 2 3" xfId="34891" xr:uid="{00000000-0005-0000-0000-0000D2890000}"/>
    <cellStyle name="RIGs input totals 3 3 2 2 4" xfId="34892" xr:uid="{00000000-0005-0000-0000-0000D3890000}"/>
    <cellStyle name="RIGs input totals 3 3 2 2 5" xfId="34893" xr:uid="{00000000-0005-0000-0000-0000D4890000}"/>
    <cellStyle name="RIGs input totals 3 3 2 2 6" xfId="34894" xr:uid="{00000000-0005-0000-0000-0000D5890000}"/>
    <cellStyle name="RIGs input totals 3 3 2 2 7" xfId="34895" xr:uid="{00000000-0005-0000-0000-0000D6890000}"/>
    <cellStyle name="RIGs input totals 3 3 2 2 8" xfId="34896" xr:uid="{00000000-0005-0000-0000-0000D7890000}"/>
    <cellStyle name="RIGs input totals 3 3 2 2 9" xfId="34897" xr:uid="{00000000-0005-0000-0000-0000D8890000}"/>
    <cellStyle name="RIGs input totals 3 3 2 20" xfId="34898" xr:uid="{00000000-0005-0000-0000-0000D9890000}"/>
    <cellStyle name="RIGs input totals 3 3 2 21" xfId="34899" xr:uid="{00000000-0005-0000-0000-0000DA890000}"/>
    <cellStyle name="RIGs input totals 3 3 2 22" xfId="34900" xr:uid="{00000000-0005-0000-0000-0000DB890000}"/>
    <cellStyle name="RIGs input totals 3 3 2 23" xfId="34901" xr:uid="{00000000-0005-0000-0000-0000DC890000}"/>
    <cellStyle name="RIGs input totals 3 3 2 24" xfId="34902" xr:uid="{00000000-0005-0000-0000-0000DD890000}"/>
    <cellStyle name="RIGs input totals 3 3 2 25" xfId="34903" xr:uid="{00000000-0005-0000-0000-0000DE890000}"/>
    <cellStyle name="RIGs input totals 3 3 2 26" xfId="34904" xr:uid="{00000000-0005-0000-0000-0000DF890000}"/>
    <cellStyle name="RIGs input totals 3 3 2 27" xfId="34905" xr:uid="{00000000-0005-0000-0000-0000E0890000}"/>
    <cellStyle name="RIGs input totals 3 3 2 28" xfId="34906" xr:uid="{00000000-0005-0000-0000-0000E1890000}"/>
    <cellStyle name="RIGs input totals 3 3 2 29" xfId="34907" xr:uid="{00000000-0005-0000-0000-0000E2890000}"/>
    <cellStyle name="RIGs input totals 3 3 2 3" xfId="34908" xr:uid="{00000000-0005-0000-0000-0000E3890000}"/>
    <cellStyle name="RIGs input totals 3 3 2 30" xfId="34909" xr:uid="{00000000-0005-0000-0000-0000E4890000}"/>
    <cellStyle name="RIGs input totals 3 3 2 31" xfId="34910" xr:uid="{00000000-0005-0000-0000-0000E5890000}"/>
    <cellStyle name="RIGs input totals 3 3 2 32" xfId="34911" xr:uid="{00000000-0005-0000-0000-0000E6890000}"/>
    <cellStyle name="RIGs input totals 3 3 2 33" xfId="34912" xr:uid="{00000000-0005-0000-0000-0000E7890000}"/>
    <cellStyle name="RIGs input totals 3 3 2 34" xfId="34913" xr:uid="{00000000-0005-0000-0000-0000E8890000}"/>
    <cellStyle name="RIGs input totals 3 3 2 4" xfId="34914" xr:uid="{00000000-0005-0000-0000-0000E9890000}"/>
    <cellStyle name="RIGs input totals 3 3 2 5" xfId="34915" xr:uid="{00000000-0005-0000-0000-0000EA890000}"/>
    <cellStyle name="RIGs input totals 3 3 2 6" xfId="34916" xr:uid="{00000000-0005-0000-0000-0000EB890000}"/>
    <cellStyle name="RIGs input totals 3 3 2 7" xfId="34917" xr:uid="{00000000-0005-0000-0000-0000EC890000}"/>
    <cellStyle name="RIGs input totals 3 3 2 8" xfId="34918" xr:uid="{00000000-0005-0000-0000-0000ED890000}"/>
    <cellStyle name="RIGs input totals 3 3 2 9" xfId="34919" xr:uid="{00000000-0005-0000-0000-0000EE890000}"/>
    <cellStyle name="RIGs input totals 3 3 20" xfId="34920" xr:uid="{00000000-0005-0000-0000-0000EF890000}"/>
    <cellStyle name="RIGs input totals 3 3 21" xfId="34921" xr:uid="{00000000-0005-0000-0000-0000F0890000}"/>
    <cellStyle name="RIGs input totals 3 3 22" xfId="34922" xr:uid="{00000000-0005-0000-0000-0000F1890000}"/>
    <cellStyle name="RIGs input totals 3 3 23" xfId="34923" xr:uid="{00000000-0005-0000-0000-0000F2890000}"/>
    <cellStyle name="RIGs input totals 3 3 24" xfId="34924" xr:uid="{00000000-0005-0000-0000-0000F3890000}"/>
    <cellStyle name="RIGs input totals 3 3 25" xfId="34925" xr:uid="{00000000-0005-0000-0000-0000F4890000}"/>
    <cellStyle name="RIGs input totals 3 3 26" xfId="34926" xr:uid="{00000000-0005-0000-0000-0000F5890000}"/>
    <cellStyle name="RIGs input totals 3 3 27" xfId="34927" xr:uid="{00000000-0005-0000-0000-0000F6890000}"/>
    <cellStyle name="RIGs input totals 3 3 28" xfId="34928" xr:uid="{00000000-0005-0000-0000-0000F7890000}"/>
    <cellStyle name="RIGs input totals 3 3 29" xfId="34929" xr:uid="{00000000-0005-0000-0000-0000F8890000}"/>
    <cellStyle name="RIGs input totals 3 3 3" xfId="34930" xr:uid="{00000000-0005-0000-0000-0000F9890000}"/>
    <cellStyle name="RIGs input totals 3 3 3 10" xfId="34931" xr:uid="{00000000-0005-0000-0000-0000FA890000}"/>
    <cellStyle name="RIGs input totals 3 3 3 11" xfId="34932" xr:uid="{00000000-0005-0000-0000-0000FB890000}"/>
    <cellStyle name="RIGs input totals 3 3 3 12" xfId="34933" xr:uid="{00000000-0005-0000-0000-0000FC890000}"/>
    <cellStyle name="RIGs input totals 3 3 3 13" xfId="34934" xr:uid="{00000000-0005-0000-0000-0000FD890000}"/>
    <cellStyle name="RIGs input totals 3 3 3 2" xfId="34935" xr:uid="{00000000-0005-0000-0000-0000FE890000}"/>
    <cellStyle name="RIGs input totals 3 3 3 3" xfId="34936" xr:uid="{00000000-0005-0000-0000-0000FF890000}"/>
    <cellStyle name="RIGs input totals 3 3 3 4" xfId="34937" xr:uid="{00000000-0005-0000-0000-0000008A0000}"/>
    <cellStyle name="RIGs input totals 3 3 3 5" xfId="34938" xr:uid="{00000000-0005-0000-0000-0000018A0000}"/>
    <cellStyle name="RIGs input totals 3 3 3 6" xfId="34939" xr:uid="{00000000-0005-0000-0000-0000028A0000}"/>
    <cellStyle name="RIGs input totals 3 3 3 7" xfId="34940" xr:uid="{00000000-0005-0000-0000-0000038A0000}"/>
    <cellStyle name="RIGs input totals 3 3 3 8" xfId="34941" xr:uid="{00000000-0005-0000-0000-0000048A0000}"/>
    <cellStyle name="RIGs input totals 3 3 3 9" xfId="34942" xr:uid="{00000000-0005-0000-0000-0000058A0000}"/>
    <cellStyle name="RIGs input totals 3 3 30" xfId="34943" xr:uid="{00000000-0005-0000-0000-0000068A0000}"/>
    <cellStyle name="RIGs input totals 3 3 31" xfId="34944" xr:uid="{00000000-0005-0000-0000-0000078A0000}"/>
    <cellStyle name="RIGs input totals 3 3 32" xfId="34945" xr:uid="{00000000-0005-0000-0000-0000088A0000}"/>
    <cellStyle name="RIGs input totals 3 3 33" xfId="34946" xr:uid="{00000000-0005-0000-0000-0000098A0000}"/>
    <cellStyle name="RIGs input totals 3 3 34" xfId="34947" xr:uid="{00000000-0005-0000-0000-00000A8A0000}"/>
    <cellStyle name="RIGs input totals 3 3 35" xfId="34948" xr:uid="{00000000-0005-0000-0000-00000B8A0000}"/>
    <cellStyle name="RIGs input totals 3 3 4" xfId="34949" xr:uid="{00000000-0005-0000-0000-00000C8A0000}"/>
    <cellStyle name="RIGs input totals 3 3 5" xfId="34950" xr:uid="{00000000-0005-0000-0000-00000D8A0000}"/>
    <cellStyle name="RIGs input totals 3 3 6" xfId="34951" xr:uid="{00000000-0005-0000-0000-00000E8A0000}"/>
    <cellStyle name="RIGs input totals 3 3 7" xfId="34952" xr:uid="{00000000-0005-0000-0000-00000F8A0000}"/>
    <cellStyle name="RIGs input totals 3 3 8" xfId="34953" xr:uid="{00000000-0005-0000-0000-0000108A0000}"/>
    <cellStyle name="RIGs input totals 3 3 9" xfId="34954" xr:uid="{00000000-0005-0000-0000-0000118A0000}"/>
    <cellStyle name="RIGs input totals 3 3_4 28 1_Asst_Health_Crit_AllTO_RIIO_20110714pm" xfId="34955" xr:uid="{00000000-0005-0000-0000-0000128A0000}"/>
    <cellStyle name="RIGs input totals 3 30" xfId="34956" xr:uid="{00000000-0005-0000-0000-0000138A0000}"/>
    <cellStyle name="RIGs input totals 3 31" xfId="34957" xr:uid="{00000000-0005-0000-0000-0000148A0000}"/>
    <cellStyle name="RIGs input totals 3 32" xfId="34958" xr:uid="{00000000-0005-0000-0000-0000158A0000}"/>
    <cellStyle name="RIGs input totals 3 33" xfId="34959" xr:uid="{00000000-0005-0000-0000-0000168A0000}"/>
    <cellStyle name="RIGs input totals 3 34" xfId="34960" xr:uid="{00000000-0005-0000-0000-0000178A0000}"/>
    <cellStyle name="RIGs input totals 3 35" xfId="34961" xr:uid="{00000000-0005-0000-0000-0000188A0000}"/>
    <cellStyle name="RIGs input totals 3 36" xfId="34962" xr:uid="{00000000-0005-0000-0000-0000198A0000}"/>
    <cellStyle name="RIGs input totals 3 37" xfId="34963" xr:uid="{00000000-0005-0000-0000-00001A8A0000}"/>
    <cellStyle name="RIGs input totals 3 38" xfId="34964" xr:uid="{00000000-0005-0000-0000-00001B8A0000}"/>
    <cellStyle name="RIGs input totals 3 39" xfId="34965" xr:uid="{00000000-0005-0000-0000-00001C8A0000}"/>
    <cellStyle name="RIGs input totals 3 4" xfId="34966" xr:uid="{00000000-0005-0000-0000-00001D8A0000}"/>
    <cellStyle name="RIGs input totals 3 4 10" xfId="34967" xr:uid="{00000000-0005-0000-0000-00001E8A0000}"/>
    <cellStyle name="RIGs input totals 3 4 11" xfId="34968" xr:uid="{00000000-0005-0000-0000-00001F8A0000}"/>
    <cellStyle name="RIGs input totals 3 4 12" xfId="34969" xr:uid="{00000000-0005-0000-0000-0000208A0000}"/>
    <cellStyle name="RIGs input totals 3 4 13" xfId="34970" xr:uid="{00000000-0005-0000-0000-0000218A0000}"/>
    <cellStyle name="RIGs input totals 3 4 14" xfId="34971" xr:uid="{00000000-0005-0000-0000-0000228A0000}"/>
    <cellStyle name="RIGs input totals 3 4 15" xfId="34972" xr:uid="{00000000-0005-0000-0000-0000238A0000}"/>
    <cellStyle name="RIGs input totals 3 4 16" xfId="34973" xr:uid="{00000000-0005-0000-0000-0000248A0000}"/>
    <cellStyle name="RIGs input totals 3 4 17" xfId="34974" xr:uid="{00000000-0005-0000-0000-0000258A0000}"/>
    <cellStyle name="RIGs input totals 3 4 18" xfId="34975" xr:uid="{00000000-0005-0000-0000-0000268A0000}"/>
    <cellStyle name="RIGs input totals 3 4 19" xfId="34976" xr:uid="{00000000-0005-0000-0000-0000278A0000}"/>
    <cellStyle name="RIGs input totals 3 4 2" xfId="34977" xr:uid="{00000000-0005-0000-0000-0000288A0000}"/>
    <cellStyle name="RIGs input totals 3 4 2 10" xfId="34978" xr:uid="{00000000-0005-0000-0000-0000298A0000}"/>
    <cellStyle name="RIGs input totals 3 4 2 11" xfId="34979" xr:uid="{00000000-0005-0000-0000-00002A8A0000}"/>
    <cellStyle name="RIGs input totals 3 4 2 12" xfId="34980" xr:uid="{00000000-0005-0000-0000-00002B8A0000}"/>
    <cellStyle name="RIGs input totals 3 4 2 13" xfId="34981" xr:uid="{00000000-0005-0000-0000-00002C8A0000}"/>
    <cellStyle name="RIGs input totals 3 4 2 2" xfId="34982" xr:uid="{00000000-0005-0000-0000-00002D8A0000}"/>
    <cellStyle name="RIGs input totals 3 4 2 3" xfId="34983" xr:uid="{00000000-0005-0000-0000-00002E8A0000}"/>
    <cellStyle name="RIGs input totals 3 4 2 4" xfId="34984" xr:uid="{00000000-0005-0000-0000-00002F8A0000}"/>
    <cellStyle name="RIGs input totals 3 4 2 5" xfId="34985" xr:uid="{00000000-0005-0000-0000-0000308A0000}"/>
    <cellStyle name="RIGs input totals 3 4 2 6" xfId="34986" xr:uid="{00000000-0005-0000-0000-0000318A0000}"/>
    <cellStyle name="RIGs input totals 3 4 2 7" xfId="34987" xr:uid="{00000000-0005-0000-0000-0000328A0000}"/>
    <cellStyle name="RIGs input totals 3 4 2 8" xfId="34988" xr:uid="{00000000-0005-0000-0000-0000338A0000}"/>
    <cellStyle name="RIGs input totals 3 4 2 9" xfId="34989" xr:uid="{00000000-0005-0000-0000-0000348A0000}"/>
    <cellStyle name="RIGs input totals 3 4 20" xfId="34990" xr:uid="{00000000-0005-0000-0000-0000358A0000}"/>
    <cellStyle name="RIGs input totals 3 4 21" xfId="34991" xr:uid="{00000000-0005-0000-0000-0000368A0000}"/>
    <cellStyle name="RIGs input totals 3 4 22" xfId="34992" xr:uid="{00000000-0005-0000-0000-0000378A0000}"/>
    <cellStyle name="RIGs input totals 3 4 23" xfId="34993" xr:uid="{00000000-0005-0000-0000-0000388A0000}"/>
    <cellStyle name="RIGs input totals 3 4 24" xfId="34994" xr:uid="{00000000-0005-0000-0000-0000398A0000}"/>
    <cellStyle name="RIGs input totals 3 4 25" xfId="34995" xr:uid="{00000000-0005-0000-0000-00003A8A0000}"/>
    <cellStyle name="RIGs input totals 3 4 26" xfId="34996" xr:uid="{00000000-0005-0000-0000-00003B8A0000}"/>
    <cellStyle name="RIGs input totals 3 4 27" xfId="34997" xr:uid="{00000000-0005-0000-0000-00003C8A0000}"/>
    <cellStyle name="RIGs input totals 3 4 28" xfId="34998" xr:uid="{00000000-0005-0000-0000-00003D8A0000}"/>
    <cellStyle name="RIGs input totals 3 4 29" xfId="34999" xr:uid="{00000000-0005-0000-0000-00003E8A0000}"/>
    <cellStyle name="RIGs input totals 3 4 3" xfId="35000" xr:uid="{00000000-0005-0000-0000-00003F8A0000}"/>
    <cellStyle name="RIGs input totals 3 4 30" xfId="35001" xr:uid="{00000000-0005-0000-0000-0000408A0000}"/>
    <cellStyle name="RIGs input totals 3 4 31" xfId="35002" xr:uid="{00000000-0005-0000-0000-0000418A0000}"/>
    <cellStyle name="RIGs input totals 3 4 32" xfId="35003" xr:uid="{00000000-0005-0000-0000-0000428A0000}"/>
    <cellStyle name="RIGs input totals 3 4 33" xfId="35004" xr:uid="{00000000-0005-0000-0000-0000438A0000}"/>
    <cellStyle name="RIGs input totals 3 4 34" xfId="35005" xr:uid="{00000000-0005-0000-0000-0000448A0000}"/>
    <cellStyle name="RIGs input totals 3 4 4" xfId="35006" xr:uid="{00000000-0005-0000-0000-0000458A0000}"/>
    <cellStyle name="RIGs input totals 3 4 5" xfId="35007" xr:uid="{00000000-0005-0000-0000-0000468A0000}"/>
    <cellStyle name="RIGs input totals 3 4 6" xfId="35008" xr:uid="{00000000-0005-0000-0000-0000478A0000}"/>
    <cellStyle name="RIGs input totals 3 4 7" xfId="35009" xr:uid="{00000000-0005-0000-0000-0000488A0000}"/>
    <cellStyle name="RIGs input totals 3 4 8" xfId="35010" xr:uid="{00000000-0005-0000-0000-0000498A0000}"/>
    <cellStyle name="RIGs input totals 3 4 9" xfId="35011" xr:uid="{00000000-0005-0000-0000-00004A8A0000}"/>
    <cellStyle name="RIGs input totals 3 5" xfId="35012" xr:uid="{00000000-0005-0000-0000-00004B8A0000}"/>
    <cellStyle name="RIGs input totals 3 5 10" xfId="35013" xr:uid="{00000000-0005-0000-0000-00004C8A0000}"/>
    <cellStyle name="RIGs input totals 3 5 11" xfId="35014" xr:uid="{00000000-0005-0000-0000-00004D8A0000}"/>
    <cellStyle name="RIGs input totals 3 5 12" xfId="35015" xr:uid="{00000000-0005-0000-0000-00004E8A0000}"/>
    <cellStyle name="RIGs input totals 3 5 13" xfId="35016" xr:uid="{00000000-0005-0000-0000-00004F8A0000}"/>
    <cellStyle name="RIGs input totals 3 5 14" xfId="35017" xr:uid="{00000000-0005-0000-0000-0000508A0000}"/>
    <cellStyle name="RIGs input totals 3 5 15" xfId="35018" xr:uid="{00000000-0005-0000-0000-0000518A0000}"/>
    <cellStyle name="RIGs input totals 3 5 16" xfId="35019" xr:uid="{00000000-0005-0000-0000-0000528A0000}"/>
    <cellStyle name="RIGs input totals 3 5 17" xfId="35020" xr:uid="{00000000-0005-0000-0000-0000538A0000}"/>
    <cellStyle name="RIGs input totals 3 5 18" xfId="35021" xr:uid="{00000000-0005-0000-0000-0000548A0000}"/>
    <cellStyle name="RIGs input totals 3 5 19" xfId="35022" xr:uid="{00000000-0005-0000-0000-0000558A0000}"/>
    <cellStyle name="RIGs input totals 3 5 2" xfId="35023" xr:uid="{00000000-0005-0000-0000-0000568A0000}"/>
    <cellStyle name="RIGs input totals 3 5 2 10" xfId="35024" xr:uid="{00000000-0005-0000-0000-0000578A0000}"/>
    <cellStyle name="RIGs input totals 3 5 2 11" xfId="35025" xr:uid="{00000000-0005-0000-0000-0000588A0000}"/>
    <cellStyle name="RIGs input totals 3 5 2 12" xfId="35026" xr:uid="{00000000-0005-0000-0000-0000598A0000}"/>
    <cellStyle name="RIGs input totals 3 5 2 13" xfId="35027" xr:uid="{00000000-0005-0000-0000-00005A8A0000}"/>
    <cellStyle name="RIGs input totals 3 5 2 2" xfId="35028" xr:uid="{00000000-0005-0000-0000-00005B8A0000}"/>
    <cellStyle name="RIGs input totals 3 5 2 3" xfId="35029" xr:uid="{00000000-0005-0000-0000-00005C8A0000}"/>
    <cellStyle name="RIGs input totals 3 5 2 4" xfId="35030" xr:uid="{00000000-0005-0000-0000-00005D8A0000}"/>
    <cellStyle name="RIGs input totals 3 5 2 5" xfId="35031" xr:uid="{00000000-0005-0000-0000-00005E8A0000}"/>
    <cellStyle name="RIGs input totals 3 5 2 6" xfId="35032" xr:uid="{00000000-0005-0000-0000-00005F8A0000}"/>
    <cellStyle name="RIGs input totals 3 5 2 7" xfId="35033" xr:uid="{00000000-0005-0000-0000-0000608A0000}"/>
    <cellStyle name="RIGs input totals 3 5 2 8" xfId="35034" xr:uid="{00000000-0005-0000-0000-0000618A0000}"/>
    <cellStyle name="RIGs input totals 3 5 2 9" xfId="35035" xr:uid="{00000000-0005-0000-0000-0000628A0000}"/>
    <cellStyle name="RIGs input totals 3 5 20" xfId="35036" xr:uid="{00000000-0005-0000-0000-0000638A0000}"/>
    <cellStyle name="RIGs input totals 3 5 21" xfId="35037" xr:uid="{00000000-0005-0000-0000-0000648A0000}"/>
    <cellStyle name="RIGs input totals 3 5 22" xfId="35038" xr:uid="{00000000-0005-0000-0000-0000658A0000}"/>
    <cellStyle name="RIGs input totals 3 5 23" xfId="35039" xr:uid="{00000000-0005-0000-0000-0000668A0000}"/>
    <cellStyle name="RIGs input totals 3 5 24" xfId="35040" xr:uid="{00000000-0005-0000-0000-0000678A0000}"/>
    <cellStyle name="RIGs input totals 3 5 25" xfId="35041" xr:uid="{00000000-0005-0000-0000-0000688A0000}"/>
    <cellStyle name="RIGs input totals 3 5 26" xfId="35042" xr:uid="{00000000-0005-0000-0000-0000698A0000}"/>
    <cellStyle name="RIGs input totals 3 5 27" xfId="35043" xr:uid="{00000000-0005-0000-0000-00006A8A0000}"/>
    <cellStyle name="RIGs input totals 3 5 28" xfId="35044" xr:uid="{00000000-0005-0000-0000-00006B8A0000}"/>
    <cellStyle name="RIGs input totals 3 5 29" xfId="35045" xr:uid="{00000000-0005-0000-0000-00006C8A0000}"/>
    <cellStyle name="RIGs input totals 3 5 3" xfId="35046" xr:uid="{00000000-0005-0000-0000-00006D8A0000}"/>
    <cellStyle name="RIGs input totals 3 5 30" xfId="35047" xr:uid="{00000000-0005-0000-0000-00006E8A0000}"/>
    <cellStyle name="RIGs input totals 3 5 31" xfId="35048" xr:uid="{00000000-0005-0000-0000-00006F8A0000}"/>
    <cellStyle name="RIGs input totals 3 5 32" xfId="35049" xr:uid="{00000000-0005-0000-0000-0000708A0000}"/>
    <cellStyle name="RIGs input totals 3 5 33" xfId="35050" xr:uid="{00000000-0005-0000-0000-0000718A0000}"/>
    <cellStyle name="RIGs input totals 3 5 34" xfId="35051" xr:uid="{00000000-0005-0000-0000-0000728A0000}"/>
    <cellStyle name="RIGs input totals 3 5 4" xfId="35052" xr:uid="{00000000-0005-0000-0000-0000738A0000}"/>
    <cellStyle name="RIGs input totals 3 5 5" xfId="35053" xr:uid="{00000000-0005-0000-0000-0000748A0000}"/>
    <cellStyle name="RIGs input totals 3 5 6" xfId="35054" xr:uid="{00000000-0005-0000-0000-0000758A0000}"/>
    <cellStyle name="RIGs input totals 3 5 7" xfId="35055" xr:uid="{00000000-0005-0000-0000-0000768A0000}"/>
    <cellStyle name="RIGs input totals 3 5 8" xfId="35056" xr:uid="{00000000-0005-0000-0000-0000778A0000}"/>
    <cellStyle name="RIGs input totals 3 5 9" xfId="35057" xr:uid="{00000000-0005-0000-0000-0000788A0000}"/>
    <cellStyle name="RIGs input totals 3 6" xfId="35058" xr:uid="{00000000-0005-0000-0000-0000798A0000}"/>
    <cellStyle name="RIGs input totals 3 6 10" xfId="35059" xr:uid="{00000000-0005-0000-0000-00007A8A0000}"/>
    <cellStyle name="RIGs input totals 3 6 11" xfId="35060" xr:uid="{00000000-0005-0000-0000-00007B8A0000}"/>
    <cellStyle name="RIGs input totals 3 6 12" xfId="35061" xr:uid="{00000000-0005-0000-0000-00007C8A0000}"/>
    <cellStyle name="RIGs input totals 3 6 13" xfId="35062" xr:uid="{00000000-0005-0000-0000-00007D8A0000}"/>
    <cellStyle name="RIGs input totals 3 6 2" xfId="35063" xr:uid="{00000000-0005-0000-0000-00007E8A0000}"/>
    <cellStyle name="RIGs input totals 3 6 3" xfId="35064" xr:uid="{00000000-0005-0000-0000-00007F8A0000}"/>
    <cellStyle name="RIGs input totals 3 6 4" xfId="35065" xr:uid="{00000000-0005-0000-0000-0000808A0000}"/>
    <cellStyle name="RIGs input totals 3 6 5" xfId="35066" xr:uid="{00000000-0005-0000-0000-0000818A0000}"/>
    <cellStyle name="RIGs input totals 3 6 6" xfId="35067" xr:uid="{00000000-0005-0000-0000-0000828A0000}"/>
    <cellStyle name="RIGs input totals 3 6 7" xfId="35068" xr:uid="{00000000-0005-0000-0000-0000838A0000}"/>
    <cellStyle name="RIGs input totals 3 6 8" xfId="35069" xr:uid="{00000000-0005-0000-0000-0000848A0000}"/>
    <cellStyle name="RIGs input totals 3 6 9" xfId="35070" xr:uid="{00000000-0005-0000-0000-0000858A0000}"/>
    <cellStyle name="RIGs input totals 3 7" xfId="35071" xr:uid="{00000000-0005-0000-0000-0000868A0000}"/>
    <cellStyle name="RIGs input totals 3 8" xfId="35072" xr:uid="{00000000-0005-0000-0000-0000878A0000}"/>
    <cellStyle name="RIGs input totals 3 9" xfId="35073" xr:uid="{00000000-0005-0000-0000-0000888A0000}"/>
    <cellStyle name="RIGs input totals 3_1.3s Accounting C Costs Scots" xfId="35074" xr:uid="{00000000-0005-0000-0000-0000898A0000}"/>
    <cellStyle name="RIGs input totals 30" xfId="35075" xr:uid="{00000000-0005-0000-0000-00008A8A0000}"/>
    <cellStyle name="RIGs input totals 31" xfId="35076" xr:uid="{00000000-0005-0000-0000-00008B8A0000}"/>
    <cellStyle name="RIGs input totals 32" xfId="35077" xr:uid="{00000000-0005-0000-0000-00008C8A0000}"/>
    <cellStyle name="RIGs input totals 33" xfId="35078" xr:uid="{00000000-0005-0000-0000-00008D8A0000}"/>
    <cellStyle name="RIGs input totals 34" xfId="35079" xr:uid="{00000000-0005-0000-0000-00008E8A0000}"/>
    <cellStyle name="RIGs input totals 35" xfId="35080" xr:uid="{00000000-0005-0000-0000-00008F8A0000}"/>
    <cellStyle name="RIGs input totals 36" xfId="35081" xr:uid="{00000000-0005-0000-0000-0000908A0000}"/>
    <cellStyle name="RIGs input totals 37" xfId="35082" xr:uid="{00000000-0005-0000-0000-0000918A0000}"/>
    <cellStyle name="RIGs input totals 38" xfId="35083" xr:uid="{00000000-0005-0000-0000-0000928A0000}"/>
    <cellStyle name="RIGs input totals 39" xfId="35084" xr:uid="{00000000-0005-0000-0000-0000938A0000}"/>
    <cellStyle name="RIGs input totals 4" xfId="35085" xr:uid="{00000000-0005-0000-0000-0000948A0000}"/>
    <cellStyle name="RIGs input totals 4 10" xfId="35086" xr:uid="{00000000-0005-0000-0000-0000958A0000}"/>
    <cellStyle name="RIGs input totals 4 11" xfId="35087" xr:uid="{00000000-0005-0000-0000-0000968A0000}"/>
    <cellStyle name="RIGs input totals 4 12" xfId="35088" xr:uid="{00000000-0005-0000-0000-0000978A0000}"/>
    <cellStyle name="RIGs input totals 4 13" xfId="35089" xr:uid="{00000000-0005-0000-0000-0000988A0000}"/>
    <cellStyle name="RIGs input totals 4 14" xfId="35090" xr:uid="{00000000-0005-0000-0000-0000998A0000}"/>
    <cellStyle name="RIGs input totals 4 15" xfId="35091" xr:uid="{00000000-0005-0000-0000-00009A8A0000}"/>
    <cellStyle name="RIGs input totals 4 16" xfId="35092" xr:uid="{00000000-0005-0000-0000-00009B8A0000}"/>
    <cellStyle name="RIGs input totals 4 17" xfId="35093" xr:uid="{00000000-0005-0000-0000-00009C8A0000}"/>
    <cellStyle name="RIGs input totals 4 18" xfId="35094" xr:uid="{00000000-0005-0000-0000-00009D8A0000}"/>
    <cellStyle name="RIGs input totals 4 19" xfId="35095" xr:uid="{00000000-0005-0000-0000-00009E8A0000}"/>
    <cellStyle name="RIGs input totals 4 2" xfId="35096" xr:uid="{00000000-0005-0000-0000-00009F8A0000}"/>
    <cellStyle name="RIGs input totals 4 2 10" xfId="35097" xr:uid="{00000000-0005-0000-0000-0000A08A0000}"/>
    <cellStyle name="RIGs input totals 4 2 11" xfId="35098" xr:uid="{00000000-0005-0000-0000-0000A18A0000}"/>
    <cellStyle name="RIGs input totals 4 2 12" xfId="35099" xr:uid="{00000000-0005-0000-0000-0000A28A0000}"/>
    <cellStyle name="RIGs input totals 4 2 13" xfId="35100" xr:uid="{00000000-0005-0000-0000-0000A38A0000}"/>
    <cellStyle name="RIGs input totals 4 2 14" xfId="35101" xr:uid="{00000000-0005-0000-0000-0000A48A0000}"/>
    <cellStyle name="RIGs input totals 4 2 15" xfId="35102" xr:uid="{00000000-0005-0000-0000-0000A58A0000}"/>
    <cellStyle name="RIGs input totals 4 2 16" xfId="35103" xr:uid="{00000000-0005-0000-0000-0000A68A0000}"/>
    <cellStyle name="RIGs input totals 4 2 17" xfId="35104" xr:uid="{00000000-0005-0000-0000-0000A78A0000}"/>
    <cellStyle name="RIGs input totals 4 2 18" xfId="35105" xr:uid="{00000000-0005-0000-0000-0000A88A0000}"/>
    <cellStyle name="RIGs input totals 4 2 19" xfId="35106" xr:uid="{00000000-0005-0000-0000-0000A98A0000}"/>
    <cellStyle name="RIGs input totals 4 2 2" xfId="35107" xr:uid="{00000000-0005-0000-0000-0000AA8A0000}"/>
    <cellStyle name="RIGs input totals 4 2 2 10" xfId="35108" xr:uid="{00000000-0005-0000-0000-0000AB8A0000}"/>
    <cellStyle name="RIGs input totals 4 2 2 11" xfId="35109" xr:uid="{00000000-0005-0000-0000-0000AC8A0000}"/>
    <cellStyle name="RIGs input totals 4 2 2 12" xfId="35110" xr:uid="{00000000-0005-0000-0000-0000AD8A0000}"/>
    <cellStyle name="RIGs input totals 4 2 2 13" xfId="35111" xr:uid="{00000000-0005-0000-0000-0000AE8A0000}"/>
    <cellStyle name="RIGs input totals 4 2 2 14" xfId="35112" xr:uid="{00000000-0005-0000-0000-0000AF8A0000}"/>
    <cellStyle name="RIGs input totals 4 2 2 15" xfId="35113" xr:uid="{00000000-0005-0000-0000-0000B08A0000}"/>
    <cellStyle name="RIGs input totals 4 2 2 16" xfId="35114" xr:uid="{00000000-0005-0000-0000-0000B18A0000}"/>
    <cellStyle name="RIGs input totals 4 2 2 17" xfId="35115" xr:uid="{00000000-0005-0000-0000-0000B28A0000}"/>
    <cellStyle name="RIGs input totals 4 2 2 18" xfId="35116" xr:uid="{00000000-0005-0000-0000-0000B38A0000}"/>
    <cellStyle name="RIGs input totals 4 2 2 19" xfId="35117" xr:uid="{00000000-0005-0000-0000-0000B48A0000}"/>
    <cellStyle name="RIGs input totals 4 2 2 2" xfId="35118" xr:uid="{00000000-0005-0000-0000-0000B58A0000}"/>
    <cellStyle name="RIGs input totals 4 2 2 2 10" xfId="35119" xr:uid="{00000000-0005-0000-0000-0000B68A0000}"/>
    <cellStyle name="RIGs input totals 4 2 2 2 11" xfId="35120" xr:uid="{00000000-0005-0000-0000-0000B78A0000}"/>
    <cellStyle name="RIGs input totals 4 2 2 2 12" xfId="35121" xr:uid="{00000000-0005-0000-0000-0000B88A0000}"/>
    <cellStyle name="RIGs input totals 4 2 2 2 13" xfId="35122" xr:uid="{00000000-0005-0000-0000-0000B98A0000}"/>
    <cellStyle name="RIGs input totals 4 2 2 2 14" xfId="35123" xr:uid="{00000000-0005-0000-0000-0000BA8A0000}"/>
    <cellStyle name="RIGs input totals 4 2 2 2 15" xfId="35124" xr:uid="{00000000-0005-0000-0000-0000BB8A0000}"/>
    <cellStyle name="RIGs input totals 4 2 2 2 16" xfId="35125" xr:uid="{00000000-0005-0000-0000-0000BC8A0000}"/>
    <cellStyle name="RIGs input totals 4 2 2 2 17" xfId="35126" xr:uid="{00000000-0005-0000-0000-0000BD8A0000}"/>
    <cellStyle name="RIGs input totals 4 2 2 2 18" xfId="35127" xr:uid="{00000000-0005-0000-0000-0000BE8A0000}"/>
    <cellStyle name="RIGs input totals 4 2 2 2 19" xfId="35128" xr:uid="{00000000-0005-0000-0000-0000BF8A0000}"/>
    <cellStyle name="RIGs input totals 4 2 2 2 2" xfId="35129" xr:uid="{00000000-0005-0000-0000-0000C08A0000}"/>
    <cellStyle name="RIGs input totals 4 2 2 2 2 10" xfId="35130" xr:uid="{00000000-0005-0000-0000-0000C18A0000}"/>
    <cellStyle name="RIGs input totals 4 2 2 2 2 11" xfId="35131" xr:uid="{00000000-0005-0000-0000-0000C28A0000}"/>
    <cellStyle name="RIGs input totals 4 2 2 2 2 12" xfId="35132" xr:uid="{00000000-0005-0000-0000-0000C38A0000}"/>
    <cellStyle name="RIGs input totals 4 2 2 2 2 13" xfId="35133" xr:uid="{00000000-0005-0000-0000-0000C48A0000}"/>
    <cellStyle name="RIGs input totals 4 2 2 2 2 2" xfId="35134" xr:uid="{00000000-0005-0000-0000-0000C58A0000}"/>
    <cellStyle name="RIGs input totals 4 2 2 2 2 3" xfId="35135" xr:uid="{00000000-0005-0000-0000-0000C68A0000}"/>
    <cellStyle name="RIGs input totals 4 2 2 2 2 4" xfId="35136" xr:uid="{00000000-0005-0000-0000-0000C78A0000}"/>
    <cellStyle name="RIGs input totals 4 2 2 2 2 5" xfId="35137" xr:uid="{00000000-0005-0000-0000-0000C88A0000}"/>
    <cellStyle name="RIGs input totals 4 2 2 2 2 6" xfId="35138" xr:uid="{00000000-0005-0000-0000-0000C98A0000}"/>
    <cellStyle name="RIGs input totals 4 2 2 2 2 7" xfId="35139" xr:uid="{00000000-0005-0000-0000-0000CA8A0000}"/>
    <cellStyle name="RIGs input totals 4 2 2 2 2 8" xfId="35140" xr:uid="{00000000-0005-0000-0000-0000CB8A0000}"/>
    <cellStyle name="RIGs input totals 4 2 2 2 2 9" xfId="35141" xr:uid="{00000000-0005-0000-0000-0000CC8A0000}"/>
    <cellStyle name="RIGs input totals 4 2 2 2 20" xfId="35142" xr:uid="{00000000-0005-0000-0000-0000CD8A0000}"/>
    <cellStyle name="RIGs input totals 4 2 2 2 21" xfId="35143" xr:uid="{00000000-0005-0000-0000-0000CE8A0000}"/>
    <cellStyle name="RIGs input totals 4 2 2 2 22" xfId="35144" xr:uid="{00000000-0005-0000-0000-0000CF8A0000}"/>
    <cellStyle name="RIGs input totals 4 2 2 2 23" xfId="35145" xr:uid="{00000000-0005-0000-0000-0000D08A0000}"/>
    <cellStyle name="RIGs input totals 4 2 2 2 24" xfId="35146" xr:uid="{00000000-0005-0000-0000-0000D18A0000}"/>
    <cellStyle name="RIGs input totals 4 2 2 2 25" xfId="35147" xr:uid="{00000000-0005-0000-0000-0000D28A0000}"/>
    <cellStyle name="RIGs input totals 4 2 2 2 26" xfId="35148" xr:uid="{00000000-0005-0000-0000-0000D38A0000}"/>
    <cellStyle name="RIGs input totals 4 2 2 2 27" xfId="35149" xr:uid="{00000000-0005-0000-0000-0000D48A0000}"/>
    <cellStyle name="RIGs input totals 4 2 2 2 28" xfId="35150" xr:uid="{00000000-0005-0000-0000-0000D58A0000}"/>
    <cellStyle name="RIGs input totals 4 2 2 2 29" xfId="35151" xr:uid="{00000000-0005-0000-0000-0000D68A0000}"/>
    <cellStyle name="RIGs input totals 4 2 2 2 3" xfId="35152" xr:uid="{00000000-0005-0000-0000-0000D78A0000}"/>
    <cellStyle name="RIGs input totals 4 2 2 2 30" xfId="35153" xr:uid="{00000000-0005-0000-0000-0000D88A0000}"/>
    <cellStyle name="RIGs input totals 4 2 2 2 31" xfId="35154" xr:uid="{00000000-0005-0000-0000-0000D98A0000}"/>
    <cellStyle name="RIGs input totals 4 2 2 2 32" xfId="35155" xr:uid="{00000000-0005-0000-0000-0000DA8A0000}"/>
    <cellStyle name="RIGs input totals 4 2 2 2 33" xfId="35156" xr:uid="{00000000-0005-0000-0000-0000DB8A0000}"/>
    <cellStyle name="RIGs input totals 4 2 2 2 34" xfId="35157" xr:uid="{00000000-0005-0000-0000-0000DC8A0000}"/>
    <cellStyle name="RIGs input totals 4 2 2 2 4" xfId="35158" xr:uid="{00000000-0005-0000-0000-0000DD8A0000}"/>
    <cellStyle name="RIGs input totals 4 2 2 2 5" xfId="35159" xr:uid="{00000000-0005-0000-0000-0000DE8A0000}"/>
    <cellStyle name="RIGs input totals 4 2 2 2 6" xfId="35160" xr:uid="{00000000-0005-0000-0000-0000DF8A0000}"/>
    <cellStyle name="RIGs input totals 4 2 2 2 7" xfId="35161" xr:uid="{00000000-0005-0000-0000-0000E08A0000}"/>
    <cellStyle name="RIGs input totals 4 2 2 2 8" xfId="35162" xr:uid="{00000000-0005-0000-0000-0000E18A0000}"/>
    <cellStyle name="RIGs input totals 4 2 2 2 9" xfId="35163" xr:uid="{00000000-0005-0000-0000-0000E28A0000}"/>
    <cellStyle name="RIGs input totals 4 2 2 20" xfId="35164" xr:uid="{00000000-0005-0000-0000-0000E38A0000}"/>
    <cellStyle name="RIGs input totals 4 2 2 21" xfId="35165" xr:uid="{00000000-0005-0000-0000-0000E48A0000}"/>
    <cellStyle name="RIGs input totals 4 2 2 22" xfId="35166" xr:uid="{00000000-0005-0000-0000-0000E58A0000}"/>
    <cellStyle name="RIGs input totals 4 2 2 23" xfId="35167" xr:uid="{00000000-0005-0000-0000-0000E68A0000}"/>
    <cellStyle name="RIGs input totals 4 2 2 24" xfId="35168" xr:uid="{00000000-0005-0000-0000-0000E78A0000}"/>
    <cellStyle name="RIGs input totals 4 2 2 25" xfId="35169" xr:uid="{00000000-0005-0000-0000-0000E88A0000}"/>
    <cellStyle name="RIGs input totals 4 2 2 26" xfId="35170" xr:uid="{00000000-0005-0000-0000-0000E98A0000}"/>
    <cellStyle name="RIGs input totals 4 2 2 27" xfId="35171" xr:uid="{00000000-0005-0000-0000-0000EA8A0000}"/>
    <cellStyle name="RIGs input totals 4 2 2 28" xfId="35172" xr:uid="{00000000-0005-0000-0000-0000EB8A0000}"/>
    <cellStyle name="RIGs input totals 4 2 2 29" xfId="35173" xr:uid="{00000000-0005-0000-0000-0000EC8A0000}"/>
    <cellStyle name="RIGs input totals 4 2 2 3" xfId="35174" xr:uid="{00000000-0005-0000-0000-0000ED8A0000}"/>
    <cellStyle name="RIGs input totals 4 2 2 3 10" xfId="35175" xr:uid="{00000000-0005-0000-0000-0000EE8A0000}"/>
    <cellStyle name="RIGs input totals 4 2 2 3 11" xfId="35176" xr:uid="{00000000-0005-0000-0000-0000EF8A0000}"/>
    <cellStyle name="RIGs input totals 4 2 2 3 12" xfId="35177" xr:uid="{00000000-0005-0000-0000-0000F08A0000}"/>
    <cellStyle name="RIGs input totals 4 2 2 3 13" xfId="35178" xr:uid="{00000000-0005-0000-0000-0000F18A0000}"/>
    <cellStyle name="RIGs input totals 4 2 2 3 2" xfId="35179" xr:uid="{00000000-0005-0000-0000-0000F28A0000}"/>
    <cellStyle name="RIGs input totals 4 2 2 3 3" xfId="35180" xr:uid="{00000000-0005-0000-0000-0000F38A0000}"/>
    <cellStyle name="RIGs input totals 4 2 2 3 4" xfId="35181" xr:uid="{00000000-0005-0000-0000-0000F48A0000}"/>
    <cellStyle name="RIGs input totals 4 2 2 3 5" xfId="35182" xr:uid="{00000000-0005-0000-0000-0000F58A0000}"/>
    <cellStyle name="RIGs input totals 4 2 2 3 6" xfId="35183" xr:uid="{00000000-0005-0000-0000-0000F68A0000}"/>
    <cellStyle name="RIGs input totals 4 2 2 3 7" xfId="35184" xr:uid="{00000000-0005-0000-0000-0000F78A0000}"/>
    <cellStyle name="RIGs input totals 4 2 2 3 8" xfId="35185" xr:uid="{00000000-0005-0000-0000-0000F88A0000}"/>
    <cellStyle name="RIGs input totals 4 2 2 3 9" xfId="35186" xr:uid="{00000000-0005-0000-0000-0000F98A0000}"/>
    <cellStyle name="RIGs input totals 4 2 2 30" xfId="35187" xr:uid="{00000000-0005-0000-0000-0000FA8A0000}"/>
    <cellStyle name="RIGs input totals 4 2 2 31" xfId="35188" xr:uid="{00000000-0005-0000-0000-0000FB8A0000}"/>
    <cellStyle name="RIGs input totals 4 2 2 32" xfId="35189" xr:uid="{00000000-0005-0000-0000-0000FC8A0000}"/>
    <cellStyle name="RIGs input totals 4 2 2 33" xfId="35190" xr:uid="{00000000-0005-0000-0000-0000FD8A0000}"/>
    <cellStyle name="RIGs input totals 4 2 2 34" xfId="35191" xr:uid="{00000000-0005-0000-0000-0000FE8A0000}"/>
    <cellStyle name="RIGs input totals 4 2 2 35" xfId="35192" xr:uid="{00000000-0005-0000-0000-0000FF8A0000}"/>
    <cellStyle name="RIGs input totals 4 2 2 4" xfId="35193" xr:uid="{00000000-0005-0000-0000-0000008B0000}"/>
    <cellStyle name="RIGs input totals 4 2 2 5" xfId="35194" xr:uid="{00000000-0005-0000-0000-0000018B0000}"/>
    <cellStyle name="RIGs input totals 4 2 2 6" xfId="35195" xr:uid="{00000000-0005-0000-0000-0000028B0000}"/>
    <cellStyle name="RIGs input totals 4 2 2 7" xfId="35196" xr:uid="{00000000-0005-0000-0000-0000038B0000}"/>
    <cellStyle name="RIGs input totals 4 2 2 8" xfId="35197" xr:uid="{00000000-0005-0000-0000-0000048B0000}"/>
    <cellStyle name="RIGs input totals 4 2 2 9" xfId="35198" xr:uid="{00000000-0005-0000-0000-0000058B0000}"/>
    <cellStyle name="RIGs input totals 4 2 2_4 28 1_Asst_Health_Crit_AllTO_RIIO_20110714pm" xfId="35199" xr:uid="{00000000-0005-0000-0000-0000068B0000}"/>
    <cellStyle name="RIGs input totals 4 2 20" xfId="35200" xr:uid="{00000000-0005-0000-0000-0000078B0000}"/>
    <cellStyle name="RIGs input totals 4 2 21" xfId="35201" xr:uid="{00000000-0005-0000-0000-0000088B0000}"/>
    <cellStyle name="RIGs input totals 4 2 22" xfId="35202" xr:uid="{00000000-0005-0000-0000-0000098B0000}"/>
    <cellStyle name="RIGs input totals 4 2 23" xfId="35203" xr:uid="{00000000-0005-0000-0000-00000A8B0000}"/>
    <cellStyle name="RIGs input totals 4 2 24" xfId="35204" xr:uid="{00000000-0005-0000-0000-00000B8B0000}"/>
    <cellStyle name="RIGs input totals 4 2 25" xfId="35205" xr:uid="{00000000-0005-0000-0000-00000C8B0000}"/>
    <cellStyle name="RIGs input totals 4 2 26" xfId="35206" xr:uid="{00000000-0005-0000-0000-00000D8B0000}"/>
    <cellStyle name="RIGs input totals 4 2 27" xfId="35207" xr:uid="{00000000-0005-0000-0000-00000E8B0000}"/>
    <cellStyle name="RIGs input totals 4 2 28" xfId="35208" xr:uid="{00000000-0005-0000-0000-00000F8B0000}"/>
    <cellStyle name="RIGs input totals 4 2 29" xfId="35209" xr:uid="{00000000-0005-0000-0000-0000108B0000}"/>
    <cellStyle name="RIGs input totals 4 2 3" xfId="35210" xr:uid="{00000000-0005-0000-0000-0000118B0000}"/>
    <cellStyle name="RIGs input totals 4 2 3 10" xfId="35211" xr:uid="{00000000-0005-0000-0000-0000128B0000}"/>
    <cellStyle name="RIGs input totals 4 2 3 11" xfId="35212" xr:uid="{00000000-0005-0000-0000-0000138B0000}"/>
    <cellStyle name="RIGs input totals 4 2 3 12" xfId="35213" xr:uid="{00000000-0005-0000-0000-0000148B0000}"/>
    <cellStyle name="RIGs input totals 4 2 3 13" xfId="35214" xr:uid="{00000000-0005-0000-0000-0000158B0000}"/>
    <cellStyle name="RIGs input totals 4 2 3 14" xfId="35215" xr:uid="{00000000-0005-0000-0000-0000168B0000}"/>
    <cellStyle name="RIGs input totals 4 2 3 15" xfId="35216" xr:uid="{00000000-0005-0000-0000-0000178B0000}"/>
    <cellStyle name="RIGs input totals 4 2 3 16" xfId="35217" xr:uid="{00000000-0005-0000-0000-0000188B0000}"/>
    <cellStyle name="RIGs input totals 4 2 3 17" xfId="35218" xr:uid="{00000000-0005-0000-0000-0000198B0000}"/>
    <cellStyle name="RIGs input totals 4 2 3 18" xfId="35219" xr:uid="{00000000-0005-0000-0000-00001A8B0000}"/>
    <cellStyle name="RIGs input totals 4 2 3 19" xfId="35220" xr:uid="{00000000-0005-0000-0000-00001B8B0000}"/>
    <cellStyle name="RIGs input totals 4 2 3 2" xfId="35221" xr:uid="{00000000-0005-0000-0000-00001C8B0000}"/>
    <cellStyle name="RIGs input totals 4 2 3 2 10" xfId="35222" xr:uid="{00000000-0005-0000-0000-00001D8B0000}"/>
    <cellStyle name="RIGs input totals 4 2 3 2 11" xfId="35223" xr:uid="{00000000-0005-0000-0000-00001E8B0000}"/>
    <cellStyle name="RIGs input totals 4 2 3 2 12" xfId="35224" xr:uid="{00000000-0005-0000-0000-00001F8B0000}"/>
    <cellStyle name="RIGs input totals 4 2 3 2 13" xfId="35225" xr:uid="{00000000-0005-0000-0000-0000208B0000}"/>
    <cellStyle name="RIGs input totals 4 2 3 2 2" xfId="35226" xr:uid="{00000000-0005-0000-0000-0000218B0000}"/>
    <cellStyle name="RIGs input totals 4 2 3 2 3" xfId="35227" xr:uid="{00000000-0005-0000-0000-0000228B0000}"/>
    <cellStyle name="RIGs input totals 4 2 3 2 4" xfId="35228" xr:uid="{00000000-0005-0000-0000-0000238B0000}"/>
    <cellStyle name="RIGs input totals 4 2 3 2 5" xfId="35229" xr:uid="{00000000-0005-0000-0000-0000248B0000}"/>
    <cellStyle name="RIGs input totals 4 2 3 2 6" xfId="35230" xr:uid="{00000000-0005-0000-0000-0000258B0000}"/>
    <cellStyle name="RIGs input totals 4 2 3 2 7" xfId="35231" xr:uid="{00000000-0005-0000-0000-0000268B0000}"/>
    <cellStyle name="RIGs input totals 4 2 3 2 8" xfId="35232" xr:uid="{00000000-0005-0000-0000-0000278B0000}"/>
    <cellStyle name="RIGs input totals 4 2 3 2 9" xfId="35233" xr:uid="{00000000-0005-0000-0000-0000288B0000}"/>
    <cellStyle name="RIGs input totals 4 2 3 20" xfId="35234" xr:uid="{00000000-0005-0000-0000-0000298B0000}"/>
    <cellStyle name="RIGs input totals 4 2 3 21" xfId="35235" xr:uid="{00000000-0005-0000-0000-00002A8B0000}"/>
    <cellStyle name="RIGs input totals 4 2 3 22" xfId="35236" xr:uid="{00000000-0005-0000-0000-00002B8B0000}"/>
    <cellStyle name="RIGs input totals 4 2 3 23" xfId="35237" xr:uid="{00000000-0005-0000-0000-00002C8B0000}"/>
    <cellStyle name="RIGs input totals 4 2 3 24" xfId="35238" xr:uid="{00000000-0005-0000-0000-00002D8B0000}"/>
    <cellStyle name="RIGs input totals 4 2 3 25" xfId="35239" xr:uid="{00000000-0005-0000-0000-00002E8B0000}"/>
    <cellStyle name="RIGs input totals 4 2 3 26" xfId="35240" xr:uid="{00000000-0005-0000-0000-00002F8B0000}"/>
    <cellStyle name="RIGs input totals 4 2 3 27" xfId="35241" xr:uid="{00000000-0005-0000-0000-0000308B0000}"/>
    <cellStyle name="RIGs input totals 4 2 3 28" xfId="35242" xr:uid="{00000000-0005-0000-0000-0000318B0000}"/>
    <cellStyle name="RIGs input totals 4 2 3 29" xfId="35243" xr:uid="{00000000-0005-0000-0000-0000328B0000}"/>
    <cellStyle name="RIGs input totals 4 2 3 3" xfId="35244" xr:uid="{00000000-0005-0000-0000-0000338B0000}"/>
    <cellStyle name="RIGs input totals 4 2 3 30" xfId="35245" xr:uid="{00000000-0005-0000-0000-0000348B0000}"/>
    <cellStyle name="RIGs input totals 4 2 3 31" xfId="35246" xr:uid="{00000000-0005-0000-0000-0000358B0000}"/>
    <cellStyle name="RIGs input totals 4 2 3 32" xfId="35247" xr:uid="{00000000-0005-0000-0000-0000368B0000}"/>
    <cellStyle name="RIGs input totals 4 2 3 33" xfId="35248" xr:uid="{00000000-0005-0000-0000-0000378B0000}"/>
    <cellStyle name="RIGs input totals 4 2 3 34" xfId="35249" xr:uid="{00000000-0005-0000-0000-0000388B0000}"/>
    <cellStyle name="RIGs input totals 4 2 3 4" xfId="35250" xr:uid="{00000000-0005-0000-0000-0000398B0000}"/>
    <cellStyle name="RIGs input totals 4 2 3 5" xfId="35251" xr:uid="{00000000-0005-0000-0000-00003A8B0000}"/>
    <cellStyle name="RIGs input totals 4 2 3 6" xfId="35252" xr:uid="{00000000-0005-0000-0000-00003B8B0000}"/>
    <cellStyle name="RIGs input totals 4 2 3 7" xfId="35253" xr:uid="{00000000-0005-0000-0000-00003C8B0000}"/>
    <cellStyle name="RIGs input totals 4 2 3 8" xfId="35254" xr:uid="{00000000-0005-0000-0000-00003D8B0000}"/>
    <cellStyle name="RIGs input totals 4 2 3 9" xfId="35255" xr:uid="{00000000-0005-0000-0000-00003E8B0000}"/>
    <cellStyle name="RIGs input totals 4 2 30" xfId="35256" xr:uid="{00000000-0005-0000-0000-00003F8B0000}"/>
    <cellStyle name="RIGs input totals 4 2 31" xfId="35257" xr:uid="{00000000-0005-0000-0000-0000408B0000}"/>
    <cellStyle name="RIGs input totals 4 2 32" xfId="35258" xr:uid="{00000000-0005-0000-0000-0000418B0000}"/>
    <cellStyle name="RIGs input totals 4 2 33" xfId="35259" xr:uid="{00000000-0005-0000-0000-0000428B0000}"/>
    <cellStyle name="RIGs input totals 4 2 34" xfId="35260" xr:uid="{00000000-0005-0000-0000-0000438B0000}"/>
    <cellStyle name="RIGs input totals 4 2 35" xfId="35261" xr:uid="{00000000-0005-0000-0000-0000448B0000}"/>
    <cellStyle name="RIGs input totals 4 2 36" xfId="35262" xr:uid="{00000000-0005-0000-0000-0000458B0000}"/>
    <cellStyle name="RIGs input totals 4 2 37" xfId="35263" xr:uid="{00000000-0005-0000-0000-0000468B0000}"/>
    <cellStyle name="RIGs input totals 4 2 38" xfId="35264" xr:uid="{00000000-0005-0000-0000-0000478B0000}"/>
    <cellStyle name="RIGs input totals 4 2 4" xfId="35265" xr:uid="{00000000-0005-0000-0000-0000488B0000}"/>
    <cellStyle name="RIGs input totals 4 2 4 10" xfId="35266" xr:uid="{00000000-0005-0000-0000-0000498B0000}"/>
    <cellStyle name="RIGs input totals 4 2 4 11" xfId="35267" xr:uid="{00000000-0005-0000-0000-00004A8B0000}"/>
    <cellStyle name="RIGs input totals 4 2 4 12" xfId="35268" xr:uid="{00000000-0005-0000-0000-00004B8B0000}"/>
    <cellStyle name="RIGs input totals 4 2 4 13" xfId="35269" xr:uid="{00000000-0005-0000-0000-00004C8B0000}"/>
    <cellStyle name="RIGs input totals 4 2 4 14" xfId="35270" xr:uid="{00000000-0005-0000-0000-00004D8B0000}"/>
    <cellStyle name="RIGs input totals 4 2 4 15" xfId="35271" xr:uid="{00000000-0005-0000-0000-00004E8B0000}"/>
    <cellStyle name="RIGs input totals 4 2 4 16" xfId="35272" xr:uid="{00000000-0005-0000-0000-00004F8B0000}"/>
    <cellStyle name="RIGs input totals 4 2 4 17" xfId="35273" xr:uid="{00000000-0005-0000-0000-0000508B0000}"/>
    <cellStyle name="RIGs input totals 4 2 4 18" xfId="35274" xr:uid="{00000000-0005-0000-0000-0000518B0000}"/>
    <cellStyle name="RIGs input totals 4 2 4 19" xfId="35275" xr:uid="{00000000-0005-0000-0000-0000528B0000}"/>
    <cellStyle name="RIGs input totals 4 2 4 2" xfId="35276" xr:uid="{00000000-0005-0000-0000-0000538B0000}"/>
    <cellStyle name="RIGs input totals 4 2 4 2 10" xfId="35277" xr:uid="{00000000-0005-0000-0000-0000548B0000}"/>
    <cellStyle name="RIGs input totals 4 2 4 2 11" xfId="35278" xr:uid="{00000000-0005-0000-0000-0000558B0000}"/>
    <cellStyle name="RIGs input totals 4 2 4 2 12" xfId="35279" xr:uid="{00000000-0005-0000-0000-0000568B0000}"/>
    <cellStyle name="RIGs input totals 4 2 4 2 13" xfId="35280" xr:uid="{00000000-0005-0000-0000-0000578B0000}"/>
    <cellStyle name="RIGs input totals 4 2 4 2 2" xfId="35281" xr:uid="{00000000-0005-0000-0000-0000588B0000}"/>
    <cellStyle name="RIGs input totals 4 2 4 2 3" xfId="35282" xr:uid="{00000000-0005-0000-0000-0000598B0000}"/>
    <cellStyle name="RIGs input totals 4 2 4 2 4" xfId="35283" xr:uid="{00000000-0005-0000-0000-00005A8B0000}"/>
    <cellStyle name="RIGs input totals 4 2 4 2 5" xfId="35284" xr:uid="{00000000-0005-0000-0000-00005B8B0000}"/>
    <cellStyle name="RIGs input totals 4 2 4 2 6" xfId="35285" xr:uid="{00000000-0005-0000-0000-00005C8B0000}"/>
    <cellStyle name="RIGs input totals 4 2 4 2 7" xfId="35286" xr:uid="{00000000-0005-0000-0000-00005D8B0000}"/>
    <cellStyle name="RIGs input totals 4 2 4 2 8" xfId="35287" xr:uid="{00000000-0005-0000-0000-00005E8B0000}"/>
    <cellStyle name="RIGs input totals 4 2 4 2 9" xfId="35288" xr:uid="{00000000-0005-0000-0000-00005F8B0000}"/>
    <cellStyle name="RIGs input totals 4 2 4 20" xfId="35289" xr:uid="{00000000-0005-0000-0000-0000608B0000}"/>
    <cellStyle name="RIGs input totals 4 2 4 21" xfId="35290" xr:uid="{00000000-0005-0000-0000-0000618B0000}"/>
    <cellStyle name="RIGs input totals 4 2 4 22" xfId="35291" xr:uid="{00000000-0005-0000-0000-0000628B0000}"/>
    <cellStyle name="RIGs input totals 4 2 4 23" xfId="35292" xr:uid="{00000000-0005-0000-0000-0000638B0000}"/>
    <cellStyle name="RIGs input totals 4 2 4 24" xfId="35293" xr:uid="{00000000-0005-0000-0000-0000648B0000}"/>
    <cellStyle name="RIGs input totals 4 2 4 25" xfId="35294" xr:uid="{00000000-0005-0000-0000-0000658B0000}"/>
    <cellStyle name="RIGs input totals 4 2 4 26" xfId="35295" xr:uid="{00000000-0005-0000-0000-0000668B0000}"/>
    <cellStyle name="RIGs input totals 4 2 4 27" xfId="35296" xr:uid="{00000000-0005-0000-0000-0000678B0000}"/>
    <cellStyle name="RIGs input totals 4 2 4 28" xfId="35297" xr:uid="{00000000-0005-0000-0000-0000688B0000}"/>
    <cellStyle name="RIGs input totals 4 2 4 29" xfId="35298" xr:uid="{00000000-0005-0000-0000-0000698B0000}"/>
    <cellStyle name="RIGs input totals 4 2 4 3" xfId="35299" xr:uid="{00000000-0005-0000-0000-00006A8B0000}"/>
    <cellStyle name="RIGs input totals 4 2 4 30" xfId="35300" xr:uid="{00000000-0005-0000-0000-00006B8B0000}"/>
    <cellStyle name="RIGs input totals 4 2 4 31" xfId="35301" xr:uid="{00000000-0005-0000-0000-00006C8B0000}"/>
    <cellStyle name="RIGs input totals 4 2 4 32" xfId="35302" xr:uid="{00000000-0005-0000-0000-00006D8B0000}"/>
    <cellStyle name="RIGs input totals 4 2 4 33" xfId="35303" xr:uid="{00000000-0005-0000-0000-00006E8B0000}"/>
    <cellStyle name="RIGs input totals 4 2 4 34" xfId="35304" xr:uid="{00000000-0005-0000-0000-00006F8B0000}"/>
    <cellStyle name="RIGs input totals 4 2 4 4" xfId="35305" xr:uid="{00000000-0005-0000-0000-0000708B0000}"/>
    <cellStyle name="RIGs input totals 4 2 4 5" xfId="35306" xr:uid="{00000000-0005-0000-0000-0000718B0000}"/>
    <cellStyle name="RIGs input totals 4 2 4 6" xfId="35307" xr:uid="{00000000-0005-0000-0000-0000728B0000}"/>
    <cellStyle name="RIGs input totals 4 2 4 7" xfId="35308" xr:uid="{00000000-0005-0000-0000-0000738B0000}"/>
    <cellStyle name="RIGs input totals 4 2 4 8" xfId="35309" xr:uid="{00000000-0005-0000-0000-0000748B0000}"/>
    <cellStyle name="RIGs input totals 4 2 4 9" xfId="35310" xr:uid="{00000000-0005-0000-0000-0000758B0000}"/>
    <cellStyle name="RIGs input totals 4 2 5" xfId="35311" xr:uid="{00000000-0005-0000-0000-0000768B0000}"/>
    <cellStyle name="RIGs input totals 4 2 5 10" xfId="35312" xr:uid="{00000000-0005-0000-0000-0000778B0000}"/>
    <cellStyle name="RIGs input totals 4 2 5 11" xfId="35313" xr:uid="{00000000-0005-0000-0000-0000788B0000}"/>
    <cellStyle name="RIGs input totals 4 2 5 12" xfId="35314" xr:uid="{00000000-0005-0000-0000-0000798B0000}"/>
    <cellStyle name="RIGs input totals 4 2 5 13" xfId="35315" xr:uid="{00000000-0005-0000-0000-00007A8B0000}"/>
    <cellStyle name="RIGs input totals 4 2 5 2" xfId="35316" xr:uid="{00000000-0005-0000-0000-00007B8B0000}"/>
    <cellStyle name="RIGs input totals 4 2 5 3" xfId="35317" xr:uid="{00000000-0005-0000-0000-00007C8B0000}"/>
    <cellStyle name="RIGs input totals 4 2 5 4" xfId="35318" xr:uid="{00000000-0005-0000-0000-00007D8B0000}"/>
    <cellStyle name="RIGs input totals 4 2 5 5" xfId="35319" xr:uid="{00000000-0005-0000-0000-00007E8B0000}"/>
    <cellStyle name="RIGs input totals 4 2 5 6" xfId="35320" xr:uid="{00000000-0005-0000-0000-00007F8B0000}"/>
    <cellStyle name="RIGs input totals 4 2 5 7" xfId="35321" xr:uid="{00000000-0005-0000-0000-0000808B0000}"/>
    <cellStyle name="RIGs input totals 4 2 5 8" xfId="35322" xr:uid="{00000000-0005-0000-0000-0000818B0000}"/>
    <cellStyle name="RIGs input totals 4 2 5 9" xfId="35323" xr:uid="{00000000-0005-0000-0000-0000828B0000}"/>
    <cellStyle name="RIGs input totals 4 2 6" xfId="35324" xr:uid="{00000000-0005-0000-0000-0000838B0000}"/>
    <cellStyle name="RIGs input totals 4 2 7" xfId="35325" xr:uid="{00000000-0005-0000-0000-0000848B0000}"/>
    <cellStyle name="RIGs input totals 4 2 8" xfId="35326" xr:uid="{00000000-0005-0000-0000-0000858B0000}"/>
    <cellStyle name="RIGs input totals 4 2 9" xfId="35327" xr:uid="{00000000-0005-0000-0000-0000868B0000}"/>
    <cellStyle name="RIGs input totals 4 2_4 28 1_Asst_Health_Crit_AllTO_RIIO_20110714pm" xfId="35328" xr:uid="{00000000-0005-0000-0000-0000878B0000}"/>
    <cellStyle name="RIGs input totals 4 20" xfId="35329" xr:uid="{00000000-0005-0000-0000-0000888B0000}"/>
    <cellStyle name="RIGs input totals 4 21" xfId="35330" xr:uid="{00000000-0005-0000-0000-0000898B0000}"/>
    <cellStyle name="RIGs input totals 4 22" xfId="35331" xr:uid="{00000000-0005-0000-0000-00008A8B0000}"/>
    <cellStyle name="RIGs input totals 4 23" xfId="35332" xr:uid="{00000000-0005-0000-0000-00008B8B0000}"/>
    <cellStyle name="RIGs input totals 4 24" xfId="35333" xr:uid="{00000000-0005-0000-0000-00008C8B0000}"/>
    <cellStyle name="RIGs input totals 4 25" xfId="35334" xr:uid="{00000000-0005-0000-0000-00008D8B0000}"/>
    <cellStyle name="RIGs input totals 4 26" xfId="35335" xr:uid="{00000000-0005-0000-0000-00008E8B0000}"/>
    <cellStyle name="RIGs input totals 4 27" xfId="35336" xr:uid="{00000000-0005-0000-0000-00008F8B0000}"/>
    <cellStyle name="RIGs input totals 4 28" xfId="35337" xr:uid="{00000000-0005-0000-0000-0000908B0000}"/>
    <cellStyle name="RIGs input totals 4 29" xfId="35338" xr:uid="{00000000-0005-0000-0000-0000918B0000}"/>
    <cellStyle name="RIGs input totals 4 3" xfId="35339" xr:uid="{00000000-0005-0000-0000-0000928B0000}"/>
    <cellStyle name="RIGs input totals 4 3 10" xfId="35340" xr:uid="{00000000-0005-0000-0000-0000938B0000}"/>
    <cellStyle name="RIGs input totals 4 3 11" xfId="35341" xr:uid="{00000000-0005-0000-0000-0000948B0000}"/>
    <cellStyle name="RIGs input totals 4 3 12" xfId="35342" xr:uid="{00000000-0005-0000-0000-0000958B0000}"/>
    <cellStyle name="RIGs input totals 4 3 13" xfId="35343" xr:uid="{00000000-0005-0000-0000-0000968B0000}"/>
    <cellStyle name="RIGs input totals 4 3 14" xfId="35344" xr:uid="{00000000-0005-0000-0000-0000978B0000}"/>
    <cellStyle name="RIGs input totals 4 3 15" xfId="35345" xr:uid="{00000000-0005-0000-0000-0000988B0000}"/>
    <cellStyle name="RIGs input totals 4 3 16" xfId="35346" xr:uid="{00000000-0005-0000-0000-0000998B0000}"/>
    <cellStyle name="RIGs input totals 4 3 17" xfId="35347" xr:uid="{00000000-0005-0000-0000-00009A8B0000}"/>
    <cellStyle name="RIGs input totals 4 3 18" xfId="35348" xr:uid="{00000000-0005-0000-0000-00009B8B0000}"/>
    <cellStyle name="RIGs input totals 4 3 19" xfId="35349" xr:uid="{00000000-0005-0000-0000-00009C8B0000}"/>
    <cellStyle name="RIGs input totals 4 3 2" xfId="35350" xr:uid="{00000000-0005-0000-0000-00009D8B0000}"/>
    <cellStyle name="RIGs input totals 4 3 2 10" xfId="35351" xr:uid="{00000000-0005-0000-0000-00009E8B0000}"/>
    <cellStyle name="RIGs input totals 4 3 2 11" xfId="35352" xr:uid="{00000000-0005-0000-0000-00009F8B0000}"/>
    <cellStyle name="RIGs input totals 4 3 2 12" xfId="35353" xr:uid="{00000000-0005-0000-0000-0000A08B0000}"/>
    <cellStyle name="RIGs input totals 4 3 2 13" xfId="35354" xr:uid="{00000000-0005-0000-0000-0000A18B0000}"/>
    <cellStyle name="RIGs input totals 4 3 2 14" xfId="35355" xr:uid="{00000000-0005-0000-0000-0000A28B0000}"/>
    <cellStyle name="RIGs input totals 4 3 2 15" xfId="35356" xr:uid="{00000000-0005-0000-0000-0000A38B0000}"/>
    <cellStyle name="RIGs input totals 4 3 2 16" xfId="35357" xr:uid="{00000000-0005-0000-0000-0000A48B0000}"/>
    <cellStyle name="RIGs input totals 4 3 2 17" xfId="35358" xr:uid="{00000000-0005-0000-0000-0000A58B0000}"/>
    <cellStyle name="RIGs input totals 4 3 2 18" xfId="35359" xr:uid="{00000000-0005-0000-0000-0000A68B0000}"/>
    <cellStyle name="RIGs input totals 4 3 2 19" xfId="35360" xr:uid="{00000000-0005-0000-0000-0000A78B0000}"/>
    <cellStyle name="RIGs input totals 4 3 2 2" xfId="35361" xr:uid="{00000000-0005-0000-0000-0000A88B0000}"/>
    <cellStyle name="RIGs input totals 4 3 2 2 10" xfId="35362" xr:uid="{00000000-0005-0000-0000-0000A98B0000}"/>
    <cellStyle name="RIGs input totals 4 3 2 2 11" xfId="35363" xr:uid="{00000000-0005-0000-0000-0000AA8B0000}"/>
    <cellStyle name="RIGs input totals 4 3 2 2 12" xfId="35364" xr:uid="{00000000-0005-0000-0000-0000AB8B0000}"/>
    <cellStyle name="RIGs input totals 4 3 2 2 13" xfId="35365" xr:uid="{00000000-0005-0000-0000-0000AC8B0000}"/>
    <cellStyle name="RIGs input totals 4 3 2 2 2" xfId="35366" xr:uid="{00000000-0005-0000-0000-0000AD8B0000}"/>
    <cellStyle name="RIGs input totals 4 3 2 2 3" xfId="35367" xr:uid="{00000000-0005-0000-0000-0000AE8B0000}"/>
    <cellStyle name="RIGs input totals 4 3 2 2 4" xfId="35368" xr:uid="{00000000-0005-0000-0000-0000AF8B0000}"/>
    <cellStyle name="RIGs input totals 4 3 2 2 5" xfId="35369" xr:uid="{00000000-0005-0000-0000-0000B08B0000}"/>
    <cellStyle name="RIGs input totals 4 3 2 2 6" xfId="35370" xr:uid="{00000000-0005-0000-0000-0000B18B0000}"/>
    <cellStyle name="RIGs input totals 4 3 2 2 7" xfId="35371" xr:uid="{00000000-0005-0000-0000-0000B28B0000}"/>
    <cellStyle name="RIGs input totals 4 3 2 2 8" xfId="35372" xr:uid="{00000000-0005-0000-0000-0000B38B0000}"/>
    <cellStyle name="RIGs input totals 4 3 2 2 9" xfId="35373" xr:uid="{00000000-0005-0000-0000-0000B48B0000}"/>
    <cellStyle name="RIGs input totals 4 3 2 20" xfId="35374" xr:uid="{00000000-0005-0000-0000-0000B58B0000}"/>
    <cellStyle name="RIGs input totals 4 3 2 21" xfId="35375" xr:uid="{00000000-0005-0000-0000-0000B68B0000}"/>
    <cellStyle name="RIGs input totals 4 3 2 22" xfId="35376" xr:uid="{00000000-0005-0000-0000-0000B78B0000}"/>
    <cellStyle name="RIGs input totals 4 3 2 23" xfId="35377" xr:uid="{00000000-0005-0000-0000-0000B88B0000}"/>
    <cellStyle name="RIGs input totals 4 3 2 24" xfId="35378" xr:uid="{00000000-0005-0000-0000-0000B98B0000}"/>
    <cellStyle name="RIGs input totals 4 3 2 25" xfId="35379" xr:uid="{00000000-0005-0000-0000-0000BA8B0000}"/>
    <cellStyle name="RIGs input totals 4 3 2 26" xfId="35380" xr:uid="{00000000-0005-0000-0000-0000BB8B0000}"/>
    <cellStyle name="RIGs input totals 4 3 2 27" xfId="35381" xr:uid="{00000000-0005-0000-0000-0000BC8B0000}"/>
    <cellStyle name="RIGs input totals 4 3 2 28" xfId="35382" xr:uid="{00000000-0005-0000-0000-0000BD8B0000}"/>
    <cellStyle name="RIGs input totals 4 3 2 29" xfId="35383" xr:uid="{00000000-0005-0000-0000-0000BE8B0000}"/>
    <cellStyle name="RIGs input totals 4 3 2 3" xfId="35384" xr:uid="{00000000-0005-0000-0000-0000BF8B0000}"/>
    <cellStyle name="RIGs input totals 4 3 2 30" xfId="35385" xr:uid="{00000000-0005-0000-0000-0000C08B0000}"/>
    <cellStyle name="RIGs input totals 4 3 2 31" xfId="35386" xr:uid="{00000000-0005-0000-0000-0000C18B0000}"/>
    <cellStyle name="RIGs input totals 4 3 2 32" xfId="35387" xr:uid="{00000000-0005-0000-0000-0000C28B0000}"/>
    <cellStyle name="RIGs input totals 4 3 2 33" xfId="35388" xr:uid="{00000000-0005-0000-0000-0000C38B0000}"/>
    <cellStyle name="RIGs input totals 4 3 2 34" xfId="35389" xr:uid="{00000000-0005-0000-0000-0000C48B0000}"/>
    <cellStyle name="RIGs input totals 4 3 2 4" xfId="35390" xr:uid="{00000000-0005-0000-0000-0000C58B0000}"/>
    <cellStyle name="RIGs input totals 4 3 2 5" xfId="35391" xr:uid="{00000000-0005-0000-0000-0000C68B0000}"/>
    <cellStyle name="RIGs input totals 4 3 2 6" xfId="35392" xr:uid="{00000000-0005-0000-0000-0000C78B0000}"/>
    <cellStyle name="RIGs input totals 4 3 2 7" xfId="35393" xr:uid="{00000000-0005-0000-0000-0000C88B0000}"/>
    <cellStyle name="RIGs input totals 4 3 2 8" xfId="35394" xr:uid="{00000000-0005-0000-0000-0000C98B0000}"/>
    <cellStyle name="RIGs input totals 4 3 2 9" xfId="35395" xr:uid="{00000000-0005-0000-0000-0000CA8B0000}"/>
    <cellStyle name="RIGs input totals 4 3 20" xfId="35396" xr:uid="{00000000-0005-0000-0000-0000CB8B0000}"/>
    <cellStyle name="RIGs input totals 4 3 21" xfId="35397" xr:uid="{00000000-0005-0000-0000-0000CC8B0000}"/>
    <cellStyle name="RIGs input totals 4 3 22" xfId="35398" xr:uid="{00000000-0005-0000-0000-0000CD8B0000}"/>
    <cellStyle name="RIGs input totals 4 3 23" xfId="35399" xr:uid="{00000000-0005-0000-0000-0000CE8B0000}"/>
    <cellStyle name="RIGs input totals 4 3 24" xfId="35400" xr:uid="{00000000-0005-0000-0000-0000CF8B0000}"/>
    <cellStyle name="RIGs input totals 4 3 25" xfId="35401" xr:uid="{00000000-0005-0000-0000-0000D08B0000}"/>
    <cellStyle name="RIGs input totals 4 3 26" xfId="35402" xr:uid="{00000000-0005-0000-0000-0000D18B0000}"/>
    <cellStyle name="RIGs input totals 4 3 27" xfId="35403" xr:uid="{00000000-0005-0000-0000-0000D28B0000}"/>
    <cellStyle name="RIGs input totals 4 3 28" xfId="35404" xr:uid="{00000000-0005-0000-0000-0000D38B0000}"/>
    <cellStyle name="RIGs input totals 4 3 29" xfId="35405" xr:uid="{00000000-0005-0000-0000-0000D48B0000}"/>
    <cellStyle name="RIGs input totals 4 3 3" xfId="35406" xr:uid="{00000000-0005-0000-0000-0000D58B0000}"/>
    <cellStyle name="RIGs input totals 4 3 3 10" xfId="35407" xr:uid="{00000000-0005-0000-0000-0000D68B0000}"/>
    <cellStyle name="RIGs input totals 4 3 3 11" xfId="35408" xr:uid="{00000000-0005-0000-0000-0000D78B0000}"/>
    <cellStyle name="RIGs input totals 4 3 3 12" xfId="35409" xr:uid="{00000000-0005-0000-0000-0000D88B0000}"/>
    <cellStyle name="RIGs input totals 4 3 3 13" xfId="35410" xr:uid="{00000000-0005-0000-0000-0000D98B0000}"/>
    <cellStyle name="RIGs input totals 4 3 3 2" xfId="35411" xr:uid="{00000000-0005-0000-0000-0000DA8B0000}"/>
    <cellStyle name="RIGs input totals 4 3 3 3" xfId="35412" xr:uid="{00000000-0005-0000-0000-0000DB8B0000}"/>
    <cellStyle name="RIGs input totals 4 3 3 4" xfId="35413" xr:uid="{00000000-0005-0000-0000-0000DC8B0000}"/>
    <cellStyle name="RIGs input totals 4 3 3 5" xfId="35414" xr:uid="{00000000-0005-0000-0000-0000DD8B0000}"/>
    <cellStyle name="RIGs input totals 4 3 3 6" xfId="35415" xr:uid="{00000000-0005-0000-0000-0000DE8B0000}"/>
    <cellStyle name="RIGs input totals 4 3 3 7" xfId="35416" xr:uid="{00000000-0005-0000-0000-0000DF8B0000}"/>
    <cellStyle name="RIGs input totals 4 3 3 8" xfId="35417" xr:uid="{00000000-0005-0000-0000-0000E08B0000}"/>
    <cellStyle name="RIGs input totals 4 3 3 9" xfId="35418" xr:uid="{00000000-0005-0000-0000-0000E18B0000}"/>
    <cellStyle name="RIGs input totals 4 3 30" xfId="35419" xr:uid="{00000000-0005-0000-0000-0000E28B0000}"/>
    <cellStyle name="RIGs input totals 4 3 31" xfId="35420" xr:uid="{00000000-0005-0000-0000-0000E38B0000}"/>
    <cellStyle name="RIGs input totals 4 3 32" xfId="35421" xr:uid="{00000000-0005-0000-0000-0000E48B0000}"/>
    <cellStyle name="RIGs input totals 4 3 33" xfId="35422" xr:uid="{00000000-0005-0000-0000-0000E58B0000}"/>
    <cellStyle name="RIGs input totals 4 3 34" xfId="35423" xr:uid="{00000000-0005-0000-0000-0000E68B0000}"/>
    <cellStyle name="RIGs input totals 4 3 35" xfId="35424" xr:uid="{00000000-0005-0000-0000-0000E78B0000}"/>
    <cellStyle name="RIGs input totals 4 3 4" xfId="35425" xr:uid="{00000000-0005-0000-0000-0000E88B0000}"/>
    <cellStyle name="RIGs input totals 4 3 5" xfId="35426" xr:uid="{00000000-0005-0000-0000-0000E98B0000}"/>
    <cellStyle name="RIGs input totals 4 3 6" xfId="35427" xr:uid="{00000000-0005-0000-0000-0000EA8B0000}"/>
    <cellStyle name="RIGs input totals 4 3 7" xfId="35428" xr:uid="{00000000-0005-0000-0000-0000EB8B0000}"/>
    <cellStyle name="RIGs input totals 4 3 8" xfId="35429" xr:uid="{00000000-0005-0000-0000-0000EC8B0000}"/>
    <cellStyle name="RIGs input totals 4 3 9" xfId="35430" xr:uid="{00000000-0005-0000-0000-0000ED8B0000}"/>
    <cellStyle name="RIGs input totals 4 3_4 28 1_Asst_Health_Crit_AllTO_RIIO_20110714pm" xfId="35431" xr:uid="{00000000-0005-0000-0000-0000EE8B0000}"/>
    <cellStyle name="RIGs input totals 4 30" xfId="35432" xr:uid="{00000000-0005-0000-0000-0000EF8B0000}"/>
    <cellStyle name="RIGs input totals 4 31" xfId="35433" xr:uid="{00000000-0005-0000-0000-0000F08B0000}"/>
    <cellStyle name="RIGs input totals 4 32" xfId="35434" xr:uid="{00000000-0005-0000-0000-0000F18B0000}"/>
    <cellStyle name="RIGs input totals 4 33" xfId="35435" xr:uid="{00000000-0005-0000-0000-0000F28B0000}"/>
    <cellStyle name="RIGs input totals 4 34" xfId="35436" xr:uid="{00000000-0005-0000-0000-0000F38B0000}"/>
    <cellStyle name="RIGs input totals 4 35" xfId="35437" xr:uid="{00000000-0005-0000-0000-0000F48B0000}"/>
    <cellStyle name="RIGs input totals 4 36" xfId="35438" xr:uid="{00000000-0005-0000-0000-0000F58B0000}"/>
    <cellStyle name="RIGs input totals 4 37" xfId="35439" xr:uid="{00000000-0005-0000-0000-0000F68B0000}"/>
    <cellStyle name="RIGs input totals 4 38" xfId="35440" xr:uid="{00000000-0005-0000-0000-0000F78B0000}"/>
    <cellStyle name="RIGs input totals 4 39" xfId="35441" xr:uid="{00000000-0005-0000-0000-0000F88B0000}"/>
    <cellStyle name="RIGs input totals 4 4" xfId="35442" xr:uid="{00000000-0005-0000-0000-0000F98B0000}"/>
    <cellStyle name="RIGs input totals 4 4 10" xfId="35443" xr:uid="{00000000-0005-0000-0000-0000FA8B0000}"/>
    <cellStyle name="RIGs input totals 4 4 11" xfId="35444" xr:uid="{00000000-0005-0000-0000-0000FB8B0000}"/>
    <cellStyle name="RIGs input totals 4 4 12" xfId="35445" xr:uid="{00000000-0005-0000-0000-0000FC8B0000}"/>
    <cellStyle name="RIGs input totals 4 4 13" xfId="35446" xr:uid="{00000000-0005-0000-0000-0000FD8B0000}"/>
    <cellStyle name="RIGs input totals 4 4 14" xfId="35447" xr:uid="{00000000-0005-0000-0000-0000FE8B0000}"/>
    <cellStyle name="RIGs input totals 4 4 15" xfId="35448" xr:uid="{00000000-0005-0000-0000-0000FF8B0000}"/>
    <cellStyle name="RIGs input totals 4 4 16" xfId="35449" xr:uid="{00000000-0005-0000-0000-0000008C0000}"/>
    <cellStyle name="RIGs input totals 4 4 17" xfId="35450" xr:uid="{00000000-0005-0000-0000-0000018C0000}"/>
    <cellStyle name="RIGs input totals 4 4 18" xfId="35451" xr:uid="{00000000-0005-0000-0000-0000028C0000}"/>
    <cellStyle name="RIGs input totals 4 4 19" xfId="35452" xr:uid="{00000000-0005-0000-0000-0000038C0000}"/>
    <cellStyle name="RIGs input totals 4 4 2" xfId="35453" xr:uid="{00000000-0005-0000-0000-0000048C0000}"/>
    <cellStyle name="RIGs input totals 4 4 2 10" xfId="35454" xr:uid="{00000000-0005-0000-0000-0000058C0000}"/>
    <cellStyle name="RIGs input totals 4 4 2 11" xfId="35455" xr:uid="{00000000-0005-0000-0000-0000068C0000}"/>
    <cellStyle name="RIGs input totals 4 4 2 12" xfId="35456" xr:uid="{00000000-0005-0000-0000-0000078C0000}"/>
    <cellStyle name="RIGs input totals 4 4 2 13" xfId="35457" xr:uid="{00000000-0005-0000-0000-0000088C0000}"/>
    <cellStyle name="RIGs input totals 4 4 2 2" xfId="35458" xr:uid="{00000000-0005-0000-0000-0000098C0000}"/>
    <cellStyle name="RIGs input totals 4 4 2 3" xfId="35459" xr:uid="{00000000-0005-0000-0000-00000A8C0000}"/>
    <cellStyle name="RIGs input totals 4 4 2 4" xfId="35460" xr:uid="{00000000-0005-0000-0000-00000B8C0000}"/>
    <cellStyle name="RIGs input totals 4 4 2 5" xfId="35461" xr:uid="{00000000-0005-0000-0000-00000C8C0000}"/>
    <cellStyle name="RIGs input totals 4 4 2 6" xfId="35462" xr:uid="{00000000-0005-0000-0000-00000D8C0000}"/>
    <cellStyle name="RIGs input totals 4 4 2 7" xfId="35463" xr:uid="{00000000-0005-0000-0000-00000E8C0000}"/>
    <cellStyle name="RIGs input totals 4 4 2 8" xfId="35464" xr:uid="{00000000-0005-0000-0000-00000F8C0000}"/>
    <cellStyle name="RIGs input totals 4 4 2 9" xfId="35465" xr:uid="{00000000-0005-0000-0000-0000108C0000}"/>
    <cellStyle name="RIGs input totals 4 4 20" xfId="35466" xr:uid="{00000000-0005-0000-0000-0000118C0000}"/>
    <cellStyle name="RIGs input totals 4 4 21" xfId="35467" xr:uid="{00000000-0005-0000-0000-0000128C0000}"/>
    <cellStyle name="RIGs input totals 4 4 22" xfId="35468" xr:uid="{00000000-0005-0000-0000-0000138C0000}"/>
    <cellStyle name="RIGs input totals 4 4 23" xfId="35469" xr:uid="{00000000-0005-0000-0000-0000148C0000}"/>
    <cellStyle name="RIGs input totals 4 4 24" xfId="35470" xr:uid="{00000000-0005-0000-0000-0000158C0000}"/>
    <cellStyle name="RIGs input totals 4 4 25" xfId="35471" xr:uid="{00000000-0005-0000-0000-0000168C0000}"/>
    <cellStyle name="RIGs input totals 4 4 26" xfId="35472" xr:uid="{00000000-0005-0000-0000-0000178C0000}"/>
    <cellStyle name="RIGs input totals 4 4 27" xfId="35473" xr:uid="{00000000-0005-0000-0000-0000188C0000}"/>
    <cellStyle name="RIGs input totals 4 4 28" xfId="35474" xr:uid="{00000000-0005-0000-0000-0000198C0000}"/>
    <cellStyle name="RIGs input totals 4 4 29" xfId="35475" xr:uid="{00000000-0005-0000-0000-00001A8C0000}"/>
    <cellStyle name="RIGs input totals 4 4 3" xfId="35476" xr:uid="{00000000-0005-0000-0000-00001B8C0000}"/>
    <cellStyle name="RIGs input totals 4 4 30" xfId="35477" xr:uid="{00000000-0005-0000-0000-00001C8C0000}"/>
    <cellStyle name="RIGs input totals 4 4 31" xfId="35478" xr:uid="{00000000-0005-0000-0000-00001D8C0000}"/>
    <cellStyle name="RIGs input totals 4 4 32" xfId="35479" xr:uid="{00000000-0005-0000-0000-00001E8C0000}"/>
    <cellStyle name="RIGs input totals 4 4 33" xfId="35480" xr:uid="{00000000-0005-0000-0000-00001F8C0000}"/>
    <cellStyle name="RIGs input totals 4 4 34" xfId="35481" xr:uid="{00000000-0005-0000-0000-0000208C0000}"/>
    <cellStyle name="RIGs input totals 4 4 4" xfId="35482" xr:uid="{00000000-0005-0000-0000-0000218C0000}"/>
    <cellStyle name="RIGs input totals 4 4 5" xfId="35483" xr:uid="{00000000-0005-0000-0000-0000228C0000}"/>
    <cellStyle name="RIGs input totals 4 4 6" xfId="35484" xr:uid="{00000000-0005-0000-0000-0000238C0000}"/>
    <cellStyle name="RIGs input totals 4 4 7" xfId="35485" xr:uid="{00000000-0005-0000-0000-0000248C0000}"/>
    <cellStyle name="RIGs input totals 4 4 8" xfId="35486" xr:uid="{00000000-0005-0000-0000-0000258C0000}"/>
    <cellStyle name="RIGs input totals 4 4 9" xfId="35487" xr:uid="{00000000-0005-0000-0000-0000268C0000}"/>
    <cellStyle name="RIGs input totals 4 5" xfId="35488" xr:uid="{00000000-0005-0000-0000-0000278C0000}"/>
    <cellStyle name="RIGs input totals 4 5 10" xfId="35489" xr:uid="{00000000-0005-0000-0000-0000288C0000}"/>
    <cellStyle name="RIGs input totals 4 5 11" xfId="35490" xr:uid="{00000000-0005-0000-0000-0000298C0000}"/>
    <cellStyle name="RIGs input totals 4 5 12" xfId="35491" xr:uid="{00000000-0005-0000-0000-00002A8C0000}"/>
    <cellStyle name="RIGs input totals 4 5 13" xfId="35492" xr:uid="{00000000-0005-0000-0000-00002B8C0000}"/>
    <cellStyle name="RIGs input totals 4 5 14" xfId="35493" xr:uid="{00000000-0005-0000-0000-00002C8C0000}"/>
    <cellStyle name="RIGs input totals 4 5 15" xfId="35494" xr:uid="{00000000-0005-0000-0000-00002D8C0000}"/>
    <cellStyle name="RIGs input totals 4 5 16" xfId="35495" xr:uid="{00000000-0005-0000-0000-00002E8C0000}"/>
    <cellStyle name="RIGs input totals 4 5 17" xfId="35496" xr:uid="{00000000-0005-0000-0000-00002F8C0000}"/>
    <cellStyle name="RIGs input totals 4 5 18" xfId="35497" xr:uid="{00000000-0005-0000-0000-0000308C0000}"/>
    <cellStyle name="RIGs input totals 4 5 19" xfId="35498" xr:uid="{00000000-0005-0000-0000-0000318C0000}"/>
    <cellStyle name="RIGs input totals 4 5 2" xfId="35499" xr:uid="{00000000-0005-0000-0000-0000328C0000}"/>
    <cellStyle name="RIGs input totals 4 5 2 10" xfId="35500" xr:uid="{00000000-0005-0000-0000-0000338C0000}"/>
    <cellStyle name="RIGs input totals 4 5 2 11" xfId="35501" xr:uid="{00000000-0005-0000-0000-0000348C0000}"/>
    <cellStyle name="RIGs input totals 4 5 2 12" xfId="35502" xr:uid="{00000000-0005-0000-0000-0000358C0000}"/>
    <cellStyle name="RIGs input totals 4 5 2 13" xfId="35503" xr:uid="{00000000-0005-0000-0000-0000368C0000}"/>
    <cellStyle name="RIGs input totals 4 5 2 2" xfId="35504" xr:uid="{00000000-0005-0000-0000-0000378C0000}"/>
    <cellStyle name="RIGs input totals 4 5 2 3" xfId="35505" xr:uid="{00000000-0005-0000-0000-0000388C0000}"/>
    <cellStyle name="RIGs input totals 4 5 2 4" xfId="35506" xr:uid="{00000000-0005-0000-0000-0000398C0000}"/>
    <cellStyle name="RIGs input totals 4 5 2 5" xfId="35507" xr:uid="{00000000-0005-0000-0000-00003A8C0000}"/>
    <cellStyle name="RIGs input totals 4 5 2 6" xfId="35508" xr:uid="{00000000-0005-0000-0000-00003B8C0000}"/>
    <cellStyle name="RIGs input totals 4 5 2 7" xfId="35509" xr:uid="{00000000-0005-0000-0000-00003C8C0000}"/>
    <cellStyle name="RIGs input totals 4 5 2 8" xfId="35510" xr:uid="{00000000-0005-0000-0000-00003D8C0000}"/>
    <cellStyle name="RIGs input totals 4 5 2 9" xfId="35511" xr:uid="{00000000-0005-0000-0000-00003E8C0000}"/>
    <cellStyle name="RIGs input totals 4 5 20" xfId="35512" xr:uid="{00000000-0005-0000-0000-00003F8C0000}"/>
    <cellStyle name="RIGs input totals 4 5 21" xfId="35513" xr:uid="{00000000-0005-0000-0000-0000408C0000}"/>
    <cellStyle name="RIGs input totals 4 5 22" xfId="35514" xr:uid="{00000000-0005-0000-0000-0000418C0000}"/>
    <cellStyle name="RIGs input totals 4 5 23" xfId="35515" xr:uid="{00000000-0005-0000-0000-0000428C0000}"/>
    <cellStyle name="RIGs input totals 4 5 24" xfId="35516" xr:uid="{00000000-0005-0000-0000-0000438C0000}"/>
    <cellStyle name="RIGs input totals 4 5 25" xfId="35517" xr:uid="{00000000-0005-0000-0000-0000448C0000}"/>
    <cellStyle name="RIGs input totals 4 5 26" xfId="35518" xr:uid="{00000000-0005-0000-0000-0000458C0000}"/>
    <cellStyle name="RIGs input totals 4 5 27" xfId="35519" xr:uid="{00000000-0005-0000-0000-0000468C0000}"/>
    <cellStyle name="RIGs input totals 4 5 28" xfId="35520" xr:uid="{00000000-0005-0000-0000-0000478C0000}"/>
    <cellStyle name="RIGs input totals 4 5 29" xfId="35521" xr:uid="{00000000-0005-0000-0000-0000488C0000}"/>
    <cellStyle name="RIGs input totals 4 5 3" xfId="35522" xr:uid="{00000000-0005-0000-0000-0000498C0000}"/>
    <cellStyle name="RIGs input totals 4 5 30" xfId="35523" xr:uid="{00000000-0005-0000-0000-00004A8C0000}"/>
    <cellStyle name="RIGs input totals 4 5 31" xfId="35524" xr:uid="{00000000-0005-0000-0000-00004B8C0000}"/>
    <cellStyle name="RIGs input totals 4 5 32" xfId="35525" xr:uid="{00000000-0005-0000-0000-00004C8C0000}"/>
    <cellStyle name="RIGs input totals 4 5 33" xfId="35526" xr:uid="{00000000-0005-0000-0000-00004D8C0000}"/>
    <cellStyle name="RIGs input totals 4 5 34" xfId="35527" xr:uid="{00000000-0005-0000-0000-00004E8C0000}"/>
    <cellStyle name="RIGs input totals 4 5 4" xfId="35528" xr:uid="{00000000-0005-0000-0000-00004F8C0000}"/>
    <cellStyle name="RIGs input totals 4 5 5" xfId="35529" xr:uid="{00000000-0005-0000-0000-0000508C0000}"/>
    <cellStyle name="RIGs input totals 4 5 6" xfId="35530" xr:uid="{00000000-0005-0000-0000-0000518C0000}"/>
    <cellStyle name="RIGs input totals 4 5 7" xfId="35531" xr:uid="{00000000-0005-0000-0000-0000528C0000}"/>
    <cellStyle name="RIGs input totals 4 5 8" xfId="35532" xr:uid="{00000000-0005-0000-0000-0000538C0000}"/>
    <cellStyle name="RIGs input totals 4 5 9" xfId="35533" xr:uid="{00000000-0005-0000-0000-0000548C0000}"/>
    <cellStyle name="RIGs input totals 4 6" xfId="35534" xr:uid="{00000000-0005-0000-0000-0000558C0000}"/>
    <cellStyle name="RIGs input totals 4 6 10" xfId="35535" xr:uid="{00000000-0005-0000-0000-0000568C0000}"/>
    <cellStyle name="RIGs input totals 4 6 11" xfId="35536" xr:uid="{00000000-0005-0000-0000-0000578C0000}"/>
    <cellStyle name="RIGs input totals 4 6 12" xfId="35537" xr:uid="{00000000-0005-0000-0000-0000588C0000}"/>
    <cellStyle name="RIGs input totals 4 6 13" xfId="35538" xr:uid="{00000000-0005-0000-0000-0000598C0000}"/>
    <cellStyle name="RIGs input totals 4 6 2" xfId="35539" xr:uid="{00000000-0005-0000-0000-00005A8C0000}"/>
    <cellStyle name="RIGs input totals 4 6 3" xfId="35540" xr:uid="{00000000-0005-0000-0000-00005B8C0000}"/>
    <cellStyle name="RIGs input totals 4 6 4" xfId="35541" xr:uid="{00000000-0005-0000-0000-00005C8C0000}"/>
    <cellStyle name="RIGs input totals 4 6 5" xfId="35542" xr:uid="{00000000-0005-0000-0000-00005D8C0000}"/>
    <cellStyle name="RIGs input totals 4 6 6" xfId="35543" xr:uid="{00000000-0005-0000-0000-00005E8C0000}"/>
    <cellStyle name="RIGs input totals 4 6 7" xfId="35544" xr:uid="{00000000-0005-0000-0000-00005F8C0000}"/>
    <cellStyle name="RIGs input totals 4 6 8" xfId="35545" xr:uid="{00000000-0005-0000-0000-0000608C0000}"/>
    <cellStyle name="RIGs input totals 4 6 9" xfId="35546" xr:uid="{00000000-0005-0000-0000-0000618C0000}"/>
    <cellStyle name="RIGs input totals 4 7" xfId="35547" xr:uid="{00000000-0005-0000-0000-0000628C0000}"/>
    <cellStyle name="RIGs input totals 4 8" xfId="35548" xr:uid="{00000000-0005-0000-0000-0000638C0000}"/>
    <cellStyle name="RIGs input totals 4 9" xfId="35549" xr:uid="{00000000-0005-0000-0000-0000648C0000}"/>
    <cellStyle name="RIGs input totals 4_1.3s Accounting C Costs Scots" xfId="35550" xr:uid="{00000000-0005-0000-0000-0000658C0000}"/>
    <cellStyle name="RIGs input totals 40" xfId="35551" xr:uid="{00000000-0005-0000-0000-0000668C0000}"/>
    <cellStyle name="RIGs input totals 41" xfId="35552" xr:uid="{00000000-0005-0000-0000-0000678C0000}"/>
    <cellStyle name="RIGs input totals 42" xfId="35553" xr:uid="{00000000-0005-0000-0000-0000688C0000}"/>
    <cellStyle name="RIGs input totals 43" xfId="35554" xr:uid="{00000000-0005-0000-0000-0000698C0000}"/>
    <cellStyle name="RIGs input totals 44" xfId="35555" xr:uid="{00000000-0005-0000-0000-00006A8C0000}"/>
    <cellStyle name="RIGs input totals 45" xfId="35556" xr:uid="{00000000-0005-0000-0000-00006B8C0000}"/>
    <cellStyle name="RIGs input totals 46" xfId="35557" xr:uid="{00000000-0005-0000-0000-00006C8C0000}"/>
    <cellStyle name="RIGs input totals 47" xfId="35558" xr:uid="{00000000-0005-0000-0000-00006D8C0000}"/>
    <cellStyle name="RIGs input totals 48" xfId="35559" xr:uid="{00000000-0005-0000-0000-00006E8C0000}"/>
    <cellStyle name="RIGs input totals 48 2" xfId="35560" xr:uid="{00000000-0005-0000-0000-00006F8C0000}"/>
    <cellStyle name="RIGs input totals 48 2 2" xfId="35561" xr:uid="{00000000-0005-0000-0000-0000708C0000}"/>
    <cellStyle name="RIGs input totals 5" xfId="35562" xr:uid="{00000000-0005-0000-0000-0000718C0000}"/>
    <cellStyle name="RIGs input totals 5 10" xfId="35563" xr:uid="{00000000-0005-0000-0000-0000728C0000}"/>
    <cellStyle name="RIGs input totals 5 11" xfId="35564" xr:uid="{00000000-0005-0000-0000-0000738C0000}"/>
    <cellStyle name="RIGs input totals 5 12" xfId="35565" xr:uid="{00000000-0005-0000-0000-0000748C0000}"/>
    <cellStyle name="RIGs input totals 5 13" xfId="35566" xr:uid="{00000000-0005-0000-0000-0000758C0000}"/>
    <cellStyle name="RIGs input totals 5 14" xfId="35567" xr:uid="{00000000-0005-0000-0000-0000768C0000}"/>
    <cellStyle name="RIGs input totals 5 15" xfId="35568" xr:uid="{00000000-0005-0000-0000-0000778C0000}"/>
    <cellStyle name="RIGs input totals 5 16" xfId="35569" xr:uid="{00000000-0005-0000-0000-0000788C0000}"/>
    <cellStyle name="RIGs input totals 5 17" xfId="35570" xr:uid="{00000000-0005-0000-0000-0000798C0000}"/>
    <cellStyle name="RIGs input totals 5 18" xfId="35571" xr:uid="{00000000-0005-0000-0000-00007A8C0000}"/>
    <cellStyle name="RIGs input totals 5 19" xfId="35572" xr:uid="{00000000-0005-0000-0000-00007B8C0000}"/>
    <cellStyle name="RIGs input totals 5 2" xfId="35573" xr:uid="{00000000-0005-0000-0000-00007C8C0000}"/>
    <cellStyle name="RIGs input totals 5 2 10" xfId="35574" xr:uid="{00000000-0005-0000-0000-00007D8C0000}"/>
    <cellStyle name="RIGs input totals 5 2 11" xfId="35575" xr:uid="{00000000-0005-0000-0000-00007E8C0000}"/>
    <cellStyle name="RIGs input totals 5 2 12" xfId="35576" xr:uid="{00000000-0005-0000-0000-00007F8C0000}"/>
    <cellStyle name="RIGs input totals 5 2 13" xfId="35577" xr:uid="{00000000-0005-0000-0000-0000808C0000}"/>
    <cellStyle name="RIGs input totals 5 2 14" xfId="35578" xr:uid="{00000000-0005-0000-0000-0000818C0000}"/>
    <cellStyle name="RIGs input totals 5 2 15" xfId="35579" xr:uid="{00000000-0005-0000-0000-0000828C0000}"/>
    <cellStyle name="RIGs input totals 5 2 16" xfId="35580" xr:uid="{00000000-0005-0000-0000-0000838C0000}"/>
    <cellStyle name="RIGs input totals 5 2 17" xfId="35581" xr:uid="{00000000-0005-0000-0000-0000848C0000}"/>
    <cellStyle name="RIGs input totals 5 2 18" xfId="35582" xr:uid="{00000000-0005-0000-0000-0000858C0000}"/>
    <cellStyle name="RIGs input totals 5 2 19" xfId="35583" xr:uid="{00000000-0005-0000-0000-0000868C0000}"/>
    <cellStyle name="RIGs input totals 5 2 2" xfId="35584" xr:uid="{00000000-0005-0000-0000-0000878C0000}"/>
    <cellStyle name="RIGs input totals 5 2 2 10" xfId="35585" xr:uid="{00000000-0005-0000-0000-0000888C0000}"/>
    <cellStyle name="RIGs input totals 5 2 2 11" xfId="35586" xr:uid="{00000000-0005-0000-0000-0000898C0000}"/>
    <cellStyle name="RIGs input totals 5 2 2 12" xfId="35587" xr:uid="{00000000-0005-0000-0000-00008A8C0000}"/>
    <cellStyle name="RIGs input totals 5 2 2 13" xfId="35588" xr:uid="{00000000-0005-0000-0000-00008B8C0000}"/>
    <cellStyle name="RIGs input totals 5 2 2 14" xfId="35589" xr:uid="{00000000-0005-0000-0000-00008C8C0000}"/>
    <cellStyle name="RIGs input totals 5 2 2 15" xfId="35590" xr:uid="{00000000-0005-0000-0000-00008D8C0000}"/>
    <cellStyle name="RIGs input totals 5 2 2 16" xfId="35591" xr:uid="{00000000-0005-0000-0000-00008E8C0000}"/>
    <cellStyle name="RIGs input totals 5 2 2 17" xfId="35592" xr:uid="{00000000-0005-0000-0000-00008F8C0000}"/>
    <cellStyle name="RIGs input totals 5 2 2 18" xfId="35593" xr:uid="{00000000-0005-0000-0000-0000908C0000}"/>
    <cellStyle name="RIGs input totals 5 2 2 19" xfId="35594" xr:uid="{00000000-0005-0000-0000-0000918C0000}"/>
    <cellStyle name="RIGs input totals 5 2 2 2" xfId="35595" xr:uid="{00000000-0005-0000-0000-0000928C0000}"/>
    <cellStyle name="RIGs input totals 5 2 2 2 10" xfId="35596" xr:uid="{00000000-0005-0000-0000-0000938C0000}"/>
    <cellStyle name="RIGs input totals 5 2 2 2 11" xfId="35597" xr:uid="{00000000-0005-0000-0000-0000948C0000}"/>
    <cellStyle name="RIGs input totals 5 2 2 2 12" xfId="35598" xr:uid="{00000000-0005-0000-0000-0000958C0000}"/>
    <cellStyle name="RIGs input totals 5 2 2 2 13" xfId="35599" xr:uid="{00000000-0005-0000-0000-0000968C0000}"/>
    <cellStyle name="RIGs input totals 5 2 2 2 14" xfId="35600" xr:uid="{00000000-0005-0000-0000-0000978C0000}"/>
    <cellStyle name="RIGs input totals 5 2 2 2 15" xfId="35601" xr:uid="{00000000-0005-0000-0000-0000988C0000}"/>
    <cellStyle name="RIGs input totals 5 2 2 2 16" xfId="35602" xr:uid="{00000000-0005-0000-0000-0000998C0000}"/>
    <cellStyle name="RIGs input totals 5 2 2 2 17" xfId="35603" xr:uid="{00000000-0005-0000-0000-00009A8C0000}"/>
    <cellStyle name="RIGs input totals 5 2 2 2 18" xfId="35604" xr:uid="{00000000-0005-0000-0000-00009B8C0000}"/>
    <cellStyle name="RIGs input totals 5 2 2 2 19" xfId="35605" xr:uid="{00000000-0005-0000-0000-00009C8C0000}"/>
    <cellStyle name="RIGs input totals 5 2 2 2 2" xfId="35606" xr:uid="{00000000-0005-0000-0000-00009D8C0000}"/>
    <cellStyle name="RIGs input totals 5 2 2 2 2 10" xfId="35607" xr:uid="{00000000-0005-0000-0000-00009E8C0000}"/>
    <cellStyle name="RIGs input totals 5 2 2 2 2 11" xfId="35608" xr:uid="{00000000-0005-0000-0000-00009F8C0000}"/>
    <cellStyle name="RIGs input totals 5 2 2 2 2 12" xfId="35609" xr:uid="{00000000-0005-0000-0000-0000A08C0000}"/>
    <cellStyle name="RIGs input totals 5 2 2 2 2 13" xfId="35610" xr:uid="{00000000-0005-0000-0000-0000A18C0000}"/>
    <cellStyle name="RIGs input totals 5 2 2 2 2 14" xfId="35611" xr:uid="{00000000-0005-0000-0000-0000A28C0000}"/>
    <cellStyle name="RIGs input totals 5 2 2 2 2 15" xfId="35612" xr:uid="{00000000-0005-0000-0000-0000A38C0000}"/>
    <cellStyle name="RIGs input totals 5 2 2 2 2 16" xfId="35613" xr:uid="{00000000-0005-0000-0000-0000A48C0000}"/>
    <cellStyle name="RIGs input totals 5 2 2 2 2 17" xfId="35614" xr:uid="{00000000-0005-0000-0000-0000A58C0000}"/>
    <cellStyle name="RIGs input totals 5 2 2 2 2 18" xfId="35615" xr:uid="{00000000-0005-0000-0000-0000A68C0000}"/>
    <cellStyle name="RIGs input totals 5 2 2 2 2 19" xfId="35616" xr:uid="{00000000-0005-0000-0000-0000A78C0000}"/>
    <cellStyle name="RIGs input totals 5 2 2 2 2 2" xfId="35617" xr:uid="{00000000-0005-0000-0000-0000A88C0000}"/>
    <cellStyle name="RIGs input totals 5 2 2 2 2 2 10" xfId="35618" xr:uid="{00000000-0005-0000-0000-0000A98C0000}"/>
    <cellStyle name="RIGs input totals 5 2 2 2 2 2 11" xfId="35619" xr:uid="{00000000-0005-0000-0000-0000AA8C0000}"/>
    <cellStyle name="RIGs input totals 5 2 2 2 2 2 12" xfId="35620" xr:uid="{00000000-0005-0000-0000-0000AB8C0000}"/>
    <cellStyle name="RIGs input totals 5 2 2 2 2 2 13" xfId="35621" xr:uid="{00000000-0005-0000-0000-0000AC8C0000}"/>
    <cellStyle name="RIGs input totals 5 2 2 2 2 2 2" xfId="35622" xr:uid="{00000000-0005-0000-0000-0000AD8C0000}"/>
    <cellStyle name="RIGs input totals 5 2 2 2 2 2 3" xfId="35623" xr:uid="{00000000-0005-0000-0000-0000AE8C0000}"/>
    <cellStyle name="RIGs input totals 5 2 2 2 2 2 4" xfId="35624" xr:uid="{00000000-0005-0000-0000-0000AF8C0000}"/>
    <cellStyle name="RIGs input totals 5 2 2 2 2 2 5" xfId="35625" xr:uid="{00000000-0005-0000-0000-0000B08C0000}"/>
    <cellStyle name="RIGs input totals 5 2 2 2 2 2 6" xfId="35626" xr:uid="{00000000-0005-0000-0000-0000B18C0000}"/>
    <cellStyle name="RIGs input totals 5 2 2 2 2 2 7" xfId="35627" xr:uid="{00000000-0005-0000-0000-0000B28C0000}"/>
    <cellStyle name="RIGs input totals 5 2 2 2 2 2 8" xfId="35628" xr:uid="{00000000-0005-0000-0000-0000B38C0000}"/>
    <cellStyle name="RIGs input totals 5 2 2 2 2 2 9" xfId="35629" xr:uid="{00000000-0005-0000-0000-0000B48C0000}"/>
    <cellStyle name="RIGs input totals 5 2 2 2 2 20" xfId="35630" xr:uid="{00000000-0005-0000-0000-0000B58C0000}"/>
    <cellStyle name="RIGs input totals 5 2 2 2 2 21" xfId="35631" xr:uid="{00000000-0005-0000-0000-0000B68C0000}"/>
    <cellStyle name="RIGs input totals 5 2 2 2 2 22" xfId="35632" xr:uid="{00000000-0005-0000-0000-0000B78C0000}"/>
    <cellStyle name="RIGs input totals 5 2 2 2 2 23" xfId="35633" xr:uid="{00000000-0005-0000-0000-0000B88C0000}"/>
    <cellStyle name="RIGs input totals 5 2 2 2 2 24" xfId="35634" xr:uid="{00000000-0005-0000-0000-0000B98C0000}"/>
    <cellStyle name="RIGs input totals 5 2 2 2 2 25" xfId="35635" xr:uid="{00000000-0005-0000-0000-0000BA8C0000}"/>
    <cellStyle name="RIGs input totals 5 2 2 2 2 26" xfId="35636" xr:uid="{00000000-0005-0000-0000-0000BB8C0000}"/>
    <cellStyle name="RIGs input totals 5 2 2 2 2 27" xfId="35637" xr:uid="{00000000-0005-0000-0000-0000BC8C0000}"/>
    <cellStyle name="RIGs input totals 5 2 2 2 2 28" xfId="35638" xr:uid="{00000000-0005-0000-0000-0000BD8C0000}"/>
    <cellStyle name="RIGs input totals 5 2 2 2 2 29" xfId="35639" xr:uid="{00000000-0005-0000-0000-0000BE8C0000}"/>
    <cellStyle name="RIGs input totals 5 2 2 2 2 3" xfId="35640" xr:uid="{00000000-0005-0000-0000-0000BF8C0000}"/>
    <cellStyle name="RIGs input totals 5 2 2 2 2 30" xfId="35641" xr:uid="{00000000-0005-0000-0000-0000C08C0000}"/>
    <cellStyle name="RIGs input totals 5 2 2 2 2 31" xfId="35642" xr:uid="{00000000-0005-0000-0000-0000C18C0000}"/>
    <cellStyle name="RIGs input totals 5 2 2 2 2 32" xfId="35643" xr:uid="{00000000-0005-0000-0000-0000C28C0000}"/>
    <cellStyle name="RIGs input totals 5 2 2 2 2 33" xfId="35644" xr:uid="{00000000-0005-0000-0000-0000C38C0000}"/>
    <cellStyle name="RIGs input totals 5 2 2 2 2 34" xfId="35645" xr:uid="{00000000-0005-0000-0000-0000C48C0000}"/>
    <cellStyle name="RIGs input totals 5 2 2 2 2 4" xfId="35646" xr:uid="{00000000-0005-0000-0000-0000C58C0000}"/>
    <cellStyle name="RIGs input totals 5 2 2 2 2 5" xfId="35647" xr:uid="{00000000-0005-0000-0000-0000C68C0000}"/>
    <cellStyle name="RIGs input totals 5 2 2 2 2 6" xfId="35648" xr:uid="{00000000-0005-0000-0000-0000C78C0000}"/>
    <cellStyle name="RIGs input totals 5 2 2 2 2 7" xfId="35649" xr:uid="{00000000-0005-0000-0000-0000C88C0000}"/>
    <cellStyle name="RIGs input totals 5 2 2 2 2 8" xfId="35650" xr:uid="{00000000-0005-0000-0000-0000C98C0000}"/>
    <cellStyle name="RIGs input totals 5 2 2 2 2 9" xfId="35651" xr:uid="{00000000-0005-0000-0000-0000CA8C0000}"/>
    <cellStyle name="RIGs input totals 5 2 2 2 20" xfId="35652" xr:uid="{00000000-0005-0000-0000-0000CB8C0000}"/>
    <cellStyle name="RIGs input totals 5 2 2 2 21" xfId="35653" xr:uid="{00000000-0005-0000-0000-0000CC8C0000}"/>
    <cellStyle name="RIGs input totals 5 2 2 2 22" xfId="35654" xr:uid="{00000000-0005-0000-0000-0000CD8C0000}"/>
    <cellStyle name="RIGs input totals 5 2 2 2 23" xfId="35655" xr:uid="{00000000-0005-0000-0000-0000CE8C0000}"/>
    <cellStyle name="RIGs input totals 5 2 2 2 24" xfId="35656" xr:uid="{00000000-0005-0000-0000-0000CF8C0000}"/>
    <cellStyle name="RIGs input totals 5 2 2 2 25" xfId="35657" xr:uid="{00000000-0005-0000-0000-0000D08C0000}"/>
    <cellStyle name="RIGs input totals 5 2 2 2 26" xfId="35658" xr:uid="{00000000-0005-0000-0000-0000D18C0000}"/>
    <cellStyle name="RIGs input totals 5 2 2 2 27" xfId="35659" xr:uid="{00000000-0005-0000-0000-0000D28C0000}"/>
    <cellStyle name="RIGs input totals 5 2 2 2 28" xfId="35660" xr:uid="{00000000-0005-0000-0000-0000D38C0000}"/>
    <cellStyle name="RIGs input totals 5 2 2 2 29" xfId="35661" xr:uid="{00000000-0005-0000-0000-0000D48C0000}"/>
    <cellStyle name="RIGs input totals 5 2 2 2 3" xfId="35662" xr:uid="{00000000-0005-0000-0000-0000D58C0000}"/>
    <cellStyle name="RIGs input totals 5 2 2 2 3 10" xfId="35663" xr:uid="{00000000-0005-0000-0000-0000D68C0000}"/>
    <cellStyle name="RIGs input totals 5 2 2 2 3 11" xfId="35664" xr:uid="{00000000-0005-0000-0000-0000D78C0000}"/>
    <cellStyle name="RIGs input totals 5 2 2 2 3 12" xfId="35665" xr:uid="{00000000-0005-0000-0000-0000D88C0000}"/>
    <cellStyle name="RIGs input totals 5 2 2 2 3 13" xfId="35666" xr:uid="{00000000-0005-0000-0000-0000D98C0000}"/>
    <cellStyle name="RIGs input totals 5 2 2 2 3 2" xfId="35667" xr:uid="{00000000-0005-0000-0000-0000DA8C0000}"/>
    <cellStyle name="RIGs input totals 5 2 2 2 3 3" xfId="35668" xr:uid="{00000000-0005-0000-0000-0000DB8C0000}"/>
    <cellStyle name="RIGs input totals 5 2 2 2 3 4" xfId="35669" xr:uid="{00000000-0005-0000-0000-0000DC8C0000}"/>
    <cellStyle name="RIGs input totals 5 2 2 2 3 5" xfId="35670" xr:uid="{00000000-0005-0000-0000-0000DD8C0000}"/>
    <cellStyle name="RIGs input totals 5 2 2 2 3 6" xfId="35671" xr:uid="{00000000-0005-0000-0000-0000DE8C0000}"/>
    <cellStyle name="RIGs input totals 5 2 2 2 3 7" xfId="35672" xr:uid="{00000000-0005-0000-0000-0000DF8C0000}"/>
    <cellStyle name="RIGs input totals 5 2 2 2 3 8" xfId="35673" xr:uid="{00000000-0005-0000-0000-0000E08C0000}"/>
    <cellStyle name="RIGs input totals 5 2 2 2 3 9" xfId="35674" xr:uid="{00000000-0005-0000-0000-0000E18C0000}"/>
    <cellStyle name="RIGs input totals 5 2 2 2 30" xfId="35675" xr:uid="{00000000-0005-0000-0000-0000E28C0000}"/>
    <cellStyle name="RIGs input totals 5 2 2 2 31" xfId="35676" xr:uid="{00000000-0005-0000-0000-0000E38C0000}"/>
    <cellStyle name="RIGs input totals 5 2 2 2 4" xfId="35677" xr:uid="{00000000-0005-0000-0000-0000E48C0000}"/>
    <cellStyle name="RIGs input totals 5 2 2 2 5" xfId="35678" xr:uid="{00000000-0005-0000-0000-0000E58C0000}"/>
    <cellStyle name="RIGs input totals 5 2 2 2 6" xfId="35679" xr:uid="{00000000-0005-0000-0000-0000E68C0000}"/>
    <cellStyle name="RIGs input totals 5 2 2 2 7" xfId="35680" xr:uid="{00000000-0005-0000-0000-0000E78C0000}"/>
    <cellStyle name="RIGs input totals 5 2 2 2 8" xfId="35681" xr:uid="{00000000-0005-0000-0000-0000E88C0000}"/>
    <cellStyle name="RIGs input totals 5 2 2 2 9" xfId="35682" xr:uid="{00000000-0005-0000-0000-0000E98C0000}"/>
    <cellStyle name="RIGs input totals 5 2 2 2_4 28 1_Asst_Health_Crit_AllTO_RIIO_20110714pm" xfId="35683" xr:uid="{00000000-0005-0000-0000-0000EA8C0000}"/>
    <cellStyle name="RIGs input totals 5 2 2 20" xfId="35684" xr:uid="{00000000-0005-0000-0000-0000EB8C0000}"/>
    <cellStyle name="RIGs input totals 5 2 2 21" xfId="35685" xr:uid="{00000000-0005-0000-0000-0000EC8C0000}"/>
    <cellStyle name="RIGs input totals 5 2 2 22" xfId="35686" xr:uid="{00000000-0005-0000-0000-0000ED8C0000}"/>
    <cellStyle name="RIGs input totals 5 2 2 23" xfId="35687" xr:uid="{00000000-0005-0000-0000-0000EE8C0000}"/>
    <cellStyle name="RIGs input totals 5 2 2 24" xfId="35688" xr:uid="{00000000-0005-0000-0000-0000EF8C0000}"/>
    <cellStyle name="RIGs input totals 5 2 2 25" xfId="35689" xr:uid="{00000000-0005-0000-0000-0000F08C0000}"/>
    <cellStyle name="RIGs input totals 5 2 2 26" xfId="35690" xr:uid="{00000000-0005-0000-0000-0000F18C0000}"/>
    <cellStyle name="RIGs input totals 5 2 2 27" xfId="35691" xr:uid="{00000000-0005-0000-0000-0000F28C0000}"/>
    <cellStyle name="RIGs input totals 5 2 2 28" xfId="35692" xr:uid="{00000000-0005-0000-0000-0000F38C0000}"/>
    <cellStyle name="RIGs input totals 5 2 2 29" xfId="35693" xr:uid="{00000000-0005-0000-0000-0000F48C0000}"/>
    <cellStyle name="RIGs input totals 5 2 2 3" xfId="35694" xr:uid="{00000000-0005-0000-0000-0000F58C0000}"/>
    <cellStyle name="RIGs input totals 5 2 2 3 10" xfId="35695" xr:uid="{00000000-0005-0000-0000-0000F68C0000}"/>
    <cellStyle name="RIGs input totals 5 2 2 3 11" xfId="35696" xr:uid="{00000000-0005-0000-0000-0000F78C0000}"/>
    <cellStyle name="RIGs input totals 5 2 2 3 12" xfId="35697" xr:uid="{00000000-0005-0000-0000-0000F88C0000}"/>
    <cellStyle name="RIGs input totals 5 2 2 3 13" xfId="35698" xr:uid="{00000000-0005-0000-0000-0000F98C0000}"/>
    <cellStyle name="RIGs input totals 5 2 2 3 14" xfId="35699" xr:uid="{00000000-0005-0000-0000-0000FA8C0000}"/>
    <cellStyle name="RIGs input totals 5 2 2 3 15" xfId="35700" xr:uid="{00000000-0005-0000-0000-0000FB8C0000}"/>
    <cellStyle name="RIGs input totals 5 2 2 3 16" xfId="35701" xr:uid="{00000000-0005-0000-0000-0000FC8C0000}"/>
    <cellStyle name="RIGs input totals 5 2 2 3 17" xfId="35702" xr:uid="{00000000-0005-0000-0000-0000FD8C0000}"/>
    <cellStyle name="RIGs input totals 5 2 2 3 18" xfId="35703" xr:uid="{00000000-0005-0000-0000-0000FE8C0000}"/>
    <cellStyle name="RIGs input totals 5 2 2 3 19" xfId="35704" xr:uid="{00000000-0005-0000-0000-0000FF8C0000}"/>
    <cellStyle name="RIGs input totals 5 2 2 3 2" xfId="35705" xr:uid="{00000000-0005-0000-0000-0000008D0000}"/>
    <cellStyle name="RIGs input totals 5 2 2 3 2 10" xfId="35706" xr:uid="{00000000-0005-0000-0000-0000018D0000}"/>
    <cellStyle name="RIGs input totals 5 2 2 3 2 11" xfId="35707" xr:uid="{00000000-0005-0000-0000-0000028D0000}"/>
    <cellStyle name="RIGs input totals 5 2 2 3 2 12" xfId="35708" xr:uid="{00000000-0005-0000-0000-0000038D0000}"/>
    <cellStyle name="RIGs input totals 5 2 2 3 2 13" xfId="35709" xr:uid="{00000000-0005-0000-0000-0000048D0000}"/>
    <cellStyle name="RIGs input totals 5 2 2 3 2 2" xfId="35710" xr:uid="{00000000-0005-0000-0000-0000058D0000}"/>
    <cellStyle name="RIGs input totals 5 2 2 3 2 3" xfId="35711" xr:uid="{00000000-0005-0000-0000-0000068D0000}"/>
    <cellStyle name="RIGs input totals 5 2 2 3 2 4" xfId="35712" xr:uid="{00000000-0005-0000-0000-0000078D0000}"/>
    <cellStyle name="RIGs input totals 5 2 2 3 2 5" xfId="35713" xr:uid="{00000000-0005-0000-0000-0000088D0000}"/>
    <cellStyle name="RIGs input totals 5 2 2 3 2 6" xfId="35714" xr:uid="{00000000-0005-0000-0000-0000098D0000}"/>
    <cellStyle name="RIGs input totals 5 2 2 3 2 7" xfId="35715" xr:uid="{00000000-0005-0000-0000-00000A8D0000}"/>
    <cellStyle name="RIGs input totals 5 2 2 3 2 8" xfId="35716" xr:uid="{00000000-0005-0000-0000-00000B8D0000}"/>
    <cellStyle name="RIGs input totals 5 2 2 3 2 9" xfId="35717" xr:uid="{00000000-0005-0000-0000-00000C8D0000}"/>
    <cellStyle name="RIGs input totals 5 2 2 3 20" xfId="35718" xr:uid="{00000000-0005-0000-0000-00000D8D0000}"/>
    <cellStyle name="RIGs input totals 5 2 2 3 21" xfId="35719" xr:uid="{00000000-0005-0000-0000-00000E8D0000}"/>
    <cellStyle name="RIGs input totals 5 2 2 3 22" xfId="35720" xr:uid="{00000000-0005-0000-0000-00000F8D0000}"/>
    <cellStyle name="RIGs input totals 5 2 2 3 23" xfId="35721" xr:uid="{00000000-0005-0000-0000-0000108D0000}"/>
    <cellStyle name="RIGs input totals 5 2 2 3 24" xfId="35722" xr:uid="{00000000-0005-0000-0000-0000118D0000}"/>
    <cellStyle name="RIGs input totals 5 2 2 3 25" xfId="35723" xr:uid="{00000000-0005-0000-0000-0000128D0000}"/>
    <cellStyle name="RIGs input totals 5 2 2 3 26" xfId="35724" xr:uid="{00000000-0005-0000-0000-0000138D0000}"/>
    <cellStyle name="RIGs input totals 5 2 2 3 27" xfId="35725" xr:uid="{00000000-0005-0000-0000-0000148D0000}"/>
    <cellStyle name="RIGs input totals 5 2 2 3 28" xfId="35726" xr:uid="{00000000-0005-0000-0000-0000158D0000}"/>
    <cellStyle name="RIGs input totals 5 2 2 3 29" xfId="35727" xr:uid="{00000000-0005-0000-0000-0000168D0000}"/>
    <cellStyle name="RIGs input totals 5 2 2 3 3" xfId="35728" xr:uid="{00000000-0005-0000-0000-0000178D0000}"/>
    <cellStyle name="RIGs input totals 5 2 2 3 30" xfId="35729" xr:uid="{00000000-0005-0000-0000-0000188D0000}"/>
    <cellStyle name="RIGs input totals 5 2 2 3 4" xfId="35730" xr:uid="{00000000-0005-0000-0000-0000198D0000}"/>
    <cellStyle name="RIGs input totals 5 2 2 3 5" xfId="35731" xr:uid="{00000000-0005-0000-0000-00001A8D0000}"/>
    <cellStyle name="RIGs input totals 5 2 2 3 6" xfId="35732" xr:uid="{00000000-0005-0000-0000-00001B8D0000}"/>
    <cellStyle name="RIGs input totals 5 2 2 3 7" xfId="35733" xr:uid="{00000000-0005-0000-0000-00001C8D0000}"/>
    <cellStyle name="RIGs input totals 5 2 2 3 8" xfId="35734" xr:uid="{00000000-0005-0000-0000-00001D8D0000}"/>
    <cellStyle name="RIGs input totals 5 2 2 3 9" xfId="35735" xr:uid="{00000000-0005-0000-0000-00001E8D0000}"/>
    <cellStyle name="RIGs input totals 5 2 2 30" xfId="35736" xr:uid="{00000000-0005-0000-0000-00001F8D0000}"/>
    <cellStyle name="RIGs input totals 5 2 2 31" xfId="35737" xr:uid="{00000000-0005-0000-0000-0000208D0000}"/>
    <cellStyle name="RIGs input totals 5 2 2 32" xfId="35738" xr:uid="{00000000-0005-0000-0000-0000218D0000}"/>
    <cellStyle name="RIGs input totals 5 2 2 33" xfId="35739" xr:uid="{00000000-0005-0000-0000-0000228D0000}"/>
    <cellStyle name="RIGs input totals 5 2 2 4" xfId="35740" xr:uid="{00000000-0005-0000-0000-0000238D0000}"/>
    <cellStyle name="RIGs input totals 5 2 2 4 10" xfId="35741" xr:uid="{00000000-0005-0000-0000-0000248D0000}"/>
    <cellStyle name="RIGs input totals 5 2 2 4 11" xfId="35742" xr:uid="{00000000-0005-0000-0000-0000258D0000}"/>
    <cellStyle name="RIGs input totals 5 2 2 4 12" xfId="35743" xr:uid="{00000000-0005-0000-0000-0000268D0000}"/>
    <cellStyle name="RIGs input totals 5 2 2 4 13" xfId="35744" xr:uid="{00000000-0005-0000-0000-0000278D0000}"/>
    <cellStyle name="RIGs input totals 5 2 2 4 14" xfId="35745" xr:uid="{00000000-0005-0000-0000-0000288D0000}"/>
    <cellStyle name="RIGs input totals 5 2 2 4 15" xfId="35746" xr:uid="{00000000-0005-0000-0000-0000298D0000}"/>
    <cellStyle name="RIGs input totals 5 2 2 4 16" xfId="35747" xr:uid="{00000000-0005-0000-0000-00002A8D0000}"/>
    <cellStyle name="RIGs input totals 5 2 2 4 17" xfId="35748" xr:uid="{00000000-0005-0000-0000-00002B8D0000}"/>
    <cellStyle name="RIGs input totals 5 2 2 4 18" xfId="35749" xr:uid="{00000000-0005-0000-0000-00002C8D0000}"/>
    <cellStyle name="RIGs input totals 5 2 2 4 19" xfId="35750" xr:uid="{00000000-0005-0000-0000-00002D8D0000}"/>
    <cellStyle name="RIGs input totals 5 2 2 4 2" xfId="35751" xr:uid="{00000000-0005-0000-0000-00002E8D0000}"/>
    <cellStyle name="RIGs input totals 5 2 2 4 2 10" xfId="35752" xr:uid="{00000000-0005-0000-0000-00002F8D0000}"/>
    <cellStyle name="RIGs input totals 5 2 2 4 2 11" xfId="35753" xr:uid="{00000000-0005-0000-0000-0000308D0000}"/>
    <cellStyle name="RIGs input totals 5 2 2 4 2 12" xfId="35754" xr:uid="{00000000-0005-0000-0000-0000318D0000}"/>
    <cellStyle name="RIGs input totals 5 2 2 4 2 13" xfId="35755" xr:uid="{00000000-0005-0000-0000-0000328D0000}"/>
    <cellStyle name="RIGs input totals 5 2 2 4 2 2" xfId="35756" xr:uid="{00000000-0005-0000-0000-0000338D0000}"/>
    <cellStyle name="RIGs input totals 5 2 2 4 2 3" xfId="35757" xr:uid="{00000000-0005-0000-0000-0000348D0000}"/>
    <cellStyle name="RIGs input totals 5 2 2 4 2 4" xfId="35758" xr:uid="{00000000-0005-0000-0000-0000358D0000}"/>
    <cellStyle name="RIGs input totals 5 2 2 4 2 5" xfId="35759" xr:uid="{00000000-0005-0000-0000-0000368D0000}"/>
    <cellStyle name="RIGs input totals 5 2 2 4 2 6" xfId="35760" xr:uid="{00000000-0005-0000-0000-0000378D0000}"/>
    <cellStyle name="RIGs input totals 5 2 2 4 2 7" xfId="35761" xr:uid="{00000000-0005-0000-0000-0000388D0000}"/>
    <cellStyle name="RIGs input totals 5 2 2 4 2 8" xfId="35762" xr:uid="{00000000-0005-0000-0000-0000398D0000}"/>
    <cellStyle name="RIGs input totals 5 2 2 4 2 9" xfId="35763" xr:uid="{00000000-0005-0000-0000-00003A8D0000}"/>
    <cellStyle name="RIGs input totals 5 2 2 4 20" xfId="35764" xr:uid="{00000000-0005-0000-0000-00003B8D0000}"/>
    <cellStyle name="RIGs input totals 5 2 2 4 21" xfId="35765" xr:uid="{00000000-0005-0000-0000-00003C8D0000}"/>
    <cellStyle name="RIGs input totals 5 2 2 4 22" xfId="35766" xr:uid="{00000000-0005-0000-0000-00003D8D0000}"/>
    <cellStyle name="RIGs input totals 5 2 2 4 23" xfId="35767" xr:uid="{00000000-0005-0000-0000-00003E8D0000}"/>
    <cellStyle name="RIGs input totals 5 2 2 4 24" xfId="35768" xr:uid="{00000000-0005-0000-0000-00003F8D0000}"/>
    <cellStyle name="RIGs input totals 5 2 2 4 25" xfId="35769" xr:uid="{00000000-0005-0000-0000-0000408D0000}"/>
    <cellStyle name="RIGs input totals 5 2 2 4 26" xfId="35770" xr:uid="{00000000-0005-0000-0000-0000418D0000}"/>
    <cellStyle name="RIGs input totals 5 2 2 4 27" xfId="35771" xr:uid="{00000000-0005-0000-0000-0000428D0000}"/>
    <cellStyle name="RIGs input totals 5 2 2 4 28" xfId="35772" xr:uid="{00000000-0005-0000-0000-0000438D0000}"/>
    <cellStyle name="RIGs input totals 5 2 2 4 29" xfId="35773" xr:uid="{00000000-0005-0000-0000-0000448D0000}"/>
    <cellStyle name="RIGs input totals 5 2 2 4 3" xfId="35774" xr:uid="{00000000-0005-0000-0000-0000458D0000}"/>
    <cellStyle name="RIGs input totals 5 2 2 4 30" xfId="35775" xr:uid="{00000000-0005-0000-0000-0000468D0000}"/>
    <cellStyle name="RIGs input totals 5 2 2 4 4" xfId="35776" xr:uid="{00000000-0005-0000-0000-0000478D0000}"/>
    <cellStyle name="RIGs input totals 5 2 2 4 5" xfId="35777" xr:uid="{00000000-0005-0000-0000-0000488D0000}"/>
    <cellStyle name="RIGs input totals 5 2 2 4 6" xfId="35778" xr:uid="{00000000-0005-0000-0000-0000498D0000}"/>
    <cellStyle name="RIGs input totals 5 2 2 4 7" xfId="35779" xr:uid="{00000000-0005-0000-0000-00004A8D0000}"/>
    <cellStyle name="RIGs input totals 5 2 2 4 8" xfId="35780" xr:uid="{00000000-0005-0000-0000-00004B8D0000}"/>
    <cellStyle name="RIGs input totals 5 2 2 4 9" xfId="35781" xr:uid="{00000000-0005-0000-0000-00004C8D0000}"/>
    <cellStyle name="RIGs input totals 5 2 2 5" xfId="35782" xr:uid="{00000000-0005-0000-0000-00004D8D0000}"/>
    <cellStyle name="RIGs input totals 5 2 2 5 10" xfId="35783" xr:uid="{00000000-0005-0000-0000-00004E8D0000}"/>
    <cellStyle name="RIGs input totals 5 2 2 5 11" xfId="35784" xr:uid="{00000000-0005-0000-0000-00004F8D0000}"/>
    <cellStyle name="RIGs input totals 5 2 2 5 12" xfId="35785" xr:uid="{00000000-0005-0000-0000-0000508D0000}"/>
    <cellStyle name="RIGs input totals 5 2 2 5 13" xfId="35786" xr:uid="{00000000-0005-0000-0000-0000518D0000}"/>
    <cellStyle name="RIGs input totals 5 2 2 5 2" xfId="35787" xr:uid="{00000000-0005-0000-0000-0000528D0000}"/>
    <cellStyle name="RIGs input totals 5 2 2 5 3" xfId="35788" xr:uid="{00000000-0005-0000-0000-0000538D0000}"/>
    <cellStyle name="RIGs input totals 5 2 2 5 4" xfId="35789" xr:uid="{00000000-0005-0000-0000-0000548D0000}"/>
    <cellStyle name="RIGs input totals 5 2 2 5 5" xfId="35790" xr:uid="{00000000-0005-0000-0000-0000558D0000}"/>
    <cellStyle name="RIGs input totals 5 2 2 5 6" xfId="35791" xr:uid="{00000000-0005-0000-0000-0000568D0000}"/>
    <cellStyle name="RIGs input totals 5 2 2 5 7" xfId="35792" xr:uid="{00000000-0005-0000-0000-0000578D0000}"/>
    <cellStyle name="RIGs input totals 5 2 2 5 8" xfId="35793" xr:uid="{00000000-0005-0000-0000-0000588D0000}"/>
    <cellStyle name="RIGs input totals 5 2 2 5 9" xfId="35794" xr:uid="{00000000-0005-0000-0000-0000598D0000}"/>
    <cellStyle name="RIGs input totals 5 2 2 6" xfId="35795" xr:uid="{00000000-0005-0000-0000-00005A8D0000}"/>
    <cellStyle name="RIGs input totals 5 2 2 7" xfId="35796" xr:uid="{00000000-0005-0000-0000-00005B8D0000}"/>
    <cellStyle name="RIGs input totals 5 2 2 8" xfId="35797" xr:uid="{00000000-0005-0000-0000-00005C8D0000}"/>
    <cellStyle name="RIGs input totals 5 2 2 9" xfId="35798" xr:uid="{00000000-0005-0000-0000-00005D8D0000}"/>
    <cellStyle name="RIGs input totals 5 2 2_4 28 1_Asst_Health_Crit_AllTO_RIIO_20110714pm" xfId="35799" xr:uid="{00000000-0005-0000-0000-00005E8D0000}"/>
    <cellStyle name="RIGs input totals 5 2 20" xfId="35800" xr:uid="{00000000-0005-0000-0000-00005F8D0000}"/>
    <cellStyle name="RIGs input totals 5 2 21" xfId="35801" xr:uid="{00000000-0005-0000-0000-0000608D0000}"/>
    <cellStyle name="RIGs input totals 5 2 22" xfId="35802" xr:uid="{00000000-0005-0000-0000-0000618D0000}"/>
    <cellStyle name="RIGs input totals 5 2 23" xfId="35803" xr:uid="{00000000-0005-0000-0000-0000628D0000}"/>
    <cellStyle name="RIGs input totals 5 2 24" xfId="35804" xr:uid="{00000000-0005-0000-0000-0000638D0000}"/>
    <cellStyle name="RIGs input totals 5 2 25" xfId="35805" xr:uid="{00000000-0005-0000-0000-0000648D0000}"/>
    <cellStyle name="RIGs input totals 5 2 26" xfId="35806" xr:uid="{00000000-0005-0000-0000-0000658D0000}"/>
    <cellStyle name="RIGs input totals 5 2 27" xfId="35807" xr:uid="{00000000-0005-0000-0000-0000668D0000}"/>
    <cellStyle name="RIGs input totals 5 2 28" xfId="35808" xr:uid="{00000000-0005-0000-0000-0000678D0000}"/>
    <cellStyle name="RIGs input totals 5 2 29" xfId="35809" xr:uid="{00000000-0005-0000-0000-0000688D0000}"/>
    <cellStyle name="RIGs input totals 5 2 3" xfId="35810" xr:uid="{00000000-0005-0000-0000-0000698D0000}"/>
    <cellStyle name="RIGs input totals 5 2 3 10" xfId="35811" xr:uid="{00000000-0005-0000-0000-00006A8D0000}"/>
    <cellStyle name="RIGs input totals 5 2 3 11" xfId="35812" xr:uid="{00000000-0005-0000-0000-00006B8D0000}"/>
    <cellStyle name="RIGs input totals 5 2 3 12" xfId="35813" xr:uid="{00000000-0005-0000-0000-00006C8D0000}"/>
    <cellStyle name="RIGs input totals 5 2 3 13" xfId="35814" xr:uid="{00000000-0005-0000-0000-00006D8D0000}"/>
    <cellStyle name="RIGs input totals 5 2 3 14" xfId="35815" xr:uid="{00000000-0005-0000-0000-00006E8D0000}"/>
    <cellStyle name="RIGs input totals 5 2 3 15" xfId="35816" xr:uid="{00000000-0005-0000-0000-00006F8D0000}"/>
    <cellStyle name="RIGs input totals 5 2 3 16" xfId="35817" xr:uid="{00000000-0005-0000-0000-0000708D0000}"/>
    <cellStyle name="RIGs input totals 5 2 3 17" xfId="35818" xr:uid="{00000000-0005-0000-0000-0000718D0000}"/>
    <cellStyle name="RIGs input totals 5 2 3 18" xfId="35819" xr:uid="{00000000-0005-0000-0000-0000728D0000}"/>
    <cellStyle name="RIGs input totals 5 2 3 19" xfId="35820" xr:uid="{00000000-0005-0000-0000-0000738D0000}"/>
    <cellStyle name="RIGs input totals 5 2 3 2" xfId="35821" xr:uid="{00000000-0005-0000-0000-0000748D0000}"/>
    <cellStyle name="RIGs input totals 5 2 3 2 10" xfId="35822" xr:uid="{00000000-0005-0000-0000-0000758D0000}"/>
    <cellStyle name="RIGs input totals 5 2 3 2 11" xfId="35823" xr:uid="{00000000-0005-0000-0000-0000768D0000}"/>
    <cellStyle name="RIGs input totals 5 2 3 2 12" xfId="35824" xr:uid="{00000000-0005-0000-0000-0000778D0000}"/>
    <cellStyle name="RIGs input totals 5 2 3 2 13" xfId="35825" xr:uid="{00000000-0005-0000-0000-0000788D0000}"/>
    <cellStyle name="RIGs input totals 5 2 3 2 14" xfId="35826" xr:uid="{00000000-0005-0000-0000-0000798D0000}"/>
    <cellStyle name="RIGs input totals 5 2 3 2 15" xfId="35827" xr:uid="{00000000-0005-0000-0000-00007A8D0000}"/>
    <cellStyle name="RIGs input totals 5 2 3 2 16" xfId="35828" xr:uid="{00000000-0005-0000-0000-00007B8D0000}"/>
    <cellStyle name="RIGs input totals 5 2 3 2 17" xfId="35829" xr:uid="{00000000-0005-0000-0000-00007C8D0000}"/>
    <cellStyle name="RIGs input totals 5 2 3 2 18" xfId="35830" xr:uid="{00000000-0005-0000-0000-00007D8D0000}"/>
    <cellStyle name="RIGs input totals 5 2 3 2 19" xfId="35831" xr:uid="{00000000-0005-0000-0000-00007E8D0000}"/>
    <cellStyle name="RIGs input totals 5 2 3 2 2" xfId="35832" xr:uid="{00000000-0005-0000-0000-00007F8D0000}"/>
    <cellStyle name="RIGs input totals 5 2 3 2 2 10" xfId="35833" xr:uid="{00000000-0005-0000-0000-0000808D0000}"/>
    <cellStyle name="RIGs input totals 5 2 3 2 2 11" xfId="35834" xr:uid="{00000000-0005-0000-0000-0000818D0000}"/>
    <cellStyle name="RIGs input totals 5 2 3 2 2 12" xfId="35835" xr:uid="{00000000-0005-0000-0000-0000828D0000}"/>
    <cellStyle name="RIGs input totals 5 2 3 2 2 13" xfId="35836" xr:uid="{00000000-0005-0000-0000-0000838D0000}"/>
    <cellStyle name="RIGs input totals 5 2 3 2 2 2" xfId="35837" xr:uid="{00000000-0005-0000-0000-0000848D0000}"/>
    <cellStyle name="RIGs input totals 5 2 3 2 2 3" xfId="35838" xr:uid="{00000000-0005-0000-0000-0000858D0000}"/>
    <cellStyle name="RIGs input totals 5 2 3 2 2 4" xfId="35839" xr:uid="{00000000-0005-0000-0000-0000868D0000}"/>
    <cellStyle name="RIGs input totals 5 2 3 2 2 5" xfId="35840" xr:uid="{00000000-0005-0000-0000-0000878D0000}"/>
    <cellStyle name="RIGs input totals 5 2 3 2 2 6" xfId="35841" xr:uid="{00000000-0005-0000-0000-0000888D0000}"/>
    <cellStyle name="RIGs input totals 5 2 3 2 2 7" xfId="35842" xr:uid="{00000000-0005-0000-0000-0000898D0000}"/>
    <cellStyle name="RIGs input totals 5 2 3 2 2 8" xfId="35843" xr:uid="{00000000-0005-0000-0000-00008A8D0000}"/>
    <cellStyle name="RIGs input totals 5 2 3 2 2 9" xfId="35844" xr:uid="{00000000-0005-0000-0000-00008B8D0000}"/>
    <cellStyle name="RIGs input totals 5 2 3 2 20" xfId="35845" xr:uid="{00000000-0005-0000-0000-00008C8D0000}"/>
    <cellStyle name="RIGs input totals 5 2 3 2 21" xfId="35846" xr:uid="{00000000-0005-0000-0000-00008D8D0000}"/>
    <cellStyle name="RIGs input totals 5 2 3 2 22" xfId="35847" xr:uid="{00000000-0005-0000-0000-00008E8D0000}"/>
    <cellStyle name="RIGs input totals 5 2 3 2 23" xfId="35848" xr:uid="{00000000-0005-0000-0000-00008F8D0000}"/>
    <cellStyle name="RIGs input totals 5 2 3 2 24" xfId="35849" xr:uid="{00000000-0005-0000-0000-0000908D0000}"/>
    <cellStyle name="RIGs input totals 5 2 3 2 25" xfId="35850" xr:uid="{00000000-0005-0000-0000-0000918D0000}"/>
    <cellStyle name="RIGs input totals 5 2 3 2 26" xfId="35851" xr:uid="{00000000-0005-0000-0000-0000928D0000}"/>
    <cellStyle name="RIGs input totals 5 2 3 2 27" xfId="35852" xr:uid="{00000000-0005-0000-0000-0000938D0000}"/>
    <cellStyle name="RIGs input totals 5 2 3 2 28" xfId="35853" xr:uid="{00000000-0005-0000-0000-0000948D0000}"/>
    <cellStyle name="RIGs input totals 5 2 3 2 29" xfId="35854" xr:uid="{00000000-0005-0000-0000-0000958D0000}"/>
    <cellStyle name="RIGs input totals 5 2 3 2 3" xfId="35855" xr:uid="{00000000-0005-0000-0000-0000968D0000}"/>
    <cellStyle name="RIGs input totals 5 2 3 2 30" xfId="35856" xr:uid="{00000000-0005-0000-0000-0000978D0000}"/>
    <cellStyle name="RIGs input totals 5 2 3 2 31" xfId="35857" xr:uid="{00000000-0005-0000-0000-0000988D0000}"/>
    <cellStyle name="RIGs input totals 5 2 3 2 32" xfId="35858" xr:uid="{00000000-0005-0000-0000-0000998D0000}"/>
    <cellStyle name="RIGs input totals 5 2 3 2 33" xfId="35859" xr:uid="{00000000-0005-0000-0000-00009A8D0000}"/>
    <cellStyle name="RIGs input totals 5 2 3 2 34" xfId="35860" xr:uid="{00000000-0005-0000-0000-00009B8D0000}"/>
    <cellStyle name="RIGs input totals 5 2 3 2 4" xfId="35861" xr:uid="{00000000-0005-0000-0000-00009C8D0000}"/>
    <cellStyle name="RIGs input totals 5 2 3 2 5" xfId="35862" xr:uid="{00000000-0005-0000-0000-00009D8D0000}"/>
    <cellStyle name="RIGs input totals 5 2 3 2 6" xfId="35863" xr:uid="{00000000-0005-0000-0000-00009E8D0000}"/>
    <cellStyle name="RIGs input totals 5 2 3 2 7" xfId="35864" xr:uid="{00000000-0005-0000-0000-00009F8D0000}"/>
    <cellStyle name="RIGs input totals 5 2 3 2 8" xfId="35865" xr:uid="{00000000-0005-0000-0000-0000A08D0000}"/>
    <cellStyle name="RIGs input totals 5 2 3 2 9" xfId="35866" xr:uid="{00000000-0005-0000-0000-0000A18D0000}"/>
    <cellStyle name="RIGs input totals 5 2 3 20" xfId="35867" xr:uid="{00000000-0005-0000-0000-0000A28D0000}"/>
    <cellStyle name="RIGs input totals 5 2 3 21" xfId="35868" xr:uid="{00000000-0005-0000-0000-0000A38D0000}"/>
    <cellStyle name="RIGs input totals 5 2 3 22" xfId="35869" xr:uid="{00000000-0005-0000-0000-0000A48D0000}"/>
    <cellStyle name="RIGs input totals 5 2 3 23" xfId="35870" xr:uid="{00000000-0005-0000-0000-0000A58D0000}"/>
    <cellStyle name="RIGs input totals 5 2 3 24" xfId="35871" xr:uid="{00000000-0005-0000-0000-0000A68D0000}"/>
    <cellStyle name="RIGs input totals 5 2 3 25" xfId="35872" xr:uid="{00000000-0005-0000-0000-0000A78D0000}"/>
    <cellStyle name="RIGs input totals 5 2 3 26" xfId="35873" xr:uid="{00000000-0005-0000-0000-0000A88D0000}"/>
    <cellStyle name="RIGs input totals 5 2 3 27" xfId="35874" xr:uid="{00000000-0005-0000-0000-0000A98D0000}"/>
    <cellStyle name="RIGs input totals 5 2 3 28" xfId="35875" xr:uid="{00000000-0005-0000-0000-0000AA8D0000}"/>
    <cellStyle name="RIGs input totals 5 2 3 29" xfId="35876" xr:uid="{00000000-0005-0000-0000-0000AB8D0000}"/>
    <cellStyle name="RIGs input totals 5 2 3 3" xfId="35877" xr:uid="{00000000-0005-0000-0000-0000AC8D0000}"/>
    <cellStyle name="RIGs input totals 5 2 3 3 10" xfId="35878" xr:uid="{00000000-0005-0000-0000-0000AD8D0000}"/>
    <cellStyle name="RIGs input totals 5 2 3 3 11" xfId="35879" xr:uid="{00000000-0005-0000-0000-0000AE8D0000}"/>
    <cellStyle name="RIGs input totals 5 2 3 3 12" xfId="35880" xr:uid="{00000000-0005-0000-0000-0000AF8D0000}"/>
    <cellStyle name="RIGs input totals 5 2 3 3 13" xfId="35881" xr:uid="{00000000-0005-0000-0000-0000B08D0000}"/>
    <cellStyle name="RIGs input totals 5 2 3 3 2" xfId="35882" xr:uid="{00000000-0005-0000-0000-0000B18D0000}"/>
    <cellStyle name="RIGs input totals 5 2 3 3 3" xfId="35883" xr:uid="{00000000-0005-0000-0000-0000B28D0000}"/>
    <cellStyle name="RIGs input totals 5 2 3 3 4" xfId="35884" xr:uid="{00000000-0005-0000-0000-0000B38D0000}"/>
    <cellStyle name="RIGs input totals 5 2 3 3 5" xfId="35885" xr:uid="{00000000-0005-0000-0000-0000B48D0000}"/>
    <cellStyle name="RIGs input totals 5 2 3 3 6" xfId="35886" xr:uid="{00000000-0005-0000-0000-0000B58D0000}"/>
    <cellStyle name="RIGs input totals 5 2 3 3 7" xfId="35887" xr:uid="{00000000-0005-0000-0000-0000B68D0000}"/>
    <cellStyle name="RIGs input totals 5 2 3 3 8" xfId="35888" xr:uid="{00000000-0005-0000-0000-0000B78D0000}"/>
    <cellStyle name="RIGs input totals 5 2 3 3 9" xfId="35889" xr:uid="{00000000-0005-0000-0000-0000B88D0000}"/>
    <cellStyle name="RIGs input totals 5 2 3 30" xfId="35890" xr:uid="{00000000-0005-0000-0000-0000B98D0000}"/>
    <cellStyle name="RIGs input totals 5 2 3 31" xfId="35891" xr:uid="{00000000-0005-0000-0000-0000BA8D0000}"/>
    <cellStyle name="RIGs input totals 5 2 3 32" xfId="35892" xr:uid="{00000000-0005-0000-0000-0000BB8D0000}"/>
    <cellStyle name="RIGs input totals 5 2 3 33" xfId="35893" xr:uid="{00000000-0005-0000-0000-0000BC8D0000}"/>
    <cellStyle name="RIGs input totals 5 2 3 34" xfId="35894" xr:uid="{00000000-0005-0000-0000-0000BD8D0000}"/>
    <cellStyle name="RIGs input totals 5 2 3 35" xfId="35895" xr:uid="{00000000-0005-0000-0000-0000BE8D0000}"/>
    <cellStyle name="RIGs input totals 5 2 3 4" xfId="35896" xr:uid="{00000000-0005-0000-0000-0000BF8D0000}"/>
    <cellStyle name="RIGs input totals 5 2 3 5" xfId="35897" xr:uid="{00000000-0005-0000-0000-0000C08D0000}"/>
    <cellStyle name="RIGs input totals 5 2 3 6" xfId="35898" xr:uid="{00000000-0005-0000-0000-0000C18D0000}"/>
    <cellStyle name="RIGs input totals 5 2 3 7" xfId="35899" xr:uid="{00000000-0005-0000-0000-0000C28D0000}"/>
    <cellStyle name="RIGs input totals 5 2 3 8" xfId="35900" xr:uid="{00000000-0005-0000-0000-0000C38D0000}"/>
    <cellStyle name="RIGs input totals 5 2 3 9" xfId="35901" xr:uid="{00000000-0005-0000-0000-0000C48D0000}"/>
    <cellStyle name="RIGs input totals 5 2 3_4 28 1_Asst_Health_Crit_AllTO_RIIO_20110714pm" xfId="35902" xr:uid="{00000000-0005-0000-0000-0000C58D0000}"/>
    <cellStyle name="RIGs input totals 5 2 30" xfId="35903" xr:uid="{00000000-0005-0000-0000-0000C68D0000}"/>
    <cellStyle name="RIGs input totals 5 2 31" xfId="35904" xr:uid="{00000000-0005-0000-0000-0000C78D0000}"/>
    <cellStyle name="RIGs input totals 5 2 32" xfId="35905" xr:uid="{00000000-0005-0000-0000-0000C88D0000}"/>
    <cellStyle name="RIGs input totals 5 2 33" xfId="35906" xr:uid="{00000000-0005-0000-0000-0000C98D0000}"/>
    <cellStyle name="RIGs input totals 5 2 34" xfId="35907" xr:uid="{00000000-0005-0000-0000-0000CA8D0000}"/>
    <cellStyle name="RIGs input totals 5 2 35" xfId="35908" xr:uid="{00000000-0005-0000-0000-0000CB8D0000}"/>
    <cellStyle name="RIGs input totals 5 2 36" xfId="35909" xr:uid="{00000000-0005-0000-0000-0000CC8D0000}"/>
    <cellStyle name="RIGs input totals 5 2 37" xfId="35910" xr:uid="{00000000-0005-0000-0000-0000CD8D0000}"/>
    <cellStyle name="RIGs input totals 5 2 38" xfId="35911" xr:uid="{00000000-0005-0000-0000-0000CE8D0000}"/>
    <cellStyle name="RIGs input totals 5 2 39" xfId="35912" xr:uid="{00000000-0005-0000-0000-0000CF8D0000}"/>
    <cellStyle name="RIGs input totals 5 2 4" xfId="35913" xr:uid="{00000000-0005-0000-0000-0000D08D0000}"/>
    <cellStyle name="RIGs input totals 5 2 4 10" xfId="35914" xr:uid="{00000000-0005-0000-0000-0000D18D0000}"/>
    <cellStyle name="RIGs input totals 5 2 4 11" xfId="35915" xr:uid="{00000000-0005-0000-0000-0000D28D0000}"/>
    <cellStyle name="RIGs input totals 5 2 4 12" xfId="35916" xr:uid="{00000000-0005-0000-0000-0000D38D0000}"/>
    <cellStyle name="RIGs input totals 5 2 4 13" xfId="35917" xr:uid="{00000000-0005-0000-0000-0000D48D0000}"/>
    <cellStyle name="RIGs input totals 5 2 4 14" xfId="35918" xr:uid="{00000000-0005-0000-0000-0000D58D0000}"/>
    <cellStyle name="RIGs input totals 5 2 4 15" xfId="35919" xr:uid="{00000000-0005-0000-0000-0000D68D0000}"/>
    <cellStyle name="RIGs input totals 5 2 4 16" xfId="35920" xr:uid="{00000000-0005-0000-0000-0000D78D0000}"/>
    <cellStyle name="RIGs input totals 5 2 4 17" xfId="35921" xr:uid="{00000000-0005-0000-0000-0000D88D0000}"/>
    <cellStyle name="RIGs input totals 5 2 4 18" xfId="35922" xr:uid="{00000000-0005-0000-0000-0000D98D0000}"/>
    <cellStyle name="RIGs input totals 5 2 4 19" xfId="35923" xr:uid="{00000000-0005-0000-0000-0000DA8D0000}"/>
    <cellStyle name="RIGs input totals 5 2 4 2" xfId="35924" xr:uid="{00000000-0005-0000-0000-0000DB8D0000}"/>
    <cellStyle name="RIGs input totals 5 2 4 2 10" xfId="35925" xr:uid="{00000000-0005-0000-0000-0000DC8D0000}"/>
    <cellStyle name="RIGs input totals 5 2 4 2 11" xfId="35926" xr:uid="{00000000-0005-0000-0000-0000DD8D0000}"/>
    <cellStyle name="RIGs input totals 5 2 4 2 12" xfId="35927" xr:uid="{00000000-0005-0000-0000-0000DE8D0000}"/>
    <cellStyle name="RIGs input totals 5 2 4 2 13" xfId="35928" xr:uid="{00000000-0005-0000-0000-0000DF8D0000}"/>
    <cellStyle name="RIGs input totals 5 2 4 2 2" xfId="35929" xr:uid="{00000000-0005-0000-0000-0000E08D0000}"/>
    <cellStyle name="RIGs input totals 5 2 4 2 3" xfId="35930" xr:uid="{00000000-0005-0000-0000-0000E18D0000}"/>
    <cellStyle name="RIGs input totals 5 2 4 2 4" xfId="35931" xr:uid="{00000000-0005-0000-0000-0000E28D0000}"/>
    <cellStyle name="RIGs input totals 5 2 4 2 5" xfId="35932" xr:uid="{00000000-0005-0000-0000-0000E38D0000}"/>
    <cellStyle name="RIGs input totals 5 2 4 2 6" xfId="35933" xr:uid="{00000000-0005-0000-0000-0000E48D0000}"/>
    <cellStyle name="RIGs input totals 5 2 4 2 7" xfId="35934" xr:uid="{00000000-0005-0000-0000-0000E58D0000}"/>
    <cellStyle name="RIGs input totals 5 2 4 2 8" xfId="35935" xr:uid="{00000000-0005-0000-0000-0000E68D0000}"/>
    <cellStyle name="RIGs input totals 5 2 4 2 9" xfId="35936" xr:uid="{00000000-0005-0000-0000-0000E78D0000}"/>
    <cellStyle name="RIGs input totals 5 2 4 20" xfId="35937" xr:uid="{00000000-0005-0000-0000-0000E88D0000}"/>
    <cellStyle name="RIGs input totals 5 2 4 21" xfId="35938" xr:uid="{00000000-0005-0000-0000-0000E98D0000}"/>
    <cellStyle name="RIGs input totals 5 2 4 22" xfId="35939" xr:uid="{00000000-0005-0000-0000-0000EA8D0000}"/>
    <cellStyle name="RIGs input totals 5 2 4 23" xfId="35940" xr:uid="{00000000-0005-0000-0000-0000EB8D0000}"/>
    <cellStyle name="RIGs input totals 5 2 4 24" xfId="35941" xr:uid="{00000000-0005-0000-0000-0000EC8D0000}"/>
    <cellStyle name="RIGs input totals 5 2 4 25" xfId="35942" xr:uid="{00000000-0005-0000-0000-0000ED8D0000}"/>
    <cellStyle name="RIGs input totals 5 2 4 26" xfId="35943" xr:uid="{00000000-0005-0000-0000-0000EE8D0000}"/>
    <cellStyle name="RIGs input totals 5 2 4 27" xfId="35944" xr:uid="{00000000-0005-0000-0000-0000EF8D0000}"/>
    <cellStyle name="RIGs input totals 5 2 4 28" xfId="35945" xr:uid="{00000000-0005-0000-0000-0000F08D0000}"/>
    <cellStyle name="RIGs input totals 5 2 4 29" xfId="35946" xr:uid="{00000000-0005-0000-0000-0000F18D0000}"/>
    <cellStyle name="RIGs input totals 5 2 4 3" xfId="35947" xr:uid="{00000000-0005-0000-0000-0000F28D0000}"/>
    <cellStyle name="RIGs input totals 5 2 4 30" xfId="35948" xr:uid="{00000000-0005-0000-0000-0000F38D0000}"/>
    <cellStyle name="RIGs input totals 5 2 4 31" xfId="35949" xr:uid="{00000000-0005-0000-0000-0000F48D0000}"/>
    <cellStyle name="RIGs input totals 5 2 4 32" xfId="35950" xr:uid="{00000000-0005-0000-0000-0000F58D0000}"/>
    <cellStyle name="RIGs input totals 5 2 4 33" xfId="35951" xr:uid="{00000000-0005-0000-0000-0000F68D0000}"/>
    <cellStyle name="RIGs input totals 5 2 4 34" xfId="35952" xr:uid="{00000000-0005-0000-0000-0000F78D0000}"/>
    <cellStyle name="RIGs input totals 5 2 4 4" xfId="35953" xr:uid="{00000000-0005-0000-0000-0000F88D0000}"/>
    <cellStyle name="RIGs input totals 5 2 4 5" xfId="35954" xr:uid="{00000000-0005-0000-0000-0000F98D0000}"/>
    <cellStyle name="RIGs input totals 5 2 4 6" xfId="35955" xr:uid="{00000000-0005-0000-0000-0000FA8D0000}"/>
    <cellStyle name="RIGs input totals 5 2 4 7" xfId="35956" xr:uid="{00000000-0005-0000-0000-0000FB8D0000}"/>
    <cellStyle name="RIGs input totals 5 2 4 8" xfId="35957" xr:uid="{00000000-0005-0000-0000-0000FC8D0000}"/>
    <cellStyle name="RIGs input totals 5 2 4 9" xfId="35958" xr:uid="{00000000-0005-0000-0000-0000FD8D0000}"/>
    <cellStyle name="RIGs input totals 5 2 5" xfId="35959" xr:uid="{00000000-0005-0000-0000-0000FE8D0000}"/>
    <cellStyle name="RIGs input totals 5 2 5 10" xfId="35960" xr:uid="{00000000-0005-0000-0000-0000FF8D0000}"/>
    <cellStyle name="RIGs input totals 5 2 5 11" xfId="35961" xr:uid="{00000000-0005-0000-0000-0000008E0000}"/>
    <cellStyle name="RIGs input totals 5 2 5 12" xfId="35962" xr:uid="{00000000-0005-0000-0000-0000018E0000}"/>
    <cellStyle name="RIGs input totals 5 2 5 13" xfId="35963" xr:uid="{00000000-0005-0000-0000-0000028E0000}"/>
    <cellStyle name="RIGs input totals 5 2 5 14" xfId="35964" xr:uid="{00000000-0005-0000-0000-0000038E0000}"/>
    <cellStyle name="RIGs input totals 5 2 5 15" xfId="35965" xr:uid="{00000000-0005-0000-0000-0000048E0000}"/>
    <cellStyle name="RIGs input totals 5 2 5 16" xfId="35966" xr:uid="{00000000-0005-0000-0000-0000058E0000}"/>
    <cellStyle name="RIGs input totals 5 2 5 17" xfId="35967" xr:uid="{00000000-0005-0000-0000-0000068E0000}"/>
    <cellStyle name="RIGs input totals 5 2 5 18" xfId="35968" xr:uid="{00000000-0005-0000-0000-0000078E0000}"/>
    <cellStyle name="RIGs input totals 5 2 5 19" xfId="35969" xr:uid="{00000000-0005-0000-0000-0000088E0000}"/>
    <cellStyle name="RIGs input totals 5 2 5 2" xfId="35970" xr:uid="{00000000-0005-0000-0000-0000098E0000}"/>
    <cellStyle name="RIGs input totals 5 2 5 2 10" xfId="35971" xr:uid="{00000000-0005-0000-0000-00000A8E0000}"/>
    <cellStyle name="RIGs input totals 5 2 5 2 11" xfId="35972" xr:uid="{00000000-0005-0000-0000-00000B8E0000}"/>
    <cellStyle name="RIGs input totals 5 2 5 2 12" xfId="35973" xr:uid="{00000000-0005-0000-0000-00000C8E0000}"/>
    <cellStyle name="RIGs input totals 5 2 5 2 13" xfId="35974" xr:uid="{00000000-0005-0000-0000-00000D8E0000}"/>
    <cellStyle name="RIGs input totals 5 2 5 2 2" xfId="35975" xr:uid="{00000000-0005-0000-0000-00000E8E0000}"/>
    <cellStyle name="RIGs input totals 5 2 5 2 3" xfId="35976" xr:uid="{00000000-0005-0000-0000-00000F8E0000}"/>
    <cellStyle name="RIGs input totals 5 2 5 2 4" xfId="35977" xr:uid="{00000000-0005-0000-0000-0000108E0000}"/>
    <cellStyle name="RIGs input totals 5 2 5 2 5" xfId="35978" xr:uid="{00000000-0005-0000-0000-0000118E0000}"/>
    <cellStyle name="RIGs input totals 5 2 5 2 6" xfId="35979" xr:uid="{00000000-0005-0000-0000-0000128E0000}"/>
    <cellStyle name="RIGs input totals 5 2 5 2 7" xfId="35980" xr:uid="{00000000-0005-0000-0000-0000138E0000}"/>
    <cellStyle name="RIGs input totals 5 2 5 2 8" xfId="35981" xr:uid="{00000000-0005-0000-0000-0000148E0000}"/>
    <cellStyle name="RIGs input totals 5 2 5 2 9" xfId="35982" xr:uid="{00000000-0005-0000-0000-0000158E0000}"/>
    <cellStyle name="RIGs input totals 5 2 5 20" xfId="35983" xr:uid="{00000000-0005-0000-0000-0000168E0000}"/>
    <cellStyle name="RIGs input totals 5 2 5 21" xfId="35984" xr:uid="{00000000-0005-0000-0000-0000178E0000}"/>
    <cellStyle name="RIGs input totals 5 2 5 22" xfId="35985" xr:uid="{00000000-0005-0000-0000-0000188E0000}"/>
    <cellStyle name="RIGs input totals 5 2 5 23" xfId="35986" xr:uid="{00000000-0005-0000-0000-0000198E0000}"/>
    <cellStyle name="RIGs input totals 5 2 5 24" xfId="35987" xr:uid="{00000000-0005-0000-0000-00001A8E0000}"/>
    <cellStyle name="RIGs input totals 5 2 5 25" xfId="35988" xr:uid="{00000000-0005-0000-0000-00001B8E0000}"/>
    <cellStyle name="RIGs input totals 5 2 5 26" xfId="35989" xr:uid="{00000000-0005-0000-0000-00001C8E0000}"/>
    <cellStyle name="RIGs input totals 5 2 5 27" xfId="35990" xr:uid="{00000000-0005-0000-0000-00001D8E0000}"/>
    <cellStyle name="RIGs input totals 5 2 5 28" xfId="35991" xr:uid="{00000000-0005-0000-0000-00001E8E0000}"/>
    <cellStyle name="RIGs input totals 5 2 5 29" xfId="35992" xr:uid="{00000000-0005-0000-0000-00001F8E0000}"/>
    <cellStyle name="RIGs input totals 5 2 5 3" xfId="35993" xr:uid="{00000000-0005-0000-0000-0000208E0000}"/>
    <cellStyle name="RIGs input totals 5 2 5 30" xfId="35994" xr:uid="{00000000-0005-0000-0000-0000218E0000}"/>
    <cellStyle name="RIGs input totals 5 2 5 31" xfId="35995" xr:uid="{00000000-0005-0000-0000-0000228E0000}"/>
    <cellStyle name="RIGs input totals 5 2 5 32" xfId="35996" xr:uid="{00000000-0005-0000-0000-0000238E0000}"/>
    <cellStyle name="RIGs input totals 5 2 5 33" xfId="35997" xr:uid="{00000000-0005-0000-0000-0000248E0000}"/>
    <cellStyle name="RIGs input totals 5 2 5 34" xfId="35998" xr:uid="{00000000-0005-0000-0000-0000258E0000}"/>
    <cellStyle name="RIGs input totals 5 2 5 4" xfId="35999" xr:uid="{00000000-0005-0000-0000-0000268E0000}"/>
    <cellStyle name="RIGs input totals 5 2 5 5" xfId="36000" xr:uid="{00000000-0005-0000-0000-0000278E0000}"/>
    <cellStyle name="RIGs input totals 5 2 5 6" xfId="36001" xr:uid="{00000000-0005-0000-0000-0000288E0000}"/>
    <cellStyle name="RIGs input totals 5 2 5 7" xfId="36002" xr:uid="{00000000-0005-0000-0000-0000298E0000}"/>
    <cellStyle name="RIGs input totals 5 2 5 8" xfId="36003" xr:uid="{00000000-0005-0000-0000-00002A8E0000}"/>
    <cellStyle name="RIGs input totals 5 2 5 9" xfId="36004" xr:uid="{00000000-0005-0000-0000-00002B8E0000}"/>
    <cellStyle name="RIGs input totals 5 2 6" xfId="36005" xr:uid="{00000000-0005-0000-0000-00002C8E0000}"/>
    <cellStyle name="RIGs input totals 5 2 6 10" xfId="36006" xr:uid="{00000000-0005-0000-0000-00002D8E0000}"/>
    <cellStyle name="RIGs input totals 5 2 6 11" xfId="36007" xr:uid="{00000000-0005-0000-0000-00002E8E0000}"/>
    <cellStyle name="RIGs input totals 5 2 6 12" xfId="36008" xr:uid="{00000000-0005-0000-0000-00002F8E0000}"/>
    <cellStyle name="RIGs input totals 5 2 6 13" xfId="36009" xr:uid="{00000000-0005-0000-0000-0000308E0000}"/>
    <cellStyle name="RIGs input totals 5 2 6 2" xfId="36010" xr:uid="{00000000-0005-0000-0000-0000318E0000}"/>
    <cellStyle name="RIGs input totals 5 2 6 3" xfId="36011" xr:uid="{00000000-0005-0000-0000-0000328E0000}"/>
    <cellStyle name="RIGs input totals 5 2 6 4" xfId="36012" xr:uid="{00000000-0005-0000-0000-0000338E0000}"/>
    <cellStyle name="RIGs input totals 5 2 6 5" xfId="36013" xr:uid="{00000000-0005-0000-0000-0000348E0000}"/>
    <cellStyle name="RIGs input totals 5 2 6 6" xfId="36014" xr:uid="{00000000-0005-0000-0000-0000358E0000}"/>
    <cellStyle name="RIGs input totals 5 2 6 7" xfId="36015" xr:uid="{00000000-0005-0000-0000-0000368E0000}"/>
    <cellStyle name="RIGs input totals 5 2 6 8" xfId="36016" xr:uid="{00000000-0005-0000-0000-0000378E0000}"/>
    <cellStyle name="RIGs input totals 5 2 6 9" xfId="36017" xr:uid="{00000000-0005-0000-0000-0000388E0000}"/>
    <cellStyle name="RIGs input totals 5 2 7" xfId="36018" xr:uid="{00000000-0005-0000-0000-0000398E0000}"/>
    <cellStyle name="RIGs input totals 5 2 8" xfId="36019" xr:uid="{00000000-0005-0000-0000-00003A8E0000}"/>
    <cellStyle name="RIGs input totals 5 2 9" xfId="36020" xr:uid="{00000000-0005-0000-0000-00003B8E0000}"/>
    <cellStyle name="RIGs input totals 5 2_3.15 Additional Data" xfId="42410" xr:uid="{00000000-0005-0000-0000-00003C8E0000}"/>
    <cellStyle name="RIGs input totals 5 20" xfId="36021" xr:uid="{00000000-0005-0000-0000-00003D8E0000}"/>
    <cellStyle name="RIGs input totals 5 21" xfId="36022" xr:uid="{00000000-0005-0000-0000-00003E8E0000}"/>
    <cellStyle name="RIGs input totals 5 22" xfId="36023" xr:uid="{00000000-0005-0000-0000-00003F8E0000}"/>
    <cellStyle name="RIGs input totals 5 23" xfId="36024" xr:uid="{00000000-0005-0000-0000-0000408E0000}"/>
    <cellStyle name="RIGs input totals 5 24" xfId="36025" xr:uid="{00000000-0005-0000-0000-0000418E0000}"/>
    <cellStyle name="RIGs input totals 5 25" xfId="36026" xr:uid="{00000000-0005-0000-0000-0000428E0000}"/>
    <cellStyle name="RIGs input totals 5 26" xfId="36027" xr:uid="{00000000-0005-0000-0000-0000438E0000}"/>
    <cellStyle name="RIGs input totals 5 27" xfId="36028" xr:uid="{00000000-0005-0000-0000-0000448E0000}"/>
    <cellStyle name="RIGs input totals 5 28" xfId="36029" xr:uid="{00000000-0005-0000-0000-0000458E0000}"/>
    <cellStyle name="RIGs input totals 5 29" xfId="36030" xr:uid="{00000000-0005-0000-0000-0000468E0000}"/>
    <cellStyle name="RIGs input totals 5 3" xfId="36031" xr:uid="{00000000-0005-0000-0000-0000478E0000}"/>
    <cellStyle name="RIGs input totals 5 3 10" xfId="36032" xr:uid="{00000000-0005-0000-0000-0000488E0000}"/>
    <cellStyle name="RIGs input totals 5 3 11" xfId="36033" xr:uid="{00000000-0005-0000-0000-0000498E0000}"/>
    <cellStyle name="RIGs input totals 5 3 12" xfId="36034" xr:uid="{00000000-0005-0000-0000-00004A8E0000}"/>
    <cellStyle name="RIGs input totals 5 3 13" xfId="36035" xr:uid="{00000000-0005-0000-0000-00004B8E0000}"/>
    <cellStyle name="RIGs input totals 5 3 14" xfId="36036" xr:uid="{00000000-0005-0000-0000-00004C8E0000}"/>
    <cellStyle name="RIGs input totals 5 3 15" xfId="36037" xr:uid="{00000000-0005-0000-0000-00004D8E0000}"/>
    <cellStyle name="RIGs input totals 5 3 16" xfId="36038" xr:uid="{00000000-0005-0000-0000-00004E8E0000}"/>
    <cellStyle name="RIGs input totals 5 3 17" xfId="36039" xr:uid="{00000000-0005-0000-0000-00004F8E0000}"/>
    <cellStyle name="RIGs input totals 5 3 18" xfId="36040" xr:uid="{00000000-0005-0000-0000-0000508E0000}"/>
    <cellStyle name="RIGs input totals 5 3 19" xfId="36041" xr:uid="{00000000-0005-0000-0000-0000518E0000}"/>
    <cellStyle name="RIGs input totals 5 3 2" xfId="36042" xr:uid="{00000000-0005-0000-0000-0000528E0000}"/>
    <cellStyle name="RIGs input totals 5 3 2 10" xfId="36043" xr:uid="{00000000-0005-0000-0000-0000538E0000}"/>
    <cellStyle name="RIGs input totals 5 3 2 11" xfId="36044" xr:uid="{00000000-0005-0000-0000-0000548E0000}"/>
    <cellStyle name="RIGs input totals 5 3 2 12" xfId="36045" xr:uid="{00000000-0005-0000-0000-0000558E0000}"/>
    <cellStyle name="RIGs input totals 5 3 2 13" xfId="36046" xr:uid="{00000000-0005-0000-0000-0000568E0000}"/>
    <cellStyle name="RIGs input totals 5 3 2 14" xfId="36047" xr:uid="{00000000-0005-0000-0000-0000578E0000}"/>
    <cellStyle name="RIGs input totals 5 3 2 15" xfId="36048" xr:uid="{00000000-0005-0000-0000-0000588E0000}"/>
    <cellStyle name="RIGs input totals 5 3 2 16" xfId="36049" xr:uid="{00000000-0005-0000-0000-0000598E0000}"/>
    <cellStyle name="RIGs input totals 5 3 2 17" xfId="36050" xr:uid="{00000000-0005-0000-0000-00005A8E0000}"/>
    <cellStyle name="RIGs input totals 5 3 2 18" xfId="36051" xr:uid="{00000000-0005-0000-0000-00005B8E0000}"/>
    <cellStyle name="RIGs input totals 5 3 2 19" xfId="36052" xr:uid="{00000000-0005-0000-0000-00005C8E0000}"/>
    <cellStyle name="RIGs input totals 5 3 2 2" xfId="36053" xr:uid="{00000000-0005-0000-0000-00005D8E0000}"/>
    <cellStyle name="RIGs input totals 5 3 2 2 10" xfId="36054" xr:uid="{00000000-0005-0000-0000-00005E8E0000}"/>
    <cellStyle name="RIGs input totals 5 3 2 2 11" xfId="36055" xr:uid="{00000000-0005-0000-0000-00005F8E0000}"/>
    <cellStyle name="RIGs input totals 5 3 2 2 12" xfId="36056" xr:uid="{00000000-0005-0000-0000-0000608E0000}"/>
    <cellStyle name="RIGs input totals 5 3 2 2 13" xfId="36057" xr:uid="{00000000-0005-0000-0000-0000618E0000}"/>
    <cellStyle name="RIGs input totals 5 3 2 2 2" xfId="36058" xr:uid="{00000000-0005-0000-0000-0000628E0000}"/>
    <cellStyle name="RIGs input totals 5 3 2 2 3" xfId="36059" xr:uid="{00000000-0005-0000-0000-0000638E0000}"/>
    <cellStyle name="RIGs input totals 5 3 2 2 4" xfId="36060" xr:uid="{00000000-0005-0000-0000-0000648E0000}"/>
    <cellStyle name="RIGs input totals 5 3 2 2 5" xfId="36061" xr:uid="{00000000-0005-0000-0000-0000658E0000}"/>
    <cellStyle name="RIGs input totals 5 3 2 2 6" xfId="36062" xr:uid="{00000000-0005-0000-0000-0000668E0000}"/>
    <cellStyle name="RIGs input totals 5 3 2 2 7" xfId="36063" xr:uid="{00000000-0005-0000-0000-0000678E0000}"/>
    <cellStyle name="RIGs input totals 5 3 2 2 8" xfId="36064" xr:uid="{00000000-0005-0000-0000-0000688E0000}"/>
    <cellStyle name="RIGs input totals 5 3 2 2 9" xfId="36065" xr:uid="{00000000-0005-0000-0000-0000698E0000}"/>
    <cellStyle name="RIGs input totals 5 3 2 20" xfId="36066" xr:uid="{00000000-0005-0000-0000-00006A8E0000}"/>
    <cellStyle name="RIGs input totals 5 3 2 21" xfId="36067" xr:uid="{00000000-0005-0000-0000-00006B8E0000}"/>
    <cellStyle name="RIGs input totals 5 3 2 22" xfId="36068" xr:uid="{00000000-0005-0000-0000-00006C8E0000}"/>
    <cellStyle name="RIGs input totals 5 3 2 23" xfId="36069" xr:uid="{00000000-0005-0000-0000-00006D8E0000}"/>
    <cellStyle name="RIGs input totals 5 3 2 24" xfId="36070" xr:uid="{00000000-0005-0000-0000-00006E8E0000}"/>
    <cellStyle name="RIGs input totals 5 3 2 25" xfId="36071" xr:uid="{00000000-0005-0000-0000-00006F8E0000}"/>
    <cellStyle name="RIGs input totals 5 3 2 26" xfId="36072" xr:uid="{00000000-0005-0000-0000-0000708E0000}"/>
    <cellStyle name="RIGs input totals 5 3 2 27" xfId="36073" xr:uid="{00000000-0005-0000-0000-0000718E0000}"/>
    <cellStyle name="RIGs input totals 5 3 2 28" xfId="36074" xr:uid="{00000000-0005-0000-0000-0000728E0000}"/>
    <cellStyle name="RIGs input totals 5 3 2 29" xfId="36075" xr:uid="{00000000-0005-0000-0000-0000738E0000}"/>
    <cellStyle name="RIGs input totals 5 3 2 3" xfId="36076" xr:uid="{00000000-0005-0000-0000-0000748E0000}"/>
    <cellStyle name="RIGs input totals 5 3 2 30" xfId="36077" xr:uid="{00000000-0005-0000-0000-0000758E0000}"/>
    <cellStyle name="RIGs input totals 5 3 2 31" xfId="36078" xr:uid="{00000000-0005-0000-0000-0000768E0000}"/>
    <cellStyle name="RIGs input totals 5 3 2 32" xfId="36079" xr:uid="{00000000-0005-0000-0000-0000778E0000}"/>
    <cellStyle name="RIGs input totals 5 3 2 33" xfId="36080" xr:uid="{00000000-0005-0000-0000-0000788E0000}"/>
    <cellStyle name="RIGs input totals 5 3 2 34" xfId="36081" xr:uid="{00000000-0005-0000-0000-0000798E0000}"/>
    <cellStyle name="RIGs input totals 5 3 2 4" xfId="36082" xr:uid="{00000000-0005-0000-0000-00007A8E0000}"/>
    <cellStyle name="RIGs input totals 5 3 2 5" xfId="36083" xr:uid="{00000000-0005-0000-0000-00007B8E0000}"/>
    <cellStyle name="RIGs input totals 5 3 2 6" xfId="36084" xr:uid="{00000000-0005-0000-0000-00007C8E0000}"/>
    <cellStyle name="RIGs input totals 5 3 2 7" xfId="36085" xr:uid="{00000000-0005-0000-0000-00007D8E0000}"/>
    <cellStyle name="RIGs input totals 5 3 2 8" xfId="36086" xr:uid="{00000000-0005-0000-0000-00007E8E0000}"/>
    <cellStyle name="RIGs input totals 5 3 2 9" xfId="36087" xr:uid="{00000000-0005-0000-0000-00007F8E0000}"/>
    <cellStyle name="RIGs input totals 5 3 20" xfId="36088" xr:uid="{00000000-0005-0000-0000-0000808E0000}"/>
    <cellStyle name="RIGs input totals 5 3 21" xfId="36089" xr:uid="{00000000-0005-0000-0000-0000818E0000}"/>
    <cellStyle name="RIGs input totals 5 3 22" xfId="36090" xr:uid="{00000000-0005-0000-0000-0000828E0000}"/>
    <cellStyle name="RIGs input totals 5 3 23" xfId="36091" xr:uid="{00000000-0005-0000-0000-0000838E0000}"/>
    <cellStyle name="RIGs input totals 5 3 24" xfId="36092" xr:uid="{00000000-0005-0000-0000-0000848E0000}"/>
    <cellStyle name="RIGs input totals 5 3 25" xfId="36093" xr:uid="{00000000-0005-0000-0000-0000858E0000}"/>
    <cellStyle name="RIGs input totals 5 3 26" xfId="36094" xr:uid="{00000000-0005-0000-0000-0000868E0000}"/>
    <cellStyle name="RIGs input totals 5 3 27" xfId="36095" xr:uid="{00000000-0005-0000-0000-0000878E0000}"/>
    <cellStyle name="RIGs input totals 5 3 28" xfId="36096" xr:uid="{00000000-0005-0000-0000-0000888E0000}"/>
    <cellStyle name="RIGs input totals 5 3 29" xfId="36097" xr:uid="{00000000-0005-0000-0000-0000898E0000}"/>
    <cellStyle name="RIGs input totals 5 3 3" xfId="36098" xr:uid="{00000000-0005-0000-0000-00008A8E0000}"/>
    <cellStyle name="RIGs input totals 5 3 3 10" xfId="36099" xr:uid="{00000000-0005-0000-0000-00008B8E0000}"/>
    <cellStyle name="RIGs input totals 5 3 3 11" xfId="36100" xr:uid="{00000000-0005-0000-0000-00008C8E0000}"/>
    <cellStyle name="RIGs input totals 5 3 3 12" xfId="36101" xr:uid="{00000000-0005-0000-0000-00008D8E0000}"/>
    <cellStyle name="RIGs input totals 5 3 3 13" xfId="36102" xr:uid="{00000000-0005-0000-0000-00008E8E0000}"/>
    <cellStyle name="RIGs input totals 5 3 3 2" xfId="36103" xr:uid="{00000000-0005-0000-0000-00008F8E0000}"/>
    <cellStyle name="RIGs input totals 5 3 3 3" xfId="36104" xr:uid="{00000000-0005-0000-0000-0000908E0000}"/>
    <cellStyle name="RIGs input totals 5 3 3 4" xfId="36105" xr:uid="{00000000-0005-0000-0000-0000918E0000}"/>
    <cellStyle name="RIGs input totals 5 3 3 5" xfId="36106" xr:uid="{00000000-0005-0000-0000-0000928E0000}"/>
    <cellStyle name="RIGs input totals 5 3 3 6" xfId="36107" xr:uid="{00000000-0005-0000-0000-0000938E0000}"/>
    <cellStyle name="RIGs input totals 5 3 3 7" xfId="36108" xr:uid="{00000000-0005-0000-0000-0000948E0000}"/>
    <cellStyle name="RIGs input totals 5 3 3 8" xfId="36109" xr:uid="{00000000-0005-0000-0000-0000958E0000}"/>
    <cellStyle name="RIGs input totals 5 3 3 9" xfId="36110" xr:uid="{00000000-0005-0000-0000-0000968E0000}"/>
    <cellStyle name="RIGs input totals 5 3 30" xfId="36111" xr:uid="{00000000-0005-0000-0000-0000978E0000}"/>
    <cellStyle name="RIGs input totals 5 3 31" xfId="36112" xr:uid="{00000000-0005-0000-0000-0000988E0000}"/>
    <cellStyle name="RIGs input totals 5 3 32" xfId="36113" xr:uid="{00000000-0005-0000-0000-0000998E0000}"/>
    <cellStyle name="RIGs input totals 5 3 33" xfId="36114" xr:uid="{00000000-0005-0000-0000-00009A8E0000}"/>
    <cellStyle name="RIGs input totals 5 3 34" xfId="36115" xr:uid="{00000000-0005-0000-0000-00009B8E0000}"/>
    <cellStyle name="RIGs input totals 5 3 35" xfId="36116" xr:uid="{00000000-0005-0000-0000-00009C8E0000}"/>
    <cellStyle name="RIGs input totals 5 3 4" xfId="36117" xr:uid="{00000000-0005-0000-0000-00009D8E0000}"/>
    <cellStyle name="RIGs input totals 5 3 5" xfId="36118" xr:uid="{00000000-0005-0000-0000-00009E8E0000}"/>
    <cellStyle name="RIGs input totals 5 3 6" xfId="36119" xr:uid="{00000000-0005-0000-0000-00009F8E0000}"/>
    <cellStyle name="RIGs input totals 5 3 7" xfId="36120" xr:uid="{00000000-0005-0000-0000-0000A08E0000}"/>
    <cellStyle name="RIGs input totals 5 3 8" xfId="36121" xr:uid="{00000000-0005-0000-0000-0000A18E0000}"/>
    <cellStyle name="RIGs input totals 5 3 9" xfId="36122" xr:uid="{00000000-0005-0000-0000-0000A28E0000}"/>
    <cellStyle name="RIGs input totals 5 3_4 28 1_Asst_Health_Crit_AllTO_RIIO_20110714pm" xfId="36123" xr:uid="{00000000-0005-0000-0000-0000A38E0000}"/>
    <cellStyle name="RIGs input totals 5 30" xfId="36124" xr:uid="{00000000-0005-0000-0000-0000A48E0000}"/>
    <cellStyle name="RIGs input totals 5 31" xfId="36125" xr:uid="{00000000-0005-0000-0000-0000A58E0000}"/>
    <cellStyle name="RIGs input totals 5 32" xfId="36126" xr:uid="{00000000-0005-0000-0000-0000A68E0000}"/>
    <cellStyle name="RIGs input totals 5 33" xfId="36127" xr:uid="{00000000-0005-0000-0000-0000A78E0000}"/>
    <cellStyle name="RIGs input totals 5 34" xfId="36128" xr:uid="{00000000-0005-0000-0000-0000A88E0000}"/>
    <cellStyle name="RIGs input totals 5 35" xfId="36129" xr:uid="{00000000-0005-0000-0000-0000A98E0000}"/>
    <cellStyle name="RIGs input totals 5 36" xfId="36130" xr:uid="{00000000-0005-0000-0000-0000AA8E0000}"/>
    <cellStyle name="RIGs input totals 5 37" xfId="36131" xr:uid="{00000000-0005-0000-0000-0000AB8E0000}"/>
    <cellStyle name="RIGs input totals 5 38" xfId="36132" xr:uid="{00000000-0005-0000-0000-0000AC8E0000}"/>
    <cellStyle name="RIGs input totals 5 39" xfId="36133" xr:uid="{00000000-0005-0000-0000-0000AD8E0000}"/>
    <cellStyle name="RIGs input totals 5 4" xfId="36134" xr:uid="{00000000-0005-0000-0000-0000AE8E0000}"/>
    <cellStyle name="RIGs input totals 5 4 10" xfId="36135" xr:uid="{00000000-0005-0000-0000-0000AF8E0000}"/>
    <cellStyle name="RIGs input totals 5 4 11" xfId="36136" xr:uid="{00000000-0005-0000-0000-0000B08E0000}"/>
    <cellStyle name="RIGs input totals 5 4 12" xfId="36137" xr:uid="{00000000-0005-0000-0000-0000B18E0000}"/>
    <cellStyle name="RIGs input totals 5 4 13" xfId="36138" xr:uid="{00000000-0005-0000-0000-0000B28E0000}"/>
    <cellStyle name="RIGs input totals 5 4 14" xfId="36139" xr:uid="{00000000-0005-0000-0000-0000B38E0000}"/>
    <cellStyle name="RIGs input totals 5 4 15" xfId="36140" xr:uid="{00000000-0005-0000-0000-0000B48E0000}"/>
    <cellStyle name="RIGs input totals 5 4 16" xfId="36141" xr:uid="{00000000-0005-0000-0000-0000B58E0000}"/>
    <cellStyle name="RIGs input totals 5 4 17" xfId="36142" xr:uid="{00000000-0005-0000-0000-0000B68E0000}"/>
    <cellStyle name="RIGs input totals 5 4 18" xfId="36143" xr:uid="{00000000-0005-0000-0000-0000B78E0000}"/>
    <cellStyle name="RIGs input totals 5 4 19" xfId="36144" xr:uid="{00000000-0005-0000-0000-0000B88E0000}"/>
    <cellStyle name="RIGs input totals 5 4 2" xfId="36145" xr:uid="{00000000-0005-0000-0000-0000B98E0000}"/>
    <cellStyle name="RIGs input totals 5 4 2 10" xfId="36146" xr:uid="{00000000-0005-0000-0000-0000BA8E0000}"/>
    <cellStyle name="RIGs input totals 5 4 2 11" xfId="36147" xr:uid="{00000000-0005-0000-0000-0000BB8E0000}"/>
    <cellStyle name="RIGs input totals 5 4 2 12" xfId="36148" xr:uid="{00000000-0005-0000-0000-0000BC8E0000}"/>
    <cellStyle name="RIGs input totals 5 4 2 13" xfId="36149" xr:uid="{00000000-0005-0000-0000-0000BD8E0000}"/>
    <cellStyle name="RIGs input totals 5 4 2 2" xfId="36150" xr:uid="{00000000-0005-0000-0000-0000BE8E0000}"/>
    <cellStyle name="RIGs input totals 5 4 2 3" xfId="36151" xr:uid="{00000000-0005-0000-0000-0000BF8E0000}"/>
    <cellStyle name="RIGs input totals 5 4 2 4" xfId="36152" xr:uid="{00000000-0005-0000-0000-0000C08E0000}"/>
    <cellStyle name="RIGs input totals 5 4 2 5" xfId="36153" xr:uid="{00000000-0005-0000-0000-0000C18E0000}"/>
    <cellStyle name="RIGs input totals 5 4 2 6" xfId="36154" xr:uid="{00000000-0005-0000-0000-0000C28E0000}"/>
    <cellStyle name="RIGs input totals 5 4 2 7" xfId="36155" xr:uid="{00000000-0005-0000-0000-0000C38E0000}"/>
    <cellStyle name="RIGs input totals 5 4 2 8" xfId="36156" xr:uid="{00000000-0005-0000-0000-0000C48E0000}"/>
    <cellStyle name="RIGs input totals 5 4 2 9" xfId="36157" xr:uid="{00000000-0005-0000-0000-0000C58E0000}"/>
    <cellStyle name="RIGs input totals 5 4 20" xfId="36158" xr:uid="{00000000-0005-0000-0000-0000C68E0000}"/>
    <cellStyle name="RIGs input totals 5 4 21" xfId="36159" xr:uid="{00000000-0005-0000-0000-0000C78E0000}"/>
    <cellStyle name="RIGs input totals 5 4 22" xfId="36160" xr:uid="{00000000-0005-0000-0000-0000C88E0000}"/>
    <cellStyle name="RIGs input totals 5 4 23" xfId="36161" xr:uid="{00000000-0005-0000-0000-0000C98E0000}"/>
    <cellStyle name="RIGs input totals 5 4 24" xfId="36162" xr:uid="{00000000-0005-0000-0000-0000CA8E0000}"/>
    <cellStyle name="RIGs input totals 5 4 25" xfId="36163" xr:uid="{00000000-0005-0000-0000-0000CB8E0000}"/>
    <cellStyle name="RIGs input totals 5 4 26" xfId="36164" xr:uid="{00000000-0005-0000-0000-0000CC8E0000}"/>
    <cellStyle name="RIGs input totals 5 4 27" xfId="36165" xr:uid="{00000000-0005-0000-0000-0000CD8E0000}"/>
    <cellStyle name="RIGs input totals 5 4 28" xfId="36166" xr:uid="{00000000-0005-0000-0000-0000CE8E0000}"/>
    <cellStyle name="RIGs input totals 5 4 29" xfId="36167" xr:uid="{00000000-0005-0000-0000-0000CF8E0000}"/>
    <cellStyle name="RIGs input totals 5 4 3" xfId="36168" xr:uid="{00000000-0005-0000-0000-0000D08E0000}"/>
    <cellStyle name="RIGs input totals 5 4 30" xfId="36169" xr:uid="{00000000-0005-0000-0000-0000D18E0000}"/>
    <cellStyle name="RIGs input totals 5 4 31" xfId="36170" xr:uid="{00000000-0005-0000-0000-0000D28E0000}"/>
    <cellStyle name="RIGs input totals 5 4 32" xfId="36171" xr:uid="{00000000-0005-0000-0000-0000D38E0000}"/>
    <cellStyle name="RIGs input totals 5 4 33" xfId="36172" xr:uid="{00000000-0005-0000-0000-0000D48E0000}"/>
    <cellStyle name="RIGs input totals 5 4 34" xfId="36173" xr:uid="{00000000-0005-0000-0000-0000D58E0000}"/>
    <cellStyle name="RIGs input totals 5 4 4" xfId="36174" xr:uid="{00000000-0005-0000-0000-0000D68E0000}"/>
    <cellStyle name="RIGs input totals 5 4 5" xfId="36175" xr:uid="{00000000-0005-0000-0000-0000D78E0000}"/>
    <cellStyle name="RIGs input totals 5 4 6" xfId="36176" xr:uid="{00000000-0005-0000-0000-0000D88E0000}"/>
    <cellStyle name="RIGs input totals 5 4 7" xfId="36177" xr:uid="{00000000-0005-0000-0000-0000D98E0000}"/>
    <cellStyle name="RIGs input totals 5 4 8" xfId="36178" xr:uid="{00000000-0005-0000-0000-0000DA8E0000}"/>
    <cellStyle name="RIGs input totals 5 4 9" xfId="36179" xr:uid="{00000000-0005-0000-0000-0000DB8E0000}"/>
    <cellStyle name="RIGs input totals 5 5" xfId="36180" xr:uid="{00000000-0005-0000-0000-0000DC8E0000}"/>
    <cellStyle name="RIGs input totals 5 5 10" xfId="36181" xr:uid="{00000000-0005-0000-0000-0000DD8E0000}"/>
    <cellStyle name="RIGs input totals 5 5 11" xfId="36182" xr:uid="{00000000-0005-0000-0000-0000DE8E0000}"/>
    <cellStyle name="RIGs input totals 5 5 12" xfId="36183" xr:uid="{00000000-0005-0000-0000-0000DF8E0000}"/>
    <cellStyle name="RIGs input totals 5 5 13" xfId="36184" xr:uid="{00000000-0005-0000-0000-0000E08E0000}"/>
    <cellStyle name="RIGs input totals 5 5 14" xfId="36185" xr:uid="{00000000-0005-0000-0000-0000E18E0000}"/>
    <cellStyle name="RIGs input totals 5 5 15" xfId="36186" xr:uid="{00000000-0005-0000-0000-0000E28E0000}"/>
    <cellStyle name="RIGs input totals 5 5 16" xfId="36187" xr:uid="{00000000-0005-0000-0000-0000E38E0000}"/>
    <cellStyle name="RIGs input totals 5 5 17" xfId="36188" xr:uid="{00000000-0005-0000-0000-0000E48E0000}"/>
    <cellStyle name="RIGs input totals 5 5 18" xfId="36189" xr:uid="{00000000-0005-0000-0000-0000E58E0000}"/>
    <cellStyle name="RIGs input totals 5 5 19" xfId="36190" xr:uid="{00000000-0005-0000-0000-0000E68E0000}"/>
    <cellStyle name="RIGs input totals 5 5 2" xfId="36191" xr:uid="{00000000-0005-0000-0000-0000E78E0000}"/>
    <cellStyle name="RIGs input totals 5 5 2 10" xfId="36192" xr:uid="{00000000-0005-0000-0000-0000E88E0000}"/>
    <cellStyle name="RIGs input totals 5 5 2 11" xfId="36193" xr:uid="{00000000-0005-0000-0000-0000E98E0000}"/>
    <cellStyle name="RIGs input totals 5 5 2 12" xfId="36194" xr:uid="{00000000-0005-0000-0000-0000EA8E0000}"/>
    <cellStyle name="RIGs input totals 5 5 2 13" xfId="36195" xr:uid="{00000000-0005-0000-0000-0000EB8E0000}"/>
    <cellStyle name="RIGs input totals 5 5 2 2" xfId="36196" xr:uid="{00000000-0005-0000-0000-0000EC8E0000}"/>
    <cellStyle name="RIGs input totals 5 5 2 3" xfId="36197" xr:uid="{00000000-0005-0000-0000-0000ED8E0000}"/>
    <cellStyle name="RIGs input totals 5 5 2 4" xfId="36198" xr:uid="{00000000-0005-0000-0000-0000EE8E0000}"/>
    <cellStyle name="RIGs input totals 5 5 2 5" xfId="36199" xr:uid="{00000000-0005-0000-0000-0000EF8E0000}"/>
    <cellStyle name="RIGs input totals 5 5 2 6" xfId="36200" xr:uid="{00000000-0005-0000-0000-0000F08E0000}"/>
    <cellStyle name="RIGs input totals 5 5 2 7" xfId="36201" xr:uid="{00000000-0005-0000-0000-0000F18E0000}"/>
    <cellStyle name="RIGs input totals 5 5 2 8" xfId="36202" xr:uid="{00000000-0005-0000-0000-0000F28E0000}"/>
    <cellStyle name="RIGs input totals 5 5 2 9" xfId="36203" xr:uid="{00000000-0005-0000-0000-0000F38E0000}"/>
    <cellStyle name="RIGs input totals 5 5 20" xfId="36204" xr:uid="{00000000-0005-0000-0000-0000F48E0000}"/>
    <cellStyle name="RIGs input totals 5 5 21" xfId="36205" xr:uid="{00000000-0005-0000-0000-0000F58E0000}"/>
    <cellStyle name="RIGs input totals 5 5 22" xfId="36206" xr:uid="{00000000-0005-0000-0000-0000F68E0000}"/>
    <cellStyle name="RIGs input totals 5 5 23" xfId="36207" xr:uid="{00000000-0005-0000-0000-0000F78E0000}"/>
    <cellStyle name="RIGs input totals 5 5 24" xfId="36208" xr:uid="{00000000-0005-0000-0000-0000F88E0000}"/>
    <cellStyle name="RIGs input totals 5 5 25" xfId="36209" xr:uid="{00000000-0005-0000-0000-0000F98E0000}"/>
    <cellStyle name="RIGs input totals 5 5 26" xfId="36210" xr:uid="{00000000-0005-0000-0000-0000FA8E0000}"/>
    <cellStyle name="RIGs input totals 5 5 27" xfId="36211" xr:uid="{00000000-0005-0000-0000-0000FB8E0000}"/>
    <cellStyle name="RIGs input totals 5 5 28" xfId="36212" xr:uid="{00000000-0005-0000-0000-0000FC8E0000}"/>
    <cellStyle name="RIGs input totals 5 5 29" xfId="36213" xr:uid="{00000000-0005-0000-0000-0000FD8E0000}"/>
    <cellStyle name="RIGs input totals 5 5 3" xfId="36214" xr:uid="{00000000-0005-0000-0000-0000FE8E0000}"/>
    <cellStyle name="RIGs input totals 5 5 30" xfId="36215" xr:uid="{00000000-0005-0000-0000-0000FF8E0000}"/>
    <cellStyle name="RIGs input totals 5 5 31" xfId="36216" xr:uid="{00000000-0005-0000-0000-0000008F0000}"/>
    <cellStyle name="RIGs input totals 5 5 32" xfId="36217" xr:uid="{00000000-0005-0000-0000-0000018F0000}"/>
    <cellStyle name="RIGs input totals 5 5 33" xfId="36218" xr:uid="{00000000-0005-0000-0000-0000028F0000}"/>
    <cellStyle name="RIGs input totals 5 5 34" xfId="36219" xr:uid="{00000000-0005-0000-0000-0000038F0000}"/>
    <cellStyle name="RIGs input totals 5 5 4" xfId="36220" xr:uid="{00000000-0005-0000-0000-0000048F0000}"/>
    <cellStyle name="RIGs input totals 5 5 5" xfId="36221" xr:uid="{00000000-0005-0000-0000-0000058F0000}"/>
    <cellStyle name="RIGs input totals 5 5 6" xfId="36222" xr:uid="{00000000-0005-0000-0000-0000068F0000}"/>
    <cellStyle name="RIGs input totals 5 5 7" xfId="36223" xr:uid="{00000000-0005-0000-0000-0000078F0000}"/>
    <cellStyle name="RIGs input totals 5 5 8" xfId="36224" xr:uid="{00000000-0005-0000-0000-0000088F0000}"/>
    <cellStyle name="RIGs input totals 5 5 9" xfId="36225" xr:uid="{00000000-0005-0000-0000-0000098F0000}"/>
    <cellStyle name="RIGs input totals 5 6" xfId="36226" xr:uid="{00000000-0005-0000-0000-00000A8F0000}"/>
    <cellStyle name="RIGs input totals 5 6 10" xfId="36227" xr:uid="{00000000-0005-0000-0000-00000B8F0000}"/>
    <cellStyle name="RIGs input totals 5 6 11" xfId="36228" xr:uid="{00000000-0005-0000-0000-00000C8F0000}"/>
    <cellStyle name="RIGs input totals 5 6 12" xfId="36229" xr:uid="{00000000-0005-0000-0000-00000D8F0000}"/>
    <cellStyle name="RIGs input totals 5 6 13" xfId="36230" xr:uid="{00000000-0005-0000-0000-00000E8F0000}"/>
    <cellStyle name="RIGs input totals 5 6 2" xfId="36231" xr:uid="{00000000-0005-0000-0000-00000F8F0000}"/>
    <cellStyle name="RIGs input totals 5 6 3" xfId="36232" xr:uid="{00000000-0005-0000-0000-0000108F0000}"/>
    <cellStyle name="RIGs input totals 5 6 4" xfId="36233" xr:uid="{00000000-0005-0000-0000-0000118F0000}"/>
    <cellStyle name="RIGs input totals 5 6 5" xfId="36234" xr:uid="{00000000-0005-0000-0000-0000128F0000}"/>
    <cellStyle name="RIGs input totals 5 6 6" xfId="36235" xr:uid="{00000000-0005-0000-0000-0000138F0000}"/>
    <cellStyle name="RIGs input totals 5 6 7" xfId="36236" xr:uid="{00000000-0005-0000-0000-0000148F0000}"/>
    <cellStyle name="RIGs input totals 5 6 8" xfId="36237" xr:uid="{00000000-0005-0000-0000-0000158F0000}"/>
    <cellStyle name="RIGs input totals 5 6 9" xfId="36238" xr:uid="{00000000-0005-0000-0000-0000168F0000}"/>
    <cellStyle name="RIGs input totals 5 7" xfId="36239" xr:uid="{00000000-0005-0000-0000-0000178F0000}"/>
    <cellStyle name="RIGs input totals 5 8" xfId="36240" xr:uid="{00000000-0005-0000-0000-0000188F0000}"/>
    <cellStyle name="RIGs input totals 5 9" xfId="36241" xr:uid="{00000000-0005-0000-0000-0000198F0000}"/>
    <cellStyle name="RIGs input totals 5_1.3s Accounting C Costs Scots" xfId="36242" xr:uid="{00000000-0005-0000-0000-00001A8F0000}"/>
    <cellStyle name="RIGs input totals 6" xfId="36243" xr:uid="{00000000-0005-0000-0000-00001B8F0000}"/>
    <cellStyle name="RIGs input totals 6 10" xfId="36244" xr:uid="{00000000-0005-0000-0000-00001C8F0000}"/>
    <cellStyle name="RIGs input totals 6 11" xfId="36245" xr:uid="{00000000-0005-0000-0000-00001D8F0000}"/>
    <cellStyle name="RIGs input totals 6 12" xfId="36246" xr:uid="{00000000-0005-0000-0000-00001E8F0000}"/>
    <cellStyle name="RIGs input totals 6 13" xfId="36247" xr:uid="{00000000-0005-0000-0000-00001F8F0000}"/>
    <cellStyle name="RIGs input totals 6 14" xfId="36248" xr:uid="{00000000-0005-0000-0000-0000208F0000}"/>
    <cellStyle name="RIGs input totals 6 15" xfId="36249" xr:uid="{00000000-0005-0000-0000-0000218F0000}"/>
    <cellStyle name="RIGs input totals 6 16" xfId="36250" xr:uid="{00000000-0005-0000-0000-0000228F0000}"/>
    <cellStyle name="RIGs input totals 6 17" xfId="36251" xr:uid="{00000000-0005-0000-0000-0000238F0000}"/>
    <cellStyle name="RIGs input totals 6 18" xfId="36252" xr:uid="{00000000-0005-0000-0000-0000248F0000}"/>
    <cellStyle name="RIGs input totals 6 19" xfId="36253" xr:uid="{00000000-0005-0000-0000-0000258F0000}"/>
    <cellStyle name="RIGs input totals 6 2" xfId="36254" xr:uid="{00000000-0005-0000-0000-0000268F0000}"/>
    <cellStyle name="RIGs input totals 6 2 10" xfId="36255" xr:uid="{00000000-0005-0000-0000-0000278F0000}"/>
    <cellStyle name="RIGs input totals 6 2 11" xfId="36256" xr:uid="{00000000-0005-0000-0000-0000288F0000}"/>
    <cellStyle name="RIGs input totals 6 2 12" xfId="36257" xr:uid="{00000000-0005-0000-0000-0000298F0000}"/>
    <cellStyle name="RIGs input totals 6 2 13" xfId="36258" xr:uid="{00000000-0005-0000-0000-00002A8F0000}"/>
    <cellStyle name="RIGs input totals 6 2 14" xfId="36259" xr:uid="{00000000-0005-0000-0000-00002B8F0000}"/>
    <cellStyle name="RIGs input totals 6 2 15" xfId="36260" xr:uid="{00000000-0005-0000-0000-00002C8F0000}"/>
    <cellStyle name="RIGs input totals 6 2 16" xfId="36261" xr:uid="{00000000-0005-0000-0000-00002D8F0000}"/>
    <cellStyle name="RIGs input totals 6 2 17" xfId="36262" xr:uid="{00000000-0005-0000-0000-00002E8F0000}"/>
    <cellStyle name="RIGs input totals 6 2 18" xfId="36263" xr:uid="{00000000-0005-0000-0000-00002F8F0000}"/>
    <cellStyle name="RIGs input totals 6 2 19" xfId="36264" xr:uid="{00000000-0005-0000-0000-0000308F0000}"/>
    <cellStyle name="RIGs input totals 6 2 2" xfId="36265" xr:uid="{00000000-0005-0000-0000-0000318F0000}"/>
    <cellStyle name="RIGs input totals 6 2 2 10" xfId="36266" xr:uid="{00000000-0005-0000-0000-0000328F0000}"/>
    <cellStyle name="RIGs input totals 6 2 2 11" xfId="36267" xr:uid="{00000000-0005-0000-0000-0000338F0000}"/>
    <cellStyle name="RIGs input totals 6 2 2 12" xfId="36268" xr:uid="{00000000-0005-0000-0000-0000348F0000}"/>
    <cellStyle name="RIGs input totals 6 2 2 13" xfId="36269" xr:uid="{00000000-0005-0000-0000-0000358F0000}"/>
    <cellStyle name="RIGs input totals 6 2 2 14" xfId="36270" xr:uid="{00000000-0005-0000-0000-0000368F0000}"/>
    <cellStyle name="RIGs input totals 6 2 2 15" xfId="36271" xr:uid="{00000000-0005-0000-0000-0000378F0000}"/>
    <cellStyle name="RIGs input totals 6 2 2 16" xfId="36272" xr:uid="{00000000-0005-0000-0000-0000388F0000}"/>
    <cellStyle name="RIGs input totals 6 2 2 17" xfId="36273" xr:uid="{00000000-0005-0000-0000-0000398F0000}"/>
    <cellStyle name="RIGs input totals 6 2 2 18" xfId="36274" xr:uid="{00000000-0005-0000-0000-00003A8F0000}"/>
    <cellStyle name="RIGs input totals 6 2 2 19" xfId="36275" xr:uid="{00000000-0005-0000-0000-00003B8F0000}"/>
    <cellStyle name="RIGs input totals 6 2 2 2" xfId="36276" xr:uid="{00000000-0005-0000-0000-00003C8F0000}"/>
    <cellStyle name="RIGs input totals 6 2 2 2 10" xfId="36277" xr:uid="{00000000-0005-0000-0000-00003D8F0000}"/>
    <cellStyle name="RIGs input totals 6 2 2 2 11" xfId="36278" xr:uid="{00000000-0005-0000-0000-00003E8F0000}"/>
    <cellStyle name="RIGs input totals 6 2 2 2 12" xfId="36279" xr:uid="{00000000-0005-0000-0000-00003F8F0000}"/>
    <cellStyle name="RIGs input totals 6 2 2 2 13" xfId="36280" xr:uid="{00000000-0005-0000-0000-0000408F0000}"/>
    <cellStyle name="RIGs input totals 6 2 2 2 2" xfId="36281" xr:uid="{00000000-0005-0000-0000-0000418F0000}"/>
    <cellStyle name="RIGs input totals 6 2 2 2 3" xfId="36282" xr:uid="{00000000-0005-0000-0000-0000428F0000}"/>
    <cellStyle name="RIGs input totals 6 2 2 2 4" xfId="36283" xr:uid="{00000000-0005-0000-0000-0000438F0000}"/>
    <cellStyle name="RIGs input totals 6 2 2 2 5" xfId="36284" xr:uid="{00000000-0005-0000-0000-0000448F0000}"/>
    <cellStyle name="RIGs input totals 6 2 2 2 6" xfId="36285" xr:uid="{00000000-0005-0000-0000-0000458F0000}"/>
    <cellStyle name="RIGs input totals 6 2 2 2 7" xfId="36286" xr:uid="{00000000-0005-0000-0000-0000468F0000}"/>
    <cellStyle name="RIGs input totals 6 2 2 2 8" xfId="36287" xr:uid="{00000000-0005-0000-0000-0000478F0000}"/>
    <cellStyle name="RIGs input totals 6 2 2 2 9" xfId="36288" xr:uid="{00000000-0005-0000-0000-0000488F0000}"/>
    <cellStyle name="RIGs input totals 6 2 2 20" xfId="36289" xr:uid="{00000000-0005-0000-0000-0000498F0000}"/>
    <cellStyle name="RIGs input totals 6 2 2 21" xfId="36290" xr:uid="{00000000-0005-0000-0000-00004A8F0000}"/>
    <cellStyle name="RIGs input totals 6 2 2 22" xfId="36291" xr:uid="{00000000-0005-0000-0000-00004B8F0000}"/>
    <cellStyle name="RIGs input totals 6 2 2 23" xfId="36292" xr:uid="{00000000-0005-0000-0000-00004C8F0000}"/>
    <cellStyle name="RIGs input totals 6 2 2 24" xfId="36293" xr:uid="{00000000-0005-0000-0000-00004D8F0000}"/>
    <cellStyle name="RIGs input totals 6 2 2 25" xfId="36294" xr:uid="{00000000-0005-0000-0000-00004E8F0000}"/>
    <cellStyle name="RIGs input totals 6 2 2 26" xfId="36295" xr:uid="{00000000-0005-0000-0000-00004F8F0000}"/>
    <cellStyle name="RIGs input totals 6 2 2 27" xfId="36296" xr:uid="{00000000-0005-0000-0000-0000508F0000}"/>
    <cellStyle name="RIGs input totals 6 2 2 28" xfId="36297" xr:uid="{00000000-0005-0000-0000-0000518F0000}"/>
    <cellStyle name="RIGs input totals 6 2 2 29" xfId="36298" xr:uid="{00000000-0005-0000-0000-0000528F0000}"/>
    <cellStyle name="RIGs input totals 6 2 2 3" xfId="36299" xr:uid="{00000000-0005-0000-0000-0000538F0000}"/>
    <cellStyle name="RIGs input totals 6 2 2 30" xfId="36300" xr:uid="{00000000-0005-0000-0000-0000548F0000}"/>
    <cellStyle name="RIGs input totals 6 2 2 31" xfId="36301" xr:uid="{00000000-0005-0000-0000-0000558F0000}"/>
    <cellStyle name="RIGs input totals 6 2 2 32" xfId="36302" xr:uid="{00000000-0005-0000-0000-0000568F0000}"/>
    <cellStyle name="RIGs input totals 6 2 2 33" xfId="36303" xr:uid="{00000000-0005-0000-0000-0000578F0000}"/>
    <cellStyle name="RIGs input totals 6 2 2 34" xfId="36304" xr:uid="{00000000-0005-0000-0000-0000588F0000}"/>
    <cellStyle name="RIGs input totals 6 2 2 4" xfId="36305" xr:uid="{00000000-0005-0000-0000-0000598F0000}"/>
    <cellStyle name="RIGs input totals 6 2 2 5" xfId="36306" xr:uid="{00000000-0005-0000-0000-00005A8F0000}"/>
    <cellStyle name="RIGs input totals 6 2 2 6" xfId="36307" xr:uid="{00000000-0005-0000-0000-00005B8F0000}"/>
    <cellStyle name="RIGs input totals 6 2 2 7" xfId="36308" xr:uid="{00000000-0005-0000-0000-00005C8F0000}"/>
    <cellStyle name="RIGs input totals 6 2 2 8" xfId="36309" xr:uid="{00000000-0005-0000-0000-00005D8F0000}"/>
    <cellStyle name="RIGs input totals 6 2 2 9" xfId="36310" xr:uid="{00000000-0005-0000-0000-00005E8F0000}"/>
    <cellStyle name="RIGs input totals 6 2 20" xfId="36311" xr:uid="{00000000-0005-0000-0000-00005F8F0000}"/>
    <cellStyle name="RIGs input totals 6 2 21" xfId="36312" xr:uid="{00000000-0005-0000-0000-0000608F0000}"/>
    <cellStyle name="RIGs input totals 6 2 22" xfId="36313" xr:uid="{00000000-0005-0000-0000-0000618F0000}"/>
    <cellStyle name="RIGs input totals 6 2 23" xfId="36314" xr:uid="{00000000-0005-0000-0000-0000628F0000}"/>
    <cellStyle name="RIGs input totals 6 2 24" xfId="36315" xr:uid="{00000000-0005-0000-0000-0000638F0000}"/>
    <cellStyle name="RIGs input totals 6 2 25" xfId="36316" xr:uid="{00000000-0005-0000-0000-0000648F0000}"/>
    <cellStyle name="RIGs input totals 6 2 26" xfId="36317" xr:uid="{00000000-0005-0000-0000-0000658F0000}"/>
    <cellStyle name="RIGs input totals 6 2 27" xfId="36318" xr:uid="{00000000-0005-0000-0000-0000668F0000}"/>
    <cellStyle name="RIGs input totals 6 2 28" xfId="36319" xr:uid="{00000000-0005-0000-0000-0000678F0000}"/>
    <cellStyle name="RIGs input totals 6 2 29" xfId="36320" xr:uid="{00000000-0005-0000-0000-0000688F0000}"/>
    <cellStyle name="RIGs input totals 6 2 3" xfId="36321" xr:uid="{00000000-0005-0000-0000-0000698F0000}"/>
    <cellStyle name="RIGs input totals 6 2 3 10" xfId="36322" xr:uid="{00000000-0005-0000-0000-00006A8F0000}"/>
    <cellStyle name="RIGs input totals 6 2 3 11" xfId="36323" xr:uid="{00000000-0005-0000-0000-00006B8F0000}"/>
    <cellStyle name="RIGs input totals 6 2 3 12" xfId="36324" xr:uid="{00000000-0005-0000-0000-00006C8F0000}"/>
    <cellStyle name="RIGs input totals 6 2 3 13" xfId="36325" xr:uid="{00000000-0005-0000-0000-00006D8F0000}"/>
    <cellStyle name="RIGs input totals 6 2 3 2" xfId="36326" xr:uid="{00000000-0005-0000-0000-00006E8F0000}"/>
    <cellStyle name="RIGs input totals 6 2 3 3" xfId="36327" xr:uid="{00000000-0005-0000-0000-00006F8F0000}"/>
    <cellStyle name="RIGs input totals 6 2 3 4" xfId="36328" xr:uid="{00000000-0005-0000-0000-0000708F0000}"/>
    <cellStyle name="RIGs input totals 6 2 3 5" xfId="36329" xr:uid="{00000000-0005-0000-0000-0000718F0000}"/>
    <cellStyle name="RIGs input totals 6 2 3 6" xfId="36330" xr:uid="{00000000-0005-0000-0000-0000728F0000}"/>
    <cellStyle name="RIGs input totals 6 2 3 7" xfId="36331" xr:uid="{00000000-0005-0000-0000-0000738F0000}"/>
    <cellStyle name="RIGs input totals 6 2 3 8" xfId="36332" xr:uid="{00000000-0005-0000-0000-0000748F0000}"/>
    <cellStyle name="RIGs input totals 6 2 3 9" xfId="36333" xr:uid="{00000000-0005-0000-0000-0000758F0000}"/>
    <cellStyle name="RIGs input totals 6 2 30" xfId="36334" xr:uid="{00000000-0005-0000-0000-0000768F0000}"/>
    <cellStyle name="RIGs input totals 6 2 31" xfId="36335" xr:uid="{00000000-0005-0000-0000-0000778F0000}"/>
    <cellStyle name="RIGs input totals 6 2 32" xfId="36336" xr:uid="{00000000-0005-0000-0000-0000788F0000}"/>
    <cellStyle name="RIGs input totals 6 2 33" xfId="36337" xr:uid="{00000000-0005-0000-0000-0000798F0000}"/>
    <cellStyle name="RIGs input totals 6 2 34" xfId="36338" xr:uid="{00000000-0005-0000-0000-00007A8F0000}"/>
    <cellStyle name="RIGs input totals 6 2 35" xfId="36339" xr:uid="{00000000-0005-0000-0000-00007B8F0000}"/>
    <cellStyle name="RIGs input totals 6 2 4" xfId="36340" xr:uid="{00000000-0005-0000-0000-00007C8F0000}"/>
    <cellStyle name="RIGs input totals 6 2 5" xfId="36341" xr:uid="{00000000-0005-0000-0000-00007D8F0000}"/>
    <cellStyle name="RIGs input totals 6 2 6" xfId="36342" xr:uid="{00000000-0005-0000-0000-00007E8F0000}"/>
    <cellStyle name="RIGs input totals 6 2 7" xfId="36343" xr:uid="{00000000-0005-0000-0000-00007F8F0000}"/>
    <cellStyle name="RIGs input totals 6 2 8" xfId="36344" xr:uid="{00000000-0005-0000-0000-0000808F0000}"/>
    <cellStyle name="RIGs input totals 6 2 9" xfId="36345" xr:uid="{00000000-0005-0000-0000-0000818F0000}"/>
    <cellStyle name="RIGs input totals 6 2_4 28 1_Asst_Health_Crit_AllTO_RIIO_20110714pm" xfId="36346" xr:uid="{00000000-0005-0000-0000-0000828F0000}"/>
    <cellStyle name="RIGs input totals 6 20" xfId="36347" xr:uid="{00000000-0005-0000-0000-0000838F0000}"/>
    <cellStyle name="RIGs input totals 6 21" xfId="36348" xr:uid="{00000000-0005-0000-0000-0000848F0000}"/>
    <cellStyle name="RIGs input totals 6 22" xfId="36349" xr:uid="{00000000-0005-0000-0000-0000858F0000}"/>
    <cellStyle name="RIGs input totals 6 23" xfId="36350" xr:uid="{00000000-0005-0000-0000-0000868F0000}"/>
    <cellStyle name="RIGs input totals 6 24" xfId="36351" xr:uid="{00000000-0005-0000-0000-0000878F0000}"/>
    <cellStyle name="RIGs input totals 6 25" xfId="36352" xr:uid="{00000000-0005-0000-0000-0000888F0000}"/>
    <cellStyle name="RIGs input totals 6 26" xfId="36353" xr:uid="{00000000-0005-0000-0000-0000898F0000}"/>
    <cellStyle name="RIGs input totals 6 27" xfId="36354" xr:uid="{00000000-0005-0000-0000-00008A8F0000}"/>
    <cellStyle name="RIGs input totals 6 28" xfId="36355" xr:uid="{00000000-0005-0000-0000-00008B8F0000}"/>
    <cellStyle name="RIGs input totals 6 29" xfId="36356" xr:uid="{00000000-0005-0000-0000-00008C8F0000}"/>
    <cellStyle name="RIGs input totals 6 3" xfId="36357" xr:uid="{00000000-0005-0000-0000-00008D8F0000}"/>
    <cellStyle name="RIGs input totals 6 3 10" xfId="36358" xr:uid="{00000000-0005-0000-0000-00008E8F0000}"/>
    <cellStyle name="RIGs input totals 6 3 11" xfId="36359" xr:uid="{00000000-0005-0000-0000-00008F8F0000}"/>
    <cellStyle name="RIGs input totals 6 3 12" xfId="36360" xr:uid="{00000000-0005-0000-0000-0000908F0000}"/>
    <cellStyle name="RIGs input totals 6 3 13" xfId="36361" xr:uid="{00000000-0005-0000-0000-0000918F0000}"/>
    <cellStyle name="RIGs input totals 6 3 14" xfId="36362" xr:uid="{00000000-0005-0000-0000-0000928F0000}"/>
    <cellStyle name="RIGs input totals 6 3 15" xfId="36363" xr:uid="{00000000-0005-0000-0000-0000938F0000}"/>
    <cellStyle name="RIGs input totals 6 3 16" xfId="36364" xr:uid="{00000000-0005-0000-0000-0000948F0000}"/>
    <cellStyle name="RIGs input totals 6 3 17" xfId="36365" xr:uid="{00000000-0005-0000-0000-0000958F0000}"/>
    <cellStyle name="RIGs input totals 6 3 18" xfId="36366" xr:uid="{00000000-0005-0000-0000-0000968F0000}"/>
    <cellStyle name="RIGs input totals 6 3 19" xfId="36367" xr:uid="{00000000-0005-0000-0000-0000978F0000}"/>
    <cellStyle name="RIGs input totals 6 3 2" xfId="36368" xr:uid="{00000000-0005-0000-0000-0000988F0000}"/>
    <cellStyle name="RIGs input totals 6 3 2 10" xfId="36369" xr:uid="{00000000-0005-0000-0000-0000998F0000}"/>
    <cellStyle name="RIGs input totals 6 3 2 11" xfId="36370" xr:uid="{00000000-0005-0000-0000-00009A8F0000}"/>
    <cellStyle name="RIGs input totals 6 3 2 12" xfId="36371" xr:uid="{00000000-0005-0000-0000-00009B8F0000}"/>
    <cellStyle name="RIGs input totals 6 3 2 13" xfId="36372" xr:uid="{00000000-0005-0000-0000-00009C8F0000}"/>
    <cellStyle name="RIGs input totals 6 3 2 2" xfId="36373" xr:uid="{00000000-0005-0000-0000-00009D8F0000}"/>
    <cellStyle name="RIGs input totals 6 3 2 3" xfId="36374" xr:uid="{00000000-0005-0000-0000-00009E8F0000}"/>
    <cellStyle name="RIGs input totals 6 3 2 4" xfId="36375" xr:uid="{00000000-0005-0000-0000-00009F8F0000}"/>
    <cellStyle name="RIGs input totals 6 3 2 5" xfId="36376" xr:uid="{00000000-0005-0000-0000-0000A08F0000}"/>
    <cellStyle name="RIGs input totals 6 3 2 6" xfId="36377" xr:uid="{00000000-0005-0000-0000-0000A18F0000}"/>
    <cellStyle name="RIGs input totals 6 3 2 7" xfId="36378" xr:uid="{00000000-0005-0000-0000-0000A28F0000}"/>
    <cellStyle name="RIGs input totals 6 3 2 8" xfId="36379" xr:uid="{00000000-0005-0000-0000-0000A38F0000}"/>
    <cellStyle name="RIGs input totals 6 3 2 9" xfId="36380" xr:uid="{00000000-0005-0000-0000-0000A48F0000}"/>
    <cellStyle name="RIGs input totals 6 3 20" xfId="36381" xr:uid="{00000000-0005-0000-0000-0000A58F0000}"/>
    <cellStyle name="RIGs input totals 6 3 21" xfId="36382" xr:uid="{00000000-0005-0000-0000-0000A68F0000}"/>
    <cellStyle name="RIGs input totals 6 3 22" xfId="36383" xr:uid="{00000000-0005-0000-0000-0000A78F0000}"/>
    <cellStyle name="RIGs input totals 6 3 23" xfId="36384" xr:uid="{00000000-0005-0000-0000-0000A88F0000}"/>
    <cellStyle name="RIGs input totals 6 3 24" xfId="36385" xr:uid="{00000000-0005-0000-0000-0000A98F0000}"/>
    <cellStyle name="RIGs input totals 6 3 25" xfId="36386" xr:uid="{00000000-0005-0000-0000-0000AA8F0000}"/>
    <cellStyle name="RIGs input totals 6 3 26" xfId="36387" xr:uid="{00000000-0005-0000-0000-0000AB8F0000}"/>
    <cellStyle name="RIGs input totals 6 3 27" xfId="36388" xr:uid="{00000000-0005-0000-0000-0000AC8F0000}"/>
    <cellStyle name="RIGs input totals 6 3 28" xfId="36389" xr:uid="{00000000-0005-0000-0000-0000AD8F0000}"/>
    <cellStyle name="RIGs input totals 6 3 29" xfId="36390" xr:uid="{00000000-0005-0000-0000-0000AE8F0000}"/>
    <cellStyle name="RIGs input totals 6 3 3" xfId="36391" xr:uid="{00000000-0005-0000-0000-0000AF8F0000}"/>
    <cellStyle name="RIGs input totals 6 3 30" xfId="36392" xr:uid="{00000000-0005-0000-0000-0000B08F0000}"/>
    <cellStyle name="RIGs input totals 6 3 31" xfId="36393" xr:uid="{00000000-0005-0000-0000-0000B18F0000}"/>
    <cellStyle name="RIGs input totals 6 3 32" xfId="36394" xr:uid="{00000000-0005-0000-0000-0000B28F0000}"/>
    <cellStyle name="RIGs input totals 6 3 33" xfId="36395" xr:uid="{00000000-0005-0000-0000-0000B38F0000}"/>
    <cellStyle name="RIGs input totals 6 3 34" xfId="36396" xr:uid="{00000000-0005-0000-0000-0000B48F0000}"/>
    <cellStyle name="RIGs input totals 6 3 4" xfId="36397" xr:uid="{00000000-0005-0000-0000-0000B58F0000}"/>
    <cellStyle name="RIGs input totals 6 3 5" xfId="36398" xr:uid="{00000000-0005-0000-0000-0000B68F0000}"/>
    <cellStyle name="RIGs input totals 6 3 6" xfId="36399" xr:uid="{00000000-0005-0000-0000-0000B78F0000}"/>
    <cellStyle name="RIGs input totals 6 3 7" xfId="36400" xr:uid="{00000000-0005-0000-0000-0000B88F0000}"/>
    <cellStyle name="RIGs input totals 6 3 8" xfId="36401" xr:uid="{00000000-0005-0000-0000-0000B98F0000}"/>
    <cellStyle name="RIGs input totals 6 3 9" xfId="36402" xr:uid="{00000000-0005-0000-0000-0000BA8F0000}"/>
    <cellStyle name="RIGs input totals 6 30" xfId="36403" xr:uid="{00000000-0005-0000-0000-0000BB8F0000}"/>
    <cellStyle name="RIGs input totals 6 31" xfId="36404" xr:uid="{00000000-0005-0000-0000-0000BC8F0000}"/>
    <cellStyle name="RIGs input totals 6 32" xfId="36405" xr:uid="{00000000-0005-0000-0000-0000BD8F0000}"/>
    <cellStyle name="RIGs input totals 6 33" xfId="36406" xr:uid="{00000000-0005-0000-0000-0000BE8F0000}"/>
    <cellStyle name="RIGs input totals 6 34" xfId="36407" xr:uid="{00000000-0005-0000-0000-0000BF8F0000}"/>
    <cellStyle name="RIGs input totals 6 35" xfId="36408" xr:uid="{00000000-0005-0000-0000-0000C08F0000}"/>
    <cellStyle name="RIGs input totals 6 36" xfId="36409" xr:uid="{00000000-0005-0000-0000-0000C18F0000}"/>
    <cellStyle name="RIGs input totals 6 37" xfId="36410" xr:uid="{00000000-0005-0000-0000-0000C28F0000}"/>
    <cellStyle name="RIGs input totals 6 38" xfId="36411" xr:uid="{00000000-0005-0000-0000-0000C38F0000}"/>
    <cellStyle name="RIGs input totals 6 4" xfId="36412" xr:uid="{00000000-0005-0000-0000-0000C48F0000}"/>
    <cellStyle name="RIGs input totals 6 4 10" xfId="36413" xr:uid="{00000000-0005-0000-0000-0000C58F0000}"/>
    <cellStyle name="RIGs input totals 6 4 11" xfId="36414" xr:uid="{00000000-0005-0000-0000-0000C68F0000}"/>
    <cellStyle name="RIGs input totals 6 4 12" xfId="36415" xr:uid="{00000000-0005-0000-0000-0000C78F0000}"/>
    <cellStyle name="RIGs input totals 6 4 13" xfId="36416" xr:uid="{00000000-0005-0000-0000-0000C88F0000}"/>
    <cellStyle name="RIGs input totals 6 4 14" xfId="36417" xr:uid="{00000000-0005-0000-0000-0000C98F0000}"/>
    <cellStyle name="RIGs input totals 6 4 15" xfId="36418" xr:uid="{00000000-0005-0000-0000-0000CA8F0000}"/>
    <cellStyle name="RIGs input totals 6 4 16" xfId="36419" xr:uid="{00000000-0005-0000-0000-0000CB8F0000}"/>
    <cellStyle name="RIGs input totals 6 4 17" xfId="36420" xr:uid="{00000000-0005-0000-0000-0000CC8F0000}"/>
    <cellStyle name="RIGs input totals 6 4 18" xfId="36421" xr:uid="{00000000-0005-0000-0000-0000CD8F0000}"/>
    <cellStyle name="RIGs input totals 6 4 19" xfId="36422" xr:uid="{00000000-0005-0000-0000-0000CE8F0000}"/>
    <cellStyle name="RIGs input totals 6 4 2" xfId="36423" xr:uid="{00000000-0005-0000-0000-0000CF8F0000}"/>
    <cellStyle name="RIGs input totals 6 4 2 10" xfId="36424" xr:uid="{00000000-0005-0000-0000-0000D08F0000}"/>
    <cellStyle name="RIGs input totals 6 4 2 11" xfId="36425" xr:uid="{00000000-0005-0000-0000-0000D18F0000}"/>
    <cellStyle name="RIGs input totals 6 4 2 12" xfId="36426" xr:uid="{00000000-0005-0000-0000-0000D28F0000}"/>
    <cellStyle name="RIGs input totals 6 4 2 13" xfId="36427" xr:uid="{00000000-0005-0000-0000-0000D38F0000}"/>
    <cellStyle name="RIGs input totals 6 4 2 2" xfId="36428" xr:uid="{00000000-0005-0000-0000-0000D48F0000}"/>
    <cellStyle name="RIGs input totals 6 4 2 3" xfId="36429" xr:uid="{00000000-0005-0000-0000-0000D58F0000}"/>
    <cellStyle name="RIGs input totals 6 4 2 4" xfId="36430" xr:uid="{00000000-0005-0000-0000-0000D68F0000}"/>
    <cellStyle name="RIGs input totals 6 4 2 5" xfId="36431" xr:uid="{00000000-0005-0000-0000-0000D78F0000}"/>
    <cellStyle name="RIGs input totals 6 4 2 6" xfId="36432" xr:uid="{00000000-0005-0000-0000-0000D88F0000}"/>
    <cellStyle name="RIGs input totals 6 4 2 7" xfId="36433" xr:uid="{00000000-0005-0000-0000-0000D98F0000}"/>
    <cellStyle name="RIGs input totals 6 4 2 8" xfId="36434" xr:uid="{00000000-0005-0000-0000-0000DA8F0000}"/>
    <cellStyle name="RIGs input totals 6 4 2 9" xfId="36435" xr:uid="{00000000-0005-0000-0000-0000DB8F0000}"/>
    <cellStyle name="RIGs input totals 6 4 20" xfId="36436" xr:uid="{00000000-0005-0000-0000-0000DC8F0000}"/>
    <cellStyle name="RIGs input totals 6 4 21" xfId="36437" xr:uid="{00000000-0005-0000-0000-0000DD8F0000}"/>
    <cellStyle name="RIGs input totals 6 4 22" xfId="36438" xr:uid="{00000000-0005-0000-0000-0000DE8F0000}"/>
    <cellStyle name="RIGs input totals 6 4 23" xfId="36439" xr:uid="{00000000-0005-0000-0000-0000DF8F0000}"/>
    <cellStyle name="RIGs input totals 6 4 24" xfId="36440" xr:uid="{00000000-0005-0000-0000-0000E08F0000}"/>
    <cellStyle name="RIGs input totals 6 4 25" xfId="36441" xr:uid="{00000000-0005-0000-0000-0000E18F0000}"/>
    <cellStyle name="RIGs input totals 6 4 26" xfId="36442" xr:uid="{00000000-0005-0000-0000-0000E28F0000}"/>
    <cellStyle name="RIGs input totals 6 4 27" xfId="36443" xr:uid="{00000000-0005-0000-0000-0000E38F0000}"/>
    <cellStyle name="RIGs input totals 6 4 28" xfId="36444" xr:uid="{00000000-0005-0000-0000-0000E48F0000}"/>
    <cellStyle name="RIGs input totals 6 4 29" xfId="36445" xr:uid="{00000000-0005-0000-0000-0000E58F0000}"/>
    <cellStyle name="RIGs input totals 6 4 3" xfId="36446" xr:uid="{00000000-0005-0000-0000-0000E68F0000}"/>
    <cellStyle name="RIGs input totals 6 4 30" xfId="36447" xr:uid="{00000000-0005-0000-0000-0000E78F0000}"/>
    <cellStyle name="RIGs input totals 6 4 31" xfId="36448" xr:uid="{00000000-0005-0000-0000-0000E88F0000}"/>
    <cellStyle name="RIGs input totals 6 4 32" xfId="36449" xr:uid="{00000000-0005-0000-0000-0000E98F0000}"/>
    <cellStyle name="RIGs input totals 6 4 33" xfId="36450" xr:uid="{00000000-0005-0000-0000-0000EA8F0000}"/>
    <cellStyle name="RIGs input totals 6 4 34" xfId="36451" xr:uid="{00000000-0005-0000-0000-0000EB8F0000}"/>
    <cellStyle name="RIGs input totals 6 4 4" xfId="36452" xr:uid="{00000000-0005-0000-0000-0000EC8F0000}"/>
    <cellStyle name="RIGs input totals 6 4 5" xfId="36453" xr:uid="{00000000-0005-0000-0000-0000ED8F0000}"/>
    <cellStyle name="RIGs input totals 6 4 6" xfId="36454" xr:uid="{00000000-0005-0000-0000-0000EE8F0000}"/>
    <cellStyle name="RIGs input totals 6 4 7" xfId="36455" xr:uid="{00000000-0005-0000-0000-0000EF8F0000}"/>
    <cellStyle name="RIGs input totals 6 4 8" xfId="36456" xr:uid="{00000000-0005-0000-0000-0000F08F0000}"/>
    <cellStyle name="RIGs input totals 6 4 9" xfId="36457" xr:uid="{00000000-0005-0000-0000-0000F18F0000}"/>
    <cellStyle name="RIGs input totals 6 5" xfId="36458" xr:uid="{00000000-0005-0000-0000-0000F28F0000}"/>
    <cellStyle name="RIGs input totals 6 5 10" xfId="36459" xr:uid="{00000000-0005-0000-0000-0000F38F0000}"/>
    <cellStyle name="RIGs input totals 6 5 11" xfId="36460" xr:uid="{00000000-0005-0000-0000-0000F48F0000}"/>
    <cellStyle name="RIGs input totals 6 5 12" xfId="36461" xr:uid="{00000000-0005-0000-0000-0000F58F0000}"/>
    <cellStyle name="RIGs input totals 6 5 13" xfId="36462" xr:uid="{00000000-0005-0000-0000-0000F68F0000}"/>
    <cellStyle name="RIGs input totals 6 5 2" xfId="36463" xr:uid="{00000000-0005-0000-0000-0000F78F0000}"/>
    <cellStyle name="RIGs input totals 6 5 3" xfId="36464" xr:uid="{00000000-0005-0000-0000-0000F88F0000}"/>
    <cellStyle name="RIGs input totals 6 5 4" xfId="36465" xr:uid="{00000000-0005-0000-0000-0000F98F0000}"/>
    <cellStyle name="RIGs input totals 6 5 5" xfId="36466" xr:uid="{00000000-0005-0000-0000-0000FA8F0000}"/>
    <cellStyle name="RIGs input totals 6 5 6" xfId="36467" xr:uid="{00000000-0005-0000-0000-0000FB8F0000}"/>
    <cellStyle name="RIGs input totals 6 5 7" xfId="36468" xr:uid="{00000000-0005-0000-0000-0000FC8F0000}"/>
    <cellStyle name="RIGs input totals 6 5 8" xfId="36469" xr:uid="{00000000-0005-0000-0000-0000FD8F0000}"/>
    <cellStyle name="RIGs input totals 6 5 9" xfId="36470" xr:uid="{00000000-0005-0000-0000-0000FE8F0000}"/>
    <cellStyle name="RIGs input totals 6 6" xfId="36471" xr:uid="{00000000-0005-0000-0000-0000FF8F0000}"/>
    <cellStyle name="RIGs input totals 6 7" xfId="36472" xr:uid="{00000000-0005-0000-0000-000000900000}"/>
    <cellStyle name="RIGs input totals 6 8" xfId="36473" xr:uid="{00000000-0005-0000-0000-000001900000}"/>
    <cellStyle name="RIGs input totals 6 9" xfId="36474" xr:uid="{00000000-0005-0000-0000-000002900000}"/>
    <cellStyle name="RIGs input totals 6_4 28 1_Asst_Health_Crit_AllTO_RIIO_20110714pm" xfId="36475" xr:uid="{00000000-0005-0000-0000-000003900000}"/>
    <cellStyle name="RIGs input totals 7" xfId="36476" xr:uid="{00000000-0005-0000-0000-000004900000}"/>
    <cellStyle name="RIGs input totals 7 10" xfId="36477" xr:uid="{00000000-0005-0000-0000-000005900000}"/>
    <cellStyle name="RIGs input totals 7 11" xfId="36478" xr:uid="{00000000-0005-0000-0000-000006900000}"/>
    <cellStyle name="RIGs input totals 7 12" xfId="36479" xr:uid="{00000000-0005-0000-0000-000007900000}"/>
    <cellStyle name="RIGs input totals 7 13" xfId="36480" xr:uid="{00000000-0005-0000-0000-000008900000}"/>
    <cellStyle name="RIGs input totals 7 14" xfId="36481" xr:uid="{00000000-0005-0000-0000-000009900000}"/>
    <cellStyle name="RIGs input totals 7 15" xfId="36482" xr:uid="{00000000-0005-0000-0000-00000A900000}"/>
    <cellStyle name="RIGs input totals 7 16" xfId="36483" xr:uid="{00000000-0005-0000-0000-00000B900000}"/>
    <cellStyle name="RIGs input totals 7 17" xfId="36484" xr:uid="{00000000-0005-0000-0000-00000C900000}"/>
    <cellStyle name="RIGs input totals 7 18" xfId="36485" xr:uid="{00000000-0005-0000-0000-00000D900000}"/>
    <cellStyle name="RIGs input totals 7 19" xfId="36486" xr:uid="{00000000-0005-0000-0000-00000E900000}"/>
    <cellStyle name="RIGs input totals 7 2" xfId="36487" xr:uid="{00000000-0005-0000-0000-00000F900000}"/>
    <cellStyle name="RIGs input totals 7 2 10" xfId="36488" xr:uid="{00000000-0005-0000-0000-000010900000}"/>
    <cellStyle name="RIGs input totals 7 2 11" xfId="36489" xr:uid="{00000000-0005-0000-0000-000011900000}"/>
    <cellStyle name="RIGs input totals 7 2 12" xfId="36490" xr:uid="{00000000-0005-0000-0000-000012900000}"/>
    <cellStyle name="RIGs input totals 7 2 13" xfId="36491" xr:uid="{00000000-0005-0000-0000-000013900000}"/>
    <cellStyle name="RIGs input totals 7 2 14" xfId="36492" xr:uid="{00000000-0005-0000-0000-000014900000}"/>
    <cellStyle name="RIGs input totals 7 2 15" xfId="36493" xr:uid="{00000000-0005-0000-0000-000015900000}"/>
    <cellStyle name="RIGs input totals 7 2 16" xfId="36494" xr:uid="{00000000-0005-0000-0000-000016900000}"/>
    <cellStyle name="RIGs input totals 7 2 17" xfId="36495" xr:uid="{00000000-0005-0000-0000-000017900000}"/>
    <cellStyle name="RIGs input totals 7 2 18" xfId="36496" xr:uid="{00000000-0005-0000-0000-000018900000}"/>
    <cellStyle name="RIGs input totals 7 2 19" xfId="36497" xr:uid="{00000000-0005-0000-0000-000019900000}"/>
    <cellStyle name="RIGs input totals 7 2 2" xfId="36498" xr:uid="{00000000-0005-0000-0000-00001A900000}"/>
    <cellStyle name="RIGs input totals 7 2 2 10" xfId="36499" xr:uid="{00000000-0005-0000-0000-00001B900000}"/>
    <cellStyle name="RIGs input totals 7 2 2 11" xfId="36500" xr:uid="{00000000-0005-0000-0000-00001C900000}"/>
    <cellStyle name="RIGs input totals 7 2 2 12" xfId="36501" xr:uid="{00000000-0005-0000-0000-00001D900000}"/>
    <cellStyle name="RIGs input totals 7 2 2 13" xfId="36502" xr:uid="{00000000-0005-0000-0000-00001E900000}"/>
    <cellStyle name="RIGs input totals 7 2 2 2" xfId="36503" xr:uid="{00000000-0005-0000-0000-00001F900000}"/>
    <cellStyle name="RIGs input totals 7 2 2 3" xfId="36504" xr:uid="{00000000-0005-0000-0000-000020900000}"/>
    <cellStyle name="RIGs input totals 7 2 2 4" xfId="36505" xr:uid="{00000000-0005-0000-0000-000021900000}"/>
    <cellStyle name="RIGs input totals 7 2 2 5" xfId="36506" xr:uid="{00000000-0005-0000-0000-000022900000}"/>
    <cellStyle name="RIGs input totals 7 2 2 6" xfId="36507" xr:uid="{00000000-0005-0000-0000-000023900000}"/>
    <cellStyle name="RIGs input totals 7 2 2 7" xfId="36508" xr:uid="{00000000-0005-0000-0000-000024900000}"/>
    <cellStyle name="RIGs input totals 7 2 2 8" xfId="36509" xr:uid="{00000000-0005-0000-0000-000025900000}"/>
    <cellStyle name="RIGs input totals 7 2 2 9" xfId="36510" xr:uid="{00000000-0005-0000-0000-000026900000}"/>
    <cellStyle name="RIGs input totals 7 2 20" xfId="36511" xr:uid="{00000000-0005-0000-0000-000027900000}"/>
    <cellStyle name="RIGs input totals 7 2 21" xfId="36512" xr:uid="{00000000-0005-0000-0000-000028900000}"/>
    <cellStyle name="RIGs input totals 7 2 22" xfId="36513" xr:uid="{00000000-0005-0000-0000-000029900000}"/>
    <cellStyle name="RIGs input totals 7 2 23" xfId="36514" xr:uid="{00000000-0005-0000-0000-00002A900000}"/>
    <cellStyle name="RIGs input totals 7 2 24" xfId="36515" xr:uid="{00000000-0005-0000-0000-00002B900000}"/>
    <cellStyle name="RIGs input totals 7 2 25" xfId="36516" xr:uid="{00000000-0005-0000-0000-00002C900000}"/>
    <cellStyle name="RIGs input totals 7 2 26" xfId="36517" xr:uid="{00000000-0005-0000-0000-00002D900000}"/>
    <cellStyle name="RIGs input totals 7 2 27" xfId="36518" xr:uid="{00000000-0005-0000-0000-00002E900000}"/>
    <cellStyle name="RIGs input totals 7 2 28" xfId="36519" xr:uid="{00000000-0005-0000-0000-00002F900000}"/>
    <cellStyle name="RIGs input totals 7 2 29" xfId="36520" xr:uid="{00000000-0005-0000-0000-000030900000}"/>
    <cellStyle name="RIGs input totals 7 2 3" xfId="36521" xr:uid="{00000000-0005-0000-0000-000031900000}"/>
    <cellStyle name="RIGs input totals 7 2 30" xfId="36522" xr:uid="{00000000-0005-0000-0000-000032900000}"/>
    <cellStyle name="RIGs input totals 7 2 31" xfId="36523" xr:uid="{00000000-0005-0000-0000-000033900000}"/>
    <cellStyle name="RIGs input totals 7 2 32" xfId="36524" xr:uid="{00000000-0005-0000-0000-000034900000}"/>
    <cellStyle name="RIGs input totals 7 2 33" xfId="36525" xr:uid="{00000000-0005-0000-0000-000035900000}"/>
    <cellStyle name="RIGs input totals 7 2 34" xfId="36526" xr:uid="{00000000-0005-0000-0000-000036900000}"/>
    <cellStyle name="RIGs input totals 7 2 4" xfId="36527" xr:uid="{00000000-0005-0000-0000-000037900000}"/>
    <cellStyle name="RIGs input totals 7 2 5" xfId="36528" xr:uid="{00000000-0005-0000-0000-000038900000}"/>
    <cellStyle name="RIGs input totals 7 2 6" xfId="36529" xr:uid="{00000000-0005-0000-0000-000039900000}"/>
    <cellStyle name="RIGs input totals 7 2 7" xfId="36530" xr:uid="{00000000-0005-0000-0000-00003A900000}"/>
    <cellStyle name="RIGs input totals 7 2 8" xfId="36531" xr:uid="{00000000-0005-0000-0000-00003B900000}"/>
    <cellStyle name="RIGs input totals 7 2 9" xfId="36532" xr:uid="{00000000-0005-0000-0000-00003C900000}"/>
    <cellStyle name="RIGs input totals 7 20" xfId="36533" xr:uid="{00000000-0005-0000-0000-00003D900000}"/>
    <cellStyle name="RIGs input totals 7 21" xfId="36534" xr:uid="{00000000-0005-0000-0000-00003E900000}"/>
    <cellStyle name="RIGs input totals 7 22" xfId="36535" xr:uid="{00000000-0005-0000-0000-00003F900000}"/>
    <cellStyle name="RIGs input totals 7 23" xfId="36536" xr:uid="{00000000-0005-0000-0000-000040900000}"/>
    <cellStyle name="RIGs input totals 7 24" xfId="36537" xr:uid="{00000000-0005-0000-0000-000041900000}"/>
    <cellStyle name="RIGs input totals 7 25" xfId="36538" xr:uid="{00000000-0005-0000-0000-000042900000}"/>
    <cellStyle name="RIGs input totals 7 26" xfId="36539" xr:uid="{00000000-0005-0000-0000-000043900000}"/>
    <cellStyle name="RIGs input totals 7 27" xfId="36540" xr:uid="{00000000-0005-0000-0000-000044900000}"/>
    <cellStyle name="RIGs input totals 7 28" xfId="36541" xr:uid="{00000000-0005-0000-0000-000045900000}"/>
    <cellStyle name="RIGs input totals 7 29" xfId="36542" xr:uid="{00000000-0005-0000-0000-000046900000}"/>
    <cellStyle name="RIGs input totals 7 3" xfId="36543" xr:uid="{00000000-0005-0000-0000-000047900000}"/>
    <cellStyle name="RIGs input totals 7 3 10" xfId="36544" xr:uid="{00000000-0005-0000-0000-000048900000}"/>
    <cellStyle name="RIGs input totals 7 3 11" xfId="36545" xr:uid="{00000000-0005-0000-0000-000049900000}"/>
    <cellStyle name="RIGs input totals 7 3 12" xfId="36546" xr:uid="{00000000-0005-0000-0000-00004A900000}"/>
    <cellStyle name="RIGs input totals 7 3 13" xfId="36547" xr:uid="{00000000-0005-0000-0000-00004B900000}"/>
    <cellStyle name="RIGs input totals 7 3 14" xfId="36548" xr:uid="{00000000-0005-0000-0000-00004C900000}"/>
    <cellStyle name="RIGs input totals 7 3 15" xfId="36549" xr:uid="{00000000-0005-0000-0000-00004D900000}"/>
    <cellStyle name="RIGs input totals 7 3 16" xfId="36550" xr:uid="{00000000-0005-0000-0000-00004E900000}"/>
    <cellStyle name="RIGs input totals 7 3 17" xfId="36551" xr:uid="{00000000-0005-0000-0000-00004F900000}"/>
    <cellStyle name="RIGs input totals 7 3 18" xfId="36552" xr:uid="{00000000-0005-0000-0000-000050900000}"/>
    <cellStyle name="RIGs input totals 7 3 19" xfId="36553" xr:uid="{00000000-0005-0000-0000-000051900000}"/>
    <cellStyle name="RIGs input totals 7 3 2" xfId="36554" xr:uid="{00000000-0005-0000-0000-000052900000}"/>
    <cellStyle name="RIGs input totals 7 3 2 10" xfId="36555" xr:uid="{00000000-0005-0000-0000-000053900000}"/>
    <cellStyle name="RIGs input totals 7 3 2 11" xfId="36556" xr:uid="{00000000-0005-0000-0000-000054900000}"/>
    <cellStyle name="RIGs input totals 7 3 2 12" xfId="36557" xr:uid="{00000000-0005-0000-0000-000055900000}"/>
    <cellStyle name="RIGs input totals 7 3 2 13" xfId="36558" xr:uid="{00000000-0005-0000-0000-000056900000}"/>
    <cellStyle name="RIGs input totals 7 3 2 2" xfId="36559" xr:uid="{00000000-0005-0000-0000-000057900000}"/>
    <cellStyle name="RIGs input totals 7 3 2 3" xfId="36560" xr:uid="{00000000-0005-0000-0000-000058900000}"/>
    <cellStyle name="RIGs input totals 7 3 2 4" xfId="36561" xr:uid="{00000000-0005-0000-0000-000059900000}"/>
    <cellStyle name="RIGs input totals 7 3 2 5" xfId="36562" xr:uid="{00000000-0005-0000-0000-00005A900000}"/>
    <cellStyle name="RIGs input totals 7 3 2 6" xfId="36563" xr:uid="{00000000-0005-0000-0000-00005B900000}"/>
    <cellStyle name="RIGs input totals 7 3 2 7" xfId="36564" xr:uid="{00000000-0005-0000-0000-00005C900000}"/>
    <cellStyle name="RIGs input totals 7 3 2 8" xfId="36565" xr:uid="{00000000-0005-0000-0000-00005D900000}"/>
    <cellStyle name="RIGs input totals 7 3 2 9" xfId="36566" xr:uid="{00000000-0005-0000-0000-00005E900000}"/>
    <cellStyle name="RIGs input totals 7 3 20" xfId="36567" xr:uid="{00000000-0005-0000-0000-00005F900000}"/>
    <cellStyle name="RIGs input totals 7 3 21" xfId="36568" xr:uid="{00000000-0005-0000-0000-000060900000}"/>
    <cellStyle name="RIGs input totals 7 3 22" xfId="36569" xr:uid="{00000000-0005-0000-0000-000061900000}"/>
    <cellStyle name="RIGs input totals 7 3 23" xfId="36570" xr:uid="{00000000-0005-0000-0000-000062900000}"/>
    <cellStyle name="RIGs input totals 7 3 24" xfId="36571" xr:uid="{00000000-0005-0000-0000-000063900000}"/>
    <cellStyle name="RIGs input totals 7 3 25" xfId="36572" xr:uid="{00000000-0005-0000-0000-000064900000}"/>
    <cellStyle name="RIGs input totals 7 3 26" xfId="36573" xr:uid="{00000000-0005-0000-0000-000065900000}"/>
    <cellStyle name="RIGs input totals 7 3 27" xfId="36574" xr:uid="{00000000-0005-0000-0000-000066900000}"/>
    <cellStyle name="RIGs input totals 7 3 28" xfId="36575" xr:uid="{00000000-0005-0000-0000-000067900000}"/>
    <cellStyle name="RIGs input totals 7 3 29" xfId="36576" xr:uid="{00000000-0005-0000-0000-000068900000}"/>
    <cellStyle name="RIGs input totals 7 3 3" xfId="36577" xr:uid="{00000000-0005-0000-0000-000069900000}"/>
    <cellStyle name="RIGs input totals 7 3 30" xfId="36578" xr:uid="{00000000-0005-0000-0000-00006A900000}"/>
    <cellStyle name="RIGs input totals 7 3 31" xfId="36579" xr:uid="{00000000-0005-0000-0000-00006B900000}"/>
    <cellStyle name="RIGs input totals 7 3 32" xfId="36580" xr:uid="{00000000-0005-0000-0000-00006C900000}"/>
    <cellStyle name="RIGs input totals 7 3 33" xfId="36581" xr:uid="{00000000-0005-0000-0000-00006D900000}"/>
    <cellStyle name="RIGs input totals 7 3 34" xfId="36582" xr:uid="{00000000-0005-0000-0000-00006E900000}"/>
    <cellStyle name="RIGs input totals 7 3 4" xfId="36583" xr:uid="{00000000-0005-0000-0000-00006F900000}"/>
    <cellStyle name="RIGs input totals 7 3 5" xfId="36584" xr:uid="{00000000-0005-0000-0000-000070900000}"/>
    <cellStyle name="RIGs input totals 7 3 6" xfId="36585" xr:uid="{00000000-0005-0000-0000-000071900000}"/>
    <cellStyle name="RIGs input totals 7 3 7" xfId="36586" xr:uid="{00000000-0005-0000-0000-000072900000}"/>
    <cellStyle name="RIGs input totals 7 3 8" xfId="36587" xr:uid="{00000000-0005-0000-0000-000073900000}"/>
    <cellStyle name="RIGs input totals 7 3 9" xfId="36588" xr:uid="{00000000-0005-0000-0000-000074900000}"/>
    <cellStyle name="RIGs input totals 7 30" xfId="36589" xr:uid="{00000000-0005-0000-0000-000075900000}"/>
    <cellStyle name="RIGs input totals 7 31" xfId="36590" xr:uid="{00000000-0005-0000-0000-000076900000}"/>
    <cellStyle name="RIGs input totals 7 32" xfId="36591" xr:uid="{00000000-0005-0000-0000-000077900000}"/>
    <cellStyle name="RIGs input totals 7 33" xfId="36592" xr:uid="{00000000-0005-0000-0000-000078900000}"/>
    <cellStyle name="RIGs input totals 7 34" xfId="36593" xr:uid="{00000000-0005-0000-0000-000079900000}"/>
    <cellStyle name="RIGs input totals 7 35" xfId="36594" xr:uid="{00000000-0005-0000-0000-00007A900000}"/>
    <cellStyle name="RIGs input totals 7 36" xfId="36595" xr:uid="{00000000-0005-0000-0000-00007B900000}"/>
    <cellStyle name="RIGs input totals 7 37" xfId="36596" xr:uid="{00000000-0005-0000-0000-00007C900000}"/>
    <cellStyle name="RIGs input totals 7 38" xfId="36597" xr:uid="{00000000-0005-0000-0000-00007D900000}"/>
    <cellStyle name="RIGs input totals 7 4" xfId="36598" xr:uid="{00000000-0005-0000-0000-00007E900000}"/>
    <cellStyle name="RIGs input totals 7 4 10" xfId="36599" xr:uid="{00000000-0005-0000-0000-00007F900000}"/>
    <cellStyle name="RIGs input totals 7 4 11" xfId="36600" xr:uid="{00000000-0005-0000-0000-000080900000}"/>
    <cellStyle name="RIGs input totals 7 4 12" xfId="36601" xr:uid="{00000000-0005-0000-0000-000081900000}"/>
    <cellStyle name="RIGs input totals 7 4 13" xfId="36602" xr:uid="{00000000-0005-0000-0000-000082900000}"/>
    <cellStyle name="RIGs input totals 7 4 14" xfId="36603" xr:uid="{00000000-0005-0000-0000-000083900000}"/>
    <cellStyle name="RIGs input totals 7 4 15" xfId="36604" xr:uid="{00000000-0005-0000-0000-000084900000}"/>
    <cellStyle name="RIGs input totals 7 4 16" xfId="36605" xr:uid="{00000000-0005-0000-0000-000085900000}"/>
    <cellStyle name="RIGs input totals 7 4 17" xfId="36606" xr:uid="{00000000-0005-0000-0000-000086900000}"/>
    <cellStyle name="RIGs input totals 7 4 18" xfId="36607" xr:uid="{00000000-0005-0000-0000-000087900000}"/>
    <cellStyle name="RIGs input totals 7 4 19" xfId="36608" xr:uid="{00000000-0005-0000-0000-000088900000}"/>
    <cellStyle name="RIGs input totals 7 4 2" xfId="36609" xr:uid="{00000000-0005-0000-0000-000089900000}"/>
    <cellStyle name="RIGs input totals 7 4 2 10" xfId="36610" xr:uid="{00000000-0005-0000-0000-00008A900000}"/>
    <cellStyle name="RIGs input totals 7 4 2 11" xfId="36611" xr:uid="{00000000-0005-0000-0000-00008B900000}"/>
    <cellStyle name="RIGs input totals 7 4 2 12" xfId="36612" xr:uid="{00000000-0005-0000-0000-00008C900000}"/>
    <cellStyle name="RIGs input totals 7 4 2 13" xfId="36613" xr:uid="{00000000-0005-0000-0000-00008D900000}"/>
    <cellStyle name="RIGs input totals 7 4 2 2" xfId="36614" xr:uid="{00000000-0005-0000-0000-00008E900000}"/>
    <cellStyle name="RIGs input totals 7 4 2 3" xfId="36615" xr:uid="{00000000-0005-0000-0000-00008F900000}"/>
    <cellStyle name="RIGs input totals 7 4 2 4" xfId="36616" xr:uid="{00000000-0005-0000-0000-000090900000}"/>
    <cellStyle name="RIGs input totals 7 4 2 5" xfId="36617" xr:uid="{00000000-0005-0000-0000-000091900000}"/>
    <cellStyle name="RIGs input totals 7 4 2 6" xfId="36618" xr:uid="{00000000-0005-0000-0000-000092900000}"/>
    <cellStyle name="RIGs input totals 7 4 2 7" xfId="36619" xr:uid="{00000000-0005-0000-0000-000093900000}"/>
    <cellStyle name="RIGs input totals 7 4 2 8" xfId="36620" xr:uid="{00000000-0005-0000-0000-000094900000}"/>
    <cellStyle name="RIGs input totals 7 4 2 9" xfId="36621" xr:uid="{00000000-0005-0000-0000-000095900000}"/>
    <cellStyle name="RIGs input totals 7 4 20" xfId="36622" xr:uid="{00000000-0005-0000-0000-000096900000}"/>
    <cellStyle name="RIGs input totals 7 4 21" xfId="36623" xr:uid="{00000000-0005-0000-0000-000097900000}"/>
    <cellStyle name="RIGs input totals 7 4 22" xfId="36624" xr:uid="{00000000-0005-0000-0000-000098900000}"/>
    <cellStyle name="RIGs input totals 7 4 23" xfId="36625" xr:uid="{00000000-0005-0000-0000-000099900000}"/>
    <cellStyle name="RIGs input totals 7 4 24" xfId="36626" xr:uid="{00000000-0005-0000-0000-00009A900000}"/>
    <cellStyle name="RIGs input totals 7 4 25" xfId="36627" xr:uid="{00000000-0005-0000-0000-00009B900000}"/>
    <cellStyle name="RIGs input totals 7 4 26" xfId="36628" xr:uid="{00000000-0005-0000-0000-00009C900000}"/>
    <cellStyle name="RIGs input totals 7 4 27" xfId="36629" xr:uid="{00000000-0005-0000-0000-00009D900000}"/>
    <cellStyle name="RIGs input totals 7 4 28" xfId="36630" xr:uid="{00000000-0005-0000-0000-00009E900000}"/>
    <cellStyle name="RIGs input totals 7 4 29" xfId="36631" xr:uid="{00000000-0005-0000-0000-00009F900000}"/>
    <cellStyle name="RIGs input totals 7 4 3" xfId="36632" xr:uid="{00000000-0005-0000-0000-0000A0900000}"/>
    <cellStyle name="RIGs input totals 7 4 30" xfId="36633" xr:uid="{00000000-0005-0000-0000-0000A1900000}"/>
    <cellStyle name="RIGs input totals 7 4 31" xfId="36634" xr:uid="{00000000-0005-0000-0000-0000A2900000}"/>
    <cellStyle name="RIGs input totals 7 4 32" xfId="36635" xr:uid="{00000000-0005-0000-0000-0000A3900000}"/>
    <cellStyle name="RIGs input totals 7 4 33" xfId="36636" xr:uid="{00000000-0005-0000-0000-0000A4900000}"/>
    <cellStyle name="RIGs input totals 7 4 34" xfId="36637" xr:uid="{00000000-0005-0000-0000-0000A5900000}"/>
    <cellStyle name="RIGs input totals 7 4 4" xfId="36638" xr:uid="{00000000-0005-0000-0000-0000A6900000}"/>
    <cellStyle name="RIGs input totals 7 4 5" xfId="36639" xr:uid="{00000000-0005-0000-0000-0000A7900000}"/>
    <cellStyle name="RIGs input totals 7 4 6" xfId="36640" xr:uid="{00000000-0005-0000-0000-0000A8900000}"/>
    <cellStyle name="RIGs input totals 7 4 7" xfId="36641" xr:uid="{00000000-0005-0000-0000-0000A9900000}"/>
    <cellStyle name="RIGs input totals 7 4 8" xfId="36642" xr:uid="{00000000-0005-0000-0000-0000AA900000}"/>
    <cellStyle name="RIGs input totals 7 4 9" xfId="36643" xr:uid="{00000000-0005-0000-0000-0000AB900000}"/>
    <cellStyle name="RIGs input totals 7 5" xfId="36644" xr:uid="{00000000-0005-0000-0000-0000AC900000}"/>
    <cellStyle name="RIGs input totals 7 5 10" xfId="36645" xr:uid="{00000000-0005-0000-0000-0000AD900000}"/>
    <cellStyle name="RIGs input totals 7 5 11" xfId="36646" xr:uid="{00000000-0005-0000-0000-0000AE900000}"/>
    <cellStyle name="RIGs input totals 7 5 12" xfId="36647" xr:uid="{00000000-0005-0000-0000-0000AF900000}"/>
    <cellStyle name="RIGs input totals 7 5 13" xfId="36648" xr:uid="{00000000-0005-0000-0000-0000B0900000}"/>
    <cellStyle name="RIGs input totals 7 5 2" xfId="36649" xr:uid="{00000000-0005-0000-0000-0000B1900000}"/>
    <cellStyle name="RIGs input totals 7 5 3" xfId="36650" xr:uid="{00000000-0005-0000-0000-0000B2900000}"/>
    <cellStyle name="RIGs input totals 7 5 4" xfId="36651" xr:uid="{00000000-0005-0000-0000-0000B3900000}"/>
    <cellStyle name="RIGs input totals 7 5 5" xfId="36652" xr:uid="{00000000-0005-0000-0000-0000B4900000}"/>
    <cellStyle name="RIGs input totals 7 5 6" xfId="36653" xr:uid="{00000000-0005-0000-0000-0000B5900000}"/>
    <cellStyle name="RIGs input totals 7 5 7" xfId="36654" xr:uid="{00000000-0005-0000-0000-0000B6900000}"/>
    <cellStyle name="RIGs input totals 7 5 8" xfId="36655" xr:uid="{00000000-0005-0000-0000-0000B7900000}"/>
    <cellStyle name="RIGs input totals 7 5 9" xfId="36656" xr:uid="{00000000-0005-0000-0000-0000B8900000}"/>
    <cellStyle name="RIGs input totals 7 6" xfId="36657" xr:uid="{00000000-0005-0000-0000-0000B9900000}"/>
    <cellStyle name="RIGs input totals 7 7" xfId="36658" xr:uid="{00000000-0005-0000-0000-0000BA900000}"/>
    <cellStyle name="RIGs input totals 7 8" xfId="36659" xr:uid="{00000000-0005-0000-0000-0000BB900000}"/>
    <cellStyle name="RIGs input totals 7 9" xfId="36660" xr:uid="{00000000-0005-0000-0000-0000BC900000}"/>
    <cellStyle name="RIGs input totals 7_4 28 1_Asst_Health_Crit_AllTO_RIIO_20110714pm" xfId="36661" xr:uid="{00000000-0005-0000-0000-0000BD900000}"/>
    <cellStyle name="RIGs input totals 8" xfId="36662" xr:uid="{00000000-0005-0000-0000-0000BE900000}"/>
    <cellStyle name="RIGs input totals 8 10" xfId="36663" xr:uid="{00000000-0005-0000-0000-0000BF900000}"/>
    <cellStyle name="RIGs input totals 8 11" xfId="36664" xr:uid="{00000000-0005-0000-0000-0000C0900000}"/>
    <cellStyle name="RIGs input totals 8 12" xfId="36665" xr:uid="{00000000-0005-0000-0000-0000C1900000}"/>
    <cellStyle name="RIGs input totals 8 13" xfId="36666" xr:uid="{00000000-0005-0000-0000-0000C2900000}"/>
    <cellStyle name="RIGs input totals 8 14" xfId="36667" xr:uid="{00000000-0005-0000-0000-0000C3900000}"/>
    <cellStyle name="RIGs input totals 8 15" xfId="36668" xr:uid="{00000000-0005-0000-0000-0000C4900000}"/>
    <cellStyle name="RIGs input totals 8 16" xfId="36669" xr:uid="{00000000-0005-0000-0000-0000C5900000}"/>
    <cellStyle name="RIGs input totals 8 17" xfId="36670" xr:uid="{00000000-0005-0000-0000-0000C6900000}"/>
    <cellStyle name="RIGs input totals 8 18" xfId="36671" xr:uid="{00000000-0005-0000-0000-0000C7900000}"/>
    <cellStyle name="RIGs input totals 8 19" xfId="36672" xr:uid="{00000000-0005-0000-0000-0000C8900000}"/>
    <cellStyle name="RIGs input totals 8 2" xfId="36673" xr:uid="{00000000-0005-0000-0000-0000C9900000}"/>
    <cellStyle name="RIGs input totals 8 2 10" xfId="36674" xr:uid="{00000000-0005-0000-0000-0000CA900000}"/>
    <cellStyle name="RIGs input totals 8 2 11" xfId="36675" xr:uid="{00000000-0005-0000-0000-0000CB900000}"/>
    <cellStyle name="RIGs input totals 8 2 12" xfId="36676" xr:uid="{00000000-0005-0000-0000-0000CC900000}"/>
    <cellStyle name="RIGs input totals 8 2 13" xfId="36677" xr:uid="{00000000-0005-0000-0000-0000CD900000}"/>
    <cellStyle name="RIGs input totals 8 2 2" xfId="36678" xr:uid="{00000000-0005-0000-0000-0000CE900000}"/>
    <cellStyle name="RIGs input totals 8 2 3" xfId="36679" xr:uid="{00000000-0005-0000-0000-0000CF900000}"/>
    <cellStyle name="RIGs input totals 8 2 4" xfId="36680" xr:uid="{00000000-0005-0000-0000-0000D0900000}"/>
    <cellStyle name="RIGs input totals 8 2 5" xfId="36681" xr:uid="{00000000-0005-0000-0000-0000D1900000}"/>
    <cellStyle name="RIGs input totals 8 2 6" xfId="36682" xr:uid="{00000000-0005-0000-0000-0000D2900000}"/>
    <cellStyle name="RIGs input totals 8 2 7" xfId="36683" xr:uid="{00000000-0005-0000-0000-0000D3900000}"/>
    <cellStyle name="RIGs input totals 8 2 8" xfId="36684" xr:uid="{00000000-0005-0000-0000-0000D4900000}"/>
    <cellStyle name="RIGs input totals 8 2 9" xfId="36685" xr:uid="{00000000-0005-0000-0000-0000D5900000}"/>
    <cellStyle name="RIGs input totals 8 20" xfId="36686" xr:uid="{00000000-0005-0000-0000-0000D6900000}"/>
    <cellStyle name="RIGs input totals 8 21" xfId="36687" xr:uid="{00000000-0005-0000-0000-0000D7900000}"/>
    <cellStyle name="RIGs input totals 8 22" xfId="36688" xr:uid="{00000000-0005-0000-0000-0000D8900000}"/>
    <cellStyle name="RIGs input totals 8 23" xfId="36689" xr:uid="{00000000-0005-0000-0000-0000D9900000}"/>
    <cellStyle name="RIGs input totals 8 24" xfId="36690" xr:uid="{00000000-0005-0000-0000-0000DA900000}"/>
    <cellStyle name="RIGs input totals 8 25" xfId="36691" xr:uid="{00000000-0005-0000-0000-0000DB900000}"/>
    <cellStyle name="RIGs input totals 8 26" xfId="36692" xr:uid="{00000000-0005-0000-0000-0000DC900000}"/>
    <cellStyle name="RIGs input totals 8 27" xfId="36693" xr:uid="{00000000-0005-0000-0000-0000DD900000}"/>
    <cellStyle name="RIGs input totals 8 28" xfId="36694" xr:uid="{00000000-0005-0000-0000-0000DE900000}"/>
    <cellStyle name="RIGs input totals 8 29" xfId="36695" xr:uid="{00000000-0005-0000-0000-0000DF900000}"/>
    <cellStyle name="RIGs input totals 8 3" xfId="36696" xr:uid="{00000000-0005-0000-0000-0000E0900000}"/>
    <cellStyle name="RIGs input totals 8 30" xfId="36697" xr:uid="{00000000-0005-0000-0000-0000E1900000}"/>
    <cellStyle name="RIGs input totals 8 31" xfId="36698" xr:uid="{00000000-0005-0000-0000-0000E2900000}"/>
    <cellStyle name="RIGs input totals 8 32" xfId="36699" xr:uid="{00000000-0005-0000-0000-0000E3900000}"/>
    <cellStyle name="RIGs input totals 8 33" xfId="36700" xr:uid="{00000000-0005-0000-0000-0000E4900000}"/>
    <cellStyle name="RIGs input totals 8 34" xfId="36701" xr:uid="{00000000-0005-0000-0000-0000E5900000}"/>
    <cellStyle name="RIGs input totals 8 4" xfId="36702" xr:uid="{00000000-0005-0000-0000-0000E6900000}"/>
    <cellStyle name="RIGs input totals 8 5" xfId="36703" xr:uid="{00000000-0005-0000-0000-0000E7900000}"/>
    <cellStyle name="RIGs input totals 8 6" xfId="36704" xr:uid="{00000000-0005-0000-0000-0000E8900000}"/>
    <cellStyle name="RIGs input totals 8 7" xfId="36705" xr:uid="{00000000-0005-0000-0000-0000E9900000}"/>
    <cellStyle name="RIGs input totals 8 8" xfId="36706" xr:uid="{00000000-0005-0000-0000-0000EA900000}"/>
    <cellStyle name="RIGs input totals 8 9" xfId="36707" xr:uid="{00000000-0005-0000-0000-0000EB900000}"/>
    <cellStyle name="RIGs input totals 9" xfId="36708" xr:uid="{00000000-0005-0000-0000-0000EC900000}"/>
    <cellStyle name="RIGs input totals 9 10" xfId="36709" xr:uid="{00000000-0005-0000-0000-0000ED900000}"/>
    <cellStyle name="RIGs input totals 9 11" xfId="36710" xr:uid="{00000000-0005-0000-0000-0000EE900000}"/>
    <cellStyle name="RIGs input totals 9 12" xfId="36711" xr:uid="{00000000-0005-0000-0000-0000EF900000}"/>
    <cellStyle name="RIGs input totals 9 13" xfId="36712" xr:uid="{00000000-0005-0000-0000-0000F0900000}"/>
    <cellStyle name="RIGs input totals 9 14" xfId="36713" xr:uid="{00000000-0005-0000-0000-0000F1900000}"/>
    <cellStyle name="RIGs input totals 9 15" xfId="36714" xr:uid="{00000000-0005-0000-0000-0000F2900000}"/>
    <cellStyle name="RIGs input totals 9 16" xfId="36715" xr:uid="{00000000-0005-0000-0000-0000F3900000}"/>
    <cellStyle name="RIGs input totals 9 17" xfId="36716" xr:uid="{00000000-0005-0000-0000-0000F4900000}"/>
    <cellStyle name="RIGs input totals 9 18" xfId="36717" xr:uid="{00000000-0005-0000-0000-0000F5900000}"/>
    <cellStyle name="RIGs input totals 9 19" xfId="36718" xr:uid="{00000000-0005-0000-0000-0000F6900000}"/>
    <cellStyle name="RIGs input totals 9 2" xfId="36719" xr:uid="{00000000-0005-0000-0000-0000F7900000}"/>
    <cellStyle name="RIGs input totals 9 2 10" xfId="36720" xr:uid="{00000000-0005-0000-0000-0000F8900000}"/>
    <cellStyle name="RIGs input totals 9 2 11" xfId="36721" xr:uid="{00000000-0005-0000-0000-0000F9900000}"/>
    <cellStyle name="RIGs input totals 9 2 12" xfId="36722" xr:uid="{00000000-0005-0000-0000-0000FA900000}"/>
    <cellStyle name="RIGs input totals 9 2 13" xfId="36723" xr:uid="{00000000-0005-0000-0000-0000FB900000}"/>
    <cellStyle name="RIGs input totals 9 2 2" xfId="36724" xr:uid="{00000000-0005-0000-0000-0000FC900000}"/>
    <cellStyle name="RIGs input totals 9 2 3" xfId="36725" xr:uid="{00000000-0005-0000-0000-0000FD900000}"/>
    <cellStyle name="RIGs input totals 9 2 4" xfId="36726" xr:uid="{00000000-0005-0000-0000-0000FE900000}"/>
    <cellStyle name="RIGs input totals 9 2 5" xfId="36727" xr:uid="{00000000-0005-0000-0000-0000FF900000}"/>
    <cellStyle name="RIGs input totals 9 2 6" xfId="36728" xr:uid="{00000000-0005-0000-0000-000000910000}"/>
    <cellStyle name="RIGs input totals 9 2 7" xfId="36729" xr:uid="{00000000-0005-0000-0000-000001910000}"/>
    <cellStyle name="RIGs input totals 9 2 8" xfId="36730" xr:uid="{00000000-0005-0000-0000-000002910000}"/>
    <cellStyle name="RIGs input totals 9 2 9" xfId="36731" xr:uid="{00000000-0005-0000-0000-000003910000}"/>
    <cellStyle name="RIGs input totals 9 20" xfId="36732" xr:uid="{00000000-0005-0000-0000-000004910000}"/>
    <cellStyle name="RIGs input totals 9 21" xfId="36733" xr:uid="{00000000-0005-0000-0000-000005910000}"/>
    <cellStyle name="RIGs input totals 9 22" xfId="36734" xr:uid="{00000000-0005-0000-0000-000006910000}"/>
    <cellStyle name="RIGs input totals 9 23" xfId="36735" xr:uid="{00000000-0005-0000-0000-000007910000}"/>
    <cellStyle name="RIGs input totals 9 24" xfId="36736" xr:uid="{00000000-0005-0000-0000-000008910000}"/>
    <cellStyle name="RIGs input totals 9 25" xfId="36737" xr:uid="{00000000-0005-0000-0000-000009910000}"/>
    <cellStyle name="RIGs input totals 9 26" xfId="36738" xr:uid="{00000000-0005-0000-0000-00000A910000}"/>
    <cellStyle name="RIGs input totals 9 27" xfId="36739" xr:uid="{00000000-0005-0000-0000-00000B910000}"/>
    <cellStyle name="RIGs input totals 9 28" xfId="36740" xr:uid="{00000000-0005-0000-0000-00000C910000}"/>
    <cellStyle name="RIGs input totals 9 29" xfId="36741" xr:uid="{00000000-0005-0000-0000-00000D910000}"/>
    <cellStyle name="RIGs input totals 9 3" xfId="36742" xr:uid="{00000000-0005-0000-0000-00000E910000}"/>
    <cellStyle name="RIGs input totals 9 30" xfId="36743" xr:uid="{00000000-0005-0000-0000-00000F910000}"/>
    <cellStyle name="RIGs input totals 9 31" xfId="36744" xr:uid="{00000000-0005-0000-0000-000010910000}"/>
    <cellStyle name="RIGs input totals 9 32" xfId="36745" xr:uid="{00000000-0005-0000-0000-000011910000}"/>
    <cellStyle name="RIGs input totals 9 33" xfId="36746" xr:uid="{00000000-0005-0000-0000-000012910000}"/>
    <cellStyle name="RIGs input totals 9 34" xfId="36747" xr:uid="{00000000-0005-0000-0000-000013910000}"/>
    <cellStyle name="RIGs input totals 9 4" xfId="36748" xr:uid="{00000000-0005-0000-0000-000014910000}"/>
    <cellStyle name="RIGs input totals 9 5" xfId="36749" xr:uid="{00000000-0005-0000-0000-000015910000}"/>
    <cellStyle name="RIGs input totals 9 6" xfId="36750" xr:uid="{00000000-0005-0000-0000-000016910000}"/>
    <cellStyle name="RIGs input totals 9 7" xfId="36751" xr:uid="{00000000-0005-0000-0000-000017910000}"/>
    <cellStyle name="RIGs input totals 9 8" xfId="36752" xr:uid="{00000000-0005-0000-0000-000018910000}"/>
    <cellStyle name="RIGs input totals 9 9" xfId="36753" xr:uid="{00000000-0005-0000-0000-000019910000}"/>
    <cellStyle name="RIGs input totals_1.3s Accounting C Costs Scots" xfId="36754" xr:uid="{00000000-0005-0000-0000-00001A910000}"/>
    <cellStyle name="RIGs linked cells" xfId="36755" xr:uid="{00000000-0005-0000-0000-00001B910000}"/>
    <cellStyle name="RIGs linked cells 10" xfId="36756" xr:uid="{00000000-0005-0000-0000-00001C910000}"/>
    <cellStyle name="RIGs linked cells 10 10" xfId="36757" xr:uid="{00000000-0005-0000-0000-00001D910000}"/>
    <cellStyle name="RIGs linked cells 10 11" xfId="36758" xr:uid="{00000000-0005-0000-0000-00001E910000}"/>
    <cellStyle name="RIGs linked cells 10 12" xfId="36759" xr:uid="{00000000-0005-0000-0000-00001F910000}"/>
    <cellStyle name="RIGs linked cells 10 13" xfId="36760" xr:uid="{00000000-0005-0000-0000-000020910000}"/>
    <cellStyle name="RIGs linked cells 10 14" xfId="36761" xr:uid="{00000000-0005-0000-0000-000021910000}"/>
    <cellStyle name="RIGs linked cells 10 15" xfId="36762" xr:uid="{00000000-0005-0000-0000-000022910000}"/>
    <cellStyle name="RIGs linked cells 10 16" xfId="36763" xr:uid="{00000000-0005-0000-0000-000023910000}"/>
    <cellStyle name="RIGs linked cells 10 17" xfId="36764" xr:uid="{00000000-0005-0000-0000-000024910000}"/>
    <cellStyle name="RIGs linked cells 10 18" xfId="36765" xr:uid="{00000000-0005-0000-0000-000025910000}"/>
    <cellStyle name="RIGs linked cells 10 19" xfId="36766" xr:uid="{00000000-0005-0000-0000-000026910000}"/>
    <cellStyle name="RIGs linked cells 10 2" xfId="36767" xr:uid="{00000000-0005-0000-0000-000027910000}"/>
    <cellStyle name="RIGs linked cells 10 2 10" xfId="36768" xr:uid="{00000000-0005-0000-0000-000028910000}"/>
    <cellStyle name="RIGs linked cells 10 2 11" xfId="36769" xr:uid="{00000000-0005-0000-0000-000029910000}"/>
    <cellStyle name="RIGs linked cells 10 2 12" xfId="36770" xr:uid="{00000000-0005-0000-0000-00002A910000}"/>
    <cellStyle name="RIGs linked cells 10 2 13" xfId="36771" xr:uid="{00000000-0005-0000-0000-00002B910000}"/>
    <cellStyle name="RIGs linked cells 10 2 2" xfId="36772" xr:uid="{00000000-0005-0000-0000-00002C910000}"/>
    <cellStyle name="RIGs linked cells 10 2 3" xfId="36773" xr:uid="{00000000-0005-0000-0000-00002D910000}"/>
    <cellStyle name="RIGs linked cells 10 2 4" xfId="36774" xr:uid="{00000000-0005-0000-0000-00002E910000}"/>
    <cellStyle name="RIGs linked cells 10 2 5" xfId="36775" xr:uid="{00000000-0005-0000-0000-00002F910000}"/>
    <cellStyle name="RIGs linked cells 10 2 6" xfId="36776" xr:uid="{00000000-0005-0000-0000-000030910000}"/>
    <cellStyle name="RIGs linked cells 10 2 7" xfId="36777" xr:uid="{00000000-0005-0000-0000-000031910000}"/>
    <cellStyle name="RIGs linked cells 10 2 8" xfId="36778" xr:uid="{00000000-0005-0000-0000-000032910000}"/>
    <cellStyle name="RIGs linked cells 10 2 9" xfId="36779" xr:uid="{00000000-0005-0000-0000-000033910000}"/>
    <cellStyle name="RIGs linked cells 10 20" xfId="36780" xr:uid="{00000000-0005-0000-0000-000034910000}"/>
    <cellStyle name="RIGs linked cells 10 21" xfId="36781" xr:uid="{00000000-0005-0000-0000-000035910000}"/>
    <cellStyle name="RIGs linked cells 10 22" xfId="36782" xr:uid="{00000000-0005-0000-0000-000036910000}"/>
    <cellStyle name="RIGs linked cells 10 23" xfId="36783" xr:uid="{00000000-0005-0000-0000-000037910000}"/>
    <cellStyle name="RIGs linked cells 10 24" xfId="36784" xr:uid="{00000000-0005-0000-0000-000038910000}"/>
    <cellStyle name="RIGs linked cells 10 25" xfId="36785" xr:uid="{00000000-0005-0000-0000-000039910000}"/>
    <cellStyle name="RIGs linked cells 10 26" xfId="36786" xr:uid="{00000000-0005-0000-0000-00003A910000}"/>
    <cellStyle name="RIGs linked cells 10 27" xfId="36787" xr:uid="{00000000-0005-0000-0000-00003B910000}"/>
    <cellStyle name="RIGs linked cells 10 28" xfId="36788" xr:uid="{00000000-0005-0000-0000-00003C910000}"/>
    <cellStyle name="RIGs linked cells 10 29" xfId="36789" xr:uid="{00000000-0005-0000-0000-00003D910000}"/>
    <cellStyle name="RIGs linked cells 10 3" xfId="36790" xr:uid="{00000000-0005-0000-0000-00003E910000}"/>
    <cellStyle name="RIGs linked cells 10 30" xfId="36791" xr:uid="{00000000-0005-0000-0000-00003F910000}"/>
    <cellStyle name="RIGs linked cells 10 31" xfId="36792" xr:uid="{00000000-0005-0000-0000-000040910000}"/>
    <cellStyle name="RIGs linked cells 10 32" xfId="36793" xr:uid="{00000000-0005-0000-0000-000041910000}"/>
    <cellStyle name="RIGs linked cells 10 33" xfId="36794" xr:uid="{00000000-0005-0000-0000-000042910000}"/>
    <cellStyle name="RIGs linked cells 10 34" xfId="36795" xr:uid="{00000000-0005-0000-0000-000043910000}"/>
    <cellStyle name="RIGs linked cells 10 4" xfId="36796" xr:uid="{00000000-0005-0000-0000-000044910000}"/>
    <cellStyle name="RIGs linked cells 10 5" xfId="36797" xr:uid="{00000000-0005-0000-0000-000045910000}"/>
    <cellStyle name="RIGs linked cells 10 6" xfId="36798" xr:uid="{00000000-0005-0000-0000-000046910000}"/>
    <cellStyle name="RIGs linked cells 10 7" xfId="36799" xr:uid="{00000000-0005-0000-0000-000047910000}"/>
    <cellStyle name="RIGs linked cells 10 8" xfId="36800" xr:uid="{00000000-0005-0000-0000-000048910000}"/>
    <cellStyle name="RIGs linked cells 10 9" xfId="36801" xr:uid="{00000000-0005-0000-0000-000049910000}"/>
    <cellStyle name="RIGs linked cells 11" xfId="36802" xr:uid="{00000000-0005-0000-0000-00004A910000}"/>
    <cellStyle name="RIGs linked cells 11 10" xfId="36803" xr:uid="{00000000-0005-0000-0000-00004B910000}"/>
    <cellStyle name="RIGs linked cells 11 11" xfId="36804" xr:uid="{00000000-0005-0000-0000-00004C910000}"/>
    <cellStyle name="RIGs linked cells 11 12" xfId="36805" xr:uid="{00000000-0005-0000-0000-00004D910000}"/>
    <cellStyle name="RIGs linked cells 11 13" xfId="36806" xr:uid="{00000000-0005-0000-0000-00004E910000}"/>
    <cellStyle name="RIGs linked cells 11 14" xfId="36807" xr:uid="{00000000-0005-0000-0000-00004F910000}"/>
    <cellStyle name="RIGs linked cells 11 15" xfId="36808" xr:uid="{00000000-0005-0000-0000-000050910000}"/>
    <cellStyle name="RIGs linked cells 11 16" xfId="36809" xr:uid="{00000000-0005-0000-0000-000051910000}"/>
    <cellStyle name="RIGs linked cells 11 17" xfId="36810" xr:uid="{00000000-0005-0000-0000-000052910000}"/>
    <cellStyle name="RIGs linked cells 11 18" xfId="36811" xr:uid="{00000000-0005-0000-0000-000053910000}"/>
    <cellStyle name="RIGs linked cells 11 19" xfId="36812" xr:uid="{00000000-0005-0000-0000-000054910000}"/>
    <cellStyle name="RIGs linked cells 11 2" xfId="36813" xr:uid="{00000000-0005-0000-0000-000055910000}"/>
    <cellStyle name="RIGs linked cells 11 2 10" xfId="36814" xr:uid="{00000000-0005-0000-0000-000056910000}"/>
    <cellStyle name="RIGs linked cells 11 2 11" xfId="36815" xr:uid="{00000000-0005-0000-0000-000057910000}"/>
    <cellStyle name="RIGs linked cells 11 2 12" xfId="36816" xr:uid="{00000000-0005-0000-0000-000058910000}"/>
    <cellStyle name="RIGs linked cells 11 2 13" xfId="36817" xr:uid="{00000000-0005-0000-0000-000059910000}"/>
    <cellStyle name="RIGs linked cells 11 2 2" xfId="36818" xr:uid="{00000000-0005-0000-0000-00005A910000}"/>
    <cellStyle name="RIGs linked cells 11 2 3" xfId="36819" xr:uid="{00000000-0005-0000-0000-00005B910000}"/>
    <cellStyle name="RIGs linked cells 11 2 4" xfId="36820" xr:uid="{00000000-0005-0000-0000-00005C910000}"/>
    <cellStyle name="RIGs linked cells 11 2 5" xfId="36821" xr:uid="{00000000-0005-0000-0000-00005D910000}"/>
    <cellStyle name="RIGs linked cells 11 2 6" xfId="36822" xr:uid="{00000000-0005-0000-0000-00005E910000}"/>
    <cellStyle name="RIGs linked cells 11 2 7" xfId="36823" xr:uid="{00000000-0005-0000-0000-00005F910000}"/>
    <cellStyle name="RIGs linked cells 11 2 8" xfId="36824" xr:uid="{00000000-0005-0000-0000-000060910000}"/>
    <cellStyle name="RIGs linked cells 11 2 9" xfId="36825" xr:uid="{00000000-0005-0000-0000-000061910000}"/>
    <cellStyle name="RIGs linked cells 11 20" xfId="36826" xr:uid="{00000000-0005-0000-0000-000062910000}"/>
    <cellStyle name="RIGs linked cells 11 21" xfId="36827" xr:uid="{00000000-0005-0000-0000-000063910000}"/>
    <cellStyle name="RIGs linked cells 11 22" xfId="36828" xr:uid="{00000000-0005-0000-0000-000064910000}"/>
    <cellStyle name="RIGs linked cells 11 23" xfId="36829" xr:uid="{00000000-0005-0000-0000-000065910000}"/>
    <cellStyle name="RIGs linked cells 11 24" xfId="36830" xr:uid="{00000000-0005-0000-0000-000066910000}"/>
    <cellStyle name="RIGs linked cells 11 25" xfId="36831" xr:uid="{00000000-0005-0000-0000-000067910000}"/>
    <cellStyle name="RIGs linked cells 11 26" xfId="36832" xr:uid="{00000000-0005-0000-0000-000068910000}"/>
    <cellStyle name="RIGs linked cells 11 27" xfId="36833" xr:uid="{00000000-0005-0000-0000-000069910000}"/>
    <cellStyle name="RIGs linked cells 11 28" xfId="36834" xr:uid="{00000000-0005-0000-0000-00006A910000}"/>
    <cellStyle name="RIGs linked cells 11 29" xfId="36835" xr:uid="{00000000-0005-0000-0000-00006B910000}"/>
    <cellStyle name="RIGs linked cells 11 3" xfId="36836" xr:uid="{00000000-0005-0000-0000-00006C910000}"/>
    <cellStyle name="RIGs linked cells 11 30" xfId="36837" xr:uid="{00000000-0005-0000-0000-00006D910000}"/>
    <cellStyle name="RIGs linked cells 11 31" xfId="36838" xr:uid="{00000000-0005-0000-0000-00006E910000}"/>
    <cellStyle name="RIGs linked cells 11 32" xfId="36839" xr:uid="{00000000-0005-0000-0000-00006F910000}"/>
    <cellStyle name="RIGs linked cells 11 33" xfId="36840" xr:uid="{00000000-0005-0000-0000-000070910000}"/>
    <cellStyle name="RIGs linked cells 11 34" xfId="36841" xr:uid="{00000000-0005-0000-0000-000071910000}"/>
    <cellStyle name="RIGs linked cells 11 4" xfId="36842" xr:uid="{00000000-0005-0000-0000-000072910000}"/>
    <cellStyle name="RIGs linked cells 11 5" xfId="36843" xr:uid="{00000000-0005-0000-0000-000073910000}"/>
    <cellStyle name="RIGs linked cells 11 6" xfId="36844" xr:uid="{00000000-0005-0000-0000-000074910000}"/>
    <cellStyle name="RIGs linked cells 11 7" xfId="36845" xr:uid="{00000000-0005-0000-0000-000075910000}"/>
    <cellStyle name="RIGs linked cells 11 8" xfId="36846" xr:uid="{00000000-0005-0000-0000-000076910000}"/>
    <cellStyle name="RIGs linked cells 11 9" xfId="36847" xr:uid="{00000000-0005-0000-0000-000077910000}"/>
    <cellStyle name="RIGs linked cells 12" xfId="36848" xr:uid="{00000000-0005-0000-0000-000078910000}"/>
    <cellStyle name="RIGs linked cells 12 10" xfId="36849" xr:uid="{00000000-0005-0000-0000-000079910000}"/>
    <cellStyle name="RIGs linked cells 12 11" xfId="36850" xr:uid="{00000000-0005-0000-0000-00007A910000}"/>
    <cellStyle name="RIGs linked cells 12 12" xfId="36851" xr:uid="{00000000-0005-0000-0000-00007B910000}"/>
    <cellStyle name="RIGs linked cells 12 13" xfId="36852" xr:uid="{00000000-0005-0000-0000-00007C910000}"/>
    <cellStyle name="RIGs linked cells 12 2" xfId="36853" xr:uid="{00000000-0005-0000-0000-00007D910000}"/>
    <cellStyle name="RIGs linked cells 12 3" xfId="36854" xr:uid="{00000000-0005-0000-0000-00007E910000}"/>
    <cellStyle name="RIGs linked cells 12 4" xfId="36855" xr:uid="{00000000-0005-0000-0000-00007F910000}"/>
    <cellStyle name="RIGs linked cells 12 5" xfId="36856" xr:uid="{00000000-0005-0000-0000-000080910000}"/>
    <cellStyle name="RIGs linked cells 12 6" xfId="36857" xr:uid="{00000000-0005-0000-0000-000081910000}"/>
    <cellStyle name="RIGs linked cells 12 7" xfId="36858" xr:uid="{00000000-0005-0000-0000-000082910000}"/>
    <cellStyle name="RIGs linked cells 12 8" xfId="36859" xr:uid="{00000000-0005-0000-0000-000083910000}"/>
    <cellStyle name="RIGs linked cells 12 9" xfId="36860" xr:uid="{00000000-0005-0000-0000-000084910000}"/>
    <cellStyle name="RIGs linked cells 13" xfId="36861" xr:uid="{00000000-0005-0000-0000-000085910000}"/>
    <cellStyle name="RIGs linked cells 14" xfId="36862" xr:uid="{00000000-0005-0000-0000-000086910000}"/>
    <cellStyle name="RIGs linked cells 15" xfId="36863" xr:uid="{00000000-0005-0000-0000-000087910000}"/>
    <cellStyle name="RIGs linked cells 16" xfId="36864" xr:uid="{00000000-0005-0000-0000-000088910000}"/>
    <cellStyle name="RIGs linked cells 17" xfId="36865" xr:uid="{00000000-0005-0000-0000-000089910000}"/>
    <cellStyle name="RIGs linked cells 18" xfId="36866" xr:uid="{00000000-0005-0000-0000-00008A910000}"/>
    <cellStyle name="RIGs linked cells 19" xfId="36867" xr:uid="{00000000-0005-0000-0000-00008B910000}"/>
    <cellStyle name="RIGs linked cells 2" xfId="36868" xr:uid="{00000000-0005-0000-0000-00008C910000}"/>
    <cellStyle name="RIGs linked cells 2 10" xfId="36869" xr:uid="{00000000-0005-0000-0000-00008D910000}"/>
    <cellStyle name="RIGs linked cells 2 11" xfId="36870" xr:uid="{00000000-0005-0000-0000-00008E910000}"/>
    <cellStyle name="RIGs linked cells 2 12" xfId="36871" xr:uid="{00000000-0005-0000-0000-00008F910000}"/>
    <cellStyle name="RIGs linked cells 2 13" xfId="36872" xr:uid="{00000000-0005-0000-0000-000090910000}"/>
    <cellStyle name="RIGs linked cells 2 14" xfId="36873" xr:uid="{00000000-0005-0000-0000-000091910000}"/>
    <cellStyle name="RIGs linked cells 2 15" xfId="36874" xr:uid="{00000000-0005-0000-0000-000092910000}"/>
    <cellStyle name="RIGs linked cells 2 16" xfId="36875" xr:uid="{00000000-0005-0000-0000-000093910000}"/>
    <cellStyle name="RIGs linked cells 2 17" xfId="36876" xr:uid="{00000000-0005-0000-0000-000094910000}"/>
    <cellStyle name="RIGs linked cells 2 18" xfId="36877" xr:uid="{00000000-0005-0000-0000-000095910000}"/>
    <cellStyle name="RIGs linked cells 2 19" xfId="36878" xr:uid="{00000000-0005-0000-0000-000096910000}"/>
    <cellStyle name="RIGs linked cells 2 2" xfId="36879" xr:uid="{00000000-0005-0000-0000-000097910000}"/>
    <cellStyle name="RIGs linked cells 2 2 10" xfId="36880" xr:uid="{00000000-0005-0000-0000-000098910000}"/>
    <cellStyle name="RIGs linked cells 2 2 11" xfId="36881" xr:uid="{00000000-0005-0000-0000-000099910000}"/>
    <cellStyle name="RIGs linked cells 2 2 12" xfId="36882" xr:uid="{00000000-0005-0000-0000-00009A910000}"/>
    <cellStyle name="RIGs linked cells 2 2 13" xfId="36883" xr:uid="{00000000-0005-0000-0000-00009B910000}"/>
    <cellStyle name="RIGs linked cells 2 2 14" xfId="36884" xr:uid="{00000000-0005-0000-0000-00009C910000}"/>
    <cellStyle name="RIGs linked cells 2 2 15" xfId="36885" xr:uid="{00000000-0005-0000-0000-00009D910000}"/>
    <cellStyle name="RIGs linked cells 2 2 16" xfId="36886" xr:uid="{00000000-0005-0000-0000-00009E910000}"/>
    <cellStyle name="RIGs linked cells 2 2 17" xfId="36887" xr:uid="{00000000-0005-0000-0000-00009F910000}"/>
    <cellStyle name="RIGs linked cells 2 2 18" xfId="36888" xr:uid="{00000000-0005-0000-0000-0000A0910000}"/>
    <cellStyle name="RIGs linked cells 2 2 19" xfId="36889" xr:uid="{00000000-0005-0000-0000-0000A1910000}"/>
    <cellStyle name="RIGs linked cells 2 2 2" xfId="36890" xr:uid="{00000000-0005-0000-0000-0000A2910000}"/>
    <cellStyle name="RIGs linked cells 2 2 2 10" xfId="36891" xr:uid="{00000000-0005-0000-0000-0000A3910000}"/>
    <cellStyle name="RIGs linked cells 2 2 2 11" xfId="36892" xr:uid="{00000000-0005-0000-0000-0000A4910000}"/>
    <cellStyle name="RIGs linked cells 2 2 2 12" xfId="36893" xr:uid="{00000000-0005-0000-0000-0000A5910000}"/>
    <cellStyle name="RIGs linked cells 2 2 2 13" xfId="36894" xr:uid="{00000000-0005-0000-0000-0000A6910000}"/>
    <cellStyle name="RIGs linked cells 2 2 2 14" xfId="36895" xr:uid="{00000000-0005-0000-0000-0000A7910000}"/>
    <cellStyle name="RIGs linked cells 2 2 2 15" xfId="36896" xr:uid="{00000000-0005-0000-0000-0000A8910000}"/>
    <cellStyle name="RIGs linked cells 2 2 2 16" xfId="36897" xr:uid="{00000000-0005-0000-0000-0000A9910000}"/>
    <cellStyle name="RIGs linked cells 2 2 2 17" xfId="36898" xr:uid="{00000000-0005-0000-0000-0000AA910000}"/>
    <cellStyle name="RIGs linked cells 2 2 2 18" xfId="36899" xr:uid="{00000000-0005-0000-0000-0000AB910000}"/>
    <cellStyle name="RIGs linked cells 2 2 2 19" xfId="36900" xr:uid="{00000000-0005-0000-0000-0000AC910000}"/>
    <cellStyle name="RIGs linked cells 2 2 2 2" xfId="36901" xr:uid="{00000000-0005-0000-0000-0000AD910000}"/>
    <cellStyle name="RIGs linked cells 2 2 2 2 10" xfId="36902" xr:uid="{00000000-0005-0000-0000-0000AE910000}"/>
    <cellStyle name="RIGs linked cells 2 2 2 2 11" xfId="36903" xr:uid="{00000000-0005-0000-0000-0000AF910000}"/>
    <cellStyle name="RIGs linked cells 2 2 2 2 12" xfId="36904" xr:uid="{00000000-0005-0000-0000-0000B0910000}"/>
    <cellStyle name="RIGs linked cells 2 2 2 2 13" xfId="36905" xr:uid="{00000000-0005-0000-0000-0000B1910000}"/>
    <cellStyle name="RIGs linked cells 2 2 2 2 14" xfId="36906" xr:uid="{00000000-0005-0000-0000-0000B2910000}"/>
    <cellStyle name="RIGs linked cells 2 2 2 2 15" xfId="36907" xr:uid="{00000000-0005-0000-0000-0000B3910000}"/>
    <cellStyle name="RIGs linked cells 2 2 2 2 16" xfId="36908" xr:uid="{00000000-0005-0000-0000-0000B4910000}"/>
    <cellStyle name="RIGs linked cells 2 2 2 2 17" xfId="36909" xr:uid="{00000000-0005-0000-0000-0000B5910000}"/>
    <cellStyle name="RIGs linked cells 2 2 2 2 18" xfId="36910" xr:uid="{00000000-0005-0000-0000-0000B6910000}"/>
    <cellStyle name="RIGs linked cells 2 2 2 2 19" xfId="36911" xr:uid="{00000000-0005-0000-0000-0000B7910000}"/>
    <cellStyle name="RIGs linked cells 2 2 2 2 2" xfId="36912" xr:uid="{00000000-0005-0000-0000-0000B8910000}"/>
    <cellStyle name="RIGs linked cells 2 2 2 2 2 10" xfId="36913" xr:uid="{00000000-0005-0000-0000-0000B9910000}"/>
    <cellStyle name="RIGs linked cells 2 2 2 2 2 11" xfId="36914" xr:uid="{00000000-0005-0000-0000-0000BA910000}"/>
    <cellStyle name="RIGs linked cells 2 2 2 2 2 12" xfId="36915" xr:uid="{00000000-0005-0000-0000-0000BB910000}"/>
    <cellStyle name="RIGs linked cells 2 2 2 2 2 13" xfId="36916" xr:uid="{00000000-0005-0000-0000-0000BC910000}"/>
    <cellStyle name="RIGs linked cells 2 2 2 2 2 2" xfId="36917" xr:uid="{00000000-0005-0000-0000-0000BD910000}"/>
    <cellStyle name="RIGs linked cells 2 2 2 2 2 3" xfId="36918" xr:uid="{00000000-0005-0000-0000-0000BE910000}"/>
    <cellStyle name="RIGs linked cells 2 2 2 2 2 4" xfId="36919" xr:uid="{00000000-0005-0000-0000-0000BF910000}"/>
    <cellStyle name="RIGs linked cells 2 2 2 2 2 5" xfId="36920" xr:uid="{00000000-0005-0000-0000-0000C0910000}"/>
    <cellStyle name="RIGs linked cells 2 2 2 2 2 6" xfId="36921" xr:uid="{00000000-0005-0000-0000-0000C1910000}"/>
    <cellStyle name="RIGs linked cells 2 2 2 2 2 7" xfId="36922" xr:uid="{00000000-0005-0000-0000-0000C2910000}"/>
    <cellStyle name="RIGs linked cells 2 2 2 2 2 8" xfId="36923" xr:uid="{00000000-0005-0000-0000-0000C3910000}"/>
    <cellStyle name="RIGs linked cells 2 2 2 2 2 9" xfId="36924" xr:uid="{00000000-0005-0000-0000-0000C4910000}"/>
    <cellStyle name="RIGs linked cells 2 2 2 2 20" xfId="36925" xr:uid="{00000000-0005-0000-0000-0000C5910000}"/>
    <cellStyle name="RIGs linked cells 2 2 2 2 21" xfId="36926" xr:uid="{00000000-0005-0000-0000-0000C6910000}"/>
    <cellStyle name="RIGs linked cells 2 2 2 2 22" xfId="36927" xr:uid="{00000000-0005-0000-0000-0000C7910000}"/>
    <cellStyle name="RIGs linked cells 2 2 2 2 23" xfId="36928" xr:uid="{00000000-0005-0000-0000-0000C8910000}"/>
    <cellStyle name="RIGs linked cells 2 2 2 2 24" xfId="36929" xr:uid="{00000000-0005-0000-0000-0000C9910000}"/>
    <cellStyle name="RIGs linked cells 2 2 2 2 25" xfId="36930" xr:uid="{00000000-0005-0000-0000-0000CA910000}"/>
    <cellStyle name="RIGs linked cells 2 2 2 2 26" xfId="36931" xr:uid="{00000000-0005-0000-0000-0000CB910000}"/>
    <cellStyle name="RIGs linked cells 2 2 2 2 27" xfId="36932" xr:uid="{00000000-0005-0000-0000-0000CC910000}"/>
    <cellStyle name="RIGs linked cells 2 2 2 2 28" xfId="36933" xr:uid="{00000000-0005-0000-0000-0000CD910000}"/>
    <cellStyle name="RIGs linked cells 2 2 2 2 29" xfId="36934" xr:uid="{00000000-0005-0000-0000-0000CE910000}"/>
    <cellStyle name="RIGs linked cells 2 2 2 2 3" xfId="36935" xr:uid="{00000000-0005-0000-0000-0000CF910000}"/>
    <cellStyle name="RIGs linked cells 2 2 2 2 30" xfId="36936" xr:uid="{00000000-0005-0000-0000-0000D0910000}"/>
    <cellStyle name="RIGs linked cells 2 2 2 2 31" xfId="36937" xr:uid="{00000000-0005-0000-0000-0000D1910000}"/>
    <cellStyle name="RIGs linked cells 2 2 2 2 32" xfId="36938" xr:uid="{00000000-0005-0000-0000-0000D2910000}"/>
    <cellStyle name="RIGs linked cells 2 2 2 2 33" xfId="36939" xr:uid="{00000000-0005-0000-0000-0000D3910000}"/>
    <cellStyle name="RIGs linked cells 2 2 2 2 34" xfId="36940" xr:uid="{00000000-0005-0000-0000-0000D4910000}"/>
    <cellStyle name="RIGs linked cells 2 2 2 2 4" xfId="36941" xr:uid="{00000000-0005-0000-0000-0000D5910000}"/>
    <cellStyle name="RIGs linked cells 2 2 2 2 5" xfId="36942" xr:uid="{00000000-0005-0000-0000-0000D6910000}"/>
    <cellStyle name="RIGs linked cells 2 2 2 2 6" xfId="36943" xr:uid="{00000000-0005-0000-0000-0000D7910000}"/>
    <cellStyle name="RIGs linked cells 2 2 2 2 7" xfId="36944" xr:uid="{00000000-0005-0000-0000-0000D8910000}"/>
    <cellStyle name="RIGs linked cells 2 2 2 2 8" xfId="36945" xr:uid="{00000000-0005-0000-0000-0000D9910000}"/>
    <cellStyle name="RIGs linked cells 2 2 2 2 9" xfId="36946" xr:uid="{00000000-0005-0000-0000-0000DA910000}"/>
    <cellStyle name="RIGs linked cells 2 2 2 20" xfId="36947" xr:uid="{00000000-0005-0000-0000-0000DB910000}"/>
    <cellStyle name="RIGs linked cells 2 2 2 21" xfId="36948" xr:uid="{00000000-0005-0000-0000-0000DC910000}"/>
    <cellStyle name="RIGs linked cells 2 2 2 22" xfId="36949" xr:uid="{00000000-0005-0000-0000-0000DD910000}"/>
    <cellStyle name="RIGs linked cells 2 2 2 23" xfId="36950" xr:uid="{00000000-0005-0000-0000-0000DE910000}"/>
    <cellStyle name="RIGs linked cells 2 2 2 24" xfId="36951" xr:uid="{00000000-0005-0000-0000-0000DF910000}"/>
    <cellStyle name="RIGs linked cells 2 2 2 25" xfId="36952" xr:uid="{00000000-0005-0000-0000-0000E0910000}"/>
    <cellStyle name="RIGs linked cells 2 2 2 26" xfId="36953" xr:uid="{00000000-0005-0000-0000-0000E1910000}"/>
    <cellStyle name="RIGs linked cells 2 2 2 27" xfId="36954" xr:uid="{00000000-0005-0000-0000-0000E2910000}"/>
    <cellStyle name="RIGs linked cells 2 2 2 28" xfId="36955" xr:uid="{00000000-0005-0000-0000-0000E3910000}"/>
    <cellStyle name="RIGs linked cells 2 2 2 29" xfId="36956" xr:uid="{00000000-0005-0000-0000-0000E4910000}"/>
    <cellStyle name="RIGs linked cells 2 2 2 3" xfId="36957" xr:uid="{00000000-0005-0000-0000-0000E5910000}"/>
    <cellStyle name="RIGs linked cells 2 2 2 3 10" xfId="36958" xr:uid="{00000000-0005-0000-0000-0000E6910000}"/>
    <cellStyle name="RIGs linked cells 2 2 2 3 11" xfId="36959" xr:uid="{00000000-0005-0000-0000-0000E7910000}"/>
    <cellStyle name="RIGs linked cells 2 2 2 3 12" xfId="36960" xr:uid="{00000000-0005-0000-0000-0000E8910000}"/>
    <cellStyle name="RIGs linked cells 2 2 2 3 13" xfId="36961" xr:uid="{00000000-0005-0000-0000-0000E9910000}"/>
    <cellStyle name="RIGs linked cells 2 2 2 3 2" xfId="36962" xr:uid="{00000000-0005-0000-0000-0000EA910000}"/>
    <cellStyle name="RIGs linked cells 2 2 2 3 3" xfId="36963" xr:uid="{00000000-0005-0000-0000-0000EB910000}"/>
    <cellStyle name="RIGs linked cells 2 2 2 3 4" xfId="36964" xr:uid="{00000000-0005-0000-0000-0000EC910000}"/>
    <cellStyle name="RIGs linked cells 2 2 2 3 5" xfId="36965" xr:uid="{00000000-0005-0000-0000-0000ED910000}"/>
    <cellStyle name="RIGs linked cells 2 2 2 3 6" xfId="36966" xr:uid="{00000000-0005-0000-0000-0000EE910000}"/>
    <cellStyle name="RIGs linked cells 2 2 2 3 7" xfId="36967" xr:uid="{00000000-0005-0000-0000-0000EF910000}"/>
    <cellStyle name="RIGs linked cells 2 2 2 3 8" xfId="36968" xr:uid="{00000000-0005-0000-0000-0000F0910000}"/>
    <cellStyle name="RIGs linked cells 2 2 2 3 9" xfId="36969" xr:uid="{00000000-0005-0000-0000-0000F1910000}"/>
    <cellStyle name="RIGs linked cells 2 2 2 30" xfId="36970" xr:uid="{00000000-0005-0000-0000-0000F2910000}"/>
    <cellStyle name="RIGs linked cells 2 2 2 31" xfId="36971" xr:uid="{00000000-0005-0000-0000-0000F3910000}"/>
    <cellStyle name="RIGs linked cells 2 2 2 32" xfId="36972" xr:uid="{00000000-0005-0000-0000-0000F4910000}"/>
    <cellStyle name="RIGs linked cells 2 2 2 33" xfId="36973" xr:uid="{00000000-0005-0000-0000-0000F5910000}"/>
    <cellStyle name="RIGs linked cells 2 2 2 34" xfId="36974" xr:uid="{00000000-0005-0000-0000-0000F6910000}"/>
    <cellStyle name="RIGs linked cells 2 2 2 35" xfId="36975" xr:uid="{00000000-0005-0000-0000-0000F7910000}"/>
    <cellStyle name="RIGs linked cells 2 2 2 4" xfId="36976" xr:uid="{00000000-0005-0000-0000-0000F8910000}"/>
    <cellStyle name="RIGs linked cells 2 2 2 5" xfId="36977" xr:uid="{00000000-0005-0000-0000-0000F9910000}"/>
    <cellStyle name="RIGs linked cells 2 2 2 6" xfId="36978" xr:uid="{00000000-0005-0000-0000-0000FA910000}"/>
    <cellStyle name="RIGs linked cells 2 2 2 7" xfId="36979" xr:uid="{00000000-0005-0000-0000-0000FB910000}"/>
    <cellStyle name="RIGs linked cells 2 2 2 8" xfId="36980" xr:uid="{00000000-0005-0000-0000-0000FC910000}"/>
    <cellStyle name="RIGs linked cells 2 2 2 9" xfId="36981" xr:uid="{00000000-0005-0000-0000-0000FD910000}"/>
    <cellStyle name="RIGs linked cells 2 2 2_4 28 1_Asst_Health_Crit_AllTO_RIIO_20110714pm" xfId="36982" xr:uid="{00000000-0005-0000-0000-0000FE910000}"/>
    <cellStyle name="RIGs linked cells 2 2 20" xfId="36983" xr:uid="{00000000-0005-0000-0000-0000FF910000}"/>
    <cellStyle name="RIGs linked cells 2 2 21" xfId="36984" xr:uid="{00000000-0005-0000-0000-000000920000}"/>
    <cellStyle name="RIGs linked cells 2 2 22" xfId="36985" xr:uid="{00000000-0005-0000-0000-000001920000}"/>
    <cellStyle name="RIGs linked cells 2 2 23" xfId="36986" xr:uid="{00000000-0005-0000-0000-000002920000}"/>
    <cellStyle name="RIGs linked cells 2 2 24" xfId="36987" xr:uid="{00000000-0005-0000-0000-000003920000}"/>
    <cellStyle name="RIGs linked cells 2 2 25" xfId="36988" xr:uid="{00000000-0005-0000-0000-000004920000}"/>
    <cellStyle name="RIGs linked cells 2 2 26" xfId="36989" xr:uid="{00000000-0005-0000-0000-000005920000}"/>
    <cellStyle name="RIGs linked cells 2 2 27" xfId="36990" xr:uid="{00000000-0005-0000-0000-000006920000}"/>
    <cellStyle name="RIGs linked cells 2 2 28" xfId="36991" xr:uid="{00000000-0005-0000-0000-000007920000}"/>
    <cellStyle name="RIGs linked cells 2 2 29" xfId="36992" xr:uid="{00000000-0005-0000-0000-000008920000}"/>
    <cellStyle name="RIGs linked cells 2 2 3" xfId="36993" xr:uid="{00000000-0005-0000-0000-000009920000}"/>
    <cellStyle name="RIGs linked cells 2 2 3 10" xfId="36994" xr:uid="{00000000-0005-0000-0000-00000A920000}"/>
    <cellStyle name="RIGs linked cells 2 2 3 11" xfId="36995" xr:uid="{00000000-0005-0000-0000-00000B920000}"/>
    <cellStyle name="RIGs linked cells 2 2 3 12" xfId="36996" xr:uid="{00000000-0005-0000-0000-00000C920000}"/>
    <cellStyle name="RIGs linked cells 2 2 3 13" xfId="36997" xr:uid="{00000000-0005-0000-0000-00000D920000}"/>
    <cellStyle name="RIGs linked cells 2 2 3 14" xfId="36998" xr:uid="{00000000-0005-0000-0000-00000E920000}"/>
    <cellStyle name="RIGs linked cells 2 2 3 15" xfId="36999" xr:uid="{00000000-0005-0000-0000-00000F920000}"/>
    <cellStyle name="RIGs linked cells 2 2 3 16" xfId="37000" xr:uid="{00000000-0005-0000-0000-000010920000}"/>
    <cellStyle name="RIGs linked cells 2 2 3 17" xfId="37001" xr:uid="{00000000-0005-0000-0000-000011920000}"/>
    <cellStyle name="RIGs linked cells 2 2 3 18" xfId="37002" xr:uid="{00000000-0005-0000-0000-000012920000}"/>
    <cellStyle name="RIGs linked cells 2 2 3 19" xfId="37003" xr:uid="{00000000-0005-0000-0000-000013920000}"/>
    <cellStyle name="RIGs linked cells 2 2 3 2" xfId="37004" xr:uid="{00000000-0005-0000-0000-000014920000}"/>
    <cellStyle name="RIGs linked cells 2 2 3 2 10" xfId="37005" xr:uid="{00000000-0005-0000-0000-000015920000}"/>
    <cellStyle name="RIGs linked cells 2 2 3 2 11" xfId="37006" xr:uid="{00000000-0005-0000-0000-000016920000}"/>
    <cellStyle name="RIGs linked cells 2 2 3 2 12" xfId="37007" xr:uid="{00000000-0005-0000-0000-000017920000}"/>
    <cellStyle name="RIGs linked cells 2 2 3 2 13" xfId="37008" xr:uid="{00000000-0005-0000-0000-000018920000}"/>
    <cellStyle name="RIGs linked cells 2 2 3 2 2" xfId="37009" xr:uid="{00000000-0005-0000-0000-000019920000}"/>
    <cellStyle name="RIGs linked cells 2 2 3 2 3" xfId="37010" xr:uid="{00000000-0005-0000-0000-00001A920000}"/>
    <cellStyle name="RIGs linked cells 2 2 3 2 4" xfId="37011" xr:uid="{00000000-0005-0000-0000-00001B920000}"/>
    <cellStyle name="RIGs linked cells 2 2 3 2 5" xfId="37012" xr:uid="{00000000-0005-0000-0000-00001C920000}"/>
    <cellStyle name="RIGs linked cells 2 2 3 2 6" xfId="37013" xr:uid="{00000000-0005-0000-0000-00001D920000}"/>
    <cellStyle name="RIGs linked cells 2 2 3 2 7" xfId="37014" xr:uid="{00000000-0005-0000-0000-00001E920000}"/>
    <cellStyle name="RIGs linked cells 2 2 3 2 8" xfId="37015" xr:uid="{00000000-0005-0000-0000-00001F920000}"/>
    <cellStyle name="RIGs linked cells 2 2 3 2 9" xfId="37016" xr:uid="{00000000-0005-0000-0000-000020920000}"/>
    <cellStyle name="RIGs linked cells 2 2 3 20" xfId="37017" xr:uid="{00000000-0005-0000-0000-000021920000}"/>
    <cellStyle name="RIGs linked cells 2 2 3 21" xfId="37018" xr:uid="{00000000-0005-0000-0000-000022920000}"/>
    <cellStyle name="RIGs linked cells 2 2 3 22" xfId="37019" xr:uid="{00000000-0005-0000-0000-000023920000}"/>
    <cellStyle name="RIGs linked cells 2 2 3 23" xfId="37020" xr:uid="{00000000-0005-0000-0000-000024920000}"/>
    <cellStyle name="RIGs linked cells 2 2 3 24" xfId="37021" xr:uid="{00000000-0005-0000-0000-000025920000}"/>
    <cellStyle name="RIGs linked cells 2 2 3 25" xfId="37022" xr:uid="{00000000-0005-0000-0000-000026920000}"/>
    <cellStyle name="RIGs linked cells 2 2 3 26" xfId="37023" xr:uid="{00000000-0005-0000-0000-000027920000}"/>
    <cellStyle name="RIGs linked cells 2 2 3 27" xfId="37024" xr:uid="{00000000-0005-0000-0000-000028920000}"/>
    <cellStyle name="RIGs linked cells 2 2 3 28" xfId="37025" xr:uid="{00000000-0005-0000-0000-000029920000}"/>
    <cellStyle name="RIGs linked cells 2 2 3 29" xfId="37026" xr:uid="{00000000-0005-0000-0000-00002A920000}"/>
    <cellStyle name="RIGs linked cells 2 2 3 3" xfId="37027" xr:uid="{00000000-0005-0000-0000-00002B920000}"/>
    <cellStyle name="RIGs linked cells 2 2 3 30" xfId="37028" xr:uid="{00000000-0005-0000-0000-00002C920000}"/>
    <cellStyle name="RIGs linked cells 2 2 3 31" xfId="37029" xr:uid="{00000000-0005-0000-0000-00002D920000}"/>
    <cellStyle name="RIGs linked cells 2 2 3 32" xfId="37030" xr:uid="{00000000-0005-0000-0000-00002E920000}"/>
    <cellStyle name="RIGs linked cells 2 2 3 33" xfId="37031" xr:uid="{00000000-0005-0000-0000-00002F920000}"/>
    <cellStyle name="RIGs linked cells 2 2 3 34" xfId="37032" xr:uid="{00000000-0005-0000-0000-000030920000}"/>
    <cellStyle name="RIGs linked cells 2 2 3 4" xfId="37033" xr:uid="{00000000-0005-0000-0000-000031920000}"/>
    <cellStyle name="RIGs linked cells 2 2 3 5" xfId="37034" xr:uid="{00000000-0005-0000-0000-000032920000}"/>
    <cellStyle name="RIGs linked cells 2 2 3 6" xfId="37035" xr:uid="{00000000-0005-0000-0000-000033920000}"/>
    <cellStyle name="RIGs linked cells 2 2 3 7" xfId="37036" xr:uid="{00000000-0005-0000-0000-000034920000}"/>
    <cellStyle name="RIGs linked cells 2 2 3 8" xfId="37037" xr:uid="{00000000-0005-0000-0000-000035920000}"/>
    <cellStyle name="RIGs linked cells 2 2 3 9" xfId="37038" xr:uid="{00000000-0005-0000-0000-000036920000}"/>
    <cellStyle name="RIGs linked cells 2 2 30" xfId="37039" xr:uid="{00000000-0005-0000-0000-000037920000}"/>
    <cellStyle name="RIGs linked cells 2 2 31" xfId="37040" xr:uid="{00000000-0005-0000-0000-000038920000}"/>
    <cellStyle name="RIGs linked cells 2 2 32" xfId="37041" xr:uid="{00000000-0005-0000-0000-000039920000}"/>
    <cellStyle name="RIGs linked cells 2 2 33" xfId="37042" xr:uid="{00000000-0005-0000-0000-00003A920000}"/>
    <cellStyle name="RIGs linked cells 2 2 34" xfId="37043" xr:uid="{00000000-0005-0000-0000-00003B920000}"/>
    <cellStyle name="RIGs linked cells 2 2 35" xfId="37044" xr:uid="{00000000-0005-0000-0000-00003C920000}"/>
    <cellStyle name="RIGs linked cells 2 2 36" xfId="37045" xr:uid="{00000000-0005-0000-0000-00003D920000}"/>
    <cellStyle name="RIGs linked cells 2 2 37" xfId="37046" xr:uid="{00000000-0005-0000-0000-00003E920000}"/>
    <cellStyle name="RIGs linked cells 2 2 38" xfId="37047" xr:uid="{00000000-0005-0000-0000-00003F920000}"/>
    <cellStyle name="RIGs linked cells 2 2 4" xfId="37048" xr:uid="{00000000-0005-0000-0000-000040920000}"/>
    <cellStyle name="RIGs linked cells 2 2 4 10" xfId="37049" xr:uid="{00000000-0005-0000-0000-000041920000}"/>
    <cellStyle name="RIGs linked cells 2 2 4 11" xfId="37050" xr:uid="{00000000-0005-0000-0000-000042920000}"/>
    <cellStyle name="RIGs linked cells 2 2 4 12" xfId="37051" xr:uid="{00000000-0005-0000-0000-000043920000}"/>
    <cellStyle name="RIGs linked cells 2 2 4 13" xfId="37052" xr:uid="{00000000-0005-0000-0000-000044920000}"/>
    <cellStyle name="RIGs linked cells 2 2 4 14" xfId="37053" xr:uid="{00000000-0005-0000-0000-000045920000}"/>
    <cellStyle name="RIGs linked cells 2 2 4 15" xfId="37054" xr:uid="{00000000-0005-0000-0000-000046920000}"/>
    <cellStyle name="RIGs linked cells 2 2 4 16" xfId="37055" xr:uid="{00000000-0005-0000-0000-000047920000}"/>
    <cellStyle name="RIGs linked cells 2 2 4 17" xfId="37056" xr:uid="{00000000-0005-0000-0000-000048920000}"/>
    <cellStyle name="RIGs linked cells 2 2 4 18" xfId="37057" xr:uid="{00000000-0005-0000-0000-000049920000}"/>
    <cellStyle name="RIGs linked cells 2 2 4 19" xfId="37058" xr:uid="{00000000-0005-0000-0000-00004A920000}"/>
    <cellStyle name="RIGs linked cells 2 2 4 2" xfId="37059" xr:uid="{00000000-0005-0000-0000-00004B920000}"/>
    <cellStyle name="RIGs linked cells 2 2 4 2 10" xfId="37060" xr:uid="{00000000-0005-0000-0000-00004C920000}"/>
    <cellStyle name="RIGs linked cells 2 2 4 2 11" xfId="37061" xr:uid="{00000000-0005-0000-0000-00004D920000}"/>
    <cellStyle name="RIGs linked cells 2 2 4 2 12" xfId="37062" xr:uid="{00000000-0005-0000-0000-00004E920000}"/>
    <cellStyle name="RIGs linked cells 2 2 4 2 13" xfId="37063" xr:uid="{00000000-0005-0000-0000-00004F920000}"/>
    <cellStyle name="RIGs linked cells 2 2 4 2 2" xfId="37064" xr:uid="{00000000-0005-0000-0000-000050920000}"/>
    <cellStyle name="RIGs linked cells 2 2 4 2 3" xfId="37065" xr:uid="{00000000-0005-0000-0000-000051920000}"/>
    <cellStyle name="RIGs linked cells 2 2 4 2 4" xfId="37066" xr:uid="{00000000-0005-0000-0000-000052920000}"/>
    <cellStyle name="RIGs linked cells 2 2 4 2 5" xfId="37067" xr:uid="{00000000-0005-0000-0000-000053920000}"/>
    <cellStyle name="RIGs linked cells 2 2 4 2 6" xfId="37068" xr:uid="{00000000-0005-0000-0000-000054920000}"/>
    <cellStyle name="RIGs linked cells 2 2 4 2 7" xfId="37069" xr:uid="{00000000-0005-0000-0000-000055920000}"/>
    <cellStyle name="RIGs linked cells 2 2 4 2 8" xfId="37070" xr:uid="{00000000-0005-0000-0000-000056920000}"/>
    <cellStyle name="RIGs linked cells 2 2 4 2 9" xfId="37071" xr:uid="{00000000-0005-0000-0000-000057920000}"/>
    <cellStyle name="RIGs linked cells 2 2 4 20" xfId="37072" xr:uid="{00000000-0005-0000-0000-000058920000}"/>
    <cellStyle name="RIGs linked cells 2 2 4 21" xfId="37073" xr:uid="{00000000-0005-0000-0000-000059920000}"/>
    <cellStyle name="RIGs linked cells 2 2 4 22" xfId="37074" xr:uid="{00000000-0005-0000-0000-00005A920000}"/>
    <cellStyle name="RIGs linked cells 2 2 4 23" xfId="37075" xr:uid="{00000000-0005-0000-0000-00005B920000}"/>
    <cellStyle name="RIGs linked cells 2 2 4 24" xfId="37076" xr:uid="{00000000-0005-0000-0000-00005C920000}"/>
    <cellStyle name="RIGs linked cells 2 2 4 25" xfId="37077" xr:uid="{00000000-0005-0000-0000-00005D920000}"/>
    <cellStyle name="RIGs linked cells 2 2 4 26" xfId="37078" xr:uid="{00000000-0005-0000-0000-00005E920000}"/>
    <cellStyle name="RIGs linked cells 2 2 4 27" xfId="37079" xr:uid="{00000000-0005-0000-0000-00005F920000}"/>
    <cellStyle name="RIGs linked cells 2 2 4 28" xfId="37080" xr:uid="{00000000-0005-0000-0000-000060920000}"/>
    <cellStyle name="RIGs linked cells 2 2 4 29" xfId="37081" xr:uid="{00000000-0005-0000-0000-000061920000}"/>
    <cellStyle name="RIGs linked cells 2 2 4 3" xfId="37082" xr:uid="{00000000-0005-0000-0000-000062920000}"/>
    <cellStyle name="RIGs linked cells 2 2 4 30" xfId="37083" xr:uid="{00000000-0005-0000-0000-000063920000}"/>
    <cellStyle name="RIGs linked cells 2 2 4 31" xfId="37084" xr:uid="{00000000-0005-0000-0000-000064920000}"/>
    <cellStyle name="RIGs linked cells 2 2 4 32" xfId="37085" xr:uid="{00000000-0005-0000-0000-000065920000}"/>
    <cellStyle name="RIGs linked cells 2 2 4 33" xfId="37086" xr:uid="{00000000-0005-0000-0000-000066920000}"/>
    <cellStyle name="RIGs linked cells 2 2 4 34" xfId="37087" xr:uid="{00000000-0005-0000-0000-000067920000}"/>
    <cellStyle name="RIGs linked cells 2 2 4 4" xfId="37088" xr:uid="{00000000-0005-0000-0000-000068920000}"/>
    <cellStyle name="RIGs linked cells 2 2 4 5" xfId="37089" xr:uid="{00000000-0005-0000-0000-000069920000}"/>
    <cellStyle name="RIGs linked cells 2 2 4 6" xfId="37090" xr:uid="{00000000-0005-0000-0000-00006A920000}"/>
    <cellStyle name="RIGs linked cells 2 2 4 7" xfId="37091" xr:uid="{00000000-0005-0000-0000-00006B920000}"/>
    <cellStyle name="RIGs linked cells 2 2 4 8" xfId="37092" xr:uid="{00000000-0005-0000-0000-00006C920000}"/>
    <cellStyle name="RIGs linked cells 2 2 4 9" xfId="37093" xr:uid="{00000000-0005-0000-0000-00006D920000}"/>
    <cellStyle name="RIGs linked cells 2 2 5" xfId="37094" xr:uid="{00000000-0005-0000-0000-00006E920000}"/>
    <cellStyle name="RIGs linked cells 2 2 5 10" xfId="37095" xr:uid="{00000000-0005-0000-0000-00006F920000}"/>
    <cellStyle name="RIGs linked cells 2 2 5 11" xfId="37096" xr:uid="{00000000-0005-0000-0000-000070920000}"/>
    <cellStyle name="RIGs linked cells 2 2 5 12" xfId="37097" xr:uid="{00000000-0005-0000-0000-000071920000}"/>
    <cellStyle name="RIGs linked cells 2 2 5 13" xfId="37098" xr:uid="{00000000-0005-0000-0000-000072920000}"/>
    <cellStyle name="RIGs linked cells 2 2 5 2" xfId="37099" xr:uid="{00000000-0005-0000-0000-000073920000}"/>
    <cellStyle name="RIGs linked cells 2 2 5 3" xfId="37100" xr:uid="{00000000-0005-0000-0000-000074920000}"/>
    <cellStyle name="RIGs linked cells 2 2 5 4" xfId="37101" xr:uid="{00000000-0005-0000-0000-000075920000}"/>
    <cellStyle name="RIGs linked cells 2 2 5 5" xfId="37102" xr:uid="{00000000-0005-0000-0000-000076920000}"/>
    <cellStyle name="RIGs linked cells 2 2 5 6" xfId="37103" xr:uid="{00000000-0005-0000-0000-000077920000}"/>
    <cellStyle name="RIGs linked cells 2 2 5 7" xfId="37104" xr:uid="{00000000-0005-0000-0000-000078920000}"/>
    <cellStyle name="RIGs linked cells 2 2 5 8" xfId="37105" xr:uid="{00000000-0005-0000-0000-000079920000}"/>
    <cellStyle name="RIGs linked cells 2 2 5 9" xfId="37106" xr:uid="{00000000-0005-0000-0000-00007A920000}"/>
    <cellStyle name="RIGs linked cells 2 2 6" xfId="37107" xr:uid="{00000000-0005-0000-0000-00007B920000}"/>
    <cellStyle name="RIGs linked cells 2 2 7" xfId="37108" xr:uid="{00000000-0005-0000-0000-00007C920000}"/>
    <cellStyle name="RIGs linked cells 2 2 8" xfId="37109" xr:uid="{00000000-0005-0000-0000-00007D920000}"/>
    <cellStyle name="RIGs linked cells 2 2 9" xfId="37110" xr:uid="{00000000-0005-0000-0000-00007E920000}"/>
    <cellStyle name="RIGs linked cells 2 2_4 28 1_Asst_Health_Crit_AllTO_RIIO_20110714pm" xfId="37111" xr:uid="{00000000-0005-0000-0000-00007F920000}"/>
    <cellStyle name="RIGs linked cells 2 20" xfId="37112" xr:uid="{00000000-0005-0000-0000-000080920000}"/>
    <cellStyle name="RIGs linked cells 2 21" xfId="37113" xr:uid="{00000000-0005-0000-0000-000081920000}"/>
    <cellStyle name="RIGs linked cells 2 22" xfId="37114" xr:uid="{00000000-0005-0000-0000-000082920000}"/>
    <cellStyle name="RIGs linked cells 2 23" xfId="37115" xr:uid="{00000000-0005-0000-0000-000083920000}"/>
    <cellStyle name="RIGs linked cells 2 24" xfId="37116" xr:uid="{00000000-0005-0000-0000-000084920000}"/>
    <cellStyle name="RIGs linked cells 2 25" xfId="37117" xr:uid="{00000000-0005-0000-0000-000085920000}"/>
    <cellStyle name="RIGs linked cells 2 26" xfId="37118" xr:uid="{00000000-0005-0000-0000-000086920000}"/>
    <cellStyle name="RIGs linked cells 2 27" xfId="37119" xr:uid="{00000000-0005-0000-0000-000087920000}"/>
    <cellStyle name="RIGs linked cells 2 28" xfId="37120" xr:uid="{00000000-0005-0000-0000-000088920000}"/>
    <cellStyle name="RIGs linked cells 2 29" xfId="37121" xr:uid="{00000000-0005-0000-0000-000089920000}"/>
    <cellStyle name="RIGs linked cells 2 3" xfId="37122" xr:uid="{00000000-0005-0000-0000-00008A920000}"/>
    <cellStyle name="RIGs linked cells 2 3 10" xfId="37123" xr:uid="{00000000-0005-0000-0000-00008B920000}"/>
    <cellStyle name="RIGs linked cells 2 3 11" xfId="37124" xr:uid="{00000000-0005-0000-0000-00008C920000}"/>
    <cellStyle name="RIGs linked cells 2 3 12" xfId="37125" xr:uid="{00000000-0005-0000-0000-00008D920000}"/>
    <cellStyle name="RIGs linked cells 2 3 13" xfId="37126" xr:uid="{00000000-0005-0000-0000-00008E920000}"/>
    <cellStyle name="RIGs linked cells 2 3 14" xfId="37127" xr:uid="{00000000-0005-0000-0000-00008F920000}"/>
    <cellStyle name="RIGs linked cells 2 3 15" xfId="37128" xr:uid="{00000000-0005-0000-0000-000090920000}"/>
    <cellStyle name="RIGs linked cells 2 3 16" xfId="37129" xr:uid="{00000000-0005-0000-0000-000091920000}"/>
    <cellStyle name="RIGs linked cells 2 3 17" xfId="37130" xr:uid="{00000000-0005-0000-0000-000092920000}"/>
    <cellStyle name="RIGs linked cells 2 3 18" xfId="37131" xr:uid="{00000000-0005-0000-0000-000093920000}"/>
    <cellStyle name="RIGs linked cells 2 3 19" xfId="37132" xr:uid="{00000000-0005-0000-0000-000094920000}"/>
    <cellStyle name="RIGs linked cells 2 3 2" xfId="37133" xr:uid="{00000000-0005-0000-0000-000095920000}"/>
    <cellStyle name="RIGs linked cells 2 3 2 10" xfId="37134" xr:uid="{00000000-0005-0000-0000-000096920000}"/>
    <cellStyle name="RIGs linked cells 2 3 2 11" xfId="37135" xr:uid="{00000000-0005-0000-0000-000097920000}"/>
    <cellStyle name="RIGs linked cells 2 3 2 12" xfId="37136" xr:uid="{00000000-0005-0000-0000-000098920000}"/>
    <cellStyle name="RIGs linked cells 2 3 2 13" xfId="37137" xr:uid="{00000000-0005-0000-0000-000099920000}"/>
    <cellStyle name="RIGs linked cells 2 3 2 14" xfId="37138" xr:uid="{00000000-0005-0000-0000-00009A920000}"/>
    <cellStyle name="RIGs linked cells 2 3 2 15" xfId="37139" xr:uid="{00000000-0005-0000-0000-00009B920000}"/>
    <cellStyle name="RIGs linked cells 2 3 2 16" xfId="37140" xr:uid="{00000000-0005-0000-0000-00009C920000}"/>
    <cellStyle name="RIGs linked cells 2 3 2 17" xfId="37141" xr:uid="{00000000-0005-0000-0000-00009D920000}"/>
    <cellStyle name="RIGs linked cells 2 3 2 18" xfId="37142" xr:uid="{00000000-0005-0000-0000-00009E920000}"/>
    <cellStyle name="RIGs linked cells 2 3 2 19" xfId="37143" xr:uid="{00000000-0005-0000-0000-00009F920000}"/>
    <cellStyle name="RIGs linked cells 2 3 2 2" xfId="37144" xr:uid="{00000000-0005-0000-0000-0000A0920000}"/>
    <cellStyle name="RIGs linked cells 2 3 2 2 10" xfId="37145" xr:uid="{00000000-0005-0000-0000-0000A1920000}"/>
    <cellStyle name="RIGs linked cells 2 3 2 2 11" xfId="37146" xr:uid="{00000000-0005-0000-0000-0000A2920000}"/>
    <cellStyle name="RIGs linked cells 2 3 2 2 12" xfId="37147" xr:uid="{00000000-0005-0000-0000-0000A3920000}"/>
    <cellStyle name="RIGs linked cells 2 3 2 2 13" xfId="37148" xr:uid="{00000000-0005-0000-0000-0000A4920000}"/>
    <cellStyle name="RIGs linked cells 2 3 2 2 2" xfId="37149" xr:uid="{00000000-0005-0000-0000-0000A5920000}"/>
    <cellStyle name="RIGs linked cells 2 3 2 2 3" xfId="37150" xr:uid="{00000000-0005-0000-0000-0000A6920000}"/>
    <cellStyle name="RIGs linked cells 2 3 2 2 4" xfId="37151" xr:uid="{00000000-0005-0000-0000-0000A7920000}"/>
    <cellStyle name="RIGs linked cells 2 3 2 2 5" xfId="37152" xr:uid="{00000000-0005-0000-0000-0000A8920000}"/>
    <cellStyle name="RIGs linked cells 2 3 2 2 6" xfId="37153" xr:uid="{00000000-0005-0000-0000-0000A9920000}"/>
    <cellStyle name="RIGs linked cells 2 3 2 2 7" xfId="37154" xr:uid="{00000000-0005-0000-0000-0000AA920000}"/>
    <cellStyle name="RIGs linked cells 2 3 2 2 8" xfId="37155" xr:uid="{00000000-0005-0000-0000-0000AB920000}"/>
    <cellStyle name="RIGs linked cells 2 3 2 2 9" xfId="37156" xr:uid="{00000000-0005-0000-0000-0000AC920000}"/>
    <cellStyle name="RIGs linked cells 2 3 2 20" xfId="37157" xr:uid="{00000000-0005-0000-0000-0000AD920000}"/>
    <cellStyle name="RIGs linked cells 2 3 2 21" xfId="37158" xr:uid="{00000000-0005-0000-0000-0000AE920000}"/>
    <cellStyle name="RIGs linked cells 2 3 2 22" xfId="37159" xr:uid="{00000000-0005-0000-0000-0000AF920000}"/>
    <cellStyle name="RIGs linked cells 2 3 2 23" xfId="37160" xr:uid="{00000000-0005-0000-0000-0000B0920000}"/>
    <cellStyle name="RIGs linked cells 2 3 2 24" xfId="37161" xr:uid="{00000000-0005-0000-0000-0000B1920000}"/>
    <cellStyle name="RIGs linked cells 2 3 2 25" xfId="37162" xr:uid="{00000000-0005-0000-0000-0000B2920000}"/>
    <cellStyle name="RIGs linked cells 2 3 2 26" xfId="37163" xr:uid="{00000000-0005-0000-0000-0000B3920000}"/>
    <cellStyle name="RIGs linked cells 2 3 2 27" xfId="37164" xr:uid="{00000000-0005-0000-0000-0000B4920000}"/>
    <cellStyle name="RIGs linked cells 2 3 2 28" xfId="37165" xr:uid="{00000000-0005-0000-0000-0000B5920000}"/>
    <cellStyle name="RIGs linked cells 2 3 2 29" xfId="37166" xr:uid="{00000000-0005-0000-0000-0000B6920000}"/>
    <cellStyle name="RIGs linked cells 2 3 2 3" xfId="37167" xr:uid="{00000000-0005-0000-0000-0000B7920000}"/>
    <cellStyle name="RIGs linked cells 2 3 2 30" xfId="37168" xr:uid="{00000000-0005-0000-0000-0000B8920000}"/>
    <cellStyle name="RIGs linked cells 2 3 2 31" xfId="37169" xr:uid="{00000000-0005-0000-0000-0000B9920000}"/>
    <cellStyle name="RIGs linked cells 2 3 2 32" xfId="37170" xr:uid="{00000000-0005-0000-0000-0000BA920000}"/>
    <cellStyle name="RIGs linked cells 2 3 2 33" xfId="37171" xr:uid="{00000000-0005-0000-0000-0000BB920000}"/>
    <cellStyle name="RIGs linked cells 2 3 2 34" xfId="37172" xr:uid="{00000000-0005-0000-0000-0000BC920000}"/>
    <cellStyle name="RIGs linked cells 2 3 2 4" xfId="37173" xr:uid="{00000000-0005-0000-0000-0000BD920000}"/>
    <cellStyle name="RIGs linked cells 2 3 2 5" xfId="37174" xr:uid="{00000000-0005-0000-0000-0000BE920000}"/>
    <cellStyle name="RIGs linked cells 2 3 2 6" xfId="37175" xr:uid="{00000000-0005-0000-0000-0000BF920000}"/>
    <cellStyle name="RIGs linked cells 2 3 2 7" xfId="37176" xr:uid="{00000000-0005-0000-0000-0000C0920000}"/>
    <cellStyle name="RIGs linked cells 2 3 2 8" xfId="37177" xr:uid="{00000000-0005-0000-0000-0000C1920000}"/>
    <cellStyle name="RIGs linked cells 2 3 2 9" xfId="37178" xr:uid="{00000000-0005-0000-0000-0000C2920000}"/>
    <cellStyle name="RIGs linked cells 2 3 20" xfId="37179" xr:uid="{00000000-0005-0000-0000-0000C3920000}"/>
    <cellStyle name="RIGs linked cells 2 3 21" xfId="37180" xr:uid="{00000000-0005-0000-0000-0000C4920000}"/>
    <cellStyle name="RIGs linked cells 2 3 22" xfId="37181" xr:uid="{00000000-0005-0000-0000-0000C5920000}"/>
    <cellStyle name="RIGs linked cells 2 3 23" xfId="37182" xr:uid="{00000000-0005-0000-0000-0000C6920000}"/>
    <cellStyle name="RIGs linked cells 2 3 24" xfId="37183" xr:uid="{00000000-0005-0000-0000-0000C7920000}"/>
    <cellStyle name="RIGs linked cells 2 3 25" xfId="37184" xr:uid="{00000000-0005-0000-0000-0000C8920000}"/>
    <cellStyle name="RIGs linked cells 2 3 26" xfId="37185" xr:uid="{00000000-0005-0000-0000-0000C9920000}"/>
    <cellStyle name="RIGs linked cells 2 3 27" xfId="37186" xr:uid="{00000000-0005-0000-0000-0000CA920000}"/>
    <cellStyle name="RIGs linked cells 2 3 28" xfId="37187" xr:uid="{00000000-0005-0000-0000-0000CB920000}"/>
    <cellStyle name="RIGs linked cells 2 3 29" xfId="37188" xr:uid="{00000000-0005-0000-0000-0000CC920000}"/>
    <cellStyle name="RIGs linked cells 2 3 3" xfId="37189" xr:uid="{00000000-0005-0000-0000-0000CD920000}"/>
    <cellStyle name="RIGs linked cells 2 3 3 10" xfId="37190" xr:uid="{00000000-0005-0000-0000-0000CE920000}"/>
    <cellStyle name="RIGs linked cells 2 3 3 11" xfId="37191" xr:uid="{00000000-0005-0000-0000-0000CF920000}"/>
    <cellStyle name="RIGs linked cells 2 3 3 12" xfId="37192" xr:uid="{00000000-0005-0000-0000-0000D0920000}"/>
    <cellStyle name="RIGs linked cells 2 3 3 13" xfId="37193" xr:uid="{00000000-0005-0000-0000-0000D1920000}"/>
    <cellStyle name="RIGs linked cells 2 3 3 2" xfId="37194" xr:uid="{00000000-0005-0000-0000-0000D2920000}"/>
    <cellStyle name="RIGs linked cells 2 3 3 3" xfId="37195" xr:uid="{00000000-0005-0000-0000-0000D3920000}"/>
    <cellStyle name="RIGs linked cells 2 3 3 4" xfId="37196" xr:uid="{00000000-0005-0000-0000-0000D4920000}"/>
    <cellStyle name="RIGs linked cells 2 3 3 5" xfId="37197" xr:uid="{00000000-0005-0000-0000-0000D5920000}"/>
    <cellStyle name="RIGs linked cells 2 3 3 6" xfId="37198" xr:uid="{00000000-0005-0000-0000-0000D6920000}"/>
    <cellStyle name="RIGs linked cells 2 3 3 7" xfId="37199" xr:uid="{00000000-0005-0000-0000-0000D7920000}"/>
    <cellStyle name="RIGs linked cells 2 3 3 8" xfId="37200" xr:uid="{00000000-0005-0000-0000-0000D8920000}"/>
    <cellStyle name="RIGs linked cells 2 3 3 9" xfId="37201" xr:uid="{00000000-0005-0000-0000-0000D9920000}"/>
    <cellStyle name="RIGs linked cells 2 3 30" xfId="37202" xr:uid="{00000000-0005-0000-0000-0000DA920000}"/>
    <cellStyle name="RIGs linked cells 2 3 31" xfId="37203" xr:uid="{00000000-0005-0000-0000-0000DB920000}"/>
    <cellStyle name="RIGs linked cells 2 3 32" xfId="37204" xr:uid="{00000000-0005-0000-0000-0000DC920000}"/>
    <cellStyle name="RIGs linked cells 2 3 33" xfId="37205" xr:uid="{00000000-0005-0000-0000-0000DD920000}"/>
    <cellStyle name="RIGs linked cells 2 3 34" xfId="37206" xr:uid="{00000000-0005-0000-0000-0000DE920000}"/>
    <cellStyle name="RIGs linked cells 2 3 35" xfId="37207" xr:uid="{00000000-0005-0000-0000-0000DF920000}"/>
    <cellStyle name="RIGs linked cells 2 3 4" xfId="37208" xr:uid="{00000000-0005-0000-0000-0000E0920000}"/>
    <cellStyle name="RIGs linked cells 2 3 5" xfId="37209" xr:uid="{00000000-0005-0000-0000-0000E1920000}"/>
    <cellStyle name="RIGs linked cells 2 3 6" xfId="37210" xr:uid="{00000000-0005-0000-0000-0000E2920000}"/>
    <cellStyle name="RIGs linked cells 2 3 7" xfId="37211" xr:uid="{00000000-0005-0000-0000-0000E3920000}"/>
    <cellStyle name="RIGs linked cells 2 3 8" xfId="37212" xr:uid="{00000000-0005-0000-0000-0000E4920000}"/>
    <cellStyle name="RIGs linked cells 2 3 9" xfId="37213" xr:uid="{00000000-0005-0000-0000-0000E5920000}"/>
    <cellStyle name="RIGs linked cells 2 3_4 28 1_Asst_Health_Crit_AllTO_RIIO_20110714pm" xfId="37214" xr:uid="{00000000-0005-0000-0000-0000E6920000}"/>
    <cellStyle name="RIGs linked cells 2 30" xfId="37215" xr:uid="{00000000-0005-0000-0000-0000E7920000}"/>
    <cellStyle name="RIGs linked cells 2 31" xfId="37216" xr:uid="{00000000-0005-0000-0000-0000E8920000}"/>
    <cellStyle name="RIGs linked cells 2 32" xfId="37217" xr:uid="{00000000-0005-0000-0000-0000E9920000}"/>
    <cellStyle name="RIGs linked cells 2 33" xfId="37218" xr:uid="{00000000-0005-0000-0000-0000EA920000}"/>
    <cellStyle name="RIGs linked cells 2 34" xfId="37219" xr:uid="{00000000-0005-0000-0000-0000EB920000}"/>
    <cellStyle name="RIGs linked cells 2 35" xfId="37220" xr:uid="{00000000-0005-0000-0000-0000EC920000}"/>
    <cellStyle name="RIGs linked cells 2 36" xfId="37221" xr:uid="{00000000-0005-0000-0000-0000ED920000}"/>
    <cellStyle name="RIGs linked cells 2 37" xfId="37222" xr:uid="{00000000-0005-0000-0000-0000EE920000}"/>
    <cellStyle name="RIGs linked cells 2 38" xfId="37223" xr:uid="{00000000-0005-0000-0000-0000EF920000}"/>
    <cellStyle name="RIGs linked cells 2 39" xfId="37224" xr:uid="{00000000-0005-0000-0000-0000F0920000}"/>
    <cellStyle name="RIGs linked cells 2 4" xfId="37225" xr:uid="{00000000-0005-0000-0000-0000F1920000}"/>
    <cellStyle name="RIGs linked cells 2 4 10" xfId="37226" xr:uid="{00000000-0005-0000-0000-0000F2920000}"/>
    <cellStyle name="RIGs linked cells 2 4 11" xfId="37227" xr:uid="{00000000-0005-0000-0000-0000F3920000}"/>
    <cellStyle name="RIGs linked cells 2 4 12" xfId="37228" xr:uid="{00000000-0005-0000-0000-0000F4920000}"/>
    <cellStyle name="RIGs linked cells 2 4 13" xfId="37229" xr:uid="{00000000-0005-0000-0000-0000F5920000}"/>
    <cellStyle name="RIGs linked cells 2 4 14" xfId="37230" xr:uid="{00000000-0005-0000-0000-0000F6920000}"/>
    <cellStyle name="RIGs linked cells 2 4 15" xfId="37231" xr:uid="{00000000-0005-0000-0000-0000F7920000}"/>
    <cellStyle name="RIGs linked cells 2 4 16" xfId="37232" xr:uid="{00000000-0005-0000-0000-0000F8920000}"/>
    <cellStyle name="RIGs linked cells 2 4 17" xfId="37233" xr:uid="{00000000-0005-0000-0000-0000F9920000}"/>
    <cellStyle name="RIGs linked cells 2 4 18" xfId="37234" xr:uid="{00000000-0005-0000-0000-0000FA920000}"/>
    <cellStyle name="RIGs linked cells 2 4 19" xfId="37235" xr:uid="{00000000-0005-0000-0000-0000FB920000}"/>
    <cellStyle name="RIGs linked cells 2 4 2" xfId="37236" xr:uid="{00000000-0005-0000-0000-0000FC920000}"/>
    <cellStyle name="RIGs linked cells 2 4 2 10" xfId="37237" xr:uid="{00000000-0005-0000-0000-0000FD920000}"/>
    <cellStyle name="RIGs linked cells 2 4 2 11" xfId="37238" xr:uid="{00000000-0005-0000-0000-0000FE920000}"/>
    <cellStyle name="RIGs linked cells 2 4 2 12" xfId="37239" xr:uid="{00000000-0005-0000-0000-0000FF920000}"/>
    <cellStyle name="RIGs linked cells 2 4 2 13" xfId="37240" xr:uid="{00000000-0005-0000-0000-000000930000}"/>
    <cellStyle name="RIGs linked cells 2 4 2 2" xfId="37241" xr:uid="{00000000-0005-0000-0000-000001930000}"/>
    <cellStyle name="RIGs linked cells 2 4 2 3" xfId="37242" xr:uid="{00000000-0005-0000-0000-000002930000}"/>
    <cellStyle name="RIGs linked cells 2 4 2 4" xfId="37243" xr:uid="{00000000-0005-0000-0000-000003930000}"/>
    <cellStyle name="RIGs linked cells 2 4 2 5" xfId="37244" xr:uid="{00000000-0005-0000-0000-000004930000}"/>
    <cellStyle name="RIGs linked cells 2 4 2 6" xfId="37245" xr:uid="{00000000-0005-0000-0000-000005930000}"/>
    <cellStyle name="RIGs linked cells 2 4 2 7" xfId="37246" xr:uid="{00000000-0005-0000-0000-000006930000}"/>
    <cellStyle name="RIGs linked cells 2 4 2 8" xfId="37247" xr:uid="{00000000-0005-0000-0000-000007930000}"/>
    <cellStyle name="RIGs linked cells 2 4 2 9" xfId="37248" xr:uid="{00000000-0005-0000-0000-000008930000}"/>
    <cellStyle name="RIGs linked cells 2 4 20" xfId="37249" xr:uid="{00000000-0005-0000-0000-000009930000}"/>
    <cellStyle name="RIGs linked cells 2 4 21" xfId="37250" xr:uid="{00000000-0005-0000-0000-00000A930000}"/>
    <cellStyle name="RIGs linked cells 2 4 22" xfId="37251" xr:uid="{00000000-0005-0000-0000-00000B930000}"/>
    <cellStyle name="RIGs linked cells 2 4 23" xfId="37252" xr:uid="{00000000-0005-0000-0000-00000C930000}"/>
    <cellStyle name="RIGs linked cells 2 4 24" xfId="37253" xr:uid="{00000000-0005-0000-0000-00000D930000}"/>
    <cellStyle name="RIGs linked cells 2 4 25" xfId="37254" xr:uid="{00000000-0005-0000-0000-00000E930000}"/>
    <cellStyle name="RIGs linked cells 2 4 26" xfId="37255" xr:uid="{00000000-0005-0000-0000-00000F930000}"/>
    <cellStyle name="RIGs linked cells 2 4 27" xfId="37256" xr:uid="{00000000-0005-0000-0000-000010930000}"/>
    <cellStyle name="RIGs linked cells 2 4 28" xfId="37257" xr:uid="{00000000-0005-0000-0000-000011930000}"/>
    <cellStyle name="RIGs linked cells 2 4 29" xfId="37258" xr:uid="{00000000-0005-0000-0000-000012930000}"/>
    <cellStyle name="RIGs linked cells 2 4 3" xfId="37259" xr:uid="{00000000-0005-0000-0000-000013930000}"/>
    <cellStyle name="RIGs linked cells 2 4 30" xfId="37260" xr:uid="{00000000-0005-0000-0000-000014930000}"/>
    <cellStyle name="RIGs linked cells 2 4 31" xfId="37261" xr:uid="{00000000-0005-0000-0000-000015930000}"/>
    <cellStyle name="RIGs linked cells 2 4 32" xfId="37262" xr:uid="{00000000-0005-0000-0000-000016930000}"/>
    <cellStyle name="RIGs linked cells 2 4 33" xfId="37263" xr:uid="{00000000-0005-0000-0000-000017930000}"/>
    <cellStyle name="RIGs linked cells 2 4 34" xfId="37264" xr:uid="{00000000-0005-0000-0000-000018930000}"/>
    <cellStyle name="RIGs linked cells 2 4 4" xfId="37265" xr:uid="{00000000-0005-0000-0000-000019930000}"/>
    <cellStyle name="RIGs linked cells 2 4 5" xfId="37266" xr:uid="{00000000-0005-0000-0000-00001A930000}"/>
    <cellStyle name="RIGs linked cells 2 4 6" xfId="37267" xr:uid="{00000000-0005-0000-0000-00001B930000}"/>
    <cellStyle name="RIGs linked cells 2 4 7" xfId="37268" xr:uid="{00000000-0005-0000-0000-00001C930000}"/>
    <cellStyle name="RIGs linked cells 2 4 8" xfId="37269" xr:uid="{00000000-0005-0000-0000-00001D930000}"/>
    <cellStyle name="RIGs linked cells 2 4 9" xfId="37270" xr:uid="{00000000-0005-0000-0000-00001E930000}"/>
    <cellStyle name="RIGs linked cells 2 5" xfId="37271" xr:uid="{00000000-0005-0000-0000-00001F930000}"/>
    <cellStyle name="RIGs linked cells 2 5 10" xfId="37272" xr:uid="{00000000-0005-0000-0000-000020930000}"/>
    <cellStyle name="RIGs linked cells 2 5 11" xfId="37273" xr:uid="{00000000-0005-0000-0000-000021930000}"/>
    <cellStyle name="RIGs linked cells 2 5 12" xfId="37274" xr:uid="{00000000-0005-0000-0000-000022930000}"/>
    <cellStyle name="RIGs linked cells 2 5 13" xfId="37275" xr:uid="{00000000-0005-0000-0000-000023930000}"/>
    <cellStyle name="RIGs linked cells 2 5 14" xfId="37276" xr:uid="{00000000-0005-0000-0000-000024930000}"/>
    <cellStyle name="RIGs linked cells 2 5 15" xfId="37277" xr:uid="{00000000-0005-0000-0000-000025930000}"/>
    <cellStyle name="RIGs linked cells 2 5 16" xfId="37278" xr:uid="{00000000-0005-0000-0000-000026930000}"/>
    <cellStyle name="RIGs linked cells 2 5 17" xfId="37279" xr:uid="{00000000-0005-0000-0000-000027930000}"/>
    <cellStyle name="RIGs linked cells 2 5 18" xfId="37280" xr:uid="{00000000-0005-0000-0000-000028930000}"/>
    <cellStyle name="RIGs linked cells 2 5 19" xfId="37281" xr:uid="{00000000-0005-0000-0000-000029930000}"/>
    <cellStyle name="RIGs linked cells 2 5 2" xfId="37282" xr:uid="{00000000-0005-0000-0000-00002A930000}"/>
    <cellStyle name="RIGs linked cells 2 5 2 10" xfId="37283" xr:uid="{00000000-0005-0000-0000-00002B930000}"/>
    <cellStyle name="RIGs linked cells 2 5 2 11" xfId="37284" xr:uid="{00000000-0005-0000-0000-00002C930000}"/>
    <cellStyle name="RIGs linked cells 2 5 2 12" xfId="37285" xr:uid="{00000000-0005-0000-0000-00002D930000}"/>
    <cellStyle name="RIGs linked cells 2 5 2 13" xfId="37286" xr:uid="{00000000-0005-0000-0000-00002E930000}"/>
    <cellStyle name="RIGs linked cells 2 5 2 2" xfId="37287" xr:uid="{00000000-0005-0000-0000-00002F930000}"/>
    <cellStyle name="RIGs linked cells 2 5 2 3" xfId="37288" xr:uid="{00000000-0005-0000-0000-000030930000}"/>
    <cellStyle name="RIGs linked cells 2 5 2 4" xfId="37289" xr:uid="{00000000-0005-0000-0000-000031930000}"/>
    <cellStyle name="RIGs linked cells 2 5 2 5" xfId="37290" xr:uid="{00000000-0005-0000-0000-000032930000}"/>
    <cellStyle name="RIGs linked cells 2 5 2 6" xfId="37291" xr:uid="{00000000-0005-0000-0000-000033930000}"/>
    <cellStyle name="RIGs linked cells 2 5 2 7" xfId="37292" xr:uid="{00000000-0005-0000-0000-000034930000}"/>
    <cellStyle name="RIGs linked cells 2 5 2 8" xfId="37293" xr:uid="{00000000-0005-0000-0000-000035930000}"/>
    <cellStyle name="RIGs linked cells 2 5 2 9" xfId="37294" xr:uid="{00000000-0005-0000-0000-000036930000}"/>
    <cellStyle name="RIGs linked cells 2 5 20" xfId="37295" xr:uid="{00000000-0005-0000-0000-000037930000}"/>
    <cellStyle name="RIGs linked cells 2 5 21" xfId="37296" xr:uid="{00000000-0005-0000-0000-000038930000}"/>
    <cellStyle name="RIGs linked cells 2 5 22" xfId="37297" xr:uid="{00000000-0005-0000-0000-000039930000}"/>
    <cellStyle name="RIGs linked cells 2 5 23" xfId="37298" xr:uid="{00000000-0005-0000-0000-00003A930000}"/>
    <cellStyle name="RIGs linked cells 2 5 24" xfId="37299" xr:uid="{00000000-0005-0000-0000-00003B930000}"/>
    <cellStyle name="RIGs linked cells 2 5 25" xfId="37300" xr:uid="{00000000-0005-0000-0000-00003C930000}"/>
    <cellStyle name="RIGs linked cells 2 5 26" xfId="37301" xr:uid="{00000000-0005-0000-0000-00003D930000}"/>
    <cellStyle name="RIGs linked cells 2 5 27" xfId="37302" xr:uid="{00000000-0005-0000-0000-00003E930000}"/>
    <cellStyle name="RIGs linked cells 2 5 28" xfId="37303" xr:uid="{00000000-0005-0000-0000-00003F930000}"/>
    <cellStyle name="RIGs linked cells 2 5 29" xfId="37304" xr:uid="{00000000-0005-0000-0000-000040930000}"/>
    <cellStyle name="RIGs linked cells 2 5 3" xfId="37305" xr:uid="{00000000-0005-0000-0000-000041930000}"/>
    <cellStyle name="RIGs linked cells 2 5 30" xfId="37306" xr:uid="{00000000-0005-0000-0000-000042930000}"/>
    <cellStyle name="RIGs linked cells 2 5 31" xfId="37307" xr:uid="{00000000-0005-0000-0000-000043930000}"/>
    <cellStyle name="RIGs linked cells 2 5 32" xfId="37308" xr:uid="{00000000-0005-0000-0000-000044930000}"/>
    <cellStyle name="RIGs linked cells 2 5 33" xfId="37309" xr:uid="{00000000-0005-0000-0000-000045930000}"/>
    <cellStyle name="RIGs linked cells 2 5 34" xfId="37310" xr:uid="{00000000-0005-0000-0000-000046930000}"/>
    <cellStyle name="RIGs linked cells 2 5 4" xfId="37311" xr:uid="{00000000-0005-0000-0000-000047930000}"/>
    <cellStyle name="RIGs linked cells 2 5 5" xfId="37312" xr:uid="{00000000-0005-0000-0000-000048930000}"/>
    <cellStyle name="RIGs linked cells 2 5 6" xfId="37313" xr:uid="{00000000-0005-0000-0000-000049930000}"/>
    <cellStyle name="RIGs linked cells 2 5 7" xfId="37314" xr:uid="{00000000-0005-0000-0000-00004A930000}"/>
    <cellStyle name="RIGs linked cells 2 5 8" xfId="37315" xr:uid="{00000000-0005-0000-0000-00004B930000}"/>
    <cellStyle name="RIGs linked cells 2 5 9" xfId="37316" xr:uid="{00000000-0005-0000-0000-00004C930000}"/>
    <cellStyle name="RIGs linked cells 2 6" xfId="37317" xr:uid="{00000000-0005-0000-0000-00004D930000}"/>
    <cellStyle name="RIGs linked cells 2 6 10" xfId="37318" xr:uid="{00000000-0005-0000-0000-00004E930000}"/>
    <cellStyle name="RIGs linked cells 2 6 11" xfId="37319" xr:uid="{00000000-0005-0000-0000-00004F930000}"/>
    <cellStyle name="RIGs linked cells 2 6 12" xfId="37320" xr:uid="{00000000-0005-0000-0000-000050930000}"/>
    <cellStyle name="RIGs linked cells 2 6 13" xfId="37321" xr:uid="{00000000-0005-0000-0000-000051930000}"/>
    <cellStyle name="RIGs linked cells 2 6 2" xfId="37322" xr:uid="{00000000-0005-0000-0000-000052930000}"/>
    <cellStyle name="RIGs linked cells 2 6 3" xfId="37323" xr:uid="{00000000-0005-0000-0000-000053930000}"/>
    <cellStyle name="RIGs linked cells 2 6 4" xfId="37324" xr:uid="{00000000-0005-0000-0000-000054930000}"/>
    <cellStyle name="RIGs linked cells 2 6 5" xfId="37325" xr:uid="{00000000-0005-0000-0000-000055930000}"/>
    <cellStyle name="RIGs linked cells 2 6 6" xfId="37326" xr:uid="{00000000-0005-0000-0000-000056930000}"/>
    <cellStyle name="RIGs linked cells 2 6 7" xfId="37327" xr:uid="{00000000-0005-0000-0000-000057930000}"/>
    <cellStyle name="RIGs linked cells 2 6 8" xfId="37328" xr:uid="{00000000-0005-0000-0000-000058930000}"/>
    <cellStyle name="RIGs linked cells 2 6 9" xfId="37329" xr:uid="{00000000-0005-0000-0000-000059930000}"/>
    <cellStyle name="RIGs linked cells 2 7" xfId="37330" xr:uid="{00000000-0005-0000-0000-00005A930000}"/>
    <cellStyle name="RIGs linked cells 2 8" xfId="37331" xr:uid="{00000000-0005-0000-0000-00005B930000}"/>
    <cellStyle name="RIGs linked cells 2 9" xfId="37332" xr:uid="{00000000-0005-0000-0000-00005C930000}"/>
    <cellStyle name="RIGs linked cells 2_1.3s Accounting C Costs Scots" xfId="37333" xr:uid="{00000000-0005-0000-0000-00005D930000}"/>
    <cellStyle name="RIGs linked cells 20" xfId="37334" xr:uid="{00000000-0005-0000-0000-00005E930000}"/>
    <cellStyle name="RIGs linked cells 21" xfId="37335" xr:uid="{00000000-0005-0000-0000-00005F930000}"/>
    <cellStyle name="RIGs linked cells 22" xfId="37336" xr:uid="{00000000-0005-0000-0000-000060930000}"/>
    <cellStyle name="RIGs linked cells 23" xfId="37337" xr:uid="{00000000-0005-0000-0000-000061930000}"/>
    <cellStyle name="RIGs linked cells 24" xfId="37338" xr:uid="{00000000-0005-0000-0000-000062930000}"/>
    <cellStyle name="RIGs linked cells 25" xfId="37339" xr:uid="{00000000-0005-0000-0000-000063930000}"/>
    <cellStyle name="RIGs linked cells 26" xfId="37340" xr:uid="{00000000-0005-0000-0000-000064930000}"/>
    <cellStyle name="RIGs linked cells 27" xfId="37341" xr:uid="{00000000-0005-0000-0000-000065930000}"/>
    <cellStyle name="RIGs linked cells 28" xfId="37342" xr:uid="{00000000-0005-0000-0000-000066930000}"/>
    <cellStyle name="RIGs linked cells 29" xfId="37343" xr:uid="{00000000-0005-0000-0000-000067930000}"/>
    <cellStyle name="RIGs linked cells 3" xfId="37344" xr:uid="{00000000-0005-0000-0000-000068930000}"/>
    <cellStyle name="RIGs linked cells 3 10" xfId="37345" xr:uid="{00000000-0005-0000-0000-000069930000}"/>
    <cellStyle name="RIGs linked cells 3 11" xfId="37346" xr:uid="{00000000-0005-0000-0000-00006A930000}"/>
    <cellStyle name="RIGs linked cells 3 12" xfId="37347" xr:uid="{00000000-0005-0000-0000-00006B930000}"/>
    <cellStyle name="RIGs linked cells 3 13" xfId="37348" xr:uid="{00000000-0005-0000-0000-00006C930000}"/>
    <cellStyle name="RIGs linked cells 3 14" xfId="37349" xr:uid="{00000000-0005-0000-0000-00006D930000}"/>
    <cellStyle name="RIGs linked cells 3 15" xfId="37350" xr:uid="{00000000-0005-0000-0000-00006E930000}"/>
    <cellStyle name="RIGs linked cells 3 16" xfId="37351" xr:uid="{00000000-0005-0000-0000-00006F930000}"/>
    <cellStyle name="RIGs linked cells 3 17" xfId="37352" xr:uid="{00000000-0005-0000-0000-000070930000}"/>
    <cellStyle name="RIGs linked cells 3 18" xfId="37353" xr:uid="{00000000-0005-0000-0000-000071930000}"/>
    <cellStyle name="RIGs linked cells 3 19" xfId="37354" xr:uid="{00000000-0005-0000-0000-000072930000}"/>
    <cellStyle name="RIGs linked cells 3 2" xfId="37355" xr:uid="{00000000-0005-0000-0000-000073930000}"/>
    <cellStyle name="RIGs linked cells 3 2 10" xfId="37356" xr:uid="{00000000-0005-0000-0000-000074930000}"/>
    <cellStyle name="RIGs linked cells 3 2 11" xfId="37357" xr:uid="{00000000-0005-0000-0000-000075930000}"/>
    <cellStyle name="RIGs linked cells 3 2 12" xfId="37358" xr:uid="{00000000-0005-0000-0000-000076930000}"/>
    <cellStyle name="RIGs linked cells 3 2 13" xfId="37359" xr:uid="{00000000-0005-0000-0000-000077930000}"/>
    <cellStyle name="RIGs linked cells 3 2 14" xfId="37360" xr:uid="{00000000-0005-0000-0000-000078930000}"/>
    <cellStyle name="RIGs linked cells 3 2 15" xfId="37361" xr:uid="{00000000-0005-0000-0000-000079930000}"/>
    <cellStyle name="RIGs linked cells 3 2 16" xfId="37362" xr:uid="{00000000-0005-0000-0000-00007A930000}"/>
    <cellStyle name="RIGs linked cells 3 2 17" xfId="37363" xr:uid="{00000000-0005-0000-0000-00007B930000}"/>
    <cellStyle name="RIGs linked cells 3 2 18" xfId="37364" xr:uid="{00000000-0005-0000-0000-00007C930000}"/>
    <cellStyle name="RIGs linked cells 3 2 19" xfId="37365" xr:uid="{00000000-0005-0000-0000-00007D930000}"/>
    <cellStyle name="RIGs linked cells 3 2 2" xfId="37366" xr:uid="{00000000-0005-0000-0000-00007E930000}"/>
    <cellStyle name="RIGs linked cells 3 2 2 10" xfId="37367" xr:uid="{00000000-0005-0000-0000-00007F930000}"/>
    <cellStyle name="RIGs linked cells 3 2 2 11" xfId="37368" xr:uid="{00000000-0005-0000-0000-000080930000}"/>
    <cellStyle name="RIGs linked cells 3 2 2 12" xfId="37369" xr:uid="{00000000-0005-0000-0000-000081930000}"/>
    <cellStyle name="RIGs linked cells 3 2 2 13" xfId="37370" xr:uid="{00000000-0005-0000-0000-000082930000}"/>
    <cellStyle name="RIGs linked cells 3 2 2 14" xfId="37371" xr:uid="{00000000-0005-0000-0000-000083930000}"/>
    <cellStyle name="RIGs linked cells 3 2 2 15" xfId="37372" xr:uid="{00000000-0005-0000-0000-000084930000}"/>
    <cellStyle name="RIGs linked cells 3 2 2 16" xfId="37373" xr:uid="{00000000-0005-0000-0000-000085930000}"/>
    <cellStyle name="RIGs linked cells 3 2 2 17" xfId="37374" xr:uid="{00000000-0005-0000-0000-000086930000}"/>
    <cellStyle name="RIGs linked cells 3 2 2 18" xfId="37375" xr:uid="{00000000-0005-0000-0000-000087930000}"/>
    <cellStyle name="RIGs linked cells 3 2 2 19" xfId="37376" xr:uid="{00000000-0005-0000-0000-000088930000}"/>
    <cellStyle name="RIGs linked cells 3 2 2 2" xfId="37377" xr:uid="{00000000-0005-0000-0000-000089930000}"/>
    <cellStyle name="RIGs linked cells 3 2 2 2 10" xfId="37378" xr:uid="{00000000-0005-0000-0000-00008A930000}"/>
    <cellStyle name="RIGs linked cells 3 2 2 2 11" xfId="37379" xr:uid="{00000000-0005-0000-0000-00008B930000}"/>
    <cellStyle name="RIGs linked cells 3 2 2 2 12" xfId="37380" xr:uid="{00000000-0005-0000-0000-00008C930000}"/>
    <cellStyle name="RIGs linked cells 3 2 2 2 13" xfId="37381" xr:uid="{00000000-0005-0000-0000-00008D930000}"/>
    <cellStyle name="RIGs linked cells 3 2 2 2 14" xfId="37382" xr:uid="{00000000-0005-0000-0000-00008E930000}"/>
    <cellStyle name="RIGs linked cells 3 2 2 2 15" xfId="37383" xr:uid="{00000000-0005-0000-0000-00008F930000}"/>
    <cellStyle name="RIGs linked cells 3 2 2 2 16" xfId="37384" xr:uid="{00000000-0005-0000-0000-000090930000}"/>
    <cellStyle name="RIGs linked cells 3 2 2 2 17" xfId="37385" xr:uid="{00000000-0005-0000-0000-000091930000}"/>
    <cellStyle name="RIGs linked cells 3 2 2 2 18" xfId="37386" xr:uid="{00000000-0005-0000-0000-000092930000}"/>
    <cellStyle name="RIGs linked cells 3 2 2 2 19" xfId="37387" xr:uid="{00000000-0005-0000-0000-000093930000}"/>
    <cellStyle name="RIGs linked cells 3 2 2 2 2" xfId="37388" xr:uid="{00000000-0005-0000-0000-000094930000}"/>
    <cellStyle name="RIGs linked cells 3 2 2 2 2 10" xfId="37389" xr:uid="{00000000-0005-0000-0000-000095930000}"/>
    <cellStyle name="RIGs linked cells 3 2 2 2 2 11" xfId="37390" xr:uid="{00000000-0005-0000-0000-000096930000}"/>
    <cellStyle name="RIGs linked cells 3 2 2 2 2 12" xfId="37391" xr:uid="{00000000-0005-0000-0000-000097930000}"/>
    <cellStyle name="RIGs linked cells 3 2 2 2 2 13" xfId="37392" xr:uid="{00000000-0005-0000-0000-000098930000}"/>
    <cellStyle name="RIGs linked cells 3 2 2 2 2 14" xfId="37393" xr:uid="{00000000-0005-0000-0000-000099930000}"/>
    <cellStyle name="RIGs linked cells 3 2 2 2 2 15" xfId="37394" xr:uid="{00000000-0005-0000-0000-00009A930000}"/>
    <cellStyle name="RIGs linked cells 3 2 2 2 2 16" xfId="37395" xr:uid="{00000000-0005-0000-0000-00009B930000}"/>
    <cellStyle name="RIGs linked cells 3 2 2 2 2 17" xfId="37396" xr:uid="{00000000-0005-0000-0000-00009C930000}"/>
    <cellStyle name="RIGs linked cells 3 2 2 2 2 18" xfId="37397" xr:uid="{00000000-0005-0000-0000-00009D930000}"/>
    <cellStyle name="RIGs linked cells 3 2 2 2 2 19" xfId="37398" xr:uid="{00000000-0005-0000-0000-00009E930000}"/>
    <cellStyle name="RIGs linked cells 3 2 2 2 2 2" xfId="37399" xr:uid="{00000000-0005-0000-0000-00009F930000}"/>
    <cellStyle name="RIGs linked cells 3 2 2 2 2 2 10" xfId="37400" xr:uid="{00000000-0005-0000-0000-0000A0930000}"/>
    <cellStyle name="RIGs linked cells 3 2 2 2 2 2 11" xfId="37401" xr:uid="{00000000-0005-0000-0000-0000A1930000}"/>
    <cellStyle name="RIGs linked cells 3 2 2 2 2 2 12" xfId="37402" xr:uid="{00000000-0005-0000-0000-0000A2930000}"/>
    <cellStyle name="RIGs linked cells 3 2 2 2 2 2 13" xfId="37403" xr:uid="{00000000-0005-0000-0000-0000A3930000}"/>
    <cellStyle name="RIGs linked cells 3 2 2 2 2 2 2" xfId="37404" xr:uid="{00000000-0005-0000-0000-0000A4930000}"/>
    <cellStyle name="RIGs linked cells 3 2 2 2 2 2 3" xfId="37405" xr:uid="{00000000-0005-0000-0000-0000A5930000}"/>
    <cellStyle name="RIGs linked cells 3 2 2 2 2 2 4" xfId="37406" xr:uid="{00000000-0005-0000-0000-0000A6930000}"/>
    <cellStyle name="RIGs linked cells 3 2 2 2 2 2 5" xfId="37407" xr:uid="{00000000-0005-0000-0000-0000A7930000}"/>
    <cellStyle name="RIGs linked cells 3 2 2 2 2 2 6" xfId="37408" xr:uid="{00000000-0005-0000-0000-0000A8930000}"/>
    <cellStyle name="RIGs linked cells 3 2 2 2 2 2 7" xfId="37409" xr:uid="{00000000-0005-0000-0000-0000A9930000}"/>
    <cellStyle name="RIGs linked cells 3 2 2 2 2 2 8" xfId="37410" xr:uid="{00000000-0005-0000-0000-0000AA930000}"/>
    <cellStyle name="RIGs linked cells 3 2 2 2 2 2 9" xfId="37411" xr:uid="{00000000-0005-0000-0000-0000AB930000}"/>
    <cellStyle name="RIGs linked cells 3 2 2 2 2 20" xfId="37412" xr:uid="{00000000-0005-0000-0000-0000AC930000}"/>
    <cellStyle name="RIGs linked cells 3 2 2 2 2 21" xfId="37413" xr:uid="{00000000-0005-0000-0000-0000AD930000}"/>
    <cellStyle name="RIGs linked cells 3 2 2 2 2 22" xfId="37414" xr:uid="{00000000-0005-0000-0000-0000AE930000}"/>
    <cellStyle name="RIGs linked cells 3 2 2 2 2 23" xfId="37415" xr:uid="{00000000-0005-0000-0000-0000AF930000}"/>
    <cellStyle name="RIGs linked cells 3 2 2 2 2 24" xfId="37416" xr:uid="{00000000-0005-0000-0000-0000B0930000}"/>
    <cellStyle name="RIGs linked cells 3 2 2 2 2 25" xfId="37417" xr:uid="{00000000-0005-0000-0000-0000B1930000}"/>
    <cellStyle name="RIGs linked cells 3 2 2 2 2 26" xfId="37418" xr:uid="{00000000-0005-0000-0000-0000B2930000}"/>
    <cellStyle name="RIGs linked cells 3 2 2 2 2 27" xfId="37419" xr:uid="{00000000-0005-0000-0000-0000B3930000}"/>
    <cellStyle name="RIGs linked cells 3 2 2 2 2 28" xfId="37420" xr:uid="{00000000-0005-0000-0000-0000B4930000}"/>
    <cellStyle name="RIGs linked cells 3 2 2 2 2 29" xfId="37421" xr:uid="{00000000-0005-0000-0000-0000B5930000}"/>
    <cellStyle name="RIGs linked cells 3 2 2 2 2 3" xfId="37422" xr:uid="{00000000-0005-0000-0000-0000B6930000}"/>
    <cellStyle name="RIGs linked cells 3 2 2 2 2 30" xfId="37423" xr:uid="{00000000-0005-0000-0000-0000B7930000}"/>
    <cellStyle name="RIGs linked cells 3 2 2 2 2 31" xfId="37424" xr:uid="{00000000-0005-0000-0000-0000B8930000}"/>
    <cellStyle name="RIGs linked cells 3 2 2 2 2 32" xfId="37425" xr:uid="{00000000-0005-0000-0000-0000B9930000}"/>
    <cellStyle name="RIGs linked cells 3 2 2 2 2 33" xfId="37426" xr:uid="{00000000-0005-0000-0000-0000BA930000}"/>
    <cellStyle name="RIGs linked cells 3 2 2 2 2 34" xfId="37427" xr:uid="{00000000-0005-0000-0000-0000BB930000}"/>
    <cellStyle name="RIGs linked cells 3 2 2 2 2 4" xfId="37428" xr:uid="{00000000-0005-0000-0000-0000BC930000}"/>
    <cellStyle name="RIGs linked cells 3 2 2 2 2 5" xfId="37429" xr:uid="{00000000-0005-0000-0000-0000BD930000}"/>
    <cellStyle name="RIGs linked cells 3 2 2 2 2 6" xfId="37430" xr:uid="{00000000-0005-0000-0000-0000BE930000}"/>
    <cellStyle name="RIGs linked cells 3 2 2 2 2 7" xfId="37431" xr:uid="{00000000-0005-0000-0000-0000BF930000}"/>
    <cellStyle name="RIGs linked cells 3 2 2 2 2 8" xfId="37432" xr:uid="{00000000-0005-0000-0000-0000C0930000}"/>
    <cellStyle name="RIGs linked cells 3 2 2 2 2 9" xfId="37433" xr:uid="{00000000-0005-0000-0000-0000C1930000}"/>
    <cellStyle name="RIGs linked cells 3 2 2 2 20" xfId="37434" xr:uid="{00000000-0005-0000-0000-0000C2930000}"/>
    <cellStyle name="RIGs linked cells 3 2 2 2 21" xfId="37435" xr:uid="{00000000-0005-0000-0000-0000C3930000}"/>
    <cellStyle name="RIGs linked cells 3 2 2 2 22" xfId="37436" xr:uid="{00000000-0005-0000-0000-0000C4930000}"/>
    <cellStyle name="RIGs linked cells 3 2 2 2 23" xfId="37437" xr:uid="{00000000-0005-0000-0000-0000C5930000}"/>
    <cellStyle name="RIGs linked cells 3 2 2 2 24" xfId="37438" xr:uid="{00000000-0005-0000-0000-0000C6930000}"/>
    <cellStyle name="RIGs linked cells 3 2 2 2 25" xfId="37439" xr:uid="{00000000-0005-0000-0000-0000C7930000}"/>
    <cellStyle name="RIGs linked cells 3 2 2 2 26" xfId="37440" xr:uid="{00000000-0005-0000-0000-0000C8930000}"/>
    <cellStyle name="RIGs linked cells 3 2 2 2 27" xfId="37441" xr:uid="{00000000-0005-0000-0000-0000C9930000}"/>
    <cellStyle name="RIGs linked cells 3 2 2 2 28" xfId="37442" xr:uid="{00000000-0005-0000-0000-0000CA930000}"/>
    <cellStyle name="RIGs linked cells 3 2 2 2 29" xfId="37443" xr:uid="{00000000-0005-0000-0000-0000CB930000}"/>
    <cellStyle name="RIGs linked cells 3 2 2 2 3" xfId="37444" xr:uid="{00000000-0005-0000-0000-0000CC930000}"/>
    <cellStyle name="RIGs linked cells 3 2 2 2 3 10" xfId="37445" xr:uid="{00000000-0005-0000-0000-0000CD930000}"/>
    <cellStyle name="RIGs linked cells 3 2 2 2 3 11" xfId="37446" xr:uid="{00000000-0005-0000-0000-0000CE930000}"/>
    <cellStyle name="RIGs linked cells 3 2 2 2 3 12" xfId="37447" xr:uid="{00000000-0005-0000-0000-0000CF930000}"/>
    <cellStyle name="RIGs linked cells 3 2 2 2 3 13" xfId="37448" xr:uid="{00000000-0005-0000-0000-0000D0930000}"/>
    <cellStyle name="RIGs linked cells 3 2 2 2 3 2" xfId="37449" xr:uid="{00000000-0005-0000-0000-0000D1930000}"/>
    <cellStyle name="RIGs linked cells 3 2 2 2 3 3" xfId="37450" xr:uid="{00000000-0005-0000-0000-0000D2930000}"/>
    <cellStyle name="RIGs linked cells 3 2 2 2 3 4" xfId="37451" xr:uid="{00000000-0005-0000-0000-0000D3930000}"/>
    <cellStyle name="RIGs linked cells 3 2 2 2 3 5" xfId="37452" xr:uid="{00000000-0005-0000-0000-0000D4930000}"/>
    <cellStyle name="RIGs linked cells 3 2 2 2 3 6" xfId="37453" xr:uid="{00000000-0005-0000-0000-0000D5930000}"/>
    <cellStyle name="RIGs linked cells 3 2 2 2 3 7" xfId="37454" xr:uid="{00000000-0005-0000-0000-0000D6930000}"/>
    <cellStyle name="RIGs linked cells 3 2 2 2 3 8" xfId="37455" xr:uid="{00000000-0005-0000-0000-0000D7930000}"/>
    <cellStyle name="RIGs linked cells 3 2 2 2 3 9" xfId="37456" xr:uid="{00000000-0005-0000-0000-0000D8930000}"/>
    <cellStyle name="RIGs linked cells 3 2 2 2 30" xfId="37457" xr:uid="{00000000-0005-0000-0000-0000D9930000}"/>
    <cellStyle name="RIGs linked cells 3 2 2 2 31" xfId="37458" xr:uid="{00000000-0005-0000-0000-0000DA930000}"/>
    <cellStyle name="RIGs linked cells 3 2 2 2 4" xfId="37459" xr:uid="{00000000-0005-0000-0000-0000DB930000}"/>
    <cellStyle name="RIGs linked cells 3 2 2 2 5" xfId="37460" xr:uid="{00000000-0005-0000-0000-0000DC930000}"/>
    <cellStyle name="RIGs linked cells 3 2 2 2 6" xfId="37461" xr:uid="{00000000-0005-0000-0000-0000DD930000}"/>
    <cellStyle name="RIGs linked cells 3 2 2 2 7" xfId="37462" xr:uid="{00000000-0005-0000-0000-0000DE930000}"/>
    <cellStyle name="RIGs linked cells 3 2 2 2 8" xfId="37463" xr:uid="{00000000-0005-0000-0000-0000DF930000}"/>
    <cellStyle name="RIGs linked cells 3 2 2 2 9" xfId="37464" xr:uid="{00000000-0005-0000-0000-0000E0930000}"/>
    <cellStyle name="RIGs linked cells 3 2 2 2_4 28 1_Asst_Health_Crit_AllTO_RIIO_20110714pm" xfId="37465" xr:uid="{00000000-0005-0000-0000-0000E1930000}"/>
    <cellStyle name="RIGs linked cells 3 2 2 20" xfId="37466" xr:uid="{00000000-0005-0000-0000-0000E2930000}"/>
    <cellStyle name="RIGs linked cells 3 2 2 21" xfId="37467" xr:uid="{00000000-0005-0000-0000-0000E3930000}"/>
    <cellStyle name="RIGs linked cells 3 2 2 22" xfId="37468" xr:uid="{00000000-0005-0000-0000-0000E4930000}"/>
    <cellStyle name="RIGs linked cells 3 2 2 23" xfId="37469" xr:uid="{00000000-0005-0000-0000-0000E5930000}"/>
    <cellStyle name="RIGs linked cells 3 2 2 24" xfId="37470" xr:uid="{00000000-0005-0000-0000-0000E6930000}"/>
    <cellStyle name="RIGs linked cells 3 2 2 25" xfId="37471" xr:uid="{00000000-0005-0000-0000-0000E7930000}"/>
    <cellStyle name="RIGs linked cells 3 2 2 26" xfId="37472" xr:uid="{00000000-0005-0000-0000-0000E8930000}"/>
    <cellStyle name="RIGs linked cells 3 2 2 27" xfId="37473" xr:uid="{00000000-0005-0000-0000-0000E9930000}"/>
    <cellStyle name="RIGs linked cells 3 2 2 28" xfId="37474" xr:uid="{00000000-0005-0000-0000-0000EA930000}"/>
    <cellStyle name="RIGs linked cells 3 2 2 29" xfId="37475" xr:uid="{00000000-0005-0000-0000-0000EB930000}"/>
    <cellStyle name="RIGs linked cells 3 2 2 3" xfId="37476" xr:uid="{00000000-0005-0000-0000-0000EC930000}"/>
    <cellStyle name="RIGs linked cells 3 2 2 3 10" xfId="37477" xr:uid="{00000000-0005-0000-0000-0000ED930000}"/>
    <cellStyle name="RIGs linked cells 3 2 2 3 11" xfId="37478" xr:uid="{00000000-0005-0000-0000-0000EE930000}"/>
    <cellStyle name="RIGs linked cells 3 2 2 3 12" xfId="37479" xr:uid="{00000000-0005-0000-0000-0000EF930000}"/>
    <cellStyle name="RIGs linked cells 3 2 2 3 13" xfId="37480" xr:uid="{00000000-0005-0000-0000-0000F0930000}"/>
    <cellStyle name="RIGs linked cells 3 2 2 3 14" xfId="37481" xr:uid="{00000000-0005-0000-0000-0000F1930000}"/>
    <cellStyle name="RIGs linked cells 3 2 2 3 15" xfId="37482" xr:uid="{00000000-0005-0000-0000-0000F2930000}"/>
    <cellStyle name="RIGs linked cells 3 2 2 3 16" xfId="37483" xr:uid="{00000000-0005-0000-0000-0000F3930000}"/>
    <cellStyle name="RIGs linked cells 3 2 2 3 17" xfId="37484" xr:uid="{00000000-0005-0000-0000-0000F4930000}"/>
    <cellStyle name="RIGs linked cells 3 2 2 3 18" xfId="37485" xr:uid="{00000000-0005-0000-0000-0000F5930000}"/>
    <cellStyle name="RIGs linked cells 3 2 2 3 19" xfId="37486" xr:uid="{00000000-0005-0000-0000-0000F6930000}"/>
    <cellStyle name="RIGs linked cells 3 2 2 3 2" xfId="37487" xr:uid="{00000000-0005-0000-0000-0000F7930000}"/>
    <cellStyle name="RIGs linked cells 3 2 2 3 2 10" xfId="37488" xr:uid="{00000000-0005-0000-0000-0000F8930000}"/>
    <cellStyle name="RIGs linked cells 3 2 2 3 2 11" xfId="37489" xr:uid="{00000000-0005-0000-0000-0000F9930000}"/>
    <cellStyle name="RIGs linked cells 3 2 2 3 2 12" xfId="37490" xr:uid="{00000000-0005-0000-0000-0000FA930000}"/>
    <cellStyle name="RIGs linked cells 3 2 2 3 2 13" xfId="37491" xr:uid="{00000000-0005-0000-0000-0000FB930000}"/>
    <cellStyle name="RIGs linked cells 3 2 2 3 2 2" xfId="37492" xr:uid="{00000000-0005-0000-0000-0000FC930000}"/>
    <cellStyle name="RIGs linked cells 3 2 2 3 2 3" xfId="37493" xr:uid="{00000000-0005-0000-0000-0000FD930000}"/>
    <cellStyle name="RIGs linked cells 3 2 2 3 2 4" xfId="37494" xr:uid="{00000000-0005-0000-0000-0000FE930000}"/>
    <cellStyle name="RIGs linked cells 3 2 2 3 2 5" xfId="37495" xr:uid="{00000000-0005-0000-0000-0000FF930000}"/>
    <cellStyle name="RIGs linked cells 3 2 2 3 2 6" xfId="37496" xr:uid="{00000000-0005-0000-0000-000000940000}"/>
    <cellStyle name="RIGs linked cells 3 2 2 3 2 7" xfId="37497" xr:uid="{00000000-0005-0000-0000-000001940000}"/>
    <cellStyle name="RIGs linked cells 3 2 2 3 2 8" xfId="37498" xr:uid="{00000000-0005-0000-0000-000002940000}"/>
    <cellStyle name="RIGs linked cells 3 2 2 3 2 9" xfId="37499" xr:uid="{00000000-0005-0000-0000-000003940000}"/>
    <cellStyle name="RIGs linked cells 3 2 2 3 20" xfId="37500" xr:uid="{00000000-0005-0000-0000-000004940000}"/>
    <cellStyle name="RIGs linked cells 3 2 2 3 21" xfId="37501" xr:uid="{00000000-0005-0000-0000-000005940000}"/>
    <cellStyle name="RIGs linked cells 3 2 2 3 22" xfId="37502" xr:uid="{00000000-0005-0000-0000-000006940000}"/>
    <cellStyle name="RIGs linked cells 3 2 2 3 23" xfId="37503" xr:uid="{00000000-0005-0000-0000-000007940000}"/>
    <cellStyle name="RIGs linked cells 3 2 2 3 24" xfId="37504" xr:uid="{00000000-0005-0000-0000-000008940000}"/>
    <cellStyle name="RIGs linked cells 3 2 2 3 25" xfId="37505" xr:uid="{00000000-0005-0000-0000-000009940000}"/>
    <cellStyle name="RIGs linked cells 3 2 2 3 26" xfId="37506" xr:uid="{00000000-0005-0000-0000-00000A940000}"/>
    <cellStyle name="RIGs linked cells 3 2 2 3 27" xfId="37507" xr:uid="{00000000-0005-0000-0000-00000B940000}"/>
    <cellStyle name="RIGs linked cells 3 2 2 3 28" xfId="37508" xr:uid="{00000000-0005-0000-0000-00000C940000}"/>
    <cellStyle name="RIGs linked cells 3 2 2 3 29" xfId="37509" xr:uid="{00000000-0005-0000-0000-00000D940000}"/>
    <cellStyle name="RIGs linked cells 3 2 2 3 3" xfId="37510" xr:uid="{00000000-0005-0000-0000-00000E940000}"/>
    <cellStyle name="RIGs linked cells 3 2 2 3 30" xfId="37511" xr:uid="{00000000-0005-0000-0000-00000F940000}"/>
    <cellStyle name="RIGs linked cells 3 2 2 3 4" xfId="37512" xr:uid="{00000000-0005-0000-0000-000010940000}"/>
    <cellStyle name="RIGs linked cells 3 2 2 3 5" xfId="37513" xr:uid="{00000000-0005-0000-0000-000011940000}"/>
    <cellStyle name="RIGs linked cells 3 2 2 3 6" xfId="37514" xr:uid="{00000000-0005-0000-0000-000012940000}"/>
    <cellStyle name="RIGs linked cells 3 2 2 3 7" xfId="37515" xr:uid="{00000000-0005-0000-0000-000013940000}"/>
    <cellStyle name="RIGs linked cells 3 2 2 3 8" xfId="37516" xr:uid="{00000000-0005-0000-0000-000014940000}"/>
    <cellStyle name="RIGs linked cells 3 2 2 3 9" xfId="37517" xr:uid="{00000000-0005-0000-0000-000015940000}"/>
    <cellStyle name="RIGs linked cells 3 2 2 30" xfId="37518" xr:uid="{00000000-0005-0000-0000-000016940000}"/>
    <cellStyle name="RIGs linked cells 3 2 2 31" xfId="37519" xr:uid="{00000000-0005-0000-0000-000017940000}"/>
    <cellStyle name="RIGs linked cells 3 2 2 32" xfId="37520" xr:uid="{00000000-0005-0000-0000-000018940000}"/>
    <cellStyle name="RIGs linked cells 3 2 2 33" xfId="37521" xr:uid="{00000000-0005-0000-0000-000019940000}"/>
    <cellStyle name="RIGs linked cells 3 2 2 4" xfId="37522" xr:uid="{00000000-0005-0000-0000-00001A940000}"/>
    <cellStyle name="RIGs linked cells 3 2 2 4 10" xfId="37523" xr:uid="{00000000-0005-0000-0000-00001B940000}"/>
    <cellStyle name="RIGs linked cells 3 2 2 4 11" xfId="37524" xr:uid="{00000000-0005-0000-0000-00001C940000}"/>
    <cellStyle name="RIGs linked cells 3 2 2 4 12" xfId="37525" xr:uid="{00000000-0005-0000-0000-00001D940000}"/>
    <cellStyle name="RIGs linked cells 3 2 2 4 13" xfId="37526" xr:uid="{00000000-0005-0000-0000-00001E940000}"/>
    <cellStyle name="RIGs linked cells 3 2 2 4 14" xfId="37527" xr:uid="{00000000-0005-0000-0000-00001F940000}"/>
    <cellStyle name="RIGs linked cells 3 2 2 4 15" xfId="37528" xr:uid="{00000000-0005-0000-0000-000020940000}"/>
    <cellStyle name="RIGs linked cells 3 2 2 4 16" xfId="37529" xr:uid="{00000000-0005-0000-0000-000021940000}"/>
    <cellStyle name="RIGs linked cells 3 2 2 4 17" xfId="37530" xr:uid="{00000000-0005-0000-0000-000022940000}"/>
    <cellStyle name="RIGs linked cells 3 2 2 4 18" xfId="37531" xr:uid="{00000000-0005-0000-0000-000023940000}"/>
    <cellStyle name="RIGs linked cells 3 2 2 4 19" xfId="37532" xr:uid="{00000000-0005-0000-0000-000024940000}"/>
    <cellStyle name="RIGs linked cells 3 2 2 4 2" xfId="37533" xr:uid="{00000000-0005-0000-0000-000025940000}"/>
    <cellStyle name="RIGs linked cells 3 2 2 4 2 10" xfId="37534" xr:uid="{00000000-0005-0000-0000-000026940000}"/>
    <cellStyle name="RIGs linked cells 3 2 2 4 2 11" xfId="37535" xr:uid="{00000000-0005-0000-0000-000027940000}"/>
    <cellStyle name="RIGs linked cells 3 2 2 4 2 12" xfId="37536" xr:uid="{00000000-0005-0000-0000-000028940000}"/>
    <cellStyle name="RIGs linked cells 3 2 2 4 2 13" xfId="37537" xr:uid="{00000000-0005-0000-0000-000029940000}"/>
    <cellStyle name="RIGs linked cells 3 2 2 4 2 2" xfId="37538" xr:uid="{00000000-0005-0000-0000-00002A940000}"/>
    <cellStyle name="RIGs linked cells 3 2 2 4 2 3" xfId="37539" xr:uid="{00000000-0005-0000-0000-00002B940000}"/>
    <cellStyle name="RIGs linked cells 3 2 2 4 2 4" xfId="37540" xr:uid="{00000000-0005-0000-0000-00002C940000}"/>
    <cellStyle name="RIGs linked cells 3 2 2 4 2 5" xfId="37541" xr:uid="{00000000-0005-0000-0000-00002D940000}"/>
    <cellStyle name="RIGs linked cells 3 2 2 4 2 6" xfId="37542" xr:uid="{00000000-0005-0000-0000-00002E940000}"/>
    <cellStyle name="RIGs linked cells 3 2 2 4 2 7" xfId="37543" xr:uid="{00000000-0005-0000-0000-00002F940000}"/>
    <cellStyle name="RIGs linked cells 3 2 2 4 2 8" xfId="37544" xr:uid="{00000000-0005-0000-0000-000030940000}"/>
    <cellStyle name="RIGs linked cells 3 2 2 4 2 9" xfId="37545" xr:uid="{00000000-0005-0000-0000-000031940000}"/>
    <cellStyle name="RIGs linked cells 3 2 2 4 20" xfId="37546" xr:uid="{00000000-0005-0000-0000-000032940000}"/>
    <cellStyle name="RIGs linked cells 3 2 2 4 21" xfId="37547" xr:uid="{00000000-0005-0000-0000-000033940000}"/>
    <cellStyle name="RIGs linked cells 3 2 2 4 22" xfId="37548" xr:uid="{00000000-0005-0000-0000-000034940000}"/>
    <cellStyle name="RIGs linked cells 3 2 2 4 23" xfId="37549" xr:uid="{00000000-0005-0000-0000-000035940000}"/>
    <cellStyle name="RIGs linked cells 3 2 2 4 24" xfId="37550" xr:uid="{00000000-0005-0000-0000-000036940000}"/>
    <cellStyle name="RIGs linked cells 3 2 2 4 25" xfId="37551" xr:uid="{00000000-0005-0000-0000-000037940000}"/>
    <cellStyle name="RIGs linked cells 3 2 2 4 26" xfId="37552" xr:uid="{00000000-0005-0000-0000-000038940000}"/>
    <cellStyle name="RIGs linked cells 3 2 2 4 27" xfId="37553" xr:uid="{00000000-0005-0000-0000-000039940000}"/>
    <cellStyle name="RIGs linked cells 3 2 2 4 28" xfId="37554" xr:uid="{00000000-0005-0000-0000-00003A940000}"/>
    <cellStyle name="RIGs linked cells 3 2 2 4 29" xfId="37555" xr:uid="{00000000-0005-0000-0000-00003B940000}"/>
    <cellStyle name="RIGs linked cells 3 2 2 4 3" xfId="37556" xr:uid="{00000000-0005-0000-0000-00003C940000}"/>
    <cellStyle name="RIGs linked cells 3 2 2 4 30" xfId="37557" xr:uid="{00000000-0005-0000-0000-00003D940000}"/>
    <cellStyle name="RIGs linked cells 3 2 2 4 4" xfId="37558" xr:uid="{00000000-0005-0000-0000-00003E940000}"/>
    <cellStyle name="RIGs linked cells 3 2 2 4 5" xfId="37559" xr:uid="{00000000-0005-0000-0000-00003F940000}"/>
    <cellStyle name="RIGs linked cells 3 2 2 4 6" xfId="37560" xr:uid="{00000000-0005-0000-0000-000040940000}"/>
    <cellStyle name="RIGs linked cells 3 2 2 4 7" xfId="37561" xr:uid="{00000000-0005-0000-0000-000041940000}"/>
    <cellStyle name="RIGs linked cells 3 2 2 4 8" xfId="37562" xr:uid="{00000000-0005-0000-0000-000042940000}"/>
    <cellStyle name="RIGs linked cells 3 2 2 4 9" xfId="37563" xr:uid="{00000000-0005-0000-0000-000043940000}"/>
    <cellStyle name="RIGs linked cells 3 2 2 5" xfId="37564" xr:uid="{00000000-0005-0000-0000-000044940000}"/>
    <cellStyle name="RIGs linked cells 3 2 2 5 10" xfId="37565" xr:uid="{00000000-0005-0000-0000-000045940000}"/>
    <cellStyle name="RIGs linked cells 3 2 2 5 11" xfId="37566" xr:uid="{00000000-0005-0000-0000-000046940000}"/>
    <cellStyle name="RIGs linked cells 3 2 2 5 12" xfId="37567" xr:uid="{00000000-0005-0000-0000-000047940000}"/>
    <cellStyle name="RIGs linked cells 3 2 2 5 13" xfId="37568" xr:uid="{00000000-0005-0000-0000-000048940000}"/>
    <cellStyle name="RIGs linked cells 3 2 2 5 2" xfId="37569" xr:uid="{00000000-0005-0000-0000-000049940000}"/>
    <cellStyle name="RIGs linked cells 3 2 2 5 3" xfId="37570" xr:uid="{00000000-0005-0000-0000-00004A940000}"/>
    <cellStyle name="RIGs linked cells 3 2 2 5 4" xfId="37571" xr:uid="{00000000-0005-0000-0000-00004B940000}"/>
    <cellStyle name="RIGs linked cells 3 2 2 5 5" xfId="37572" xr:uid="{00000000-0005-0000-0000-00004C940000}"/>
    <cellStyle name="RIGs linked cells 3 2 2 5 6" xfId="37573" xr:uid="{00000000-0005-0000-0000-00004D940000}"/>
    <cellStyle name="RIGs linked cells 3 2 2 5 7" xfId="37574" xr:uid="{00000000-0005-0000-0000-00004E940000}"/>
    <cellStyle name="RIGs linked cells 3 2 2 5 8" xfId="37575" xr:uid="{00000000-0005-0000-0000-00004F940000}"/>
    <cellStyle name="RIGs linked cells 3 2 2 5 9" xfId="37576" xr:uid="{00000000-0005-0000-0000-000050940000}"/>
    <cellStyle name="RIGs linked cells 3 2 2 6" xfId="37577" xr:uid="{00000000-0005-0000-0000-000051940000}"/>
    <cellStyle name="RIGs linked cells 3 2 2 7" xfId="37578" xr:uid="{00000000-0005-0000-0000-000052940000}"/>
    <cellStyle name="RIGs linked cells 3 2 2 8" xfId="37579" xr:uid="{00000000-0005-0000-0000-000053940000}"/>
    <cellStyle name="RIGs linked cells 3 2 2 9" xfId="37580" xr:uid="{00000000-0005-0000-0000-000054940000}"/>
    <cellStyle name="RIGs linked cells 3 2 2_4 28 1_Asst_Health_Crit_AllTO_RIIO_20110714pm" xfId="37581" xr:uid="{00000000-0005-0000-0000-000055940000}"/>
    <cellStyle name="RIGs linked cells 3 2 20" xfId="37582" xr:uid="{00000000-0005-0000-0000-000056940000}"/>
    <cellStyle name="RIGs linked cells 3 2 21" xfId="37583" xr:uid="{00000000-0005-0000-0000-000057940000}"/>
    <cellStyle name="RIGs linked cells 3 2 22" xfId="37584" xr:uid="{00000000-0005-0000-0000-000058940000}"/>
    <cellStyle name="RIGs linked cells 3 2 23" xfId="37585" xr:uid="{00000000-0005-0000-0000-000059940000}"/>
    <cellStyle name="RIGs linked cells 3 2 24" xfId="37586" xr:uid="{00000000-0005-0000-0000-00005A940000}"/>
    <cellStyle name="RIGs linked cells 3 2 25" xfId="37587" xr:uid="{00000000-0005-0000-0000-00005B940000}"/>
    <cellStyle name="RIGs linked cells 3 2 26" xfId="37588" xr:uid="{00000000-0005-0000-0000-00005C940000}"/>
    <cellStyle name="RIGs linked cells 3 2 27" xfId="37589" xr:uid="{00000000-0005-0000-0000-00005D940000}"/>
    <cellStyle name="RIGs linked cells 3 2 28" xfId="37590" xr:uid="{00000000-0005-0000-0000-00005E940000}"/>
    <cellStyle name="RIGs linked cells 3 2 29" xfId="37591" xr:uid="{00000000-0005-0000-0000-00005F940000}"/>
    <cellStyle name="RIGs linked cells 3 2 3" xfId="37592" xr:uid="{00000000-0005-0000-0000-000060940000}"/>
    <cellStyle name="RIGs linked cells 3 2 3 10" xfId="37593" xr:uid="{00000000-0005-0000-0000-000061940000}"/>
    <cellStyle name="RIGs linked cells 3 2 3 11" xfId="37594" xr:uid="{00000000-0005-0000-0000-000062940000}"/>
    <cellStyle name="RIGs linked cells 3 2 3 12" xfId="37595" xr:uid="{00000000-0005-0000-0000-000063940000}"/>
    <cellStyle name="RIGs linked cells 3 2 3 13" xfId="37596" xr:uid="{00000000-0005-0000-0000-000064940000}"/>
    <cellStyle name="RIGs linked cells 3 2 3 14" xfId="37597" xr:uid="{00000000-0005-0000-0000-000065940000}"/>
    <cellStyle name="RIGs linked cells 3 2 3 15" xfId="37598" xr:uid="{00000000-0005-0000-0000-000066940000}"/>
    <cellStyle name="RIGs linked cells 3 2 3 16" xfId="37599" xr:uid="{00000000-0005-0000-0000-000067940000}"/>
    <cellStyle name="RIGs linked cells 3 2 3 17" xfId="37600" xr:uid="{00000000-0005-0000-0000-000068940000}"/>
    <cellStyle name="RIGs linked cells 3 2 3 18" xfId="37601" xr:uid="{00000000-0005-0000-0000-000069940000}"/>
    <cellStyle name="RIGs linked cells 3 2 3 19" xfId="37602" xr:uid="{00000000-0005-0000-0000-00006A940000}"/>
    <cellStyle name="RIGs linked cells 3 2 3 2" xfId="37603" xr:uid="{00000000-0005-0000-0000-00006B940000}"/>
    <cellStyle name="RIGs linked cells 3 2 3 2 10" xfId="37604" xr:uid="{00000000-0005-0000-0000-00006C940000}"/>
    <cellStyle name="RIGs linked cells 3 2 3 2 11" xfId="37605" xr:uid="{00000000-0005-0000-0000-00006D940000}"/>
    <cellStyle name="RIGs linked cells 3 2 3 2 12" xfId="37606" xr:uid="{00000000-0005-0000-0000-00006E940000}"/>
    <cellStyle name="RIGs linked cells 3 2 3 2 13" xfId="37607" xr:uid="{00000000-0005-0000-0000-00006F940000}"/>
    <cellStyle name="RIGs linked cells 3 2 3 2 14" xfId="37608" xr:uid="{00000000-0005-0000-0000-000070940000}"/>
    <cellStyle name="RIGs linked cells 3 2 3 2 15" xfId="37609" xr:uid="{00000000-0005-0000-0000-000071940000}"/>
    <cellStyle name="RIGs linked cells 3 2 3 2 16" xfId="37610" xr:uid="{00000000-0005-0000-0000-000072940000}"/>
    <cellStyle name="RIGs linked cells 3 2 3 2 17" xfId="37611" xr:uid="{00000000-0005-0000-0000-000073940000}"/>
    <cellStyle name="RIGs linked cells 3 2 3 2 18" xfId="37612" xr:uid="{00000000-0005-0000-0000-000074940000}"/>
    <cellStyle name="RIGs linked cells 3 2 3 2 19" xfId="37613" xr:uid="{00000000-0005-0000-0000-000075940000}"/>
    <cellStyle name="RIGs linked cells 3 2 3 2 2" xfId="37614" xr:uid="{00000000-0005-0000-0000-000076940000}"/>
    <cellStyle name="RIGs linked cells 3 2 3 2 2 10" xfId="37615" xr:uid="{00000000-0005-0000-0000-000077940000}"/>
    <cellStyle name="RIGs linked cells 3 2 3 2 2 11" xfId="37616" xr:uid="{00000000-0005-0000-0000-000078940000}"/>
    <cellStyle name="RIGs linked cells 3 2 3 2 2 12" xfId="37617" xr:uid="{00000000-0005-0000-0000-000079940000}"/>
    <cellStyle name="RIGs linked cells 3 2 3 2 2 13" xfId="37618" xr:uid="{00000000-0005-0000-0000-00007A940000}"/>
    <cellStyle name="RIGs linked cells 3 2 3 2 2 2" xfId="37619" xr:uid="{00000000-0005-0000-0000-00007B940000}"/>
    <cellStyle name="RIGs linked cells 3 2 3 2 2 3" xfId="37620" xr:uid="{00000000-0005-0000-0000-00007C940000}"/>
    <cellStyle name="RIGs linked cells 3 2 3 2 2 4" xfId="37621" xr:uid="{00000000-0005-0000-0000-00007D940000}"/>
    <cellStyle name="RIGs linked cells 3 2 3 2 2 5" xfId="37622" xr:uid="{00000000-0005-0000-0000-00007E940000}"/>
    <cellStyle name="RIGs linked cells 3 2 3 2 2 6" xfId="37623" xr:uid="{00000000-0005-0000-0000-00007F940000}"/>
    <cellStyle name="RIGs linked cells 3 2 3 2 2 7" xfId="37624" xr:uid="{00000000-0005-0000-0000-000080940000}"/>
    <cellStyle name="RIGs linked cells 3 2 3 2 2 8" xfId="37625" xr:uid="{00000000-0005-0000-0000-000081940000}"/>
    <cellStyle name="RIGs linked cells 3 2 3 2 2 9" xfId="37626" xr:uid="{00000000-0005-0000-0000-000082940000}"/>
    <cellStyle name="RIGs linked cells 3 2 3 2 20" xfId="37627" xr:uid="{00000000-0005-0000-0000-000083940000}"/>
    <cellStyle name="RIGs linked cells 3 2 3 2 21" xfId="37628" xr:uid="{00000000-0005-0000-0000-000084940000}"/>
    <cellStyle name="RIGs linked cells 3 2 3 2 22" xfId="37629" xr:uid="{00000000-0005-0000-0000-000085940000}"/>
    <cellStyle name="RIGs linked cells 3 2 3 2 23" xfId="37630" xr:uid="{00000000-0005-0000-0000-000086940000}"/>
    <cellStyle name="RIGs linked cells 3 2 3 2 24" xfId="37631" xr:uid="{00000000-0005-0000-0000-000087940000}"/>
    <cellStyle name="RIGs linked cells 3 2 3 2 25" xfId="37632" xr:uid="{00000000-0005-0000-0000-000088940000}"/>
    <cellStyle name="RIGs linked cells 3 2 3 2 26" xfId="37633" xr:uid="{00000000-0005-0000-0000-000089940000}"/>
    <cellStyle name="RIGs linked cells 3 2 3 2 27" xfId="37634" xr:uid="{00000000-0005-0000-0000-00008A940000}"/>
    <cellStyle name="RIGs linked cells 3 2 3 2 28" xfId="37635" xr:uid="{00000000-0005-0000-0000-00008B940000}"/>
    <cellStyle name="RIGs linked cells 3 2 3 2 29" xfId="37636" xr:uid="{00000000-0005-0000-0000-00008C940000}"/>
    <cellStyle name="RIGs linked cells 3 2 3 2 3" xfId="37637" xr:uid="{00000000-0005-0000-0000-00008D940000}"/>
    <cellStyle name="RIGs linked cells 3 2 3 2 30" xfId="37638" xr:uid="{00000000-0005-0000-0000-00008E940000}"/>
    <cellStyle name="RIGs linked cells 3 2 3 2 31" xfId="37639" xr:uid="{00000000-0005-0000-0000-00008F940000}"/>
    <cellStyle name="RIGs linked cells 3 2 3 2 32" xfId="37640" xr:uid="{00000000-0005-0000-0000-000090940000}"/>
    <cellStyle name="RIGs linked cells 3 2 3 2 33" xfId="37641" xr:uid="{00000000-0005-0000-0000-000091940000}"/>
    <cellStyle name="RIGs linked cells 3 2 3 2 34" xfId="37642" xr:uid="{00000000-0005-0000-0000-000092940000}"/>
    <cellStyle name="RIGs linked cells 3 2 3 2 4" xfId="37643" xr:uid="{00000000-0005-0000-0000-000093940000}"/>
    <cellStyle name="RIGs linked cells 3 2 3 2 5" xfId="37644" xr:uid="{00000000-0005-0000-0000-000094940000}"/>
    <cellStyle name="RIGs linked cells 3 2 3 2 6" xfId="37645" xr:uid="{00000000-0005-0000-0000-000095940000}"/>
    <cellStyle name="RIGs linked cells 3 2 3 2 7" xfId="37646" xr:uid="{00000000-0005-0000-0000-000096940000}"/>
    <cellStyle name="RIGs linked cells 3 2 3 2 8" xfId="37647" xr:uid="{00000000-0005-0000-0000-000097940000}"/>
    <cellStyle name="RIGs linked cells 3 2 3 2 9" xfId="37648" xr:uid="{00000000-0005-0000-0000-000098940000}"/>
    <cellStyle name="RIGs linked cells 3 2 3 20" xfId="37649" xr:uid="{00000000-0005-0000-0000-000099940000}"/>
    <cellStyle name="RIGs linked cells 3 2 3 21" xfId="37650" xr:uid="{00000000-0005-0000-0000-00009A940000}"/>
    <cellStyle name="RIGs linked cells 3 2 3 22" xfId="37651" xr:uid="{00000000-0005-0000-0000-00009B940000}"/>
    <cellStyle name="RIGs linked cells 3 2 3 23" xfId="37652" xr:uid="{00000000-0005-0000-0000-00009C940000}"/>
    <cellStyle name="RIGs linked cells 3 2 3 24" xfId="37653" xr:uid="{00000000-0005-0000-0000-00009D940000}"/>
    <cellStyle name="RIGs linked cells 3 2 3 25" xfId="37654" xr:uid="{00000000-0005-0000-0000-00009E940000}"/>
    <cellStyle name="RIGs linked cells 3 2 3 26" xfId="37655" xr:uid="{00000000-0005-0000-0000-00009F940000}"/>
    <cellStyle name="RIGs linked cells 3 2 3 27" xfId="37656" xr:uid="{00000000-0005-0000-0000-0000A0940000}"/>
    <cellStyle name="RIGs linked cells 3 2 3 28" xfId="37657" xr:uid="{00000000-0005-0000-0000-0000A1940000}"/>
    <cellStyle name="RIGs linked cells 3 2 3 29" xfId="37658" xr:uid="{00000000-0005-0000-0000-0000A2940000}"/>
    <cellStyle name="RIGs linked cells 3 2 3 3" xfId="37659" xr:uid="{00000000-0005-0000-0000-0000A3940000}"/>
    <cellStyle name="RIGs linked cells 3 2 3 3 10" xfId="37660" xr:uid="{00000000-0005-0000-0000-0000A4940000}"/>
    <cellStyle name="RIGs linked cells 3 2 3 3 11" xfId="37661" xr:uid="{00000000-0005-0000-0000-0000A5940000}"/>
    <cellStyle name="RIGs linked cells 3 2 3 3 12" xfId="37662" xr:uid="{00000000-0005-0000-0000-0000A6940000}"/>
    <cellStyle name="RIGs linked cells 3 2 3 3 13" xfId="37663" xr:uid="{00000000-0005-0000-0000-0000A7940000}"/>
    <cellStyle name="RIGs linked cells 3 2 3 3 2" xfId="37664" xr:uid="{00000000-0005-0000-0000-0000A8940000}"/>
    <cellStyle name="RIGs linked cells 3 2 3 3 3" xfId="37665" xr:uid="{00000000-0005-0000-0000-0000A9940000}"/>
    <cellStyle name="RIGs linked cells 3 2 3 3 4" xfId="37666" xr:uid="{00000000-0005-0000-0000-0000AA940000}"/>
    <cellStyle name="RIGs linked cells 3 2 3 3 5" xfId="37667" xr:uid="{00000000-0005-0000-0000-0000AB940000}"/>
    <cellStyle name="RIGs linked cells 3 2 3 3 6" xfId="37668" xr:uid="{00000000-0005-0000-0000-0000AC940000}"/>
    <cellStyle name="RIGs linked cells 3 2 3 3 7" xfId="37669" xr:uid="{00000000-0005-0000-0000-0000AD940000}"/>
    <cellStyle name="RIGs linked cells 3 2 3 3 8" xfId="37670" xr:uid="{00000000-0005-0000-0000-0000AE940000}"/>
    <cellStyle name="RIGs linked cells 3 2 3 3 9" xfId="37671" xr:uid="{00000000-0005-0000-0000-0000AF940000}"/>
    <cellStyle name="RIGs linked cells 3 2 3 30" xfId="37672" xr:uid="{00000000-0005-0000-0000-0000B0940000}"/>
    <cellStyle name="RIGs linked cells 3 2 3 31" xfId="37673" xr:uid="{00000000-0005-0000-0000-0000B1940000}"/>
    <cellStyle name="RIGs linked cells 3 2 3 32" xfId="37674" xr:uid="{00000000-0005-0000-0000-0000B2940000}"/>
    <cellStyle name="RIGs linked cells 3 2 3 33" xfId="37675" xr:uid="{00000000-0005-0000-0000-0000B3940000}"/>
    <cellStyle name="RIGs linked cells 3 2 3 34" xfId="37676" xr:uid="{00000000-0005-0000-0000-0000B4940000}"/>
    <cellStyle name="RIGs linked cells 3 2 3 35" xfId="37677" xr:uid="{00000000-0005-0000-0000-0000B5940000}"/>
    <cellStyle name="RIGs linked cells 3 2 3 4" xfId="37678" xr:uid="{00000000-0005-0000-0000-0000B6940000}"/>
    <cellStyle name="RIGs linked cells 3 2 3 5" xfId="37679" xr:uid="{00000000-0005-0000-0000-0000B7940000}"/>
    <cellStyle name="RIGs linked cells 3 2 3 6" xfId="37680" xr:uid="{00000000-0005-0000-0000-0000B8940000}"/>
    <cellStyle name="RIGs linked cells 3 2 3 7" xfId="37681" xr:uid="{00000000-0005-0000-0000-0000B9940000}"/>
    <cellStyle name="RIGs linked cells 3 2 3 8" xfId="37682" xr:uid="{00000000-0005-0000-0000-0000BA940000}"/>
    <cellStyle name="RIGs linked cells 3 2 3 9" xfId="37683" xr:uid="{00000000-0005-0000-0000-0000BB940000}"/>
    <cellStyle name="RIGs linked cells 3 2 3_4 28 1_Asst_Health_Crit_AllTO_RIIO_20110714pm" xfId="37684" xr:uid="{00000000-0005-0000-0000-0000BC940000}"/>
    <cellStyle name="RIGs linked cells 3 2 30" xfId="37685" xr:uid="{00000000-0005-0000-0000-0000BD940000}"/>
    <cellStyle name="RIGs linked cells 3 2 31" xfId="37686" xr:uid="{00000000-0005-0000-0000-0000BE940000}"/>
    <cellStyle name="RIGs linked cells 3 2 32" xfId="37687" xr:uid="{00000000-0005-0000-0000-0000BF940000}"/>
    <cellStyle name="RIGs linked cells 3 2 33" xfId="37688" xr:uid="{00000000-0005-0000-0000-0000C0940000}"/>
    <cellStyle name="RIGs linked cells 3 2 34" xfId="37689" xr:uid="{00000000-0005-0000-0000-0000C1940000}"/>
    <cellStyle name="RIGs linked cells 3 2 35" xfId="37690" xr:uid="{00000000-0005-0000-0000-0000C2940000}"/>
    <cellStyle name="RIGs linked cells 3 2 36" xfId="37691" xr:uid="{00000000-0005-0000-0000-0000C3940000}"/>
    <cellStyle name="RIGs linked cells 3 2 37" xfId="37692" xr:uid="{00000000-0005-0000-0000-0000C4940000}"/>
    <cellStyle name="RIGs linked cells 3 2 38" xfId="37693" xr:uid="{00000000-0005-0000-0000-0000C5940000}"/>
    <cellStyle name="RIGs linked cells 3 2 39" xfId="37694" xr:uid="{00000000-0005-0000-0000-0000C6940000}"/>
    <cellStyle name="RIGs linked cells 3 2 4" xfId="37695" xr:uid="{00000000-0005-0000-0000-0000C7940000}"/>
    <cellStyle name="RIGs linked cells 3 2 4 10" xfId="37696" xr:uid="{00000000-0005-0000-0000-0000C8940000}"/>
    <cellStyle name="RIGs linked cells 3 2 4 11" xfId="37697" xr:uid="{00000000-0005-0000-0000-0000C9940000}"/>
    <cellStyle name="RIGs linked cells 3 2 4 12" xfId="37698" xr:uid="{00000000-0005-0000-0000-0000CA940000}"/>
    <cellStyle name="RIGs linked cells 3 2 4 13" xfId="37699" xr:uid="{00000000-0005-0000-0000-0000CB940000}"/>
    <cellStyle name="RIGs linked cells 3 2 4 14" xfId="37700" xr:uid="{00000000-0005-0000-0000-0000CC940000}"/>
    <cellStyle name="RIGs linked cells 3 2 4 15" xfId="37701" xr:uid="{00000000-0005-0000-0000-0000CD940000}"/>
    <cellStyle name="RIGs linked cells 3 2 4 16" xfId="37702" xr:uid="{00000000-0005-0000-0000-0000CE940000}"/>
    <cellStyle name="RIGs linked cells 3 2 4 17" xfId="37703" xr:uid="{00000000-0005-0000-0000-0000CF940000}"/>
    <cellStyle name="RIGs linked cells 3 2 4 18" xfId="37704" xr:uid="{00000000-0005-0000-0000-0000D0940000}"/>
    <cellStyle name="RIGs linked cells 3 2 4 19" xfId="37705" xr:uid="{00000000-0005-0000-0000-0000D1940000}"/>
    <cellStyle name="RIGs linked cells 3 2 4 2" xfId="37706" xr:uid="{00000000-0005-0000-0000-0000D2940000}"/>
    <cellStyle name="RIGs linked cells 3 2 4 2 10" xfId="37707" xr:uid="{00000000-0005-0000-0000-0000D3940000}"/>
    <cellStyle name="RIGs linked cells 3 2 4 2 11" xfId="37708" xr:uid="{00000000-0005-0000-0000-0000D4940000}"/>
    <cellStyle name="RIGs linked cells 3 2 4 2 12" xfId="37709" xr:uid="{00000000-0005-0000-0000-0000D5940000}"/>
    <cellStyle name="RIGs linked cells 3 2 4 2 13" xfId="37710" xr:uid="{00000000-0005-0000-0000-0000D6940000}"/>
    <cellStyle name="RIGs linked cells 3 2 4 2 2" xfId="37711" xr:uid="{00000000-0005-0000-0000-0000D7940000}"/>
    <cellStyle name="RIGs linked cells 3 2 4 2 3" xfId="37712" xr:uid="{00000000-0005-0000-0000-0000D8940000}"/>
    <cellStyle name="RIGs linked cells 3 2 4 2 4" xfId="37713" xr:uid="{00000000-0005-0000-0000-0000D9940000}"/>
    <cellStyle name="RIGs linked cells 3 2 4 2 5" xfId="37714" xr:uid="{00000000-0005-0000-0000-0000DA940000}"/>
    <cellStyle name="RIGs linked cells 3 2 4 2 6" xfId="37715" xr:uid="{00000000-0005-0000-0000-0000DB940000}"/>
    <cellStyle name="RIGs linked cells 3 2 4 2 7" xfId="37716" xr:uid="{00000000-0005-0000-0000-0000DC940000}"/>
    <cellStyle name="RIGs linked cells 3 2 4 2 8" xfId="37717" xr:uid="{00000000-0005-0000-0000-0000DD940000}"/>
    <cellStyle name="RIGs linked cells 3 2 4 2 9" xfId="37718" xr:uid="{00000000-0005-0000-0000-0000DE940000}"/>
    <cellStyle name="RIGs linked cells 3 2 4 20" xfId="37719" xr:uid="{00000000-0005-0000-0000-0000DF940000}"/>
    <cellStyle name="RIGs linked cells 3 2 4 21" xfId="37720" xr:uid="{00000000-0005-0000-0000-0000E0940000}"/>
    <cellStyle name="RIGs linked cells 3 2 4 22" xfId="37721" xr:uid="{00000000-0005-0000-0000-0000E1940000}"/>
    <cellStyle name="RIGs linked cells 3 2 4 23" xfId="37722" xr:uid="{00000000-0005-0000-0000-0000E2940000}"/>
    <cellStyle name="RIGs linked cells 3 2 4 24" xfId="37723" xr:uid="{00000000-0005-0000-0000-0000E3940000}"/>
    <cellStyle name="RIGs linked cells 3 2 4 25" xfId="37724" xr:uid="{00000000-0005-0000-0000-0000E4940000}"/>
    <cellStyle name="RIGs linked cells 3 2 4 26" xfId="37725" xr:uid="{00000000-0005-0000-0000-0000E5940000}"/>
    <cellStyle name="RIGs linked cells 3 2 4 27" xfId="37726" xr:uid="{00000000-0005-0000-0000-0000E6940000}"/>
    <cellStyle name="RIGs linked cells 3 2 4 28" xfId="37727" xr:uid="{00000000-0005-0000-0000-0000E7940000}"/>
    <cellStyle name="RIGs linked cells 3 2 4 29" xfId="37728" xr:uid="{00000000-0005-0000-0000-0000E8940000}"/>
    <cellStyle name="RIGs linked cells 3 2 4 3" xfId="37729" xr:uid="{00000000-0005-0000-0000-0000E9940000}"/>
    <cellStyle name="RIGs linked cells 3 2 4 30" xfId="37730" xr:uid="{00000000-0005-0000-0000-0000EA940000}"/>
    <cellStyle name="RIGs linked cells 3 2 4 31" xfId="37731" xr:uid="{00000000-0005-0000-0000-0000EB940000}"/>
    <cellStyle name="RIGs linked cells 3 2 4 32" xfId="37732" xr:uid="{00000000-0005-0000-0000-0000EC940000}"/>
    <cellStyle name="RIGs linked cells 3 2 4 33" xfId="37733" xr:uid="{00000000-0005-0000-0000-0000ED940000}"/>
    <cellStyle name="RIGs linked cells 3 2 4 34" xfId="37734" xr:uid="{00000000-0005-0000-0000-0000EE940000}"/>
    <cellStyle name="RIGs linked cells 3 2 4 4" xfId="37735" xr:uid="{00000000-0005-0000-0000-0000EF940000}"/>
    <cellStyle name="RIGs linked cells 3 2 4 5" xfId="37736" xr:uid="{00000000-0005-0000-0000-0000F0940000}"/>
    <cellStyle name="RIGs linked cells 3 2 4 6" xfId="37737" xr:uid="{00000000-0005-0000-0000-0000F1940000}"/>
    <cellStyle name="RIGs linked cells 3 2 4 7" xfId="37738" xr:uid="{00000000-0005-0000-0000-0000F2940000}"/>
    <cellStyle name="RIGs linked cells 3 2 4 8" xfId="37739" xr:uid="{00000000-0005-0000-0000-0000F3940000}"/>
    <cellStyle name="RIGs linked cells 3 2 4 9" xfId="37740" xr:uid="{00000000-0005-0000-0000-0000F4940000}"/>
    <cellStyle name="RIGs linked cells 3 2 5" xfId="37741" xr:uid="{00000000-0005-0000-0000-0000F5940000}"/>
    <cellStyle name="RIGs linked cells 3 2 5 10" xfId="37742" xr:uid="{00000000-0005-0000-0000-0000F6940000}"/>
    <cellStyle name="RIGs linked cells 3 2 5 11" xfId="37743" xr:uid="{00000000-0005-0000-0000-0000F7940000}"/>
    <cellStyle name="RIGs linked cells 3 2 5 12" xfId="37744" xr:uid="{00000000-0005-0000-0000-0000F8940000}"/>
    <cellStyle name="RIGs linked cells 3 2 5 13" xfId="37745" xr:uid="{00000000-0005-0000-0000-0000F9940000}"/>
    <cellStyle name="RIGs linked cells 3 2 5 14" xfId="37746" xr:uid="{00000000-0005-0000-0000-0000FA940000}"/>
    <cellStyle name="RIGs linked cells 3 2 5 15" xfId="37747" xr:uid="{00000000-0005-0000-0000-0000FB940000}"/>
    <cellStyle name="RIGs linked cells 3 2 5 16" xfId="37748" xr:uid="{00000000-0005-0000-0000-0000FC940000}"/>
    <cellStyle name="RIGs linked cells 3 2 5 17" xfId="37749" xr:uid="{00000000-0005-0000-0000-0000FD940000}"/>
    <cellStyle name="RIGs linked cells 3 2 5 18" xfId="37750" xr:uid="{00000000-0005-0000-0000-0000FE940000}"/>
    <cellStyle name="RIGs linked cells 3 2 5 19" xfId="37751" xr:uid="{00000000-0005-0000-0000-0000FF940000}"/>
    <cellStyle name="RIGs linked cells 3 2 5 2" xfId="37752" xr:uid="{00000000-0005-0000-0000-000000950000}"/>
    <cellStyle name="RIGs linked cells 3 2 5 2 10" xfId="37753" xr:uid="{00000000-0005-0000-0000-000001950000}"/>
    <cellStyle name="RIGs linked cells 3 2 5 2 11" xfId="37754" xr:uid="{00000000-0005-0000-0000-000002950000}"/>
    <cellStyle name="RIGs linked cells 3 2 5 2 12" xfId="37755" xr:uid="{00000000-0005-0000-0000-000003950000}"/>
    <cellStyle name="RIGs linked cells 3 2 5 2 13" xfId="37756" xr:uid="{00000000-0005-0000-0000-000004950000}"/>
    <cellStyle name="RIGs linked cells 3 2 5 2 2" xfId="37757" xr:uid="{00000000-0005-0000-0000-000005950000}"/>
    <cellStyle name="RIGs linked cells 3 2 5 2 3" xfId="37758" xr:uid="{00000000-0005-0000-0000-000006950000}"/>
    <cellStyle name="RIGs linked cells 3 2 5 2 4" xfId="37759" xr:uid="{00000000-0005-0000-0000-000007950000}"/>
    <cellStyle name="RIGs linked cells 3 2 5 2 5" xfId="37760" xr:uid="{00000000-0005-0000-0000-000008950000}"/>
    <cellStyle name="RIGs linked cells 3 2 5 2 6" xfId="37761" xr:uid="{00000000-0005-0000-0000-000009950000}"/>
    <cellStyle name="RIGs linked cells 3 2 5 2 7" xfId="37762" xr:uid="{00000000-0005-0000-0000-00000A950000}"/>
    <cellStyle name="RIGs linked cells 3 2 5 2 8" xfId="37763" xr:uid="{00000000-0005-0000-0000-00000B950000}"/>
    <cellStyle name="RIGs linked cells 3 2 5 2 9" xfId="37764" xr:uid="{00000000-0005-0000-0000-00000C950000}"/>
    <cellStyle name="RIGs linked cells 3 2 5 20" xfId="37765" xr:uid="{00000000-0005-0000-0000-00000D950000}"/>
    <cellStyle name="RIGs linked cells 3 2 5 21" xfId="37766" xr:uid="{00000000-0005-0000-0000-00000E950000}"/>
    <cellStyle name="RIGs linked cells 3 2 5 22" xfId="37767" xr:uid="{00000000-0005-0000-0000-00000F950000}"/>
    <cellStyle name="RIGs linked cells 3 2 5 23" xfId="37768" xr:uid="{00000000-0005-0000-0000-000010950000}"/>
    <cellStyle name="RIGs linked cells 3 2 5 24" xfId="37769" xr:uid="{00000000-0005-0000-0000-000011950000}"/>
    <cellStyle name="RIGs linked cells 3 2 5 25" xfId="37770" xr:uid="{00000000-0005-0000-0000-000012950000}"/>
    <cellStyle name="RIGs linked cells 3 2 5 26" xfId="37771" xr:uid="{00000000-0005-0000-0000-000013950000}"/>
    <cellStyle name="RIGs linked cells 3 2 5 27" xfId="37772" xr:uid="{00000000-0005-0000-0000-000014950000}"/>
    <cellStyle name="RIGs linked cells 3 2 5 28" xfId="37773" xr:uid="{00000000-0005-0000-0000-000015950000}"/>
    <cellStyle name="RIGs linked cells 3 2 5 29" xfId="37774" xr:uid="{00000000-0005-0000-0000-000016950000}"/>
    <cellStyle name="RIGs linked cells 3 2 5 3" xfId="37775" xr:uid="{00000000-0005-0000-0000-000017950000}"/>
    <cellStyle name="RIGs linked cells 3 2 5 30" xfId="37776" xr:uid="{00000000-0005-0000-0000-000018950000}"/>
    <cellStyle name="RIGs linked cells 3 2 5 31" xfId="37777" xr:uid="{00000000-0005-0000-0000-000019950000}"/>
    <cellStyle name="RIGs linked cells 3 2 5 32" xfId="37778" xr:uid="{00000000-0005-0000-0000-00001A950000}"/>
    <cellStyle name="RIGs linked cells 3 2 5 33" xfId="37779" xr:uid="{00000000-0005-0000-0000-00001B950000}"/>
    <cellStyle name="RIGs linked cells 3 2 5 34" xfId="37780" xr:uid="{00000000-0005-0000-0000-00001C950000}"/>
    <cellStyle name="RIGs linked cells 3 2 5 4" xfId="37781" xr:uid="{00000000-0005-0000-0000-00001D950000}"/>
    <cellStyle name="RIGs linked cells 3 2 5 5" xfId="37782" xr:uid="{00000000-0005-0000-0000-00001E950000}"/>
    <cellStyle name="RIGs linked cells 3 2 5 6" xfId="37783" xr:uid="{00000000-0005-0000-0000-00001F950000}"/>
    <cellStyle name="RIGs linked cells 3 2 5 7" xfId="37784" xr:uid="{00000000-0005-0000-0000-000020950000}"/>
    <cellStyle name="RIGs linked cells 3 2 5 8" xfId="37785" xr:uid="{00000000-0005-0000-0000-000021950000}"/>
    <cellStyle name="RIGs linked cells 3 2 5 9" xfId="37786" xr:uid="{00000000-0005-0000-0000-000022950000}"/>
    <cellStyle name="RIGs linked cells 3 2 6" xfId="37787" xr:uid="{00000000-0005-0000-0000-000023950000}"/>
    <cellStyle name="RIGs linked cells 3 2 6 10" xfId="37788" xr:uid="{00000000-0005-0000-0000-000024950000}"/>
    <cellStyle name="RIGs linked cells 3 2 6 11" xfId="37789" xr:uid="{00000000-0005-0000-0000-000025950000}"/>
    <cellStyle name="RIGs linked cells 3 2 6 12" xfId="37790" xr:uid="{00000000-0005-0000-0000-000026950000}"/>
    <cellStyle name="RIGs linked cells 3 2 6 13" xfId="37791" xr:uid="{00000000-0005-0000-0000-000027950000}"/>
    <cellStyle name="RIGs linked cells 3 2 6 2" xfId="37792" xr:uid="{00000000-0005-0000-0000-000028950000}"/>
    <cellStyle name="RIGs linked cells 3 2 6 3" xfId="37793" xr:uid="{00000000-0005-0000-0000-000029950000}"/>
    <cellStyle name="RIGs linked cells 3 2 6 4" xfId="37794" xr:uid="{00000000-0005-0000-0000-00002A950000}"/>
    <cellStyle name="RIGs linked cells 3 2 6 5" xfId="37795" xr:uid="{00000000-0005-0000-0000-00002B950000}"/>
    <cellStyle name="RIGs linked cells 3 2 6 6" xfId="37796" xr:uid="{00000000-0005-0000-0000-00002C950000}"/>
    <cellStyle name="RIGs linked cells 3 2 6 7" xfId="37797" xr:uid="{00000000-0005-0000-0000-00002D950000}"/>
    <cellStyle name="RIGs linked cells 3 2 6 8" xfId="37798" xr:uid="{00000000-0005-0000-0000-00002E950000}"/>
    <cellStyle name="RIGs linked cells 3 2 6 9" xfId="37799" xr:uid="{00000000-0005-0000-0000-00002F950000}"/>
    <cellStyle name="RIGs linked cells 3 2 7" xfId="37800" xr:uid="{00000000-0005-0000-0000-000030950000}"/>
    <cellStyle name="RIGs linked cells 3 2 8" xfId="37801" xr:uid="{00000000-0005-0000-0000-000031950000}"/>
    <cellStyle name="RIGs linked cells 3 2 9" xfId="37802" xr:uid="{00000000-0005-0000-0000-000032950000}"/>
    <cellStyle name="RIGs linked cells 3 2_3.15 Additional Data" xfId="42411" xr:uid="{00000000-0005-0000-0000-000033950000}"/>
    <cellStyle name="RIGs linked cells 3 20" xfId="37803" xr:uid="{00000000-0005-0000-0000-000034950000}"/>
    <cellStyle name="RIGs linked cells 3 21" xfId="37804" xr:uid="{00000000-0005-0000-0000-000035950000}"/>
    <cellStyle name="RIGs linked cells 3 22" xfId="37805" xr:uid="{00000000-0005-0000-0000-000036950000}"/>
    <cellStyle name="RIGs linked cells 3 23" xfId="37806" xr:uid="{00000000-0005-0000-0000-000037950000}"/>
    <cellStyle name="RIGs linked cells 3 24" xfId="37807" xr:uid="{00000000-0005-0000-0000-000038950000}"/>
    <cellStyle name="RIGs linked cells 3 25" xfId="37808" xr:uid="{00000000-0005-0000-0000-000039950000}"/>
    <cellStyle name="RIGs linked cells 3 26" xfId="37809" xr:uid="{00000000-0005-0000-0000-00003A950000}"/>
    <cellStyle name="RIGs linked cells 3 27" xfId="37810" xr:uid="{00000000-0005-0000-0000-00003B950000}"/>
    <cellStyle name="RIGs linked cells 3 28" xfId="37811" xr:uid="{00000000-0005-0000-0000-00003C950000}"/>
    <cellStyle name="RIGs linked cells 3 29" xfId="37812" xr:uid="{00000000-0005-0000-0000-00003D950000}"/>
    <cellStyle name="RIGs linked cells 3 3" xfId="37813" xr:uid="{00000000-0005-0000-0000-00003E950000}"/>
    <cellStyle name="RIGs linked cells 3 3 10" xfId="37814" xr:uid="{00000000-0005-0000-0000-00003F950000}"/>
    <cellStyle name="RIGs linked cells 3 3 11" xfId="37815" xr:uid="{00000000-0005-0000-0000-000040950000}"/>
    <cellStyle name="RIGs linked cells 3 3 12" xfId="37816" xr:uid="{00000000-0005-0000-0000-000041950000}"/>
    <cellStyle name="RIGs linked cells 3 3 13" xfId="37817" xr:uid="{00000000-0005-0000-0000-000042950000}"/>
    <cellStyle name="RIGs linked cells 3 3 14" xfId="37818" xr:uid="{00000000-0005-0000-0000-000043950000}"/>
    <cellStyle name="RIGs linked cells 3 3 15" xfId="37819" xr:uid="{00000000-0005-0000-0000-000044950000}"/>
    <cellStyle name="RIGs linked cells 3 3 16" xfId="37820" xr:uid="{00000000-0005-0000-0000-000045950000}"/>
    <cellStyle name="RIGs linked cells 3 3 17" xfId="37821" xr:uid="{00000000-0005-0000-0000-000046950000}"/>
    <cellStyle name="RIGs linked cells 3 3 18" xfId="37822" xr:uid="{00000000-0005-0000-0000-000047950000}"/>
    <cellStyle name="RIGs linked cells 3 3 19" xfId="37823" xr:uid="{00000000-0005-0000-0000-000048950000}"/>
    <cellStyle name="RIGs linked cells 3 3 2" xfId="37824" xr:uid="{00000000-0005-0000-0000-000049950000}"/>
    <cellStyle name="RIGs linked cells 3 3 2 10" xfId="37825" xr:uid="{00000000-0005-0000-0000-00004A950000}"/>
    <cellStyle name="RIGs linked cells 3 3 2 11" xfId="37826" xr:uid="{00000000-0005-0000-0000-00004B950000}"/>
    <cellStyle name="RIGs linked cells 3 3 2 12" xfId="37827" xr:uid="{00000000-0005-0000-0000-00004C950000}"/>
    <cellStyle name="RIGs linked cells 3 3 2 13" xfId="37828" xr:uid="{00000000-0005-0000-0000-00004D950000}"/>
    <cellStyle name="RIGs linked cells 3 3 2 14" xfId="37829" xr:uid="{00000000-0005-0000-0000-00004E950000}"/>
    <cellStyle name="RIGs linked cells 3 3 2 15" xfId="37830" xr:uid="{00000000-0005-0000-0000-00004F950000}"/>
    <cellStyle name="RIGs linked cells 3 3 2 16" xfId="37831" xr:uid="{00000000-0005-0000-0000-000050950000}"/>
    <cellStyle name="RIGs linked cells 3 3 2 17" xfId="37832" xr:uid="{00000000-0005-0000-0000-000051950000}"/>
    <cellStyle name="RIGs linked cells 3 3 2 18" xfId="37833" xr:uid="{00000000-0005-0000-0000-000052950000}"/>
    <cellStyle name="RIGs linked cells 3 3 2 19" xfId="37834" xr:uid="{00000000-0005-0000-0000-000053950000}"/>
    <cellStyle name="RIGs linked cells 3 3 2 2" xfId="37835" xr:uid="{00000000-0005-0000-0000-000054950000}"/>
    <cellStyle name="RIGs linked cells 3 3 2 2 10" xfId="37836" xr:uid="{00000000-0005-0000-0000-000055950000}"/>
    <cellStyle name="RIGs linked cells 3 3 2 2 11" xfId="37837" xr:uid="{00000000-0005-0000-0000-000056950000}"/>
    <cellStyle name="RIGs linked cells 3 3 2 2 12" xfId="37838" xr:uid="{00000000-0005-0000-0000-000057950000}"/>
    <cellStyle name="RIGs linked cells 3 3 2 2 13" xfId="37839" xr:uid="{00000000-0005-0000-0000-000058950000}"/>
    <cellStyle name="RIGs linked cells 3 3 2 2 14" xfId="37840" xr:uid="{00000000-0005-0000-0000-000059950000}"/>
    <cellStyle name="RIGs linked cells 3 3 2 2 15" xfId="37841" xr:uid="{00000000-0005-0000-0000-00005A950000}"/>
    <cellStyle name="RIGs linked cells 3 3 2 2 16" xfId="37842" xr:uid="{00000000-0005-0000-0000-00005B950000}"/>
    <cellStyle name="RIGs linked cells 3 3 2 2 17" xfId="37843" xr:uid="{00000000-0005-0000-0000-00005C950000}"/>
    <cellStyle name="RIGs linked cells 3 3 2 2 18" xfId="37844" xr:uid="{00000000-0005-0000-0000-00005D950000}"/>
    <cellStyle name="RIGs linked cells 3 3 2 2 19" xfId="37845" xr:uid="{00000000-0005-0000-0000-00005E950000}"/>
    <cellStyle name="RIGs linked cells 3 3 2 2 2" xfId="37846" xr:uid="{00000000-0005-0000-0000-00005F950000}"/>
    <cellStyle name="RIGs linked cells 3 3 2 2 2 10" xfId="37847" xr:uid="{00000000-0005-0000-0000-000060950000}"/>
    <cellStyle name="RIGs linked cells 3 3 2 2 2 11" xfId="37848" xr:uid="{00000000-0005-0000-0000-000061950000}"/>
    <cellStyle name="RIGs linked cells 3 3 2 2 2 12" xfId="37849" xr:uid="{00000000-0005-0000-0000-000062950000}"/>
    <cellStyle name="RIGs linked cells 3 3 2 2 2 13" xfId="37850" xr:uid="{00000000-0005-0000-0000-000063950000}"/>
    <cellStyle name="RIGs linked cells 3 3 2 2 2 14" xfId="37851" xr:uid="{00000000-0005-0000-0000-000064950000}"/>
    <cellStyle name="RIGs linked cells 3 3 2 2 2 15" xfId="37852" xr:uid="{00000000-0005-0000-0000-000065950000}"/>
    <cellStyle name="RIGs linked cells 3 3 2 2 2 16" xfId="37853" xr:uid="{00000000-0005-0000-0000-000066950000}"/>
    <cellStyle name="RIGs linked cells 3 3 2 2 2 17" xfId="37854" xr:uid="{00000000-0005-0000-0000-000067950000}"/>
    <cellStyle name="RIGs linked cells 3 3 2 2 2 18" xfId="37855" xr:uid="{00000000-0005-0000-0000-000068950000}"/>
    <cellStyle name="RIGs linked cells 3 3 2 2 2 19" xfId="37856" xr:uid="{00000000-0005-0000-0000-000069950000}"/>
    <cellStyle name="RIGs linked cells 3 3 2 2 2 2" xfId="37857" xr:uid="{00000000-0005-0000-0000-00006A950000}"/>
    <cellStyle name="RIGs linked cells 3 3 2 2 2 2 10" xfId="37858" xr:uid="{00000000-0005-0000-0000-00006B950000}"/>
    <cellStyle name="RIGs linked cells 3 3 2 2 2 2 11" xfId="37859" xr:uid="{00000000-0005-0000-0000-00006C950000}"/>
    <cellStyle name="RIGs linked cells 3 3 2 2 2 2 12" xfId="37860" xr:uid="{00000000-0005-0000-0000-00006D950000}"/>
    <cellStyle name="RIGs linked cells 3 3 2 2 2 2 13" xfId="37861" xr:uid="{00000000-0005-0000-0000-00006E950000}"/>
    <cellStyle name="RIGs linked cells 3 3 2 2 2 2 2" xfId="37862" xr:uid="{00000000-0005-0000-0000-00006F950000}"/>
    <cellStyle name="RIGs linked cells 3 3 2 2 2 2 3" xfId="37863" xr:uid="{00000000-0005-0000-0000-000070950000}"/>
    <cellStyle name="RIGs linked cells 3 3 2 2 2 2 4" xfId="37864" xr:uid="{00000000-0005-0000-0000-000071950000}"/>
    <cellStyle name="RIGs linked cells 3 3 2 2 2 2 5" xfId="37865" xr:uid="{00000000-0005-0000-0000-000072950000}"/>
    <cellStyle name="RIGs linked cells 3 3 2 2 2 2 6" xfId="37866" xr:uid="{00000000-0005-0000-0000-000073950000}"/>
    <cellStyle name="RIGs linked cells 3 3 2 2 2 2 7" xfId="37867" xr:uid="{00000000-0005-0000-0000-000074950000}"/>
    <cellStyle name="RIGs linked cells 3 3 2 2 2 2 8" xfId="37868" xr:uid="{00000000-0005-0000-0000-000075950000}"/>
    <cellStyle name="RIGs linked cells 3 3 2 2 2 2 9" xfId="37869" xr:uid="{00000000-0005-0000-0000-000076950000}"/>
    <cellStyle name="RIGs linked cells 3 3 2 2 2 20" xfId="37870" xr:uid="{00000000-0005-0000-0000-000077950000}"/>
    <cellStyle name="RIGs linked cells 3 3 2 2 2 21" xfId="37871" xr:uid="{00000000-0005-0000-0000-000078950000}"/>
    <cellStyle name="RIGs linked cells 3 3 2 2 2 22" xfId="37872" xr:uid="{00000000-0005-0000-0000-000079950000}"/>
    <cellStyle name="RIGs linked cells 3 3 2 2 2 23" xfId="37873" xr:uid="{00000000-0005-0000-0000-00007A950000}"/>
    <cellStyle name="RIGs linked cells 3 3 2 2 2 24" xfId="37874" xr:uid="{00000000-0005-0000-0000-00007B950000}"/>
    <cellStyle name="RIGs linked cells 3 3 2 2 2 25" xfId="37875" xr:uid="{00000000-0005-0000-0000-00007C950000}"/>
    <cellStyle name="RIGs linked cells 3 3 2 2 2 26" xfId="37876" xr:uid="{00000000-0005-0000-0000-00007D950000}"/>
    <cellStyle name="RIGs linked cells 3 3 2 2 2 27" xfId="37877" xr:uid="{00000000-0005-0000-0000-00007E950000}"/>
    <cellStyle name="RIGs linked cells 3 3 2 2 2 28" xfId="37878" xr:uid="{00000000-0005-0000-0000-00007F950000}"/>
    <cellStyle name="RIGs linked cells 3 3 2 2 2 29" xfId="37879" xr:uid="{00000000-0005-0000-0000-000080950000}"/>
    <cellStyle name="RIGs linked cells 3 3 2 2 2 3" xfId="37880" xr:uid="{00000000-0005-0000-0000-000081950000}"/>
    <cellStyle name="RIGs linked cells 3 3 2 2 2 30" xfId="37881" xr:uid="{00000000-0005-0000-0000-000082950000}"/>
    <cellStyle name="RIGs linked cells 3 3 2 2 2 31" xfId="37882" xr:uid="{00000000-0005-0000-0000-000083950000}"/>
    <cellStyle name="RIGs linked cells 3 3 2 2 2 32" xfId="37883" xr:uid="{00000000-0005-0000-0000-000084950000}"/>
    <cellStyle name="RIGs linked cells 3 3 2 2 2 33" xfId="37884" xr:uid="{00000000-0005-0000-0000-000085950000}"/>
    <cellStyle name="RIGs linked cells 3 3 2 2 2 34" xfId="37885" xr:uid="{00000000-0005-0000-0000-000086950000}"/>
    <cellStyle name="RIGs linked cells 3 3 2 2 2 4" xfId="37886" xr:uid="{00000000-0005-0000-0000-000087950000}"/>
    <cellStyle name="RIGs linked cells 3 3 2 2 2 5" xfId="37887" xr:uid="{00000000-0005-0000-0000-000088950000}"/>
    <cellStyle name="RIGs linked cells 3 3 2 2 2 6" xfId="37888" xr:uid="{00000000-0005-0000-0000-000089950000}"/>
    <cellStyle name="RIGs linked cells 3 3 2 2 2 7" xfId="37889" xr:uid="{00000000-0005-0000-0000-00008A950000}"/>
    <cellStyle name="RIGs linked cells 3 3 2 2 2 8" xfId="37890" xr:uid="{00000000-0005-0000-0000-00008B950000}"/>
    <cellStyle name="RIGs linked cells 3 3 2 2 2 9" xfId="37891" xr:uid="{00000000-0005-0000-0000-00008C950000}"/>
    <cellStyle name="RIGs linked cells 3 3 2 2 20" xfId="37892" xr:uid="{00000000-0005-0000-0000-00008D950000}"/>
    <cellStyle name="RIGs linked cells 3 3 2 2 21" xfId="37893" xr:uid="{00000000-0005-0000-0000-00008E950000}"/>
    <cellStyle name="RIGs linked cells 3 3 2 2 22" xfId="37894" xr:uid="{00000000-0005-0000-0000-00008F950000}"/>
    <cellStyle name="RIGs linked cells 3 3 2 2 23" xfId="37895" xr:uid="{00000000-0005-0000-0000-000090950000}"/>
    <cellStyle name="RIGs linked cells 3 3 2 2 24" xfId="37896" xr:uid="{00000000-0005-0000-0000-000091950000}"/>
    <cellStyle name="RIGs linked cells 3 3 2 2 25" xfId="37897" xr:uid="{00000000-0005-0000-0000-000092950000}"/>
    <cellStyle name="RIGs linked cells 3 3 2 2 26" xfId="37898" xr:uid="{00000000-0005-0000-0000-000093950000}"/>
    <cellStyle name="RIGs linked cells 3 3 2 2 27" xfId="37899" xr:uid="{00000000-0005-0000-0000-000094950000}"/>
    <cellStyle name="RIGs linked cells 3 3 2 2 28" xfId="37900" xr:uid="{00000000-0005-0000-0000-000095950000}"/>
    <cellStyle name="RIGs linked cells 3 3 2 2 29" xfId="37901" xr:uid="{00000000-0005-0000-0000-000096950000}"/>
    <cellStyle name="RIGs linked cells 3 3 2 2 3" xfId="37902" xr:uid="{00000000-0005-0000-0000-000097950000}"/>
    <cellStyle name="RIGs linked cells 3 3 2 2 3 10" xfId="37903" xr:uid="{00000000-0005-0000-0000-000098950000}"/>
    <cellStyle name="RIGs linked cells 3 3 2 2 3 11" xfId="37904" xr:uid="{00000000-0005-0000-0000-000099950000}"/>
    <cellStyle name="RIGs linked cells 3 3 2 2 3 12" xfId="37905" xr:uid="{00000000-0005-0000-0000-00009A950000}"/>
    <cellStyle name="RIGs linked cells 3 3 2 2 3 13" xfId="37906" xr:uid="{00000000-0005-0000-0000-00009B950000}"/>
    <cellStyle name="RIGs linked cells 3 3 2 2 3 2" xfId="37907" xr:uid="{00000000-0005-0000-0000-00009C950000}"/>
    <cellStyle name="RIGs linked cells 3 3 2 2 3 3" xfId="37908" xr:uid="{00000000-0005-0000-0000-00009D950000}"/>
    <cellStyle name="RIGs linked cells 3 3 2 2 3 4" xfId="37909" xr:uid="{00000000-0005-0000-0000-00009E950000}"/>
    <cellStyle name="RIGs linked cells 3 3 2 2 3 5" xfId="37910" xr:uid="{00000000-0005-0000-0000-00009F950000}"/>
    <cellStyle name="RIGs linked cells 3 3 2 2 3 6" xfId="37911" xr:uid="{00000000-0005-0000-0000-0000A0950000}"/>
    <cellStyle name="RIGs linked cells 3 3 2 2 3 7" xfId="37912" xr:uid="{00000000-0005-0000-0000-0000A1950000}"/>
    <cellStyle name="RIGs linked cells 3 3 2 2 3 8" xfId="37913" xr:uid="{00000000-0005-0000-0000-0000A2950000}"/>
    <cellStyle name="RIGs linked cells 3 3 2 2 3 9" xfId="37914" xr:uid="{00000000-0005-0000-0000-0000A3950000}"/>
    <cellStyle name="RIGs linked cells 3 3 2 2 30" xfId="37915" xr:uid="{00000000-0005-0000-0000-0000A4950000}"/>
    <cellStyle name="RIGs linked cells 3 3 2 2 31" xfId="37916" xr:uid="{00000000-0005-0000-0000-0000A5950000}"/>
    <cellStyle name="RIGs linked cells 3 3 2 2 4" xfId="37917" xr:uid="{00000000-0005-0000-0000-0000A6950000}"/>
    <cellStyle name="RIGs linked cells 3 3 2 2 5" xfId="37918" xr:uid="{00000000-0005-0000-0000-0000A7950000}"/>
    <cellStyle name="RIGs linked cells 3 3 2 2 6" xfId="37919" xr:uid="{00000000-0005-0000-0000-0000A8950000}"/>
    <cellStyle name="RIGs linked cells 3 3 2 2 7" xfId="37920" xr:uid="{00000000-0005-0000-0000-0000A9950000}"/>
    <cellStyle name="RIGs linked cells 3 3 2 2 8" xfId="37921" xr:uid="{00000000-0005-0000-0000-0000AA950000}"/>
    <cellStyle name="RIGs linked cells 3 3 2 2 9" xfId="37922" xr:uid="{00000000-0005-0000-0000-0000AB950000}"/>
    <cellStyle name="RIGs linked cells 3 3 2 2_4 28 1_Asst_Health_Crit_AllTO_RIIO_20110714pm" xfId="37923" xr:uid="{00000000-0005-0000-0000-0000AC950000}"/>
    <cellStyle name="RIGs linked cells 3 3 2 20" xfId="37924" xr:uid="{00000000-0005-0000-0000-0000AD950000}"/>
    <cellStyle name="RIGs linked cells 3 3 2 21" xfId="37925" xr:uid="{00000000-0005-0000-0000-0000AE950000}"/>
    <cellStyle name="RIGs linked cells 3 3 2 22" xfId="37926" xr:uid="{00000000-0005-0000-0000-0000AF950000}"/>
    <cellStyle name="RIGs linked cells 3 3 2 23" xfId="37927" xr:uid="{00000000-0005-0000-0000-0000B0950000}"/>
    <cellStyle name="RIGs linked cells 3 3 2 24" xfId="37928" xr:uid="{00000000-0005-0000-0000-0000B1950000}"/>
    <cellStyle name="RIGs linked cells 3 3 2 25" xfId="37929" xr:uid="{00000000-0005-0000-0000-0000B2950000}"/>
    <cellStyle name="RIGs linked cells 3 3 2 26" xfId="37930" xr:uid="{00000000-0005-0000-0000-0000B3950000}"/>
    <cellStyle name="RIGs linked cells 3 3 2 27" xfId="37931" xr:uid="{00000000-0005-0000-0000-0000B4950000}"/>
    <cellStyle name="RIGs linked cells 3 3 2 28" xfId="37932" xr:uid="{00000000-0005-0000-0000-0000B5950000}"/>
    <cellStyle name="RIGs linked cells 3 3 2 29" xfId="37933" xr:uid="{00000000-0005-0000-0000-0000B6950000}"/>
    <cellStyle name="RIGs linked cells 3 3 2 3" xfId="37934" xr:uid="{00000000-0005-0000-0000-0000B7950000}"/>
    <cellStyle name="RIGs linked cells 3 3 2 3 10" xfId="37935" xr:uid="{00000000-0005-0000-0000-0000B8950000}"/>
    <cellStyle name="RIGs linked cells 3 3 2 3 11" xfId="37936" xr:uid="{00000000-0005-0000-0000-0000B9950000}"/>
    <cellStyle name="RIGs linked cells 3 3 2 3 12" xfId="37937" xr:uid="{00000000-0005-0000-0000-0000BA950000}"/>
    <cellStyle name="RIGs linked cells 3 3 2 3 13" xfId="37938" xr:uid="{00000000-0005-0000-0000-0000BB950000}"/>
    <cellStyle name="RIGs linked cells 3 3 2 3 14" xfId="37939" xr:uid="{00000000-0005-0000-0000-0000BC950000}"/>
    <cellStyle name="RIGs linked cells 3 3 2 3 15" xfId="37940" xr:uid="{00000000-0005-0000-0000-0000BD950000}"/>
    <cellStyle name="RIGs linked cells 3 3 2 3 16" xfId="37941" xr:uid="{00000000-0005-0000-0000-0000BE950000}"/>
    <cellStyle name="RIGs linked cells 3 3 2 3 17" xfId="37942" xr:uid="{00000000-0005-0000-0000-0000BF950000}"/>
    <cellStyle name="RIGs linked cells 3 3 2 3 18" xfId="37943" xr:uid="{00000000-0005-0000-0000-0000C0950000}"/>
    <cellStyle name="RIGs linked cells 3 3 2 3 19" xfId="37944" xr:uid="{00000000-0005-0000-0000-0000C1950000}"/>
    <cellStyle name="RIGs linked cells 3 3 2 3 2" xfId="37945" xr:uid="{00000000-0005-0000-0000-0000C2950000}"/>
    <cellStyle name="RIGs linked cells 3 3 2 3 2 10" xfId="37946" xr:uid="{00000000-0005-0000-0000-0000C3950000}"/>
    <cellStyle name="RIGs linked cells 3 3 2 3 2 11" xfId="37947" xr:uid="{00000000-0005-0000-0000-0000C4950000}"/>
    <cellStyle name="RIGs linked cells 3 3 2 3 2 12" xfId="37948" xr:uid="{00000000-0005-0000-0000-0000C5950000}"/>
    <cellStyle name="RIGs linked cells 3 3 2 3 2 13" xfId="37949" xr:uid="{00000000-0005-0000-0000-0000C6950000}"/>
    <cellStyle name="RIGs linked cells 3 3 2 3 2 2" xfId="37950" xr:uid="{00000000-0005-0000-0000-0000C7950000}"/>
    <cellStyle name="RIGs linked cells 3 3 2 3 2 3" xfId="37951" xr:uid="{00000000-0005-0000-0000-0000C8950000}"/>
    <cellStyle name="RIGs linked cells 3 3 2 3 2 4" xfId="37952" xr:uid="{00000000-0005-0000-0000-0000C9950000}"/>
    <cellStyle name="RIGs linked cells 3 3 2 3 2 5" xfId="37953" xr:uid="{00000000-0005-0000-0000-0000CA950000}"/>
    <cellStyle name="RIGs linked cells 3 3 2 3 2 6" xfId="37954" xr:uid="{00000000-0005-0000-0000-0000CB950000}"/>
    <cellStyle name="RIGs linked cells 3 3 2 3 2 7" xfId="37955" xr:uid="{00000000-0005-0000-0000-0000CC950000}"/>
    <cellStyle name="RIGs linked cells 3 3 2 3 2 8" xfId="37956" xr:uid="{00000000-0005-0000-0000-0000CD950000}"/>
    <cellStyle name="RIGs linked cells 3 3 2 3 2 9" xfId="37957" xr:uid="{00000000-0005-0000-0000-0000CE950000}"/>
    <cellStyle name="RIGs linked cells 3 3 2 3 20" xfId="37958" xr:uid="{00000000-0005-0000-0000-0000CF950000}"/>
    <cellStyle name="RIGs linked cells 3 3 2 3 21" xfId="37959" xr:uid="{00000000-0005-0000-0000-0000D0950000}"/>
    <cellStyle name="RIGs linked cells 3 3 2 3 22" xfId="37960" xr:uid="{00000000-0005-0000-0000-0000D1950000}"/>
    <cellStyle name="RIGs linked cells 3 3 2 3 23" xfId="37961" xr:uid="{00000000-0005-0000-0000-0000D2950000}"/>
    <cellStyle name="RIGs linked cells 3 3 2 3 24" xfId="37962" xr:uid="{00000000-0005-0000-0000-0000D3950000}"/>
    <cellStyle name="RIGs linked cells 3 3 2 3 25" xfId="37963" xr:uid="{00000000-0005-0000-0000-0000D4950000}"/>
    <cellStyle name="RIGs linked cells 3 3 2 3 26" xfId="37964" xr:uid="{00000000-0005-0000-0000-0000D5950000}"/>
    <cellStyle name="RIGs linked cells 3 3 2 3 27" xfId="37965" xr:uid="{00000000-0005-0000-0000-0000D6950000}"/>
    <cellStyle name="RIGs linked cells 3 3 2 3 28" xfId="37966" xr:uid="{00000000-0005-0000-0000-0000D7950000}"/>
    <cellStyle name="RIGs linked cells 3 3 2 3 29" xfId="37967" xr:uid="{00000000-0005-0000-0000-0000D8950000}"/>
    <cellStyle name="RIGs linked cells 3 3 2 3 3" xfId="37968" xr:uid="{00000000-0005-0000-0000-0000D9950000}"/>
    <cellStyle name="RIGs linked cells 3 3 2 3 30" xfId="37969" xr:uid="{00000000-0005-0000-0000-0000DA950000}"/>
    <cellStyle name="RIGs linked cells 3 3 2 3 4" xfId="37970" xr:uid="{00000000-0005-0000-0000-0000DB950000}"/>
    <cellStyle name="RIGs linked cells 3 3 2 3 5" xfId="37971" xr:uid="{00000000-0005-0000-0000-0000DC950000}"/>
    <cellStyle name="RIGs linked cells 3 3 2 3 6" xfId="37972" xr:uid="{00000000-0005-0000-0000-0000DD950000}"/>
    <cellStyle name="RIGs linked cells 3 3 2 3 7" xfId="37973" xr:uid="{00000000-0005-0000-0000-0000DE950000}"/>
    <cellStyle name="RIGs linked cells 3 3 2 3 8" xfId="37974" xr:uid="{00000000-0005-0000-0000-0000DF950000}"/>
    <cellStyle name="RIGs linked cells 3 3 2 3 9" xfId="37975" xr:uid="{00000000-0005-0000-0000-0000E0950000}"/>
    <cellStyle name="RIGs linked cells 3 3 2 30" xfId="37976" xr:uid="{00000000-0005-0000-0000-0000E1950000}"/>
    <cellStyle name="RIGs linked cells 3 3 2 31" xfId="37977" xr:uid="{00000000-0005-0000-0000-0000E2950000}"/>
    <cellStyle name="RIGs linked cells 3 3 2 32" xfId="37978" xr:uid="{00000000-0005-0000-0000-0000E3950000}"/>
    <cellStyle name="RIGs linked cells 3 3 2 33" xfId="37979" xr:uid="{00000000-0005-0000-0000-0000E4950000}"/>
    <cellStyle name="RIGs linked cells 3 3 2 4" xfId="37980" xr:uid="{00000000-0005-0000-0000-0000E5950000}"/>
    <cellStyle name="RIGs linked cells 3 3 2 4 10" xfId="37981" xr:uid="{00000000-0005-0000-0000-0000E6950000}"/>
    <cellStyle name="RIGs linked cells 3 3 2 4 11" xfId="37982" xr:uid="{00000000-0005-0000-0000-0000E7950000}"/>
    <cellStyle name="RIGs linked cells 3 3 2 4 12" xfId="37983" xr:uid="{00000000-0005-0000-0000-0000E8950000}"/>
    <cellStyle name="RIGs linked cells 3 3 2 4 13" xfId="37984" xr:uid="{00000000-0005-0000-0000-0000E9950000}"/>
    <cellStyle name="RIGs linked cells 3 3 2 4 14" xfId="37985" xr:uid="{00000000-0005-0000-0000-0000EA950000}"/>
    <cellStyle name="RIGs linked cells 3 3 2 4 15" xfId="37986" xr:uid="{00000000-0005-0000-0000-0000EB950000}"/>
    <cellStyle name="RIGs linked cells 3 3 2 4 16" xfId="37987" xr:uid="{00000000-0005-0000-0000-0000EC950000}"/>
    <cellStyle name="RIGs linked cells 3 3 2 4 17" xfId="37988" xr:uid="{00000000-0005-0000-0000-0000ED950000}"/>
    <cellStyle name="RIGs linked cells 3 3 2 4 18" xfId="37989" xr:uid="{00000000-0005-0000-0000-0000EE950000}"/>
    <cellStyle name="RIGs linked cells 3 3 2 4 19" xfId="37990" xr:uid="{00000000-0005-0000-0000-0000EF950000}"/>
    <cellStyle name="RIGs linked cells 3 3 2 4 2" xfId="37991" xr:uid="{00000000-0005-0000-0000-0000F0950000}"/>
    <cellStyle name="RIGs linked cells 3 3 2 4 2 10" xfId="37992" xr:uid="{00000000-0005-0000-0000-0000F1950000}"/>
    <cellStyle name="RIGs linked cells 3 3 2 4 2 11" xfId="37993" xr:uid="{00000000-0005-0000-0000-0000F2950000}"/>
    <cellStyle name="RIGs linked cells 3 3 2 4 2 12" xfId="37994" xr:uid="{00000000-0005-0000-0000-0000F3950000}"/>
    <cellStyle name="RIGs linked cells 3 3 2 4 2 13" xfId="37995" xr:uid="{00000000-0005-0000-0000-0000F4950000}"/>
    <cellStyle name="RIGs linked cells 3 3 2 4 2 2" xfId="37996" xr:uid="{00000000-0005-0000-0000-0000F5950000}"/>
    <cellStyle name="RIGs linked cells 3 3 2 4 2 3" xfId="37997" xr:uid="{00000000-0005-0000-0000-0000F6950000}"/>
    <cellStyle name="RIGs linked cells 3 3 2 4 2 4" xfId="37998" xr:uid="{00000000-0005-0000-0000-0000F7950000}"/>
    <cellStyle name="RIGs linked cells 3 3 2 4 2 5" xfId="37999" xr:uid="{00000000-0005-0000-0000-0000F8950000}"/>
    <cellStyle name="RIGs linked cells 3 3 2 4 2 6" xfId="38000" xr:uid="{00000000-0005-0000-0000-0000F9950000}"/>
    <cellStyle name="RIGs linked cells 3 3 2 4 2 7" xfId="38001" xr:uid="{00000000-0005-0000-0000-0000FA950000}"/>
    <cellStyle name="RIGs linked cells 3 3 2 4 2 8" xfId="38002" xr:uid="{00000000-0005-0000-0000-0000FB950000}"/>
    <cellStyle name="RIGs linked cells 3 3 2 4 2 9" xfId="38003" xr:uid="{00000000-0005-0000-0000-0000FC950000}"/>
    <cellStyle name="RIGs linked cells 3 3 2 4 20" xfId="38004" xr:uid="{00000000-0005-0000-0000-0000FD950000}"/>
    <cellStyle name="RIGs linked cells 3 3 2 4 21" xfId="38005" xr:uid="{00000000-0005-0000-0000-0000FE950000}"/>
    <cellStyle name="RIGs linked cells 3 3 2 4 22" xfId="38006" xr:uid="{00000000-0005-0000-0000-0000FF950000}"/>
    <cellStyle name="RIGs linked cells 3 3 2 4 23" xfId="38007" xr:uid="{00000000-0005-0000-0000-000000960000}"/>
    <cellStyle name="RIGs linked cells 3 3 2 4 24" xfId="38008" xr:uid="{00000000-0005-0000-0000-000001960000}"/>
    <cellStyle name="RIGs linked cells 3 3 2 4 25" xfId="38009" xr:uid="{00000000-0005-0000-0000-000002960000}"/>
    <cellStyle name="RIGs linked cells 3 3 2 4 26" xfId="38010" xr:uid="{00000000-0005-0000-0000-000003960000}"/>
    <cellStyle name="RIGs linked cells 3 3 2 4 27" xfId="38011" xr:uid="{00000000-0005-0000-0000-000004960000}"/>
    <cellStyle name="RIGs linked cells 3 3 2 4 28" xfId="38012" xr:uid="{00000000-0005-0000-0000-000005960000}"/>
    <cellStyle name="RIGs linked cells 3 3 2 4 29" xfId="38013" xr:uid="{00000000-0005-0000-0000-000006960000}"/>
    <cellStyle name="RIGs linked cells 3 3 2 4 3" xfId="38014" xr:uid="{00000000-0005-0000-0000-000007960000}"/>
    <cellStyle name="RIGs linked cells 3 3 2 4 30" xfId="38015" xr:uid="{00000000-0005-0000-0000-000008960000}"/>
    <cellStyle name="RIGs linked cells 3 3 2 4 4" xfId="38016" xr:uid="{00000000-0005-0000-0000-000009960000}"/>
    <cellStyle name="RIGs linked cells 3 3 2 4 5" xfId="38017" xr:uid="{00000000-0005-0000-0000-00000A960000}"/>
    <cellStyle name="RIGs linked cells 3 3 2 4 6" xfId="38018" xr:uid="{00000000-0005-0000-0000-00000B960000}"/>
    <cellStyle name="RIGs linked cells 3 3 2 4 7" xfId="38019" xr:uid="{00000000-0005-0000-0000-00000C960000}"/>
    <cellStyle name="RIGs linked cells 3 3 2 4 8" xfId="38020" xr:uid="{00000000-0005-0000-0000-00000D960000}"/>
    <cellStyle name="RIGs linked cells 3 3 2 4 9" xfId="38021" xr:uid="{00000000-0005-0000-0000-00000E960000}"/>
    <cellStyle name="RIGs linked cells 3 3 2 5" xfId="38022" xr:uid="{00000000-0005-0000-0000-00000F960000}"/>
    <cellStyle name="RIGs linked cells 3 3 2 5 10" xfId="38023" xr:uid="{00000000-0005-0000-0000-000010960000}"/>
    <cellStyle name="RIGs linked cells 3 3 2 5 11" xfId="38024" xr:uid="{00000000-0005-0000-0000-000011960000}"/>
    <cellStyle name="RIGs linked cells 3 3 2 5 12" xfId="38025" xr:uid="{00000000-0005-0000-0000-000012960000}"/>
    <cellStyle name="RIGs linked cells 3 3 2 5 13" xfId="38026" xr:uid="{00000000-0005-0000-0000-000013960000}"/>
    <cellStyle name="RIGs linked cells 3 3 2 5 2" xfId="38027" xr:uid="{00000000-0005-0000-0000-000014960000}"/>
    <cellStyle name="RIGs linked cells 3 3 2 5 3" xfId="38028" xr:uid="{00000000-0005-0000-0000-000015960000}"/>
    <cellStyle name="RIGs linked cells 3 3 2 5 4" xfId="38029" xr:uid="{00000000-0005-0000-0000-000016960000}"/>
    <cellStyle name="RIGs linked cells 3 3 2 5 5" xfId="38030" xr:uid="{00000000-0005-0000-0000-000017960000}"/>
    <cellStyle name="RIGs linked cells 3 3 2 5 6" xfId="38031" xr:uid="{00000000-0005-0000-0000-000018960000}"/>
    <cellStyle name="RIGs linked cells 3 3 2 5 7" xfId="38032" xr:uid="{00000000-0005-0000-0000-000019960000}"/>
    <cellStyle name="RIGs linked cells 3 3 2 5 8" xfId="38033" xr:uid="{00000000-0005-0000-0000-00001A960000}"/>
    <cellStyle name="RIGs linked cells 3 3 2 5 9" xfId="38034" xr:uid="{00000000-0005-0000-0000-00001B960000}"/>
    <cellStyle name="RIGs linked cells 3 3 2 6" xfId="38035" xr:uid="{00000000-0005-0000-0000-00001C960000}"/>
    <cellStyle name="RIGs linked cells 3 3 2 7" xfId="38036" xr:uid="{00000000-0005-0000-0000-00001D960000}"/>
    <cellStyle name="RIGs linked cells 3 3 2 8" xfId="38037" xr:uid="{00000000-0005-0000-0000-00001E960000}"/>
    <cellStyle name="RIGs linked cells 3 3 2 9" xfId="38038" xr:uid="{00000000-0005-0000-0000-00001F960000}"/>
    <cellStyle name="RIGs linked cells 3 3 2_4 28 1_Asst_Health_Crit_AllTO_RIIO_20110714pm" xfId="38039" xr:uid="{00000000-0005-0000-0000-000020960000}"/>
    <cellStyle name="RIGs linked cells 3 3 20" xfId="38040" xr:uid="{00000000-0005-0000-0000-000021960000}"/>
    <cellStyle name="RIGs linked cells 3 3 21" xfId="38041" xr:uid="{00000000-0005-0000-0000-000022960000}"/>
    <cellStyle name="RIGs linked cells 3 3 22" xfId="38042" xr:uid="{00000000-0005-0000-0000-000023960000}"/>
    <cellStyle name="RIGs linked cells 3 3 23" xfId="38043" xr:uid="{00000000-0005-0000-0000-000024960000}"/>
    <cellStyle name="RIGs linked cells 3 3 24" xfId="38044" xr:uid="{00000000-0005-0000-0000-000025960000}"/>
    <cellStyle name="RIGs linked cells 3 3 25" xfId="38045" xr:uid="{00000000-0005-0000-0000-000026960000}"/>
    <cellStyle name="RIGs linked cells 3 3 26" xfId="38046" xr:uid="{00000000-0005-0000-0000-000027960000}"/>
    <cellStyle name="RIGs linked cells 3 3 27" xfId="38047" xr:uid="{00000000-0005-0000-0000-000028960000}"/>
    <cellStyle name="RIGs linked cells 3 3 28" xfId="38048" xr:uid="{00000000-0005-0000-0000-000029960000}"/>
    <cellStyle name="RIGs linked cells 3 3 29" xfId="38049" xr:uid="{00000000-0005-0000-0000-00002A960000}"/>
    <cellStyle name="RIGs linked cells 3 3 3" xfId="38050" xr:uid="{00000000-0005-0000-0000-00002B960000}"/>
    <cellStyle name="RIGs linked cells 3 3 3 10" xfId="38051" xr:uid="{00000000-0005-0000-0000-00002C960000}"/>
    <cellStyle name="RIGs linked cells 3 3 3 11" xfId="38052" xr:uid="{00000000-0005-0000-0000-00002D960000}"/>
    <cellStyle name="RIGs linked cells 3 3 3 12" xfId="38053" xr:uid="{00000000-0005-0000-0000-00002E960000}"/>
    <cellStyle name="RIGs linked cells 3 3 3 13" xfId="38054" xr:uid="{00000000-0005-0000-0000-00002F960000}"/>
    <cellStyle name="RIGs linked cells 3 3 3 14" xfId="38055" xr:uid="{00000000-0005-0000-0000-000030960000}"/>
    <cellStyle name="RIGs linked cells 3 3 3 15" xfId="38056" xr:uid="{00000000-0005-0000-0000-000031960000}"/>
    <cellStyle name="RIGs linked cells 3 3 3 16" xfId="38057" xr:uid="{00000000-0005-0000-0000-000032960000}"/>
    <cellStyle name="RIGs linked cells 3 3 3 17" xfId="38058" xr:uid="{00000000-0005-0000-0000-000033960000}"/>
    <cellStyle name="RIGs linked cells 3 3 3 18" xfId="38059" xr:uid="{00000000-0005-0000-0000-000034960000}"/>
    <cellStyle name="RIGs linked cells 3 3 3 19" xfId="38060" xr:uid="{00000000-0005-0000-0000-000035960000}"/>
    <cellStyle name="RIGs linked cells 3 3 3 2" xfId="38061" xr:uid="{00000000-0005-0000-0000-000036960000}"/>
    <cellStyle name="RIGs linked cells 3 3 3 2 10" xfId="38062" xr:uid="{00000000-0005-0000-0000-000037960000}"/>
    <cellStyle name="RIGs linked cells 3 3 3 2 11" xfId="38063" xr:uid="{00000000-0005-0000-0000-000038960000}"/>
    <cellStyle name="RIGs linked cells 3 3 3 2 12" xfId="38064" xr:uid="{00000000-0005-0000-0000-000039960000}"/>
    <cellStyle name="RIGs linked cells 3 3 3 2 13" xfId="38065" xr:uid="{00000000-0005-0000-0000-00003A960000}"/>
    <cellStyle name="RIGs linked cells 3 3 3 2 14" xfId="38066" xr:uid="{00000000-0005-0000-0000-00003B960000}"/>
    <cellStyle name="RIGs linked cells 3 3 3 2 15" xfId="38067" xr:uid="{00000000-0005-0000-0000-00003C960000}"/>
    <cellStyle name="RIGs linked cells 3 3 3 2 16" xfId="38068" xr:uid="{00000000-0005-0000-0000-00003D960000}"/>
    <cellStyle name="RIGs linked cells 3 3 3 2 17" xfId="38069" xr:uid="{00000000-0005-0000-0000-00003E960000}"/>
    <cellStyle name="RIGs linked cells 3 3 3 2 18" xfId="38070" xr:uid="{00000000-0005-0000-0000-00003F960000}"/>
    <cellStyle name="RIGs linked cells 3 3 3 2 19" xfId="38071" xr:uid="{00000000-0005-0000-0000-000040960000}"/>
    <cellStyle name="RIGs linked cells 3 3 3 2 2" xfId="38072" xr:uid="{00000000-0005-0000-0000-000041960000}"/>
    <cellStyle name="RIGs linked cells 3 3 3 2 2 10" xfId="38073" xr:uid="{00000000-0005-0000-0000-000042960000}"/>
    <cellStyle name="RIGs linked cells 3 3 3 2 2 11" xfId="38074" xr:uid="{00000000-0005-0000-0000-000043960000}"/>
    <cellStyle name="RIGs linked cells 3 3 3 2 2 12" xfId="38075" xr:uid="{00000000-0005-0000-0000-000044960000}"/>
    <cellStyle name="RIGs linked cells 3 3 3 2 2 13" xfId="38076" xr:uid="{00000000-0005-0000-0000-000045960000}"/>
    <cellStyle name="RIGs linked cells 3 3 3 2 2 2" xfId="38077" xr:uid="{00000000-0005-0000-0000-000046960000}"/>
    <cellStyle name="RIGs linked cells 3 3 3 2 2 3" xfId="38078" xr:uid="{00000000-0005-0000-0000-000047960000}"/>
    <cellStyle name="RIGs linked cells 3 3 3 2 2 4" xfId="38079" xr:uid="{00000000-0005-0000-0000-000048960000}"/>
    <cellStyle name="RIGs linked cells 3 3 3 2 2 5" xfId="38080" xr:uid="{00000000-0005-0000-0000-000049960000}"/>
    <cellStyle name="RIGs linked cells 3 3 3 2 2 6" xfId="38081" xr:uid="{00000000-0005-0000-0000-00004A960000}"/>
    <cellStyle name="RIGs linked cells 3 3 3 2 2 7" xfId="38082" xr:uid="{00000000-0005-0000-0000-00004B960000}"/>
    <cellStyle name="RIGs linked cells 3 3 3 2 2 8" xfId="38083" xr:uid="{00000000-0005-0000-0000-00004C960000}"/>
    <cellStyle name="RIGs linked cells 3 3 3 2 2 9" xfId="38084" xr:uid="{00000000-0005-0000-0000-00004D960000}"/>
    <cellStyle name="RIGs linked cells 3 3 3 2 20" xfId="38085" xr:uid="{00000000-0005-0000-0000-00004E960000}"/>
    <cellStyle name="RIGs linked cells 3 3 3 2 21" xfId="38086" xr:uid="{00000000-0005-0000-0000-00004F960000}"/>
    <cellStyle name="RIGs linked cells 3 3 3 2 22" xfId="38087" xr:uid="{00000000-0005-0000-0000-000050960000}"/>
    <cellStyle name="RIGs linked cells 3 3 3 2 23" xfId="38088" xr:uid="{00000000-0005-0000-0000-000051960000}"/>
    <cellStyle name="RIGs linked cells 3 3 3 2 24" xfId="38089" xr:uid="{00000000-0005-0000-0000-000052960000}"/>
    <cellStyle name="RIGs linked cells 3 3 3 2 25" xfId="38090" xr:uid="{00000000-0005-0000-0000-000053960000}"/>
    <cellStyle name="RIGs linked cells 3 3 3 2 26" xfId="38091" xr:uid="{00000000-0005-0000-0000-000054960000}"/>
    <cellStyle name="RIGs linked cells 3 3 3 2 27" xfId="38092" xr:uid="{00000000-0005-0000-0000-000055960000}"/>
    <cellStyle name="RIGs linked cells 3 3 3 2 28" xfId="38093" xr:uid="{00000000-0005-0000-0000-000056960000}"/>
    <cellStyle name="RIGs linked cells 3 3 3 2 29" xfId="38094" xr:uid="{00000000-0005-0000-0000-000057960000}"/>
    <cellStyle name="RIGs linked cells 3 3 3 2 3" xfId="38095" xr:uid="{00000000-0005-0000-0000-000058960000}"/>
    <cellStyle name="RIGs linked cells 3 3 3 2 30" xfId="38096" xr:uid="{00000000-0005-0000-0000-000059960000}"/>
    <cellStyle name="RIGs linked cells 3 3 3 2 31" xfId="38097" xr:uid="{00000000-0005-0000-0000-00005A960000}"/>
    <cellStyle name="RIGs linked cells 3 3 3 2 32" xfId="38098" xr:uid="{00000000-0005-0000-0000-00005B960000}"/>
    <cellStyle name="RIGs linked cells 3 3 3 2 33" xfId="38099" xr:uid="{00000000-0005-0000-0000-00005C960000}"/>
    <cellStyle name="RIGs linked cells 3 3 3 2 34" xfId="38100" xr:uid="{00000000-0005-0000-0000-00005D960000}"/>
    <cellStyle name="RIGs linked cells 3 3 3 2 4" xfId="38101" xr:uid="{00000000-0005-0000-0000-00005E960000}"/>
    <cellStyle name="RIGs linked cells 3 3 3 2 5" xfId="38102" xr:uid="{00000000-0005-0000-0000-00005F960000}"/>
    <cellStyle name="RIGs linked cells 3 3 3 2 6" xfId="38103" xr:uid="{00000000-0005-0000-0000-000060960000}"/>
    <cellStyle name="RIGs linked cells 3 3 3 2 7" xfId="38104" xr:uid="{00000000-0005-0000-0000-000061960000}"/>
    <cellStyle name="RIGs linked cells 3 3 3 2 8" xfId="38105" xr:uid="{00000000-0005-0000-0000-000062960000}"/>
    <cellStyle name="RIGs linked cells 3 3 3 2 9" xfId="38106" xr:uid="{00000000-0005-0000-0000-000063960000}"/>
    <cellStyle name="RIGs linked cells 3 3 3 20" xfId="38107" xr:uid="{00000000-0005-0000-0000-000064960000}"/>
    <cellStyle name="RIGs linked cells 3 3 3 21" xfId="38108" xr:uid="{00000000-0005-0000-0000-000065960000}"/>
    <cellStyle name="RIGs linked cells 3 3 3 22" xfId="38109" xr:uid="{00000000-0005-0000-0000-000066960000}"/>
    <cellStyle name="RIGs linked cells 3 3 3 23" xfId="38110" xr:uid="{00000000-0005-0000-0000-000067960000}"/>
    <cellStyle name="RIGs linked cells 3 3 3 24" xfId="38111" xr:uid="{00000000-0005-0000-0000-000068960000}"/>
    <cellStyle name="RIGs linked cells 3 3 3 25" xfId="38112" xr:uid="{00000000-0005-0000-0000-000069960000}"/>
    <cellStyle name="RIGs linked cells 3 3 3 26" xfId="38113" xr:uid="{00000000-0005-0000-0000-00006A960000}"/>
    <cellStyle name="RIGs linked cells 3 3 3 27" xfId="38114" xr:uid="{00000000-0005-0000-0000-00006B960000}"/>
    <cellStyle name="RIGs linked cells 3 3 3 28" xfId="38115" xr:uid="{00000000-0005-0000-0000-00006C960000}"/>
    <cellStyle name="RIGs linked cells 3 3 3 29" xfId="38116" xr:uid="{00000000-0005-0000-0000-00006D960000}"/>
    <cellStyle name="RIGs linked cells 3 3 3 3" xfId="38117" xr:uid="{00000000-0005-0000-0000-00006E960000}"/>
    <cellStyle name="RIGs linked cells 3 3 3 3 10" xfId="38118" xr:uid="{00000000-0005-0000-0000-00006F960000}"/>
    <cellStyle name="RIGs linked cells 3 3 3 3 11" xfId="38119" xr:uid="{00000000-0005-0000-0000-000070960000}"/>
    <cellStyle name="RIGs linked cells 3 3 3 3 12" xfId="38120" xr:uid="{00000000-0005-0000-0000-000071960000}"/>
    <cellStyle name="RIGs linked cells 3 3 3 3 13" xfId="38121" xr:uid="{00000000-0005-0000-0000-000072960000}"/>
    <cellStyle name="RIGs linked cells 3 3 3 3 2" xfId="38122" xr:uid="{00000000-0005-0000-0000-000073960000}"/>
    <cellStyle name="RIGs linked cells 3 3 3 3 3" xfId="38123" xr:uid="{00000000-0005-0000-0000-000074960000}"/>
    <cellStyle name="RIGs linked cells 3 3 3 3 4" xfId="38124" xr:uid="{00000000-0005-0000-0000-000075960000}"/>
    <cellStyle name="RIGs linked cells 3 3 3 3 5" xfId="38125" xr:uid="{00000000-0005-0000-0000-000076960000}"/>
    <cellStyle name="RIGs linked cells 3 3 3 3 6" xfId="38126" xr:uid="{00000000-0005-0000-0000-000077960000}"/>
    <cellStyle name="RIGs linked cells 3 3 3 3 7" xfId="38127" xr:uid="{00000000-0005-0000-0000-000078960000}"/>
    <cellStyle name="RIGs linked cells 3 3 3 3 8" xfId="38128" xr:uid="{00000000-0005-0000-0000-000079960000}"/>
    <cellStyle name="RIGs linked cells 3 3 3 3 9" xfId="38129" xr:uid="{00000000-0005-0000-0000-00007A960000}"/>
    <cellStyle name="RIGs linked cells 3 3 3 30" xfId="38130" xr:uid="{00000000-0005-0000-0000-00007B960000}"/>
    <cellStyle name="RIGs linked cells 3 3 3 31" xfId="38131" xr:uid="{00000000-0005-0000-0000-00007C960000}"/>
    <cellStyle name="RIGs linked cells 3 3 3 32" xfId="38132" xr:uid="{00000000-0005-0000-0000-00007D960000}"/>
    <cellStyle name="RIGs linked cells 3 3 3 33" xfId="38133" xr:uid="{00000000-0005-0000-0000-00007E960000}"/>
    <cellStyle name="RIGs linked cells 3 3 3 34" xfId="38134" xr:uid="{00000000-0005-0000-0000-00007F960000}"/>
    <cellStyle name="RIGs linked cells 3 3 3 35" xfId="38135" xr:uid="{00000000-0005-0000-0000-000080960000}"/>
    <cellStyle name="RIGs linked cells 3 3 3 4" xfId="38136" xr:uid="{00000000-0005-0000-0000-000081960000}"/>
    <cellStyle name="RIGs linked cells 3 3 3 5" xfId="38137" xr:uid="{00000000-0005-0000-0000-000082960000}"/>
    <cellStyle name="RIGs linked cells 3 3 3 6" xfId="38138" xr:uid="{00000000-0005-0000-0000-000083960000}"/>
    <cellStyle name="RIGs linked cells 3 3 3 7" xfId="38139" xr:uid="{00000000-0005-0000-0000-000084960000}"/>
    <cellStyle name="RIGs linked cells 3 3 3 8" xfId="38140" xr:uid="{00000000-0005-0000-0000-000085960000}"/>
    <cellStyle name="RIGs linked cells 3 3 3 9" xfId="38141" xr:uid="{00000000-0005-0000-0000-000086960000}"/>
    <cellStyle name="RIGs linked cells 3 3 3_4 28 1_Asst_Health_Crit_AllTO_RIIO_20110714pm" xfId="38142" xr:uid="{00000000-0005-0000-0000-000087960000}"/>
    <cellStyle name="RIGs linked cells 3 3 30" xfId="38143" xr:uid="{00000000-0005-0000-0000-000088960000}"/>
    <cellStyle name="RIGs linked cells 3 3 31" xfId="38144" xr:uid="{00000000-0005-0000-0000-000089960000}"/>
    <cellStyle name="RIGs linked cells 3 3 32" xfId="38145" xr:uid="{00000000-0005-0000-0000-00008A960000}"/>
    <cellStyle name="RIGs linked cells 3 3 33" xfId="38146" xr:uid="{00000000-0005-0000-0000-00008B960000}"/>
    <cellStyle name="RIGs linked cells 3 3 34" xfId="38147" xr:uid="{00000000-0005-0000-0000-00008C960000}"/>
    <cellStyle name="RIGs linked cells 3 3 35" xfId="38148" xr:uid="{00000000-0005-0000-0000-00008D960000}"/>
    <cellStyle name="RIGs linked cells 3 3 36" xfId="38149" xr:uid="{00000000-0005-0000-0000-00008E960000}"/>
    <cellStyle name="RIGs linked cells 3 3 37" xfId="38150" xr:uid="{00000000-0005-0000-0000-00008F960000}"/>
    <cellStyle name="RIGs linked cells 3 3 38" xfId="38151" xr:uid="{00000000-0005-0000-0000-000090960000}"/>
    <cellStyle name="RIGs linked cells 3 3 39" xfId="38152" xr:uid="{00000000-0005-0000-0000-000091960000}"/>
    <cellStyle name="RIGs linked cells 3 3 4" xfId="38153" xr:uid="{00000000-0005-0000-0000-000092960000}"/>
    <cellStyle name="RIGs linked cells 3 3 4 10" xfId="38154" xr:uid="{00000000-0005-0000-0000-000093960000}"/>
    <cellStyle name="RIGs linked cells 3 3 4 11" xfId="38155" xr:uid="{00000000-0005-0000-0000-000094960000}"/>
    <cellStyle name="RIGs linked cells 3 3 4 12" xfId="38156" xr:uid="{00000000-0005-0000-0000-000095960000}"/>
    <cellStyle name="RIGs linked cells 3 3 4 13" xfId="38157" xr:uid="{00000000-0005-0000-0000-000096960000}"/>
    <cellStyle name="RIGs linked cells 3 3 4 14" xfId="38158" xr:uid="{00000000-0005-0000-0000-000097960000}"/>
    <cellStyle name="RIGs linked cells 3 3 4 15" xfId="38159" xr:uid="{00000000-0005-0000-0000-000098960000}"/>
    <cellStyle name="RIGs linked cells 3 3 4 16" xfId="38160" xr:uid="{00000000-0005-0000-0000-000099960000}"/>
    <cellStyle name="RIGs linked cells 3 3 4 17" xfId="38161" xr:uid="{00000000-0005-0000-0000-00009A960000}"/>
    <cellStyle name="RIGs linked cells 3 3 4 18" xfId="38162" xr:uid="{00000000-0005-0000-0000-00009B960000}"/>
    <cellStyle name="RIGs linked cells 3 3 4 19" xfId="38163" xr:uid="{00000000-0005-0000-0000-00009C960000}"/>
    <cellStyle name="RIGs linked cells 3 3 4 2" xfId="38164" xr:uid="{00000000-0005-0000-0000-00009D960000}"/>
    <cellStyle name="RIGs linked cells 3 3 4 2 10" xfId="38165" xr:uid="{00000000-0005-0000-0000-00009E960000}"/>
    <cellStyle name="RIGs linked cells 3 3 4 2 11" xfId="38166" xr:uid="{00000000-0005-0000-0000-00009F960000}"/>
    <cellStyle name="RIGs linked cells 3 3 4 2 12" xfId="38167" xr:uid="{00000000-0005-0000-0000-0000A0960000}"/>
    <cellStyle name="RIGs linked cells 3 3 4 2 13" xfId="38168" xr:uid="{00000000-0005-0000-0000-0000A1960000}"/>
    <cellStyle name="RIGs linked cells 3 3 4 2 2" xfId="38169" xr:uid="{00000000-0005-0000-0000-0000A2960000}"/>
    <cellStyle name="RIGs linked cells 3 3 4 2 3" xfId="38170" xr:uid="{00000000-0005-0000-0000-0000A3960000}"/>
    <cellStyle name="RIGs linked cells 3 3 4 2 4" xfId="38171" xr:uid="{00000000-0005-0000-0000-0000A4960000}"/>
    <cellStyle name="RIGs linked cells 3 3 4 2 5" xfId="38172" xr:uid="{00000000-0005-0000-0000-0000A5960000}"/>
    <cellStyle name="RIGs linked cells 3 3 4 2 6" xfId="38173" xr:uid="{00000000-0005-0000-0000-0000A6960000}"/>
    <cellStyle name="RIGs linked cells 3 3 4 2 7" xfId="38174" xr:uid="{00000000-0005-0000-0000-0000A7960000}"/>
    <cellStyle name="RIGs linked cells 3 3 4 2 8" xfId="38175" xr:uid="{00000000-0005-0000-0000-0000A8960000}"/>
    <cellStyle name="RIGs linked cells 3 3 4 2 9" xfId="38176" xr:uid="{00000000-0005-0000-0000-0000A9960000}"/>
    <cellStyle name="RIGs linked cells 3 3 4 20" xfId="38177" xr:uid="{00000000-0005-0000-0000-0000AA960000}"/>
    <cellStyle name="RIGs linked cells 3 3 4 21" xfId="38178" xr:uid="{00000000-0005-0000-0000-0000AB960000}"/>
    <cellStyle name="RIGs linked cells 3 3 4 22" xfId="38179" xr:uid="{00000000-0005-0000-0000-0000AC960000}"/>
    <cellStyle name="RIGs linked cells 3 3 4 23" xfId="38180" xr:uid="{00000000-0005-0000-0000-0000AD960000}"/>
    <cellStyle name="RIGs linked cells 3 3 4 24" xfId="38181" xr:uid="{00000000-0005-0000-0000-0000AE960000}"/>
    <cellStyle name="RIGs linked cells 3 3 4 25" xfId="38182" xr:uid="{00000000-0005-0000-0000-0000AF960000}"/>
    <cellStyle name="RIGs linked cells 3 3 4 26" xfId="38183" xr:uid="{00000000-0005-0000-0000-0000B0960000}"/>
    <cellStyle name="RIGs linked cells 3 3 4 27" xfId="38184" xr:uid="{00000000-0005-0000-0000-0000B1960000}"/>
    <cellStyle name="RIGs linked cells 3 3 4 28" xfId="38185" xr:uid="{00000000-0005-0000-0000-0000B2960000}"/>
    <cellStyle name="RIGs linked cells 3 3 4 29" xfId="38186" xr:uid="{00000000-0005-0000-0000-0000B3960000}"/>
    <cellStyle name="RIGs linked cells 3 3 4 3" xfId="38187" xr:uid="{00000000-0005-0000-0000-0000B4960000}"/>
    <cellStyle name="RIGs linked cells 3 3 4 30" xfId="38188" xr:uid="{00000000-0005-0000-0000-0000B5960000}"/>
    <cellStyle name="RIGs linked cells 3 3 4 31" xfId="38189" xr:uid="{00000000-0005-0000-0000-0000B6960000}"/>
    <cellStyle name="RIGs linked cells 3 3 4 32" xfId="38190" xr:uid="{00000000-0005-0000-0000-0000B7960000}"/>
    <cellStyle name="RIGs linked cells 3 3 4 33" xfId="38191" xr:uid="{00000000-0005-0000-0000-0000B8960000}"/>
    <cellStyle name="RIGs linked cells 3 3 4 34" xfId="38192" xr:uid="{00000000-0005-0000-0000-0000B9960000}"/>
    <cellStyle name="RIGs linked cells 3 3 4 4" xfId="38193" xr:uid="{00000000-0005-0000-0000-0000BA960000}"/>
    <cellStyle name="RIGs linked cells 3 3 4 5" xfId="38194" xr:uid="{00000000-0005-0000-0000-0000BB960000}"/>
    <cellStyle name="RIGs linked cells 3 3 4 6" xfId="38195" xr:uid="{00000000-0005-0000-0000-0000BC960000}"/>
    <cellStyle name="RIGs linked cells 3 3 4 7" xfId="38196" xr:uid="{00000000-0005-0000-0000-0000BD960000}"/>
    <cellStyle name="RIGs linked cells 3 3 4 8" xfId="38197" xr:uid="{00000000-0005-0000-0000-0000BE960000}"/>
    <cellStyle name="RIGs linked cells 3 3 4 9" xfId="38198" xr:uid="{00000000-0005-0000-0000-0000BF960000}"/>
    <cellStyle name="RIGs linked cells 3 3 5" xfId="38199" xr:uid="{00000000-0005-0000-0000-0000C0960000}"/>
    <cellStyle name="RIGs linked cells 3 3 5 10" xfId="38200" xr:uid="{00000000-0005-0000-0000-0000C1960000}"/>
    <cellStyle name="RIGs linked cells 3 3 5 11" xfId="38201" xr:uid="{00000000-0005-0000-0000-0000C2960000}"/>
    <cellStyle name="RIGs linked cells 3 3 5 12" xfId="38202" xr:uid="{00000000-0005-0000-0000-0000C3960000}"/>
    <cellStyle name="RIGs linked cells 3 3 5 13" xfId="38203" xr:uid="{00000000-0005-0000-0000-0000C4960000}"/>
    <cellStyle name="RIGs linked cells 3 3 5 14" xfId="38204" xr:uid="{00000000-0005-0000-0000-0000C5960000}"/>
    <cellStyle name="RIGs linked cells 3 3 5 15" xfId="38205" xr:uid="{00000000-0005-0000-0000-0000C6960000}"/>
    <cellStyle name="RIGs linked cells 3 3 5 16" xfId="38206" xr:uid="{00000000-0005-0000-0000-0000C7960000}"/>
    <cellStyle name="RIGs linked cells 3 3 5 17" xfId="38207" xr:uid="{00000000-0005-0000-0000-0000C8960000}"/>
    <cellStyle name="RIGs linked cells 3 3 5 18" xfId="38208" xr:uid="{00000000-0005-0000-0000-0000C9960000}"/>
    <cellStyle name="RIGs linked cells 3 3 5 19" xfId="38209" xr:uid="{00000000-0005-0000-0000-0000CA960000}"/>
    <cellStyle name="RIGs linked cells 3 3 5 2" xfId="38210" xr:uid="{00000000-0005-0000-0000-0000CB960000}"/>
    <cellStyle name="RIGs linked cells 3 3 5 2 10" xfId="38211" xr:uid="{00000000-0005-0000-0000-0000CC960000}"/>
    <cellStyle name="RIGs linked cells 3 3 5 2 11" xfId="38212" xr:uid="{00000000-0005-0000-0000-0000CD960000}"/>
    <cellStyle name="RIGs linked cells 3 3 5 2 12" xfId="38213" xr:uid="{00000000-0005-0000-0000-0000CE960000}"/>
    <cellStyle name="RIGs linked cells 3 3 5 2 13" xfId="38214" xr:uid="{00000000-0005-0000-0000-0000CF960000}"/>
    <cellStyle name="RIGs linked cells 3 3 5 2 2" xfId="38215" xr:uid="{00000000-0005-0000-0000-0000D0960000}"/>
    <cellStyle name="RIGs linked cells 3 3 5 2 3" xfId="38216" xr:uid="{00000000-0005-0000-0000-0000D1960000}"/>
    <cellStyle name="RIGs linked cells 3 3 5 2 4" xfId="38217" xr:uid="{00000000-0005-0000-0000-0000D2960000}"/>
    <cellStyle name="RIGs linked cells 3 3 5 2 5" xfId="38218" xr:uid="{00000000-0005-0000-0000-0000D3960000}"/>
    <cellStyle name="RIGs linked cells 3 3 5 2 6" xfId="38219" xr:uid="{00000000-0005-0000-0000-0000D4960000}"/>
    <cellStyle name="RIGs linked cells 3 3 5 2 7" xfId="38220" xr:uid="{00000000-0005-0000-0000-0000D5960000}"/>
    <cellStyle name="RIGs linked cells 3 3 5 2 8" xfId="38221" xr:uid="{00000000-0005-0000-0000-0000D6960000}"/>
    <cellStyle name="RIGs linked cells 3 3 5 2 9" xfId="38222" xr:uid="{00000000-0005-0000-0000-0000D7960000}"/>
    <cellStyle name="RIGs linked cells 3 3 5 20" xfId="38223" xr:uid="{00000000-0005-0000-0000-0000D8960000}"/>
    <cellStyle name="RIGs linked cells 3 3 5 21" xfId="38224" xr:uid="{00000000-0005-0000-0000-0000D9960000}"/>
    <cellStyle name="RIGs linked cells 3 3 5 22" xfId="38225" xr:uid="{00000000-0005-0000-0000-0000DA960000}"/>
    <cellStyle name="RIGs linked cells 3 3 5 23" xfId="38226" xr:uid="{00000000-0005-0000-0000-0000DB960000}"/>
    <cellStyle name="RIGs linked cells 3 3 5 24" xfId="38227" xr:uid="{00000000-0005-0000-0000-0000DC960000}"/>
    <cellStyle name="RIGs linked cells 3 3 5 25" xfId="38228" xr:uid="{00000000-0005-0000-0000-0000DD960000}"/>
    <cellStyle name="RIGs linked cells 3 3 5 26" xfId="38229" xr:uid="{00000000-0005-0000-0000-0000DE960000}"/>
    <cellStyle name="RIGs linked cells 3 3 5 27" xfId="38230" xr:uid="{00000000-0005-0000-0000-0000DF960000}"/>
    <cellStyle name="RIGs linked cells 3 3 5 28" xfId="38231" xr:uid="{00000000-0005-0000-0000-0000E0960000}"/>
    <cellStyle name="RIGs linked cells 3 3 5 29" xfId="38232" xr:uid="{00000000-0005-0000-0000-0000E1960000}"/>
    <cellStyle name="RIGs linked cells 3 3 5 3" xfId="38233" xr:uid="{00000000-0005-0000-0000-0000E2960000}"/>
    <cellStyle name="RIGs linked cells 3 3 5 30" xfId="38234" xr:uid="{00000000-0005-0000-0000-0000E3960000}"/>
    <cellStyle name="RIGs linked cells 3 3 5 31" xfId="38235" xr:uid="{00000000-0005-0000-0000-0000E4960000}"/>
    <cellStyle name="RIGs linked cells 3 3 5 32" xfId="38236" xr:uid="{00000000-0005-0000-0000-0000E5960000}"/>
    <cellStyle name="RIGs linked cells 3 3 5 33" xfId="38237" xr:uid="{00000000-0005-0000-0000-0000E6960000}"/>
    <cellStyle name="RIGs linked cells 3 3 5 34" xfId="38238" xr:uid="{00000000-0005-0000-0000-0000E7960000}"/>
    <cellStyle name="RIGs linked cells 3 3 5 4" xfId="38239" xr:uid="{00000000-0005-0000-0000-0000E8960000}"/>
    <cellStyle name="RIGs linked cells 3 3 5 5" xfId="38240" xr:uid="{00000000-0005-0000-0000-0000E9960000}"/>
    <cellStyle name="RIGs linked cells 3 3 5 6" xfId="38241" xr:uid="{00000000-0005-0000-0000-0000EA960000}"/>
    <cellStyle name="RIGs linked cells 3 3 5 7" xfId="38242" xr:uid="{00000000-0005-0000-0000-0000EB960000}"/>
    <cellStyle name="RIGs linked cells 3 3 5 8" xfId="38243" xr:uid="{00000000-0005-0000-0000-0000EC960000}"/>
    <cellStyle name="RIGs linked cells 3 3 5 9" xfId="38244" xr:uid="{00000000-0005-0000-0000-0000ED960000}"/>
    <cellStyle name="RIGs linked cells 3 3 6" xfId="38245" xr:uid="{00000000-0005-0000-0000-0000EE960000}"/>
    <cellStyle name="RIGs linked cells 3 3 6 10" xfId="38246" xr:uid="{00000000-0005-0000-0000-0000EF960000}"/>
    <cellStyle name="RIGs linked cells 3 3 6 11" xfId="38247" xr:uid="{00000000-0005-0000-0000-0000F0960000}"/>
    <cellStyle name="RIGs linked cells 3 3 6 12" xfId="38248" xr:uid="{00000000-0005-0000-0000-0000F1960000}"/>
    <cellStyle name="RIGs linked cells 3 3 6 13" xfId="38249" xr:uid="{00000000-0005-0000-0000-0000F2960000}"/>
    <cellStyle name="RIGs linked cells 3 3 6 2" xfId="38250" xr:uid="{00000000-0005-0000-0000-0000F3960000}"/>
    <cellStyle name="RIGs linked cells 3 3 6 3" xfId="38251" xr:uid="{00000000-0005-0000-0000-0000F4960000}"/>
    <cellStyle name="RIGs linked cells 3 3 6 4" xfId="38252" xr:uid="{00000000-0005-0000-0000-0000F5960000}"/>
    <cellStyle name="RIGs linked cells 3 3 6 5" xfId="38253" xr:uid="{00000000-0005-0000-0000-0000F6960000}"/>
    <cellStyle name="RIGs linked cells 3 3 6 6" xfId="38254" xr:uid="{00000000-0005-0000-0000-0000F7960000}"/>
    <cellStyle name="RIGs linked cells 3 3 6 7" xfId="38255" xr:uid="{00000000-0005-0000-0000-0000F8960000}"/>
    <cellStyle name="RIGs linked cells 3 3 6 8" xfId="38256" xr:uid="{00000000-0005-0000-0000-0000F9960000}"/>
    <cellStyle name="RIGs linked cells 3 3 6 9" xfId="38257" xr:uid="{00000000-0005-0000-0000-0000FA960000}"/>
    <cellStyle name="RIGs linked cells 3 3 7" xfId="38258" xr:uid="{00000000-0005-0000-0000-0000FB960000}"/>
    <cellStyle name="RIGs linked cells 3 3 8" xfId="38259" xr:uid="{00000000-0005-0000-0000-0000FC960000}"/>
    <cellStyle name="RIGs linked cells 3 3 9" xfId="38260" xr:uid="{00000000-0005-0000-0000-0000FD960000}"/>
    <cellStyle name="RIGs linked cells 3 3_3.15 Additional Data" xfId="42412" xr:uid="{00000000-0005-0000-0000-0000FE960000}"/>
    <cellStyle name="RIGs linked cells 3 30" xfId="38261" xr:uid="{00000000-0005-0000-0000-0000FF960000}"/>
    <cellStyle name="RIGs linked cells 3 31" xfId="38262" xr:uid="{00000000-0005-0000-0000-000000970000}"/>
    <cellStyle name="RIGs linked cells 3 32" xfId="38263" xr:uid="{00000000-0005-0000-0000-000001970000}"/>
    <cellStyle name="RIGs linked cells 3 33" xfId="38264" xr:uid="{00000000-0005-0000-0000-000002970000}"/>
    <cellStyle name="RIGs linked cells 3 34" xfId="38265" xr:uid="{00000000-0005-0000-0000-000003970000}"/>
    <cellStyle name="RIGs linked cells 3 35" xfId="38266" xr:uid="{00000000-0005-0000-0000-000004970000}"/>
    <cellStyle name="RIGs linked cells 3 36" xfId="38267" xr:uid="{00000000-0005-0000-0000-000005970000}"/>
    <cellStyle name="RIGs linked cells 3 37" xfId="38268" xr:uid="{00000000-0005-0000-0000-000006970000}"/>
    <cellStyle name="RIGs linked cells 3 38" xfId="38269" xr:uid="{00000000-0005-0000-0000-000007970000}"/>
    <cellStyle name="RIGs linked cells 3 39" xfId="38270" xr:uid="{00000000-0005-0000-0000-000008970000}"/>
    <cellStyle name="RIGs linked cells 3 4" xfId="38271" xr:uid="{00000000-0005-0000-0000-000009970000}"/>
    <cellStyle name="RIGs linked cells 3 4 10" xfId="38272" xr:uid="{00000000-0005-0000-0000-00000A970000}"/>
    <cellStyle name="RIGs linked cells 3 4 11" xfId="38273" xr:uid="{00000000-0005-0000-0000-00000B970000}"/>
    <cellStyle name="RIGs linked cells 3 4 12" xfId="38274" xr:uid="{00000000-0005-0000-0000-00000C970000}"/>
    <cellStyle name="RIGs linked cells 3 4 13" xfId="38275" xr:uid="{00000000-0005-0000-0000-00000D970000}"/>
    <cellStyle name="RIGs linked cells 3 4 14" xfId="38276" xr:uid="{00000000-0005-0000-0000-00000E970000}"/>
    <cellStyle name="RIGs linked cells 3 4 15" xfId="38277" xr:uid="{00000000-0005-0000-0000-00000F970000}"/>
    <cellStyle name="RIGs linked cells 3 4 16" xfId="38278" xr:uid="{00000000-0005-0000-0000-000010970000}"/>
    <cellStyle name="RIGs linked cells 3 4 17" xfId="38279" xr:uid="{00000000-0005-0000-0000-000011970000}"/>
    <cellStyle name="RIGs linked cells 3 4 18" xfId="38280" xr:uid="{00000000-0005-0000-0000-000012970000}"/>
    <cellStyle name="RIGs linked cells 3 4 19" xfId="38281" xr:uid="{00000000-0005-0000-0000-000013970000}"/>
    <cellStyle name="RIGs linked cells 3 4 2" xfId="38282" xr:uid="{00000000-0005-0000-0000-000014970000}"/>
    <cellStyle name="RIGs linked cells 3 4 2 10" xfId="38283" xr:uid="{00000000-0005-0000-0000-000015970000}"/>
    <cellStyle name="RIGs linked cells 3 4 2 11" xfId="38284" xr:uid="{00000000-0005-0000-0000-000016970000}"/>
    <cellStyle name="RIGs linked cells 3 4 2 12" xfId="38285" xr:uid="{00000000-0005-0000-0000-000017970000}"/>
    <cellStyle name="RIGs linked cells 3 4 2 13" xfId="38286" xr:uid="{00000000-0005-0000-0000-000018970000}"/>
    <cellStyle name="RIGs linked cells 3 4 2 14" xfId="38287" xr:uid="{00000000-0005-0000-0000-000019970000}"/>
    <cellStyle name="RIGs linked cells 3 4 2 15" xfId="38288" xr:uid="{00000000-0005-0000-0000-00001A970000}"/>
    <cellStyle name="RIGs linked cells 3 4 2 16" xfId="38289" xr:uid="{00000000-0005-0000-0000-00001B970000}"/>
    <cellStyle name="RIGs linked cells 3 4 2 17" xfId="38290" xr:uid="{00000000-0005-0000-0000-00001C970000}"/>
    <cellStyle name="RIGs linked cells 3 4 2 18" xfId="38291" xr:uid="{00000000-0005-0000-0000-00001D970000}"/>
    <cellStyle name="RIGs linked cells 3 4 2 19" xfId="38292" xr:uid="{00000000-0005-0000-0000-00001E970000}"/>
    <cellStyle name="RIGs linked cells 3 4 2 2" xfId="38293" xr:uid="{00000000-0005-0000-0000-00001F970000}"/>
    <cellStyle name="RIGs linked cells 3 4 2 2 10" xfId="38294" xr:uid="{00000000-0005-0000-0000-000020970000}"/>
    <cellStyle name="RIGs linked cells 3 4 2 2 11" xfId="38295" xr:uid="{00000000-0005-0000-0000-000021970000}"/>
    <cellStyle name="RIGs linked cells 3 4 2 2 12" xfId="38296" xr:uid="{00000000-0005-0000-0000-000022970000}"/>
    <cellStyle name="RIGs linked cells 3 4 2 2 13" xfId="38297" xr:uid="{00000000-0005-0000-0000-000023970000}"/>
    <cellStyle name="RIGs linked cells 3 4 2 2 2" xfId="38298" xr:uid="{00000000-0005-0000-0000-000024970000}"/>
    <cellStyle name="RIGs linked cells 3 4 2 2 3" xfId="38299" xr:uid="{00000000-0005-0000-0000-000025970000}"/>
    <cellStyle name="RIGs linked cells 3 4 2 2 4" xfId="38300" xr:uid="{00000000-0005-0000-0000-000026970000}"/>
    <cellStyle name="RIGs linked cells 3 4 2 2 5" xfId="38301" xr:uid="{00000000-0005-0000-0000-000027970000}"/>
    <cellStyle name="RIGs linked cells 3 4 2 2 6" xfId="38302" xr:uid="{00000000-0005-0000-0000-000028970000}"/>
    <cellStyle name="RIGs linked cells 3 4 2 2 7" xfId="38303" xr:uid="{00000000-0005-0000-0000-000029970000}"/>
    <cellStyle name="RIGs linked cells 3 4 2 2 8" xfId="38304" xr:uid="{00000000-0005-0000-0000-00002A970000}"/>
    <cellStyle name="RIGs linked cells 3 4 2 2 9" xfId="38305" xr:uid="{00000000-0005-0000-0000-00002B970000}"/>
    <cellStyle name="RIGs linked cells 3 4 2 20" xfId="38306" xr:uid="{00000000-0005-0000-0000-00002C970000}"/>
    <cellStyle name="RIGs linked cells 3 4 2 21" xfId="38307" xr:uid="{00000000-0005-0000-0000-00002D970000}"/>
    <cellStyle name="RIGs linked cells 3 4 2 22" xfId="38308" xr:uid="{00000000-0005-0000-0000-00002E970000}"/>
    <cellStyle name="RIGs linked cells 3 4 2 23" xfId="38309" xr:uid="{00000000-0005-0000-0000-00002F970000}"/>
    <cellStyle name="RIGs linked cells 3 4 2 24" xfId="38310" xr:uid="{00000000-0005-0000-0000-000030970000}"/>
    <cellStyle name="RIGs linked cells 3 4 2 25" xfId="38311" xr:uid="{00000000-0005-0000-0000-000031970000}"/>
    <cellStyle name="RIGs linked cells 3 4 2 26" xfId="38312" xr:uid="{00000000-0005-0000-0000-000032970000}"/>
    <cellStyle name="RIGs linked cells 3 4 2 27" xfId="38313" xr:uid="{00000000-0005-0000-0000-000033970000}"/>
    <cellStyle name="RIGs linked cells 3 4 2 28" xfId="38314" xr:uid="{00000000-0005-0000-0000-000034970000}"/>
    <cellStyle name="RIGs linked cells 3 4 2 29" xfId="38315" xr:uid="{00000000-0005-0000-0000-000035970000}"/>
    <cellStyle name="RIGs linked cells 3 4 2 3" xfId="38316" xr:uid="{00000000-0005-0000-0000-000036970000}"/>
    <cellStyle name="RIGs linked cells 3 4 2 30" xfId="38317" xr:uid="{00000000-0005-0000-0000-000037970000}"/>
    <cellStyle name="RIGs linked cells 3 4 2 31" xfId="38318" xr:uid="{00000000-0005-0000-0000-000038970000}"/>
    <cellStyle name="RIGs linked cells 3 4 2 32" xfId="38319" xr:uid="{00000000-0005-0000-0000-000039970000}"/>
    <cellStyle name="RIGs linked cells 3 4 2 33" xfId="38320" xr:uid="{00000000-0005-0000-0000-00003A970000}"/>
    <cellStyle name="RIGs linked cells 3 4 2 34" xfId="38321" xr:uid="{00000000-0005-0000-0000-00003B970000}"/>
    <cellStyle name="RIGs linked cells 3 4 2 4" xfId="38322" xr:uid="{00000000-0005-0000-0000-00003C970000}"/>
    <cellStyle name="RIGs linked cells 3 4 2 5" xfId="38323" xr:uid="{00000000-0005-0000-0000-00003D970000}"/>
    <cellStyle name="RIGs linked cells 3 4 2 6" xfId="38324" xr:uid="{00000000-0005-0000-0000-00003E970000}"/>
    <cellStyle name="RIGs linked cells 3 4 2 7" xfId="38325" xr:uid="{00000000-0005-0000-0000-00003F970000}"/>
    <cellStyle name="RIGs linked cells 3 4 2 8" xfId="38326" xr:uid="{00000000-0005-0000-0000-000040970000}"/>
    <cellStyle name="RIGs linked cells 3 4 2 9" xfId="38327" xr:uid="{00000000-0005-0000-0000-000041970000}"/>
    <cellStyle name="RIGs linked cells 3 4 20" xfId="38328" xr:uid="{00000000-0005-0000-0000-000042970000}"/>
    <cellStyle name="RIGs linked cells 3 4 21" xfId="38329" xr:uid="{00000000-0005-0000-0000-000043970000}"/>
    <cellStyle name="RIGs linked cells 3 4 22" xfId="38330" xr:uid="{00000000-0005-0000-0000-000044970000}"/>
    <cellStyle name="RIGs linked cells 3 4 23" xfId="38331" xr:uid="{00000000-0005-0000-0000-000045970000}"/>
    <cellStyle name="RIGs linked cells 3 4 24" xfId="38332" xr:uid="{00000000-0005-0000-0000-000046970000}"/>
    <cellStyle name="RIGs linked cells 3 4 25" xfId="38333" xr:uid="{00000000-0005-0000-0000-000047970000}"/>
    <cellStyle name="RIGs linked cells 3 4 26" xfId="38334" xr:uid="{00000000-0005-0000-0000-000048970000}"/>
    <cellStyle name="RIGs linked cells 3 4 27" xfId="38335" xr:uid="{00000000-0005-0000-0000-000049970000}"/>
    <cellStyle name="RIGs linked cells 3 4 28" xfId="38336" xr:uid="{00000000-0005-0000-0000-00004A970000}"/>
    <cellStyle name="RIGs linked cells 3 4 29" xfId="38337" xr:uid="{00000000-0005-0000-0000-00004B970000}"/>
    <cellStyle name="RIGs linked cells 3 4 3" xfId="38338" xr:uid="{00000000-0005-0000-0000-00004C970000}"/>
    <cellStyle name="RIGs linked cells 3 4 3 10" xfId="38339" xr:uid="{00000000-0005-0000-0000-00004D970000}"/>
    <cellStyle name="RIGs linked cells 3 4 3 11" xfId="38340" xr:uid="{00000000-0005-0000-0000-00004E970000}"/>
    <cellStyle name="RIGs linked cells 3 4 3 12" xfId="38341" xr:uid="{00000000-0005-0000-0000-00004F970000}"/>
    <cellStyle name="RIGs linked cells 3 4 3 13" xfId="38342" xr:uid="{00000000-0005-0000-0000-000050970000}"/>
    <cellStyle name="RIGs linked cells 3 4 3 2" xfId="38343" xr:uid="{00000000-0005-0000-0000-000051970000}"/>
    <cellStyle name="RIGs linked cells 3 4 3 3" xfId="38344" xr:uid="{00000000-0005-0000-0000-000052970000}"/>
    <cellStyle name="RIGs linked cells 3 4 3 4" xfId="38345" xr:uid="{00000000-0005-0000-0000-000053970000}"/>
    <cellStyle name="RIGs linked cells 3 4 3 5" xfId="38346" xr:uid="{00000000-0005-0000-0000-000054970000}"/>
    <cellStyle name="RIGs linked cells 3 4 3 6" xfId="38347" xr:uid="{00000000-0005-0000-0000-000055970000}"/>
    <cellStyle name="RIGs linked cells 3 4 3 7" xfId="38348" xr:uid="{00000000-0005-0000-0000-000056970000}"/>
    <cellStyle name="RIGs linked cells 3 4 3 8" xfId="38349" xr:uid="{00000000-0005-0000-0000-000057970000}"/>
    <cellStyle name="RIGs linked cells 3 4 3 9" xfId="38350" xr:uid="{00000000-0005-0000-0000-000058970000}"/>
    <cellStyle name="RIGs linked cells 3 4 30" xfId="38351" xr:uid="{00000000-0005-0000-0000-000059970000}"/>
    <cellStyle name="RIGs linked cells 3 4 31" xfId="38352" xr:uid="{00000000-0005-0000-0000-00005A970000}"/>
    <cellStyle name="RIGs linked cells 3 4 32" xfId="38353" xr:uid="{00000000-0005-0000-0000-00005B970000}"/>
    <cellStyle name="RIGs linked cells 3 4 33" xfId="38354" xr:uid="{00000000-0005-0000-0000-00005C970000}"/>
    <cellStyle name="RIGs linked cells 3 4 34" xfId="38355" xr:uid="{00000000-0005-0000-0000-00005D970000}"/>
    <cellStyle name="RIGs linked cells 3 4 35" xfId="38356" xr:uid="{00000000-0005-0000-0000-00005E970000}"/>
    <cellStyle name="RIGs linked cells 3 4 4" xfId="38357" xr:uid="{00000000-0005-0000-0000-00005F970000}"/>
    <cellStyle name="RIGs linked cells 3 4 5" xfId="38358" xr:uid="{00000000-0005-0000-0000-000060970000}"/>
    <cellStyle name="RIGs linked cells 3 4 6" xfId="38359" xr:uid="{00000000-0005-0000-0000-000061970000}"/>
    <cellStyle name="RIGs linked cells 3 4 7" xfId="38360" xr:uid="{00000000-0005-0000-0000-000062970000}"/>
    <cellStyle name="RIGs linked cells 3 4 8" xfId="38361" xr:uid="{00000000-0005-0000-0000-000063970000}"/>
    <cellStyle name="RIGs linked cells 3 4 9" xfId="38362" xr:uid="{00000000-0005-0000-0000-000064970000}"/>
    <cellStyle name="RIGs linked cells 3 4_4 28 1_Asst_Health_Crit_AllTO_RIIO_20110714pm" xfId="38363" xr:uid="{00000000-0005-0000-0000-000065970000}"/>
    <cellStyle name="RIGs linked cells 3 40" xfId="38364" xr:uid="{00000000-0005-0000-0000-000066970000}"/>
    <cellStyle name="RIGs linked cells 3 5" xfId="38365" xr:uid="{00000000-0005-0000-0000-000067970000}"/>
    <cellStyle name="RIGs linked cells 3 5 10" xfId="38366" xr:uid="{00000000-0005-0000-0000-000068970000}"/>
    <cellStyle name="RIGs linked cells 3 5 11" xfId="38367" xr:uid="{00000000-0005-0000-0000-000069970000}"/>
    <cellStyle name="RIGs linked cells 3 5 12" xfId="38368" xr:uid="{00000000-0005-0000-0000-00006A970000}"/>
    <cellStyle name="RIGs linked cells 3 5 13" xfId="38369" xr:uid="{00000000-0005-0000-0000-00006B970000}"/>
    <cellStyle name="RIGs linked cells 3 5 14" xfId="38370" xr:uid="{00000000-0005-0000-0000-00006C970000}"/>
    <cellStyle name="RIGs linked cells 3 5 15" xfId="38371" xr:uid="{00000000-0005-0000-0000-00006D970000}"/>
    <cellStyle name="RIGs linked cells 3 5 16" xfId="38372" xr:uid="{00000000-0005-0000-0000-00006E970000}"/>
    <cellStyle name="RIGs linked cells 3 5 17" xfId="38373" xr:uid="{00000000-0005-0000-0000-00006F970000}"/>
    <cellStyle name="RIGs linked cells 3 5 18" xfId="38374" xr:uid="{00000000-0005-0000-0000-000070970000}"/>
    <cellStyle name="RIGs linked cells 3 5 19" xfId="38375" xr:uid="{00000000-0005-0000-0000-000071970000}"/>
    <cellStyle name="RIGs linked cells 3 5 2" xfId="38376" xr:uid="{00000000-0005-0000-0000-000072970000}"/>
    <cellStyle name="RIGs linked cells 3 5 2 10" xfId="38377" xr:uid="{00000000-0005-0000-0000-000073970000}"/>
    <cellStyle name="RIGs linked cells 3 5 2 11" xfId="38378" xr:uid="{00000000-0005-0000-0000-000074970000}"/>
    <cellStyle name="RIGs linked cells 3 5 2 12" xfId="38379" xr:uid="{00000000-0005-0000-0000-000075970000}"/>
    <cellStyle name="RIGs linked cells 3 5 2 13" xfId="38380" xr:uid="{00000000-0005-0000-0000-000076970000}"/>
    <cellStyle name="RIGs linked cells 3 5 2 2" xfId="38381" xr:uid="{00000000-0005-0000-0000-000077970000}"/>
    <cellStyle name="RIGs linked cells 3 5 2 3" xfId="38382" xr:uid="{00000000-0005-0000-0000-000078970000}"/>
    <cellStyle name="RIGs linked cells 3 5 2 4" xfId="38383" xr:uid="{00000000-0005-0000-0000-000079970000}"/>
    <cellStyle name="RIGs linked cells 3 5 2 5" xfId="38384" xr:uid="{00000000-0005-0000-0000-00007A970000}"/>
    <cellStyle name="RIGs linked cells 3 5 2 6" xfId="38385" xr:uid="{00000000-0005-0000-0000-00007B970000}"/>
    <cellStyle name="RIGs linked cells 3 5 2 7" xfId="38386" xr:uid="{00000000-0005-0000-0000-00007C970000}"/>
    <cellStyle name="RIGs linked cells 3 5 2 8" xfId="38387" xr:uid="{00000000-0005-0000-0000-00007D970000}"/>
    <cellStyle name="RIGs linked cells 3 5 2 9" xfId="38388" xr:uid="{00000000-0005-0000-0000-00007E970000}"/>
    <cellStyle name="RIGs linked cells 3 5 20" xfId="38389" xr:uid="{00000000-0005-0000-0000-00007F970000}"/>
    <cellStyle name="RIGs linked cells 3 5 21" xfId="38390" xr:uid="{00000000-0005-0000-0000-000080970000}"/>
    <cellStyle name="RIGs linked cells 3 5 22" xfId="38391" xr:uid="{00000000-0005-0000-0000-000081970000}"/>
    <cellStyle name="RIGs linked cells 3 5 23" xfId="38392" xr:uid="{00000000-0005-0000-0000-000082970000}"/>
    <cellStyle name="RIGs linked cells 3 5 24" xfId="38393" xr:uid="{00000000-0005-0000-0000-000083970000}"/>
    <cellStyle name="RIGs linked cells 3 5 25" xfId="38394" xr:uid="{00000000-0005-0000-0000-000084970000}"/>
    <cellStyle name="RIGs linked cells 3 5 26" xfId="38395" xr:uid="{00000000-0005-0000-0000-000085970000}"/>
    <cellStyle name="RIGs linked cells 3 5 27" xfId="38396" xr:uid="{00000000-0005-0000-0000-000086970000}"/>
    <cellStyle name="RIGs linked cells 3 5 28" xfId="38397" xr:uid="{00000000-0005-0000-0000-000087970000}"/>
    <cellStyle name="RIGs linked cells 3 5 29" xfId="38398" xr:uid="{00000000-0005-0000-0000-000088970000}"/>
    <cellStyle name="RIGs linked cells 3 5 3" xfId="38399" xr:uid="{00000000-0005-0000-0000-000089970000}"/>
    <cellStyle name="RIGs linked cells 3 5 30" xfId="38400" xr:uid="{00000000-0005-0000-0000-00008A970000}"/>
    <cellStyle name="RIGs linked cells 3 5 31" xfId="38401" xr:uid="{00000000-0005-0000-0000-00008B970000}"/>
    <cellStyle name="RIGs linked cells 3 5 32" xfId="38402" xr:uid="{00000000-0005-0000-0000-00008C970000}"/>
    <cellStyle name="RIGs linked cells 3 5 33" xfId="38403" xr:uid="{00000000-0005-0000-0000-00008D970000}"/>
    <cellStyle name="RIGs linked cells 3 5 34" xfId="38404" xr:uid="{00000000-0005-0000-0000-00008E970000}"/>
    <cellStyle name="RIGs linked cells 3 5 4" xfId="38405" xr:uid="{00000000-0005-0000-0000-00008F970000}"/>
    <cellStyle name="RIGs linked cells 3 5 5" xfId="38406" xr:uid="{00000000-0005-0000-0000-000090970000}"/>
    <cellStyle name="RIGs linked cells 3 5 6" xfId="38407" xr:uid="{00000000-0005-0000-0000-000091970000}"/>
    <cellStyle name="RIGs linked cells 3 5 7" xfId="38408" xr:uid="{00000000-0005-0000-0000-000092970000}"/>
    <cellStyle name="RIGs linked cells 3 5 8" xfId="38409" xr:uid="{00000000-0005-0000-0000-000093970000}"/>
    <cellStyle name="RIGs linked cells 3 5 9" xfId="38410" xr:uid="{00000000-0005-0000-0000-000094970000}"/>
    <cellStyle name="RIGs linked cells 3 6" xfId="38411" xr:uid="{00000000-0005-0000-0000-000095970000}"/>
    <cellStyle name="RIGs linked cells 3 6 10" xfId="38412" xr:uid="{00000000-0005-0000-0000-000096970000}"/>
    <cellStyle name="RIGs linked cells 3 6 11" xfId="38413" xr:uid="{00000000-0005-0000-0000-000097970000}"/>
    <cellStyle name="RIGs linked cells 3 6 12" xfId="38414" xr:uid="{00000000-0005-0000-0000-000098970000}"/>
    <cellStyle name="RIGs linked cells 3 6 13" xfId="38415" xr:uid="{00000000-0005-0000-0000-000099970000}"/>
    <cellStyle name="RIGs linked cells 3 6 14" xfId="38416" xr:uid="{00000000-0005-0000-0000-00009A970000}"/>
    <cellStyle name="RIGs linked cells 3 6 15" xfId="38417" xr:uid="{00000000-0005-0000-0000-00009B970000}"/>
    <cellStyle name="RIGs linked cells 3 6 16" xfId="38418" xr:uid="{00000000-0005-0000-0000-00009C970000}"/>
    <cellStyle name="RIGs linked cells 3 6 17" xfId="38419" xr:uid="{00000000-0005-0000-0000-00009D970000}"/>
    <cellStyle name="RIGs linked cells 3 6 18" xfId="38420" xr:uid="{00000000-0005-0000-0000-00009E970000}"/>
    <cellStyle name="RIGs linked cells 3 6 19" xfId="38421" xr:uid="{00000000-0005-0000-0000-00009F970000}"/>
    <cellStyle name="RIGs linked cells 3 6 2" xfId="38422" xr:uid="{00000000-0005-0000-0000-0000A0970000}"/>
    <cellStyle name="RIGs linked cells 3 6 2 10" xfId="38423" xr:uid="{00000000-0005-0000-0000-0000A1970000}"/>
    <cellStyle name="RIGs linked cells 3 6 2 11" xfId="38424" xr:uid="{00000000-0005-0000-0000-0000A2970000}"/>
    <cellStyle name="RIGs linked cells 3 6 2 12" xfId="38425" xr:uid="{00000000-0005-0000-0000-0000A3970000}"/>
    <cellStyle name="RIGs linked cells 3 6 2 13" xfId="38426" xr:uid="{00000000-0005-0000-0000-0000A4970000}"/>
    <cellStyle name="RIGs linked cells 3 6 2 2" xfId="38427" xr:uid="{00000000-0005-0000-0000-0000A5970000}"/>
    <cellStyle name="RIGs linked cells 3 6 2 3" xfId="38428" xr:uid="{00000000-0005-0000-0000-0000A6970000}"/>
    <cellStyle name="RIGs linked cells 3 6 2 4" xfId="38429" xr:uid="{00000000-0005-0000-0000-0000A7970000}"/>
    <cellStyle name="RIGs linked cells 3 6 2 5" xfId="38430" xr:uid="{00000000-0005-0000-0000-0000A8970000}"/>
    <cellStyle name="RIGs linked cells 3 6 2 6" xfId="38431" xr:uid="{00000000-0005-0000-0000-0000A9970000}"/>
    <cellStyle name="RIGs linked cells 3 6 2 7" xfId="38432" xr:uid="{00000000-0005-0000-0000-0000AA970000}"/>
    <cellStyle name="RIGs linked cells 3 6 2 8" xfId="38433" xr:uid="{00000000-0005-0000-0000-0000AB970000}"/>
    <cellStyle name="RIGs linked cells 3 6 2 9" xfId="38434" xr:uid="{00000000-0005-0000-0000-0000AC970000}"/>
    <cellStyle name="RIGs linked cells 3 6 20" xfId="38435" xr:uid="{00000000-0005-0000-0000-0000AD970000}"/>
    <cellStyle name="RIGs linked cells 3 6 21" xfId="38436" xr:uid="{00000000-0005-0000-0000-0000AE970000}"/>
    <cellStyle name="RIGs linked cells 3 6 22" xfId="38437" xr:uid="{00000000-0005-0000-0000-0000AF970000}"/>
    <cellStyle name="RIGs linked cells 3 6 23" xfId="38438" xr:uid="{00000000-0005-0000-0000-0000B0970000}"/>
    <cellStyle name="RIGs linked cells 3 6 24" xfId="38439" xr:uid="{00000000-0005-0000-0000-0000B1970000}"/>
    <cellStyle name="RIGs linked cells 3 6 25" xfId="38440" xr:uid="{00000000-0005-0000-0000-0000B2970000}"/>
    <cellStyle name="RIGs linked cells 3 6 26" xfId="38441" xr:uid="{00000000-0005-0000-0000-0000B3970000}"/>
    <cellStyle name="RIGs linked cells 3 6 27" xfId="38442" xr:uid="{00000000-0005-0000-0000-0000B4970000}"/>
    <cellStyle name="RIGs linked cells 3 6 28" xfId="38443" xr:uid="{00000000-0005-0000-0000-0000B5970000}"/>
    <cellStyle name="RIGs linked cells 3 6 29" xfId="38444" xr:uid="{00000000-0005-0000-0000-0000B6970000}"/>
    <cellStyle name="RIGs linked cells 3 6 3" xfId="38445" xr:uid="{00000000-0005-0000-0000-0000B7970000}"/>
    <cellStyle name="RIGs linked cells 3 6 30" xfId="38446" xr:uid="{00000000-0005-0000-0000-0000B8970000}"/>
    <cellStyle name="RIGs linked cells 3 6 31" xfId="38447" xr:uid="{00000000-0005-0000-0000-0000B9970000}"/>
    <cellStyle name="RIGs linked cells 3 6 32" xfId="38448" xr:uid="{00000000-0005-0000-0000-0000BA970000}"/>
    <cellStyle name="RIGs linked cells 3 6 33" xfId="38449" xr:uid="{00000000-0005-0000-0000-0000BB970000}"/>
    <cellStyle name="RIGs linked cells 3 6 34" xfId="38450" xr:uid="{00000000-0005-0000-0000-0000BC970000}"/>
    <cellStyle name="RIGs linked cells 3 6 4" xfId="38451" xr:uid="{00000000-0005-0000-0000-0000BD970000}"/>
    <cellStyle name="RIGs linked cells 3 6 5" xfId="38452" xr:uid="{00000000-0005-0000-0000-0000BE970000}"/>
    <cellStyle name="RIGs linked cells 3 6 6" xfId="38453" xr:uid="{00000000-0005-0000-0000-0000BF970000}"/>
    <cellStyle name="RIGs linked cells 3 6 7" xfId="38454" xr:uid="{00000000-0005-0000-0000-0000C0970000}"/>
    <cellStyle name="RIGs linked cells 3 6 8" xfId="38455" xr:uid="{00000000-0005-0000-0000-0000C1970000}"/>
    <cellStyle name="RIGs linked cells 3 6 9" xfId="38456" xr:uid="{00000000-0005-0000-0000-0000C2970000}"/>
    <cellStyle name="RIGs linked cells 3 7" xfId="38457" xr:uid="{00000000-0005-0000-0000-0000C3970000}"/>
    <cellStyle name="RIGs linked cells 3 7 10" xfId="38458" xr:uid="{00000000-0005-0000-0000-0000C4970000}"/>
    <cellStyle name="RIGs linked cells 3 7 11" xfId="38459" xr:uid="{00000000-0005-0000-0000-0000C5970000}"/>
    <cellStyle name="RIGs linked cells 3 7 12" xfId="38460" xr:uid="{00000000-0005-0000-0000-0000C6970000}"/>
    <cellStyle name="RIGs linked cells 3 7 13" xfId="38461" xr:uid="{00000000-0005-0000-0000-0000C7970000}"/>
    <cellStyle name="RIGs linked cells 3 7 2" xfId="38462" xr:uid="{00000000-0005-0000-0000-0000C8970000}"/>
    <cellStyle name="RIGs linked cells 3 7 3" xfId="38463" xr:uid="{00000000-0005-0000-0000-0000C9970000}"/>
    <cellStyle name="RIGs linked cells 3 7 4" xfId="38464" xr:uid="{00000000-0005-0000-0000-0000CA970000}"/>
    <cellStyle name="RIGs linked cells 3 7 5" xfId="38465" xr:uid="{00000000-0005-0000-0000-0000CB970000}"/>
    <cellStyle name="RIGs linked cells 3 7 6" xfId="38466" xr:uid="{00000000-0005-0000-0000-0000CC970000}"/>
    <cellStyle name="RIGs linked cells 3 7 7" xfId="38467" xr:uid="{00000000-0005-0000-0000-0000CD970000}"/>
    <cellStyle name="RIGs linked cells 3 7 8" xfId="38468" xr:uid="{00000000-0005-0000-0000-0000CE970000}"/>
    <cellStyle name="RIGs linked cells 3 7 9" xfId="38469" xr:uid="{00000000-0005-0000-0000-0000CF970000}"/>
    <cellStyle name="RIGs linked cells 3 8" xfId="38470" xr:uid="{00000000-0005-0000-0000-0000D0970000}"/>
    <cellStyle name="RIGs linked cells 3 9" xfId="38471" xr:uid="{00000000-0005-0000-0000-0000D1970000}"/>
    <cellStyle name="RIGs linked cells 3_1.3s Accounting C Costs Scots" xfId="38472" xr:uid="{00000000-0005-0000-0000-0000D2970000}"/>
    <cellStyle name="RIGs linked cells 30" xfId="38473" xr:uid="{00000000-0005-0000-0000-0000D3970000}"/>
    <cellStyle name="RIGs linked cells 31" xfId="38474" xr:uid="{00000000-0005-0000-0000-0000D4970000}"/>
    <cellStyle name="RIGs linked cells 32" xfId="38475" xr:uid="{00000000-0005-0000-0000-0000D5970000}"/>
    <cellStyle name="RIGs linked cells 33" xfId="38476" xr:uid="{00000000-0005-0000-0000-0000D6970000}"/>
    <cellStyle name="RIGs linked cells 34" xfId="38477" xr:uid="{00000000-0005-0000-0000-0000D7970000}"/>
    <cellStyle name="RIGs linked cells 35" xfId="38478" xr:uid="{00000000-0005-0000-0000-0000D8970000}"/>
    <cellStyle name="RIGs linked cells 36" xfId="38479" xr:uid="{00000000-0005-0000-0000-0000D9970000}"/>
    <cellStyle name="RIGs linked cells 37" xfId="38480" xr:uid="{00000000-0005-0000-0000-0000DA970000}"/>
    <cellStyle name="RIGs linked cells 38" xfId="38481" xr:uid="{00000000-0005-0000-0000-0000DB970000}"/>
    <cellStyle name="RIGs linked cells 39" xfId="38482" xr:uid="{00000000-0005-0000-0000-0000DC970000}"/>
    <cellStyle name="RIGs linked cells 4" xfId="38483" xr:uid="{00000000-0005-0000-0000-0000DD970000}"/>
    <cellStyle name="RIGs linked cells 4 10" xfId="38484" xr:uid="{00000000-0005-0000-0000-0000DE970000}"/>
    <cellStyle name="RIGs linked cells 4 11" xfId="38485" xr:uid="{00000000-0005-0000-0000-0000DF970000}"/>
    <cellStyle name="RIGs linked cells 4 12" xfId="38486" xr:uid="{00000000-0005-0000-0000-0000E0970000}"/>
    <cellStyle name="RIGs linked cells 4 13" xfId="38487" xr:uid="{00000000-0005-0000-0000-0000E1970000}"/>
    <cellStyle name="RIGs linked cells 4 14" xfId="38488" xr:uid="{00000000-0005-0000-0000-0000E2970000}"/>
    <cellStyle name="RIGs linked cells 4 15" xfId="38489" xr:uid="{00000000-0005-0000-0000-0000E3970000}"/>
    <cellStyle name="RIGs linked cells 4 16" xfId="38490" xr:uid="{00000000-0005-0000-0000-0000E4970000}"/>
    <cellStyle name="RIGs linked cells 4 17" xfId="38491" xr:uid="{00000000-0005-0000-0000-0000E5970000}"/>
    <cellStyle name="RIGs linked cells 4 18" xfId="38492" xr:uid="{00000000-0005-0000-0000-0000E6970000}"/>
    <cellStyle name="RIGs linked cells 4 19" xfId="38493" xr:uid="{00000000-0005-0000-0000-0000E7970000}"/>
    <cellStyle name="RIGs linked cells 4 2" xfId="38494" xr:uid="{00000000-0005-0000-0000-0000E8970000}"/>
    <cellStyle name="RIGs linked cells 4 2 10" xfId="38495" xr:uid="{00000000-0005-0000-0000-0000E9970000}"/>
    <cellStyle name="RIGs linked cells 4 2 11" xfId="38496" xr:uid="{00000000-0005-0000-0000-0000EA970000}"/>
    <cellStyle name="RIGs linked cells 4 2 12" xfId="38497" xr:uid="{00000000-0005-0000-0000-0000EB970000}"/>
    <cellStyle name="RIGs linked cells 4 2 13" xfId="38498" xr:uid="{00000000-0005-0000-0000-0000EC970000}"/>
    <cellStyle name="RIGs linked cells 4 2 14" xfId="38499" xr:uid="{00000000-0005-0000-0000-0000ED970000}"/>
    <cellStyle name="RIGs linked cells 4 2 15" xfId="38500" xr:uid="{00000000-0005-0000-0000-0000EE970000}"/>
    <cellStyle name="RIGs linked cells 4 2 16" xfId="38501" xr:uid="{00000000-0005-0000-0000-0000EF970000}"/>
    <cellStyle name="RIGs linked cells 4 2 17" xfId="38502" xr:uid="{00000000-0005-0000-0000-0000F0970000}"/>
    <cellStyle name="RIGs linked cells 4 2 18" xfId="38503" xr:uid="{00000000-0005-0000-0000-0000F1970000}"/>
    <cellStyle name="RIGs linked cells 4 2 19" xfId="38504" xr:uid="{00000000-0005-0000-0000-0000F2970000}"/>
    <cellStyle name="RIGs linked cells 4 2 2" xfId="38505" xr:uid="{00000000-0005-0000-0000-0000F3970000}"/>
    <cellStyle name="RIGs linked cells 4 2 2 10" xfId="38506" xr:uid="{00000000-0005-0000-0000-0000F4970000}"/>
    <cellStyle name="RIGs linked cells 4 2 2 11" xfId="38507" xr:uid="{00000000-0005-0000-0000-0000F5970000}"/>
    <cellStyle name="RIGs linked cells 4 2 2 12" xfId="38508" xr:uid="{00000000-0005-0000-0000-0000F6970000}"/>
    <cellStyle name="RIGs linked cells 4 2 2 13" xfId="38509" xr:uid="{00000000-0005-0000-0000-0000F7970000}"/>
    <cellStyle name="RIGs linked cells 4 2 2 14" xfId="38510" xr:uid="{00000000-0005-0000-0000-0000F8970000}"/>
    <cellStyle name="RIGs linked cells 4 2 2 15" xfId="38511" xr:uid="{00000000-0005-0000-0000-0000F9970000}"/>
    <cellStyle name="RIGs linked cells 4 2 2 16" xfId="38512" xr:uid="{00000000-0005-0000-0000-0000FA970000}"/>
    <cellStyle name="RIGs linked cells 4 2 2 17" xfId="38513" xr:uid="{00000000-0005-0000-0000-0000FB970000}"/>
    <cellStyle name="RIGs linked cells 4 2 2 18" xfId="38514" xr:uid="{00000000-0005-0000-0000-0000FC970000}"/>
    <cellStyle name="RIGs linked cells 4 2 2 19" xfId="38515" xr:uid="{00000000-0005-0000-0000-0000FD970000}"/>
    <cellStyle name="RIGs linked cells 4 2 2 2" xfId="38516" xr:uid="{00000000-0005-0000-0000-0000FE970000}"/>
    <cellStyle name="RIGs linked cells 4 2 2 2 10" xfId="38517" xr:uid="{00000000-0005-0000-0000-0000FF970000}"/>
    <cellStyle name="RIGs linked cells 4 2 2 2 11" xfId="38518" xr:uid="{00000000-0005-0000-0000-000000980000}"/>
    <cellStyle name="RIGs linked cells 4 2 2 2 12" xfId="38519" xr:uid="{00000000-0005-0000-0000-000001980000}"/>
    <cellStyle name="RIGs linked cells 4 2 2 2 13" xfId="38520" xr:uid="{00000000-0005-0000-0000-000002980000}"/>
    <cellStyle name="RIGs linked cells 4 2 2 2 14" xfId="38521" xr:uid="{00000000-0005-0000-0000-000003980000}"/>
    <cellStyle name="RIGs linked cells 4 2 2 2 15" xfId="38522" xr:uid="{00000000-0005-0000-0000-000004980000}"/>
    <cellStyle name="RIGs linked cells 4 2 2 2 16" xfId="38523" xr:uid="{00000000-0005-0000-0000-000005980000}"/>
    <cellStyle name="RIGs linked cells 4 2 2 2 17" xfId="38524" xr:uid="{00000000-0005-0000-0000-000006980000}"/>
    <cellStyle name="RIGs linked cells 4 2 2 2 18" xfId="38525" xr:uid="{00000000-0005-0000-0000-000007980000}"/>
    <cellStyle name="RIGs linked cells 4 2 2 2 19" xfId="38526" xr:uid="{00000000-0005-0000-0000-000008980000}"/>
    <cellStyle name="RIGs linked cells 4 2 2 2 2" xfId="38527" xr:uid="{00000000-0005-0000-0000-000009980000}"/>
    <cellStyle name="RIGs linked cells 4 2 2 2 2 10" xfId="38528" xr:uid="{00000000-0005-0000-0000-00000A980000}"/>
    <cellStyle name="RIGs linked cells 4 2 2 2 2 11" xfId="38529" xr:uid="{00000000-0005-0000-0000-00000B980000}"/>
    <cellStyle name="RIGs linked cells 4 2 2 2 2 12" xfId="38530" xr:uid="{00000000-0005-0000-0000-00000C980000}"/>
    <cellStyle name="RIGs linked cells 4 2 2 2 2 13" xfId="38531" xr:uid="{00000000-0005-0000-0000-00000D980000}"/>
    <cellStyle name="RIGs linked cells 4 2 2 2 2 14" xfId="38532" xr:uid="{00000000-0005-0000-0000-00000E980000}"/>
    <cellStyle name="RIGs linked cells 4 2 2 2 2 15" xfId="38533" xr:uid="{00000000-0005-0000-0000-00000F980000}"/>
    <cellStyle name="RIGs linked cells 4 2 2 2 2 16" xfId="38534" xr:uid="{00000000-0005-0000-0000-000010980000}"/>
    <cellStyle name="RIGs linked cells 4 2 2 2 2 17" xfId="38535" xr:uid="{00000000-0005-0000-0000-000011980000}"/>
    <cellStyle name="RIGs linked cells 4 2 2 2 2 18" xfId="38536" xr:uid="{00000000-0005-0000-0000-000012980000}"/>
    <cellStyle name="RIGs linked cells 4 2 2 2 2 19" xfId="38537" xr:uid="{00000000-0005-0000-0000-000013980000}"/>
    <cellStyle name="RIGs linked cells 4 2 2 2 2 2" xfId="38538" xr:uid="{00000000-0005-0000-0000-000014980000}"/>
    <cellStyle name="RIGs linked cells 4 2 2 2 2 2 10" xfId="38539" xr:uid="{00000000-0005-0000-0000-000015980000}"/>
    <cellStyle name="RIGs linked cells 4 2 2 2 2 2 11" xfId="38540" xr:uid="{00000000-0005-0000-0000-000016980000}"/>
    <cellStyle name="RIGs linked cells 4 2 2 2 2 2 12" xfId="38541" xr:uid="{00000000-0005-0000-0000-000017980000}"/>
    <cellStyle name="RIGs linked cells 4 2 2 2 2 2 13" xfId="38542" xr:uid="{00000000-0005-0000-0000-000018980000}"/>
    <cellStyle name="RIGs linked cells 4 2 2 2 2 2 2" xfId="38543" xr:uid="{00000000-0005-0000-0000-000019980000}"/>
    <cellStyle name="RIGs linked cells 4 2 2 2 2 2 3" xfId="38544" xr:uid="{00000000-0005-0000-0000-00001A980000}"/>
    <cellStyle name="RIGs linked cells 4 2 2 2 2 2 4" xfId="38545" xr:uid="{00000000-0005-0000-0000-00001B980000}"/>
    <cellStyle name="RIGs linked cells 4 2 2 2 2 2 5" xfId="38546" xr:uid="{00000000-0005-0000-0000-00001C980000}"/>
    <cellStyle name="RIGs linked cells 4 2 2 2 2 2 6" xfId="38547" xr:uid="{00000000-0005-0000-0000-00001D980000}"/>
    <cellStyle name="RIGs linked cells 4 2 2 2 2 2 7" xfId="38548" xr:uid="{00000000-0005-0000-0000-00001E980000}"/>
    <cellStyle name="RIGs linked cells 4 2 2 2 2 2 8" xfId="38549" xr:uid="{00000000-0005-0000-0000-00001F980000}"/>
    <cellStyle name="RIGs linked cells 4 2 2 2 2 2 9" xfId="38550" xr:uid="{00000000-0005-0000-0000-000020980000}"/>
    <cellStyle name="RIGs linked cells 4 2 2 2 2 20" xfId="38551" xr:uid="{00000000-0005-0000-0000-000021980000}"/>
    <cellStyle name="RIGs linked cells 4 2 2 2 2 21" xfId="38552" xr:uid="{00000000-0005-0000-0000-000022980000}"/>
    <cellStyle name="RIGs linked cells 4 2 2 2 2 22" xfId="38553" xr:uid="{00000000-0005-0000-0000-000023980000}"/>
    <cellStyle name="RIGs linked cells 4 2 2 2 2 23" xfId="38554" xr:uid="{00000000-0005-0000-0000-000024980000}"/>
    <cellStyle name="RIGs linked cells 4 2 2 2 2 24" xfId="38555" xr:uid="{00000000-0005-0000-0000-000025980000}"/>
    <cellStyle name="RIGs linked cells 4 2 2 2 2 25" xfId="38556" xr:uid="{00000000-0005-0000-0000-000026980000}"/>
    <cellStyle name="RIGs linked cells 4 2 2 2 2 26" xfId="38557" xr:uid="{00000000-0005-0000-0000-000027980000}"/>
    <cellStyle name="RIGs linked cells 4 2 2 2 2 27" xfId="38558" xr:uid="{00000000-0005-0000-0000-000028980000}"/>
    <cellStyle name="RIGs linked cells 4 2 2 2 2 28" xfId="38559" xr:uid="{00000000-0005-0000-0000-000029980000}"/>
    <cellStyle name="RIGs linked cells 4 2 2 2 2 29" xfId="38560" xr:uid="{00000000-0005-0000-0000-00002A980000}"/>
    <cellStyle name="RIGs linked cells 4 2 2 2 2 3" xfId="38561" xr:uid="{00000000-0005-0000-0000-00002B980000}"/>
    <cellStyle name="RIGs linked cells 4 2 2 2 2 30" xfId="38562" xr:uid="{00000000-0005-0000-0000-00002C980000}"/>
    <cellStyle name="RIGs linked cells 4 2 2 2 2 31" xfId="38563" xr:uid="{00000000-0005-0000-0000-00002D980000}"/>
    <cellStyle name="RIGs linked cells 4 2 2 2 2 32" xfId="38564" xr:uid="{00000000-0005-0000-0000-00002E980000}"/>
    <cellStyle name="RIGs linked cells 4 2 2 2 2 33" xfId="38565" xr:uid="{00000000-0005-0000-0000-00002F980000}"/>
    <cellStyle name="RIGs linked cells 4 2 2 2 2 34" xfId="38566" xr:uid="{00000000-0005-0000-0000-000030980000}"/>
    <cellStyle name="RIGs linked cells 4 2 2 2 2 4" xfId="38567" xr:uid="{00000000-0005-0000-0000-000031980000}"/>
    <cellStyle name="RIGs linked cells 4 2 2 2 2 5" xfId="38568" xr:uid="{00000000-0005-0000-0000-000032980000}"/>
    <cellStyle name="RIGs linked cells 4 2 2 2 2 6" xfId="38569" xr:uid="{00000000-0005-0000-0000-000033980000}"/>
    <cellStyle name="RIGs linked cells 4 2 2 2 2 7" xfId="38570" xr:uid="{00000000-0005-0000-0000-000034980000}"/>
    <cellStyle name="RIGs linked cells 4 2 2 2 2 8" xfId="38571" xr:uid="{00000000-0005-0000-0000-000035980000}"/>
    <cellStyle name="RIGs linked cells 4 2 2 2 2 9" xfId="38572" xr:uid="{00000000-0005-0000-0000-000036980000}"/>
    <cellStyle name="RIGs linked cells 4 2 2 2 20" xfId="38573" xr:uid="{00000000-0005-0000-0000-000037980000}"/>
    <cellStyle name="RIGs linked cells 4 2 2 2 21" xfId="38574" xr:uid="{00000000-0005-0000-0000-000038980000}"/>
    <cellStyle name="RIGs linked cells 4 2 2 2 22" xfId="38575" xr:uid="{00000000-0005-0000-0000-000039980000}"/>
    <cellStyle name="RIGs linked cells 4 2 2 2 23" xfId="38576" xr:uid="{00000000-0005-0000-0000-00003A980000}"/>
    <cellStyle name="RIGs linked cells 4 2 2 2 24" xfId="38577" xr:uid="{00000000-0005-0000-0000-00003B980000}"/>
    <cellStyle name="RIGs linked cells 4 2 2 2 25" xfId="38578" xr:uid="{00000000-0005-0000-0000-00003C980000}"/>
    <cellStyle name="RIGs linked cells 4 2 2 2 26" xfId="38579" xr:uid="{00000000-0005-0000-0000-00003D980000}"/>
    <cellStyle name="RIGs linked cells 4 2 2 2 27" xfId="38580" xr:uid="{00000000-0005-0000-0000-00003E980000}"/>
    <cellStyle name="RIGs linked cells 4 2 2 2 28" xfId="38581" xr:uid="{00000000-0005-0000-0000-00003F980000}"/>
    <cellStyle name="RIGs linked cells 4 2 2 2 29" xfId="38582" xr:uid="{00000000-0005-0000-0000-000040980000}"/>
    <cellStyle name="RIGs linked cells 4 2 2 2 3" xfId="38583" xr:uid="{00000000-0005-0000-0000-000041980000}"/>
    <cellStyle name="RIGs linked cells 4 2 2 2 3 10" xfId="38584" xr:uid="{00000000-0005-0000-0000-000042980000}"/>
    <cellStyle name="RIGs linked cells 4 2 2 2 3 11" xfId="38585" xr:uid="{00000000-0005-0000-0000-000043980000}"/>
    <cellStyle name="RIGs linked cells 4 2 2 2 3 12" xfId="38586" xr:uid="{00000000-0005-0000-0000-000044980000}"/>
    <cellStyle name="RIGs linked cells 4 2 2 2 3 13" xfId="38587" xr:uid="{00000000-0005-0000-0000-000045980000}"/>
    <cellStyle name="RIGs linked cells 4 2 2 2 3 2" xfId="38588" xr:uid="{00000000-0005-0000-0000-000046980000}"/>
    <cellStyle name="RIGs linked cells 4 2 2 2 3 3" xfId="38589" xr:uid="{00000000-0005-0000-0000-000047980000}"/>
    <cellStyle name="RIGs linked cells 4 2 2 2 3 4" xfId="38590" xr:uid="{00000000-0005-0000-0000-000048980000}"/>
    <cellStyle name="RIGs linked cells 4 2 2 2 3 5" xfId="38591" xr:uid="{00000000-0005-0000-0000-000049980000}"/>
    <cellStyle name="RIGs linked cells 4 2 2 2 3 6" xfId="38592" xr:uid="{00000000-0005-0000-0000-00004A980000}"/>
    <cellStyle name="RIGs linked cells 4 2 2 2 3 7" xfId="38593" xr:uid="{00000000-0005-0000-0000-00004B980000}"/>
    <cellStyle name="RIGs linked cells 4 2 2 2 3 8" xfId="38594" xr:uid="{00000000-0005-0000-0000-00004C980000}"/>
    <cellStyle name="RIGs linked cells 4 2 2 2 3 9" xfId="38595" xr:uid="{00000000-0005-0000-0000-00004D980000}"/>
    <cellStyle name="RIGs linked cells 4 2 2 2 30" xfId="38596" xr:uid="{00000000-0005-0000-0000-00004E980000}"/>
    <cellStyle name="RIGs linked cells 4 2 2 2 31" xfId="38597" xr:uid="{00000000-0005-0000-0000-00004F980000}"/>
    <cellStyle name="RIGs linked cells 4 2 2 2 4" xfId="38598" xr:uid="{00000000-0005-0000-0000-000050980000}"/>
    <cellStyle name="RIGs linked cells 4 2 2 2 5" xfId="38599" xr:uid="{00000000-0005-0000-0000-000051980000}"/>
    <cellStyle name="RIGs linked cells 4 2 2 2 6" xfId="38600" xr:uid="{00000000-0005-0000-0000-000052980000}"/>
    <cellStyle name="RIGs linked cells 4 2 2 2 7" xfId="38601" xr:uid="{00000000-0005-0000-0000-000053980000}"/>
    <cellStyle name="RIGs linked cells 4 2 2 2 8" xfId="38602" xr:uid="{00000000-0005-0000-0000-000054980000}"/>
    <cellStyle name="RIGs linked cells 4 2 2 2 9" xfId="38603" xr:uid="{00000000-0005-0000-0000-000055980000}"/>
    <cellStyle name="RIGs linked cells 4 2 2 2_4 28 1_Asst_Health_Crit_AllTO_RIIO_20110714pm" xfId="38604" xr:uid="{00000000-0005-0000-0000-000056980000}"/>
    <cellStyle name="RIGs linked cells 4 2 2 20" xfId="38605" xr:uid="{00000000-0005-0000-0000-000057980000}"/>
    <cellStyle name="RIGs linked cells 4 2 2 21" xfId="38606" xr:uid="{00000000-0005-0000-0000-000058980000}"/>
    <cellStyle name="RIGs linked cells 4 2 2 22" xfId="38607" xr:uid="{00000000-0005-0000-0000-000059980000}"/>
    <cellStyle name="RIGs linked cells 4 2 2 23" xfId="38608" xr:uid="{00000000-0005-0000-0000-00005A980000}"/>
    <cellStyle name="RIGs linked cells 4 2 2 24" xfId="38609" xr:uid="{00000000-0005-0000-0000-00005B980000}"/>
    <cellStyle name="RIGs linked cells 4 2 2 25" xfId="38610" xr:uid="{00000000-0005-0000-0000-00005C980000}"/>
    <cellStyle name="RIGs linked cells 4 2 2 26" xfId="38611" xr:uid="{00000000-0005-0000-0000-00005D980000}"/>
    <cellStyle name="RIGs linked cells 4 2 2 27" xfId="38612" xr:uid="{00000000-0005-0000-0000-00005E980000}"/>
    <cellStyle name="RIGs linked cells 4 2 2 28" xfId="38613" xr:uid="{00000000-0005-0000-0000-00005F980000}"/>
    <cellStyle name="RIGs linked cells 4 2 2 29" xfId="38614" xr:uid="{00000000-0005-0000-0000-000060980000}"/>
    <cellStyle name="RIGs linked cells 4 2 2 3" xfId="38615" xr:uid="{00000000-0005-0000-0000-000061980000}"/>
    <cellStyle name="RIGs linked cells 4 2 2 3 10" xfId="38616" xr:uid="{00000000-0005-0000-0000-000062980000}"/>
    <cellStyle name="RIGs linked cells 4 2 2 3 11" xfId="38617" xr:uid="{00000000-0005-0000-0000-000063980000}"/>
    <cellStyle name="RIGs linked cells 4 2 2 3 12" xfId="38618" xr:uid="{00000000-0005-0000-0000-000064980000}"/>
    <cellStyle name="RIGs linked cells 4 2 2 3 13" xfId="38619" xr:uid="{00000000-0005-0000-0000-000065980000}"/>
    <cellStyle name="RIGs linked cells 4 2 2 3 14" xfId="38620" xr:uid="{00000000-0005-0000-0000-000066980000}"/>
    <cellStyle name="RIGs linked cells 4 2 2 3 15" xfId="38621" xr:uid="{00000000-0005-0000-0000-000067980000}"/>
    <cellStyle name="RIGs linked cells 4 2 2 3 16" xfId="38622" xr:uid="{00000000-0005-0000-0000-000068980000}"/>
    <cellStyle name="RIGs linked cells 4 2 2 3 17" xfId="38623" xr:uid="{00000000-0005-0000-0000-000069980000}"/>
    <cellStyle name="RIGs linked cells 4 2 2 3 18" xfId="38624" xr:uid="{00000000-0005-0000-0000-00006A980000}"/>
    <cellStyle name="RIGs linked cells 4 2 2 3 19" xfId="38625" xr:uid="{00000000-0005-0000-0000-00006B980000}"/>
    <cellStyle name="RIGs linked cells 4 2 2 3 2" xfId="38626" xr:uid="{00000000-0005-0000-0000-00006C980000}"/>
    <cellStyle name="RIGs linked cells 4 2 2 3 2 10" xfId="38627" xr:uid="{00000000-0005-0000-0000-00006D980000}"/>
    <cellStyle name="RIGs linked cells 4 2 2 3 2 11" xfId="38628" xr:uid="{00000000-0005-0000-0000-00006E980000}"/>
    <cellStyle name="RIGs linked cells 4 2 2 3 2 12" xfId="38629" xr:uid="{00000000-0005-0000-0000-00006F980000}"/>
    <cellStyle name="RIGs linked cells 4 2 2 3 2 13" xfId="38630" xr:uid="{00000000-0005-0000-0000-000070980000}"/>
    <cellStyle name="RIGs linked cells 4 2 2 3 2 2" xfId="38631" xr:uid="{00000000-0005-0000-0000-000071980000}"/>
    <cellStyle name="RIGs linked cells 4 2 2 3 2 3" xfId="38632" xr:uid="{00000000-0005-0000-0000-000072980000}"/>
    <cellStyle name="RIGs linked cells 4 2 2 3 2 4" xfId="38633" xr:uid="{00000000-0005-0000-0000-000073980000}"/>
    <cellStyle name="RIGs linked cells 4 2 2 3 2 5" xfId="38634" xr:uid="{00000000-0005-0000-0000-000074980000}"/>
    <cellStyle name="RIGs linked cells 4 2 2 3 2 6" xfId="38635" xr:uid="{00000000-0005-0000-0000-000075980000}"/>
    <cellStyle name="RIGs linked cells 4 2 2 3 2 7" xfId="38636" xr:uid="{00000000-0005-0000-0000-000076980000}"/>
    <cellStyle name="RIGs linked cells 4 2 2 3 2 8" xfId="38637" xr:uid="{00000000-0005-0000-0000-000077980000}"/>
    <cellStyle name="RIGs linked cells 4 2 2 3 2 9" xfId="38638" xr:uid="{00000000-0005-0000-0000-000078980000}"/>
    <cellStyle name="RIGs linked cells 4 2 2 3 20" xfId="38639" xr:uid="{00000000-0005-0000-0000-000079980000}"/>
    <cellStyle name="RIGs linked cells 4 2 2 3 21" xfId="38640" xr:uid="{00000000-0005-0000-0000-00007A980000}"/>
    <cellStyle name="RIGs linked cells 4 2 2 3 22" xfId="38641" xr:uid="{00000000-0005-0000-0000-00007B980000}"/>
    <cellStyle name="RIGs linked cells 4 2 2 3 23" xfId="38642" xr:uid="{00000000-0005-0000-0000-00007C980000}"/>
    <cellStyle name="RIGs linked cells 4 2 2 3 24" xfId="38643" xr:uid="{00000000-0005-0000-0000-00007D980000}"/>
    <cellStyle name="RIGs linked cells 4 2 2 3 25" xfId="38644" xr:uid="{00000000-0005-0000-0000-00007E980000}"/>
    <cellStyle name="RIGs linked cells 4 2 2 3 26" xfId="38645" xr:uid="{00000000-0005-0000-0000-00007F980000}"/>
    <cellStyle name="RIGs linked cells 4 2 2 3 27" xfId="38646" xr:uid="{00000000-0005-0000-0000-000080980000}"/>
    <cellStyle name="RIGs linked cells 4 2 2 3 28" xfId="38647" xr:uid="{00000000-0005-0000-0000-000081980000}"/>
    <cellStyle name="RIGs linked cells 4 2 2 3 29" xfId="38648" xr:uid="{00000000-0005-0000-0000-000082980000}"/>
    <cellStyle name="RIGs linked cells 4 2 2 3 3" xfId="38649" xr:uid="{00000000-0005-0000-0000-000083980000}"/>
    <cellStyle name="RIGs linked cells 4 2 2 3 30" xfId="38650" xr:uid="{00000000-0005-0000-0000-000084980000}"/>
    <cellStyle name="RIGs linked cells 4 2 2 3 4" xfId="38651" xr:uid="{00000000-0005-0000-0000-000085980000}"/>
    <cellStyle name="RIGs linked cells 4 2 2 3 5" xfId="38652" xr:uid="{00000000-0005-0000-0000-000086980000}"/>
    <cellStyle name="RIGs linked cells 4 2 2 3 6" xfId="38653" xr:uid="{00000000-0005-0000-0000-000087980000}"/>
    <cellStyle name="RIGs linked cells 4 2 2 3 7" xfId="38654" xr:uid="{00000000-0005-0000-0000-000088980000}"/>
    <cellStyle name="RIGs linked cells 4 2 2 3 8" xfId="38655" xr:uid="{00000000-0005-0000-0000-000089980000}"/>
    <cellStyle name="RIGs linked cells 4 2 2 3 9" xfId="38656" xr:uid="{00000000-0005-0000-0000-00008A980000}"/>
    <cellStyle name="RIGs linked cells 4 2 2 30" xfId="38657" xr:uid="{00000000-0005-0000-0000-00008B980000}"/>
    <cellStyle name="RIGs linked cells 4 2 2 31" xfId="38658" xr:uid="{00000000-0005-0000-0000-00008C980000}"/>
    <cellStyle name="RIGs linked cells 4 2 2 32" xfId="38659" xr:uid="{00000000-0005-0000-0000-00008D980000}"/>
    <cellStyle name="RIGs linked cells 4 2 2 33" xfId="38660" xr:uid="{00000000-0005-0000-0000-00008E980000}"/>
    <cellStyle name="RIGs linked cells 4 2 2 4" xfId="38661" xr:uid="{00000000-0005-0000-0000-00008F980000}"/>
    <cellStyle name="RIGs linked cells 4 2 2 4 10" xfId="38662" xr:uid="{00000000-0005-0000-0000-000090980000}"/>
    <cellStyle name="RIGs linked cells 4 2 2 4 11" xfId="38663" xr:uid="{00000000-0005-0000-0000-000091980000}"/>
    <cellStyle name="RIGs linked cells 4 2 2 4 12" xfId="38664" xr:uid="{00000000-0005-0000-0000-000092980000}"/>
    <cellStyle name="RIGs linked cells 4 2 2 4 13" xfId="38665" xr:uid="{00000000-0005-0000-0000-000093980000}"/>
    <cellStyle name="RIGs linked cells 4 2 2 4 14" xfId="38666" xr:uid="{00000000-0005-0000-0000-000094980000}"/>
    <cellStyle name="RIGs linked cells 4 2 2 4 15" xfId="38667" xr:uid="{00000000-0005-0000-0000-000095980000}"/>
    <cellStyle name="RIGs linked cells 4 2 2 4 16" xfId="38668" xr:uid="{00000000-0005-0000-0000-000096980000}"/>
    <cellStyle name="RIGs linked cells 4 2 2 4 17" xfId="38669" xr:uid="{00000000-0005-0000-0000-000097980000}"/>
    <cellStyle name="RIGs linked cells 4 2 2 4 18" xfId="38670" xr:uid="{00000000-0005-0000-0000-000098980000}"/>
    <cellStyle name="RIGs linked cells 4 2 2 4 19" xfId="38671" xr:uid="{00000000-0005-0000-0000-000099980000}"/>
    <cellStyle name="RIGs linked cells 4 2 2 4 2" xfId="38672" xr:uid="{00000000-0005-0000-0000-00009A980000}"/>
    <cellStyle name="RIGs linked cells 4 2 2 4 2 10" xfId="38673" xr:uid="{00000000-0005-0000-0000-00009B980000}"/>
    <cellStyle name="RIGs linked cells 4 2 2 4 2 11" xfId="38674" xr:uid="{00000000-0005-0000-0000-00009C980000}"/>
    <cellStyle name="RIGs linked cells 4 2 2 4 2 12" xfId="38675" xr:uid="{00000000-0005-0000-0000-00009D980000}"/>
    <cellStyle name="RIGs linked cells 4 2 2 4 2 13" xfId="38676" xr:uid="{00000000-0005-0000-0000-00009E980000}"/>
    <cellStyle name="RIGs linked cells 4 2 2 4 2 2" xfId="38677" xr:uid="{00000000-0005-0000-0000-00009F980000}"/>
    <cellStyle name="RIGs linked cells 4 2 2 4 2 3" xfId="38678" xr:uid="{00000000-0005-0000-0000-0000A0980000}"/>
    <cellStyle name="RIGs linked cells 4 2 2 4 2 4" xfId="38679" xr:uid="{00000000-0005-0000-0000-0000A1980000}"/>
    <cellStyle name="RIGs linked cells 4 2 2 4 2 5" xfId="38680" xr:uid="{00000000-0005-0000-0000-0000A2980000}"/>
    <cellStyle name="RIGs linked cells 4 2 2 4 2 6" xfId="38681" xr:uid="{00000000-0005-0000-0000-0000A3980000}"/>
    <cellStyle name="RIGs linked cells 4 2 2 4 2 7" xfId="38682" xr:uid="{00000000-0005-0000-0000-0000A4980000}"/>
    <cellStyle name="RIGs linked cells 4 2 2 4 2 8" xfId="38683" xr:uid="{00000000-0005-0000-0000-0000A5980000}"/>
    <cellStyle name="RIGs linked cells 4 2 2 4 2 9" xfId="38684" xr:uid="{00000000-0005-0000-0000-0000A6980000}"/>
    <cellStyle name="RIGs linked cells 4 2 2 4 20" xfId="38685" xr:uid="{00000000-0005-0000-0000-0000A7980000}"/>
    <cellStyle name="RIGs linked cells 4 2 2 4 21" xfId="38686" xr:uid="{00000000-0005-0000-0000-0000A8980000}"/>
    <cellStyle name="RIGs linked cells 4 2 2 4 22" xfId="38687" xr:uid="{00000000-0005-0000-0000-0000A9980000}"/>
    <cellStyle name="RIGs linked cells 4 2 2 4 23" xfId="38688" xr:uid="{00000000-0005-0000-0000-0000AA980000}"/>
    <cellStyle name="RIGs linked cells 4 2 2 4 24" xfId="38689" xr:uid="{00000000-0005-0000-0000-0000AB980000}"/>
    <cellStyle name="RIGs linked cells 4 2 2 4 25" xfId="38690" xr:uid="{00000000-0005-0000-0000-0000AC980000}"/>
    <cellStyle name="RIGs linked cells 4 2 2 4 26" xfId="38691" xr:uid="{00000000-0005-0000-0000-0000AD980000}"/>
    <cellStyle name="RIGs linked cells 4 2 2 4 27" xfId="38692" xr:uid="{00000000-0005-0000-0000-0000AE980000}"/>
    <cellStyle name="RIGs linked cells 4 2 2 4 28" xfId="38693" xr:uid="{00000000-0005-0000-0000-0000AF980000}"/>
    <cellStyle name="RIGs linked cells 4 2 2 4 29" xfId="38694" xr:uid="{00000000-0005-0000-0000-0000B0980000}"/>
    <cellStyle name="RIGs linked cells 4 2 2 4 3" xfId="38695" xr:uid="{00000000-0005-0000-0000-0000B1980000}"/>
    <cellStyle name="RIGs linked cells 4 2 2 4 30" xfId="38696" xr:uid="{00000000-0005-0000-0000-0000B2980000}"/>
    <cellStyle name="RIGs linked cells 4 2 2 4 4" xfId="38697" xr:uid="{00000000-0005-0000-0000-0000B3980000}"/>
    <cellStyle name="RIGs linked cells 4 2 2 4 5" xfId="38698" xr:uid="{00000000-0005-0000-0000-0000B4980000}"/>
    <cellStyle name="RIGs linked cells 4 2 2 4 6" xfId="38699" xr:uid="{00000000-0005-0000-0000-0000B5980000}"/>
    <cellStyle name="RIGs linked cells 4 2 2 4 7" xfId="38700" xr:uid="{00000000-0005-0000-0000-0000B6980000}"/>
    <cellStyle name="RIGs linked cells 4 2 2 4 8" xfId="38701" xr:uid="{00000000-0005-0000-0000-0000B7980000}"/>
    <cellStyle name="RIGs linked cells 4 2 2 4 9" xfId="38702" xr:uid="{00000000-0005-0000-0000-0000B8980000}"/>
    <cellStyle name="RIGs linked cells 4 2 2 5" xfId="38703" xr:uid="{00000000-0005-0000-0000-0000B9980000}"/>
    <cellStyle name="RIGs linked cells 4 2 2 5 10" xfId="38704" xr:uid="{00000000-0005-0000-0000-0000BA980000}"/>
    <cellStyle name="RIGs linked cells 4 2 2 5 11" xfId="38705" xr:uid="{00000000-0005-0000-0000-0000BB980000}"/>
    <cellStyle name="RIGs linked cells 4 2 2 5 12" xfId="38706" xr:uid="{00000000-0005-0000-0000-0000BC980000}"/>
    <cellStyle name="RIGs linked cells 4 2 2 5 13" xfId="38707" xr:uid="{00000000-0005-0000-0000-0000BD980000}"/>
    <cellStyle name="RIGs linked cells 4 2 2 5 2" xfId="38708" xr:uid="{00000000-0005-0000-0000-0000BE980000}"/>
    <cellStyle name="RIGs linked cells 4 2 2 5 3" xfId="38709" xr:uid="{00000000-0005-0000-0000-0000BF980000}"/>
    <cellStyle name="RIGs linked cells 4 2 2 5 4" xfId="38710" xr:uid="{00000000-0005-0000-0000-0000C0980000}"/>
    <cellStyle name="RIGs linked cells 4 2 2 5 5" xfId="38711" xr:uid="{00000000-0005-0000-0000-0000C1980000}"/>
    <cellStyle name="RIGs linked cells 4 2 2 5 6" xfId="38712" xr:uid="{00000000-0005-0000-0000-0000C2980000}"/>
    <cellStyle name="RIGs linked cells 4 2 2 5 7" xfId="38713" xr:uid="{00000000-0005-0000-0000-0000C3980000}"/>
    <cellStyle name="RIGs linked cells 4 2 2 5 8" xfId="38714" xr:uid="{00000000-0005-0000-0000-0000C4980000}"/>
    <cellStyle name="RIGs linked cells 4 2 2 5 9" xfId="38715" xr:uid="{00000000-0005-0000-0000-0000C5980000}"/>
    <cellStyle name="RIGs linked cells 4 2 2 6" xfId="38716" xr:uid="{00000000-0005-0000-0000-0000C6980000}"/>
    <cellStyle name="RIGs linked cells 4 2 2 7" xfId="38717" xr:uid="{00000000-0005-0000-0000-0000C7980000}"/>
    <cellStyle name="RIGs linked cells 4 2 2 8" xfId="38718" xr:uid="{00000000-0005-0000-0000-0000C8980000}"/>
    <cellStyle name="RIGs linked cells 4 2 2 9" xfId="38719" xr:uid="{00000000-0005-0000-0000-0000C9980000}"/>
    <cellStyle name="RIGs linked cells 4 2 2_4 28 1_Asst_Health_Crit_AllTO_RIIO_20110714pm" xfId="38720" xr:uid="{00000000-0005-0000-0000-0000CA980000}"/>
    <cellStyle name="RIGs linked cells 4 2 20" xfId="38721" xr:uid="{00000000-0005-0000-0000-0000CB980000}"/>
    <cellStyle name="RIGs linked cells 4 2 21" xfId="38722" xr:uid="{00000000-0005-0000-0000-0000CC980000}"/>
    <cellStyle name="RIGs linked cells 4 2 22" xfId="38723" xr:uid="{00000000-0005-0000-0000-0000CD980000}"/>
    <cellStyle name="RIGs linked cells 4 2 23" xfId="38724" xr:uid="{00000000-0005-0000-0000-0000CE980000}"/>
    <cellStyle name="RIGs linked cells 4 2 24" xfId="38725" xr:uid="{00000000-0005-0000-0000-0000CF980000}"/>
    <cellStyle name="RIGs linked cells 4 2 25" xfId="38726" xr:uid="{00000000-0005-0000-0000-0000D0980000}"/>
    <cellStyle name="RIGs linked cells 4 2 26" xfId="38727" xr:uid="{00000000-0005-0000-0000-0000D1980000}"/>
    <cellStyle name="RIGs linked cells 4 2 27" xfId="38728" xr:uid="{00000000-0005-0000-0000-0000D2980000}"/>
    <cellStyle name="RIGs linked cells 4 2 28" xfId="38729" xr:uid="{00000000-0005-0000-0000-0000D3980000}"/>
    <cellStyle name="RIGs linked cells 4 2 29" xfId="38730" xr:uid="{00000000-0005-0000-0000-0000D4980000}"/>
    <cellStyle name="RIGs linked cells 4 2 3" xfId="38731" xr:uid="{00000000-0005-0000-0000-0000D5980000}"/>
    <cellStyle name="RIGs linked cells 4 2 3 10" xfId="38732" xr:uid="{00000000-0005-0000-0000-0000D6980000}"/>
    <cellStyle name="RIGs linked cells 4 2 3 11" xfId="38733" xr:uid="{00000000-0005-0000-0000-0000D7980000}"/>
    <cellStyle name="RIGs linked cells 4 2 3 12" xfId="38734" xr:uid="{00000000-0005-0000-0000-0000D8980000}"/>
    <cellStyle name="RIGs linked cells 4 2 3 13" xfId="38735" xr:uid="{00000000-0005-0000-0000-0000D9980000}"/>
    <cellStyle name="RIGs linked cells 4 2 3 14" xfId="38736" xr:uid="{00000000-0005-0000-0000-0000DA980000}"/>
    <cellStyle name="RIGs linked cells 4 2 3 15" xfId="38737" xr:uid="{00000000-0005-0000-0000-0000DB980000}"/>
    <cellStyle name="RIGs linked cells 4 2 3 16" xfId="38738" xr:uid="{00000000-0005-0000-0000-0000DC980000}"/>
    <cellStyle name="RIGs linked cells 4 2 3 17" xfId="38739" xr:uid="{00000000-0005-0000-0000-0000DD980000}"/>
    <cellStyle name="RIGs linked cells 4 2 3 18" xfId="38740" xr:uid="{00000000-0005-0000-0000-0000DE980000}"/>
    <cellStyle name="RIGs linked cells 4 2 3 19" xfId="38741" xr:uid="{00000000-0005-0000-0000-0000DF980000}"/>
    <cellStyle name="RIGs linked cells 4 2 3 2" xfId="38742" xr:uid="{00000000-0005-0000-0000-0000E0980000}"/>
    <cellStyle name="RIGs linked cells 4 2 3 2 10" xfId="38743" xr:uid="{00000000-0005-0000-0000-0000E1980000}"/>
    <cellStyle name="RIGs linked cells 4 2 3 2 11" xfId="38744" xr:uid="{00000000-0005-0000-0000-0000E2980000}"/>
    <cellStyle name="RIGs linked cells 4 2 3 2 12" xfId="38745" xr:uid="{00000000-0005-0000-0000-0000E3980000}"/>
    <cellStyle name="RIGs linked cells 4 2 3 2 13" xfId="38746" xr:uid="{00000000-0005-0000-0000-0000E4980000}"/>
    <cellStyle name="RIGs linked cells 4 2 3 2 14" xfId="38747" xr:uid="{00000000-0005-0000-0000-0000E5980000}"/>
    <cellStyle name="RIGs linked cells 4 2 3 2 15" xfId="38748" xr:uid="{00000000-0005-0000-0000-0000E6980000}"/>
    <cellStyle name="RIGs linked cells 4 2 3 2 16" xfId="38749" xr:uid="{00000000-0005-0000-0000-0000E7980000}"/>
    <cellStyle name="RIGs linked cells 4 2 3 2 17" xfId="38750" xr:uid="{00000000-0005-0000-0000-0000E8980000}"/>
    <cellStyle name="RIGs linked cells 4 2 3 2 18" xfId="38751" xr:uid="{00000000-0005-0000-0000-0000E9980000}"/>
    <cellStyle name="RIGs linked cells 4 2 3 2 19" xfId="38752" xr:uid="{00000000-0005-0000-0000-0000EA980000}"/>
    <cellStyle name="RIGs linked cells 4 2 3 2 2" xfId="38753" xr:uid="{00000000-0005-0000-0000-0000EB980000}"/>
    <cellStyle name="RIGs linked cells 4 2 3 2 2 10" xfId="38754" xr:uid="{00000000-0005-0000-0000-0000EC980000}"/>
    <cellStyle name="RIGs linked cells 4 2 3 2 2 11" xfId="38755" xr:uid="{00000000-0005-0000-0000-0000ED980000}"/>
    <cellStyle name="RIGs linked cells 4 2 3 2 2 12" xfId="38756" xr:uid="{00000000-0005-0000-0000-0000EE980000}"/>
    <cellStyle name="RIGs linked cells 4 2 3 2 2 13" xfId="38757" xr:uid="{00000000-0005-0000-0000-0000EF980000}"/>
    <cellStyle name="RIGs linked cells 4 2 3 2 2 2" xfId="38758" xr:uid="{00000000-0005-0000-0000-0000F0980000}"/>
    <cellStyle name="RIGs linked cells 4 2 3 2 2 3" xfId="38759" xr:uid="{00000000-0005-0000-0000-0000F1980000}"/>
    <cellStyle name="RIGs linked cells 4 2 3 2 2 4" xfId="38760" xr:uid="{00000000-0005-0000-0000-0000F2980000}"/>
    <cellStyle name="RIGs linked cells 4 2 3 2 2 5" xfId="38761" xr:uid="{00000000-0005-0000-0000-0000F3980000}"/>
    <cellStyle name="RIGs linked cells 4 2 3 2 2 6" xfId="38762" xr:uid="{00000000-0005-0000-0000-0000F4980000}"/>
    <cellStyle name="RIGs linked cells 4 2 3 2 2 7" xfId="38763" xr:uid="{00000000-0005-0000-0000-0000F5980000}"/>
    <cellStyle name="RIGs linked cells 4 2 3 2 2 8" xfId="38764" xr:uid="{00000000-0005-0000-0000-0000F6980000}"/>
    <cellStyle name="RIGs linked cells 4 2 3 2 2 9" xfId="38765" xr:uid="{00000000-0005-0000-0000-0000F7980000}"/>
    <cellStyle name="RIGs linked cells 4 2 3 2 20" xfId="38766" xr:uid="{00000000-0005-0000-0000-0000F8980000}"/>
    <cellStyle name="RIGs linked cells 4 2 3 2 21" xfId="38767" xr:uid="{00000000-0005-0000-0000-0000F9980000}"/>
    <cellStyle name="RIGs linked cells 4 2 3 2 22" xfId="38768" xr:uid="{00000000-0005-0000-0000-0000FA980000}"/>
    <cellStyle name="RIGs linked cells 4 2 3 2 23" xfId="38769" xr:uid="{00000000-0005-0000-0000-0000FB980000}"/>
    <cellStyle name="RIGs linked cells 4 2 3 2 24" xfId="38770" xr:uid="{00000000-0005-0000-0000-0000FC980000}"/>
    <cellStyle name="RIGs linked cells 4 2 3 2 25" xfId="38771" xr:uid="{00000000-0005-0000-0000-0000FD980000}"/>
    <cellStyle name="RIGs linked cells 4 2 3 2 26" xfId="38772" xr:uid="{00000000-0005-0000-0000-0000FE980000}"/>
    <cellStyle name="RIGs linked cells 4 2 3 2 27" xfId="38773" xr:uid="{00000000-0005-0000-0000-0000FF980000}"/>
    <cellStyle name="RIGs linked cells 4 2 3 2 28" xfId="38774" xr:uid="{00000000-0005-0000-0000-000000990000}"/>
    <cellStyle name="RIGs linked cells 4 2 3 2 29" xfId="38775" xr:uid="{00000000-0005-0000-0000-000001990000}"/>
    <cellStyle name="RIGs linked cells 4 2 3 2 3" xfId="38776" xr:uid="{00000000-0005-0000-0000-000002990000}"/>
    <cellStyle name="RIGs linked cells 4 2 3 2 30" xfId="38777" xr:uid="{00000000-0005-0000-0000-000003990000}"/>
    <cellStyle name="RIGs linked cells 4 2 3 2 31" xfId="38778" xr:uid="{00000000-0005-0000-0000-000004990000}"/>
    <cellStyle name="RIGs linked cells 4 2 3 2 32" xfId="38779" xr:uid="{00000000-0005-0000-0000-000005990000}"/>
    <cellStyle name="RIGs linked cells 4 2 3 2 33" xfId="38780" xr:uid="{00000000-0005-0000-0000-000006990000}"/>
    <cellStyle name="RIGs linked cells 4 2 3 2 34" xfId="38781" xr:uid="{00000000-0005-0000-0000-000007990000}"/>
    <cellStyle name="RIGs linked cells 4 2 3 2 4" xfId="38782" xr:uid="{00000000-0005-0000-0000-000008990000}"/>
    <cellStyle name="RIGs linked cells 4 2 3 2 5" xfId="38783" xr:uid="{00000000-0005-0000-0000-000009990000}"/>
    <cellStyle name="RIGs linked cells 4 2 3 2 6" xfId="38784" xr:uid="{00000000-0005-0000-0000-00000A990000}"/>
    <cellStyle name="RIGs linked cells 4 2 3 2 7" xfId="38785" xr:uid="{00000000-0005-0000-0000-00000B990000}"/>
    <cellStyle name="RIGs linked cells 4 2 3 2 8" xfId="38786" xr:uid="{00000000-0005-0000-0000-00000C990000}"/>
    <cellStyle name="RIGs linked cells 4 2 3 2 9" xfId="38787" xr:uid="{00000000-0005-0000-0000-00000D990000}"/>
    <cellStyle name="RIGs linked cells 4 2 3 20" xfId="38788" xr:uid="{00000000-0005-0000-0000-00000E990000}"/>
    <cellStyle name="RIGs linked cells 4 2 3 21" xfId="38789" xr:uid="{00000000-0005-0000-0000-00000F990000}"/>
    <cellStyle name="RIGs linked cells 4 2 3 22" xfId="38790" xr:uid="{00000000-0005-0000-0000-000010990000}"/>
    <cellStyle name="RIGs linked cells 4 2 3 23" xfId="38791" xr:uid="{00000000-0005-0000-0000-000011990000}"/>
    <cellStyle name="RIGs linked cells 4 2 3 24" xfId="38792" xr:uid="{00000000-0005-0000-0000-000012990000}"/>
    <cellStyle name="RIGs linked cells 4 2 3 25" xfId="38793" xr:uid="{00000000-0005-0000-0000-000013990000}"/>
    <cellStyle name="RIGs linked cells 4 2 3 26" xfId="38794" xr:uid="{00000000-0005-0000-0000-000014990000}"/>
    <cellStyle name="RIGs linked cells 4 2 3 27" xfId="38795" xr:uid="{00000000-0005-0000-0000-000015990000}"/>
    <cellStyle name="RIGs linked cells 4 2 3 28" xfId="38796" xr:uid="{00000000-0005-0000-0000-000016990000}"/>
    <cellStyle name="RIGs linked cells 4 2 3 29" xfId="38797" xr:uid="{00000000-0005-0000-0000-000017990000}"/>
    <cellStyle name="RIGs linked cells 4 2 3 3" xfId="38798" xr:uid="{00000000-0005-0000-0000-000018990000}"/>
    <cellStyle name="RIGs linked cells 4 2 3 3 10" xfId="38799" xr:uid="{00000000-0005-0000-0000-000019990000}"/>
    <cellStyle name="RIGs linked cells 4 2 3 3 11" xfId="38800" xr:uid="{00000000-0005-0000-0000-00001A990000}"/>
    <cellStyle name="RIGs linked cells 4 2 3 3 12" xfId="38801" xr:uid="{00000000-0005-0000-0000-00001B990000}"/>
    <cellStyle name="RIGs linked cells 4 2 3 3 13" xfId="38802" xr:uid="{00000000-0005-0000-0000-00001C990000}"/>
    <cellStyle name="RIGs linked cells 4 2 3 3 2" xfId="38803" xr:uid="{00000000-0005-0000-0000-00001D990000}"/>
    <cellStyle name="RIGs linked cells 4 2 3 3 3" xfId="38804" xr:uid="{00000000-0005-0000-0000-00001E990000}"/>
    <cellStyle name="RIGs linked cells 4 2 3 3 4" xfId="38805" xr:uid="{00000000-0005-0000-0000-00001F990000}"/>
    <cellStyle name="RIGs linked cells 4 2 3 3 5" xfId="38806" xr:uid="{00000000-0005-0000-0000-000020990000}"/>
    <cellStyle name="RIGs linked cells 4 2 3 3 6" xfId="38807" xr:uid="{00000000-0005-0000-0000-000021990000}"/>
    <cellStyle name="RIGs linked cells 4 2 3 3 7" xfId="38808" xr:uid="{00000000-0005-0000-0000-000022990000}"/>
    <cellStyle name="RIGs linked cells 4 2 3 3 8" xfId="38809" xr:uid="{00000000-0005-0000-0000-000023990000}"/>
    <cellStyle name="RIGs linked cells 4 2 3 3 9" xfId="38810" xr:uid="{00000000-0005-0000-0000-000024990000}"/>
    <cellStyle name="RIGs linked cells 4 2 3 30" xfId="38811" xr:uid="{00000000-0005-0000-0000-000025990000}"/>
    <cellStyle name="RIGs linked cells 4 2 3 31" xfId="38812" xr:uid="{00000000-0005-0000-0000-000026990000}"/>
    <cellStyle name="RIGs linked cells 4 2 3 32" xfId="38813" xr:uid="{00000000-0005-0000-0000-000027990000}"/>
    <cellStyle name="RIGs linked cells 4 2 3 33" xfId="38814" xr:uid="{00000000-0005-0000-0000-000028990000}"/>
    <cellStyle name="RIGs linked cells 4 2 3 34" xfId="38815" xr:uid="{00000000-0005-0000-0000-000029990000}"/>
    <cellStyle name="RIGs linked cells 4 2 3 35" xfId="38816" xr:uid="{00000000-0005-0000-0000-00002A990000}"/>
    <cellStyle name="RIGs linked cells 4 2 3 4" xfId="38817" xr:uid="{00000000-0005-0000-0000-00002B990000}"/>
    <cellStyle name="RIGs linked cells 4 2 3 5" xfId="38818" xr:uid="{00000000-0005-0000-0000-00002C990000}"/>
    <cellStyle name="RIGs linked cells 4 2 3 6" xfId="38819" xr:uid="{00000000-0005-0000-0000-00002D990000}"/>
    <cellStyle name="RIGs linked cells 4 2 3 7" xfId="38820" xr:uid="{00000000-0005-0000-0000-00002E990000}"/>
    <cellStyle name="RIGs linked cells 4 2 3 8" xfId="38821" xr:uid="{00000000-0005-0000-0000-00002F990000}"/>
    <cellStyle name="RIGs linked cells 4 2 3 9" xfId="38822" xr:uid="{00000000-0005-0000-0000-000030990000}"/>
    <cellStyle name="RIGs linked cells 4 2 3_4 28 1_Asst_Health_Crit_AllTO_RIIO_20110714pm" xfId="38823" xr:uid="{00000000-0005-0000-0000-000031990000}"/>
    <cellStyle name="RIGs linked cells 4 2 30" xfId="38824" xr:uid="{00000000-0005-0000-0000-000032990000}"/>
    <cellStyle name="RIGs linked cells 4 2 31" xfId="38825" xr:uid="{00000000-0005-0000-0000-000033990000}"/>
    <cellStyle name="RIGs linked cells 4 2 32" xfId="38826" xr:uid="{00000000-0005-0000-0000-000034990000}"/>
    <cellStyle name="RIGs linked cells 4 2 33" xfId="38827" xr:uid="{00000000-0005-0000-0000-000035990000}"/>
    <cellStyle name="RIGs linked cells 4 2 34" xfId="38828" xr:uid="{00000000-0005-0000-0000-000036990000}"/>
    <cellStyle name="RIGs linked cells 4 2 35" xfId="38829" xr:uid="{00000000-0005-0000-0000-000037990000}"/>
    <cellStyle name="RIGs linked cells 4 2 36" xfId="38830" xr:uid="{00000000-0005-0000-0000-000038990000}"/>
    <cellStyle name="RIGs linked cells 4 2 37" xfId="38831" xr:uid="{00000000-0005-0000-0000-000039990000}"/>
    <cellStyle name="RIGs linked cells 4 2 38" xfId="38832" xr:uid="{00000000-0005-0000-0000-00003A990000}"/>
    <cellStyle name="RIGs linked cells 4 2 39" xfId="38833" xr:uid="{00000000-0005-0000-0000-00003B990000}"/>
    <cellStyle name="RIGs linked cells 4 2 4" xfId="38834" xr:uid="{00000000-0005-0000-0000-00003C990000}"/>
    <cellStyle name="RIGs linked cells 4 2 4 10" xfId="38835" xr:uid="{00000000-0005-0000-0000-00003D990000}"/>
    <cellStyle name="RIGs linked cells 4 2 4 11" xfId="38836" xr:uid="{00000000-0005-0000-0000-00003E990000}"/>
    <cellStyle name="RIGs linked cells 4 2 4 12" xfId="38837" xr:uid="{00000000-0005-0000-0000-00003F990000}"/>
    <cellStyle name="RIGs linked cells 4 2 4 13" xfId="38838" xr:uid="{00000000-0005-0000-0000-000040990000}"/>
    <cellStyle name="RIGs linked cells 4 2 4 14" xfId="38839" xr:uid="{00000000-0005-0000-0000-000041990000}"/>
    <cellStyle name="RIGs linked cells 4 2 4 15" xfId="38840" xr:uid="{00000000-0005-0000-0000-000042990000}"/>
    <cellStyle name="RIGs linked cells 4 2 4 16" xfId="38841" xr:uid="{00000000-0005-0000-0000-000043990000}"/>
    <cellStyle name="RIGs linked cells 4 2 4 17" xfId="38842" xr:uid="{00000000-0005-0000-0000-000044990000}"/>
    <cellStyle name="RIGs linked cells 4 2 4 18" xfId="38843" xr:uid="{00000000-0005-0000-0000-000045990000}"/>
    <cellStyle name="RIGs linked cells 4 2 4 19" xfId="38844" xr:uid="{00000000-0005-0000-0000-000046990000}"/>
    <cellStyle name="RIGs linked cells 4 2 4 2" xfId="38845" xr:uid="{00000000-0005-0000-0000-000047990000}"/>
    <cellStyle name="RIGs linked cells 4 2 4 2 10" xfId="38846" xr:uid="{00000000-0005-0000-0000-000048990000}"/>
    <cellStyle name="RIGs linked cells 4 2 4 2 11" xfId="38847" xr:uid="{00000000-0005-0000-0000-000049990000}"/>
    <cellStyle name="RIGs linked cells 4 2 4 2 12" xfId="38848" xr:uid="{00000000-0005-0000-0000-00004A990000}"/>
    <cellStyle name="RIGs linked cells 4 2 4 2 13" xfId="38849" xr:uid="{00000000-0005-0000-0000-00004B990000}"/>
    <cellStyle name="RIGs linked cells 4 2 4 2 2" xfId="38850" xr:uid="{00000000-0005-0000-0000-00004C990000}"/>
    <cellStyle name="RIGs linked cells 4 2 4 2 3" xfId="38851" xr:uid="{00000000-0005-0000-0000-00004D990000}"/>
    <cellStyle name="RIGs linked cells 4 2 4 2 4" xfId="38852" xr:uid="{00000000-0005-0000-0000-00004E990000}"/>
    <cellStyle name="RIGs linked cells 4 2 4 2 5" xfId="38853" xr:uid="{00000000-0005-0000-0000-00004F990000}"/>
    <cellStyle name="RIGs linked cells 4 2 4 2 6" xfId="38854" xr:uid="{00000000-0005-0000-0000-000050990000}"/>
    <cellStyle name="RIGs linked cells 4 2 4 2 7" xfId="38855" xr:uid="{00000000-0005-0000-0000-000051990000}"/>
    <cellStyle name="RIGs linked cells 4 2 4 2 8" xfId="38856" xr:uid="{00000000-0005-0000-0000-000052990000}"/>
    <cellStyle name="RIGs linked cells 4 2 4 2 9" xfId="38857" xr:uid="{00000000-0005-0000-0000-000053990000}"/>
    <cellStyle name="RIGs linked cells 4 2 4 20" xfId="38858" xr:uid="{00000000-0005-0000-0000-000054990000}"/>
    <cellStyle name="RIGs linked cells 4 2 4 21" xfId="38859" xr:uid="{00000000-0005-0000-0000-000055990000}"/>
    <cellStyle name="RIGs linked cells 4 2 4 22" xfId="38860" xr:uid="{00000000-0005-0000-0000-000056990000}"/>
    <cellStyle name="RIGs linked cells 4 2 4 23" xfId="38861" xr:uid="{00000000-0005-0000-0000-000057990000}"/>
    <cellStyle name="RIGs linked cells 4 2 4 24" xfId="38862" xr:uid="{00000000-0005-0000-0000-000058990000}"/>
    <cellStyle name="RIGs linked cells 4 2 4 25" xfId="38863" xr:uid="{00000000-0005-0000-0000-000059990000}"/>
    <cellStyle name="RIGs linked cells 4 2 4 26" xfId="38864" xr:uid="{00000000-0005-0000-0000-00005A990000}"/>
    <cellStyle name="RIGs linked cells 4 2 4 27" xfId="38865" xr:uid="{00000000-0005-0000-0000-00005B990000}"/>
    <cellStyle name="RIGs linked cells 4 2 4 28" xfId="38866" xr:uid="{00000000-0005-0000-0000-00005C990000}"/>
    <cellStyle name="RIGs linked cells 4 2 4 29" xfId="38867" xr:uid="{00000000-0005-0000-0000-00005D990000}"/>
    <cellStyle name="RIGs linked cells 4 2 4 3" xfId="38868" xr:uid="{00000000-0005-0000-0000-00005E990000}"/>
    <cellStyle name="RIGs linked cells 4 2 4 30" xfId="38869" xr:uid="{00000000-0005-0000-0000-00005F990000}"/>
    <cellStyle name="RIGs linked cells 4 2 4 31" xfId="38870" xr:uid="{00000000-0005-0000-0000-000060990000}"/>
    <cellStyle name="RIGs linked cells 4 2 4 32" xfId="38871" xr:uid="{00000000-0005-0000-0000-000061990000}"/>
    <cellStyle name="RIGs linked cells 4 2 4 33" xfId="38872" xr:uid="{00000000-0005-0000-0000-000062990000}"/>
    <cellStyle name="RIGs linked cells 4 2 4 34" xfId="38873" xr:uid="{00000000-0005-0000-0000-000063990000}"/>
    <cellStyle name="RIGs linked cells 4 2 4 4" xfId="38874" xr:uid="{00000000-0005-0000-0000-000064990000}"/>
    <cellStyle name="RIGs linked cells 4 2 4 5" xfId="38875" xr:uid="{00000000-0005-0000-0000-000065990000}"/>
    <cellStyle name="RIGs linked cells 4 2 4 6" xfId="38876" xr:uid="{00000000-0005-0000-0000-000066990000}"/>
    <cellStyle name="RIGs linked cells 4 2 4 7" xfId="38877" xr:uid="{00000000-0005-0000-0000-000067990000}"/>
    <cellStyle name="RIGs linked cells 4 2 4 8" xfId="38878" xr:uid="{00000000-0005-0000-0000-000068990000}"/>
    <cellStyle name="RIGs linked cells 4 2 4 9" xfId="38879" xr:uid="{00000000-0005-0000-0000-000069990000}"/>
    <cellStyle name="RIGs linked cells 4 2 5" xfId="38880" xr:uid="{00000000-0005-0000-0000-00006A990000}"/>
    <cellStyle name="RIGs linked cells 4 2 5 10" xfId="38881" xr:uid="{00000000-0005-0000-0000-00006B990000}"/>
    <cellStyle name="RIGs linked cells 4 2 5 11" xfId="38882" xr:uid="{00000000-0005-0000-0000-00006C990000}"/>
    <cellStyle name="RIGs linked cells 4 2 5 12" xfId="38883" xr:uid="{00000000-0005-0000-0000-00006D990000}"/>
    <cellStyle name="RIGs linked cells 4 2 5 13" xfId="38884" xr:uid="{00000000-0005-0000-0000-00006E990000}"/>
    <cellStyle name="RIGs linked cells 4 2 5 14" xfId="38885" xr:uid="{00000000-0005-0000-0000-00006F990000}"/>
    <cellStyle name="RIGs linked cells 4 2 5 15" xfId="38886" xr:uid="{00000000-0005-0000-0000-000070990000}"/>
    <cellStyle name="RIGs linked cells 4 2 5 16" xfId="38887" xr:uid="{00000000-0005-0000-0000-000071990000}"/>
    <cellStyle name="RIGs linked cells 4 2 5 17" xfId="38888" xr:uid="{00000000-0005-0000-0000-000072990000}"/>
    <cellStyle name="RIGs linked cells 4 2 5 18" xfId="38889" xr:uid="{00000000-0005-0000-0000-000073990000}"/>
    <cellStyle name="RIGs linked cells 4 2 5 19" xfId="38890" xr:uid="{00000000-0005-0000-0000-000074990000}"/>
    <cellStyle name="RIGs linked cells 4 2 5 2" xfId="38891" xr:uid="{00000000-0005-0000-0000-000075990000}"/>
    <cellStyle name="RIGs linked cells 4 2 5 2 10" xfId="38892" xr:uid="{00000000-0005-0000-0000-000076990000}"/>
    <cellStyle name="RIGs linked cells 4 2 5 2 11" xfId="38893" xr:uid="{00000000-0005-0000-0000-000077990000}"/>
    <cellStyle name="RIGs linked cells 4 2 5 2 12" xfId="38894" xr:uid="{00000000-0005-0000-0000-000078990000}"/>
    <cellStyle name="RIGs linked cells 4 2 5 2 13" xfId="38895" xr:uid="{00000000-0005-0000-0000-000079990000}"/>
    <cellStyle name="RIGs linked cells 4 2 5 2 2" xfId="38896" xr:uid="{00000000-0005-0000-0000-00007A990000}"/>
    <cellStyle name="RIGs linked cells 4 2 5 2 3" xfId="38897" xr:uid="{00000000-0005-0000-0000-00007B990000}"/>
    <cellStyle name="RIGs linked cells 4 2 5 2 4" xfId="38898" xr:uid="{00000000-0005-0000-0000-00007C990000}"/>
    <cellStyle name="RIGs linked cells 4 2 5 2 5" xfId="38899" xr:uid="{00000000-0005-0000-0000-00007D990000}"/>
    <cellStyle name="RIGs linked cells 4 2 5 2 6" xfId="38900" xr:uid="{00000000-0005-0000-0000-00007E990000}"/>
    <cellStyle name="RIGs linked cells 4 2 5 2 7" xfId="38901" xr:uid="{00000000-0005-0000-0000-00007F990000}"/>
    <cellStyle name="RIGs linked cells 4 2 5 2 8" xfId="38902" xr:uid="{00000000-0005-0000-0000-000080990000}"/>
    <cellStyle name="RIGs linked cells 4 2 5 2 9" xfId="38903" xr:uid="{00000000-0005-0000-0000-000081990000}"/>
    <cellStyle name="RIGs linked cells 4 2 5 20" xfId="38904" xr:uid="{00000000-0005-0000-0000-000082990000}"/>
    <cellStyle name="RIGs linked cells 4 2 5 21" xfId="38905" xr:uid="{00000000-0005-0000-0000-000083990000}"/>
    <cellStyle name="RIGs linked cells 4 2 5 22" xfId="38906" xr:uid="{00000000-0005-0000-0000-000084990000}"/>
    <cellStyle name="RIGs linked cells 4 2 5 23" xfId="38907" xr:uid="{00000000-0005-0000-0000-000085990000}"/>
    <cellStyle name="RIGs linked cells 4 2 5 24" xfId="38908" xr:uid="{00000000-0005-0000-0000-000086990000}"/>
    <cellStyle name="RIGs linked cells 4 2 5 25" xfId="38909" xr:uid="{00000000-0005-0000-0000-000087990000}"/>
    <cellStyle name="RIGs linked cells 4 2 5 26" xfId="38910" xr:uid="{00000000-0005-0000-0000-000088990000}"/>
    <cellStyle name="RIGs linked cells 4 2 5 27" xfId="38911" xr:uid="{00000000-0005-0000-0000-000089990000}"/>
    <cellStyle name="RIGs linked cells 4 2 5 28" xfId="38912" xr:uid="{00000000-0005-0000-0000-00008A990000}"/>
    <cellStyle name="RIGs linked cells 4 2 5 29" xfId="38913" xr:uid="{00000000-0005-0000-0000-00008B990000}"/>
    <cellStyle name="RIGs linked cells 4 2 5 3" xfId="38914" xr:uid="{00000000-0005-0000-0000-00008C990000}"/>
    <cellStyle name="RIGs linked cells 4 2 5 30" xfId="38915" xr:uid="{00000000-0005-0000-0000-00008D990000}"/>
    <cellStyle name="RIGs linked cells 4 2 5 31" xfId="38916" xr:uid="{00000000-0005-0000-0000-00008E990000}"/>
    <cellStyle name="RIGs linked cells 4 2 5 32" xfId="38917" xr:uid="{00000000-0005-0000-0000-00008F990000}"/>
    <cellStyle name="RIGs linked cells 4 2 5 33" xfId="38918" xr:uid="{00000000-0005-0000-0000-000090990000}"/>
    <cellStyle name="RIGs linked cells 4 2 5 34" xfId="38919" xr:uid="{00000000-0005-0000-0000-000091990000}"/>
    <cellStyle name="RIGs linked cells 4 2 5 4" xfId="38920" xr:uid="{00000000-0005-0000-0000-000092990000}"/>
    <cellStyle name="RIGs linked cells 4 2 5 5" xfId="38921" xr:uid="{00000000-0005-0000-0000-000093990000}"/>
    <cellStyle name="RIGs linked cells 4 2 5 6" xfId="38922" xr:uid="{00000000-0005-0000-0000-000094990000}"/>
    <cellStyle name="RIGs linked cells 4 2 5 7" xfId="38923" xr:uid="{00000000-0005-0000-0000-000095990000}"/>
    <cellStyle name="RIGs linked cells 4 2 5 8" xfId="38924" xr:uid="{00000000-0005-0000-0000-000096990000}"/>
    <cellStyle name="RIGs linked cells 4 2 5 9" xfId="38925" xr:uid="{00000000-0005-0000-0000-000097990000}"/>
    <cellStyle name="RIGs linked cells 4 2 6" xfId="38926" xr:uid="{00000000-0005-0000-0000-000098990000}"/>
    <cellStyle name="RIGs linked cells 4 2 6 10" xfId="38927" xr:uid="{00000000-0005-0000-0000-000099990000}"/>
    <cellStyle name="RIGs linked cells 4 2 6 11" xfId="38928" xr:uid="{00000000-0005-0000-0000-00009A990000}"/>
    <cellStyle name="RIGs linked cells 4 2 6 12" xfId="38929" xr:uid="{00000000-0005-0000-0000-00009B990000}"/>
    <cellStyle name="RIGs linked cells 4 2 6 13" xfId="38930" xr:uid="{00000000-0005-0000-0000-00009C990000}"/>
    <cellStyle name="RIGs linked cells 4 2 6 2" xfId="38931" xr:uid="{00000000-0005-0000-0000-00009D990000}"/>
    <cellStyle name="RIGs linked cells 4 2 6 3" xfId="38932" xr:uid="{00000000-0005-0000-0000-00009E990000}"/>
    <cellStyle name="RIGs linked cells 4 2 6 4" xfId="38933" xr:uid="{00000000-0005-0000-0000-00009F990000}"/>
    <cellStyle name="RIGs linked cells 4 2 6 5" xfId="38934" xr:uid="{00000000-0005-0000-0000-0000A0990000}"/>
    <cellStyle name="RIGs linked cells 4 2 6 6" xfId="38935" xr:uid="{00000000-0005-0000-0000-0000A1990000}"/>
    <cellStyle name="RIGs linked cells 4 2 6 7" xfId="38936" xr:uid="{00000000-0005-0000-0000-0000A2990000}"/>
    <cellStyle name="RIGs linked cells 4 2 6 8" xfId="38937" xr:uid="{00000000-0005-0000-0000-0000A3990000}"/>
    <cellStyle name="RIGs linked cells 4 2 6 9" xfId="38938" xr:uid="{00000000-0005-0000-0000-0000A4990000}"/>
    <cellStyle name="RIGs linked cells 4 2 7" xfId="38939" xr:uid="{00000000-0005-0000-0000-0000A5990000}"/>
    <cellStyle name="RIGs linked cells 4 2 8" xfId="38940" xr:uid="{00000000-0005-0000-0000-0000A6990000}"/>
    <cellStyle name="RIGs linked cells 4 2 9" xfId="38941" xr:uid="{00000000-0005-0000-0000-0000A7990000}"/>
    <cellStyle name="RIGs linked cells 4 2_3.15 Additional Data" xfId="42413" xr:uid="{00000000-0005-0000-0000-0000A8990000}"/>
    <cellStyle name="RIGs linked cells 4 20" xfId="38942" xr:uid="{00000000-0005-0000-0000-0000A9990000}"/>
    <cellStyle name="RIGs linked cells 4 21" xfId="38943" xr:uid="{00000000-0005-0000-0000-0000AA990000}"/>
    <cellStyle name="RIGs linked cells 4 22" xfId="38944" xr:uid="{00000000-0005-0000-0000-0000AB990000}"/>
    <cellStyle name="RIGs linked cells 4 23" xfId="38945" xr:uid="{00000000-0005-0000-0000-0000AC990000}"/>
    <cellStyle name="RIGs linked cells 4 24" xfId="38946" xr:uid="{00000000-0005-0000-0000-0000AD990000}"/>
    <cellStyle name="RIGs linked cells 4 25" xfId="38947" xr:uid="{00000000-0005-0000-0000-0000AE990000}"/>
    <cellStyle name="RIGs linked cells 4 26" xfId="38948" xr:uid="{00000000-0005-0000-0000-0000AF990000}"/>
    <cellStyle name="RIGs linked cells 4 27" xfId="38949" xr:uid="{00000000-0005-0000-0000-0000B0990000}"/>
    <cellStyle name="RIGs linked cells 4 28" xfId="38950" xr:uid="{00000000-0005-0000-0000-0000B1990000}"/>
    <cellStyle name="RIGs linked cells 4 29" xfId="38951" xr:uid="{00000000-0005-0000-0000-0000B2990000}"/>
    <cellStyle name="RIGs linked cells 4 3" xfId="38952" xr:uid="{00000000-0005-0000-0000-0000B3990000}"/>
    <cellStyle name="RIGs linked cells 4 3 10" xfId="38953" xr:uid="{00000000-0005-0000-0000-0000B4990000}"/>
    <cellStyle name="RIGs linked cells 4 3 11" xfId="38954" xr:uid="{00000000-0005-0000-0000-0000B5990000}"/>
    <cellStyle name="RIGs linked cells 4 3 12" xfId="38955" xr:uid="{00000000-0005-0000-0000-0000B6990000}"/>
    <cellStyle name="RIGs linked cells 4 3 13" xfId="38956" xr:uid="{00000000-0005-0000-0000-0000B7990000}"/>
    <cellStyle name="RIGs linked cells 4 3 14" xfId="38957" xr:uid="{00000000-0005-0000-0000-0000B8990000}"/>
    <cellStyle name="RIGs linked cells 4 3 15" xfId="38958" xr:uid="{00000000-0005-0000-0000-0000B9990000}"/>
    <cellStyle name="RIGs linked cells 4 3 16" xfId="38959" xr:uid="{00000000-0005-0000-0000-0000BA990000}"/>
    <cellStyle name="RIGs linked cells 4 3 17" xfId="38960" xr:uid="{00000000-0005-0000-0000-0000BB990000}"/>
    <cellStyle name="RIGs linked cells 4 3 18" xfId="38961" xr:uid="{00000000-0005-0000-0000-0000BC990000}"/>
    <cellStyle name="RIGs linked cells 4 3 19" xfId="38962" xr:uid="{00000000-0005-0000-0000-0000BD990000}"/>
    <cellStyle name="RIGs linked cells 4 3 2" xfId="38963" xr:uid="{00000000-0005-0000-0000-0000BE990000}"/>
    <cellStyle name="RIGs linked cells 4 3 2 10" xfId="38964" xr:uid="{00000000-0005-0000-0000-0000BF990000}"/>
    <cellStyle name="RIGs linked cells 4 3 2 11" xfId="38965" xr:uid="{00000000-0005-0000-0000-0000C0990000}"/>
    <cellStyle name="RIGs linked cells 4 3 2 12" xfId="38966" xr:uid="{00000000-0005-0000-0000-0000C1990000}"/>
    <cellStyle name="RIGs linked cells 4 3 2 13" xfId="38967" xr:uid="{00000000-0005-0000-0000-0000C2990000}"/>
    <cellStyle name="RIGs linked cells 4 3 2 14" xfId="38968" xr:uid="{00000000-0005-0000-0000-0000C3990000}"/>
    <cellStyle name="RIGs linked cells 4 3 2 15" xfId="38969" xr:uid="{00000000-0005-0000-0000-0000C4990000}"/>
    <cellStyle name="RIGs linked cells 4 3 2 16" xfId="38970" xr:uid="{00000000-0005-0000-0000-0000C5990000}"/>
    <cellStyle name="RIGs linked cells 4 3 2 17" xfId="38971" xr:uid="{00000000-0005-0000-0000-0000C6990000}"/>
    <cellStyle name="RIGs linked cells 4 3 2 18" xfId="38972" xr:uid="{00000000-0005-0000-0000-0000C7990000}"/>
    <cellStyle name="RIGs linked cells 4 3 2 19" xfId="38973" xr:uid="{00000000-0005-0000-0000-0000C8990000}"/>
    <cellStyle name="RIGs linked cells 4 3 2 2" xfId="38974" xr:uid="{00000000-0005-0000-0000-0000C9990000}"/>
    <cellStyle name="RIGs linked cells 4 3 2 2 10" xfId="38975" xr:uid="{00000000-0005-0000-0000-0000CA990000}"/>
    <cellStyle name="RIGs linked cells 4 3 2 2 11" xfId="38976" xr:uid="{00000000-0005-0000-0000-0000CB990000}"/>
    <cellStyle name="RIGs linked cells 4 3 2 2 12" xfId="38977" xr:uid="{00000000-0005-0000-0000-0000CC990000}"/>
    <cellStyle name="RIGs linked cells 4 3 2 2 13" xfId="38978" xr:uid="{00000000-0005-0000-0000-0000CD990000}"/>
    <cellStyle name="RIGs linked cells 4 3 2 2 2" xfId="38979" xr:uid="{00000000-0005-0000-0000-0000CE990000}"/>
    <cellStyle name="RIGs linked cells 4 3 2 2 3" xfId="38980" xr:uid="{00000000-0005-0000-0000-0000CF990000}"/>
    <cellStyle name="RIGs linked cells 4 3 2 2 4" xfId="38981" xr:uid="{00000000-0005-0000-0000-0000D0990000}"/>
    <cellStyle name="RIGs linked cells 4 3 2 2 5" xfId="38982" xr:uid="{00000000-0005-0000-0000-0000D1990000}"/>
    <cellStyle name="RIGs linked cells 4 3 2 2 6" xfId="38983" xr:uid="{00000000-0005-0000-0000-0000D2990000}"/>
    <cellStyle name="RIGs linked cells 4 3 2 2 7" xfId="38984" xr:uid="{00000000-0005-0000-0000-0000D3990000}"/>
    <cellStyle name="RIGs linked cells 4 3 2 2 8" xfId="38985" xr:uid="{00000000-0005-0000-0000-0000D4990000}"/>
    <cellStyle name="RIGs linked cells 4 3 2 2 9" xfId="38986" xr:uid="{00000000-0005-0000-0000-0000D5990000}"/>
    <cellStyle name="RIGs linked cells 4 3 2 20" xfId="38987" xr:uid="{00000000-0005-0000-0000-0000D6990000}"/>
    <cellStyle name="RIGs linked cells 4 3 2 21" xfId="38988" xr:uid="{00000000-0005-0000-0000-0000D7990000}"/>
    <cellStyle name="RIGs linked cells 4 3 2 22" xfId="38989" xr:uid="{00000000-0005-0000-0000-0000D8990000}"/>
    <cellStyle name="RIGs linked cells 4 3 2 23" xfId="38990" xr:uid="{00000000-0005-0000-0000-0000D9990000}"/>
    <cellStyle name="RIGs linked cells 4 3 2 24" xfId="38991" xr:uid="{00000000-0005-0000-0000-0000DA990000}"/>
    <cellStyle name="RIGs linked cells 4 3 2 25" xfId="38992" xr:uid="{00000000-0005-0000-0000-0000DB990000}"/>
    <cellStyle name="RIGs linked cells 4 3 2 26" xfId="38993" xr:uid="{00000000-0005-0000-0000-0000DC990000}"/>
    <cellStyle name="RIGs linked cells 4 3 2 27" xfId="38994" xr:uid="{00000000-0005-0000-0000-0000DD990000}"/>
    <cellStyle name="RIGs linked cells 4 3 2 28" xfId="38995" xr:uid="{00000000-0005-0000-0000-0000DE990000}"/>
    <cellStyle name="RIGs linked cells 4 3 2 29" xfId="38996" xr:uid="{00000000-0005-0000-0000-0000DF990000}"/>
    <cellStyle name="RIGs linked cells 4 3 2 3" xfId="38997" xr:uid="{00000000-0005-0000-0000-0000E0990000}"/>
    <cellStyle name="RIGs linked cells 4 3 2 30" xfId="38998" xr:uid="{00000000-0005-0000-0000-0000E1990000}"/>
    <cellStyle name="RIGs linked cells 4 3 2 31" xfId="38999" xr:uid="{00000000-0005-0000-0000-0000E2990000}"/>
    <cellStyle name="RIGs linked cells 4 3 2 32" xfId="39000" xr:uid="{00000000-0005-0000-0000-0000E3990000}"/>
    <cellStyle name="RIGs linked cells 4 3 2 33" xfId="39001" xr:uid="{00000000-0005-0000-0000-0000E4990000}"/>
    <cellStyle name="RIGs linked cells 4 3 2 34" xfId="39002" xr:uid="{00000000-0005-0000-0000-0000E5990000}"/>
    <cellStyle name="RIGs linked cells 4 3 2 4" xfId="39003" xr:uid="{00000000-0005-0000-0000-0000E6990000}"/>
    <cellStyle name="RIGs linked cells 4 3 2 5" xfId="39004" xr:uid="{00000000-0005-0000-0000-0000E7990000}"/>
    <cellStyle name="RIGs linked cells 4 3 2 6" xfId="39005" xr:uid="{00000000-0005-0000-0000-0000E8990000}"/>
    <cellStyle name="RIGs linked cells 4 3 2 7" xfId="39006" xr:uid="{00000000-0005-0000-0000-0000E9990000}"/>
    <cellStyle name="RIGs linked cells 4 3 2 8" xfId="39007" xr:uid="{00000000-0005-0000-0000-0000EA990000}"/>
    <cellStyle name="RIGs linked cells 4 3 2 9" xfId="39008" xr:uid="{00000000-0005-0000-0000-0000EB990000}"/>
    <cellStyle name="RIGs linked cells 4 3 20" xfId="39009" xr:uid="{00000000-0005-0000-0000-0000EC990000}"/>
    <cellStyle name="RIGs linked cells 4 3 21" xfId="39010" xr:uid="{00000000-0005-0000-0000-0000ED990000}"/>
    <cellStyle name="RIGs linked cells 4 3 22" xfId="39011" xr:uid="{00000000-0005-0000-0000-0000EE990000}"/>
    <cellStyle name="RIGs linked cells 4 3 23" xfId="39012" xr:uid="{00000000-0005-0000-0000-0000EF990000}"/>
    <cellStyle name="RIGs linked cells 4 3 24" xfId="39013" xr:uid="{00000000-0005-0000-0000-0000F0990000}"/>
    <cellStyle name="RIGs linked cells 4 3 25" xfId="39014" xr:uid="{00000000-0005-0000-0000-0000F1990000}"/>
    <cellStyle name="RIGs linked cells 4 3 26" xfId="39015" xr:uid="{00000000-0005-0000-0000-0000F2990000}"/>
    <cellStyle name="RIGs linked cells 4 3 27" xfId="39016" xr:uid="{00000000-0005-0000-0000-0000F3990000}"/>
    <cellStyle name="RIGs linked cells 4 3 28" xfId="39017" xr:uid="{00000000-0005-0000-0000-0000F4990000}"/>
    <cellStyle name="RIGs linked cells 4 3 29" xfId="39018" xr:uid="{00000000-0005-0000-0000-0000F5990000}"/>
    <cellStyle name="RIGs linked cells 4 3 3" xfId="39019" xr:uid="{00000000-0005-0000-0000-0000F6990000}"/>
    <cellStyle name="RIGs linked cells 4 3 3 10" xfId="39020" xr:uid="{00000000-0005-0000-0000-0000F7990000}"/>
    <cellStyle name="RIGs linked cells 4 3 3 11" xfId="39021" xr:uid="{00000000-0005-0000-0000-0000F8990000}"/>
    <cellStyle name="RIGs linked cells 4 3 3 12" xfId="39022" xr:uid="{00000000-0005-0000-0000-0000F9990000}"/>
    <cellStyle name="RIGs linked cells 4 3 3 13" xfId="39023" xr:uid="{00000000-0005-0000-0000-0000FA990000}"/>
    <cellStyle name="RIGs linked cells 4 3 3 2" xfId="39024" xr:uid="{00000000-0005-0000-0000-0000FB990000}"/>
    <cellStyle name="RIGs linked cells 4 3 3 3" xfId="39025" xr:uid="{00000000-0005-0000-0000-0000FC990000}"/>
    <cellStyle name="RIGs linked cells 4 3 3 4" xfId="39026" xr:uid="{00000000-0005-0000-0000-0000FD990000}"/>
    <cellStyle name="RIGs linked cells 4 3 3 5" xfId="39027" xr:uid="{00000000-0005-0000-0000-0000FE990000}"/>
    <cellStyle name="RIGs linked cells 4 3 3 6" xfId="39028" xr:uid="{00000000-0005-0000-0000-0000FF990000}"/>
    <cellStyle name="RIGs linked cells 4 3 3 7" xfId="39029" xr:uid="{00000000-0005-0000-0000-0000009A0000}"/>
    <cellStyle name="RIGs linked cells 4 3 3 8" xfId="39030" xr:uid="{00000000-0005-0000-0000-0000019A0000}"/>
    <cellStyle name="RIGs linked cells 4 3 3 9" xfId="39031" xr:uid="{00000000-0005-0000-0000-0000029A0000}"/>
    <cellStyle name="RIGs linked cells 4 3 30" xfId="39032" xr:uid="{00000000-0005-0000-0000-0000039A0000}"/>
    <cellStyle name="RIGs linked cells 4 3 31" xfId="39033" xr:uid="{00000000-0005-0000-0000-0000049A0000}"/>
    <cellStyle name="RIGs linked cells 4 3 32" xfId="39034" xr:uid="{00000000-0005-0000-0000-0000059A0000}"/>
    <cellStyle name="RIGs linked cells 4 3 33" xfId="39035" xr:uid="{00000000-0005-0000-0000-0000069A0000}"/>
    <cellStyle name="RIGs linked cells 4 3 34" xfId="39036" xr:uid="{00000000-0005-0000-0000-0000079A0000}"/>
    <cellStyle name="RIGs linked cells 4 3 35" xfId="39037" xr:uid="{00000000-0005-0000-0000-0000089A0000}"/>
    <cellStyle name="RIGs linked cells 4 3 4" xfId="39038" xr:uid="{00000000-0005-0000-0000-0000099A0000}"/>
    <cellStyle name="RIGs linked cells 4 3 5" xfId="39039" xr:uid="{00000000-0005-0000-0000-00000A9A0000}"/>
    <cellStyle name="RIGs linked cells 4 3 6" xfId="39040" xr:uid="{00000000-0005-0000-0000-00000B9A0000}"/>
    <cellStyle name="RIGs linked cells 4 3 7" xfId="39041" xr:uid="{00000000-0005-0000-0000-00000C9A0000}"/>
    <cellStyle name="RIGs linked cells 4 3 8" xfId="39042" xr:uid="{00000000-0005-0000-0000-00000D9A0000}"/>
    <cellStyle name="RIGs linked cells 4 3 9" xfId="39043" xr:uid="{00000000-0005-0000-0000-00000E9A0000}"/>
    <cellStyle name="RIGs linked cells 4 3_4 28 1_Asst_Health_Crit_AllTO_RIIO_20110714pm" xfId="39044" xr:uid="{00000000-0005-0000-0000-00000F9A0000}"/>
    <cellStyle name="RIGs linked cells 4 30" xfId="39045" xr:uid="{00000000-0005-0000-0000-0000109A0000}"/>
    <cellStyle name="RIGs linked cells 4 31" xfId="39046" xr:uid="{00000000-0005-0000-0000-0000119A0000}"/>
    <cellStyle name="RIGs linked cells 4 32" xfId="39047" xr:uid="{00000000-0005-0000-0000-0000129A0000}"/>
    <cellStyle name="RIGs linked cells 4 33" xfId="39048" xr:uid="{00000000-0005-0000-0000-0000139A0000}"/>
    <cellStyle name="RIGs linked cells 4 34" xfId="39049" xr:uid="{00000000-0005-0000-0000-0000149A0000}"/>
    <cellStyle name="RIGs linked cells 4 35" xfId="39050" xr:uid="{00000000-0005-0000-0000-0000159A0000}"/>
    <cellStyle name="RIGs linked cells 4 36" xfId="39051" xr:uid="{00000000-0005-0000-0000-0000169A0000}"/>
    <cellStyle name="RIGs linked cells 4 37" xfId="39052" xr:uid="{00000000-0005-0000-0000-0000179A0000}"/>
    <cellStyle name="RIGs linked cells 4 38" xfId="39053" xr:uid="{00000000-0005-0000-0000-0000189A0000}"/>
    <cellStyle name="RIGs linked cells 4 39" xfId="39054" xr:uid="{00000000-0005-0000-0000-0000199A0000}"/>
    <cellStyle name="RIGs linked cells 4 4" xfId="39055" xr:uid="{00000000-0005-0000-0000-00001A9A0000}"/>
    <cellStyle name="RIGs linked cells 4 4 10" xfId="39056" xr:uid="{00000000-0005-0000-0000-00001B9A0000}"/>
    <cellStyle name="RIGs linked cells 4 4 11" xfId="39057" xr:uid="{00000000-0005-0000-0000-00001C9A0000}"/>
    <cellStyle name="RIGs linked cells 4 4 12" xfId="39058" xr:uid="{00000000-0005-0000-0000-00001D9A0000}"/>
    <cellStyle name="RIGs linked cells 4 4 13" xfId="39059" xr:uid="{00000000-0005-0000-0000-00001E9A0000}"/>
    <cellStyle name="RIGs linked cells 4 4 14" xfId="39060" xr:uid="{00000000-0005-0000-0000-00001F9A0000}"/>
    <cellStyle name="RIGs linked cells 4 4 15" xfId="39061" xr:uid="{00000000-0005-0000-0000-0000209A0000}"/>
    <cellStyle name="RIGs linked cells 4 4 16" xfId="39062" xr:uid="{00000000-0005-0000-0000-0000219A0000}"/>
    <cellStyle name="RIGs linked cells 4 4 17" xfId="39063" xr:uid="{00000000-0005-0000-0000-0000229A0000}"/>
    <cellStyle name="RIGs linked cells 4 4 18" xfId="39064" xr:uid="{00000000-0005-0000-0000-0000239A0000}"/>
    <cellStyle name="RIGs linked cells 4 4 19" xfId="39065" xr:uid="{00000000-0005-0000-0000-0000249A0000}"/>
    <cellStyle name="RIGs linked cells 4 4 2" xfId="39066" xr:uid="{00000000-0005-0000-0000-0000259A0000}"/>
    <cellStyle name="RIGs linked cells 4 4 2 10" xfId="39067" xr:uid="{00000000-0005-0000-0000-0000269A0000}"/>
    <cellStyle name="RIGs linked cells 4 4 2 11" xfId="39068" xr:uid="{00000000-0005-0000-0000-0000279A0000}"/>
    <cellStyle name="RIGs linked cells 4 4 2 12" xfId="39069" xr:uid="{00000000-0005-0000-0000-0000289A0000}"/>
    <cellStyle name="RIGs linked cells 4 4 2 13" xfId="39070" xr:uid="{00000000-0005-0000-0000-0000299A0000}"/>
    <cellStyle name="RIGs linked cells 4 4 2 2" xfId="39071" xr:uid="{00000000-0005-0000-0000-00002A9A0000}"/>
    <cellStyle name="RIGs linked cells 4 4 2 3" xfId="39072" xr:uid="{00000000-0005-0000-0000-00002B9A0000}"/>
    <cellStyle name="RIGs linked cells 4 4 2 4" xfId="39073" xr:uid="{00000000-0005-0000-0000-00002C9A0000}"/>
    <cellStyle name="RIGs linked cells 4 4 2 5" xfId="39074" xr:uid="{00000000-0005-0000-0000-00002D9A0000}"/>
    <cellStyle name="RIGs linked cells 4 4 2 6" xfId="39075" xr:uid="{00000000-0005-0000-0000-00002E9A0000}"/>
    <cellStyle name="RIGs linked cells 4 4 2 7" xfId="39076" xr:uid="{00000000-0005-0000-0000-00002F9A0000}"/>
    <cellStyle name="RIGs linked cells 4 4 2 8" xfId="39077" xr:uid="{00000000-0005-0000-0000-0000309A0000}"/>
    <cellStyle name="RIGs linked cells 4 4 2 9" xfId="39078" xr:uid="{00000000-0005-0000-0000-0000319A0000}"/>
    <cellStyle name="RIGs linked cells 4 4 20" xfId="39079" xr:uid="{00000000-0005-0000-0000-0000329A0000}"/>
    <cellStyle name="RIGs linked cells 4 4 21" xfId="39080" xr:uid="{00000000-0005-0000-0000-0000339A0000}"/>
    <cellStyle name="RIGs linked cells 4 4 22" xfId="39081" xr:uid="{00000000-0005-0000-0000-0000349A0000}"/>
    <cellStyle name="RIGs linked cells 4 4 23" xfId="39082" xr:uid="{00000000-0005-0000-0000-0000359A0000}"/>
    <cellStyle name="RIGs linked cells 4 4 24" xfId="39083" xr:uid="{00000000-0005-0000-0000-0000369A0000}"/>
    <cellStyle name="RIGs linked cells 4 4 25" xfId="39084" xr:uid="{00000000-0005-0000-0000-0000379A0000}"/>
    <cellStyle name="RIGs linked cells 4 4 26" xfId="39085" xr:uid="{00000000-0005-0000-0000-0000389A0000}"/>
    <cellStyle name="RIGs linked cells 4 4 27" xfId="39086" xr:uid="{00000000-0005-0000-0000-0000399A0000}"/>
    <cellStyle name="RIGs linked cells 4 4 28" xfId="39087" xr:uid="{00000000-0005-0000-0000-00003A9A0000}"/>
    <cellStyle name="RIGs linked cells 4 4 29" xfId="39088" xr:uid="{00000000-0005-0000-0000-00003B9A0000}"/>
    <cellStyle name="RIGs linked cells 4 4 3" xfId="39089" xr:uid="{00000000-0005-0000-0000-00003C9A0000}"/>
    <cellStyle name="RIGs linked cells 4 4 30" xfId="39090" xr:uid="{00000000-0005-0000-0000-00003D9A0000}"/>
    <cellStyle name="RIGs linked cells 4 4 31" xfId="39091" xr:uid="{00000000-0005-0000-0000-00003E9A0000}"/>
    <cellStyle name="RIGs linked cells 4 4 32" xfId="39092" xr:uid="{00000000-0005-0000-0000-00003F9A0000}"/>
    <cellStyle name="RIGs linked cells 4 4 33" xfId="39093" xr:uid="{00000000-0005-0000-0000-0000409A0000}"/>
    <cellStyle name="RIGs linked cells 4 4 34" xfId="39094" xr:uid="{00000000-0005-0000-0000-0000419A0000}"/>
    <cellStyle name="RIGs linked cells 4 4 4" xfId="39095" xr:uid="{00000000-0005-0000-0000-0000429A0000}"/>
    <cellStyle name="RIGs linked cells 4 4 5" xfId="39096" xr:uid="{00000000-0005-0000-0000-0000439A0000}"/>
    <cellStyle name="RIGs linked cells 4 4 6" xfId="39097" xr:uid="{00000000-0005-0000-0000-0000449A0000}"/>
    <cellStyle name="RIGs linked cells 4 4 7" xfId="39098" xr:uid="{00000000-0005-0000-0000-0000459A0000}"/>
    <cellStyle name="RIGs linked cells 4 4 8" xfId="39099" xr:uid="{00000000-0005-0000-0000-0000469A0000}"/>
    <cellStyle name="RIGs linked cells 4 4 9" xfId="39100" xr:uid="{00000000-0005-0000-0000-0000479A0000}"/>
    <cellStyle name="RIGs linked cells 4 5" xfId="39101" xr:uid="{00000000-0005-0000-0000-0000489A0000}"/>
    <cellStyle name="RIGs linked cells 4 5 10" xfId="39102" xr:uid="{00000000-0005-0000-0000-0000499A0000}"/>
    <cellStyle name="RIGs linked cells 4 5 11" xfId="39103" xr:uid="{00000000-0005-0000-0000-00004A9A0000}"/>
    <cellStyle name="RIGs linked cells 4 5 12" xfId="39104" xr:uid="{00000000-0005-0000-0000-00004B9A0000}"/>
    <cellStyle name="RIGs linked cells 4 5 13" xfId="39105" xr:uid="{00000000-0005-0000-0000-00004C9A0000}"/>
    <cellStyle name="RIGs linked cells 4 5 14" xfId="39106" xr:uid="{00000000-0005-0000-0000-00004D9A0000}"/>
    <cellStyle name="RIGs linked cells 4 5 15" xfId="39107" xr:uid="{00000000-0005-0000-0000-00004E9A0000}"/>
    <cellStyle name="RIGs linked cells 4 5 16" xfId="39108" xr:uid="{00000000-0005-0000-0000-00004F9A0000}"/>
    <cellStyle name="RIGs linked cells 4 5 17" xfId="39109" xr:uid="{00000000-0005-0000-0000-0000509A0000}"/>
    <cellStyle name="RIGs linked cells 4 5 18" xfId="39110" xr:uid="{00000000-0005-0000-0000-0000519A0000}"/>
    <cellStyle name="RIGs linked cells 4 5 19" xfId="39111" xr:uid="{00000000-0005-0000-0000-0000529A0000}"/>
    <cellStyle name="RIGs linked cells 4 5 2" xfId="39112" xr:uid="{00000000-0005-0000-0000-0000539A0000}"/>
    <cellStyle name="RIGs linked cells 4 5 2 10" xfId="39113" xr:uid="{00000000-0005-0000-0000-0000549A0000}"/>
    <cellStyle name="RIGs linked cells 4 5 2 11" xfId="39114" xr:uid="{00000000-0005-0000-0000-0000559A0000}"/>
    <cellStyle name="RIGs linked cells 4 5 2 12" xfId="39115" xr:uid="{00000000-0005-0000-0000-0000569A0000}"/>
    <cellStyle name="RIGs linked cells 4 5 2 13" xfId="39116" xr:uid="{00000000-0005-0000-0000-0000579A0000}"/>
    <cellStyle name="RIGs linked cells 4 5 2 2" xfId="39117" xr:uid="{00000000-0005-0000-0000-0000589A0000}"/>
    <cellStyle name="RIGs linked cells 4 5 2 3" xfId="39118" xr:uid="{00000000-0005-0000-0000-0000599A0000}"/>
    <cellStyle name="RIGs linked cells 4 5 2 4" xfId="39119" xr:uid="{00000000-0005-0000-0000-00005A9A0000}"/>
    <cellStyle name="RIGs linked cells 4 5 2 5" xfId="39120" xr:uid="{00000000-0005-0000-0000-00005B9A0000}"/>
    <cellStyle name="RIGs linked cells 4 5 2 6" xfId="39121" xr:uid="{00000000-0005-0000-0000-00005C9A0000}"/>
    <cellStyle name="RIGs linked cells 4 5 2 7" xfId="39122" xr:uid="{00000000-0005-0000-0000-00005D9A0000}"/>
    <cellStyle name="RIGs linked cells 4 5 2 8" xfId="39123" xr:uid="{00000000-0005-0000-0000-00005E9A0000}"/>
    <cellStyle name="RIGs linked cells 4 5 2 9" xfId="39124" xr:uid="{00000000-0005-0000-0000-00005F9A0000}"/>
    <cellStyle name="RIGs linked cells 4 5 20" xfId="39125" xr:uid="{00000000-0005-0000-0000-0000609A0000}"/>
    <cellStyle name="RIGs linked cells 4 5 21" xfId="39126" xr:uid="{00000000-0005-0000-0000-0000619A0000}"/>
    <cellStyle name="RIGs linked cells 4 5 22" xfId="39127" xr:uid="{00000000-0005-0000-0000-0000629A0000}"/>
    <cellStyle name="RIGs linked cells 4 5 23" xfId="39128" xr:uid="{00000000-0005-0000-0000-0000639A0000}"/>
    <cellStyle name="RIGs linked cells 4 5 24" xfId="39129" xr:uid="{00000000-0005-0000-0000-0000649A0000}"/>
    <cellStyle name="RIGs linked cells 4 5 25" xfId="39130" xr:uid="{00000000-0005-0000-0000-0000659A0000}"/>
    <cellStyle name="RIGs linked cells 4 5 26" xfId="39131" xr:uid="{00000000-0005-0000-0000-0000669A0000}"/>
    <cellStyle name="RIGs linked cells 4 5 27" xfId="39132" xr:uid="{00000000-0005-0000-0000-0000679A0000}"/>
    <cellStyle name="RIGs linked cells 4 5 28" xfId="39133" xr:uid="{00000000-0005-0000-0000-0000689A0000}"/>
    <cellStyle name="RIGs linked cells 4 5 29" xfId="39134" xr:uid="{00000000-0005-0000-0000-0000699A0000}"/>
    <cellStyle name="RIGs linked cells 4 5 3" xfId="39135" xr:uid="{00000000-0005-0000-0000-00006A9A0000}"/>
    <cellStyle name="RIGs linked cells 4 5 30" xfId="39136" xr:uid="{00000000-0005-0000-0000-00006B9A0000}"/>
    <cellStyle name="RIGs linked cells 4 5 31" xfId="39137" xr:uid="{00000000-0005-0000-0000-00006C9A0000}"/>
    <cellStyle name="RIGs linked cells 4 5 32" xfId="39138" xr:uid="{00000000-0005-0000-0000-00006D9A0000}"/>
    <cellStyle name="RIGs linked cells 4 5 33" xfId="39139" xr:uid="{00000000-0005-0000-0000-00006E9A0000}"/>
    <cellStyle name="RIGs linked cells 4 5 34" xfId="39140" xr:uid="{00000000-0005-0000-0000-00006F9A0000}"/>
    <cellStyle name="RIGs linked cells 4 5 4" xfId="39141" xr:uid="{00000000-0005-0000-0000-0000709A0000}"/>
    <cellStyle name="RIGs linked cells 4 5 5" xfId="39142" xr:uid="{00000000-0005-0000-0000-0000719A0000}"/>
    <cellStyle name="RIGs linked cells 4 5 6" xfId="39143" xr:uid="{00000000-0005-0000-0000-0000729A0000}"/>
    <cellStyle name="RIGs linked cells 4 5 7" xfId="39144" xr:uid="{00000000-0005-0000-0000-0000739A0000}"/>
    <cellStyle name="RIGs linked cells 4 5 8" xfId="39145" xr:uid="{00000000-0005-0000-0000-0000749A0000}"/>
    <cellStyle name="RIGs linked cells 4 5 9" xfId="39146" xr:uid="{00000000-0005-0000-0000-0000759A0000}"/>
    <cellStyle name="RIGs linked cells 4 6" xfId="39147" xr:uid="{00000000-0005-0000-0000-0000769A0000}"/>
    <cellStyle name="RIGs linked cells 4 6 10" xfId="39148" xr:uid="{00000000-0005-0000-0000-0000779A0000}"/>
    <cellStyle name="RIGs linked cells 4 6 11" xfId="39149" xr:uid="{00000000-0005-0000-0000-0000789A0000}"/>
    <cellStyle name="RIGs linked cells 4 6 12" xfId="39150" xr:uid="{00000000-0005-0000-0000-0000799A0000}"/>
    <cellStyle name="RIGs linked cells 4 6 13" xfId="39151" xr:uid="{00000000-0005-0000-0000-00007A9A0000}"/>
    <cellStyle name="RIGs linked cells 4 6 2" xfId="39152" xr:uid="{00000000-0005-0000-0000-00007B9A0000}"/>
    <cellStyle name="RIGs linked cells 4 6 3" xfId="39153" xr:uid="{00000000-0005-0000-0000-00007C9A0000}"/>
    <cellStyle name="RIGs linked cells 4 6 4" xfId="39154" xr:uid="{00000000-0005-0000-0000-00007D9A0000}"/>
    <cellStyle name="RIGs linked cells 4 6 5" xfId="39155" xr:uid="{00000000-0005-0000-0000-00007E9A0000}"/>
    <cellStyle name="RIGs linked cells 4 6 6" xfId="39156" xr:uid="{00000000-0005-0000-0000-00007F9A0000}"/>
    <cellStyle name="RIGs linked cells 4 6 7" xfId="39157" xr:uid="{00000000-0005-0000-0000-0000809A0000}"/>
    <cellStyle name="RIGs linked cells 4 6 8" xfId="39158" xr:uid="{00000000-0005-0000-0000-0000819A0000}"/>
    <cellStyle name="RIGs linked cells 4 6 9" xfId="39159" xr:uid="{00000000-0005-0000-0000-0000829A0000}"/>
    <cellStyle name="RIGs linked cells 4 7" xfId="39160" xr:uid="{00000000-0005-0000-0000-0000839A0000}"/>
    <cellStyle name="RIGs linked cells 4 8" xfId="39161" xr:uid="{00000000-0005-0000-0000-0000849A0000}"/>
    <cellStyle name="RIGs linked cells 4 9" xfId="39162" xr:uid="{00000000-0005-0000-0000-0000859A0000}"/>
    <cellStyle name="RIGs linked cells 4_1.3s Accounting C Costs Scots" xfId="39163" xr:uid="{00000000-0005-0000-0000-0000869A0000}"/>
    <cellStyle name="RIGs linked cells 40" xfId="39164" xr:uid="{00000000-0005-0000-0000-0000879A0000}"/>
    <cellStyle name="RIGs linked cells 41" xfId="39165" xr:uid="{00000000-0005-0000-0000-0000889A0000}"/>
    <cellStyle name="RIGs linked cells 42" xfId="39166" xr:uid="{00000000-0005-0000-0000-0000899A0000}"/>
    <cellStyle name="RIGs linked cells 43" xfId="39167" xr:uid="{00000000-0005-0000-0000-00008A9A0000}"/>
    <cellStyle name="RIGs linked cells 44" xfId="39168" xr:uid="{00000000-0005-0000-0000-00008B9A0000}"/>
    <cellStyle name="RIGs linked cells 45" xfId="39169" xr:uid="{00000000-0005-0000-0000-00008C9A0000}"/>
    <cellStyle name="RIGs linked cells 46" xfId="39170" xr:uid="{00000000-0005-0000-0000-00008D9A0000}"/>
    <cellStyle name="RIGs linked cells 46 2" xfId="39171" xr:uid="{00000000-0005-0000-0000-00008E9A0000}"/>
    <cellStyle name="RIGs linked cells 46 2 2" xfId="39172" xr:uid="{00000000-0005-0000-0000-00008F9A0000}"/>
    <cellStyle name="RIGs linked cells 5" xfId="39173" xr:uid="{00000000-0005-0000-0000-0000909A0000}"/>
    <cellStyle name="RIGs linked cells 5 10" xfId="39174" xr:uid="{00000000-0005-0000-0000-0000919A0000}"/>
    <cellStyle name="RIGs linked cells 5 11" xfId="39175" xr:uid="{00000000-0005-0000-0000-0000929A0000}"/>
    <cellStyle name="RIGs linked cells 5 12" xfId="39176" xr:uid="{00000000-0005-0000-0000-0000939A0000}"/>
    <cellStyle name="RIGs linked cells 5 13" xfId="39177" xr:uid="{00000000-0005-0000-0000-0000949A0000}"/>
    <cellStyle name="RIGs linked cells 5 14" xfId="39178" xr:uid="{00000000-0005-0000-0000-0000959A0000}"/>
    <cellStyle name="RIGs linked cells 5 15" xfId="39179" xr:uid="{00000000-0005-0000-0000-0000969A0000}"/>
    <cellStyle name="RIGs linked cells 5 16" xfId="39180" xr:uid="{00000000-0005-0000-0000-0000979A0000}"/>
    <cellStyle name="RIGs linked cells 5 17" xfId="39181" xr:uid="{00000000-0005-0000-0000-0000989A0000}"/>
    <cellStyle name="RIGs linked cells 5 18" xfId="39182" xr:uid="{00000000-0005-0000-0000-0000999A0000}"/>
    <cellStyle name="RIGs linked cells 5 19" xfId="39183" xr:uid="{00000000-0005-0000-0000-00009A9A0000}"/>
    <cellStyle name="RIGs linked cells 5 2" xfId="39184" xr:uid="{00000000-0005-0000-0000-00009B9A0000}"/>
    <cellStyle name="RIGs linked cells 5 2 10" xfId="39185" xr:uid="{00000000-0005-0000-0000-00009C9A0000}"/>
    <cellStyle name="RIGs linked cells 5 2 11" xfId="39186" xr:uid="{00000000-0005-0000-0000-00009D9A0000}"/>
    <cellStyle name="RIGs linked cells 5 2 12" xfId="39187" xr:uid="{00000000-0005-0000-0000-00009E9A0000}"/>
    <cellStyle name="RIGs linked cells 5 2 13" xfId="39188" xr:uid="{00000000-0005-0000-0000-00009F9A0000}"/>
    <cellStyle name="RIGs linked cells 5 2 14" xfId="39189" xr:uid="{00000000-0005-0000-0000-0000A09A0000}"/>
    <cellStyle name="RIGs linked cells 5 2 15" xfId="39190" xr:uid="{00000000-0005-0000-0000-0000A19A0000}"/>
    <cellStyle name="RIGs linked cells 5 2 16" xfId="39191" xr:uid="{00000000-0005-0000-0000-0000A29A0000}"/>
    <cellStyle name="RIGs linked cells 5 2 17" xfId="39192" xr:uid="{00000000-0005-0000-0000-0000A39A0000}"/>
    <cellStyle name="RIGs linked cells 5 2 18" xfId="39193" xr:uid="{00000000-0005-0000-0000-0000A49A0000}"/>
    <cellStyle name="RIGs linked cells 5 2 19" xfId="39194" xr:uid="{00000000-0005-0000-0000-0000A59A0000}"/>
    <cellStyle name="RIGs linked cells 5 2 2" xfId="39195" xr:uid="{00000000-0005-0000-0000-0000A69A0000}"/>
    <cellStyle name="RIGs linked cells 5 2 2 10" xfId="39196" xr:uid="{00000000-0005-0000-0000-0000A79A0000}"/>
    <cellStyle name="RIGs linked cells 5 2 2 11" xfId="39197" xr:uid="{00000000-0005-0000-0000-0000A89A0000}"/>
    <cellStyle name="RIGs linked cells 5 2 2 12" xfId="39198" xr:uid="{00000000-0005-0000-0000-0000A99A0000}"/>
    <cellStyle name="RIGs linked cells 5 2 2 13" xfId="39199" xr:uid="{00000000-0005-0000-0000-0000AA9A0000}"/>
    <cellStyle name="RIGs linked cells 5 2 2 14" xfId="39200" xr:uid="{00000000-0005-0000-0000-0000AB9A0000}"/>
    <cellStyle name="RIGs linked cells 5 2 2 15" xfId="39201" xr:uid="{00000000-0005-0000-0000-0000AC9A0000}"/>
    <cellStyle name="RIGs linked cells 5 2 2 16" xfId="39202" xr:uid="{00000000-0005-0000-0000-0000AD9A0000}"/>
    <cellStyle name="RIGs linked cells 5 2 2 17" xfId="39203" xr:uid="{00000000-0005-0000-0000-0000AE9A0000}"/>
    <cellStyle name="RIGs linked cells 5 2 2 18" xfId="39204" xr:uid="{00000000-0005-0000-0000-0000AF9A0000}"/>
    <cellStyle name="RIGs linked cells 5 2 2 19" xfId="39205" xr:uid="{00000000-0005-0000-0000-0000B09A0000}"/>
    <cellStyle name="RIGs linked cells 5 2 2 2" xfId="39206" xr:uid="{00000000-0005-0000-0000-0000B19A0000}"/>
    <cellStyle name="RIGs linked cells 5 2 2 2 10" xfId="39207" xr:uid="{00000000-0005-0000-0000-0000B29A0000}"/>
    <cellStyle name="RIGs linked cells 5 2 2 2 11" xfId="39208" xr:uid="{00000000-0005-0000-0000-0000B39A0000}"/>
    <cellStyle name="RIGs linked cells 5 2 2 2 12" xfId="39209" xr:uid="{00000000-0005-0000-0000-0000B49A0000}"/>
    <cellStyle name="RIGs linked cells 5 2 2 2 13" xfId="39210" xr:uid="{00000000-0005-0000-0000-0000B59A0000}"/>
    <cellStyle name="RIGs linked cells 5 2 2 2 2" xfId="39211" xr:uid="{00000000-0005-0000-0000-0000B69A0000}"/>
    <cellStyle name="RIGs linked cells 5 2 2 2 3" xfId="39212" xr:uid="{00000000-0005-0000-0000-0000B79A0000}"/>
    <cellStyle name="RIGs linked cells 5 2 2 2 4" xfId="39213" xr:uid="{00000000-0005-0000-0000-0000B89A0000}"/>
    <cellStyle name="RIGs linked cells 5 2 2 2 5" xfId="39214" xr:uid="{00000000-0005-0000-0000-0000B99A0000}"/>
    <cellStyle name="RIGs linked cells 5 2 2 2 6" xfId="39215" xr:uid="{00000000-0005-0000-0000-0000BA9A0000}"/>
    <cellStyle name="RIGs linked cells 5 2 2 2 7" xfId="39216" xr:uid="{00000000-0005-0000-0000-0000BB9A0000}"/>
    <cellStyle name="RIGs linked cells 5 2 2 2 8" xfId="39217" xr:uid="{00000000-0005-0000-0000-0000BC9A0000}"/>
    <cellStyle name="RIGs linked cells 5 2 2 2 9" xfId="39218" xr:uid="{00000000-0005-0000-0000-0000BD9A0000}"/>
    <cellStyle name="RIGs linked cells 5 2 2 20" xfId="39219" xr:uid="{00000000-0005-0000-0000-0000BE9A0000}"/>
    <cellStyle name="RIGs linked cells 5 2 2 21" xfId="39220" xr:uid="{00000000-0005-0000-0000-0000BF9A0000}"/>
    <cellStyle name="RIGs linked cells 5 2 2 22" xfId="39221" xr:uid="{00000000-0005-0000-0000-0000C09A0000}"/>
    <cellStyle name="RIGs linked cells 5 2 2 23" xfId="39222" xr:uid="{00000000-0005-0000-0000-0000C19A0000}"/>
    <cellStyle name="RIGs linked cells 5 2 2 24" xfId="39223" xr:uid="{00000000-0005-0000-0000-0000C29A0000}"/>
    <cellStyle name="RIGs linked cells 5 2 2 25" xfId="39224" xr:uid="{00000000-0005-0000-0000-0000C39A0000}"/>
    <cellStyle name="RIGs linked cells 5 2 2 26" xfId="39225" xr:uid="{00000000-0005-0000-0000-0000C49A0000}"/>
    <cellStyle name="RIGs linked cells 5 2 2 27" xfId="39226" xr:uid="{00000000-0005-0000-0000-0000C59A0000}"/>
    <cellStyle name="RIGs linked cells 5 2 2 28" xfId="39227" xr:uid="{00000000-0005-0000-0000-0000C69A0000}"/>
    <cellStyle name="RIGs linked cells 5 2 2 29" xfId="39228" xr:uid="{00000000-0005-0000-0000-0000C79A0000}"/>
    <cellStyle name="RIGs linked cells 5 2 2 3" xfId="39229" xr:uid="{00000000-0005-0000-0000-0000C89A0000}"/>
    <cellStyle name="RIGs linked cells 5 2 2 30" xfId="39230" xr:uid="{00000000-0005-0000-0000-0000C99A0000}"/>
    <cellStyle name="RIGs linked cells 5 2 2 31" xfId="39231" xr:uid="{00000000-0005-0000-0000-0000CA9A0000}"/>
    <cellStyle name="RIGs linked cells 5 2 2 32" xfId="39232" xr:uid="{00000000-0005-0000-0000-0000CB9A0000}"/>
    <cellStyle name="RIGs linked cells 5 2 2 33" xfId="39233" xr:uid="{00000000-0005-0000-0000-0000CC9A0000}"/>
    <cellStyle name="RIGs linked cells 5 2 2 34" xfId="39234" xr:uid="{00000000-0005-0000-0000-0000CD9A0000}"/>
    <cellStyle name="RIGs linked cells 5 2 2 4" xfId="39235" xr:uid="{00000000-0005-0000-0000-0000CE9A0000}"/>
    <cellStyle name="RIGs linked cells 5 2 2 5" xfId="39236" xr:uid="{00000000-0005-0000-0000-0000CF9A0000}"/>
    <cellStyle name="RIGs linked cells 5 2 2 6" xfId="39237" xr:uid="{00000000-0005-0000-0000-0000D09A0000}"/>
    <cellStyle name="RIGs linked cells 5 2 2 7" xfId="39238" xr:uid="{00000000-0005-0000-0000-0000D19A0000}"/>
    <cellStyle name="RIGs linked cells 5 2 2 8" xfId="39239" xr:uid="{00000000-0005-0000-0000-0000D29A0000}"/>
    <cellStyle name="RIGs linked cells 5 2 2 9" xfId="39240" xr:uid="{00000000-0005-0000-0000-0000D39A0000}"/>
    <cellStyle name="RIGs linked cells 5 2 20" xfId="39241" xr:uid="{00000000-0005-0000-0000-0000D49A0000}"/>
    <cellStyle name="RIGs linked cells 5 2 21" xfId="39242" xr:uid="{00000000-0005-0000-0000-0000D59A0000}"/>
    <cellStyle name="RIGs linked cells 5 2 22" xfId="39243" xr:uid="{00000000-0005-0000-0000-0000D69A0000}"/>
    <cellStyle name="RIGs linked cells 5 2 23" xfId="39244" xr:uid="{00000000-0005-0000-0000-0000D79A0000}"/>
    <cellStyle name="RIGs linked cells 5 2 24" xfId="39245" xr:uid="{00000000-0005-0000-0000-0000D89A0000}"/>
    <cellStyle name="RIGs linked cells 5 2 25" xfId="39246" xr:uid="{00000000-0005-0000-0000-0000D99A0000}"/>
    <cellStyle name="RIGs linked cells 5 2 26" xfId="39247" xr:uid="{00000000-0005-0000-0000-0000DA9A0000}"/>
    <cellStyle name="RIGs linked cells 5 2 27" xfId="39248" xr:uid="{00000000-0005-0000-0000-0000DB9A0000}"/>
    <cellStyle name="RIGs linked cells 5 2 28" xfId="39249" xr:uid="{00000000-0005-0000-0000-0000DC9A0000}"/>
    <cellStyle name="RIGs linked cells 5 2 29" xfId="39250" xr:uid="{00000000-0005-0000-0000-0000DD9A0000}"/>
    <cellStyle name="RIGs linked cells 5 2 3" xfId="39251" xr:uid="{00000000-0005-0000-0000-0000DE9A0000}"/>
    <cellStyle name="RIGs linked cells 5 2 3 10" xfId="39252" xr:uid="{00000000-0005-0000-0000-0000DF9A0000}"/>
    <cellStyle name="RIGs linked cells 5 2 3 11" xfId="39253" xr:uid="{00000000-0005-0000-0000-0000E09A0000}"/>
    <cellStyle name="RIGs linked cells 5 2 3 12" xfId="39254" xr:uid="{00000000-0005-0000-0000-0000E19A0000}"/>
    <cellStyle name="RIGs linked cells 5 2 3 13" xfId="39255" xr:uid="{00000000-0005-0000-0000-0000E29A0000}"/>
    <cellStyle name="RIGs linked cells 5 2 3 2" xfId="39256" xr:uid="{00000000-0005-0000-0000-0000E39A0000}"/>
    <cellStyle name="RIGs linked cells 5 2 3 3" xfId="39257" xr:uid="{00000000-0005-0000-0000-0000E49A0000}"/>
    <cellStyle name="RIGs linked cells 5 2 3 4" xfId="39258" xr:uid="{00000000-0005-0000-0000-0000E59A0000}"/>
    <cellStyle name="RIGs linked cells 5 2 3 5" xfId="39259" xr:uid="{00000000-0005-0000-0000-0000E69A0000}"/>
    <cellStyle name="RIGs linked cells 5 2 3 6" xfId="39260" xr:uid="{00000000-0005-0000-0000-0000E79A0000}"/>
    <cellStyle name="RIGs linked cells 5 2 3 7" xfId="39261" xr:uid="{00000000-0005-0000-0000-0000E89A0000}"/>
    <cellStyle name="RIGs linked cells 5 2 3 8" xfId="39262" xr:uid="{00000000-0005-0000-0000-0000E99A0000}"/>
    <cellStyle name="RIGs linked cells 5 2 3 9" xfId="39263" xr:uid="{00000000-0005-0000-0000-0000EA9A0000}"/>
    <cellStyle name="RIGs linked cells 5 2 30" xfId="39264" xr:uid="{00000000-0005-0000-0000-0000EB9A0000}"/>
    <cellStyle name="RIGs linked cells 5 2 31" xfId="39265" xr:uid="{00000000-0005-0000-0000-0000EC9A0000}"/>
    <cellStyle name="RIGs linked cells 5 2 32" xfId="39266" xr:uid="{00000000-0005-0000-0000-0000ED9A0000}"/>
    <cellStyle name="RIGs linked cells 5 2 33" xfId="39267" xr:uid="{00000000-0005-0000-0000-0000EE9A0000}"/>
    <cellStyle name="RIGs linked cells 5 2 34" xfId="39268" xr:uid="{00000000-0005-0000-0000-0000EF9A0000}"/>
    <cellStyle name="RIGs linked cells 5 2 35" xfId="39269" xr:uid="{00000000-0005-0000-0000-0000F09A0000}"/>
    <cellStyle name="RIGs linked cells 5 2 4" xfId="39270" xr:uid="{00000000-0005-0000-0000-0000F19A0000}"/>
    <cellStyle name="RIGs linked cells 5 2 5" xfId="39271" xr:uid="{00000000-0005-0000-0000-0000F29A0000}"/>
    <cellStyle name="RIGs linked cells 5 2 6" xfId="39272" xr:uid="{00000000-0005-0000-0000-0000F39A0000}"/>
    <cellStyle name="RIGs linked cells 5 2 7" xfId="39273" xr:uid="{00000000-0005-0000-0000-0000F49A0000}"/>
    <cellStyle name="RIGs linked cells 5 2 8" xfId="39274" xr:uid="{00000000-0005-0000-0000-0000F59A0000}"/>
    <cellStyle name="RIGs linked cells 5 2 9" xfId="39275" xr:uid="{00000000-0005-0000-0000-0000F69A0000}"/>
    <cellStyle name="RIGs linked cells 5 2_4 28 1_Asst_Health_Crit_AllTO_RIIO_20110714pm" xfId="39276" xr:uid="{00000000-0005-0000-0000-0000F79A0000}"/>
    <cellStyle name="RIGs linked cells 5 20" xfId="39277" xr:uid="{00000000-0005-0000-0000-0000F89A0000}"/>
    <cellStyle name="RIGs linked cells 5 21" xfId="39278" xr:uid="{00000000-0005-0000-0000-0000F99A0000}"/>
    <cellStyle name="RIGs linked cells 5 22" xfId="39279" xr:uid="{00000000-0005-0000-0000-0000FA9A0000}"/>
    <cellStyle name="RIGs linked cells 5 23" xfId="39280" xr:uid="{00000000-0005-0000-0000-0000FB9A0000}"/>
    <cellStyle name="RIGs linked cells 5 24" xfId="39281" xr:uid="{00000000-0005-0000-0000-0000FC9A0000}"/>
    <cellStyle name="RIGs linked cells 5 25" xfId="39282" xr:uid="{00000000-0005-0000-0000-0000FD9A0000}"/>
    <cellStyle name="RIGs linked cells 5 26" xfId="39283" xr:uid="{00000000-0005-0000-0000-0000FE9A0000}"/>
    <cellStyle name="RIGs linked cells 5 27" xfId="39284" xr:uid="{00000000-0005-0000-0000-0000FF9A0000}"/>
    <cellStyle name="RIGs linked cells 5 28" xfId="39285" xr:uid="{00000000-0005-0000-0000-0000009B0000}"/>
    <cellStyle name="RIGs linked cells 5 29" xfId="39286" xr:uid="{00000000-0005-0000-0000-0000019B0000}"/>
    <cellStyle name="RIGs linked cells 5 3" xfId="39287" xr:uid="{00000000-0005-0000-0000-0000029B0000}"/>
    <cellStyle name="RIGs linked cells 5 3 10" xfId="39288" xr:uid="{00000000-0005-0000-0000-0000039B0000}"/>
    <cellStyle name="RIGs linked cells 5 3 11" xfId="39289" xr:uid="{00000000-0005-0000-0000-0000049B0000}"/>
    <cellStyle name="RIGs linked cells 5 3 12" xfId="39290" xr:uid="{00000000-0005-0000-0000-0000059B0000}"/>
    <cellStyle name="RIGs linked cells 5 3 13" xfId="39291" xr:uid="{00000000-0005-0000-0000-0000069B0000}"/>
    <cellStyle name="RIGs linked cells 5 3 14" xfId="39292" xr:uid="{00000000-0005-0000-0000-0000079B0000}"/>
    <cellStyle name="RIGs linked cells 5 3 15" xfId="39293" xr:uid="{00000000-0005-0000-0000-0000089B0000}"/>
    <cellStyle name="RIGs linked cells 5 3 16" xfId="39294" xr:uid="{00000000-0005-0000-0000-0000099B0000}"/>
    <cellStyle name="RIGs linked cells 5 3 17" xfId="39295" xr:uid="{00000000-0005-0000-0000-00000A9B0000}"/>
    <cellStyle name="RIGs linked cells 5 3 18" xfId="39296" xr:uid="{00000000-0005-0000-0000-00000B9B0000}"/>
    <cellStyle name="RIGs linked cells 5 3 19" xfId="39297" xr:uid="{00000000-0005-0000-0000-00000C9B0000}"/>
    <cellStyle name="RIGs linked cells 5 3 2" xfId="39298" xr:uid="{00000000-0005-0000-0000-00000D9B0000}"/>
    <cellStyle name="RIGs linked cells 5 3 2 10" xfId="39299" xr:uid="{00000000-0005-0000-0000-00000E9B0000}"/>
    <cellStyle name="RIGs linked cells 5 3 2 11" xfId="39300" xr:uid="{00000000-0005-0000-0000-00000F9B0000}"/>
    <cellStyle name="RIGs linked cells 5 3 2 12" xfId="39301" xr:uid="{00000000-0005-0000-0000-0000109B0000}"/>
    <cellStyle name="RIGs linked cells 5 3 2 13" xfId="39302" xr:uid="{00000000-0005-0000-0000-0000119B0000}"/>
    <cellStyle name="RIGs linked cells 5 3 2 2" xfId="39303" xr:uid="{00000000-0005-0000-0000-0000129B0000}"/>
    <cellStyle name="RIGs linked cells 5 3 2 3" xfId="39304" xr:uid="{00000000-0005-0000-0000-0000139B0000}"/>
    <cellStyle name="RIGs linked cells 5 3 2 4" xfId="39305" xr:uid="{00000000-0005-0000-0000-0000149B0000}"/>
    <cellStyle name="RIGs linked cells 5 3 2 5" xfId="39306" xr:uid="{00000000-0005-0000-0000-0000159B0000}"/>
    <cellStyle name="RIGs linked cells 5 3 2 6" xfId="39307" xr:uid="{00000000-0005-0000-0000-0000169B0000}"/>
    <cellStyle name="RIGs linked cells 5 3 2 7" xfId="39308" xr:uid="{00000000-0005-0000-0000-0000179B0000}"/>
    <cellStyle name="RIGs linked cells 5 3 2 8" xfId="39309" xr:uid="{00000000-0005-0000-0000-0000189B0000}"/>
    <cellStyle name="RIGs linked cells 5 3 2 9" xfId="39310" xr:uid="{00000000-0005-0000-0000-0000199B0000}"/>
    <cellStyle name="RIGs linked cells 5 3 20" xfId="39311" xr:uid="{00000000-0005-0000-0000-00001A9B0000}"/>
    <cellStyle name="RIGs linked cells 5 3 21" xfId="39312" xr:uid="{00000000-0005-0000-0000-00001B9B0000}"/>
    <cellStyle name="RIGs linked cells 5 3 22" xfId="39313" xr:uid="{00000000-0005-0000-0000-00001C9B0000}"/>
    <cellStyle name="RIGs linked cells 5 3 23" xfId="39314" xr:uid="{00000000-0005-0000-0000-00001D9B0000}"/>
    <cellStyle name="RIGs linked cells 5 3 24" xfId="39315" xr:uid="{00000000-0005-0000-0000-00001E9B0000}"/>
    <cellStyle name="RIGs linked cells 5 3 25" xfId="39316" xr:uid="{00000000-0005-0000-0000-00001F9B0000}"/>
    <cellStyle name="RIGs linked cells 5 3 26" xfId="39317" xr:uid="{00000000-0005-0000-0000-0000209B0000}"/>
    <cellStyle name="RIGs linked cells 5 3 27" xfId="39318" xr:uid="{00000000-0005-0000-0000-0000219B0000}"/>
    <cellStyle name="RIGs linked cells 5 3 28" xfId="39319" xr:uid="{00000000-0005-0000-0000-0000229B0000}"/>
    <cellStyle name="RIGs linked cells 5 3 29" xfId="39320" xr:uid="{00000000-0005-0000-0000-0000239B0000}"/>
    <cellStyle name="RIGs linked cells 5 3 3" xfId="39321" xr:uid="{00000000-0005-0000-0000-0000249B0000}"/>
    <cellStyle name="RIGs linked cells 5 3 30" xfId="39322" xr:uid="{00000000-0005-0000-0000-0000259B0000}"/>
    <cellStyle name="RIGs linked cells 5 3 31" xfId="39323" xr:uid="{00000000-0005-0000-0000-0000269B0000}"/>
    <cellStyle name="RIGs linked cells 5 3 32" xfId="39324" xr:uid="{00000000-0005-0000-0000-0000279B0000}"/>
    <cellStyle name="RIGs linked cells 5 3 33" xfId="39325" xr:uid="{00000000-0005-0000-0000-0000289B0000}"/>
    <cellStyle name="RIGs linked cells 5 3 34" xfId="39326" xr:uid="{00000000-0005-0000-0000-0000299B0000}"/>
    <cellStyle name="RIGs linked cells 5 3 4" xfId="39327" xr:uid="{00000000-0005-0000-0000-00002A9B0000}"/>
    <cellStyle name="RIGs linked cells 5 3 5" xfId="39328" xr:uid="{00000000-0005-0000-0000-00002B9B0000}"/>
    <cellStyle name="RIGs linked cells 5 3 6" xfId="39329" xr:uid="{00000000-0005-0000-0000-00002C9B0000}"/>
    <cellStyle name="RIGs linked cells 5 3 7" xfId="39330" xr:uid="{00000000-0005-0000-0000-00002D9B0000}"/>
    <cellStyle name="RIGs linked cells 5 3 8" xfId="39331" xr:uid="{00000000-0005-0000-0000-00002E9B0000}"/>
    <cellStyle name="RIGs linked cells 5 3 9" xfId="39332" xr:uid="{00000000-0005-0000-0000-00002F9B0000}"/>
    <cellStyle name="RIGs linked cells 5 30" xfId="39333" xr:uid="{00000000-0005-0000-0000-0000309B0000}"/>
    <cellStyle name="RIGs linked cells 5 31" xfId="39334" xr:uid="{00000000-0005-0000-0000-0000319B0000}"/>
    <cellStyle name="RIGs linked cells 5 32" xfId="39335" xr:uid="{00000000-0005-0000-0000-0000329B0000}"/>
    <cellStyle name="RIGs linked cells 5 33" xfId="39336" xr:uid="{00000000-0005-0000-0000-0000339B0000}"/>
    <cellStyle name="RIGs linked cells 5 34" xfId="39337" xr:uid="{00000000-0005-0000-0000-0000349B0000}"/>
    <cellStyle name="RIGs linked cells 5 35" xfId="39338" xr:uid="{00000000-0005-0000-0000-0000359B0000}"/>
    <cellStyle name="RIGs linked cells 5 36" xfId="39339" xr:uid="{00000000-0005-0000-0000-0000369B0000}"/>
    <cellStyle name="RIGs linked cells 5 37" xfId="39340" xr:uid="{00000000-0005-0000-0000-0000379B0000}"/>
    <cellStyle name="RIGs linked cells 5 38" xfId="39341" xr:uid="{00000000-0005-0000-0000-0000389B0000}"/>
    <cellStyle name="RIGs linked cells 5 4" xfId="39342" xr:uid="{00000000-0005-0000-0000-0000399B0000}"/>
    <cellStyle name="RIGs linked cells 5 4 10" xfId="39343" xr:uid="{00000000-0005-0000-0000-00003A9B0000}"/>
    <cellStyle name="RIGs linked cells 5 4 11" xfId="39344" xr:uid="{00000000-0005-0000-0000-00003B9B0000}"/>
    <cellStyle name="RIGs linked cells 5 4 12" xfId="39345" xr:uid="{00000000-0005-0000-0000-00003C9B0000}"/>
    <cellStyle name="RIGs linked cells 5 4 13" xfId="39346" xr:uid="{00000000-0005-0000-0000-00003D9B0000}"/>
    <cellStyle name="RIGs linked cells 5 4 14" xfId="39347" xr:uid="{00000000-0005-0000-0000-00003E9B0000}"/>
    <cellStyle name="RIGs linked cells 5 4 15" xfId="39348" xr:uid="{00000000-0005-0000-0000-00003F9B0000}"/>
    <cellStyle name="RIGs linked cells 5 4 16" xfId="39349" xr:uid="{00000000-0005-0000-0000-0000409B0000}"/>
    <cellStyle name="RIGs linked cells 5 4 17" xfId="39350" xr:uid="{00000000-0005-0000-0000-0000419B0000}"/>
    <cellStyle name="RIGs linked cells 5 4 18" xfId="39351" xr:uid="{00000000-0005-0000-0000-0000429B0000}"/>
    <cellStyle name="RIGs linked cells 5 4 19" xfId="39352" xr:uid="{00000000-0005-0000-0000-0000439B0000}"/>
    <cellStyle name="RIGs linked cells 5 4 2" xfId="39353" xr:uid="{00000000-0005-0000-0000-0000449B0000}"/>
    <cellStyle name="RIGs linked cells 5 4 2 10" xfId="39354" xr:uid="{00000000-0005-0000-0000-0000459B0000}"/>
    <cellStyle name="RIGs linked cells 5 4 2 11" xfId="39355" xr:uid="{00000000-0005-0000-0000-0000469B0000}"/>
    <cellStyle name="RIGs linked cells 5 4 2 12" xfId="39356" xr:uid="{00000000-0005-0000-0000-0000479B0000}"/>
    <cellStyle name="RIGs linked cells 5 4 2 13" xfId="39357" xr:uid="{00000000-0005-0000-0000-0000489B0000}"/>
    <cellStyle name="RIGs linked cells 5 4 2 2" xfId="39358" xr:uid="{00000000-0005-0000-0000-0000499B0000}"/>
    <cellStyle name="RIGs linked cells 5 4 2 3" xfId="39359" xr:uid="{00000000-0005-0000-0000-00004A9B0000}"/>
    <cellStyle name="RIGs linked cells 5 4 2 4" xfId="39360" xr:uid="{00000000-0005-0000-0000-00004B9B0000}"/>
    <cellStyle name="RIGs linked cells 5 4 2 5" xfId="39361" xr:uid="{00000000-0005-0000-0000-00004C9B0000}"/>
    <cellStyle name="RIGs linked cells 5 4 2 6" xfId="39362" xr:uid="{00000000-0005-0000-0000-00004D9B0000}"/>
    <cellStyle name="RIGs linked cells 5 4 2 7" xfId="39363" xr:uid="{00000000-0005-0000-0000-00004E9B0000}"/>
    <cellStyle name="RIGs linked cells 5 4 2 8" xfId="39364" xr:uid="{00000000-0005-0000-0000-00004F9B0000}"/>
    <cellStyle name="RIGs linked cells 5 4 2 9" xfId="39365" xr:uid="{00000000-0005-0000-0000-0000509B0000}"/>
    <cellStyle name="RIGs linked cells 5 4 20" xfId="39366" xr:uid="{00000000-0005-0000-0000-0000519B0000}"/>
    <cellStyle name="RIGs linked cells 5 4 21" xfId="39367" xr:uid="{00000000-0005-0000-0000-0000529B0000}"/>
    <cellStyle name="RIGs linked cells 5 4 22" xfId="39368" xr:uid="{00000000-0005-0000-0000-0000539B0000}"/>
    <cellStyle name="RIGs linked cells 5 4 23" xfId="39369" xr:uid="{00000000-0005-0000-0000-0000549B0000}"/>
    <cellStyle name="RIGs linked cells 5 4 24" xfId="39370" xr:uid="{00000000-0005-0000-0000-0000559B0000}"/>
    <cellStyle name="RIGs linked cells 5 4 25" xfId="39371" xr:uid="{00000000-0005-0000-0000-0000569B0000}"/>
    <cellStyle name="RIGs linked cells 5 4 26" xfId="39372" xr:uid="{00000000-0005-0000-0000-0000579B0000}"/>
    <cellStyle name="RIGs linked cells 5 4 27" xfId="39373" xr:uid="{00000000-0005-0000-0000-0000589B0000}"/>
    <cellStyle name="RIGs linked cells 5 4 28" xfId="39374" xr:uid="{00000000-0005-0000-0000-0000599B0000}"/>
    <cellStyle name="RIGs linked cells 5 4 29" xfId="39375" xr:uid="{00000000-0005-0000-0000-00005A9B0000}"/>
    <cellStyle name="RIGs linked cells 5 4 3" xfId="39376" xr:uid="{00000000-0005-0000-0000-00005B9B0000}"/>
    <cellStyle name="RIGs linked cells 5 4 30" xfId="39377" xr:uid="{00000000-0005-0000-0000-00005C9B0000}"/>
    <cellStyle name="RIGs linked cells 5 4 31" xfId="39378" xr:uid="{00000000-0005-0000-0000-00005D9B0000}"/>
    <cellStyle name="RIGs linked cells 5 4 32" xfId="39379" xr:uid="{00000000-0005-0000-0000-00005E9B0000}"/>
    <cellStyle name="RIGs linked cells 5 4 33" xfId="39380" xr:uid="{00000000-0005-0000-0000-00005F9B0000}"/>
    <cellStyle name="RIGs linked cells 5 4 34" xfId="39381" xr:uid="{00000000-0005-0000-0000-0000609B0000}"/>
    <cellStyle name="RIGs linked cells 5 4 4" xfId="39382" xr:uid="{00000000-0005-0000-0000-0000619B0000}"/>
    <cellStyle name="RIGs linked cells 5 4 5" xfId="39383" xr:uid="{00000000-0005-0000-0000-0000629B0000}"/>
    <cellStyle name="RIGs linked cells 5 4 6" xfId="39384" xr:uid="{00000000-0005-0000-0000-0000639B0000}"/>
    <cellStyle name="RIGs linked cells 5 4 7" xfId="39385" xr:uid="{00000000-0005-0000-0000-0000649B0000}"/>
    <cellStyle name="RIGs linked cells 5 4 8" xfId="39386" xr:uid="{00000000-0005-0000-0000-0000659B0000}"/>
    <cellStyle name="RIGs linked cells 5 4 9" xfId="39387" xr:uid="{00000000-0005-0000-0000-0000669B0000}"/>
    <cellStyle name="RIGs linked cells 5 5" xfId="39388" xr:uid="{00000000-0005-0000-0000-0000679B0000}"/>
    <cellStyle name="RIGs linked cells 5 5 10" xfId="39389" xr:uid="{00000000-0005-0000-0000-0000689B0000}"/>
    <cellStyle name="RIGs linked cells 5 5 11" xfId="39390" xr:uid="{00000000-0005-0000-0000-0000699B0000}"/>
    <cellStyle name="RIGs linked cells 5 5 12" xfId="39391" xr:uid="{00000000-0005-0000-0000-00006A9B0000}"/>
    <cellStyle name="RIGs linked cells 5 5 13" xfId="39392" xr:uid="{00000000-0005-0000-0000-00006B9B0000}"/>
    <cellStyle name="RIGs linked cells 5 5 2" xfId="39393" xr:uid="{00000000-0005-0000-0000-00006C9B0000}"/>
    <cellStyle name="RIGs linked cells 5 5 3" xfId="39394" xr:uid="{00000000-0005-0000-0000-00006D9B0000}"/>
    <cellStyle name="RIGs linked cells 5 5 4" xfId="39395" xr:uid="{00000000-0005-0000-0000-00006E9B0000}"/>
    <cellStyle name="RIGs linked cells 5 5 5" xfId="39396" xr:uid="{00000000-0005-0000-0000-00006F9B0000}"/>
    <cellStyle name="RIGs linked cells 5 5 6" xfId="39397" xr:uid="{00000000-0005-0000-0000-0000709B0000}"/>
    <cellStyle name="RIGs linked cells 5 5 7" xfId="39398" xr:uid="{00000000-0005-0000-0000-0000719B0000}"/>
    <cellStyle name="RIGs linked cells 5 5 8" xfId="39399" xr:uid="{00000000-0005-0000-0000-0000729B0000}"/>
    <cellStyle name="RIGs linked cells 5 5 9" xfId="39400" xr:uid="{00000000-0005-0000-0000-0000739B0000}"/>
    <cellStyle name="RIGs linked cells 5 6" xfId="39401" xr:uid="{00000000-0005-0000-0000-0000749B0000}"/>
    <cellStyle name="RIGs linked cells 5 7" xfId="39402" xr:uid="{00000000-0005-0000-0000-0000759B0000}"/>
    <cellStyle name="RIGs linked cells 5 8" xfId="39403" xr:uid="{00000000-0005-0000-0000-0000769B0000}"/>
    <cellStyle name="RIGs linked cells 5 9" xfId="39404" xr:uid="{00000000-0005-0000-0000-0000779B0000}"/>
    <cellStyle name="RIGs linked cells 5_4 28 1_Asst_Health_Crit_AllTO_RIIO_20110714pm" xfId="39405" xr:uid="{00000000-0005-0000-0000-0000789B0000}"/>
    <cellStyle name="RIGs linked cells 6" xfId="39406" xr:uid="{00000000-0005-0000-0000-0000799B0000}"/>
    <cellStyle name="RIGs linked cells 6 10" xfId="39407" xr:uid="{00000000-0005-0000-0000-00007A9B0000}"/>
    <cellStyle name="RIGs linked cells 6 11" xfId="39408" xr:uid="{00000000-0005-0000-0000-00007B9B0000}"/>
    <cellStyle name="RIGs linked cells 6 12" xfId="39409" xr:uid="{00000000-0005-0000-0000-00007C9B0000}"/>
    <cellStyle name="RIGs linked cells 6 13" xfId="39410" xr:uid="{00000000-0005-0000-0000-00007D9B0000}"/>
    <cellStyle name="RIGs linked cells 6 14" xfId="39411" xr:uid="{00000000-0005-0000-0000-00007E9B0000}"/>
    <cellStyle name="RIGs linked cells 6 15" xfId="39412" xr:uid="{00000000-0005-0000-0000-00007F9B0000}"/>
    <cellStyle name="RIGs linked cells 6 16" xfId="39413" xr:uid="{00000000-0005-0000-0000-0000809B0000}"/>
    <cellStyle name="RIGs linked cells 6 17" xfId="39414" xr:uid="{00000000-0005-0000-0000-0000819B0000}"/>
    <cellStyle name="RIGs linked cells 6 18" xfId="39415" xr:uid="{00000000-0005-0000-0000-0000829B0000}"/>
    <cellStyle name="RIGs linked cells 6 19" xfId="39416" xr:uid="{00000000-0005-0000-0000-0000839B0000}"/>
    <cellStyle name="RIGs linked cells 6 2" xfId="39417" xr:uid="{00000000-0005-0000-0000-0000849B0000}"/>
    <cellStyle name="RIGs linked cells 6 2 10" xfId="39418" xr:uid="{00000000-0005-0000-0000-0000859B0000}"/>
    <cellStyle name="RIGs linked cells 6 2 11" xfId="39419" xr:uid="{00000000-0005-0000-0000-0000869B0000}"/>
    <cellStyle name="RIGs linked cells 6 2 12" xfId="39420" xr:uid="{00000000-0005-0000-0000-0000879B0000}"/>
    <cellStyle name="RIGs linked cells 6 2 13" xfId="39421" xr:uid="{00000000-0005-0000-0000-0000889B0000}"/>
    <cellStyle name="RIGs linked cells 6 2 14" xfId="39422" xr:uid="{00000000-0005-0000-0000-0000899B0000}"/>
    <cellStyle name="RIGs linked cells 6 2 15" xfId="39423" xr:uid="{00000000-0005-0000-0000-00008A9B0000}"/>
    <cellStyle name="RIGs linked cells 6 2 16" xfId="39424" xr:uid="{00000000-0005-0000-0000-00008B9B0000}"/>
    <cellStyle name="RIGs linked cells 6 2 17" xfId="39425" xr:uid="{00000000-0005-0000-0000-00008C9B0000}"/>
    <cellStyle name="RIGs linked cells 6 2 18" xfId="39426" xr:uid="{00000000-0005-0000-0000-00008D9B0000}"/>
    <cellStyle name="RIGs linked cells 6 2 19" xfId="39427" xr:uid="{00000000-0005-0000-0000-00008E9B0000}"/>
    <cellStyle name="RIGs linked cells 6 2 2" xfId="39428" xr:uid="{00000000-0005-0000-0000-00008F9B0000}"/>
    <cellStyle name="RIGs linked cells 6 2 2 10" xfId="39429" xr:uid="{00000000-0005-0000-0000-0000909B0000}"/>
    <cellStyle name="RIGs linked cells 6 2 2 11" xfId="39430" xr:uid="{00000000-0005-0000-0000-0000919B0000}"/>
    <cellStyle name="RIGs linked cells 6 2 2 12" xfId="39431" xr:uid="{00000000-0005-0000-0000-0000929B0000}"/>
    <cellStyle name="RIGs linked cells 6 2 2 13" xfId="39432" xr:uid="{00000000-0005-0000-0000-0000939B0000}"/>
    <cellStyle name="RIGs linked cells 6 2 2 2" xfId="39433" xr:uid="{00000000-0005-0000-0000-0000949B0000}"/>
    <cellStyle name="RIGs linked cells 6 2 2 3" xfId="39434" xr:uid="{00000000-0005-0000-0000-0000959B0000}"/>
    <cellStyle name="RIGs linked cells 6 2 2 4" xfId="39435" xr:uid="{00000000-0005-0000-0000-0000969B0000}"/>
    <cellStyle name="RIGs linked cells 6 2 2 5" xfId="39436" xr:uid="{00000000-0005-0000-0000-0000979B0000}"/>
    <cellStyle name="RIGs linked cells 6 2 2 6" xfId="39437" xr:uid="{00000000-0005-0000-0000-0000989B0000}"/>
    <cellStyle name="RIGs linked cells 6 2 2 7" xfId="39438" xr:uid="{00000000-0005-0000-0000-0000999B0000}"/>
    <cellStyle name="RIGs linked cells 6 2 2 8" xfId="39439" xr:uid="{00000000-0005-0000-0000-00009A9B0000}"/>
    <cellStyle name="RIGs linked cells 6 2 2 9" xfId="39440" xr:uid="{00000000-0005-0000-0000-00009B9B0000}"/>
    <cellStyle name="RIGs linked cells 6 2 20" xfId="39441" xr:uid="{00000000-0005-0000-0000-00009C9B0000}"/>
    <cellStyle name="RIGs linked cells 6 2 21" xfId="39442" xr:uid="{00000000-0005-0000-0000-00009D9B0000}"/>
    <cellStyle name="RIGs linked cells 6 2 22" xfId="39443" xr:uid="{00000000-0005-0000-0000-00009E9B0000}"/>
    <cellStyle name="RIGs linked cells 6 2 23" xfId="39444" xr:uid="{00000000-0005-0000-0000-00009F9B0000}"/>
    <cellStyle name="RIGs linked cells 6 2 24" xfId="39445" xr:uid="{00000000-0005-0000-0000-0000A09B0000}"/>
    <cellStyle name="RIGs linked cells 6 2 25" xfId="39446" xr:uid="{00000000-0005-0000-0000-0000A19B0000}"/>
    <cellStyle name="RIGs linked cells 6 2 26" xfId="39447" xr:uid="{00000000-0005-0000-0000-0000A29B0000}"/>
    <cellStyle name="RIGs linked cells 6 2 27" xfId="39448" xr:uid="{00000000-0005-0000-0000-0000A39B0000}"/>
    <cellStyle name="RIGs linked cells 6 2 28" xfId="39449" xr:uid="{00000000-0005-0000-0000-0000A49B0000}"/>
    <cellStyle name="RIGs linked cells 6 2 29" xfId="39450" xr:uid="{00000000-0005-0000-0000-0000A59B0000}"/>
    <cellStyle name="RIGs linked cells 6 2 3" xfId="39451" xr:uid="{00000000-0005-0000-0000-0000A69B0000}"/>
    <cellStyle name="RIGs linked cells 6 2 30" xfId="39452" xr:uid="{00000000-0005-0000-0000-0000A79B0000}"/>
    <cellStyle name="RIGs linked cells 6 2 31" xfId="39453" xr:uid="{00000000-0005-0000-0000-0000A89B0000}"/>
    <cellStyle name="RIGs linked cells 6 2 32" xfId="39454" xr:uid="{00000000-0005-0000-0000-0000A99B0000}"/>
    <cellStyle name="RIGs linked cells 6 2 33" xfId="39455" xr:uid="{00000000-0005-0000-0000-0000AA9B0000}"/>
    <cellStyle name="RIGs linked cells 6 2 34" xfId="39456" xr:uid="{00000000-0005-0000-0000-0000AB9B0000}"/>
    <cellStyle name="RIGs linked cells 6 2 4" xfId="39457" xr:uid="{00000000-0005-0000-0000-0000AC9B0000}"/>
    <cellStyle name="RIGs linked cells 6 2 5" xfId="39458" xr:uid="{00000000-0005-0000-0000-0000AD9B0000}"/>
    <cellStyle name="RIGs linked cells 6 2 6" xfId="39459" xr:uid="{00000000-0005-0000-0000-0000AE9B0000}"/>
    <cellStyle name="RIGs linked cells 6 2 7" xfId="39460" xr:uid="{00000000-0005-0000-0000-0000AF9B0000}"/>
    <cellStyle name="RIGs linked cells 6 2 8" xfId="39461" xr:uid="{00000000-0005-0000-0000-0000B09B0000}"/>
    <cellStyle name="RIGs linked cells 6 2 9" xfId="39462" xr:uid="{00000000-0005-0000-0000-0000B19B0000}"/>
    <cellStyle name="RIGs linked cells 6 20" xfId="39463" xr:uid="{00000000-0005-0000-0000-0000B29B0000}"/>
    <cellStyle name="RIGs linked cells 6 21" xfId="39464" xr:uid="{00000000-0005-0000-0000-0000B39B0000}"/>
    <cellStyle name="RIGs linked cells 6 22" xfId="39465" xr:uid="{00000000-0005-0000-0000-0000B49B0000}"/>
    <cellStyle name="RIGs linked cells 6 23" xfId="39466" xr:uid="{00000000-0005-0000-0000-0000B59B0000}"/>
    <cellStyle name="RIGs linked cells 6 24" xfId="39467" xr:uid="{00000000-0005-0000-0000-0000B69B0000}"/>
    <cellStyle name="RIGs linked cells 6 25" xfId="39468" xr:uid="{00000000-0005-0000-0000-0000B79B0000}"/>
    <cellStyle name="RIGs linked cells 6 26" xfId="39469" xr:uid="{00000000-0005-0000-0000-0000B89B0000}"/>
    <cellStyle name="RIGs linked cells 6 27" xfId="39470" xr:uid="{00000000-0005-0000-0000-0000B99B0000}"/>
    <cellStyle name="RIGs linked cells 6 28" xfId="39471" xr:uid="{00000000-0005-0000-0000-0000BA9B0000}"/>
    <cellStyle name="RIGs linked cells 6 29" xfId="39472" xr:uid="{00000000-0005-0000-0000-0000BB9B0000}"/>
    <cellStyle name="RIGs linked cells 6 3" xfId="39473" xr:uid="{00000000-0005-0000-0000-0000BC9B0000}"/>
    <cellStyle name="RIGs linked cells 6 3 10" xfId="39474" xr:uid="{00000000-0005-0000-0000-0000BD9B0000}"/>
    <cellStyle name="RIGs linked cells 6 3 11" xfId="39475" xr:uid="{00000000-0005-0000-0000-0000BE9B0000}"/>
    <cellStyle name="RIGs linked cells 6 3 12" xfId="39476" xr:uid="{00000000-0005-0000-0000-0000BF9B0000}"/>
    <cellStyle name="RIGs linked cells 6 3 13" xfId="39477" xr:uid="{00000000-0005-0000-0000-0000C09B0000}"/>
    <cellStyle name="RIGs linked cells 6 3 2" xfId="39478" xr:uid="{00000000-0005-0000-0000-0000C19B0000}"/>
    <cellStyle name="RIGs linked cells 6 3 3" xfId="39479" xr:uid="{00000000-0005-0000-0000-0000C29B0000}"/>
    <cellStyle name="RIGs linked cells 6 3 4" xfId="39480" xr:uid="{00000000-0005-0000-0000-0000C39B0000}"/>
    <cellStyle name="RIGs linked cells 6 3 5" xfId="39481" xr:uid="{00000000-0005-0000-0000-0000C49B0000}"/>
    <cellStyle name="RIGs linked cells 6 3 6" xfId="39482" xr:uid="{00000000-0005-0000-0000-0000C59B0000}"/>
    <cellStyle name="RIGs linked cells 6 3 7" xfId="39483" xr:uid="{00000000-0005-0000-0000-0000C69B0000}"/>
    <cellStyle name="RIGs linked cells 6 3 8" xfId="39484" xr:uid="{00000000-0005-0000-0000-0000C79B0000}"/>
    <cellStyle name="RIGs linked cells 6 3 9" xfId="39485" xr:uid="{00000000-0005-0000-0000-0000C89B0000}"/>
    <cellStyle name="RIGs linked cells 6 30" xfId="39486" xr:uid="{00000000-0005-0000-0000-0000C99B0000}"/>
    <cellStyle name="RIGs linked cells 6 31" xfId="39487" xr:uid="{00000000-0005-0000-0000-0000CA9B0000}"/>
    <cellStyle name="RIGs linked cells 6 32" xfId="39488" xr:uid="{00000000-0005-0000-0000-0000CB9B0000}"/>
    <cellStyle name="RIGs linked cells 6 33" xfId="39489" xr:uid="{00000000-0005-0000-0000-0000CC9B0000}"/>
    <cellStyle name="RIGs linked cells 6 34" xfId="39490" xr:uid="{00000000-0005-0000-0000-0000CD9B0000}"/>
    <cellStyle name="RIGs linked cells 6 35" xfId="39491" xr:uid="{00000000-0005-0000-0000-0000CE9B0000}"/>
    <cellStyle name="RIGs linked cells 6 4" xfId="39492" xr:uid="{00000000-0005-0000-0000-0000CF9B0000}"/>
    <cellStyle name="RIGs linked cells 6 5" xfId="39493" xr:uid="{00000000-0005-0000-0000-0000D09B0000}"/>
    <cellStyle name="RIGs linked cells 6 6" xfId="39494" xr:uid="{00000000-0005-0000-0000-0000D19B0000}"/>
    <cellStyle name="RIGs linked cells 6 7" xfId="39495" xr:uid="{00000000-0005-0000-0000-0000D29B0000}"/>
    <cellStyle name="RIGs linked cells 6 8" xfId="39496" xr:uid="{00000000-0005-0000-0000-0000D39B0000}"/>
    <cellStyle name="RIGs linked cells 6 9" xfId="39497" xr:uid="{00000000-0005-0000-0000-0000D49B0000}"/>
    <cellStyle name="RIGs linked cells 6_4 28 1_Asst_Health_Crit_AllTO_RIIO_20110714pm" xfId="39498" xr:uid="{00000000-0005-0000-0000-0000D59B0000}"/>
    <cellStyle name="RIGs linked cells 7" xfId="39499" xr:uid="{00000000-0005-0000-0000-0000D69B0000}"/>
    <cellStyle name="RIGs linked cells 7 10" xfId="39500" xr:uid="{00000000-0005-0000-0000-0000D79B0000}"/>
    <cellStyle name="RIGs linked cells 7 11" xfId="39501" xr:uid="{00000000-0005-0000-0000-0000D89B0000}"/>
    <cellStyle name="RIGs linked cells 7 12" xfId="39502" xr:uid="{00000000-0005-0000-0000-0000D99B0000}"/>
    <cellStyle name="RIGs linked cells 7 13" xfId="39503" xr:uid="{00000000-0005-0000-0000-0000DA9B0000}"/>
    <cellStyle name="RIGs linked cells 7 14" xfId="39504" xr:uid="{00000000-0005-0000-0000-0000DB9B0000}"/>
    <cellStyle name="RIGs linked cells 7 15" xfId="39505" xr:uid="{00000000-0005-0000-0000-0000DC9B0000}"/>
    <cellStyle name="RIGs linked cells 7 16" xfId="39506" xr:uid="{00000000-0005-0000-0000-0000DD9B0000}"/>
    <cellStyle name="RIGs linked cells 7 17" xfId="39507" xr:uid="{00000000-0005-0000-0000-0000DE9B0000}"/>
    <cellStyle name="RIGs linked cells 7 18" xfId="39508" xr:uid="{00000000-0005-0000-0000-0000DF9B0000}"/>
    <cellStyle name="RIGs linked cells 7 19" xfId="39509" xr:uid="{00000000-0005-0000-0000-0000E09B0000}"/>
    <cellStyle name="RIGs linked cells 7 2" xfId="39510" xr:uid="{00000000-0005-0000-0000-0000E19B0000}"/>
    <cellStyle name="RIGs linked cells 7 2 10" xfId="39511" xr:uid="{00000000-0005-0000-0000-0000E29B0000}"/>
    <cellStyle name="RIGs linked cells 7 2 11" xfId="39512" xr:uid="{00000000-0005-0000-0000-0000E39B0000}"/>
    <cellStyle name="RIGs linked cells 7 2 12" xfId="39513" xr:uid="{00000000-0005-0000-0000-0000E49B0000}"/>
    <cellStyle name="RIGs linked cells 7 2 13" xfId="39514" xr:uid="{00000000-0005-0000-0000-0000E59B0000}"/>
    <cellStyle name="RIGs linked cells 7 2 2" xfId="39515" xr:uid="{00000000-0005-0000-0000-0000E69B0000}"/>
    <cellStyle name="RIGs linked cells 7 2 3" xfId="39516" xr:uid="{00000000-0005-0000-0000-0000E79B0000}"/>
    <cellStyle name="RIGs linked cells 7 2 4" xfId="39517" xr:uid="{00000000-0005-0000-0000-0000E89B0000}"/>
    <cellStyle name="RIGs linked cells 7 2 5" xfId="39518" xr:uid="{00000000-0005-0000-0000-0000E99B0000}"/>
    <cellStyle name="RIGs linked cells 7 2 6" xfId="39519" xr:uid="{00000000-0005-0000-0000-0000EA9B0000}"/>
    <cellStyle name="RIGs linked cells 7 2 7" xfId="39520" xr:uid="{00000000-0005-0000-0000-0000EB9B0000}"/>
    <cellStyle name="RIGs linked cells 7 2 8" xfId="39521" xr:uid="{00000000-0005-0000-0000-0000EC9B0000}"/>
    <cellStyle name="RIGs linked cells 7 2 9" xfId="39522" xr:uid="{00000000-0005-0000-0000-0000ED9B0000}"/>
    <cellStyle name="RIGs linked cells 7 20" xfId="39523" xr:uid="{00000000-0005-0000-0000-0000EE9B0000}"/>
    <cellStyle name="RIGs linked cells 7 21" xfId="39524" xr:uid="{00000000-0005-0000-0000-0000EF9B0000}"/>
    <cellStyle name="RIGs linked cells 7 22" xfId="39525" xr:uid="{00000000-0005-0000-0000-0000F09B0000}"/>
    <cellStyle name="RIGs linked cells 7 23" xfId="39526" xr:uid="{00000000-0005-0000-0000-0000F19B0000}"/>
    <cellStyle name="RIGs linked cells 7 24" xfId="39527" xr:uid="{00000000-0005-0000-0000-0000F29B0000}"/>
    <cellStyle name="RIGs linked cells 7 25" xfId="39528" xr:uid="{00000000-0005-0000-0000-0000F39B0000}"/>
    <cellStyle name="RIGs linked cells 7 26" xfId="39529" xr:uid="{00000000-0005-0000-0000-0000F49B0000}"/>
    <cellStyle name="RIGs linked cells 7 27" xfId="39530" xr:uid="{00000000-0005-0000-0000-0000F59B0000}"/>
    <cellStyle name="RIGs linked cells 7 28" xfId="39531" xr:uid="{00000000-0005-0000-0000-0000F69B0000}"/>
    <cellStyle name="RIGs linked cells 7 29" xfId="39532" xr:uid="{00000000-0005-0000-0000-0000F79B0000}"/>
    <cellStyle name="RIGs linked cells 7 3" xfId="39533" xr:uid="{00000000-0005-0000-0000-0000F89B0000}"/>
    <cellStyle name="RIGs linked cells 7 30" xfId="39534" xr:uid="{00000000-0005-0000-0000-0000F99B0000}"/>
    <cellStyle name="RIGs linked cells 7 31" xfId="39535" xr:uid="{00000000-0005-0000-0000-0000FA9B0000}"/>
    <cellStyle name="RIGs linked cells 7 32" xfId="39536" xr:uid="{00000000-0005-0000-0000-0000FB9B0000}"/>
    <cellStyle name="RIGs linked cells 7 33" xfId="39537" xr:uid="{00000000-0005-0000-0000-0000FC9B0000}"/>
    <cellStyle name="RIGs linked cells 7 34" xfId="39538" xr:uid="{00000000-0005-0000-0000-0000FD9B0000}"/>
    <cellStyle name="RIGs linked cells 7 4" xfId="39539" xr:uid="{00000000-0005-0000-0000-0000FE9B0000}"/>
    <cellStyle name="RIGs linked cells 7 5" xfId="39540" xr:uid="{00000000-0005-0000-0000-0000FF9B0000}"/>
    <cellStyle name="RIGs linked cells 7 6" xfId="39541" xr:uid="{00000000-0005-0000-0000-0000009C0000}"/>
    <cellStyle name="RIGs linked cells 7 7" xfId="39542" xr:uid="{00000000-0005-0000-0000-0000019C0000}"/>
    <cellStyle name="RIGs linked cells 7 8" xfId="39543" xr:uid="{00000000-0005-0000-0000-0000029C0000}"/>
    <cellStyle name="RIGs linked cells 7 9" xfId="39544" xr:uid="{00000000-0005-0000-0000-0000039C0000}"/>
    <cellStyle name="RIGs linked cells 8" xfId="39545" xr:uid="{00000000-0005-0000-0000-0000049C0000}"/>
    <cellStyle name="RIGs linked cells 8 10" xfId="39546" xr:uid="{00000000-0005-0000-0000-0000059C0000}"/>
    <cellStyle name="RIGs linked cells 8 11" xfId="39547" xr:uid="{00000000-0005-0000-0000-0000069C0000}"/>
    <cellStyle name="RIGs linked cells 8 12" xfId="39548" xr:uid="{00000000-0005-0000-0000-0000079C0000}"/>
    <cellStyle name="RIGs linked cells 8 13" xfId="39549" xr:uid="{00000000-0005-0000-0000-0000089C0000}"/>
    <cellStyle name="RIGs linked cells 8 14" xfId="39550" xr:uid="{00000000-0005-0000-0000-0000099C0000}"/>
    <cellStyle name="RIGs linked cells 8 15" xfId="39551" xr:uid="{00000000-0005-0000-0000-00000A9C0000}"/>
    <cellStyle name="RIGs linked cells 8 16" xfId="39552" xr:uid="{00000000-0005-0000-0000-00000B9C0000}"/>
    <cellStyle name="RIGs linked cells 8 17" xfId="39553" xr:uid="{00000000-0005-0000-0000-00000C9C0000}"/>
    <cellStyle name="RIGs linked cells 8 18" xfId="39554" xr:uid="{00000000-0005-0000-0000-00000D9C0000}"/>
    <cellStyle name="RIGs linked cells 8 19" xfId="39555" xr:uid="{00000000-0005-0000-0000-00000E9C0000}"/>
    <cellStyle name="RIGs linked cells 8 2" xfId="39556" xr:uid="{00000000-0005-0000-0000-00000F9C0000}"/>
    <cellStyle name="RIGs linked cells 8 2 10" xfId="39557" xr:uid="{00000000-0005-0000-0000-0000109C0000}"/>
    <cellStyle name="RIGs linked cells 8 2 11" xfId="39558" xr:uid="{00000000-0005-0000-0000-0000119C0000}"/>
    <cellStyle name="RIGs linked cells 8 2 12" xfId="39559" xr:uid="{00000000-0005-0000-0000-0000129C0000}"/>
    <cellStyle name="RIGs linked cells 8 2 13" xfId="39560" xr:uid="{00000000-0005-0000-0000-0000139C0000}"/>
    <cellStyle name="RIGs linked cells 8 2 2" xfId="39561" xr:uid="{00000000-0005-0000-0000-0000149C0000}"/>
    <cellStyle name="RIGs linked cells 8 2 3" xfId="39562" xr:uid="{00000000-0005-0000-0000-0000159C0000}"/>
    <cellStyle name="RIGs linked cells 8 2 4" xfId="39563" xr:uid="{00000000-0005-0000-0000-0000169C0000}"/>
    <cellStyle name="RIGs linked cells 8 2 5" xfId="39564" xr:uid="{00000000-0005-0000-0000-0000179C0000}"/>
    <cellStyle name="RIGs linked cells 8 2 6" xfId="39565" xr:uid="{00000000-0005-0000-0000-0000189C0000}"/>
    <cellStyle name="RIGs linked cells 8 2 7" xfId="39566" xr:uid="{00000000-0005-0000-0000-0000199C0000}"/>
    <cellStyle name="RIGs linked cells 8 2 8" xfId="39567" xr:uid="{00000000-0005-0000-0000-00001A9C0000}"/>
    <cellStyle name="RIGs linked cells 8 2 9" xfId="39568" xr:uid="{00000000-0005-0000-0000-00001B9C0000}"/>
    <cellStyle name="RIGs linked cells 8 20" xfId="39569" xr:uid="{00000000-0005-0000-0000-00001C9C0000}"/>
    <cellStyle name="RIGs linked cells 8 21" xfId="39570" xr:uid="{00000000-0005-0000-0000-00001D9C0000}"/>
    <cellStyle name="RIGs linked cells 8 22" xfId="39571" xr:uid="{00000000-0005-0000-0000-00001E9C0000}"/>
    <cellStyle name="RIGs linked cells 8 23" xfId="39572" xr:uid="{00000000-0005-0000-0000-00001F9C0000}"/>
    <cellStyle name="RIGs linked cells 8 24" xfId="39573" xr:uid="{00000000-0005-0000-0000-0000209C0000}"/>
    <cellStyle name="RIGs linked cells 8 25" xfId="39574" xr:uid="{00000000-0005-0000-0000-0000219C0000}"/>
    <cellStyle name="RIGs linked cells 8 26" xfId="39575" xr:uid="{00000000-0005-0000-0000-0000229C0000}"/>
    <cellStyle name="RIGs linked cells 8 27" xfId="39576" xr:uid="{00000000-0005-0000-0000-0000239C0000}"/>
    <cellStyle name="RIGs linked cells 8 28" xfId="39577" xr:uid="{00000000-0005-0000-0000-0000249C0000}"/>
    <cellStyle name="RIGs linked cells 8 29" xfId="39578" xr:uid="{00000000-0005-0000-0000-0000259C0000}"/>
    <cellStyle name="RIGs linked cells 8 3" xfId="39579" xr:uid="{00000000-0005-0000-0000-0000269C0000}"/>
    <cellStyle name="RIGs linked cells 8 30" xfId="39580" xr:uid="{00000000-0005-0000-0000-0000279C0000}"/>
    <cellStyle name="RIGs linked cells 8 31" xfId="39581" xr:uid="{00000000-0005-0000-0000-0000289C0000}"/>
    <cellStyle name="RIGs linked cells 8 32" xfId="39582" xr:uid="{00000000-0005-0000-0000-0000299C0000}"/>
    <cellStyle name="RIGs linked cells 8 33" xfId="39583" xr:uid="{00000000-0005-0000-0000-00002A9C0000}"/>
    <cellStyle name="RIGs linked cells 8 34" xfId="39584" xr:uid="{00000000-0005-0000-0000-00002B9C0000}"/>
    <cellStyle name="RIGs linked cells 8 4" xfId="39585" xr:uid="{00000000-0005-0000-0000-00002C9C0000}"/>
    <cellStyle name="RIGs linked cells 8 5" xfId="39586" xr:uid="{00000000-0005-0000-0000-00002D9C0000}"/>
    <cellStyle name="RIGs linked cells 8 6" xfId="39587" xr:uid="{00000000-0005-0000-0000-00002E9C0000}"/>
    <cellStyle name="RIGs linked cells 8 7" xfId="39588" xr:uid="{00000000-0005-0000-0000-00002F9C0000}"/>
    <cellStyle name="RIGs linked cells 8 8" xfId="39589" xr:uid="{00000000-0005-0000-0000-0000309C0000}"/>
    <cellStyle name="RIGs linked cells 8 9" xfId="39590" xr:uid="{00000000-0005-0000-0000-0000319C0000}"/>
    <cellStyle name="RIGs linked cells 9" xfId="39591" xr:uid="{00000000-0005-0000-0000-0000329C0000}"/>
    <cellStyle name="RIGs linked cells 9 10" xfId="39592" xr:uid="{00000000-0005-0000-0000-0000339C0000}"/>
    <cellStyle name="RIGs linked cells 9 11" xfId="39593" xr:uid="{00000000-0005-0000-0000-0000349C0000}"/>
    <cellStyle name="RIGs linked cells 9 12" xfId="39594" xr:uid="{00000000-0005-0000-0000-0000359C0000}"/>
    <cellStyle name="RIGs linked cells 9 13" xfId="39595" xr:uid="{00000000-0005-0000-0000-0000369C0000}"/>
    <cellStyle name="RIGs linked cells 9 14" xfId="39596" xr:uid="{00000000-0005-0000-0000-0000379C0000}"/>
    <cellStyle name="RIGs linked cells 9 15" xfId="39597" xr:uid="{00000000-0005-0000-0000-0000389C0000}"/>
    <cellStyle name="RIGs linked cells 9 16" xfId="39598" xr:uid="{00000000-0005-0000-0000-0000399C0000}"/>
    <cellStyle name="RIGs linked cells 9 17" xfId="39599" xr:uid="{00000000-0005-0000-0000-00003A9C0000}"/>
    <cellStyle name="RIGs linked cells 9 18" xfId="39600" xr:uid="{00000000-0005-0000-0000-00003B9C0000}"/>
    <cellStyle name="RIGs linked cells 9 19" xfId="39601" xr:uid="{00000000-0005-0000-0000-00003C9C0000}"/>
    <cellStyle name="RIGs linked cells 9 2" xfId="39602" xr:uid="{00000000-0005-0000-0000-00003D9C0000}"/>
    <cellStyle name="RIGs linked cells 9 2 10" xfId="39603" xr:uid="{00000000-0005-0000-0000-00003E9C0000}"/>
    <cellStyle name="RIGs linked cells 9 2 11" xfId="39604" xr:uid="{00000000-0005-0000-0000-00003F9C0000}"/>
    <cellStyle name="RIGs linked cells 9 2 12" xfId="39605" xr:uid="{00000000-0005-0000-0000-0000409C0000}"/>
    <cellStyle name="RIGs linked cells 9 2 13" xfId="39606" xr:uid="{00000000-0005-0000-0000-0000419C0000}"/>
    <cellStyle name="RIGs linked cells 9 2 2" xfId="39607" xr:uid="{00000000-0005-0000-0000-0000429C0000}"/>
    <cellStyle name="RIGs linked cells 9 2 3" xfId="39608" xr:uid="{00000000-0005-0000-0000-0000439C0000}"/>
    <cellStyle name="RIGs linked cells 9 2 4" xfId="39609" xr:uid="{00000000-0005-0000-0000-0000449C0000}"/>
    <cellStyle name="RIGs linked cells 9 2 5" xfId="39610" xr:uid="{00000000-0005-0000-0000-0000459C0000}"/>
    <cellStyle name="RIGs linked cells 9 2 6" xfId="39611" xr:uid="{00000000-0005-0000-0000-0000469C0000}"/>
    <cellStyle name="RIGs linked cells 9 2 7" xfId="39612" xr:uid="{00000000-0005-0000-0000-0000479C0000}"/>
    <cellStyle name="RIGs linked cells 9 2 8" xfId="39613" xr:uid="{00000000-0005-0000-0000-0000489C0000}"/>
    <cellStyle name="RIGs linked cells 9 2 9" xfId="39614" xr:uid="{00000000-0005-0000-0000-0000499C0000}"/>
    <cellStyle name="RIGs linked cells 9 20" xfId="39615" xr:uid="{00000000-0005-0000-0000-00004A9C0000}"/>
    <cellStyle name="RIGs linked cells 9 21" xfId="39616" xr:uid="{00000000-0005-0000-0000-00004B9C0000}"/>
    <cellStyle name="RIGs linked cells 9 22" xfId="39617" xr:uid="{00000000-0005-0000-0000-00004C9C0000}"/>
    <cellStyle name="RIGs linked cells 9 23" xfId="39618" xr:uid="{00000000-0005-0000-0000-00004D9C0000}"/>
    <cellStyle name="RIGs linked cells 9 24" xfId="39619" xr:uid="{00000000-0005-0000-0000-00004E9C0000}"/>
    <cellStyle name="RIGs linked cells 9 25" xfId="39620" xr:uid="{00000000-0005-0000-0000-00004F9C0000}"/>
    <cellStyle name="RIGs linked cells 9 26" xfId="39621" xr:uid="{00000000-0005-0000-0000-0000509C0000}"/>
    <cellStyle name="RIGs linked cells 9 27" xfId="39622" xr:uid="{00000000-0005-0000-0000-0000519C0000}"/>
    <cellStyle name="RIGs linked cells 9 28" xfId="39623" xr:uid="{00000000-0005-0000-0000-0000529C0000}"/>
    <cellStyle name="RIGs linked cells 9 29" xfId="39624" xr:uid="{00000000-0005-0000-0000-0000539C0000}"/>
    <cellStyle name="RIGs linked cells 9 3" xfId="39625" xr:uid="{00000000-0005-0000-0000-0000549C0000}"/>
    <cellStyle name="RIGs linked cells 9 30" xfId="39626" xr:uid="{00000000-0005-0000-0000-0000559C0000}"/>
    <cellStyle name="RIGs linked cells 9 31" xfId="39627" xr:uid="{00000000-0005-0000-0000-0000569C0000}"/>
    <cellStyle name="RIGs linked cells 9 32" xfId="39628" xr:uid="{00000000-0005-0000-0000-0000579C0000}"/>
    <cellStyle name="RIGs linked cells 9 33" xfId="39629" xr:uid="{00000000-0005-0000-0000-0000589C0000}"/>
    <cellStyle name="RIGs linked cells 9 34" xfId="39630" xr:uid="{00000000-0005-0000-0000-0000599C0000}"/>
    <cellStyle name="RIGs linked cells 9 4" xfId="39631" xr:uid="{00000000-0005-0000-0000-00005A9C0000}"/>
    <cellStyle name="RIGs linked cells 9 5" xfId="39632" xr:uid="{00000000-0005-0000-0000-00005B9C0000}"/>
    <cellStyle name="RIGs linked cells 9 6" xfId="39633" xr:uid="{00000000-0005-0000-0000-00005C9C0000}"/>
    <cellStyle name="RIGs linked cells 9 7" xfId="39634" xr:uid="{00000000-0005-0000-0000-00005D9C0000}"/>
    <cellStyle name="RIGs linked cells 9 8" xfId="39635" xr:uid="{00000000-0005-0000-0000-00005E9C0000}"/>
    <cellStyle name="RIGs linked cells 9 9" xfId="39636" xr:uid="{00000000-0005-0000-0000-00005F9C0000}"/>
    <cellStyle name="RIGs linked cells_1.3s Accounting C Costs Scots" xfId="39637" xr:uid="{00000000-0005-0000-0000-0000609C0000}"/>
    <cellStyle name="RIGs_1.3s Accounting C Costs Scots" xfId="39638" xr:uid="{00000000-0005-0000-0000-0000619C0000}"/>
    <cellStyle name="Rounded" xfId="39639" xr:uid="{00000000-0005-0000-0000-0000629C0000}"/>
    <cellStyle name="RowHeading" xfId="39640" xr:uid="{00000000-0005-0000-0000-0000639C0000}"/>
    <cellStyle name="s" xfId="39641" xr:uid="{00000000-0005-0000-0000-0000649C0000}"/>
    <cellStyle name="s_B" xfId="39642" xr:uid="{00000000-0005-0000-0000-0000659C0000}"/>
    <cellStyle name="s_B_Templates v2" xfId="39643" xr:uid="{00000000-0005-0000-0000-0000669C0000}"/>
    <cellStyle name="s_B_Templates v3" xfId="39644" xr:uid="{00000000-0005-0000-0000-0000679C0000}"/>
    <cellStyle name="s_Bal Sheets" xfId="39645" xr:uid="{00000000-0005-0000-0000-0000689C0000}"/>
    <cellStyle name="s_Bal Sheets_1" xfId="39646" xr:uid="{00000000-0005-0000-0000-0000699C0000}"/>
    <cellStyle name="s_Bal Sheets_1_Templates v2" xfId="39647" xr:uid="{00000000-0005-0000-0000-00006A9C0000}"/>
    <cellStyle name="s_Bal Sheets_1_Templates v3" xfId="39648" xr:uid="{00000000-0005-0000-0000-00006B9C0000}"/>
    <cellStyle name="s_Bal Sheets_2" xfId="39649" xr:uid="{00000000-0005-0000-0000-00006C9C0000}"/>
    <cellStyle name="s_Bal Sheets_Templates v2" xfId="39650" xr:uid="{00000000-0005-0000-0000-00006D9C0000}"/>
    <cellStyle name="s_Bal Sheets_Templates v3" xfId="39651" xr:uid="{00000000-0005-0000-0000-00006E9C0000}"/>
    <cellStyle name="s_Credit (2)" xfId="39652" xr:uid="{00000000-0005-0000-0000-00006F9C0000}"/>
    <cellStyle name="s_Credit (2)_1" xfId="39653" xr:uid="{00000000-0005-0000-0000-0000709C0000}"/>
    <cellStyle name="s_Credit (2)_2" xfId="39654" xr:uid="{00000000-0005-0000-0000-0000719C0000}"/>
    <cellStyle name="s_Credit (2)_2_Templates v2" xfId="39655" xr:uid="{00000000-0005-0000-0000-0000729C0000}"/>
    <cellStyle name="s_Credit (2)_2_Templates v3" xfId="39656" xr:uid="{00000000-0005-0000-0000-0000739C0000}"/>
    <cellStyle name="s_Credit (2)_Templates v2" xfId="39657" xr:uid="{00000000-0005-0000-0000-0000749C0000}"/>
    <cellStyle name="s_Credit (2)_Templates v3" xfId="39658" xr:uid="{00000000-0005-0000-0000-0000759C0000}"/>
    <cellStyle name="s_DCF Analysis for DPL" xfId="39659" xr:uid="{00000000-0005-0000-0000-0000769C0000}"/>
    <cellStyle name="s_DCF Analysis for DPL_Templates v2" xfId="39660" xr:uid="{00000000-0005-0000-0000-0000779C0000}"/>
    <cellStyle name="s_DCF Analysis for DPL_Templates v3" xfId="39661" xr:uid="{00000000-0005-0000-0000-0000789C0000}"/>
    <cellStyle name="s_DCF Matrix" xfId="39662" xr:uid="{00000000-0005-0000-0000-0000799C0000}"/>
    <cellStyle name="s_DCF Matrix_1" xfId="39663" xr:uid="{00000000-0005-0000-0000-00007A9C0000}"/>
    <cellStyle name="s_DCF Matrix_1_Templates v2" xfId="39664" xr:uid="{00000000-0005-0000-0000-00007B9C0000}"/>
    <cellStyle name="s_DCF Matrix_1_Templates v3" xfId="39665" xr:uid="{00000000-0005-0000-0000-00007C9C0000}"/>
    <cellStyle name="s_DCFLBO Code" xfId="39666" xr:uid="{00000000-0005-0000-0000-00007D9C0000}"/>
    <cellStyle name="s_DCFLBO Code_1" xfId="39667" xr:uid="{00000000-0005-0000-0000-00007E9C0000}"/>
    <cellStyle name="s_DCFLBO Code_1_Templates v2" xfId="39668" xr:uid="{00000000-0005-0000-0000-00007F9C0000}"/>
    <cellStyle name="s_DCFLBO Code_1_Templates v3" xfId="39669" xr:uid="{00000000-0005-0000-0000-0000809C0000}"/>
    <cellStyle name="s_DPL Valuation1022" xfId="39670" xr:uid="{00000000-0005-0000-0000-0000819C0000}"/>
    <cellStyle name="s_DPL Valuation1022_Templates v2" xfId="39671" xr:uid="{00000000-0005-0000-0000-0000829C0000}"/>
    <cellStyle name="s_DPL Valuation1022_Templates v3" xfId="39672" xr:uid="{00000000-0005-0000-0000-0000839C0000}"/>
    <cellStyle name="s_Earnings" xfId="39673" xr:uid="{00000000-0005-0000-0000-0000849C0000}"/>
    <cellStyle name="s_Earnings (2)" xfId="39674" xr:uid="{00000000-0005-0000-0000-0000859C0000}"/>
    <cellStyle name="s_Earnings (2)_1" xfId="39675" xr:uid="{00000000-0005-0000-0000-0000869C0000}"/>
    <cellStyle name="s_Earnings (2)_1_Templates v2" xfId="39676" xr:uid="{00000000-0005-0000-0000-0000879C0000}"/>
    <cellStyle name="s_Earnings (2)_1_Templates v3" xfId="39677" xr:uid="{00000000-0005-0000-0000-0000889C0000}"/>
    <cellStyle name="s_Earnings (2)_Templates v2" xfId="39678" xr:uid="{00000000-0005-0000-0000-0000899C0000}"/>
    <cellStyle name="s_Earnings (2)_Templates v3" xfId="39679" xr:uid="{00000000-0005-0000-0000-00008A9C0000}"/>
    <cellStyle name="s_Earnings_1" xfId="39680" xr:uid="{00000000-0005-0000-0000-00008B9C0000}"/>
    <cellStyle name="s_Earnings_1_Templates v2" xfId="39681" xr:uid="{00000000-0005-0000-0000-00008C9C0000}"/>
    <cellStyle name="s_Earnings_1_Templates v3" xfId="39682" xr:uid="{00000000-0005-0000-0000-00008D9C0000}"/>
    <cellStyle name="s_finsumm" xfId="39683" xr:uid="{00000000-0005-0000-0000-00008E9C0000}"/>
    <cellStyle name="s_finsumm_1" xfId="39684" xr:uid="{00000000-0005-0000-0000-00008F9C0000}"/>
    <cellStyle name="s_finsumm_1_Templates v2" xfId="39685" xr:uid="{00000000-0005-0000-0000-0000909C0000}"/>
    <cellStyle name="s_finsumm_1_Templates v3" xfId="39686" xr:uid="{00000000-0005-0000-0000-0000919C0000}"/>
    <cellStyle name="s_finsumm_2" xfId="39687" xr:uid="{00000000-0005-0000-0000-0000929C0000}"/>
    <cellStyle name="s_finsumm_2_Templates v2" xfId="39688" xr:uid="{00000000-0005-0000-0000-0000939C0000}"/>
    <cellStyle name="s_finsumm_2_Templates v3" xfId="39689" xr:uid="{00000000-0005-0000-0000-0000949C0000}"/>
    <cellStyle name="s_GoroWipTax-to2050_fromCo_Oct21_99" xfId="39690" xr:uid="{00000000-0005-0000-0000-0000959C0000}"/>
    <cellStyle name="s_HardInc " xfId="39691" xr:uid="{00000000-0005-0000-0000-0000969C0000}"/>
    <cellStyle name="s_Hist Inputs (2)" xfId="39692" xr:uid="{00000000-0005-0000-0000-0000979C0000}"/>
    <cellStyle name="s_Hist Inputs (2)_1" xfId="39693" xr:uid="{00000000-0005-0000-0000-0000989C0000}"/>
    <cellStyle name="s_Hist Inputs (2)_1_Templates v2" xfId="39694" xr:uid="{00000000-0005-0000-0000-0000999C0000}"/>
    <cellStyle name="s_Hist Inputs (2)_1_Templates v3" xfId="39695" xr:uid="{00000000-0005-0000-0000-00009A9C0000}"/>
    <cellStyle name="s_IEL_finsumm" xfId="39696" xr:uid="{00000000-0005-0000-0000-00009B9C0000}"/>
    <cellStyle name="s_IEL_finsumm_1" xfId="39697" xr:uid="{00000000-0005-0000-0000-00009C9C0000}"/>
    <cellStyle name="s_IEL_finsumm_2" xfId="39698" xr:uid="{00000000-0005-0000-0000-00009D9C0000}"/>
    <cellStyle name="s_IEL_finsumm_2_Templates v2" xfId="39699" xr:uid="{00000000-0005-0000-0000-00009E9C0000}"/>
    <cellStyle name="s_IEL_finsumm_2_Templates v3" xfId="39700" xr:uid="{00000000-0005-0000-0000-00009F9C0000}"/>
    <cellStyle name="s_IEL_finsumm_Templates v2" xfId="39701" xr:uid="{00000000-0005-0000-0000-0000A09C0000}"/>
    <cellStyle name="s_IEL_finsumm_Templates v3" xfId="39702" xr:uid="{00000000-0005-0000-0000-0000A19C0000}"/>
    <cellStyle name="s_IEL_finsumm1" xfId="39703" xr:uid="{00000000-0005-0000-0000-0000A29C0000}"/>
    <cellStyle name="s_IEL_finsumm1_1" xfId="39704" xr:uid="{00000000-0005-0000-0000-0000A39C0000}"/>
    <cellStyle name="s_IEL_finsumm1_1_Templates v2" xfId="39705" xr:uid="{00000000-0005-0000-0000-0000A49C0000}"/>
    <cellStyle name="s_IEL_finsumm1_1_Templates v3" xfId="39706" xr:uid="{00000000-0005-0000-0000-0000A59C0000}"/>
    <cellStyle name="s_IEL_finsumm1_2" xfId="39707" xr:uid="{00000000-0005-0000-0000-0000A69C0000}"/>
    <cellStyle name="s_IEL_finsumm1_2_Templates v2" xfId="39708" xr:uid="{00000000-0005-0000-0000-0000A79C0000}"/>
    <cellStyle name="s_IEL_finsumm1_2_Templates v3" xfId="39709" xr:uid="{00000000-0005-0000-0000-0000A89C0000}"/>
    <cellStyle name="s_IEL_finsumm1_Templates v2" xfId="39710" xr:uid="{00000000-0005-0000-0000-0000A99C0000}"/>
    <cellStyle name="s_IEL_finsumm1_Templates v3" xfId="39711" xr:uid="{00000000-0005-0000-0000-0000AA9C0000}"/>
    <cellStyle name="s_Lbo" xfId="39712" xr:uid="{00000000-0005-0000-0000-0000AB9C0000}"/>
    <cellStyle name="s_LBO Summary" xfId="39713" xr:uid="{00000000-0005-0000-0000-0000AC9C0000}"/>
    <cellStyle name="s_LBO Summary_1" xfId="39714" xr:uid="{00000000-0005-0000-0000-0000AD9C0000}"/>
    <cellStyle name="s_LBO Summary_1_Templates v2" xfId="39715" xr:uid="{00000000-0005-0000-0000-0000AE9C0000}"/>
    <cellStyle name="s_LBO Summary_1_Templates v3" xfId="39716" xr:uid="{00000000-0005-0000-0000-0000AF9C0000}"/>
    <cellStyle name="s_LBO Summary_2" xfId="39717" xr:uid="{00000000-0005-0000-0000-0000B09C0000}"/>
    <cellStyle name="s_LBO Summary_2_Templates v2" xfId="39718" xr:uid="{00000000-0005-0000-0000-0000B19C0000}"/>
    <cellStyle name="s_LBO Summary_2_Templates v3" xfId="39719" xr:uid="{00000000-0005-0000-0000-0000B29C0000}"/>
    <cellStyle name="s_Lbo_1" xfId="39720" xr:uid="{00000000-0005-0000-0000-0000B39C0000}"/>
    <cellStyle name="s_Lbo_1_Templates v2" xfId="39721" xr:uid="{00000000-0005-0000-0000-0000B49C0000}"/>
    <cellStyle name="s_Lbo_1_Templates v3" xfId="39722" xr:uid="{00000000-0005-0000-0000-0000B59C0000}"/>
    <cellStyle name="s_Lbo_Templates v2" xfId="39723" xr:uid="{00000000-0005-0000-0000-0000B69C0000}"/>
    <cellStyle name="s_Lbo_Templates v3" xfId="39724" xr:uid="{00000000-0005-0000-0000-0000B79C0000}"/>
    <cellStyle name="s_rvr_analysis_andrew" xfId="39725" xr:uid="{00000000-0005-0000-0000-0000B89C0000}"/>
    <cellStyle name="s_rvr_analysis_andrew_Templates v2" xfId="39726" xr:uid="{00000000-0005-0000-0000-0000B99C0000}"/>
    <cellStyle name="s_rvr_analysis_andrew_Templates v3" xfId="39727" xr:uid="{00000000-0005-0000-0000-0000BA9C0000}"/>
    <cellStyle name="s_Schedules" xfId="39728" xr:uid="{00000000-0005-0000-0000-0000BB9C0000}"/>
    <cellStyle name="s_Schedules_1" xfId="39729" xr:uid="{00000000-0005-0000-0000-0000BC9C0000}"/>
    <cellStyle name="s_Schedules_1_Templates v2" xfId="39730" xr:uid="{00000000-0005-0000-0000-0000BD9C0000}"/>
    <cellStyle name="s_Schedules_1_Templates v3" xfId="39731" xr:uid="{00000000-0005-0000-0000-0000BE9C0000}"/>
    <cellStyle name="s_Trans Assump" xfId="39732" xr:uid="{00000000-0005-0000-0000-0000BF9C0000}"/>
    <cellStyle name="s_Trans Assump (2)" xfId="39733" xr:uid="{00000000-0005-0000-0000-0000C09C0000}"/>
    <cellStyle name="s_Trans Assump (2)_1" xfId="39734" xr:uid="{00000000-0005-0000-0000-0000C19C0000}"/>
    <cellStyle name="s_Trans Assump (2)_1_Templates v2" xfId="39735" xr:uid="{00000000-0005-0000-0000-0000C29C0000}"/>
    <cellStyle name="s_Trans Assump (2)_1_Templates v3" xfId="39736" xr:uid="{00000000-0005-0000-0000-0000C39C0000}"/>
    <cellStyle name="s_Trans Assump_1" xfId="39737" xr:uid="{00000000-0005-0000-0000-0000C49C0000}"/>
    <cellStyle name="s_Trans Assump_Templates v2" xfId="39738" xr:uid="{00000000-0005-0000-0000-0000C59C0000}"/>
    <cellStyle name="s_Trans Assump_Templates v3" xfId="39739" xr:uid="{00000000-0005-0000-0000-0000C69C0000}"/>
    <cellStyle name="s_Trans Sum" xfId="39740" xr:uid="{00000000-0005-0000-0000-0000C79C0000}"/>
    <cellStyle name="s_Trans Sum_1" xfId="39741" xr:uid="{00000000-0005-0000-0000-0000C89C0000}"/>
    <cellStyle name="s_Trans Sum_Templates v2" xfId="39742" xr:uid="{00000000-0005-0000-0000-0000C99C0000}"/>
    <cellStyle name="s_Trans Sum_Templates v3" xfId="39743" xr:uid="{00000000-0005-0000-0000-0000CA9C0000}"/>
    <cellStyle name="s_Unit Price Sen. (2)" xfId="39744" xr:uid="{00000000-0005-0000-0000-0000CB9C0000}"/>
    <cellStyle name="s_Unit Price Sen. (2)_1" xfId="39745" xr:uid="{00000000-0005-0000-0000-0000CC9C0000}"/>
    <cellStyle name="s_Unit Price Sen. (2)_1_Templates v2" xfId="39746" xr:uid="{00000000-0005-0000-0000-0000CD9C0000}"/>
    <cellStyle name="s_Unit Price Sen. (2)_1_Templates v3" xfId="39747" xr:uid="{00000000-0005-0000-0000-0000CE9C0000}"/>
    <cellStyle name="s_Unit Price Sen. (2)_2" xfId="39748" xr:uid="{00000000-0005-0000-0000-0000CF9C0000}"/>
    <cellStyle name="s_Unit Price Sen. (2)_Templates v2" xfId="39749" xr:uid="{00000000-0005-0000-0000-0000D09C0000}"/>
    <cellStyle name="s_Unit Price Sen. (2)_Templates v3" xfId="39750" xr:uid="{00000000-0005-0000-0000-0000D19C0000}"/>
    <cellStyle name="Salomon Logo" xfId="39751" xr:uid="{00000000-0005-0000-0000-0000D29C0000}"/>
    <cellStyle name="SAPBEXaggData" xfId="39752" xr:uid="{00000000-0005-0000-0000-0000D39C0000}"/>
    <cellStyle name="SAPBEXaggData 10" xfId="39753" xr:uid="{00000000-0005-0000-0000-0000D49C0000}"/>
    <cellStyle name="SAPBEXaggData 11" xfId="39754" xr:uid="{00000000-0005-0000-0000-0000D59C0000}"/>
    <cellStyle name="SAPBEXaggData 12" xfId="39755" xr:uid="{00000000-0005-0000-0000-0000D69C0000}"/>
    <cellStyle name="SAPBEXaggData 13" xfId="39756" xr:uid="{00000000-0005-0000-0000-0000D79C0000}"/>
    <cellStyle name="SAPBEXaggData 14" xfId="39757" xr:uid="{00000000-0005-0000-0000-0000D89C0000}"/>
    <cellStyle name="SAPBEXaggData 15" xfId="39758" xr:uid="{00000000-0005-0000-0000-0000D99C0000}"/>
    <cellStyle name="SAPBEXaggData 16" xfId="39759" xr:uid="{00000000-0005-0000-0000-0000DA9C0000}"/>
    <cellStyle name="SAPBEXaggData 17" xfId="39760" xr:uid="{00000000-0005-0000-0000-0000DB9C0000}"/>
    <cellStyle name="SAPBEXaggData 18" xfId="39761" xr:uid="{00000000-0005-0000-0000-0000DC9C0000}"/>
    <cellStyle name="SAPBEXaggData 19" xfId="39762" xr:uid="{00000000-0005-0000-0000-0000DD9C0000}"/>
    <cellStyle name="SAPBEXaggData 2" xfId="39763" xr:uid="{00000000-0005-0000-0000-0000DE9C0000}"/>
    <cellStyle name="SAPBEXaggData 20" xfId="39764" xr:uid="{00000000-0005-0000-0000-0000DF9C0000}"/>
    <cellStyle name="SAPBEXaggData 21" xfId="39765" xr:uid="{00000000-0005-0000-0000-0000E09C0000}"/>
    <cellStyle name="SAPBEXaggData 22" xfId="39766" xr:uid="{00000000-0005-0000-0000-0000E19C0000}"/>
    <cellStyle name="SAPBEXaggData 23" xfId="39767" xr:uid="{00000000-0005-0000-0000-0000E29C0000}"/>
    <cellStyle name="SAPBEXaggData 24" xfId="39768" xr:uid="{00000000-0005-0000-0000-0000E39C0000}"/>
    <cellStyle name="SAPBEXaggData 25" xfId="39769" xr:uid="{00000000-0005-0000-0000-0000E49C0000}"/>
    <cellStyle name="SAPBEXaggData 26" xfId="39770" xr:uid="{00000000-0005-0000-0000-0000E59C0000}"/>
    <cellStyle name="SAPBEXaggData 27" xfId="39771" xr:uid="{00000000-0005-0000-0000-0000E69C0000}"/>
    <cellStyle name="SAPBEXaggData 28" xfId="39772" xr:uid="{00000000-0005-0000-0000-0000E79C0000}"/>
    <cellStyle name="SAPBEXaggData 29" xfId="39773" xr:uid="{00000000-0005-0000-0000-0000E89C0000}"/>
    <cellStyle name="SAPBEXaggData 3" xfId="39774" xr:uid="{00000000-0005-0000-0000-0000E99C0000}"/>
    <cellStyle name="SAPBEXaggData 30" xfId="39775" xr:uid="{00000000-0005-0000-0000-0000EA9C0000}"/>
    <cellStyle name="SAPBEXaggData 31" xfId="39776" xr:uid="{00000000-0005-0000-0000-0000EB9C0000}"/>
    <cellStyle name="SAPBEXaggData 32" xfId="39777" xr:uid="{00000000-0005-0000-0000-0000EC9C0000}"/>
    <cellStyle name="SAPBEXaggData 4" xfId="39778" xr:uid="{00000000-0005-0000-0000-0000ED9C0000}"/>
    <cellStyle name="SAPBEXaggData 5" xfId="39779" xr:uid="{00000000-0005-0000-0000-0000EE9C0000}"/>
    <cellStyle name="SAPBEXaggData 6" xfId="39780" xr:uid="{00000000-0005-0000-0000-0000EF9C0000}"/>
    <cellStyle name="SAPBEXaggData 7" xfId="39781" xr:uid="{00000000-0005-0000-0000-0000F09C0000}"/>
    <cellStyle name="SAPBEXaggData 8" xfId="39782" xr:uid="{00000000-0005-0000-0000-0000F19C0000}"/>
    <cellStyle name="SAPBEXaggData 9" xfId="39783" xr:uid="{00000000-0005-0000-0000-0000F29C0000}"/>
    <cellStyle name="SAPBEXaggDataEmph" xfId="39784" xr:uid="{00000000-0005-0000-0000-0000F39C0000}"/>
    <cellStyle name="SAPBEXaggDataEmph 10" xfId="39785" xr:uid="{00000000-0005-0000-0000-0000F49C0000}"/>
    <cellStyle name="SAPBEXaggDataEmph 11" xfId="39786" xr:uid="{00000000-0005-0000-0000-0000F59C0000}"/>
    <cellStyle name="SAPBEXaggDataEmph 12" xfId="39787" xr:uid="{00000000-0005-0000-0000-0000F69C0000}"/>
    <cellStyle name="SAPBEXaggDataEmph 13" xfId="39788" xr:uid="{00000000-0005-0000-0000-0000F79C0000}"/>
    <cellStyle name="SAPBEXaggDataEmph 14" xfId="39789" xr:uid="{00000000-0005-0000-0000-0000F89C0000}"/>
    <cellStyle name="SAPBEXaggDataEmph 15" xfId="39790" xr:uid="{00000000-0005-0000-0000-0000F99C0000}"/>
    <cellStyle name="SAPBEXaggDataEmph 16" xfId="39791" xr:uid="{00000000-0005-0000-0000-0000FA9C0000}"/>
    <cellStyle name="SAPBEXaggDataEmph 17" xfId="39792" xr:uid="{00000000-0005-0000-0000-0000FB9C0000}"/>
    <cellStyle name="SAPBEXaggDataEmph 18" xfId="39793" xr:uid="{00000000-0005-0000-0000-0000FC9C0000}"/>
    <cellStyle name="SAPBEXaggDataEmph 19" xfId="39794" xr:uid="{00000000-0005-0000-0000-0000FD9C0000}"/>
    <cellStyle name="SAPBEXaggDataEmph 2" xfId="39795" xr:uid="{00000000-0005-0000-0000-0000FE9C0000}"/>
    <cellStyle name="SAPBEXaggDataEmph 20" xfId="39796" xr:uid="{00000000-0005-0000-0000-0000FF9C0000}"/>
    <cellStyle name="SAPBEXaggDataEmph 21" xfId="39797" xr:uid="{00000000-0005-0000-0000-0000009D0000}"/>
    <cellStyle name="SAPBEXaggDataEmph 22" xfId="39798" xr:uid="{00000000-0005-0000-0000-0000019D0000}"/>
    <cellStyle name="SAPBEXaggDataEmph 23" xfId="39799" xr:uid="{00000000-0005-0000-0000-0000029D0000}"/>
    <cellStyle name="SAPBEXaggDataEmph 24" xfId="39800" xr:uid="{00000000-0005-0000-0000-0000039D0000}"/>
    <cellStyle name="SAPBEXaggDataEmph 25" xfId="39801" xr:uid="{00000000-0005-0000-0000-0000049D0000}"/>
    <cellStyle name="SAPBEXaggDataEmph 26" xfId="39802" xr:uid="{00000000-0005-0000-0000-0000059D0000}"/>
    <cellStyle name="SAPBEXaggDataEmph 27" xfId="39803" xr:uid="{00000000-0005-0000-0000-0000069D0000}"/>
    <cellStyle name="SAPBEXaggDataEmph 28" xfId="39804" xr:uid="{00000000-0005-0000-0000-0000079D0000}"/>
    <cellStyle name="SAPBEXaggDataEmph 29" xfId="39805" xr:uid="{00000000-0005-0000-0000-0000089D0000}"/>
    <cellStyle name="SAPBEXaggDataEmph 3" xfId="39806" xr:uid="{00000000-0005-0000-0000-0000099D0000}"/>
    <cellStyle name="SAPBEXaggDataEmph 30" xfId="39807" xr:uid="{00000000-0005-0000-0000-00000A9D0000}"/>
    <cellStyle name="SAPBEXaggDataEmph 31" xfId="39808" xr:uid="{00000000-0005-0000-0000-00000B9D0000}"/>
    <cellStyle name="SAPBEXaggDataEmph 32" xfId="39809" xr:uid="{00000000-0005-0000-0000-00000C9D0000}"/>
    <cellStyle name="SAPBEXaggDataEmph 4" xfId="39810" xr:uid="{00000000-0005-0000-0000-00000D9D0000}"/>
    <cellStyle name="SAPBEXaggDataEmph 5" xfId="39811" xr:uid="{00000000-0005-0000-0000-00000E9D0000}"/>
    <cellStyle name="SAPBEXaggDataEmph 6" xfId="39812" xr:uid="{00000000-0005-0000-0000-00000F9D0000}"/>
    <cellStyle name="SAPBEXaggDataEmph 7" xfId="39813" xr:uid="{00000000-0005-0000-0000-0000109D0000}"/>
    <cellStyle name="SAPBEXaggDataEmph 8" xfId="39814" xr:uid="{00000000-0005-0000-0000-0000119D0000}"/>
    <cellStyle name="SAPBEXaggDataEmph 9" xfId="39815" xr:uid="{00000000-0005-0000-0000-0000129D0000}"/>
    <cellStyle name="SAPBEXaggItem" xfId="39816" xr:uid="{00000000-0005-0000-0000-0000139D0000}"/>
    <cellStyle name="SAPBEXaggItem 10" xfId="39817" xr:uid="{00000000-0005-0000-0000-0000149D0000}"/>
    <cellStyle name="SAPBEXaggItem 11" xfId="39818" xr:uid="{00000000-0005-0000-0000-0000159D0000}"/>
    <cellStyle name="SAPBEXaggItem 12" xfId="39819" xr:uid="{00000000-0005-0000-0000-0000169D0000}"/>
    <cellStyle name="SAPBEXaggItem 13" xfId="39820" xr:uid="{00000000-0005-0000-0000-0000179D0000}"/>
    <cellStyle name="SAPBEXaggItem 14" xfId="39821" xr:uid="{00000000-0005-0000-0000-0000189D0000}"/>
    <cellStyle name="SAPBEXaggItem 15" xfId="39822" xr:uid="{00000000-0005-0000-0000-0000199D0000}"/>
    <cellStyle name="SAPBEXaggItem 16" xfId="39823" xr:uid="{00000000-0005-0000-0000-00001A9D0000}"/>
    <cellStyle name="SAPBEXaggItem 17" xfId="39824" xr:uid="{00000000-0005-0000-0000-00001B9D0000}"/>
    <cellStyle name="SAPBEXaggItem 18" xfId="39825" xr:uid="{00000000-0005-0000-0000-00001C9D0000}"/>
    <cellStyle name="SAPBEXaggItem 19" xfId="39826" xr:uid="{00000000-0005-0000-0000-00001D9D0000}"/>
    <cellStyle name="SAPBEXaggItem 2" xfId="39827" xr:uid="{00000000-0005-0000-0000-00001E9D0000}"/>
    <cellStyle name="SAPBEXaggItem 20" xfId="39828" xr:uid="{00000000-0005-0000-0000-00001F9D0000}"/>
    <cellStyle name="SAPBEXaggItem 21" xfId="39829" xr:uid="{00000000-0005-0000-0000-0000209D0000}"/>
    <cellStyle name="SAPBEXaggItem 22" xfId="39830" xr:uid="{00000000-0005-0000-0000-0000219D0000}"/>
    <cellStyle name="SAPBEXaggItem 23" xfId="39831" xr:uid="{00000000-0005-0000-0000-0000229D0000}"/>
    <cellStyle name="SAPBEXaggItem 24" xfId="39832" xr:uid="{00000000-0005-0000-0000-0000239D0000}"/>
    <cellStyle name="SAPBEXaggItem 25" xfId="39833" xr:uid="{00000000-0005-0000-0000-0000249D0000}"/>
    <cellStyle name="SAPBEXaggItem 26" xfId="39834" xr:uid="{00000000-0005-0000-0000-0000259D0000}"/>
    <cellStyle name="SAPBEXaggItem 27" xfId="39835" xr:uid="{00000000-0005-0000-0000-0000269D0000}"/>
    <cellStyle name="SAPBEXaggItem 28" xfId="39836" xr:uid="{00000000-0005-0000-0000-0000279D0000}"/>
    <cellStyle name="SAPBEXaggItem 29" xfId="39837" xr:uid="{00000000-0005-0000-0000-0000289D0000}"/>
    <cellStyle name="SAPBEXaggItem 3" xfId="39838" xr:uid="{00000000-0005-0000-0000-0000299D0000}"/>
    <cellStyle name="SAPBEXaggItem 30" xfId="39839" xr:uid="{00000000-0005-0000-0000-00002A9D0000}"/>
    <cellStyle name="SAPBEXaggItem 31" xfId="39840" xr:uid="{00000000-0005-0000-0000-00002B9D0000}"/>
    <cellStyle name="SAPBEXaggItem 32" xfId="39841" xr:uid="{00000000-0005-0000-0000-00002C9D0000}"/>
    <cellStyle name="SAPBEXaggItem 4" xfId="39842" xr:uid="{00000000-0005-0000-0000-00002D9D0000}"/>
    <cellStyle name="SAPBEXaggItem 5" xfId="39843" xr:uid="{00000000-0005-0000-0000-00002E9D0000}"/>
    <cellStyle name="SAPBEXaggItem 6" xfId="39844" xr:uid="{00000000-0005-0000-0000-00002F9D0000}"/>
    <cellStyle name="SAPBEXaggItem 7" xfId="39845" xr:uid="{00000000-0005-0000-0000-0000309D0000}"/>
    <cellStyle name="SAPBEXaggItem 8" xfId="39846" xr:uid="{00000000-0005-0000-0000-0000319D0000}"/>
    <cellStyle name="SAPBEXaggItem 9" xfId="39847" xr:uid="{00000000-0005-0000-0000-0000329D0000}"/>
    <cellStyle name="SAPBEXaggItemX" xfId="39848" xr:uid="{00000000-0005-0000-0000-0000339D0000}"/>
    <cellStyle name="SAPBEXaggItemX 10" xfId="39849" xr:uid="{00000000-0005-0000-0000-0000349D0000}"/>
    <cellStyle name="SAPBEXaggItemX 11" xfId="39850" xr:uid="{00000000-0005-0000-0000-0000359D0000}"/>
    <cellStyle name="SAPBEXaggItemX 12" xfId="39851" xr:uid="{00000000-0005-0000-0000-0000369D0000}"/>
    <cellStyle name="SAPBEXaggItemX 13" xfId="39852" xr:uid="{00000000-0005-0000-0000-0000379D0000}"/>
    <cellStyle name="SAPBEXaggItemX 14" xfId="39853" xr:uid="{00000000-0005-0000-0000-0000389D0000}"/>
    <cellStyle name="SAPBEXaggItemX 15" xfId="39854" xr:uid="{00000000-0005-0000-0000-0000399D0000}"/>
    <cellStyle name="SAPBEXaggItemX 16" xfId="39855" xr:uid="{00000000-0005-0000-0000-00003A9D0000}"/>
    <cellStyle name="SAPBEXaggItemX 17" xfId="39856" xr:uid="{00000000-0005-0000-0000-00003B9D0000}"/>
    <cellStyle name="SAPBEXaggItemX 18" xfId="39857" xr:uid="{00000000-0005-0000-0000-00003C9D0000}"/>
    <cellStyle name="SAPBEXaggItemX 19" xfId="39858" xr:uid="{00000000-0005-0000-0000-00003D9D0000}"/>
    <cellStyle name="SAPBEXaggItemX 2" xfId="39859" xr:uid="{00000000-0005-0000-0000-00003E9D0000}"/>
    <cellStyle name="SAPBEXaggItemX 20" xfId="39860" xr:uid="{00000000-0005-0000-0000-00003F9D0000}"/>
    <cellStyle name="SAPBEXaggItemX 21" xfId="39861" xr:uid="{00000000-0005-0000-0000-0000409D0000}"/>
    <cellStyle name="SAPBEXaggItemX 22" xfId="39862" xr:uid="{00000000-0005-0000-0000-0000419D0000}"/>
    <cellStyle name="SAPBEXaggItemX 23" xfId="39863" xr:uid="{00000000-0005-0000-0000-0000429D0000}"/>
    <cellStyle name="SAPBEXaggItemX 24" xfId="39864" xr:uid="{00000000-0005-0000-0000-0000439D0000}"/>
    <cellStyle name="SAPBEXaggItemX 25" xfId="39865" xr:uid="{00000000-0005-0000-0000-0000449D0000}"/>
    <cellStyle name="SAPBEXaggItemX 26" xfId="39866" xr:uid="{00000000-0005-0000-0000-0000459D0000}"/>
    <cellStyle name="SAPBEXaggItemX 27" xfId="39867" xr:uid="{00000000-0005-0000-0000-0000469D0000}"/>
    <cellStyle name="SAPBEXaggItemX 28" xfId="39868" xr:uid="{00000000-0005-0000-0000-0000479D0000}"/>
    <cellStyle name="SAPBEXaggItemX 29" xfId="39869" xr:uid="{00000000-0005-0000-0000-0000489D0000}"/>
    <cellStyle name="SAPBEXaggItemX 3" xfId="39870" xr:uid="{00000000-0005-0000-0000-0000499D0000}"/>
    <cellStyle name="SAPBEXaggItemX 30" xfId="39871" xr:uid="{00000000-0005-0000-0000-00004A9D0000}"/>
    <cellStyle name="SAPBEXaggItemX 31" xfId="39872" xr:uid="{00000000-0005-0000-0000-00004B9D0000}"/>
    <cellStyle name="SAPBEXaggItemX 32" xfId="39873" xr:uid="{00000000-0005-0000-0000-00004C9D0000}"/>
    <cellStyle name="SAPBEXaggItemX 4" xfId="39874" xr:uid="{00000000-0005-0000-0000-00004D9D0000}"/>
    <cellStyle name="SAPBEXaggItemX 5" xfId="39875" xr:uid="{00000000-0005-0000-0000-00004E9D0000}"/>
    <cellStyle name="SAPBEXaggItemX 6" xfId="39876" xr:uid="{00000000-0005-0000-0000-00004F9D0000}"/>
    <cellStyle name="SAPBEXaggItemX 7" xfId="39877" xr:uid="{00000000-0005-0000-0000-0000509D0000}"/>
    <cellStyle name="SAPBEXaggItemX 8" xfId="39878" xr:uid="{00000000-0005-0000-0000-0000519D0000}"/>
    <cellStyle name="SAPBEXaggItemX 9" xfId="39879" xr:uid="{00000000-0005-0000-0000-0000529D0000}"/>
    <cellStyle name="SAPBEXchaText" xfId="39880" xr:uid="{00000000-0005-0000-0000-0000539D0000}"/>
    <cellStyle name="SAPBEXchaText 2" xfId="42468" xr:uid="{00000000-0005-0000-0000-0000549D0000}"/>
    <cellStyle name="SAPBEXexcBad7" xfId="39881" xr:uid="{00000000-0005-0000-0000-0000559D0000}"/>
    <cellStyle name="SAPBEXexcBad7 10" xfId="39882" xr:uid="{00000000-0005-0000-0000-0000569D0000}"/>
    <cellStyle name="SAPBEXexcBad7 11" xfId="39883" xr:uid="{00000000-0005-0000-0000-0000579D0000}"/>
    <cellStyle name="SAPBEXexcBad7 12" xfId="39884" xr:uid="{00000000-0005-0000-0000-0000589D0000}"/>
    <cellStyle name="SAPBEXexcBad7 13" xfId="39885" xr:uid="{00000000-0005-0000-0000-0000599D0000}"/>
    <cellStyle name="SAPBEXexcBad7 14" xfId="39886" xr:uid="{00000000-0005-0000-0000-00005A9D0000}"/>
    <cellStyle name="SAPBEXexcBad7 15" xfId="39887" xr:uid="{00000000-0005-0000-0000-00005B9D0000}"/>
    <cellStyle name="SAPBEXexcBad7 16" xfId="39888" xr:uid="{00000000-0005-0000-0000-00005C9D0000}"/>
    <cellStyle name="SAPBEXexcBad7 17" xfId="39889" xr:uid="{00000000-0005-0000-0000-00005D9D0000}"/>
    <cellStyle name="SAPBEXexcBad7 18" xfId="39890" xr:uid="{00000000-0005-0000-0000-00005E9D0000}"/>
    <cellStyle name="SAPBEXexcBad7 19" xfId="39891" xr:uid="{00000000-0005-0000-0000-00005F9D0000}"/>
    <cellStyle name="SAPBEXexcBad7 2" xfId="39892" xr:uid="{00000000-0005-0000-0000-0000609D0000}"/>
    <cellStyle name="SAPBEXexcBad7 20" xfId="39893" xr:uid="{00000000-0005-0000-0000-0000619D0000}"/>
    <cellStyle name="SAPBEXexcBad7 21" xfId="39894" xr:uid="{00000000-0005-0000-0000-0000629D0000}"/>
    <cellStyle name="SAPBEXexcBad7 22" xfId="39895" xr:uid="{00000000-0005-0000-0000-0000639D0000}"/>
    <cellStyle name="SAPBEXexcBad7 23" xfId="39896" xr:uid="{00000000-0005-0000-0000-0000649D0000}"/>
    <cellStyle name="SAPBEXexcBad7 24" xfId="39897" xr:uid="{00000000-0005-0000-0000-0000659D0000}"/>
    <cellStyle name="SAPBEXexcBad7 25" xfId="39898" xr:uid="{00000000-0005-0000-0000-0000669D0000}"/>
    <cellStyle name="SAPBEXexcBad7 26" xfId="39899" xr:uid="{00000000-0005-0000-0000-0000679D0000}"/>
    <cellStyle name="SAPBEXexcBad7 27" xfId="39900" xr:uid="{00000000-0005-0000-0000-0000689D0000}"/>
    <cellStyle name="SAPBEXexcBad7 28" xfId="39901" xr:uid="{00000000-0005-0000-0000-0000699D0000}"/>
    <cellStyle name="SAPBEXexcBad7 29" xfId="39902" xr:uid="{00000000-0005-0000-0000-00006A9D0000}"/>
    <cellStyle name="SAPBEXexcBad7 3" xfId="39903" xr:uid="{00000000-0005-0000-0000-00006B9D0000}"/>
    <cellStyle name="SAPBEXexcBad7 30" xfId="39904" xr:uid="{00000000-0005-0000-0000-00006C9D0000}"/>
    <cellStyle name="SAPBEXexcBad7 31" xfId="39905" xr:uid="{00000000-0005-0000-0000-00006D9D0000}"/>
    <cellStyle name="SAPBEXexcBad7 32" xfId="39906" xr:uid="{00000000-0005-0000-0000-00006E9D0000}"/>
    <cellStyle name="SAPBEXexcBad7 4" xfId="39907" xr:uid="{00000000-0005-0000-0000-00006F9D0000}"/>
    <cellStyle name="SAPBEXexcBad7 5" xfId="39908" xr:uid="{00000000-0005-0000-0000-0000709D0000}"/>
    <cellStyle name="SAPBEXexcBad7 6" xfId="39909" xr:uid="{00000000-0005-0000-0000-0000719D0000}"/>
    <cellStyle name="SAPBEXexcBad7 7" xfId="39910" xr:uid="{00000000-0005-0000-0000-0000729D0000}"/>
    <cellStyle name="SAPBEXexcBad7 8" xfId="39911" xr:uid="{00000000-0005-0000-0000-0000739D0000}"/>
    <cellStyle name="SAPBEXexcBad7 9" xfId="39912" xr:uid="{00000000-0005-0000-0000-0000749D0000}"/>
    <cellStyle name="SAPBEXexcBad8" xfId="39913" xr:uid="{00000000-0005-0000-0000-0000759D0000}"/>
    <cellStyle name="SAPBEXexcBad8 10" xfId="39914" xr:uid="{00000000-0005-0000-0000-0000769D0000}"/>
    <cellStyle name="SAPBEXexcBad8 11" xfId="39915" xr:uid="{00000000-0005-0000-0000-0000779D0000}"/>
    <cellStyle name="SAPBEXexcBad8 12" xfId="39916" xr:uid="{00000000-0005-0000-0000-0000789D0000}"/>
    <cellStyle name="SAPBEXexcBad8 13" xfId="39917" xr:uid="{00000000-0005-0000-0000-0000799D0000}"/>
    <cellStyle name="SAPBEXexcBad8 14" xfId="39918" xr:uid="{00000000-0005-0000-0000-00007A9D0000}"/>
    <cellStyle name="SAPBEXexcBad8 15" xfId="39919" xr:uid="{00000000-0005-0000-0000-00007B9D0000}"/>
    <cellStyle name="SAPBEXexcBad8 16" xfId="39920" xr:uid="{00000000-0005-0000-0000-00007C9D0000}"/>
    <cellStyle name="SAPBEXexcBad8 17" xfId="39921" xr:uid="{00000000-0005-0000-0000-00007D9D0000}"/>
    <cellStyle name="SAPBEXexcBad8 18" xfId="39922" xr:uid="{00000000-0005-0000-0000-00007E9D0000}"/>
    <cellStyle name="SAPBEXexcBad8 19" xfId="39923" xr:uid="{00000000-0005-0000-0000-00007F9D0000}"/>
    <cellStyle name="SAPBEXexcBad8 2" xfId="39924" xr:uid="{00000000-0005-0000-0000-0000809D0000}"/>
    <cellStyle name="SAPBEXexcBad8 20" xfId="39925" xr:uid="{00000000-0005-0000-0000-0000819D0000}"/>
    <cellStyle name="SAPBEXexcBad8 21" xfId="39926" xr:uid="{00000000-0005-0000-0000-0000829D0000}"/>
    <cellStyle name="SAPBEXexcBad8 22" xfId="39927" xr:uid="{00000000-0005-0000-0000-0000839D0000}"/>
    <cellStyle name="SAPBEXexcBad8 23" xfId="39928" xr:uid="{00000000-0005-0000-0000-0000849D0000}"/>
    <cellStyle name="SAPBEXexcBad8 24" xfId="39929" xr:uid="{00000000-0005-0000-0000-0000859D0000}"/>
    <cellStyle name="SAPBEXexcBad8 25" xfId="39930" xr:uid="{00000000-0005-0000-0000-0000869D0000}"/>
    <cellStyle name="SAPBEXexcBad8 26" xfId="39931" xr:uid="{00000000-0005-0000-0000-0000879D0000}"/>
    <cellStyle name="SAPBEXexcBad8 27" xfId="39932" xr:uid="{00000000-0005-0000-0000-0000889D0000}"/>
    <cellStyle name="SAPBEXexcBad8 28" xfId="39933" xr:uid="{00000000-0005-0000-0000-0000899D0000}"/>
    <cellStyle name="SAPBEXexcBad8 29" xfId="39934" xr:uid="{00000000-0005-0000-0000-00008A9D0000}"/>
    <cellStyle name="SAPBEXexcBad8 3" xfId="39935" xr:uid="{00000000-0005-0000-0000-00008B9D0000}"/>
    <cellStyle name="SAPBEXexcBad8 30" xfId="39936" xr:uid="{00000000-0005-0000-0000-00008C9D0000}"/>
    <cellStyle name="SAPBEXexcBad8 31" xfId="39937" xr:uid="{00000000-0005-0000-0000-00008D9D0000}"/>
    <cellStyle name="SAPBEXexcBad8 32" xfId="39938" xr:uid="{00000000-0005-0000-0000-00008E9D0000}"/>
    <cellStyle name="SAPBEXexcBad8 4" xfId="39939" xr:uid="{00000000-0005-0000-0000-00008F9D0000}"/>
    <cellStyle name="SAPBEXexcBad8 5" xfId="39940" xr:uid="{00000000-0005-0000-0000-0000909D0000}"/>
    <cellStyle name="SAPBEXexcBad8 6" xfId="39941" xr:uid="{00000000-0005-0000-0000-0000919D0000}"/>
    <cellStyle name="SAPBEXexcBad8 7" xfId="39942" xr:uid="{00000000-0005-0000-0000-0000929D0000}"/>
    <cellStyle name="SAPBEXexcBad8 8" xfId="39943" xr:uid="{00000000-0005-0000-0000-0000939D0000}"/>
    <cellStyle name="SAPBEXexcBad8 9" xfId="39944" xr:uid="{00000000-0005-0000-0000-0000949D0000}"/>
    <cellStyle name="SAPBEXexcBad9" xfId="39945" xr:uid="{00000000-0005-0000-0000-0000959D0000}"/>
    <cellStyle name="SAPBEXexcBad9 10" xfId="39946" xr:uid="{00000000-0005-0000-0000-0000969D0000}"/>
    <cellStyle name="SAPBEXexcBad9 11" xfId="39947" xr:uid="{00000000-0005-0000-0000-0000979D0000}"/>
    <cellStyle name="SAPBEXexcBad9 12" xfId="39948" xr:uid="{00000000-0005-0000-0000-0000989D0000}"/>
    <cellStyle name="SAPBEXexcBad9 13" xfId="39949" xr:uid="{00000000-0005-0000-0000-0000999D0000}"/>
    <cellStyle name="SAPBEXexcBad9 14" xfId="39950" xr:uid="{00000000-0005-0000-0000-00009A9D0000}"/>
    <cellStyle name="SAPBEXexcBad9 15" xfId="39951" xr:uid="{00000000-0005-0000-0000-00009B9D0000}"/>
    <cellStyle name="SAPBEXexcBad9 16" xfId="39952" xr:uid="{00000000-0005-0000-0000-00009C9D0000}"/>
    <cellStyle name="SAPBEXexcBad9 17" xfId="39953" xr:uid="{00000000-0005-0000-0000-00009D9D0000}"/>
    <cellStyle name="SAPBEXexcBad9 18" xfId="39954" xr:uid="{00000000-0005-0000-0000-00009E9D0000}"/>
    <cellStyle name="SAPBEXexcBad9 19" xfId="39955" xr:uid="{00000000-0005-0000-0000-00009F9D0000}"/>
    <cellStyle name="SAPBEXexcBad9 2" xfId="39956" xr:uid="{00000000-0005-0000-0000-0000A09D0000}"/>
    <cellStyle name="SAPBEXexcBad9 20" xfId="39957" xr:uid="{00000000-0005-0000-0000-0000A19D0000}"/>
    <cellStyle name="SAPBEXexcBad9 21" xfId="39958" xr:uid="{00000000-0005-0000-0000-0000A29D0000}"/>
    <cellStyle name="SAPBEXexcBad9 22" xfId="39959" xr:uid="{00000000-0005-0000-0000-0000A39D0000}"/>
    <cellStyle name="SAPBEXexcBad9 23" xfId="39960" xr:uid="{00000000-0005-0000-0000-0000A49D0000}"/>
    <cellStyle name="SAPBEXexcBad9 24" xfId="39961" xr:uid="{00000000-0005-0000-0000-0000A59D0000}"/>
    <cellStyle name="SAPBEXexcBad9 25" xfId="39962" xr:uid="{00000000-0005-0000-0000-0000A69D0000}"/>
    <cellStyle name="SAPBEXexcBad9 26" xfId="39963" xr:uid="{00000000-0005-0000-0000-0000A79D0000}"/>
    <cellStyle name="SAPBEXexcBad9 27" xfId="39964" xr:uid="{00000000-0005-0000-0000-0000A89D0000}"/>
    <cellStyle name="SAPBEXexcBad9 28" xfId="39965" xr:uid="{00000000-0005-0000-0000-0000A99D0000}"/>
    <cellStyle name="SAPBEXexcBad9 29" xfId="39966" xr:uid="{00000000-0005-0000-0000-0000AA9D0000}"/>
    <cellStyle name="SAPBEXexcBad9 3" xfId="39967" xr:uid="{00000000-0005-0000-0000-0000AB9D0000}"/>
    <cellStyle name="SAPBEXexcBad9 30" xfId="39968" xr:uid="{00000000-0005-0000-0000-0000AC9D0000}"/>
    <cellStyle name="SAPBEXexcBad9 31" xfId="39969" xr:uid="{00000000-0005-0000-0000-0000AD9D0000}"/>
    <cellStyle name="SAPBEXexcBad9 32" xfId="39970" xr:uid="{00000000-0005-0000-0000-0000AE9D0000}"/>
    <cellStyle name="SAPBEXexcBad9 4" xfId="39971" xr:uid="{00000000-0005-0000-0000-0000AF9D0000}"/>
    <cellStyle name="SAPBEXexcBad9 5" xfId="39972" xr:uid="{00000000-0005-0000-0000-0000B09D0000}"/>
    <cellStyle name="SAPBEXexcBad9 6" xfId="39973" xr:uid="{00000000-0005-0000-0000-0000B19D0000}"/>
    <cellStyle name="SAPBEXexcBad9 7" xfId="39974" xr:uid="{00000000-0005-0000-0000-0000B29D0000}"/>
    <cellStyle name="SAPBEXexcBad9 8" xfId="39975" xr:uid="{00000000-0005-0000-0000-0000B39D0000}"/>
    <cellStyle name="SAPBEXexcBad9 9" xfId="39976" xr:uid="{00000000-0005-0000-0000-0000B49D0000}"/>
    <cellStyle name="SAPBEXexcCritical4" xfId="39977" xr:uid="{00000000-0005-0000-0000-0000B59D0000}"/>
    <cellStyle name="SAPBEXexcCritical4 10" xfId="39978" xr:uid="{00000000-0005-0000-0000-0000B69D0000}"/>
    <cellStyle name="SAPBEXexcCritical4 11" xfId="39979" xr:uid="{00000000-0005-0000-0000-0000B79D0000}"/>
    <cellStyle name="SAPBEXexcCritical4 12" xfId="39980" xr:uid="{00000000-0005-0000-0000-0000B89D0000}"/>
    <cellStyle name="SAPBEXexcCritical4 13" xfId="39981" xr:uid="{00000000-0005-0000-0000-0000B99D0000}"/>
    <cellStyle name="SAPBEXexcCritical4 14" xfId="39982" xr:uid="{00000000-0005-0000-0000-0000BA9D0000}"/>
    <cellStyle name="SAPBEXexcCritical4 15" xfId="39983" xr:uid="{00000000-0005-0000-0000-0000BB9D0000}"/>
    <cellStyle name="SAPBEXexcCritical4 16" xfId="39984" xr:uid="{00000000-0005-0000-0000-0000BC9D0000}"/>
    <cellStyle name="SAPBEXexcCritical4 17" xfId="39985" xr:uid="{00000000-0005-0000-0000-0000BD9D0000}"/>
    <cellStyle name="SAPBEXexcCritical4 18" xfId="39986" xr:uid="{00000000-0005-0000-0000-0000BE9D0000}"/>
    <cellStyle name="SAPBEXexcCritical4 19" xfId="39987" xr:uid="{00000000-0005-0000-0000-0000BF9D0000}"/>
    <cellStyle name="SAPBEXexcCritical4 2" xfId="39988" xr:uid="{00000000-0005-0000-0000-0000C09D0000}"/>
    <cellStyle name="SAPBEXexcCritical4 20" xfId="39989" xr:uid="{00000000-0005-0000-0000-0000C19D0000}"/>
    <cellStyle name="SAPBEXexcCritical4 21" xfId="39990" xr:uid="{00000000-0005-0000-0000-0000C29D0000}"/>
    <cellStyle name="SAPBEXexcCritical4 22" xfId="39991" xr:uid="{00000000-0005-0000-0000-0000C39D0000}"/>
    <cellStyle name="SAPBEXexcCritical4 23" xfId="39992" xr:uid="{00000000-0005-0000-0000-0000C49D0000}"/>
    <cellStyle name="SAPBEXexcCritical4 24" xfId="39993" xr:uid="{00000000-0005-0000-0000-0000C59D0000}"/>
    <cellStyle name="SAPBEXexcCritical4 25" xfId="39994" xr:uid="{00000000-0005-0000-0000-0000C69D0000}"/>
    <cellStyle name="SAPBEXexcCritical4 26" xfId="39995" xr:uid="{00000000-0005-0000-0000-0000C79D0000}"/>
    <cellStyle name="SAPBEXexcCritical4 27" xfId="39996" xr:uid="{00000000-0005-0000-0000-0000C89D0000}"/>
    <cellStyle name="SAPBEXexcCritical4 28" xfId="39997" xr:uid="{00000000-0005-0000-0000-0000C99D0000}"/>
    <cellStyle name="SAPBEXexcCritical4 29" xfId="39998" xr:uid="{00000000-0005-0000-0000-0000CA9D0000}"/>
    <cellStyle name="SAPBEXexcCritical4 3" xfId="39999" xr:uid="{00000000-0005-0000-0000-0000CB9D0000}"/>
    <cellStyle name="SAPBEXexcCritical4 30" xfId="40000" xr:uid="{00000000-0005-0000-0000-0000CC9D0000}"/>
    <cellStyle name="SAPBEXexcCritical4 31" xfId="40001" xr:uid="{00000000-0005-0000-0000-0000CD9D0000}"/>
    <cellStyle name="SAPBEXexcCritical4 32" xfId="40002" xr:uid="{00000000-0005-0000-0000-0000CE9D0000}"/>
    <cellStyle name="SAPBEXexcCritical4 4" xfId="40003" xr:uid="{00000000-0005-0000-0000-0000CF9D0000}"/>
    <cellStyle name="SAPBEXexcCritical4 5" xfId="40004" xr:uid="{00000000-0005-0000-0000-0000D09D0000}"/>
    <cellStyle name="SAPBEXexcCritical4 6" xfId="40005" xr:uid="{00000000-0005-0000-0000-0000D19D0000}"/>
    <cellStyle name="SAPBEXexcCritical4 7" xfId="40006" xr:uid="{00000000-0005-0000-0000-0000D29D0000}"/>
    <cellStyle name="SAPBEXexcCritical4 8" xfId="40007" xr:uid="{00000000-0005-0000-0000-0000D39D0000}"/>
    <cellStyle name="SAPBEXexcCritical4 9" xfId="40008" xr:uid="{00000000-0005-0000-0000-0000D49D0000}"/>
    <cellStyle name="SAPBEXexcCritical5" xfId="40009" xr:uid="{00000000-0005-0000-0000-0000D59D0000}"/>
    <cellStyle name="SAPBEXexcCritical5 10" xfId="40010" xr:uid="{00000000-0005-0000-0000-0000D69D0000}"/>
    <cellStyle name="SAPBEXexcCritical5 11" xfId="40011" xr:uid="{00000000-0005-0000-0000-0000D79D0000}"/>
    <cellStyle name="SAPBEXexcCritical5 12" xfId="40012" xr:uid="{00000000-0005-0000-0000-0000D89D0000}"/>
    <cellStyle name="SAPBEXexcCritical5 13" xfId="40013" xr:uid="{00000000-0005-0000-0000-0000D99D0000}"/>
    <cellStyle name="SAPBEXexcCritical5 14" xfId="40014" xr:uid="{00000000-0005-0000-0000-0000DA9D0000}"/>
    <cellStyle name="SAPBEXexcCritical5 15" xfId="40015" xr:uid="{00000000-0005-0000-0000-0000DB9D0000}"/>
    <cellStyle name="SAPBEXexcCritical5 16" xfId="40016" xr:uid="{00000000-0005-0000-0000-0000DC9D0000}"/>
    <cellStyle name="SAPBEXexcCritical5 17" xfId="40017" xr:uid="{00000000-0005-0000-0000-0000DD9D0000}"/>
    <cellStyle name="SAPBEXexcCritical5 18" xfId="40018" xr:uid="{00000000-0005-0000-0000-0000DE9D0000}"/>
    <cellStyle name="SAPBEXexcCritical5 19" xfId="40019" xr:uid="{00000000-0005-0000-0000-0000DF9D0000}"/>
    <cellStyle name="SAPBEXexcCritical5 2" xfId="40020" xr:uid="{00000000-0005-0000-0000-0000E09D0000}"/>
    <cellStyle name="SAPBEXexcCritical5 20" xfId="40021" xr:uid="{00000000-0005-0000-0000-0000E19D0000}"/>
    <cellStyle name="SAPBEXexcCritical5 21" xfId="40022" xr:uid="{00000000-0005-0000-0000-0000E29D0000}"/>
    <cellStyle name="SAPBEXexcCritical5 22" xfId="40023" xr:uid="{00000000-0005-0000-0000-0000E39D0000}"/>
    <cellStyle name="SAPBEXexcCritical5 23" xfId="40024" xr:uid="{00000000-0005-0000-0000-0000E49D0000}"/>
    <cellStyle name="SAPBEXexcCritical5 24" xfId="40025" xr:uid="{00000000-0005-0000-0000-0000E59D0000}"/>
    <cellStyle name="SAPBEXexcCritical5 25" xfId="40026" xr:uid="{00000000-0005-0000-0000-0000E69D0000}"/>
    <cellStyle name="SAPBEXexcCritical5 26" xfId="40027" xr:uid="{00000000-0005-0000-0000-0000E79D0000}"/>
    <cellStyle name="SAPBEXexcCritical5 27" xfId="40028" xr:uid="{00000000-0005-0000-0000-0000E89D0000}"/>
    <cellStyle name="SAPBEXexcCritical5 28" xfId="40029" xr:uid="{00000000-0005-0000-0000-0000E99D0000}"/>
    <cellStyle name="SAPBEXexcCritical5 29" xfId="40030" xr:uid="{00000000-0005-0000-0000-0000EA9D0000}"/>
    <cellStyle name="SAPBEXexcCritical5 3" xfId="40031" xr:uid="{00000000-0005-0000-0000-0000EB9D0000}"/>
    <cellStyle name="SAPBEXexcCritical5 30" xfId="40032" xr:uid="{00000000-0005-0000-0000-0000EC9D0000}"/>
    <cellStyle name="SAPBEXexcCritical5 31" xfId="40033" xr:uid="{00000000-0005-0000-0000-0000ED9D0000}"/>
    <cellStyle name="SAPBEXexcCritical5 32" xfId="40034" xr:uid="{00000000-0005-0000-0000-0000EE9D0000}"/>
    <cellStyle name="SAPBEXexcCritical5 4" xfId="40035" xr:uid="{00000000-0005-0000-0000-0000EF9D0000}"/>
    <cellStyle name="SAPBEXexcCritical5 5" xfId="40036" xr:uid="{00000000-0005-0000-0000-0000F09D0000}"/>
    <cellStyle name="SAPBEXexcCritical5 6" xfId="40037" xr:uid="{00000000-0005-0000-0000-0000F19D0000}"/>
    <cellStyle name="SAPBEXexcCritical5 7" xfId="40038" xr:uid="{00000000-0005-0000-0000-0000F29D0000}"/>
    <cellStyle name="SAPBEXexcCritical5 8" xfId="40039" xr:uid="{00000000-0005-0000-0000-0000F39D0000}"/>
    <cellStyle name="SAPBEXexcCritical5 9" xfId="40040" xr:uid="{00000000-0005-0000-0000-0000F49D0000}"/>
    <cellStyle name="SAPBEXexcCritical6" xfId="40041" xr:uid="{00000000-0005-0000-0000-0000F59D0000}"/>
    <cellStyle name="SAPBEXexcCritical6 10" xfId="40042" xr:uid="{00000000-0005-0000-0000-0000F69D0000}"/>
    <cellStyle name="SAPBEXexcCritical6 11" xfId="40043" xr:uid="{00000000-0005-0000-0000-0000F79D0000}"/>
    <cellStyle name="SAPBEXexcCritical6 12" xfId="40044" xr:uid="{00000000-0005-0000-0000-0000F89D0000}"/>
    <cellStyle name="SAPBEXexcCritical6 13" xfId="40045" xr:uid="{00000000-0005-0000-0000-0000F99D0000}"/>
    <cellStyle name="SAPBEXexcCritical6 14" xfId="40046" xr:uid="{00000000-0005-0000-0000-0000FA9D0000}"/>
    <cellStyle name="SAPBEXexcCritical6 15" xfId="40047" xr:uid="{00000000-0005-0000-0000-0000FB9D0000}"/>
    <cellStyle name="SAPBEXexcCritical6 16" xfId="40048" xr:uid="{00000000-0005-0000-0000-0000FC9D0000}"/>
    <cellStyle name="SAPBEXexcCritical6 17" xfId="40049" xr:uid="{00000000-0005-0000-0000-0000FD9D0000}"/>
    <cellStyle name="SAPBEXexcCritical6 18" xfId="40050" xr:uid="{00000000-0005-0000-0000-0000FE9D0000}"/>
    <cellStyle name="SAPBEXexcCritical6 19" xfId="40051" xr:uid="{00000000-0005-0000-0000-0000FF9D0000}"/>
    <cellStyle name="SAPBEXexcCritical6 2" xfId="40052" xr:uid="{00000000-0005-0000-0000-0000009E0000}"/>
    <cellStyle name="SAPBEXexcCritical6 20" xfId="40053" xr:uid="{00000000-0005-0000-0000-0000019E0000}"/>
    <cellStyle name="SAPBEXexcCritical6 21" xfId="40054" xr:uid="{00000000-0005-0000-0000-0000029E0000}"/>
    <cellStyle name="SAPBEXexcCritical6 22" xfId="40055" xr:uid="{00000000-0005-0000-0000-0000039E0000}"/>
    <cellStyle name="SAPBEXexcCritical6 23" xfId="40056" xr:uid="{00000000-0005-0000-0000-0000049E0000}"/>
    <cellStyle name="SAPBEXexcCritical6 24" xfId="40057" xr:uid="{00000000-0005-0000-0000-0000059E0000}"/>
    <cellStyle name="SAPBEXexcCritical6 25" xfId="40058" xr:uid="{00000000-0005-0000-0000-0000069E0000}"/>
    <cellStyle name="SAPBEXexcCritical6 26" xfId="40059" xr:uid="{00000000-0005-0000-0000-0000079E0000}"/>
    <cellStyle name="SAPBEXexcCritical6 27" xfId="40060" xr:uid="{00000000-0005-0000-0000-0000089E0000}"/>
    <cellStyle name="SAPBEXexcCritical6 28" xfId="40061" xr:uid="{00000000-0005-0000-0000-0000099E0000}"/>
    <cellStyle name="SAPBEXexcCritical6 29" xfId="40062" xr:uid="{00000000-0005-0000-0000-00000A9E0000}"/>
    <cellStyle name="SAPBEXexcCritical6 3" xfId="40063" xr:uid="{00000000-0005-0000-0000-00000B9E0000}"/>
    <cellStyle name="SAPBEXexcCritical6 30" xfId="40064" xr:uid="{00000000-0005-0000-0000-00000C9E0000}"/>
    <cellStyle name="SAPBEXexcCritical6 31" xfId="40065" xr:uid="{00000000-0005-0000-0000-00000D9E0000}"/>
    <cellStyle name="SAPBEXexcCritical6 32" xfId="40066" xr:uid="{00000000-0005-0000-0000-00000E9E0000}"/>
    <cellStyle name="SAPBEXexcCritical6 4" xfId="40067" xr:uid="{00000000-0005-0000-0000-00000F9E0000}"/>
    <cellStyle name="SAPBEXexcCritical6 5" xfId="40068" xr:uid="{00000000-0005-0000-0000-0000109E0000}"/>
    <cellStyle name="SAPBEXexcCritical6 6" xfId="40069" xr:uid="{00000000-0005-0000-0000-0000119E0000}"/>
    <cellStyle name="SAPBEXexcCritical6 7" xfId="40070" xr:uid="{00000000-0005-0000-0000-0000129E0000}"/>
    <cellStyle name="SAPBEXexcCritical6 8" xfId="40071" xr:uid="{00000000-0005-0000-0000-0000139E0000}"/>
    <cellStyle name="SAPBEXexcCritical6 9" xfId="40072" xr:uid="{00000000-0005-0000-0000-0000149E0000}"/>
    <cellStyle name="SAPBEXexcGood1" xfId="40073" xr:uid="{00000000-0005-0000-0000-0000159E0000}"/>
    <cellStyle name="SAPBEXexcGood1 10" xfId="40074" xr:uid="{00000000-0005-0000-0000-0000169E0000}"/>
    <cellStyle name="SAPBEXexcGood1 11" xfId="40075" xr:uid="{00000000-0005-0000-0000-0000179E0000}"/>
    <cellStyle name="SAPBEXexcGood1 12" xfId="40076" xr:uid="{00000000-0005-0000-0000-0000189E0000}"/>
    <cellStyle name="SAPBEXexcGood1 13" xfId="40077" xr:uid="{00000000-0005-0000-0000-0000199E0000}"/>
    <cellStyle name="SAPBEXexcGood1 14" xfId="40078" xr:uid="{00000000-0005-0000-0000-00001A9E0000}"/>
    <cellStyle name="SAPBEXexcGood1 15" xfId="40079" xr:uid="{00000000-0005-0000-0000-00001B9E0000}"/>
    <cellStyle name="SAPBEXexcGood1 16" xfId="40080" xr:uid="{00000000-0005-0000-0000-00001C9E0000}"/>
    <cellStyle name="SAPBEXexcGood1 17" xfId="40081" xr:uid="{00000000-0005-0000-0000-00001D9E0000}"/>
    <cellStyle name="SAPBEXexcGood1 18" xfId="40082" xr:uid="{00000000-0005-0000-0000-00001E9E0000}"/>
    <cellStyle name="SAPBEXexcGood1 19" xfId="40083" xr:uid="{00000000-0005-0000-0000-00001F9E0000}"/>
    <cellStyle name="SAPBEXexcGood1 2" xfId="40084" xr:uid="{00000000-0005-0000-0000-0000209E0000}"/>
    <cellStyle name="SAPBEXexcGood1 20" xfId="40085" xr:uid="{00000000-0005-0000-0000-0000219E0000}"/>
    <cellStyle name="SAPBEXexcGood1 21" xfId="40086" xr:uid="{00000000-0005-0000-0000-0000229E0000}"/>
    <cellStyle name="SAPBEXexcGood1 22" xfId="40087" xr:uid="{00000000-0005-0000-0000-0000239E0000}"/>
    <cellStyle name="SAPBEXexcGood1 23" xfId="40088" xr:uid="{00000000-0005-0000-0000-0000249E0000}"/>
    <cellStyle name="SAPBEXexcGood1 24" xfId="40089" xr:uid="{00000000-0005-0000-0000-0000259E0000}"/>
    <cellStyle name="SAPBEXexcGood1 25" xfId="40090" xr:uid="{00000000-0005-0000-0000-0000269E0000}"/>
    <cellStyle name="SAPBEXexcGood1 26" xfId="40091" xr:uid="{00000000-0005-0000-0000-0000279E0000}"/>
    <cellStyle name="SAPBEXexcGood1 27" xfId="40092" xr:uid="{00000000-0005-0000-0000-0000289E0000}"/>
    <cellStyle name="SAPBEXexcGood1 28" xfId="40093" xr:uid="{00000000-0005-0000-0000-0000299E0000}"/>
    <cellStyle name="SAPBEXexcGood1 29" xfId="40094" xr:uid="{00000000-0005-0000-0000-00002A9E0000}"/>
    <cellStyle name="SAPBEXexcGood1 3" xfId="40095" xr:uid="{00000000-0005-0000-0000-00002B9E0000}"/>
    <cellStyle name="SAPBEXexcGood1 30" xfId="40096" xr:uid="{00000000-0005-0000-0000-00002C9E0000}"/>
    <cellStyle name="SAPBEXexcGood1 31" xfId="40097" xr:uid="{00000000-0005-0000-0000-00002D9E0000}"/>
    <cellStyle name="SAPBEXexcGood1 32" xfId="40098" xr:uid="{00000000-0005-0000-0000-00002E9E0000}"/>
    <cellStyle name="SAPBEXexcGood1 4" xfId="40099" xr:uid="{00000000-0005-0000-0000-00002F9E0000}"/>
    <cellStyle name="SAPBEXexcGood1 5" xfId="40100" xr:uid="{00000000-0005-0000-0000-0000309E0000}"/>
    <cellStyle name="SAPBEXexcGood1 6" xfId="40101" xr:uid="{00000000-0005-0000-0000-0000319E0000}"/>
    <cellStyle name="SAPBEXexcGood1 7" xfId="40102" xr:uid="{00000000-0005-0000-0000-0000329E0000}"/>
    <cellStyle name="SAPBEXexcGood1 8" xfId="40103" xr:uid="{00000000-0005-0000-0000-0000339E0000}"/>
    <cellStyle name="SAPBEXexcGood1 9" xfId="40104" xr:uid="{00000000-0005-0000-0000-0000349E0000}"/>
    <cellStyle name="SAPBEXexcGood2" xfId="40105" xr:uid="{00000000-0005-0000-0000-0000359E0000}"/>
    <cellStyle name="SAPBEXexcGood2 10" xfId="40106" xr:uid="{00000000-0005-0000-0000-0000369E0000}"/>
    <cellStyle name="SAPBEXexcGood2 11" xfId="40107" xr:uid="{00000000-0005-0000-0000-0000379E0000}"/>
    <cellStyle name="SAPBEXexcGood2 12" xfId="40108" xr:uid="{00000000-0005-0000-0000-0000389E0000}"/>
    <cellStyle name="SAPBEXexcGood2 13" xfId="40109" xr:uid="{00000000-0005-0000-0000-0000399E0000}"/>
    <cellStyle name="SAPBEXexcGood2 14" xfId="40110" xr:uid="{00000000-0005-0000-0000-00003A9E0000}"/>
    <cellStyle name="SAPBEXexcGood2 15" xfId="40111" xr:uid="{00000000-0005-0000-0000-00003B9E0000}"/>
    <cellStyle name="SAPBEXexcGood2 16" xfId="40112" xr:uid="{00000000-0005-0000-0000-00003C9E0000}"/>
    <cellStyle name="SAPBEXexcGood2 17" xfId="40113" xr:uid="{00000000-0005-0000-0000-00003D9E0000}"/>
    <cellStyle name="SAPBEXexcGood2 18" xfId="40114" xr:uid="{00000000-0005-0000-0000-00003E9E0000}"/>
    <cellStyle name="SAPBEXexcGood2 19" xfId="40115" xr:uid="{00000000-0005-0000-0000-00003F9E0000}"/>
    <cellStyle name="SAPBEXexcGood2 2" xfId="40116" xr:uid="{00000000-0005-0000-0000-0000409E0000}"/>
    <cellStyle name="SAPBEXexcGood2 20" xfId="40117" xr:uid="{00000000-0005-0000-0000-0000419E0000}"/>
    <cellStyle name="SAPBEXexcGood2 21" xfId="40118" xr:uid="{00000000-0005-0000-0000-0000429E0000}"/>
    <cellStyle name="SAPBEXexcGood2 22" xfId="40119" xr:uid="{00000000-0005-0000-0000-0000439E0000}"/>
    <cellStyle name="SAPBEXexcGood2 23" xfId="40120" xr:uid="{00000000-0005-0000-0000-0000449E0000}"/>
    <cellStyle name="SAPBEXexcGood2 24" xfId="40121" xr:uid="{00000000-0005-0000-0000-0000459E0000}"/>
    <cellStyle name="SAPBEXexcGood2 25" xfId="40122" xr:uid="{00000000-0005-0000-0000-0000469E0000}"/>
    <cellStyle name="SAPBEXexcGood2 26" xfId="40123" xr:uid="{00000000-0005-0000-0000-0000479E0000}"/>
    <cellStyle name="SAPBEXexcGood2 27" xfId="40124" xr:uid="{00000000-0005-0000-0000-0000489E0000}"/>
    <cellStyle name="SAPBEXexcGood2 28" xfId="40125" xr:uid="{00000000-0005-0000-0000-0000499E0000}"/>
    <cellStyle name="SAPBEXexcGood2 29" xfId="40126" xr:uid="{00000000-0005-0000-0000-00004A9E0000}"/>
    <cellStyle name="SAPBEXexcGood2 3" xfId="40127" xr:uid="{00000000-0005-0000-0000-00004B9E0000}"/>
    <cellStyle name="SAPBEXexcGood2 30" xfId="40128" xr:uid="{00000000-0005-0000-0000-00004C9E0000}"/>
    <cellStyle name="SAPBEXexcGood2 31" xfId="40129" xr:uid="{00000000-0005-0000-0000-00004D9E0000}"/>
    <cellStyle name="SAPBEXexcGood2 32" xfId="40130" xr:uid="{00000000-0005-0000-0000-00004E9E0000}"/>
    <cellStyle name="SAPBEXexcGood2 4" xfId="40131" xr:uid="{00000000-0005-0000-0000-00004F9E0000}"/>
    <cellStyle name="SAPBEXexcGood2 5" xfId="40132" xr:uid="{00000000-0005-0000-0000-0000509E0000}"/>
    <cellStyle name="SAPBEXexcGood2 6" xfId="40133" xr:uid="{00000000-0005-0000-0000-0000519E0000}"/>
    <cellStyle name="SAPBEXexcGood2 7" xfId="40134" xr:uid="{00000000-0005-0000-0000-0000529E0000}"/>
    <cellStyle name="SAPBEXexcGood2 8" xfId="40135" xr:uid="{00000000-0005-0000-0000-0000539E0000}"/>
    <cellStyle name="SAPBEXexcGood2 9" xfId="40136" xr:uid="{00000000-0005-0000-0000-0000549E0000}"/>
    <cellStyle name="SAPBEXexcGood3" xfId="40137" xr:uid="{00000000-0005-0000-0000-0000559E0000}"/>
    <cellStyle name="SAPBEXexcGood3 10" xfId="40138" xr:uid="{00000000-0005-0000-0000-0000569E0000}"/>
    <cellStyle name="SAPBEXexcGood3 11" xfId="40139" xr:uid="{00000000-0005-0000-0000-0000579E0000}"/>
    <cellStyle name="SAPBEXexcGood3 12" xfId="40140" xr:uid="{00000000-0005-0000-0000-0000589E0000}"/>
    <cellStyle name="SAPBEXexcGood3 13" xfId="40141" xr:uid="{00000000-0005-0000-0000-0000599E0000}"/>
    <cellStyle name="SAPBEXexcGood3 14" xfId="40142" xr:uid="{00000000-0005-0000-0000-00005A9E0000}"/>
    <cellStyle name="SAPBEXexcGood3 15" xfId="40143" xr:uid="{00000000-0005-0000-0000-00005B9E0000}"/>
    <cellStyle name="SAPBEXexcGood3 16" xfId="40144" xr:uid="{00000000-0005-0000-0000-00005C9E0000}"/>
    <cellStyle name="SAPBEXexcGood3 17" xfId="40145" xr:uid="{00000000-0005-0000-0000-00005D9E0000}"/>
    <cellStyle name="SAPBEXexcGood3 18" xfId="40146" xr:uid="{00000000-0005-0000-0000-00005E9E0000}"/>
    <cellStyle name="SAPBEXexcGood3 19" xfId="40147" xr:uid="{00000000-0005-0000-0000-00005F9E0000}"/>
    <cellStyle name="SAPBEXexcGood3 2" xfId="40148" xr:uid="{00000000-0005-0000-0000-0000609E0000}"/>
    <cellStyle name="SAPBEXexcGood3 20" xfId="40149" xr:uid="{00000000-0005-0000-0000-0000619E0000}"/>
    <cellStyle name="SAPBEXexcGood3 21" xfId="40150" xr:uid="{00000000-0005-0000-0000-0000629E0000}"/>
    <cellStyle name="SAPBEXexcGood3 22" xfId="40151" xr:uid="{00000000-0005-0000-0000-0000639E0000}"/>
    <cellStyle name="SAPBEXexcGood3 23" xfId="40152" xr:uid="{00000000-0005-0000-0000-0000649E0000}"/>
    <cellStyle name="SAPBEXexcGood3 24" xfId="40153" xr:uid="{00000000-0005-0000-0000-0000659E0000}"/>
    <cellStyle name="SAPBEXexcGood3 25" xfId="40154" xr:uid="{00000000-0005-0000-0000-0000669E0000}"/>
    <cellStyle name="SAPBEXexcGood3 26" xfId="40155" xr:uid="{00000000-0005-0000-0000-0000679E0000}"/>
    <cellStyle name="SAPBEXexcGood3 27" xfId="40156" xr:uid="{00000000-0005-0000-0000-0000689E0000}"/>
    <cellStyle name="SAPBEXexcGood3 28" xfId="40157" xr:uid="{00000000-0005-0000-0000-0000699E0000}"/>
    <cellStyle name="SAPBEXexcGood3 29" xfId="40158" xr:uid="{00000000-0005-0000-0000-00006A9E0000}"/>
    <cellStyle name="SAPBEXexcGood3 3" xfId="40159" xr:uid="{00000000-0005-0000-0000-00006B9E0000}"/>
    <cellStyle name="SAPBEXexcGood3 30" xfId="40160" xr:uid="{00000000-0005-0000-0000-00006C9E0000}"/>
    <cellStyle name="SAPBEXexcGood3 31" xfId="40161" xr:uid="{00000000-0005-0000-0000-00006D9E0000}"/>
    <cellStyle name="SAPBEXexcGood3 32" xfId="40162" xr:uid="{00000000-0005-0000-0000-00006E9E0000}"/>
    <cellStyle name="SAPBEXexcGood3 4" xfId="40163" xr:uid="{00000000-0005-0000-0000-00006F9E0000}"/>
    <cellStyle name="SAPBEXexcGood3 5" xfId="40164" xr:uid="{00000000-0005-0000-0000-0000709E0000}"/>
    <cellStyle name="SAPBEXexcGood3 6" xfId="40165" xr:uid="{00000000-0005-0000-0000-0000719E0000}"/>
    <cellStyle name="SAPBEXexcGood3 7" xfId="40166" xr:uid="{00000000-0005-0000-0000-0000729E0000}"/>
    <cellStyle name="SAPBEXexcGood3 8" xfId="40167" xr:uid="{00000000-0005-0000-0000-0000739E0000}"/>
    <cellStyle name="SAPBEXexcGood3 9" xfId="40168" xr:uid="{00000000-0005-0000-0000-0000749E0000}"/>
    <cellStyle name="SAPBEXfilterDrill" xfId="40169" xr:uid="{00000000-0005-0000-0000-0000759E0000}"/>
    <cellStyle name="SAPBEXfilterDrill 2" xfId="42469" xr:uid="{00000000-0005-0000-0000-0000769E0000}"/>
    <cellStyle name="SAPBEXfilterItem" xfId="40170" xr:uid="{00000000-0005-0000-0000-0000779E0000}"/>
    <cellStyle name="SAPBEXfilterItem 2" xfId="42470" xr:uid="{00000000-0005-0000-0000-0000789E0000}"/>
    <cellStyle name="SAPBEXfilterText" xfId="40171" xr:uid="{00000000-0005-0000-0000-0000799E0000}"/>
    <cellStyle name="SAPBEXfilterText 2" xfId="42471" xr:uid="{00000000-0005-0000-0000-00007A9E0000}"/>
    <cellStyle name="SAPBEXformats" xfId="40172" xr:uid="{00000000-0005-0000-0000-00007B9E0000}"/>
    <cellStyle name="SAPBEXformats 10" xfId="40173" xr:uid="{00000000-0005-0000-0000-00007C9E0000}"/>
    <cellStyle name="SAPBEXformats 11" xfId="40174" xr:uid="{00000000-0005-0000-0000-00007D9E0000}"/>
    <cellStyle name="SAPBEXformats 12" xfId="40175" xr:uid="{00000000-0005-0000-0000-00007E9E0000}"/>
    <cellStyle name="SAPBEXformats 13" xfId="40176" xr:uid="{00000000-0005-0000-0000-00007F9E0000}"/>
    <cellStyle name="SAPBEXformats 14" xfId="40177" xr:uid="{00000000-0005-0000-0000-0000809E0000}"/>
    <cellStyle name="SAPBEXformats 15" xfId="40178" xr:uid="{00000000-0005-0000-0000-0000819E0000}"/>
    <cellStyle name="SAPBEXformats 16" xfId="40179" xr:uid="{00000000-0005-0000-0000-0000829E0000}"/>
    <cellStyle name="SAPBEXformats 17" xfId="40180" xr:uid="{00000000-0005-0000-0000-0000839E0000}"/>
    <cellStyle name="SAPBEXformats 18" xfId="40181" xr:uid="{00000000-0005-0000-0000-0000849E0000}"/>
    <cellStyle name="SAPBEXformats 19" xfId="40182" xr:uid="{00000000-0005-0000-0000-0000859E0000}"/>
    <cellStyle name="SAPBEXformats 2" xfId="40183" xr:uid="{00000000-0005-0000-0000-0000869E0000}"/>
    <cellStyle name="SAPBEXformats 20" xfId="40184" xr:uid="{00000000-0005-0000-0000-0000879E0000}"/>
    <cellStyle name="SAPBEXformats 21" xfId="40185" xr:uid="{00000000-0005-0000-0000-0000889E0000}"/>
    <cellStyle name="SAPBEXformats 22" xfId="40186" xr:uid="{00000000-0005-0000-0000-0000899E0000}"/>
    <cellStyle name="SAPBEXformats 23" xfId="40187" xr:uid="{00000000-0005-0000-0000-00008A9E0000}"/>
    <cellStyle name="SAPBEXformats 24" xfId="40188" xr:uid="{00000000-0005-0000-0000-00008B9E0000}"/>
    <cellStyle name="SAPBEXformats 25" xfId="40189" xr:uid="{00000000-0005-0000-0000-00008C9E0000}"/>
    <cellStyle name="SAPBEXformats 26" xfId="40190" xr:uid="{00000000-0005-0000-0000-00008D9E0000}"/>
    <cellStyle name="SAPBEXformats 27" xfId="40191" xr:uid="{00000000-0005-0000-0000-00008E9E0000}"/>
    <cellStyle name="SAPBEXformats 28" xfId="40192" xr:uid="{00000000-0005-0000-0000-00008F9E0000}"/>
    <cellStyle name="SAPBEXformats 29" xfId="40193" xr:uid="{00000000-0005-0000-0000-0000909E0000}"/>
    <cellStyle name="SAPBEXformats 3" xfId="40194" xr:uid="{00000000-0005-0000-0000-0000919E0000}"/>
    <cellStyle name="SAPBEXformats 30" xfId="40195" xr:uid="{00000000-0005-0000-0000-0000929E0000}"/>
    <cellStyle name="SAPBEXformats 31" xfId="40196" xr:uid="{00000000-0005-0000-0000-0000939E0000}"/>
    <cellStyle name="SAPBEXformats 32" xfId="40197" xr:uid="{00000000-0005-0000-0000-0000949E0000}"/>
    <cellStyle name="SAPBEXformats 4" xfId="40198" xr:uid="{00000000-0005-0000-0000-0000959E0000}"/>
    <cellStyle name="SAPBEXformats 5" xfId="40199" xr:uid="{00000000-0005-0000-0000-0000969E0000}"/>
    <cellStyle name="SAPBEXformats 6" xfId="40200" xr:uid="{00000000-0005-0000-0000-0000979E0000}"/>
    <cellStyle name="SAPBEXformats 7" xfId="40201" xr:uid="{00000000-0005-0000-0000-0000989E0000}"/>
    <cellStyle name="SAPBEXformats 8" xfId="40202" xr:uid="{00000000-0005-0000-0000-0000999E0000}"/>
    <cellStyle name="SAPBEXformats 9" xfId="40203" xr:uid="{00000000-0005-0000-0000-00009A9E0000}"/>
    <cellStyle name="SAPBEXheaderItem" xfId="40204" xr:uid="{00000000-0005-0000-0000-00009B9E0000}"/>
    <cellStyle name="SAPBEXheaderItem 2" xfId="40205" xr:uid="{00000000-0005-0000-0000-00009C9E0000}"/>
    <cellStyle name="SAPBEXheaderItem 3" xfId="42472" xr:uid="{00000000-0005-0000-0000-00009D9E0000}"/>
    <cellStyle name="SAPBEXheaderItem_0910 GSO Capex RRP - Final (Detail) v2 220710" xfId="40206" xr:uid="{00000000-0005-0000-0000-00009E9E0000}"/>
    <cellStyle name="SAPBEXheaderText" xfId="40207" xr:uid="{00000000-0005-0000-0000-00009F9E0000}"/>
    <cellStyle name="SAPBEXheaderText 2" xfId="40208" xr:uid="{00000000-0005-0000-0000-0000A09E0000}"/>
    <cellStyle name="SAPBEXheaderText 3" xfId="42473" xr:uid="{00000000-0005-0000-0000-0000A19E0000}"/>
    <cellStyle name="SAPBEXheaderText_0910 GSO Capex RRP - Final (Detail) v2 220710" xfId="40209" xr:uid="{00000000-0005-0000-0000-0000A29E0000}"/>
    <cellStyle name="SAPBEXHLevel0" xfId="40210" xr:uid="{00000000-0005-0000-0000-0000A39E0000}"/>
    <cellStyle name="SAPBEXHLevel0 10" xfId="40211" xr:uid="{00000000-0005-0000-0000-0000A49E0000}"/>
    <cellStyle name="SAPBEXHLevel0 11" xfId="40212" xr:uid="{00000000-0005-0000-0000-0000A59E0000}"/>
    <cellStyle name="SAPBEXHLevel0 12" xfId="40213" xr:uid="{00000000-0005-0000-0000-0000A69E0000}"/>
    <cellStyle name="SAPBEXHLevel0 13" xfId="40214" xr:uid="{00000000-0005-0000-0000-0000A79E0000}"/>
    <cellStyle name="SAPBEXHLevel0 14" xfId="40215" xr:uid="{00000000-0005-0000-0000-0000A89E0000}"/>
    <cellStyle name="SAPBEXHLevel0 15" xfId="40216" xr:uid="{00000000-0005-0000-0000-0000A99E0000}"/>
    <cellStyle name="SAPBEXHLevel0 16" xfId="40217" xr:uid="{00000000-0005-0000-0000-0000AA9E0000}"/>
    <cellStyle name="SAPBEXHLevel0 17" xfId="40218" xr:uid="{00000000-0005-0000-0000-0000AB9E0000}"/>
    <cellStyle name="SAPBEXHLevel0 18" xfId="40219" xr:uid="{00000000-0005-0000-0000-0000AC9E0000}"/>
    <cellStyle name="SAPBEXHLevel0 19" xfId="40220" xr:uid="{00000000-0005-0000-0000-0000AD9E0000}"/>
    <cellStyle name="SAPBEXHLevel0 2" xfId="40221" xr:uid="{00000000-0005-0000-0000-0000AE9E0000}"/>
    <cellStyle name="SAPBEXHLevel0 2 10" xfId="40222" xr:uid="{00000000-0005-0000-0000-0000AF9E0000}"/>
    <cellStyle name="SAPBEXHLevel0 2 11" xfId="40223" xr:uid="{00000000-0005-0000-0000-0000B09E0000}"/>
    <cellStyle name="SAPBEXHLevel0 2 12" xfId="40224" xr:uid="{00000000-0005-0000-0000-0000B19E0000}"/>
    <cellStyle name="SAPBEXHLevel0 2 13" xfId="40225" xr:uid="{00000000-0005-0000-0000-0000B29E0000}"/>
    <cellStyle name="SAPBEXHLevel0 2 14" xfId="40226" xr:uid="{00000000-0005-0000-0000-0000B39E0000}"/>
    <cellStyle name="SAPBEXHLevel0 2 15" xfId="40227" xr:uid="{00000000-0005-0000-0000-0000B49E0000}"/>
    <cellStyle name="SAPBEXHLevel0 2 16" xfId="40228" xr:uid="{00000000-0005-0000-0000-0000B59E0000}"/>
    <cellStyle name="SAPBEXHLevel0 2 17" xfId="40229" xr:uid="{00000000-0005-0000-0000-0000B69E0000}"/>
    <cellStyle name="SAPBEXHLevel0 2 18" xfId="40230" xr:uid="{00000000-0005-0000-0000-0000B79E0000}"/>
    <cellStyle name="SAPBEXHLevel0 2 19" xfId="40231" xr:uid="{00000000-0005-0000-0000-0000B89E0000}"/>
    <cellStyle name="SAPBEXHLevel0 2 2" xfId="40232" xr:uid="{00000000-0005-0000-0000-0000B99E0000}"/>
    <cellStyle name="SAPBEXHLevel0 2 20" xfId="40233" xr:uid="{00000000-0005-0000-0000-0000BA9E0000}"/>
    <cellStyle name="SAPBEXHLevel0 2 21" xfId="40234" xr:uid="{00000000-0005-0000-0000-0000BB9E0000}"/>
    <cellStyle name="SAPBEXHLevel0 2 22" xfId="40235" xr:uid="{00000000-0005-0000-0000-0000BC9E0000}"/>
    <cellStyle name="SAPBEXHLevel0 2 23" xfId="40236" xr:uid="{00000000-0005-0000-0000-0000BD9E0000}"/>
    <cellStyle name="SAPBEXHLevel0 2 24" xfId="40237" xr:uid="{00000000-0005-0000-0000-0000BE9E0000}"/>
    <cellStyle name="SAPBEXHLevel0 2 25" xfId="40238" xr:uid="{00000000-0005-0000-0000-0000BF9E0000}"/>
    <cellStyle name="SAPBEXHLevel0 2 26" xfId="40239" xr:uid="{00000000-0005-0000-0000-0000C09E0000}"/>
    <cellStyle name="SAPBEXHLevel0 2 27" xfId="40240" xr:uid="{00000000-0005-0000-0000-0000C19E0000}"/>
    <cellStyle name="SAPBEXHLevel0 2 28" xfId="40241" xr:uid="{00000000-0005-0000-0000-0000C29E0000}"/>
    <cellStyle name="SAPBEXHLevel0 2 29" xfId="40242" xr:uid="{00000000-0005-0000-0000-0000C39E0000}"/>
    <cellStyle name="SAPBEXHLevel0 2 3" xfId="40243" xr:uid="{00000000-0005-0000-0000-0000C49E0000}"/>
    <cellStyle name="SAPBEXHLevel0 2 30" xfId="40244" xr:uid="{00000000-0005-0000-0000-0000C59E0000}"/>
    <cellStyle name="SAPBEXHLevel0 2 31" xfId="40245" xr:uid="{00000000-0005-0000-0000-0000C69E0000}"/>
    <cellStyle name="SAPBEXHLevel0 2 32" xfId="40246" xr:uid="{00000000-0005-0000-0000-0000C79E0000}"/>
    <cellStyle name="SAPBEXHLevel0 2 4" xfId="40247" xr:uid="{00000000-0005-0000-0000-0000C89E0000}"/>
    <cellStyle name="SAPBEXHLevel0 2 5" xfId="40248" xr:uid="{00000000-0005-0000-0000-0000C99E0000}"/>
    <cellStyle name="SAPBEXHLevel0 2 6" xfId="40249" xr:uid="{00000000-0005-0000-0000-0000CA9E0000}"/>
    <cellStyle name="SAPBEXHLevel0 2 7" xfId="40250" xr:uid="{00000000-0005-0000-0000-0000CB9E0000}"/>
    <cellStyle name="SAPBEXHLevel0 2 8" xfId="40251" xr:uid="{00000000-0005-0000-0000-0000CC9E0000}"/>
    <cellStyle name="SAPBEXHLevel0 2 9" xfId="40252" xr:uid="{00000000-0005-0000-0000-0000CD9E0000}"/>
    <cellStyle name="SAPBEXHLevel0 20" xfId="40253" xr:uid="{00000000-0005-0000-0000-0000CE9E0000}"/>
    <cellStyle name="SAPBEXHLevel0 21" xfId="40254" xr:uid="{00000000-0005-0000-0000-0000CF9E0000}"/>
    <cellStyle name="SAPBEXHLevel0 22" xfId="40255" xr:uid="{00000000-0005-0000-0000-0000D09E0000}"/>
    <cellStyle name="SAPBEXHLevel0 23" xfId="40256" xr:uid="{00000000-0005-0000-0000-0000D19E0000}"/>
    <cellStyle name="SAPBEXHLevel0 24" xfId="40257" xr:uid="{00000000-0005-0000-0000-0000D29E0000}"/>
    <cellStyle name="SAPBEXHLevel0 25" xfId="40258" xr:uid="{00000000-0005-0000-0000-0000D39E0000}"/>
    <cellStyle name="SAPBEXHLevel0 26" xfId="40259" xr:uid="{00000000-0005-0000-0000-0000D49E0000}"/>
    <cellStyle name="SAPBEXHLevel0 27" xfId="40260" xr:uid="{00000000-0005-0000-0000-0000D59E0000}"/>
    <cellStyle name="SAPBEXHLevel0 28" xfId="40261" xr:uid="{00000000-0005-0000-0000-0000D69E0000}"/>
    <cellStyle name="SAPBEXHLevel0 29" xfId="40262" xr:uid="{00000000-0005-0000-0000-0000D79E0000}"/>
    <cellStyle name="SAPBEXHLevel0 3" xfId="40263" xr:uid="{00000000-0005-0000-0000-0000D89E0000}"/>
    <cellStyle name="SAPBEXHLevel0 30" xfId="40264" xr:uid="{00000000-0005-0000-0000-0000D99E0000}"/>
    <cellStyle name="SAPBEXHLevel0 31" xfId="40265" xr:uid="{00000000-0005-0000-0000-0000DA9E0000}"/>
    <cellStyle name="SAPBEXHLevel0 32" xfId="40266" xr:uid="{00000000-0005-0000-0000-0000DB9E0000}"/>
    <cellStyle name="SAPBEXHLevel0 33" xfId="40267" xr:uid="{00000000-0005-0000-0000-0000DC9E0000}"/>
    <cellStyle name="SAPBEXHLevel0 4" xfId="40268" xr:uid="{00000000-0005-0000-0000-0000DD9E0000}"/>
    <cellStyle name="SAPBEXHLevel0 5" xfId="40269" xr:uid="{00000000-0005-0000-0000-0000DE9E0000}"/>
    <cellStyle name="SAPBEXHLevel0 6" xfId="40270" xr:uid="{00000000-0005-0000-0000-0000DF9E0000}"/>
    <cellStyle name="SAPBEXHLevel0 7" xfId="40271" xr:uid="{00000000-0005-0000-0000-0000E09E0000}"/>
    <cellStyle name="SAPBEXHLevel0 8" xfId="40272" xr:uid="{00000000-0005-0000-0000-0000E19E0000}"/>
    <cellStyle name="SAPBEXHLevel0 9" xfId="40273" xr:uid="{00000000-0005-0000-0000-0000E29E0000}"/>
    <cellStyle name="SAPBEXHLevel0_0910 GSO Capex RRP - Final (Detail) v2 220710" xfId="40274" xr:uid="{00000000-0005-0000-0000-0000E39E0000}"/>
    <cellStyle name="SAPBEXHLevel0X" xfId="40275" xr:uid="{00000000-0005-0000-0000-0000E49E0000}"/>
    <cellStyle name="SAPBEXHLevel0X 10" xfId="40276" xr:uid="{00000000-0005-0000-0000-0000E59E0000}"/>
    <cellStyle name="SAPBEXHLevel0X 11" xfId="40277" xr:uid="{00000000-0005-0000-0000-0000E69E0000}"/>
    <cellStyle name="SAPBEXHLevel0X 12" xfId="40278" xr:uid="{00000000-0005-0000-0000-0000E79E0000}"/>
    <cellStyle name="SAPBEXHLevel0X 13" xfId="40279" xr:uid="{00000000-0005-0000-0000-0000E89E0000}"/>
    <cellStyle name="SAPBEXHLevel0X 14" xfId="40280" xr:uid="{00000000-0005-0000-0000-0000E99E0000}"/>
    <cellStyle name="SAPBEXHLevel0X 15" xfId="40281" xr:uid="{00000000-0005-0000-0000-0000EA9E0000}"/>
    <cellStyle name="SAPBEXHLevel0X 16" xfId="40282" xr:uid="{00000000-0005-0000-0000-0000EB9E0000}"/>
    <cellStyle name="SAPBEXHLevel0X 17" xfId="40283" xr:uid="{00000000-0005-0000-0000-0000EC9E0000}"/>
    <cellStyle name="SAPBEXHLevel0X 18" xfId="40284" xr:uid="{00000000-0005-0000-0000-0000ED9E0000}"/>
    <cellStyle name="SAPBEXHLevel0X 19" xfId="40285" xr:uid="{00000000-0005-0000-0000-0000EE9E0000}"/>
    <cellStyle name="SAPBEXHLevel0X 2" xfId="40286" xr:uid="{00000000-0005-0000-0000-0000EF9E0000}"/>
    <cellStyle name="SAPBEXHLevel0X 2 10" xfId="40287" xr:uid="{00000000-0005-0000-0000-0000F09E0000}"/>
    <cellStyle name="SAPBEXHLevel0X 2 11" xfId="40288" xr:uid="{00000000-0005-0000-0000-0000F19E0000}"/>
    <cellStyle name="SAPBEXHLevel0X 2 12" xfId="40289" xr:uid="{00000000-0005-0000-0000-0000F29E0000}"/>
    <cellStyle name="SAPBEXHLevel0X 2 13" xfId="40290" xr:uid="{00000000-0005-0000-0000-0000F39E0000}"/>
    <cellStyle name="SAPBEXHLevel0X 2 14" xfId="40291" xr:uid="{00000000-0005-0000-0000-0000F49E0000}"/>
    <cellStyle name="SAPBEXHLevel0X 2 15" xfId="40292" xr:uid="{00000000-0005-0000-0000-0000F59E0000}"/>
    <cellStyle name="SAPBEXHLevel0X 2 16" xfId="40293" xr:uid="{00000000-0005-0000-0000-0000F69E0000}"/>
    <cellStyle name="SAPBEXHLevel0X 2 17" xfId="40294" xr:uid="{00000000-0005-0000-0000-0000F79E0000}"/>
    <cellStyle name="SAPBEXHLevel0X 2 18" xfId="40295" xr:uid="{00000000-0005-0000-0000-0000F89E0000}"/>
    <cellStyle name="SAPBEXHLevel0X 2 19" xfId="40296" xr:uid="{00000000-0005-0000-0000-0000F99E0000}"/>
    <cellStyle name="SAPBEXHLevel0X 2 2" xfId="40297" xr:uid="{00000000-0005-0000-0000-0000FA9E0000}"/>
    <cellStyle name="SAPBEXHLevel0X 2 20" xfId="40298" xr:uid="{00000000-0005-0000-0000-0000FB9E0000}"/>
    <cellStyle name="SAPBEXHLevel0X 2 21" xfId="40299" xr:uid="{00000000-0005-0000-0000-0000FC9E0000}"/>
    <cellStyle name="SAPBEXHLevel0X 2 22" xfId="40300" xr:uid="{00000000-0005-0000-0000-0000FD9E0000}"/>
    <cellStyle name="SAPBEXHLevel0X 2 23" xfId="40301" xr:uid="{00000000-0005-0000-0000-0000FE9E0000}"/>
    <cellStyle name="SAPBEXHLevel0X 2 24" xfId="40302" xr:uid="{00000000-0005-0000-0000-0000FF9E0000}"/>
    <cellStyle name="SAPBEXHLevel0X 2 25" xfId="40303" xr:uid="{00000000-0005-0000-0000-0000009F0000}"/>
    <cellStyle name="SAPBEXHLevel0X 2 26" xfId="40304" xr:uid="{00000000-0005-0000-0000-0000019F0000}"/>
    <cellStyle name="SAPBEXHLevel0X 2 27" xfId="40305" xr:uid="{00000000-0005-0000-0000-0000029F0000}"/>
    <cellStyle name="SAPBEXHLevel0X 2 28" xfId="40306" xr:uid="{00000000-0005-0000-0000-0000039F0000}"/>
    <cellStyle name="SAPBEXHLevel0X 2 29" xfId="40307" xr:uid="{00000000-0005-0000-0000-0000049F0000}"/>
    <cellStyle name="SAPBEXHLevel0X 2 3" xfId="40308" xr:uid="{00000000-0005-0000-0000-0000059F0000}"/>
    <cellStyle name="SAPBEXHLevel0X 2 30" xfId="40309" xr:uid="{00000000-0005-0000-0000-0000069F0000}"/>
    <cellStyle name="SAPBEXHLevel0X 2 31" xfId="40310" xr:uid="{00000000-0005-0000-0000-0000079F0000}"/>
    <cellStyle name="SAPBEXHLevel0X 2 32" xfId="40311" xr:uid="{00000000-0005-0000-0000-0000089F0000}"/>
    <cellStyle name="SAPBEXHLevel0X 2 4" xfId="40312" xr:uid="{00000000-0005-0000-0000-0000099F0000}"/>
    <cellStyle name="SAPBEXHLevel0X 2 5" xfId="40313" xr:uid="{00000000-0005-0000-0000-00000A9F0000}"/>
    <cellStyle name="SAPBEXHLevel0X 2 6" xfId="40314" xr:uid="{00000000-0005-0000-0000-00000B9F0000}"/>
    <cellStyle name="SAPBEXHLevel0X 2 7" xfId="40315" xr:uid="{00000000-0005-0000-0000-00000C9F0000}"/>
    <cellStyle name="SAPBEXHLevel0X 2 8" xfId="40316" xr:uid="{00000000-0005-0000-0000-00000D9F0000}"/>
    <cellStyle name="SAPBEXHLevel0X 2 9" xfId="40317" xr:uid="{00000000-0005-0000-0000-00000E9F0000}"/>
    <cellStyle name="SAPBEXHLevel0X 20" xfId="40318" xr:uid="{00000000-0005-0000-0000-00000F9F0000}"/>
    <cellStyle name="SAPBEXHLevel0X 21" xfId="40319" xr:uid="{00000000-0005-0000-0000-0000109F0000}"/>
    <cellStyle name="SAPBEXHLevel0X 22" xfId="40320" xr:uid="{00000000-0005-0000-0000-0000119F0000}"/>
    <cellStyle name="SAPBEXHLevel0X 23" xfId="40321" xr:uid="{00000000-0005-0000-0000-0000129F0000}"/>
    <cellStyle name="SAPBEXHLevel0X 24" xfId="40322" xr:uid="{00000000-0005-0000-0000-0000139F0000}"/>
    <cellStyle name="SAPBEXHLevel0X 25" xfId="40323" xr:uid="{00000000-0005-0000-0000-0000149F0000}"/>
    <cellStyle name="SAPBEXHLevel0X 26" xfId="40324" xr:uid="{00000000-0005-0000-0000-0000159F0000}"/>
    <cellStyle name="SAPBEXHLevel0X 27" xfId="40325" xr:uid="{00000000-0005-0000-0000-0000169F0000}"/>
    <cellStyle name="SAPBEXHLevel0X 28" xfId="40326" xr:uid="{00000000-0005-0000-0000-0000179F0000}"/>
    <cellStyle name="SAPBEXHLevel0X 29" xfId="40327" xr:uid="{00000000-0005-0000-0000-0000189F0000}"/>
    <cellStyle name="SAPBEXHLevel0X 3" xfId="40328" xr:uid="{00000000-0005-0000-0000-0000199F0000}"/>
    <cellStyle name="SAPBEXHLevel0X 3 2" xfId="42414" xr:uid="{00000000-0005-0000-0000-00001A9F0000}"/>
    <cellStyle name="SAPBEXHLevel0X 3 2 2" xfId="42474" xr:uid="{00000000-0005-0000-0000-00001B9F0000}"/>
    <cellStyle name="SAPBEXHLevel0X 3 3" xfId="42415" xr:uid="{00000000-0005-0000-0000-00001C9F0000}"/>
    <cellStyle name="SAPBEXHLevel0X 3 3 2" xfId="42475" xr:uid="{00000000-0005-0000-0000-00001D9F0000}"/>
    <cellStyle name="SAPBEXHLevel0X 3 4" xfId="42416" xr:uid="{00000000-0005-0000-0000-00001E9F0000}"/>
    <cellStyle name="SAPBEXHLevel0X 3 4 2" xfId="42476" xr:uid="{00000000-0005-0000-0000-00001F9F0000}"/>
    <cellStyle name="SAPBEXHLevel0X 3 5" xfId="42417" xr:uid="{00000000-0005-0000-0000-0000209F0000}"/>
    <cellStyle name="SAPBEXHLevel0X 3 5 2" xfId="42477" xr:uid="{00000000-0005-0000-0000-0000219F0000}"/>
    <cellStyle name="SAPBEXHLevel0X 3 6" xfId="42418" xr:uid="{00000000-0005-0000-0000-0000229F0000}"/>
    <cellStyle name="SAPBEXHLevel0X 3 6 2" xfId="42478" xr:uid="{00000000-0005-0000-0000-0000239F0000}"/>
    <cellStyle name="SAPBEXHLevel0X 3 7" xfId="42419" xr:uid="{00000000-0005-0000-0000-0000249F0000}"/>
    <cellStyle name="SAPBEXHLevel0X 3 7 2" xfId="42479" xr:uid="{00000000-0005-0000-0000-0000259F0000}"/>
    <cellStyle name="SAPBEXHLevel0X 3 8" xfId="42420" xr:uid="{00000000-0005-0000-0000-0000269F0000}"/>
    <cellStyle name="SAPBEXHLevel0X 3 8 2" xfId="42480" xr:uid="{00000000-0005-0000-0000-0000279F0000}"/>
    <cellStyle name="SAPBEXHLevel0X 3 9" xfId="42481" xr:uid="{00000000-0005-0000-0000-0000289F0000}"/>
    <cellStyle name="SAPBEXHLevel0X 30" xfId="40329" xr:uid="{00000000-0005-0000-0000-0000299F0000}"/>
    <cellStyle name="SAPBEXHLevel0X 31" xfId="40330" xr:uid="{00000000-0005-0000-0000-00002A9F0000}"/>
    <cellStyle name="SAPBEXHLevel0X 32" xfId="40331" xr:uid="{00000000-0005-0000-0000-00002B9F0000}"/>
    <cellStyle name="SAPBEXHLevel0X 33" xfId="40332" xr:uid="{00000000-0005-0000-0000-00002C9F0000}"/>
    <cellStyle name="SAPBEXHLevel0X 4" xfId="40333" xr:uid="{00000000-0005-0000-0000-00002D9F0000}"/>
    <cellStyle name="SAPBEXHLevel0X 5" xfId="40334" xr:uid="{00000000-0005-0000-0000-00002E9F0000}"/>
    <cellStyle name="SAPBEXHLevel0X 6" xfId="40335" xr:uid="{00000000-0005-0000-0000-00002F9F0000}"/>
    <cellStyle name="SAPBEXHLevel0X 7" xfId="40336" xr:uid="{00000000-0005-0000-0000-0000309F0000}"/>
    <cellStyle name="SAPBEXHLevel0X 8" xfId="40337" xr:uid="{00000000-0005-0000-0000-0000319F0000}"/>
    <cellStyle name="SAPBEXHLevel0X 9" xfId="40338" xr:uid="{00000000-0005-0000-0000-0000329F0000}"/>
    <cellStyle name="SAPBEXHLevel0X_0910 GSO Capex RRP - Final (Detail) v2 220710" xfId="40339" xr:uid="{00000000-0005-0000-0000-0000339F0000}"/>
    <cellStyle name="SAPBEXHLevel1" xfId="40340" xr:uid="{00000000-0005-0000-0000-0000349F0000}"/>
    <cellStyle name="SAPBEXHLevel1 10" xfId="40341" xr:uid="{00000000-0005-0000-0000-0000359F0000}"/>
    <cellStyle name="SAPBEXHLevel1 11" xfId="40342" xr:uid="{00000000-0005-0000-0000-0000369F0000}"/>
    <cellStyle name="SAPBEXHLevel1 12" xfId="40343" xr:uid="{00000000-0005-0000-0000-0000379F0000}"/>
    <cellStyle name="SAPBEXHLevel1 13" xfId="40344" xr:uid="{00000000-0005-0000-0000-0000389F0000}"/>
    <cellStyle name="SAPBEXHLevel1 14" xfId="40345" xr:uid="{00000000-0005-0000-0000-0000399F0000}"/>
    <cellStyle name="SAPBEXHLevel1 15" xfId="40346" xr:uid="{00000000-0005-0000-0000-00003A9F0000}"/>
    <cellStyle name="SAPBEXHLevel1 16" xfId="40347" xr:uid="{00000000-0005-0000-0000-00003B9F0000}"/>
    <cellStyle name="SAPBEXHLevel1 17" xfId="40348" xr:uid="{00000000-0005-0000-0000-00003C9F0000}"/>
    <cellStyle name="SAPBEXHLevel1 18" xfId="40349" xr:uid="{00000000-0005-0000-0000-00003D9F0000}"/>
    <cellStyle name="SAPBEXHLevel1 19" xfId="40350" xr:uid="{00000000-0005-0000-0000-00003E9F0000}"/>
    <cellStyle name="SAPBEXHLevel1 2" xfId="40351" xr:uid="{00000000-0005-0000-0000-00003F9F0000}"/>
    <cellStyle name="SAPBEXHLevel1 2 10" xfId="40352" xr:uid="{00000000-0005-0000-0000-0000409F0000}"/>
    <cellStyle name="SAPBEXHLevel1 2 11" xfId="40353" xr:uid="{00000000-0005-0000-0000-0000419F0000}"/>
    <cellStyle name="SAPBEXHLevel1 2 12" xfId="40354" xr:uid="{00000000-0005-0000-0000-0000429F0000}"/>
    <cellStyle name="SAPBEXHLevel1 2 13" xfId="40355" xr:uid="{00000000-0005-0000-0000-0000439F0000}"/>
    <cellStyle name="SAPBEXHLevel1 2 14" xfId="40356" xr:uid="{00000000-0005-0000-0000-0000449F0000}"/>
    <cellStyle name="SAPBEXHLevel1 2 15" xfId="40357" xr:uid="{00000000-0005-0000-0000-0000459F0000}"/>
    <cellStyle name="SAPBEXHLevel1 2 16" xfId="40358" xr:uid="{00000000-0005-0000-0000-0000469F0000}"/>
    <cellStyle name="SAPBEXHLevel1 2 17" xfId="40359" xr:uid="{00000000-0005-0000-0000-0000479F0000}"/>
    <cellStyle name="SAPBEXHLevel1 2 18" xfId="40360" xr:uid="{00000000-0005-0000-0000-0000489F0000}"/>
    <cellStyle name="SAPBEXHLevel1 2 19" xfId="40361" xr:uid="{00000000-0005-0000-0000-0000499F0000}"/>
    <cellStyle name="SAPBEXHLevel1 2 2" xfId="40362" xr:uid="{00000000-0005-0000-0000-00004A9F0000}"/>
    <cellStyle name="SAPBEXHLevel1 2 20" xfId="40363" xr:uid="{00000000-0005-0000-0000-00004B9F0000}"/>
    <cellStyle name="SAPBEXHLevel1 2 21" xfId="40364" xr:uid="{00000000-0005-0000-0000-00004C9F0000}"/>
    <cellStyle name="SAPBEXHLevel1 2 22" xfId="40365" xr:uid="{00000000-0005-0000-0000-00004D9F0000}"/>
    <cellStyle name="SAPBEXHLevel1 2 23" xfId="40366" xr:uid="{00000000-0005-0000-0000-00004E9F0000}"/>
    <cellStyle name="SAPBEXHLevel1 2 24" xfId="40367" xr:uid="{00000000-0005-0000-0000-00004F9F0000}"/>
    <cellStyle name="SAPBEXHLevel1 2 25" xfId="40368" xr:uid="{00000000-0005-0000-0000-0000509F0000}"/>
    <cellStyle name="SAPBEXHLevel1 2 26" xfId="40369" xr:uid="{00000000-0005-0000-0000-0000519F0000}"/>
    <cellStyle name="SAPBEXHLevel1 2 27" xfId="40370" xr:uid="{00000000-0005-0000-0000-0000529F0000}"/>
    <cellStyle name="SAPBEXHLevel1 2 28" xfId="40371" xr:uid="{00000000-0005-0000-0000-0000539F0000}"/>
    <cellStyle name="SAPBEXHLevel1 2 29" xfId="40372" xr:uid="{00000000-0005-0000-0000-0000549F0000}"/>
    <cellStyle name="SAPBEXHLevel1 2 3" xfId="40373" xr:uid="{00000000-0005-0000-0000-0000559F0000}"/>
    <cellStyle name="SAPBEXHLevel1 2 30" xfId="40374" xr:uid="{00000000-0005-0000-0000-0000569F0000}"/>
    <cellStyle name="SAPBEXHLevel1 2 31" xfId="40375" xr:uid="{00000000-0005-0000-0000-0000579F0000}"/>
    <cellStyle name="SAPBEXHLevel1 2 32" xfId="40376" xr:uid="{00000000-0005-0000-0000-0000589F0000}"/>
    <cellStyle name="SAPBEXHLevel1 2 4" xfId="40377" xr:uid="{00000000-0005-0000-0000-0000599F0000}"/>
    <cellStyle name="SAPBEXHLevel1 2 5" xfId="40378" xr:uid="{00000000-0005-0000-0000-00005A9F0000}"/>
    <cellStyle name="SAPBEXHLevel1 2 6" xfId="40379" xr:uid="{00000000-0005-0000-0000-00005B9F0000}"/>
    <cellStyle name="SAPBEXHLevel1 2 7" xfId="40380" xr:uid="{00000000-0005-0000-0000-00005C9F0000}"/>
    <cellStyle name="SAPBEXHLevel1 2 8" xfId="40381" xr:uid="{00000000-0005-0000-0000-00005D9F0000}"/>
    <cellStyle name="SAPBEXHLevel1 2 9" xfId="40382" xr:uid="{00000000-0005-0000-0000-00005E9F0000}"/>
    <cellStyle name="SAPBEXHLevel1 20" xfId="40383" xr:uid="{00000000-0005-0000-0000-00005F9F0000}"/>
    <cellStyle name="SAPBEXHLevel1 21" xfId="40384" xr:uid="{00000000-0005-0000-0000-0000609F0000}"/>
    <cellStyle name="SAPBEXHLevel1 22" xfId="40385" xr:uid="{00000000-0005-0000-0000-0000619F0000}"/>
    <cellStyle name="SAPBEXHLevel1 23" xfId="40386" xr:uid="{00000000-0005-0000-0000-0000629F0000}"/>
    <cellStyle name="SAPBEXHLevel1 24" xfId="40387" xr:uid="{00000000-0005-0000-0000-0000639F0000}"/>
    <cellStyle name="SAPBEXHLevel1 25" xfId="40388" xr:uid="{00000000-0005-0000-0000-0000649F0000}"/>
    <cellStyle name="SAPBEXHLevel1 26" xfId="40389" xr:uid="{00000000-0005-0000-0000-0000659F0000}"/>
    <cellStyle name="SAPBEXHLevel1 27" xfId="40390" xr:uid="{00000000-0005-0000-0000-0000669F0000}"/>
    <cellStyle name="SAPBEXHLevel1 28" xfId="40391" xr:uid="{00000000-0005-0000-0000-0000679F0000}"/>
    <cellStyle name="SAPBEXHLevel1 29" xfId="40392" xr:uid="{00000000-0005-0000-0000-0000689F0000}"/>
    <cellStyle name="SAPBEXHLevel1 3" xfId="40393" xr:uid="{00000000-0005-0000-0000-0000699F0000}"/>
    <cellStyle name="SAPBEXHLevel1 30" xfId="40394" xr:uid="{00000000-0005-0000-0000-00006A9F0000}"/>
    <cellStyle name="SAPBEXHLevel1 31" xfId="40395" xr:uid="{00000000-0005-0000-0000-00006B9F0000}"/>
    <cellStyle name="SAPBEXHLevel1 32" xfId="40396" xr:uid="{00000000-0005-0000-0000-00006C9F0000}"/>
    <cellStyle name="SAPBEXHLevel1 33" xfId="40397" xr:uid="{00000000-0005-0000-0000-00006D9F0000}"/>
    <cellStyle name="SAPBEXHLevel1 4" xfId="40398" xr:uid="{00000000-0005-0000-0000-00006E9F0000}"/>
    <cellStyle name="SAPBEXHLevel1 5" xfId="40399" xr:uid="{00000000-0005-0000-0000-00006F9F0000}"/>
    <cellStyle name="SAPBEXHLevel1 6" xfId="40400" xr:uid="{00000000-0005-0000-0000-0000709F0000}"/>
    <cellStyle name="SAPBEXHLevel1 7" xfId="40401" xr:uid="{00000000-0005-0000-0000-0000719F0000}"/>
    <cellStyle name="SAPBEXHLevel1 8" xfId="40402" xr:uid="{00000000-0005-0000-0000-0000729F0000}"/>
    <cellStyle name="SAPBEXHLevel1 9" xfId="40403" xr:uid="{00000000-0005-0000-0000-0000739F0000}"/>
    <cellStyle name="SAPBEXHLevel1_0910 GSO Capex RRP - Final (Detail) v2 220710" xfId="40404" xr:uid="{00000000-0005-0000-0000-0000749F0000}"/>
    <cellStyle name="SAPBEXHLevel1X" xfId="40405" xr:uid="{00000000-0005-0000-0000-0000759F0000}"/>
    <cellStyle name="SAPBEXHLevel1X 10" xfId="40406" xr:uid="{00000000-0005-0000-0000-0000769F0000}"/>
    <cellStyle name="SAPBEXHLevel1X 11" xfId="40407" xr:uid="{00000000-0005-0000-0000-0000779F0000}"/>
    <cellStyle name="SAPBEXHLevel1X 12" xfId="40408" xr:uid="{00000000-0005-0000-0000-0000789F0000}"/>
    <cellStyle name="SAPBEXHLevel1X 13" xfId="40409" xr:uid="{00000000-0005-0000-0000-0000799F0000}"/>
    <cellStyle name="SAPBEXHLevel1X 14" xfId="40410" xr:uid="{00000000-0005-0000-0000-00007A9F0000}"/>
    <cellStyle name="SAPBEXHLevel1X 15" xfId="40411" xr:uid="{00000000-0005-0000-0000-00007B9F0000}"/>
    <cellStyle name="SAPBEXHLevel1X 16" xfId="40412" xr:uid="{00000000-0005-0000-0000-00007C9F0000}"/>
    <cellStyle name="SAPBEXHLevel1X 17" xfId="40413" xr:uid="{00000000-0005-0000-0000-00007D9F0000}"/>
    <cellStyle name="SAPBEXHLevel1X 18" xfId="40414" xr:uid="{00000000-0005-0000-0000-00007E9F0000}"/>
    <cellStyle name="SAPBEXHLevel1X 19" xfId="40415" xr:uid="{00000000-0005-0000-0000-00007F9F0000}"/>
    <cellStyle name="SAPBEXHLevel1X 2" xfId="40416" xr:uid="{00000000-0005-0000-0000-0000809F0000}"/>
    <cellStyle name="SAPBEXHLevel1X 2 10" xfId="40417" xr:uid="{00000000-0005-0000-0000-0000819F0000}"/>
    <cellStyle name="SAPBEXHLevel1X 2 11" xfId="40418" xr:uid="{00000000-0005-0000-0000-0000829F0000}"/>
    <cellStyle name="SAPBEXHLevel1X 2 12" xfId="40419" xr:uid="{00000000-0005-0000-0000-0000839F0000}"/>
    <cellStyle name="SAPBEXHLevel1X 2 13" xfId="40420" xr:uid="{00000000-0005-0000-0000-0000849F0000}"/>
    <cellStyle name="SAPBEXHLevel1X 2 14" xfId="40421" xr:uid="{00000000-0005-0000-0000-0000859F0000}"/>
    <cellStyle name="SAPBEXHLevel1X 2 15" xfId="40422" xr:uid="{00000000-0005-0000-0000-0000869F0000}"/>
    <cellStyle name="SAPBEXHLevel1X 2 16" xfId="40423" xr:uid="{00000000-0005-0000-0000-0000879F0000}"/>
    <cellStyle name="SAPBEXHLevel1X 2 17" xfId="40424" xr:uid="{00000000-0005-0000-0000-0000889F0000}"/>
    <cellStyle name="SAPBEXHLevel1X 2 18" xfId="40425" xr:uid="{00000000-0005-0000-0000-0000899F0000}"/>
    <cellStyle name="SAPBEXHLevel1X 2 19" xfId="40426" xr:uid="{00000000-0005-0000-0000-00008A9F0000}"/>
    <cellStyle name="SAPBEXHLevel1X 2 2" xfId="40427" xr:uid="{00000000-0005-0000-0000-00008B9F0000}"/>
    <cellStyle name="SAPBEXHLevel1X 2 20" xfId="40428" xr:uid="{00000000-0005-0000-0000-00008C9F0000}"/>
    <cellStyle name="SAPBEXHLevel1X 2 21" xfId="40429" xr:uid="{00000000-0005-0000-0000-00008D9F0000}"/>
    <cellStyle name="SAPBEXHLevel1X 2 22" xfId="40430" xr:uid="{00000000-0005-0000-0000-00008E9F0000}"/>
    <cellStyle name="SAPBEXHLevel1X 2 23" xfId="40431" xr:uid="{00000000-0005-0000-0000-00008F9F0000}"/>
    <cellStyle name="SAPBEXHLevel1X 2 24" xfId="40432" xr:uid="{00000000-0005-0000-0000-0000909F0000}"/>
    <cellStyle name="SAPBEXHLevel1X 2 25" xfId="40433" xr:uid="{00000000-0005-0000-0000-0000919F0000}"/>
    <cellStyle name="SAPBEXHLevel1X 2 26" xfId="40434" xr:uid="{00000000-0005-0000-0000-0000929F0000}"/>
    <cellStyle name="SAPBEXHLevel1X 2 27" xfId="40435" xr:uid="{00000000-0005-0000-0000-0000939F0000}"/>
    <cellStyle name="SAPBEXHLevel1X 2 28" xfId="40436" xr:uid="{00000000-0005-0000-0000-0000949F0000}"/>
    <cellStyle name="SAPBEXHLevel1X 2 29" xfId="40437" xr:uid="{00000000-0005-0000-0000-0000959F0000}"/>
    <cellStyle name="SAPBEXHLevel1X 2 3" xfId="40438" xr:uid="{00000000-0005-0000-0000-0000969F0000}"/>
    <cellStyle name="SAPBEXHLevel1X 2 30" xfId="40439" xr:uid="{00000000-0005-0000-0000-0000979F0000}"/>
    <cellStyle name="SAPBEXHLevel1X 2 31" xfId="40440" xr:uid="{00000000-0005-0000-0000-0000989F0000}"/>
    <cellStyle name="SAPBEXHLevel1X 2 32" xfId="40441" xr:uid="{00000000-0005-0000-0000-0000999F0000}"/>
    <cellStyle name="SAPBEXHLevel1X 2 4" xfId="40442" xr:uid="{00000000-0005-0000-0000-00009A9F0000}"/>
    <cellStyle name="SAPBEXHLevel1X 2 5" xfId="40443" xr:uid="{00000000-0005-0000-0000-00009B9F0000}"/>
    <cellStyle name="SAPBEXHLevel1X 2 6" xfId="40444" xr:uid="{00000000-0005-0000-0000-00009C9F0000}"/>
    <cellStyle name="SAPBEXHLevel1X 2 7" xfId="40445" xr:uid="{00000000-0005-0000-0000-00009D9F0000}"/>
    <cellStyle name="SAPBEXHLevel1X 2 8" xfId="40446" xr:uid="{00000000-0005-0000-0000-00009E9F0000}"/>
    <cellStyle name="SAPBEXHLevel1X 2 9" xfId="40447" xr:uid="{00000000-0005-0000-0000-00009F9F0000}"/>
    <cellStyle name="SAPBEXHLevel1X 20" xfId="40448" xr:uid="{00000000-0005-0000-0000-0000A09F0000}"/>
    <cellStyle name="SAPBEXHLevel1X 21" xfId="40449" xr:uid="{00000000-0005-0000-0000-0000A19F0000}"/>
    <cellStyle name="SAPBEXHLevel1X 22" xfId="40450" xr:uid="{00000000-0005-0000-0000-0000A29F0000}"/>
    <cellStyle name="SAPBEXHLevel1X 23" xfId="40451" xr:uid="{00000000-0005-0000-0000-0000A39F0000}"/>
    <cellStyle name="SAPBEXHLevel1X 24" xfId="40452" xr:uid="{00000000-0005-0000-0000-0000A49F0000}"/>
    <cellStyle name="SAPBEXHLevel1X 25" xfId="40453" xr:uid="{00000000-0005-0000-0000-0000A59F0000}"/>
    <cellStyle name="SAPBEXHLevel1X 26" xfId="40454" xr:uid="{00000000-0005-0000-0000-0000A69F0000}"/>
    <cellStyle name="SAPBEXHLevel1X 27" xfId="40455" xr:uid="{00000000-0005-0000-0000-0000A79F0000}"/>
    <cellStyle name="SAPBEXHLevel1X 28" xfId="40456" xr:uid="{00000000-0005-0000-0000-0000A89F0000}"/>
    <cellStyle name="SAPBEXHLevel1X 29" xfId="40457" xr:uid="{00000000-0005-0000-0000-0000A99F0000}"/>
    <cellStyle name="SAPBEXHLevel1X 3" xfId="40458" xr:uid="{00000000-0005-0000-0000-0000AA9F0000}"/>
    <cellStyle name="SAPBEXHLevel1X 3 2" xfId="42421" xr:uid="{00000000-0005-0000-0000-0000AB9F0000}"/>
    <cellStyle name="SAPBEXHLevel1X 3 2 2" xfId="42482" xr:uid="{00000000-0005-0000-0000-0000AC9F0000}"/>
    <cellStyle name="SAPBEXHLevel1X 3 3" xfId="42422" xr:uid="{00000000-0005-0000-0000-0000AD9F0000}"/>
    <cellStyle name="SAPBEXHLevel1X 3 3 2" xfId="42483" xr:uid="{00000000-0005-0000-0000-0000AE9F0000}"/>
    <cellStyle name="SAPBEXHLevel1X 3 4" xfId="42423" xr:uid="{00000000-0005-0000-0000-0000AF9F0000}"/>
    <cellStyle name="SAPBEXHLevel1X 3 4 2" xfId="42484" xr:uid="{00000000-0005-0000-0000-0000B09F0000}"/>
    <cellStyle name="SAPBEXHLevel1X 3 5" xfId="42424" xr:uid="{00000000-0005-0000-0000-0000B19F0000}"/>
    <cellStyle name="SAPBEXHLevel1X 3 5 2" xfId="42485" xr:uid="{00000000-0005-0000-0000-0000B29F0000}"/>
    <cellStyle name="SAPBEXHLevel1X 3 6" xfId="42425" xr:uid="{00000000-0005-0000-0000-0000B39F0000}"/>
    <cellStyle name="SAPBEXHLevel1X 3 6 2" xfId="42486" xr:uid="{00000000-0005-0000-0000-0000B49F0000}"/>
    <cellStyle name="SAPBEXHLevel1X 3 7" xfId="42426" xr:uid="{00000000-0005-0000-0000-0000B59F0000}"/>
    <cellStyle name="SAPBEXHLevel1X 3 7 2" xfId="42487" xr:uid="{00000000-0005-0000-0000-0000B69F0000}"/>
    <cellStyle name="SAPBEXHLevel1X 3 8" xfId="42427" xr:uid="{00000000-0005-0000-0000-0000B79F0000}"/>
    <cellStyle name="SAPBEXHLevel1X 3 8 2" xfId="42488" xr:uid="{00000000-0005-0000-0000-0000B89F0000}"/>
    <cellStyle name="SAPBEXHLevel1X 3 9" xfId="42489" xr:uid="{00000000-0005-0000-0000-0000B99F0000}"/>
    <cellStyle name="SAPBEXHLevel1X 30" xfId="40459" xr:uid="{00000000-0005-0000-0000-0000BA9F0000}"/>
    <cellStyle name="SAPBEXHLevel1X 31" xfId="40460" xr:uid="{00000000-0005-0000-0000-0000BB9F0000}"/>
    <cellStyle name="SAPBEXHLevel1X 32" xfId="40461" xr:uid="{00000000-0005-0000-0000-0000BC9F0000}"/>
    <cellStyle name="SAPBEXHLevel1X 33" xfId="40462" xr:uid="{00000000-0005-0000-0000-0000BD9F0000}"/>
    <cellStyle name="SAPBEXHLevel1X 4" xfId="40463" xr:uid="{00000000-0005-0000-0000-0000BE9F0000}"/>
    <cellStyle name="SAPBEXHLevel1X 5" xfId="40464" xr:uid="{00000000-0005-0000-0000-0000BF9F0000}"/>
    <cellStyle name="SAPBEXHLevel1X 6" xfId="40465" xr:uid="{00000000-0005-0000-0000-0000C09F0000}"/>
    <cellStyle name="SAPBEXHLevel1X 7" xfId="40466" xr:uid="{00000000-0005-0000-0000-0000C19F0000}"/>
    <cellStyle name="SAPBEXHLevel1X 8" xfId="40467" xr:uid="{00000000-0005-0000-0000-0000C29F0000}"/>
    <cellStyle name="SAPBEXHLevel1X 9" xfId="40468" xr:uid="{00000000-0005-0000-0000-0000C39F0000}"/>
    <cellStyle name="SAPBEXHLevel1X_0910 GSO Capex RRP - Final (Detail) v2 220710" xfId="40469" xr:uid="{00000000-0005-0000-0000-0000C49F0000}"/>
    <cellStyle name="SAPBEXHLevel2" xfId="40470" xr:uid="{00000000-0005-0000-0000-0000C59F0000}"/>
    <cellStyle name="SAPBEXHLevel2 10" xfId="40471" xr:uid="{00000000-0005-0000-0000-0000C69F0000}"/>
    <cellStyle name="SAPBEXHLevel2 11" xfId="40472" xr:uid="{00000000-0005-0000-0000-0000C79F0000}"/>
    <cellStyle name="SAPBEXHLevel2 12" xfId="40473" xr:uid="{00000000-0005-0000-0000-0000C89F0000}"/>
    <cellStyle name="SAPBEXHLevel2 13" xfId="40474" xr:uid="{00000000-0005-0000-0000-0000C99F0000}"/>
    <cellStyle name="SAPBEXHLevel2 14" xfId="40475" xr:uid="{00000000-0005-0000-0000-0000CA9F0000}"/>
    <cellStyle name="SAPBEXHLevel2 15" xfId="40476" xr:uid="{00000000-0005-0000-0000-0000CB9F0000}"/>
    <cellStyle name="SAPBEXHLevel2 16" xfId="40477" xr:uid="{00000000-0005-0000-0000-0000CC9F0000}"/>
    <cellStyle name="SAPBEXHLevel2 17" xfId="40478" xr:uid="{00000000-0005-0000-0000-0000CD9F0000}"/>
    <cellStyle name="SAPBEXHLevel2 18" xfId="40479" xr:uid="{00000000-0005-0000-0000-0000CE9F0000}"/>
    <cellStyle name="SAPBEXHLevel2 19" xfId="40480" xr:uid="{00000000-0005-0000-0000-0000CF9F0000}"/>
    <cellStyle name="SAPBEXHLevel2 2" xfId="40481" xr:uid="{00000000-0005-0000-0000-0000D09F0000}"/>
    <cellStyle name="SAPBEXHLevel2 2 10" xfId="40482" xr:uid="{00000000-0005-0000-0000-0000D19F0000}"/>
    <cellStyle name="SAPBEXHLevel2 2 11" xfId="40483" xr:uid="{00000000-0005-0000-0000-0000D29F0000}"/>
    <cellStyle name="SAPBEXHLevel2 2 12" xfId="40484" xr:uid="{00000000-0005-0000-0000-0000D39F0000}"/>
    <cellStyle name="SAPBEXHLevel2 2 13" xfId="40485" xr:uid="{00000000-0005-0000-0000-0000D49F0000}"/>
    <cellStyle name="SAPBEXHLevel2 2 14" xfId="40486" xr:uid="{00000000-0005-0000-0000-0000D59F0000}"/>
    <cellStyle name="SAPBEXHLevel2 2 15" xfId="40487" xr:uid="{00000000-0005-0000-0000-0000D69F0000}"/>
    <cellStyle name="SAPBEXHLevel2 2 16" xfId="40488" xr:uid="{00000000-0005-0000-0000-0000D79F0000}"/>
    <cellStyle name="SAPBEXHLevel2 2 17" xfId="40489" xr:uid="{00000000-0005-0000-0000-0000D89F0000}"/>
    <cellStyle name="SAPBEXHLevel2 2 18" xfId="40490" xr:uid="{00000000-0005-0000-0000-0000D99F0000}"/>
    <cellStyle name="SAPBEXHLevel2 2 19" xfId="40491" xr:uid="{00000000-0005-0000-0000-0000DA9F0000}"/>
    <cellStyle name="SAPBEXHLevel2 2 2" xfId="40492" xr:uid="{00000000-0005-0000-0000-0000DB9F0000}"/>
    <cellStyle name="SAPBEXHLevel2 2 20" xfId="40493" xr:uid="{00000000-0005-0000-0000-0000DC9F0000}"/>
    <cellStyle name="SAPBEXHLevel2 2 21" xfId="40494" xr:uid="{00000000-0005-0000-0000-0000DD9F0000}"/>
    <cellStyle name="SAPBEXHLevel2 2 22" xfId="40495" xr:uid="{00000000-0005-0000-0000-0000DE9F0000}"/>
    <cellStyle name="SAPBEXHLevel2 2 23" xfId="40496" xr:uid="{00000000-0005-0000-0000-0000DF9F0000}"/>
    <cellStyle name="SAPBEXHLevel2 2 24" xfId="40497" xr:uid="{00000000-0005-0000-0000-0000E09F0000}"/>
    <cellStyle name="SAPBEXHLevel2 2 25" xfId="40498" xr:uid="{00000000-0005-0000-0000-0000E19F0000}"/>
    <cellStyle name="SAPBEXHLevel2 2 26" xfId="40499" xr:uid="{00000000-0005-0000-0000-0000E29F0000}"/>
    <cellStyle name="SAPBEXHLevel2 2 27" xfId="40500" xr:uid="{00000000-0005-0000-0000-0000E39F0000}"/>
    <cellStyle name="SAPBEXHLevel2 2 28" xfId="40501" xr:uid="{00000000-0005-0000-0000-0000E49F0000}"/>
    <cellStyle name="SAPBEXHLevel2 2 29" xfId="40502" xr:uid="{00000000-0005-0000-0000-0000E59F0000}"/>
    <cellStyle name="SAPBEXHLevel2 2 3" xfId="40503" xr:uid="{00000000-0005-0000-0000-0000E69F0000}"/>
    <cellStyle name="SAPBEXHLevel2 2 30" xfId="40504" xr:uid="{00000000-0005-0000-0000-0000E79F0000}"/>
    <cellStyle name="SAPBEXHLevel2 2 31" xfId="40505" xr:uid="{00000000-0005-0000-0000-0000E89F0000}"/>
    <cellStyle name="SAPBEXHLevel2 2 32" xfId="40506" xr:uid="{00000000-0005-0000-0000-0000E99F0000}"/>
    <cellStyle name="SAPBEXHLevel2 2 4" xfId="40507" xr:uid="{00000000-0005-0000-0000-0000EA9F0000}"/>
    <cellStyle name="SAPBEXHLevel2 2 5" xfId="40508" xr:uid="{00000000-0005-0000-0000-0000EB9F0000}"/>
    <cellStyle name="SAPBEXHLevel2 2 6" xfId="40509" xr:uid="{00000000-0005-0000-0000-0000EC9F0000}"/>
    <cellStyle name="SAPBEXHLevel2 2 7" xfId="40510" xr:uid="{00000000-0005-0000-0000-0000ED9F0000}"/>
    <cellStyle name="SAPBEXHLevel2 2 8" xfId="40511" xr:uid="{00000000-0005-0000-0000-0000EE9F0000}"/>
    <cellStyle name="SAPBEXHLevel2 2 9" xfId="40512" xr:uid="{00000000-0005-0000-0000-0000EF9F0000}"/>
    <cellStyle name="SAPBEXHLevel2 20" xfId="40513" xr:uid="{00000000-0005-0000-0000-0000F09F0000}"/>
    <cellStyle name="SAPBEXHLevel2 21" xfId="40514" xr:uid="{00000000-0005-0000-0000-0000F19F0000}"/>
    <cellStyle name="SAPBEXHLevel2 22" xfId="40515" xr:uid="{00000000-0005-0000-0000-0000F29F0000}"/>
    <cellStyle name="SAPBEXHLevel2 23" xfId="40516" xr:uid="{00000000-0005-0000-0000-0000F39F0000}"/>
    <cellStyle name="SAPBEXHLevel2 24" xfId="40517" xr:uid="{00000000-0005-0000-0000-0000F49F0000}"/>
    <cellStyle name="SAPBEXHLevel2 25" xfId="40518" xr:uid="{00000000-0005-0000-0000-0000F59F0000}"/>
    <cellStyle name="SAPBEXHLevel2 26" xfId="40519" xr:uid="{00000000-0005-0000-0000-0000F69F0000}"/>
    <cellStyle name="SAPBEXHLevel2 27" xfId="40520" xr:uid="{00000000-0005-0000-0000-0000F79F0000}"/>
    <cellStyle name="SAPBEXHLevel2 28" xfId="40521" xr:uid="{00000000-0005-0000-0000-0000F89F0000}"/>
    <cellStyle name="SAPBEXHLevel2 29" xfId="40522" xr:uid="{00000000-0005-0000-0000-0000F99F0000}"/>
    <cellStyle name="SAPBEXHLevel2 3" xfId="40523" xr:uid="{00000000-0005-0000-0000-0000FA9F0000}"/>
    <cellStyle name="SAPBEXHLevel2 30" xfId="40524" xr:uid="{00000000-0005-0000-0000-0000FB9F0000}"/>
    <cellStyle name="SAPBEXHLevel2 31" xfId="40525" xr:uid="{00000000-0005-0000-0000-0000FC9F0000}"/>
    <cellStyle name="SAPBEXHLevel2 32" xfId="40526" xr:uid="{00000000-0005-0000-0000-0000FD9F0000}"/>
    <cellStyle name="SAPBEXHLevel2 33" xfId="40527" xr:uid="{00000000-0005-0000-0000-0000FE9F0000}"/>
    <cellStyle name="SAPBEXHLevel2 4" xfId="40528" xr:uid="{00000000-0005-0000-0000-0000FF9F0000}"/>
    <cellStyle name="SAPBEXHLevel2 5" xfId="40529" xr:uid="{00000000-0005-0000-0000-000000A00000}"/>
    <cellStyle name="SAPBEXHLevel2 6" xfId="40530" xr:uid="{00000000-0005-0000-0000-000001A00000}"/>
    <cellStyle name="SAPBEXHLevel2 7" xfId="40531" xr:uid="{00000000-0005-0000-0000-000002A00000}"/>
    <cellStyle name="SAPBEXHLevel2 8" xfId="40532" xr:uid="{00000000-0005-0000-0000-000003A00000}"/>
    <cellStyle name="SAPBEXHLevel2 9" xfId="40533" xr:uid="{00000000-0005-0000-0000-000004A00000}"/>
    <cellStyle name="SAPBEXHLevel2_0910 GSO Capex RRP - Final (Detail) v2 220710" xfId="40534" xr:uid="{00000000-0005-0000-0000-000005A00000}"/>
    <cellStyle name="SAPBEXHLevel2X" xfId="40535" xr:uid="{00000000-0005-0000-0000-000006A00000}"/>
    <cellStyle name="SAPBEXHLevel2X 10" xfId="40536" xr:uid="{00000000-0005-0000-0000-000007A00000}"/>
    <cellStyle name="SAPBEXHLevel2X 11" xfId="40537" xr:uid="{00000000-0005-0000-0000-000008A00000}"/>
    <cellStyle name="SAPBEXHLevel2X 12" xfId="40538" xr:uid="{00000000-0005-0000-0000-000009A00000}"/>
    <cellStyle name="SAPBEXHLevel2X 13" xfId="40539" xr:uid="{00000000-0005-0000-0000-00000AA00000}"/>
    <cellStyle name="SAPBEXHLevel2X 14" xfId="40540" xr:uid="{00000000-0005-0000-0000-00000BA00000}"/>
    <cellStyle name="SAPBEXHLevel2X 15" xfId="40541" xr:uid="{00000000-0005-0000-0000-00000CA00000}"/>
    <cellStyle name="SAPBEXHLevel2X 16" xfId="40542" xr:uid="{00000000-0005-0000-0000-00000DA00000}"/>
    <cellStyle name="SAPBEXHLevel2X 17" xfId="40543" xr:uid="{00000000-0005-0000-0000-00000EA00000}"/>
    <cellStyle name="SAPBEXHLevel2X 18" xfId="40544" xr:uid="{00000000-0005-0000-0000-00000FA00000}"/>
    <cellStyle name="SAPBEXHLevel2X 19" xfId="40545" xr:uid="{00000000-0005-0000-0000-000010A00000}"/>
    <cellStyle name="SAPBEXHLevel2X 2" xfId="40546" xr:uid="{00000000-0005-0000-0000-000011A00000}"/>
    <cellStyle name="SAPBEXHLevel2X 2 10" xfId="40547" xr:uid="{00000000-0005-0000-0000-000012A00000}"/>
    <cellStyle name="SAPBEXHLevel2X 2 11" xfId="40548" xr:uid="{00000000-0005-0000-0000-000013A00000}"/>
    <cellStyle name="SAPBEXHLevel2X 2 12" xfId="40549" xr:uid="{00000000-0005-0000-0000-000014A00000}"/>
    <cellStyle name="SAPBEXHLevel2X 2 13" xfId="40550" xr:uid="{00000000-0005-0000-0000-000015A00000}"/>
    <cellStyle name="SAPBEXHLevel2X 2 14" xfId="40551" xr:uid="{00000000-0005-0000-0000-000016A00000}"/>
    <cellStyle name="SAPBEXHLevel2X 2 15" xfId="40552" xr:uid="{00000000-0005-0000-0000-000017A00000}"/>
    <cellStyle name="SAPBEXHLevel2X 2 16" xfId="40553" xr:uid="{00000000-0005-0000-0000-000018A00000}"/>
    <cellStyle name="SAPBEXHLevel2X 2 17" xfId="40554" xr:uid="{00000000-0005-0000-0000-000019A00000}"/>
    <cellStyle name="SAPBEXHLevel2X 2 18" xfId="40555" xr:uid="{00000000-0005-0000-0000-00001AA00000}"/>
    <cellStyle name="SAPBEXHLevel2X 2 19" xfId="40556" xr:uid="{00000000-0005-0000-0000-00001BA00000}"/>
    <cellStyle name="SAPBEXHLevel2X 2 2" xfId="40557" xr:uid="{00000000-0005-0000-0000-00001CA00000}"/>
    <cellStyle name="SAPBEXHLevel2X 2 20" xfId="40558" xr:uid="{00000000-0005-0000-0000-00001DA00000}"/>
    <cellStyle name="SAPBEXHLevel2X 2 21" xfId="40559" xr:uid="{00000000-0005-0000-0000-00001EA00000}"/>
    <cellStyle name="SAPBEXHLevel2X 2 22" xfId="40560" xr:uid="{00000000-0005-0000-0000-00001FA00000}"/>
    <cellStyle name="SAPBEXHLevel2X 2 23" xfId="40561" xr:uid="{00000000-0005-0000-0000-000020A00000}"/>
    <cellStyle name="SAPBEXHLevel2X 2 24" xfId="40562" xr:uid="{00000000-0005-0000-0000-000021A00000}"/>
    <cellStyle name="SAPBEXHLevel2X 2 25" xfId="40563" xr:uid="{00000000-0005-0000-0000-000022A00000}"/>
    <cellStyle name="SAPBEXHLevel2X 2 26" xfId="40564" xr:uid="{00000000-0005-0000-0000-000023A00000}"/>
    <cellStyle name="SAPBEXHLevel2X 2 27" xfId="40565" xr:uid="{00000000-0005-0000-0000-000024A00000}"/>
    <cellStyle name="SAPBEXHLevel2X 2 28" xfId="40566" xr:uid="{00000000-0005-0000-0000-000025A00000}"/>
    <cellStyle name="SAPBEXHLevel2X 2 29" xfId="40567" xr:uid="{00000000-0005-0000-0000-000026A00000}"/>
    <cellStyle name="SAPBEXHLevel2X 2 3" xfId="40568" xr:uid="{00000000-0005-0000-0000-000027A00000}"/>
    <cellStyle name="SAPBEXHLevel2X 2 30" xfId="40569" xr:uid="{00000000-0005-0000-0000-000028A00000}"/>
    <cellStyle name="SAPBEXHLevel2X 2 31" xfId="40570" xr:uid="{00000000-0005-0000-0000-000029A00000}"/>
    <cellStyle name="SAPBEXHLevel2X 2 32" xfId="40571" xr:uid="{00000000-0005-0000-0000-00002AA00000}"/>
    <cellStyle name="SAPBEXHLevel2X 2 4" xfId="40572" xr:uid="{00000000-0005-0000-0000-00002BA00000}"/>
    <cellStyle name="SAPBEXHLevel2X 2 5" xfId="40573" xr:uid="{00000000-0005-0000-0000-00002CA00000}"/>
    <cellStyle name="SAPBEXHLevel2X 2 6" xfId="40574" xr:uid="{00000000-0005-0000-0000-00002DA00000}"/>
    <cellStyle name="SAPBEXHLevel2X 2 7" xfId="40575" xr:uid="{00000000-0005-0000-0000-00002EA00000}"/>
    <cellStyle name="SAPBEXHLevel2X 2 8" xfId="40576" xr:uid="{00000000-0005-0000-0000-00002FA00000}"/>
    <cellStyle name="SAPBEXHLevel2X 2 9" xfId="40577" xr:uid="{00000000-0005-0000-0000-000030A00000}"/>
    <cellStyle name="SAPBEXHLevel2X 20" xfId="40578" xr:uid="{00000000-0005-0000-0000-000031A00000}"/>
    <cellStyle name="SAPBEXHLevel2X 21" xfId="40579" xr:uid="{00000000-0005-0000-0000-000032A00000}"/>
    <cellStyle name="SAPBEXHLevel2X 22" xfId="40580" xr:uid="{00000000-0005-0000-0000-000033A00000}"/>
    <cellStyle name="SAPBEXHLevel2X 23" xfId="40581" xr:uid="{00000000-0005-0000-0000-000034A00000}"/>
    <cellStyle name="SAPBEXHLevel2X 24" xfId="40582" xr:uid="{00000000-0005-0000-0000-000035A00000}"/>
    <cellStyle name="SAPBEXHLevel2X 25" xfId="40583" xr:uid="{00000000-0005-0000-0000-000036A00000}"/>
    <cellStyle name="SAPBEXHLevel2X 26" xfId="40584" xr:uid="{00000000-0005-0000-0000-000037A00000}"/>
    <cellStyle name="SAPBEXHLevel2X 27" xfId="40585" xr:uid="{00000000-0005-0000-0000-000038A00000}"/>
    <cellStyle name="SAPBEXHLevel2X 28" xfId="40586" xr:uid="{00000000-0005-0000-0000-000039A00000}"/>
    <cellStyle name="SAPBEXHLevel2X 29" xfId="40587" xr:uid="{00000000-0005-0000-0000-00003AA00000}"/>
    <cellStyle name="SAPBEXHLevel2X 3" xfId="40588" xr:uid="{00000000-0005-0000-0000-00003BA00000}"/>
    <cellStyle name="SAPBEXHLevel2X 3 2" xfId="42428" xr:uid="{00000000-0005-0000-0000-00003CA00000}"/>
    <cellStyle name="SAPBEXHLevel2X 3 2 2" xfId="42490" xr:uid="{00000000-0005-0000-0000-00003DA00000}"/>
    <cellStyle name="SAPBEXHLevel2X 3 3" xfId="42429" xr:uid="{00000000-0005-0000-0000-00003EA00000}"/>
    <cellStyle name="SAPBEXHLevel2X 3 3 2" xfId="42491" xr:uid="{00000000-0005-0000-0000-00003FA00000}"/>
    <cellStyle name="SAPBEXHLevel2X 3 4" xfId="42430" xr:uid="{00000000-0005-0000-0000-000040A00000}"/>
    <cellStyle name="SAPBEXHLevel2X 3 4 2" xfId="42492" xr:uid="{00000000-0005-0000-0000-000041A00000}"/>
    <cellStyle name="SAPBEXHLevel2X 3 5" xfId="42431" xr:uid="{00000000-0005-0000-0000-000042A00000}"/>
    <cellStyle name="SAPBEXHLevel2X 3 5 2" xfId="42493" xr:uid="{00000000-0005-0000-0000-000043A00000}"/>
    <cellStyle name="SAPBEXHLevel2X 3 6" xfId="42432" xr:uid="{00000000-0005-0000-0000-000044A00000}"/>
    <cellStyle name="SAPBEXHLevel2X 3 6 2" xfId="42494" xr:uid="{00000000-0005-0000-0000-000045A00000}"/>
    <cellStyle name="SAPBEXHLevel2X 3 7" xfId="42433" xr:uid="{00000000-0005-0000-0000-000046A00000}"/>
    <cellStyle name="SAPBEXHLevel2X 3 7 2" xfId="42495" xr:uid="{00000000-0005-0000-0000-000047A00000}"/>
    <cellStyle name="SAPBEXHLevel2X 3 8" xfId="42434" xr:uid="{00000000-0005-0000-0000-000048A00000}"/>
    <cellStyle name="SAPBEXHLevel2X 3 8 2" xfId="42496" xr:uid="{00000000-0005-0000-0000-000049A00000}"/>
    <cellStyle name="SAPBEXHLevel2X 3 9" xfId="42497" xr:uid="{00000000-0005-0000-0000-00004AA00000}"/>
    <cellStyle name="SAPBEXHLevel2X 30" xfId="40589" xr:uid="{00000000-0005-0000-0000-00004BA00000}"/>
    <cellStyle name="SAPBEXHLevel2X 31" xfId="40590" xr:uid="{00000000-0005-0000-0000-00004CA00000}"/>
    <cellStyle name="SAPBEXHLevel2X 32" xfId="40591" xr:uid="{00000000-0005-0000-0000-00004DA00000}"/>
    <cellStyle name="SAPBEXHLevel2X 33" xfId="40592" xr:uid="{00000000-0005-0000-0000-00004EA00000}"/>
    <cellStyle name="SAPBEXHLevel2X 4" xfId="40593" xr:uid="{00000000-0005-0000-0000-00004FA00000}"/>
    <cellStyle name="SAPBEXHLevel2X 5" xfId="40594" xr:uid="{00000000-0005-0000-0000-000050A00000}"/>
    <cellStyle name="SAPBEXHLevel2X 6" xfId="40595" xr:uid="{00000000-0005-0000-0000-000051A00000}"/>
    <cellStyle name="SAPBEXHLevel2X 7" xfId="40596" xr:uid="{00000000-0005-0000-0000-000052A00000}"/>
    <cellStyle name="SAPBEXHLevel2X 8" xfId="40597" xr:uid="{00000000-0005-0000-0000-000053A00000}"/>
    <cellStyle name="SAPBEXHLevel2X 9" xfId="40598" xr:uid="{00000000-0005-0000-0000-000054A00000}"/>
    <cellStyle name="SAPBEXHLevel2X_0910 GSO Capex RRP - Final (Detail) v2 220710" xfId="40599" xr:uid="{00000000-0005-0000-0000-000055A00000}"/>
    <cellStyle name="SAPBEXHLevel3" xfId="40600" xr:uid="{00000000-0005-0000-0000-000056A00000}"/>
    <cellStyle name="SAPBEXHLevel3 10" xfId="40601" xr:uid="{00000000-0005-0000-0000-000057A00000}"/>
    <cellStyle name="SAPBEXHLevel3 11" xfId="40602" xr:uid="{00000000-0005-0000-0000-000058A00000}"/>
    <cellStyle name="SAPBEXHLevel3 12" xfId="40603" xr:uid="{00000000-0005-0000-0000-000059A00000}"/>
    <cellStyle name="SAPBEXHLevel3 13" xfId="40604" xr:uid="{00000000-0005-0000-0000-00005AA00000}"/>
    <cellStyle name="SAPBEXHLevel3 14" xfId="40605" xr:uid="{00000000-0005-0000-0000-00005BA00000}"/>
    <cellStyle name="SAPBEXHLevel3 15" xfId="40606" xr:uid="{00000000-0005-0000-0000-00005CA00000}"/>
    <cellStyle name="SAPBEXHLevel3 16" xfId="40607" xr:uid="{00000000-0005-0000-0000-00005DA00000}"/>
    <cellStyle name="SAPBEXHLevel3 17" xfId="40608" xr:uid="{00000000-0005-0000-0000-00005EA00000}"/>
    <cellStyle name="SAPBEXHLevel3 18" xfId="40609" xr:uid="{00000000-0005-0000-0000-00005FA00000}"/>
    <cellStyle name="SAPBEXHLevel3 19" xfId="40610" xr:uid="{00000000-0005-0000-0000-000060A00000}"/>
    <cellStyle name="SAPBEXHLevel3 2" xfId="40611" xr:uid="{00000000-0005-0000-0000-000061A00000}"/>
    <cellStyle name="SAPBEXHLevel3 2 10" xfId="40612" xr:uid="{00000000-0005-0000-0000-000062A00000}"/>
    <cellStyle name="SAPBEXHLevel3 2 11" xfId="40613" xr:uid="{00000000-0005-0000-0000-000063A00000}"/>
    <cellStyle name="SAPBEXHLevel3 2 12" xfId="40614" xr:uid="{00000000-0005-0000-0000-000064A00000}"/>
    <cellStyle name="SAPBEXHLevel3 2 13" xfId="40615" xr:uid="{00000000-0005-0000-0000-000065A00000}"/>
    <cellStyle name="SAPBEXHLevel3 2 14" xfId="40616" xr:uid="{00000000-0005-0000-0000-000066A00000}"/>
    <cellStyle name="SAPBEXHLevel3 2 15" xfId="40617" xr:uid="{00000000-0005-0000-0000-000067A00000}"/>
    <cellStyle name="SAPBEXHLevel3 2 16" xfId="40618" xr:uid="{00000000-0005-0000-0000-000068A00000}"/>
    <cellStyle name="SAPBEXHLevel3 2 17" xfId="40619" xr:uid="{00000000-0005-0000-0000-000069A00000}"/>
    <cellStyle name="SAPBEXHLevel3 2 18" xfId="40620" xr:uid="{00000000-0005-0000-0000-00006AA00000}"/>
    <cellStyle name="SAPBEXHLevel3 2 19" xfId="40621" xr:uid="{00000000-0005-0000-0000-00006BA00000}"/>
    <cellStyle name="SAPBEXHLevel3 2 2" xfId="40622" xr:uid="{00000000-0005-0000-0000-00006CA00000}"/>
    <cellStyle name="SAPBEXHLevel3 2 20" xfId="40623" xr:uid="{00000000-0005-0000-0000-00006DA00000}"/>
    <cellStyle name="SAPBEXHLevel3 2 21" xfId="40624" xr:uid="{00000000-0005-0000-0000-00006EA00000}"/>
    <cellStyle name="SAPBEXHLevel3 2 22" xfId="40625" xr:uid="{00000000-0005-0000-0000-00006FA00000}"/>
    <cellStyle name="SAPBEXHLevel3 2 23" xfId="40626" xr:uid="{00000000-0005-0000-0000-000070A00000}"/>
    <cellStyle name="SAPBEXHLevel3 2 24" xfId="40627" xr:uid="{00000000-0005-0000-0000-000071A00000}"/>
    <cellStyle name="SAPBEXHLevel3 2 25" xfId="40628" xr:uid="{00000000-0005-0000-0000-000072A00000}"/>
    <cellStyle name="SAPBEXHLevel3 2 26" xfId="40629" xr:uid="{00000000-0005-0000-0000-000073A00000}"/>
    <cellStyle name="SAPBEXHLevel3 2 27" xfId="40630" xr:uid="{00000000-0005-0000-0000-000074A00000}"/>
    <cellStyle name="SAPBEXHLevel3 2 28" xfId="40631" xr:uid="{00000000-0005-0000-0000-000075A00000}"/>
    <cellStyle name="SAPBEXHLevel3 2 29" xfId="40632" xr:uid="{00000000-0005-0000-0000-000076A00000}"/>
    <cellStyle name="SAPBEXHLevel3 2 3" xfId="40633" xr:uid="{00000000-0005-0000-0000-000077A00000}"/>
    <cellStyle name="SAPBEXHLevel3 2 30" xfId="40634" xr:uid="{00000000-0005-0000-0000-000078A00000}"/>
    <cellStyle name="SAPBEXHLevel3 2 31" xfId="40635" xr:uid="{00000000-0005-0000-0000-000079A00000}"/>
    <cellStyle name="SAPBEXHLevel3 2 32" xfId="40636" xr:uid="{00000000-0005-0000-0000-00007AA00000}"/>
    <cellStyle name="SAPBEXHLevel3 2 4" xfId="40637" xr:uid="{00000000-0005-0000-0000-00007BA00000}"/>
    <cellStyle name="SAPBEXHLevel3 2 5" xfId="40638" xr:uid="{00000000-0005-0000-0000-00007CA00000}"/>
    <cellStyle name="SAPBEXHLevel3 2 6" xfId="40639" xr:uid="{00000000-0005-0000-0000-00007DA00000}"/>
    <cellStyle name="SAPBEXHLevel3 2 7" xfId="40640" xr:uid="{00000000-0005-0000-0000-00007EA00000}"/>
    <cellStyle name="SAPBEXHLevel3 2 8" xfId="40641" xr:uid="{00000000-0005-0000-0000-00007FA00000}"/>
    <cellStyle name="SAPBEXHLevel3 2 9" xfId="40642" xr:uid="{00000000-0005-0000-0000-000080A00000}"/>
    <cellStyle name="SAPBEXHLevel3 20" xfId="40643" xr:uid="{00000000-0005-0000-0000-000081A00000}"/>
    <cellStyle name="SAPBEXHLevel3 21" xfId="40644" xr:uid="{00000000-0005-0000-0000-000082A00000}"/>
    <cellStyle name="SAPBEXHLevel3 22" xfId="40645" xr:uid="{00000000-0005-0000-0000-000083A00000}"/>
    <cellStyle name="SAPBEXHLevel3 23" xfId="40646" xr:uid="{00000000-0005-0000-0000-000084A00000}"/>
    <cellStyle name="SAPBEXHLevel3 24" xfId="40647" xr:uid="{00000000-0005-0000-0000-000085A00000}"/>
    <cellStyle name="SAPBEXHLevel3 25" xfId="40648" xr:uid="{00000000-0005-0000-0000-000086A00000}"/>
    <cellStyle name="SAPBEXHLevel3 26" xfId="40649" xr:uid="{00000000-0005-0000-0000-000087A00000}"/>
    <cellStyle name="SAPBEXHLevel3 27" xfId="40650" xr:uid="{00000000-0005-0000-0000-000088A00000}"/>
    <cellStyle name="SAPBEXHLevel3 28" xfId="40651" xr:uid="{00000000-0005-0000-0000-000089A00000}"/>
    <cellStyle name="SAPBEXHLevel3 29" xfId="40652" xr:uid="{00000000-0005-0000-0000-00008AA00000}"/>
    <cellStyle name="SAPBEXHLevel3 3" xfId="40653" xr:uid="{00000000-0005-0000-0000-00008BA00000}"/>
    <cellStyle name="SAPBEXHLevel3 30" xfId="40654" xr:uid="{00000000-0005-0000-0000-00008CA00000}"/>
    <cellStyle name="SAPBEXHLevel3 31" xfId="40655" xr:uid="{00000000-0005-0000-0000-00008DA00000}"/>
    <cellStyle name="SAPBEXHLevel3 32" xfId="40656" xr:uid="{00000000-0005-0000-0000-00008EA00000}"/>
    <cellStyle name="SAPBEXHLevel3 33" xfId="40657" xr:uid="{00000000-0005-0000-0000-00008FA00000}"/>
    <cellStyle name="SAPBEXHLevel3 4" xfId="40658" xr:uid="{00000000-0005-0000-0000-000090A00000}"/>
    <cellStyle name="SAPBEXHLevel3 5" xfId="40659" xr:uid="{00000000-0005-0000-0000-000091A00000}"/>
    <cellStyle name="SAPBEXHLevel3 6" xfId="40660" xr:uid="{00000000-0005-0000-0000-000092A00000}"/>
    <cellStyle name="SAPBEXHLevel3 7" xfId="40661" xr:uid="{00000000-0005-0000-0000-000093A00000}"/>
    <cellStyle name="SAPBEXHLevel3 8" xfId="40662" xr:uid="{00000000-0005-0000-0000-000094A00000}"/>
    <cellStyle name="SAPBEXHLevel3 9" xfId="40663" xr:uid="{00000000-0005-0000-0000-000095A00000}"/>
    <cellStyle name="SAPBEXHLevel3_0910 GSO Capex RRP - Final (Detail) v2 220710" xfId="40664" xr:uid="{00000000-0005-0000-0000-000096A00000}"/>
    <cellStyle name="SAPBEXHLevel3X" xfId="40665" xr:uid="{00000000-0005-0000-0000-000097A00000}"/>
    <cellStyle name="SAPBEXHLevel3X 10" xfId="40666" xr:uid="{00000000-0005-0000-0000-000098A00000}"/>
    <cellStyle name="SAPBEXHLevel3X 11" xfId="40667" xr:uid="{00000000-0005-0000-0000-000099A00000}"/>
    <cellStyle name="SAPBEXHLevel3X 12" xfId="40668" xr:uid="{00000000-0005-0000-0000-00009AA00000}"/>
    <cellStyle name="SAPBEXHLevel3X 13" xfId="40669" xr:uid="{00000000-0005-0000-0000-00009BA00000}"/>
    <cellStyle name="SAPBEXHLevel3X 14" xfId="40670" xr:uid="{00000000-0005-0000-0000-00009CA00000}"/>
    <cellStyle name="SAPBEXHLevel3X 15" xfId="40671" xr:uid="{00000000-0005-0000-0000-00009DA00000}"/>
    <cellStyle name="SAPBEXHLevel3X 16" xfId="40672" xr:uid="{00000000-0005-0000-0000-00009EA00000}"/>
    <cellStyle name="SAPBEXHLevel3X 17" xfId="40673" xr:uid="{00000000-0005-0000-0000-00009FA00000}"/>
    <cellStyle name="SAPBEXHLevel3X 18" xfId="40674" xr:uid="{00000000-0005-0000-0000-0000A0A00000}"/>
    <cellStyle name="SAPBEXHLevel3X 19" xfId="40675" xr:uid="{00000000-0005-0000-0000-0000A1A00000}"/>
    <cellStyle name="SAPBEXHLevel3X 2" xfId="40676" xr:uid="{00000000-0005-0000-0000-0000A2A00000}"/>
    <cellStyle name="SAPBEXHLevel3X 2 10" xfId="40677" xr:uid="{00000000-0005-0000-0000-0000A3A00000}"/>
    <cellStyle name="SAPBEXHLevel3X 2 11" xfId="40678" xr:uid="{00000000-0005-0000-0000-0000A4A00000}"/>
    <cellStyle name="SAPBEXHLevel3X 2 12" xfId="40679" xr:uid="{00000000-0005-0000-0000-0000A5A00000}"/>
    <cellStyle name="SAPBEXHLevel3X 2 13" xfId="40680" xr:uid="{00000000-0005-0000-0000-0000A6A00000}"/>
    <cellStyle name="SAPBEXHLevel3X 2 14" xfId="40681" xr:uid="{00000000-0005-0000-0000-0000A7A00000}"/>
    <cellStyle name="SAPBEXHLevel3X 2 15" xfId="40682" xr:uid="{00000000-0005-0000-0000-0000A8A00000}"/>
    <cellStyle name="SAPBEXHLevel3X 2 16" xfId="40683" xr:uid="{00000000-0005-0000-0000-0000A9A00000}"/>
    <cellStyle name="SAPBEXHLevel3X 2 17" xfId="40684" xr:uid="{00000000-0005-0000-0000-0000AAA00000}"/>
    <cellStyle name="SAPBEXHLevel3X 2 18" xfId="40685" xr:uid="{00000000-0005-0000-0000-0000ABA00000}"/>
    <cellStyle name="SAPBEXHLevel3X 2 19" xfId="40686" xr:uid="{00000000-0005-0000-0000-0000ACA00000}"/>
    <cellStyle name="SAPBEXHLevel3X 2 2" xfId="40687" xr:uid="{00000000-0005-0000-0000-0000ADA00000}"/>
    <cellStyle name="SAPBEXHLevel3X 2 20" xfId="40688" xr:uid="{00000000-0005-0000-0000-0000AEA00000}"/>
    <cellStyle name="SAPBEXHLevel3X 2 21" xfId="40689" xr:uid="{00000000-0005-0000-0000-0000AFA00000}"/>
    <cellStyle name="SAPBEXHLevel3X 2 22" xfId="40690" xr:uid="{00000000-0005-0000-0000-0000B0A00000}"/>
    <cellStyle name="SAPBEXHLevel3X 2 23" xfId="40691" xr:uid="{00000000-0005-0000-0000-0000B1A00000}"/>
    <cellStyle name="SAPBEXHLevel3X 2 24" xfId="40692" xr:uid="{00000000-0005-0000-0000-0000B2A00000}"/>
    <cellStyle name="SAPBEXHLevel3X 2 25" xfId="40693" xr:uid="{00000000-0005-0000-0000-0000B3A00000}"/>
    <cellStyle name="SAPBEXHLevel3X 2 26" xfId="40694" xr:uid="{00000000-0005-0000-0000-0000B4A00000}"/>
    <cellStyle name="SAPBEXHLevel3X 2 27" xfId="40695" xr:uid="{00000000-0005-0000-0000-0000B5A00000}"/>
    <cellStyle name="SAPBEXHLevel3X 2 28" xfId="40696" xr:uid="{00000000-0005-0000-0000-0000B6A00000}"/>
    <cellStyle name="SAPBEXHLevel3X 2 29" xfId="40697" xr:uid="{00000000-0005-0000-0000-0000B7A00000}"/>
    <cellStyle name="SAPBEXHLevel3X 2 3" xfId="40698" xr:uid="{00000000-0005-0000-0000-0000B8A00000}"/>
    <cellStyle name="SAPBEXHLevel3X 2 30" xfId="40699" xr:uid="{00000000-0005-0000-0000-0000B9A00000}"/>
    <cellStyle name="SAPBEXHLevel3X 2 31" xfId="40700" xr:uid="{00000000-0005-0000-0000-0000BAA00000}"/>
    <cellStyle name="SAPBEXHLevel3X 2 32" xfId="40701" xr:uid="{00000000-0005-0000-0000-0000BBA00000}"/>
    <cellStyle name="SAPBEXHLevel3X 2 4" xfId="40702" xr:uid="{00000000-0005-0000-0000-0000BCA00000}"/>
    <cellStyle name="SAPBEXHLevel3X 2 5" xfId="40703" xr:uid="{00000000-0005-0000-0000-0000BDA00000}"/>
    <cellStyle name="SAPBEXHLevel3X 2 6" xfId="40704" xr:uid="{00000000-0005-0000-0000-0000BEA00000}"/>
    <cellStyle name="SAPBEXHLevel3X 2 7" xfId="40705" xr:uid="{00000000-0005-0000-0000-0000BFA00000}"/>
    <cellStyle name="SAPBEXHLevel3X 2 8" xfId="40706" xr:uid="{00000000-0005-0000-0000-0000C0A00000}"/>
    <cellStyle name="SAPBEXHLevel3X 2 9" xfId="40707" xr:uid="{00000000-0005-0000-0000-0000C1A00000}"/>
    <cellStyle name="SAPBEXHLevel3X 20" xfId="40708" xr:uid="{00000000-0005-0000-0000-0000C2A00000}"/>
    <cellStyle name="SAPBEXHLevel3X 21" xfId="40709" xr:uid="{00000000-0005-0000-0000-0000C3A00000}"/>
    <cellStyle name="SAPBEXHLevel3X 22" xfId="40710" xr:uid="{00000000-0005-0000-0000-0000C4A00000}"/>
    <cellStyle name="SAPBEXHLevel3X 23" xfId="40711" xr:uid="{00000000-0005-0000-0000-0000C5A00000}"/>
    <cellStyle name="SAPBEXHLevel3X 24" xfId="40712" xr:uid="{00000000-0005-0000-0000-0000C6A00000}"/>
    <cellStyle name="SAPBEXHLevel3X 25" xfId="40713" xr:uid="{00000000-0005-0000-0000-0000C7A00000}"/>
    <cellStyle name="SAPBEXHLevel3X 26" xfId="40714" xr:uid="{00000000-0005-0000-0000-0000C8A00000}"/>
    <cellStyle name="SAPBEXHLevel3X 27" xfId="40715" xr:uid="{00000000-0005-0000-0000-0000C9A00000}"/>
    <cellStyle name="SAPBEXHLevel3X 28" xfId="40716" xr:uid="{00000000-0005-0000-0000-0000CAA00000}"/>
    <cellStyle name="SAPBEXHLevel3X 29" xfId="40717" xr:uid="{00000000-0005-0000-0000-0000CBA00000}"/>
    <cellStyle name="SAPBEXHLevel3X 3" xfId="40718" xr:uid="{00000000-0005-0000-0000-0000CCA00000}"/>
    <cellStyle name="SAPBEXHLevel3X 3 2" xfId="42435" xr:uid="{00000000-0005-0000-0000-0000CDA00000}"/>
    <cellStyle name="SAPBEXHLevel3X 3 2 2" xfId="42498" xr:uid="{00000000-0005-0000-0000-0000CEA00000}"/>
    <cellStyle name="SAPBEXHLevel3X 3 3" xfId="42436" xr:uid="{00000000-0005-0000-0000-0000CFA00000}"/>
    <cellStyle name="SAPBEXHLevel3X 3 3 2" xfId="42499" xr:uid="{00000000-0005-0000-0000-0000D0A00000}"/>
    <cellStyle name="SAPBEXHLevel3X 3 4" xfId="42437" xr:uid="{00000000-0005-0000-0000-0000D1A00000}"/>
    <cellStyle name="SAPBEXHLevel3X 3 4 2" xfId="42500" xr:uid="{00000000-0005-0000-0000-0000D2A00000}"/>
    <cellStyle name="SAPBEXHLevel3X 3 5" xfId="42438" xr:uid="{00000000-0005-0000-0000-0000D3A00000}"/>
    <cellStyle name="SAPBEXHLevel3X 3 5 2" xfId="42501" xr:uid="{00000000-0005-0000-0000-0000D4A00000}"/>
    <cellStyle name="SAPBEXHLevel3X 3 6" xfId="42439" xr:uid="{00000000-0005-0000-0000-0000D5A00000}"/>
    <cellStyle name="SAPBEXHLevel3X 3 6 2" xfId="42502" xr:uid="{00000000-0005-0000-0000-0000D6A00000}"/>
    <cellStyle name="SAPBEXHLevel3X 3 7" xfId="42440" xr:uid="{00000000-0005-0000-0000-0000D7A00000}"/>
    <cellStyle name="SAPBEXHLevel3X 3 7 2" xfId="42503" xr:uid="{00000000-0005-0000-0000-0000D8A00000}"/>
    <cellStyle name="SAPBEXHLevel3X 3 8" xfId="42441" xr:uid="{00000000-0005-0000-0000-0000D9A00000}"/>
    <cellStyle name="SAPBEXHLevel3X 3 8 2" xfId="42504" xr:uid="{00000000-0005-0000-0000-0000DAA00000}"/>
    <cellStyle name="SAPBEXHLevel3X 3 9" xfId="42505" xr:uid="{00000000-0005-0000-0000-0000DBA00000}"/>
    <cellStyle name="SAPBEXHLevel3X 30" xfId="40719" xr:uid="{00000000-0005-0000-0000-0000DCA00000}"/>
    <cellStyle name="SAPBEXHLevel3X 31" xfId="40720" xr:uid="{00000000-0005-0000-0000-0000DDA00000}"/>
    <cellStyle name="SAPBEXHLevel3X 32" xfId="40721" xr:uid="{00000000-0005-0000-0000-0000DEA00000}"/>
    <cellStyle name="SAPBEXHLevel3X 33" xfId="40722" xr:uid="{00000000-0005-0000-0000-0000DFA00000}"/>
    <cellStyle name="SAPBEXHLevel3X 4" xfId="40723" xr:uid="{00000000-0005-0000-0000-0000E0A00000}"/>
    <cellStyle name="SAPBEXHLevel3X 5" xfId="40724" xr:uid="{00000000-0005-0000-0000-0000E1A00000}"/>
    <cellStyle name="SAPBEXHLevel3X 6" xfId="40725" xr:uid="{00000000-0005-0000-0000-0000E2A00000}"/>
    <cellStyle name="SAPBEXHLevel3X 7" xfId="40726" xr:uid="{00000000-0005-0000-0000-0000E3A00000}"/>
    <cellStyle name="SAPBEXHLevel3X 8" xfId="40727" xr:uid="{00000000-0005-0000-0000-0000E4A00000}"/>
    <cellStyle name="SAPBEXHLevel3X 9" xfId="40728" xr:uid="{00000000-0005-0000-0000-0000E5A00000}"/>
    <cellStyle name="SAPBEXHLevel3X_0910 GSO Capex RRP - Final (Detail) v2 220710" xfId="40729" xr:uid="{00000000-0005-0000-0000-0000E6A00000}"/>
    <cellStyle name="SAPBEXinputData" xfId="40730" xr:uid="{00000000-0005-0000-0000-0000E7A00000}"/>
    <cellStyle name="SAPBEXinputData 10" xfId="40731" xr:uid="{00000000-0005-0000-0000-0000E8A00000}"/>
    <cellStyle name="SAPBEXinputData 11" xfId="40732" xr:uid="{00000000-0005-0000-0000-0000E9A00000}"/>
    <cellStyle name="SAPBEXinputData 12" xfId="40733" xr:uid="{00000000-0005-0000-0000-0000EAA00000}"/>
    <cellStyle name="SAPBEXinputData 13" xfId="40734" xr:uid="{00000000-0005-0000-0000-0000EBA00000}"/>
    <cellStyle name="SAPBEXinputData 14" xfId="40735" xr:uid="{00000000-0005-0000-0000-0000ECA00000}"/>
    <cellStyle name="SAPBEXinputData 15" xfId="40736" xr:uid="{00000000-0005-0000-0000-0000EDA00000}"/>
    <cellStyle name="SAPBEXinputData 16" xfId="40737" xr:uid="{00000000-0005-0000-0000-0000EEA00000}"/>
    <cellStyle name="SAPBEXinputData 17" xfId="40738" xr:uid="{00000000-0005-0000-0000-0000EFA00000}"/>
    <cellStyle name="SAPBEXinputData 18" xfId="40739" xr:uid="{00000000-0005-0000-0000-0000F0A00000}"/>
    <cellStyle name="SAPBEXinputData 2" xfId="40740" xr:uid="{00000000-0005-0000-0000-0000F1A00000}"/>
    <cellStyle name="SAPBEXinputData 2 10" xfId="40741" xr:uid="{00000000-0005-0000-0000-0000F2A00000}"/>
    <cellStyle name="SAPBEXinputData 2 11" xfId="40742" xr:uid="{00000000-0005-0000-0000-0000F3A00000}"/>
    <cellStyle name="SAPBEXinputData 2 12" xfId="40743" xr:uid="{00000000-0005-0000-0000-0000F4A00000}"/>
    <cellStyle name="SAPBEXinputData 2 13" xfId="40744" xr:uid="{00000000-0005-0000-0000-0000F5A00000}"/>
    <cellStyle name="SAPBEXinputData 2 14" xfId="40745" xr:uid="{00000000-0005-0000-0000-0000F6A00000}"/>
    <cellStyle name="SAPBEXinputData 2 15" xfId="40746" xr:uid="{00000000-0005-0000-0000-0000F7A00000}"/>
    <cellStyle name="SAPBEXinputData 2 16" xfId="40747" xr:uid="{00000000-0005-0000-0000-0000F8A00000}"/>
    <cellStyle name="SAPBEXinputData 2 17" xfId="40748" xr:uid="{00000000-0005-0000-0000-0000F9A00000}"/>
    <cellStyle name="SAPBEXinputData 2 2" xfId="40749" xr:uid="{00000000-0005-0000-0000-0000FAA00000}"/>
    <cellStyle name="SAPBEXinputData 2 2 10" xfId="40750" xr:uid="{00000000-0005-0000-0000-0000FBA00000}"/>
    <cellStyle name="SAPBEXinputData 2 2 11" xfId="40751" xr:uid="{00000000-0005-0000-0000-0000FCA00000}"/>
    <cellStyle name="SAPBEXinputData 2 2 12" xfId="40752" xr:uid="{00000000-0005-0000-0000-0000FDA00000}"/>
    <cellStyle name="SAPBEXinputData 2 2 13" xfId="40753" xr:uid="{00000000-0005-0000-0000-0000FEA00000}"/>
    <cellStyle name="SAPBEXinputData 2 2 14" xfId="40754" xr:uid="{00000000-0005-0000-0000-0000FFA00000}"/>
    <cellStyle name="SAPBEXinputData 2 2 15" xfId="40755" xr:uid="{00000000-0005-0000-0000-000000A10000}"/>
    <cellStyle name="SAPBEXinputData 2 2 16" xfId="40756" xr:uid="{00000000-0005-0000-0000-000001A10000}"/>
    <cellStyle name="SAPBEXinputData 2 2 17" xfId="40757" xr:uid="{00000000-0005-0000-0000-000002A10000}"/>
    <cellStyle name="SAPBEXinputData 2 2 18" xfId="40758" xr:uid="{00000000-0005-0000-0000-000003A10000}"/>
    <cellStyle name="SAPBEXinputData 2 2 19" xfId="40759" xr:uid="{00000000-0005-0000-0000-000004A10000}"/>
    <cellStyle name="SAPBEXinputData 2 2 2" xfId="40760" xr:uid="{00000000-0005-0000-0000-000005A10000}"/>
    <cellStyle name="SAPBEXinputData 2 2 2 10" xfId="40761" xr:uid="{00000000-0005-0000-0000-000006A10000}"/>
    <cellStyle name="SAPBEXinputData 2 2 2 11" xfId="40762" xr:uid="{00000000-0005-0000-0000-000007A10000}"/>
    <cellStyle name="SAPBEXinputData 2 2 2 12" xfId="40763" xr:uid="{00000000-0005-0000-0000-000008A10000}"/>
    <cellStyle name="SAPBEXinputData 2 2 2 13" xfId="40764" xr:uid="{00000000-0005-0000-0000-000009A10000}"/>
    <cellStyle name="SAPBEXinputData 2 2 2 2" xfId="40765" xr:uid="{00000000-0005-0000-0000-00000AA10000}"/>
    <cellStyle name="SAPBEXinputData 2 2 2 3" xfId="40766" xr:uid="{00000000-0005-0000-0000-00000BA10000}"/>
    <cellStyle name="SAPBEXinputData 2 2 2 4" xfId="40767" xr:uid="{00000000-0005-0000-0000-00000CA10000}"/>
    <cellStyle name="SAPBEXinputData 2 2 2 5" xfId="40768" xr:uid="{00000000-0005-0000-0000-00000DA10000}"/>
    <cellStyle name="SAPBEXinputData 2 2 2 6" xfId="40769" xr:uid="{00000000-0005-0000-0000-00000EA10000}"/>
    <cellStyle name="SAPBEXinputData 2 2 2 7" xfId="40770" xr:uid="{00000000-0005-0000-0000-00000FA10000}"/>
    <cellStyle name="SAPBEXinputData 2 2 2 8" xfId="40771" xr:uid="{00000000-0005-0000-0000-000010A10000}"/>
    <cellStyle name="SAPBEXinputData 2 2 2 9" xfId="40772" xr:uid="{00000000-0005-0000-0000-000011A10000}"/>
    <cellStyle name="SAPBEXinputData 2 2 20" xfId="40773" xr:uid="{00000000-0005-0000-0000-000012A10000}"/>
    <cellStyle name="SAPBEXinputData 2 2 21" xfId="40774" xr:uid="{00000000-0005-0000-0000-000013A10000}"/>
    <cellStyle name="SAPBEXinputData 2 2 22" xfId="40775" xr:uid="{00000000-0005-0000-0000-000014A10000}"/>
    <cellStyle name="SAPBEXinputData 2 2 23" xfId="40776" xr:uid="{00000000-0005-0000-0000-000015A10000}"/>
    <cellStyle name="SAPBEXinputData 2 2 24" xfId="40777" xr:uid="{00000000-0005-0000-0000-000016A10000}"/>
    <cellStyle name="SAPBEXinputData 2 2 25" xfId="40778" xr:uid="{00000000-0005-0000-0000-000017A10000}"/>
    <cellStyle name="SAPBEXinputData 2 2 26" xfId="40779" xr:uid="{00000000-0005-0000-0000-000018A10000}"/>
    <cellStyle name="SAPBEXinputData 2 2 27" xfId="40780" xr:uid="{00000000-0005-0000-0000-000019A10000}"/>
    <cellStyle name="SAPBEXinputData 2 2 28" xfId="40781" xr:uid="{00000000-0005-0000-0000-00001AA10000}"/>
    <cellStyle name="SAPBEXinputData 2 2 29" xfId="40782" xr:uid="{00000000-0005-0000-0000-00001BA10000}"/>
    <cellStyle name="SAPBEXinputData 2 2 3" xfId="40783" xr:uid="{00000000-0005-0000-0000-00001CA10000}"/>
    <cellStyle name="SAPBEXinputData 2 2 30" xfId="40784" xr:uid="{00000000-0005-0000-0000-00001DA10000}"/>
    <cellStyle name="SAPBEXinputData 2 2 4" xfId="40785" xr:uid="{00000000-0005-0000-0000-00001EA10000}"/>
    <cellStyle name="SAPBEXinputData 2 2 5" xfId="40786" xr:uid="{00000000-0005-0000-0000-00001FA10000}"/>
    <cellStyle name="SAPBEXinputData 2 2 6" xfId="40787" xr:uid="{00000000-0005-0000-0000-000020A10000}"/>
    <cellStyle name="SAPBEXinputData 2 2 7" xfId="40788" xr:uid="{00000000-0005-0000-0000-000021A10000}"/>
    <cellStyle name="SAPBEXinputData 2 2 8" xfId="40789" xr:uid="{00000000-0005-0000-0000-000022A10000}"/>
    <cellStyle name="SAPBEXinputData 2 2 9" xfId="40790" xr:uid="{00000000-0005-0000-0000-000023A10000}"/>
    <cellStyle name="SAPBEXinputData 2 3" xfId="40791" xr:uid="{00000000-0005-0000-0000-000024A10000}"/>
    <cellStyle name="SAPBEXinputData 2 3 10" xfId="40792" xr:uid="{00000000-0005-0000-0000-000025A10000}"/>
    <cellStyle name="SAPBEXinputData 2 3 11" xfId="40793" xr:uid="{00000000-0005-0000-0000-000026A10000}"/>
    <cellStyle name="SAPBEXinputData 2 3 12" xfId="40794" xr:uid="{00000000-0005-0000-0000-000027A10000}"/>
    <cellStyle name="SAPBEXinputData 2 3 13" xfId="40795" xr:uid="{00000000-0005-0000-0000-000028A10000}"/>
    <cellStyle name="SAPBEXinputData 2 3 14" xfId="40796" xr:uid="{00000000-0005-0000-0000-000029A10000}"/>
    <cellStyle name="SAPBEXinputData 2 3 15" xfId="40797" xr:uid="{00000000-0005-0000-0000-00002AA10000}"/>
    <cellStyle name="SAPBEXinputData 2 3 16" xfId="40798" xr:uid="{00000000-0005-0000-0000-00002BA10000}"/>
    <cellStyle name="SAPBEXinputData 2 3 17" xfId="40799" xr:uid="{00000000-0005-0000-0000-00002CA10000}"/>
    <cellStyle name="SAPBEXinputData 2 3 18" xfId="40800" xr:uid="{00000000-0005-0000-0000-00002DA10000}"/>
    <cellStyle name="SAPBEXinputData 2 3 19" xfId="40801" xr:uid="{00000000-0005-0000-0000-00002EA10000}"/>
    <cellStyle name="SAPBEXinputData 2 3 2" xfId="40802" xr:uid="{00000000-0005-0000-0000-00002FA10000}"/>
    <cellStyle name="SAPBEXinputData 2 3 2 10" xfId="40803" xr:uid="{00000000-0005-0000-0000-000030A10000}"/>
    <cellStyle name="SAPBEXinputData 2 3 2 11" xfId="40804" xr:uid="{00000000-0005-0000-0000-000031A10000}"/>
    <cellStyle name="SAPBEXinputData 2 3 2 12" xfId="40805" xr:uid="{00000000-0005-0000-0000-000032A10000}"/>
    <cellStyle name="SAPBEXinputData 2 3 2 13" xfId="40806" xr:uid="{00000000-0005-0000-0000-000033A10000}"/>
    <cellStyle name="SAPBEXinputData 2 3 2 2" xfId="40807" xr:uid="{00000000-0005-0000-0000-000034A10000}"/>
    <cellStyle name="SAPBEXinputData 2 3 2 3" xfId="40808" xr:uid="{00000000-0005-0000-0000-000035A10000}"/>
    <cellStyle name="SAPBEXinputData 2 3 2 4" xfId="40809" xr:uid="{00000000-0005-0000-0000-000036A10000}"/>
    <cellStyle name="SAPBEXinputData 2 3 2 5" xfId="40810" xr:uid="{00000000-0005-0000-0000-000037A10000}"/>
    <cellStyle name="SAPBEXinputData 2 3 2 6" xfId="40811" xr:uid="{00000000-0005-0000-0000-000038A10000}"/>
    <cellStyle name="SAPBEXinputData 2 3 2 7" xfId="40812" xr:uid="{00000000-0005-0000-0000-000039A10000}"/>
    <cellStyle name="SAPBEXinputData 2 3 2 8" xfId="40813" xr:uid="{00000000-0005-0000-0000-00003AA10000}"/>
    <cellStyle name="SAPBEXinputData 2 3 2 9" xfId="40814" xr:uid="{00000000-0005-0000-0000-00003BA10000}"/>
    <cellStyle name="SAPBEXinputData 2 3 20" xfId="40815" xr:uid="{00000000-0005-0000-0000-00003CA10000}"/>
    <cellStyle name="SAPBEXinputData 2 3 21" xfId="40816" xr:uid="{00000000-0005-0000-0000-00003DA10000}"/>
    <cellStyle name="SAPBEXinputData 2 3 22" xfId="40817" xr:uid="{00000000-0005-0000-0000-00003EA10000}"/>
    <cellStyle name="SAPBEXinputData 2 3 23" xfId="40818" xr:uid="{00000000-0005-0000-0000-00003FA10000}"/>
    <cellStyle name="SAPBEXinputData 2 3 24" xfId="40819" xr:uid="{00000000-0005-0000-0000-000040A10000}"/>
    <cellStyle name="SAPBEXinputData 2 3 25" xfId="40820" xr:uid="{00000000-0005-0000-0000-000041A10000}"/>
    <cellStyle name="SAPBEXinputData 2 3 26" xfId="40821" xr:uid="{00000000-0005-0000-0000-000042A10000}"/>
    <cellStyle name="SAPBEXinputData 2 3 27" xfId="40822" xr:uid="{00000000-0005-0000-0000-000043A10000}"/>
    <cellStyle name="SAPBEXinputData 2 3 28" xfId="40823" xr:uid="{00000000-0005-0000-0000-000044A10000}"/>
    <cellStyle name="SAPBEXinputData 2 3 29" xfId="40824" xr:uid="{00000000-0005-0000-0000-000045A10000}"/>
    <cellStyle name="SAPBEXinputData 2 3 3" xfId="40825" xr:uid="{00000000-0005-0000-0000-000046A10000}"/>
    <cellStyle name="SAPBEXinputData 2 3 30" xfId="40826" xr:uid="{00000000-0005-0000-0000-000047A10000}"/>
    <cellStyle name="SAPBEXinputData 2 3 4" xfId="40827" xr:uid="{00000000-0005-0000-0000-000048A10000}"/>
    <cellStyle name="SAPBEXinputData 2 3 5" xfId="40828" xr:uid="{00000000-0005-0000-0000-000049A10000}"/>
    <cellStyle name="SAPBEXinputData 2 3 6" xfId="40829" xr:uid="{00000000-0005-0000-0000-00004AA10000}"/>
    <cellStyle name="SAPBEXinputData 2 3 7" xfId="40830" xr:uid="{00000000-0005-0000-0000-00004BA10000}"/>
    <cellStyle name="SAPBEXinputData 2 3 8" xfId="40831" xr:uid="{00000000-0005-0000-0000-00004CA10000}"/>
    <cellStyle name="SAPBEXinputData 2 3 9" xfId="40832" xr:uid="{00000000-0005-0000-0000-00004DA10000}"/>
    <cellStyle name="SAPBEXinputData 2 4" xfId="40833" xr:uid="{00000000-0005-0000-0000-00004EA10000}"/>
    <cellStyle name="SAPBEXinputData 2 4 10" xfId="40834" xr:uid="{00000000-0005-0000-0000-00004FA10000}"/>
    <cellStyle name="SAPBEXinputData 2 4 11" xfId="40835" xr:uid="{00000000-0005-0000-0000-000050A10000}"/>
    <cellStyle name="SAPBEXinputData 2 4 12" xfId="40836" xr:uid="{00000000-0005-0000-0000-000051A10000}"/>
    <cellStyle name="SAPBEXinputData 2 4 13" xfId="40837" xr:uid="{00000000-0005-0000-0000-000052A10000}"/>
    <cellStyle name="SAPBEXinputData 2 4 14" xfId="40838" xr:uid="{00000000-0005-0000-0000-000053A10000}"/>
    <cellStyle name="SAPBEXinputData 2 4 15" xfId="40839" xr:uid="{00000000-0005-0000-0000-000054A10000}"/>
    <cellStyle name="SAPBEXinputData 2 4 16" xfId="40840" xr:uid="{00000000-0005-0000-0000-000055A10000}"/>
    <cellStyle name="SAPBEXinputData 2 4 17" xfId="40841" xr:uid="{00000000-0005-0000-0000-000056A10000}"/>
    <cellStyle name="SAPBEXinputData 2 4 18" xfId="40842" xr:uid="{00000000-0005-0000-0000-000057A10000}"/>
    <cellStyle name="SAPBEXinputData 2 4 19" xfId="40843" xr:uid="{00000000-0005-0000-0000-000058A10000}"/>
    <cellStyle name="SAPBEXinputData 2 4 2" xfId="40844" xr:uid="{00000000-0005-0000-0000-000059A10000}"/>
    <cellStyle name="SAPBEXinputData 2 4 2 10" xfId="40845" xr:uid="{00000000-0005-0000-0000-00005AA10000}"/>
    <cellStyle name="SAPBEXinputData 2 4 2 11" xfId="40846" xr:uid="{00000000-0005-0000-0000-00005BA10000}"/>
    <cellStyle name="SAPBEXinputData 2 4 2 12" xfId="40847" xr:uid="{00000000-0005-0000-0000-00005CA10000}"/>
    <cellStyle name="SAPBEXinputData 2 4 2 13" xfId="40848" xr:uid="{00000000-0005-0000-0000-00005DA10000}"/>
    <cellStyle name="SAPBEXinputData 2 4 2 2" xfId="40849" xr:uid="{00000000-0005-0000-0000-00005EA10000}"/>
    <cellStyle name="SAPBEXinputData 2 4 2 3" xfId="40850" xr:uid="{00000000-0005-0000-0000-00005FA10000}"/>
    <cellStyle name="SAPBEXinputData 2 4 2 4" xfId="40851" xr:uid="{00000000-0005-0000-0000-000060A10000}"/>
    <cellStyle name="SAPBEXinputData 2 4 2 5" xfId="40852" xr:uid="{00000000-0005-0000-0000-000061A10000}"/>
    <cellStyle name="SAPBEXinputData 2 4 2 6" xfId="40853" xr:uid="{00000000-0005-0000-0000-000062A10000}"/>
    <cellStyle name="SAPBEXinputData 2 4 2 7" xfId="40854" xr:uid="{00000000-0005-0000-0000-000063A10000}"/>
    <cellStyle name="SAPBEXinputData 2 4 2 8" xfId="40855" xr:uid="{00000000-0005-0000-0000-000064A10000}"/>
    <cellStyle name="SAPBEXinputData 2 4 2 9" xfId="40856" xr:uid="{00000000-0005-0000-0000-000065A10000}"/>
    <cellStyle name="SAPBEXinputData 2 4 20" xfId="40857" xr:uid="{00000000-0005-0000-0000-000066A10000}"/>
    <cellStyle name="SAPBEXinputData 2 4 21" xfId="40858" xr:uid="{00000000-0005-0000-0000-000067A10000}"/>
    <cellStyle name="SAPBEXinputData 2 4 22" xfId="40859" xr:uid="{00000000-0005-0000-0000-000068A10000}"/>
    <cellStyle name="SAPBEXinputData 2 4 23" xfId="40860" xr:uid="{00000000-0005-0000-0000-000069A10000}"/>
    <cellStyle name="SAPBEXinputData 2 4 24" xfId="40861" xr:uid="{00000000-0005-0000-0000-00006AA10000}"/>
    <cellStyle name="SAPBEXinputData 2 4 25" xfId="40862" xr:uid="{00000000-0005-0000-0000-00006BA10000}"/>
    <cellStyle name="SAPBEXinputData 2 4 26" xfId="40863" xr:uid="{00000000-0005-0000-0000-00006CA10000}"/>
    <cellStyle name="SAPBEXinputData 2 4 27" xfId="40864" xr:uid="{00000000-0005-0000-0000-00006DA10000}"/>
    <cellStyle name="SAPBEXinputData 2 4 28" xfId="40865" xr:uid="{00000000-0005-0000-0000-00006EA10000}"/>
    <cellStyle name="SAPBEXinputData 2 4 29" xfId="40866" xr:uid="{00000000-0005-0000-0000-00006FA10000}"/>
    <cellStyle name="SAPBEXinputData 2 4 3" xfId="40867" xr:uid="{00000000-0005-0000-0000-000070A10000}"/>
    <cellStyle name="SAPBEXinputData 2 4 30" xfId="40868" xr:uid="{00000000-0005-0000-0000-000071A10000}"/>
    <cellStyle name="SAPBEXinputData 2 4 4" xfId="40869" xr:uid="{00000000-0005-0000-0000-000072A10000}"/>
    <cellStyle name="SAPBEXinputData 2 4 5" xfId="40870" xr:uid="{00000000-0005-0000-0000-000073A10000}"/>
    <cellStyle name="SAPBEXinputData 2 4 6" xfId="40871" xr:uid="{00000000-0005-0000-0000-000074A10000}"/>
    <cellStyle name="SAPBEXinputData 2 4 7" xfId="40872" xr:uid="{00000000-0005-0000-0000-000075A10000}"/>
    <cellStyle name="SAPBEXinputData 2 4 8" xfId="40873" xr:uid="{00000000-0005-0000-0000-000076A10000}"/>
    <cellStyle name="SAPBEXinputData 2 4 9" xfId="40874" xr:uid="{00000000-0005-0000-0000-000077A10000}"/>
    <cellStyle name="SAPBEXinputData 2 5" xfId="40875" xr:uid="{00000000-0005-0000-0000-000078A10000}"/>
    <cellStyle name="SAPBEXinputData 2 5 10" xfId="40876" xr:uid="{00000000-0005-0000-0000-000079A10000}"/>
    <cellStyle name="SAPBEXinputData 2 5 11" xfId="40877" xr:uid="{00000000-0005-0000-0000-00007AA10000}"/>
    <cellStyle name="SAPBEXinputData 2 5 12" xfId="40878" xr:uid="{00000000-0005-0000-0000-00007BA10000}"/>
    <cellStyle name="SAPBEXinputData 2 5 13" xfId="40879" xr:uid="{00000000-0005-0000-0000-00007CA10000}"/>
    <cellStyle name="SAPBEXinputData 2 5 2" xfId="40880" xr:uid="{00000000-0005-0000-0000-00007DA10000}"/>
    <cellStyle name="SAPBEXinputData 2 5 3" xfId="40881" xr:uid="{00000000-0005-0000-0000-00007EA10000}"/>
    <cellStyle name="SAPBEXinputData 2 5 4" xfId="40882" xr:uid="{00000000-0005-0000-0000-00007FA10000}"/>
    <cellStyle name="SAPBEXinputData 2 5 5" xfId="40883" xr:uid="{00000000-0005-0000-0000-000080A10000}"/>
    <cellStyle name="SAPBEXinputData 2 5 6" xfId="40884" xr:uid="{00000000-0005-0000-0000-000081A10000}"/>
    <cellStyle name="SAPBEXinputData 2 5 7" xfId="40885" xr:uid="{00000000-0005-0000-0000-000082A10000}"/>
    <cellStyle name="SAPBEXinputData 2 5 8" xfId="40886" xr:uid="{00000000-0005-0000-0000-000083A10000}"/>
    <cellStyle name="SAPBEXinputData 2 5 9" xfId="40887" xr:uid="{00000000-0005-0000-0000-000084A10000}"/>
    <cellStyle name="SAPBEXinputData 2 6" xfId="40888" xr:uid="{00000000-0005-0000-0000-000085A10000}"/>
    <cellStyle name="SAPBEXinputData 2 7" xfId="40889" xr:uid="{00000000-0005-0000-0000-000086A10000}"/>
    <cellStyle name="SAPBEXinputData 2 8" xfId="40890" xr:uid="{00000000-0005-0000-0000-000087A10000}"/>
    <cellStyle name="SAPBEXinputData 2 9" xfId="40891" xr:uid="{00000000-0005-0000-0000-000088A10000}"/>
    <cellStyle name="SAPBEXinputData 3" xfId="40892" xr:uid="{00000000-0005-0000-0000-000089A10000}"/>
    <cellStyle name="SAPBEXinputData 3 10" xfId="40893" xr:uid="{00000000-0005-0000-0000-00008AA10000}"/>
    <cellStyle name="SAPBEXinputData 3 11" xfId="40894" xr:uid="{00000000-0005-0000-0000-00008BA10000}"/>
    <cellStyle name="SAPBEXinputData 3 12" xfId="40895" xr:uid="{00000000-0005-0000-0000-00008CA10000}"/>
    <cellStyle name="SAPBEXinputData 3 13" xfId="40896" xr:uid="{00000000-0005-0000-0000-00008DA10000}"/>
    <cellStyle name="SAPBEXinputData 3 14" xfId="40897" xr:uid="{00000000-0005-0000-0000-00008EA10000}"/>
    <cellStyle name="SAPBEXinputData 3 15" xfId="40898" xr:uid="{00000000-0005-0000-0000-00008FA10000}"/>
    <cellStyle name="SAPBEXinputData 3 16" xfId="40899" xr:uid="{00000000-0005-0000-0000-000090A10000}"/>
    <cellStyle name="SAPBEXinputData 3 17" xfId="40900" xr:uid="{00000000-0005-0000-0000-000091A10000}"/>
    <cellStyle name="SAPBEXinputData 3 18" xfId="40901" xr:uid="{00000000-0005-0000-0000-000092A10000}"/>
    <cellStyle name="SAPBEXinputData 3 19" xfId="40902" xr:uid="{00000000-0005-0000-0000-000093A10000}"/>
    <cellStyle name="SAPBEXinputData 3 2" xfId="40903" xr:uid="{00000000-0005-0000-0000-000094A10000}"/>
    <cellStyle name="SAPBEXinputData 3 2 10" xfId="40904" xr:uid="{00000000-0005-0000-0000-000095A10000}"/>
    <cellStyle name="SAPBEXinputData 3 2 11" xfId="40905" xr:uid="{00000000-0005-0000-0000-000096A10000}"/>
    <cellStyle name="SAPBEXinputData 3 2 12" xfId="40906" xr:uid="{00000000-0005-0000-0000-000097A10000}"/>
    <cellStyle name="SAPBEXinputData 3 2 13" xfId="40907" xr:uid="{00000000-0005-0000-0000-000098A10000}"/>
    <cellStyle name="SAPBEXinputData 3 2 2" xfId="40908" xr:uid="{00000000-0005-0000-0000-000099A10000}"/>
    <cellStyle name="SAPBEXinputData 3 2 3" xfId="40909" xr:uid="{00000000-0005-0000-0000-00009AA10000}"/>
    <cellStyle name="SAPBEXinputData 3 2 4" xfId="40910" xr:uid="{00000000-0005-0000-0000-00009BA10000}"/>
    <cellStyle name="SAPBEXinputData 3 2 5" xfId="40911" xr:uid="{00000000-0005-0000-0000-00009CA10000}"/>
    <cellStyle name="SAPBEXinputData 3 2 6" xfId="40912" xr:uid="{00000000-0005-0000-0000-00009DA10000}"/>
    <cellStyle name="SAPBEXinputData 3 2 7" xfId="40913" xr:uid="{00000000-0005-0000-0000-00009EA10000}"/>
    <cellStyle name="SAPBEXinputData 3 2 8" xfId="40914" xr:uid="{00000000-0005-0000-0000-00009FA10000}"/>
    <cellStyle name="SAPBEXinputData 3 2 9" xfId="40915" xr:uid="{00000000-0005-0000-0000-0000A0A10000}"/>
    <cellStyle name="SAPBEXinputData 3 20" xfId="40916" xr:uid="{00000000-0005-0000-0000-0000A1A10000}"/>
    <cellStyle name="SAPBEXinputData 3 21" xfId="40917" xr:uid="{00000000-0005-0000-0000-0000A2A10000}"/>
    <cellStyle name="SAPBEXinputData 3 22" xfId="40918" xr:uid="{00000000-0005-0000-0000-0000A3A10000}"/>
    <cellStyle name="SAPBEXinputData 3 23" xfId="40919" xr:uid="{00000000-0005-0000-0000-0000A4A10000}"/>
    <cellStyle name="SAPBEXinputData 3 24" xfId="40920" xr:uid="{00000000-0005-0000-0000-0000A5A10000}"/>
    <cellStyle name="SAPBEXinputData 3 25" xfId="40921" xr:uid="{00000000-0005-0000-0000-0000A6A10000}"/>
    <cellStyle name="SAPBEXinputData 3 26" xfId="40922" xr:uid="{00000000-0005-0000-0000-0000A7A10000}"/>
    <cellStyle name="SAPBEXinputData 3 27" xfId="40923" xr:uid="{00000000-0005-0000-0000-0000A8A10000}"/>
    <cellStyle name="SAPBEXinputData 3 28" xfId="40924" xr:uid="{00000000-0005-0000-0000-0000A9A10000}"/>
    <cellStyle name="SAPBEXinputData 3 29" xfId="40925" xr:uid="{00000000-0005-0000-0000-0000AAA10000}"/>
    <cellStyle name="SAPBEXinputData 3 3" xfId="40926" xr:uid="{00000000-0005-0000-0000-0000ABA10000}"/>
    <cellStyle name="SAPBEXinputData 3 3 2" xfId="42442" xr:uid="{00000000-0005-0000-0000-0000ACA10000}"/>
    <cellStyle name="SAPBEXinputData 3 30" xfId="40927" xr:uid="{00000000-0005-0000-0000-0000ADA10000}"/>
    <cellStyle name="SAPBEXinputData 3 4" xfId="40928" xr:uid="{00000000-0005-0000-0000-0000AEA10000}"/>
    <cellStyle name="SAPBEXinputData 3 4 2" xfId="42443" xr:uid="{00000000-0005-0000-0000-0000AFA10000}"/>
    <cellStyle name="SAPBEXinputData 3 5" xfId="40929" xr:uid="{00000000-0005-0000-0000-0000B0A10000}"/>
    <cellStyle name="SAPBEXinputData 3 5 2" xfId="42444" xr:uid="{00000000-0005-0000-0000-0000B1A10000}"/>
    <cellStyle name="SAPBEXinputData 3 6" xfId="40930" xr:uid="{00000000-0005-0000-0000-0000B2A10000}"/>
    <cellStyle name="SAPBEXinputData 3 6 2" xfId="42445" xr:uid="{00000000-0005-0000-0000-0000B3A10000}"/>
    <cellStyle name="SAPBEXinputData 3 7" xfId="40931" xr:uid="{00000000-0005-0000-0000-0000B4A10000}"/>
    <cellStyle name="SAPBEXinputData 3 7 2" xfId="42446" xr:uid="{00000000-0005-0000-0000-0000B5A10000}"/>
    <cellStyle name="SAPBEXinputData 3 8" xfId="40932" xr:uid="{00000000-0005-0000-0000-0000B6A10000}"/>
    <cellStyle name="SAPBEXinputData 3 8 2" xfId="42447" xr:uid="{00000000-0005-0000-0000-0000B7A10000}"/>
    <cellStyle name="SAPBEXinputData 3 9" xfId="40933" xr:uid="{00000000-0005-0000-0000-0000B8A10000}"/>
    <cellStyle name="SAPBEXinputData 4" xfId="40934" xr:uid="{00000000-0005-0000-0000-0000B9A10000}"/>
    <cellStyle name="SAPBEXinputData 4 10" xfId="40935" xr:uid="{00000000-0005-0000-0000-0000BAA10000}"/>
    <cellStyle name="SAPBEXinputData 4 11" xfId="40936" xr:uid="{00000000-0005-0000-0000-0000BBA10000}"/>
    <cellStyle name="SAPBEXinputData 4 12" xfId="40937" xr:uid="{00000000-0005-0000-0000-0000BCA10000}"/>
    <cellStyle name="SAPBEXinputData 4 13" xfId="40938" xr:uid="{00000000-0005-0000-0000-0000BDA10000}"/>
    <cellStyle name="SAPBEXinputData 4 14" xfId="40939" xr:uid="{00000000-0005-0000-0000-0000BEA10000}"/>
    <cellStyle name="SAPBEXinputData 4 15" xfId="40940" xr:uid="{00000000-0005-0000-0000-0000BFA10000}"/>
    <cellStyle name="SAPBEXinputData 4 16" xfId="40941" xr:uid="{00000000-0005-0000-0000-0000C0A10000}"/>
    <cellStyle name="SAPBEXinputData 4 17" xfId="40942" xr:uid="{00000000-0005-0000-0000-0000C1A10000}"/>
    <cellStyle name="SAPBEXinputData 4 18" xfId="40943" xr:uid="{00000000-0005-0000-0000-0000C2A10000}"/>
    <cellStyle name="SAPBEXinputData 4 19" xfId="40944" xr:uid="{00000000-0005-0000-0000-0000C3A10000}"/>
    <cellStyle name="SAPBEXinputData 4 2" xfId="40945" xr:uid="{00000000-0005-0000-0000-0000C4A10000}"/>
    <cellStyle name="SAPBEXinputData 4 2 10" xfId="40946" xr:uid="{00000000-0005-0000-0000-0000C5A10000}"/>
    <cellStyle name="SAPBEXinputData 4 2 11" xfId="40947" xr:uid="{00000000-0005-0000-0000-0000C6A10000}"/>
    <cellStyle name="SAPBEXinputData 4 2 12" xfId="40948" xr:uid="{00000000-0005-0000-0000-0000C7A10000}"/>
    <cellStyle name="SAPBEXinputData 4 2 13" xfId="40949" xr:uid="{00000000-0005-0000-0000-0000C8A10000}"/>
    <cellStyle name="SAPBEXinputData 4 2 2" xfId="40950" xr:uid="{00000000-0005-0000-0000-0000C9A10000}"/>
    <cellStyle name="SAPBEXinputData 4 2 3" xfId="40951" xr:uid="{00000000-0005-0000-0000-0000CAA10000}"/>
    <cellStyle name="SAPBEXinputData 4 2 4" xfId="40952" xr:uid="{00000000-0005-0000-0000-0000CBA10000}"/>
    <cellStyle name="SAPBEXinputData 4 2 5" xfId="40953" xr:uid="{00000000-0005-0000-0000-0000CCA10000}"/>
    <cellStyle name="SAPBEXinputData 4 2 6" xfId="40954" xr:uid="{00000000-0005-0000-0000-0000CDA10000}"/>
    <cellStyle name="SAPBEXinputData 4 2 7" xfId="40955" xr:uid="{00000000-0005-0000-0000-0000CEA10000}"/>
    <cellStyle name="SAPBEXinputData 4 2 8" xfId="40956" xr:uid="{00000000-0005-0000-0000-0000CFA10000}"/>
    <cellStyle name="SAPBEXinputData 4 2 9" xfId="40957" xr:uid="{00000000-0005-0000-0000-0000D0A10000}"/>
    <cellStyle name="SAPBEXinputData 4 20" xfId="40958" xr:uid="{00000000-0005-0000-0000-0000D1A10000}"/>
    <cellStyle name="SAPBEXinputData 4 21" xfId="40959" xr:uid="{00000000-0005-0000-0000-0000D2A10000}"/>
    <cellStyle name="SAPBEXinputData 4 22" xfId="40960" xr:uid="{00000000-0005-0000-0000-0000D3A10000}"/>
    <cellStyle name="SAPBEXinputData 4 23" xfId="40961" xr:uid="{00000000-0005-0000-0000-0000D4A10000}"/>
    <cellStyle name="SAPBEXinputData 4 24" xfId="40962" xr:uid="{00000000-0005-0000-0000-0000D5A10000}"/>
    <cellStyle name="SAPBEXinputData 4 25" xfId="40963" xr:uid="{00000000-0005-0000-0000-0000D6A10000}"/>
    <cellStyle name="SAPBEXinputData 4 26" xfId="40964" xr:uid="{00000000-0005-0000-0000-0000D7A10000}"/>
    <cellStyle name="SAPBEXinputData 4 27" xfId="40965" xr:uid="{00000000-0005-0000-0000-0000D8A10000}"/>
    <cellStyle name="SAPBEXinputData 4 28" xfId="40966" xr:uid="{00000000-0005-0000-0000-0000D9A10000}"/>
    <cellStyle name="SAPBEXinputData 4 29" xfId="40967" xr:uid="{00000000-0005-0000-0000-0000DAA10000}"/>
    <cellStyle name="SAPBEXinputData 4 3" xfId="40968" xr:uid="{00000000-0005-0000-0000-0000DBA10000}"/>
    <cellStyle name="SAPBEXinputData 4 30" xfId="40969" xr:uid="{00000000-0005-0000-0000-0000DCA10000}"/>
    <cellStyle name="SAPBEXinputData 4 4" xfId="40970" xr:uid="{00000000-0005-0000-0000-0000DDA10000}"/>
    <cellStyle name="SAPBEXinputData 4 5" xfId="40971" xr:uid="{00000000-0005-0000-0000-0000DEA10000}"/>
    <cellStyle name="SAPBEXinputData 4 6" xfId="40972" xr:uid="{00000000-0005-0000-0000-0000DFA10000}"/>
    <cellStyle name="SAPBEXinputData 4 7" xfId="40973" xr:uid="{00000000-0005-0000-0000-0000E0A10000}"/>
    <cellStyle name="SAPBEXinputData 4 8" xfId="40974" xr:uid="{00000000-0005-0000-0000-0000E1A10000}"/>
    <cellStyle name="SAPBEXinputData 4 9" xfId="40975" xr:uid="{00000000-0005-0000-0000-0000E2A10000}"/>
    <cellStyle name="SAPBEXinputData 5" xfId="40976" xr:uid="{00000000-0005-0000-0000-0000E3A10000}"/>
    <cellStyle name="SAPBEXinputData 5 10" xfId="40977" xr:uid="{00000000-0005-0000-0000-0000E4A10000}"/>
    <cellStyle name="SAPBEXinputData 5 11" xfId="40978" xr:uid="{00000000-0005-0000-0000-0000E5A10000}"/>
    <cellStyle name="SAPBEXinputData 5 12" xfId="40979" xr:uid="{00000000-0005-0000-0000-0000E6A10000}"/>
    <cellStyle name="SAPBEXinputData 5 13" xfId="40980" xr:uid="{00000000-0005-0000-0000-0000E7A10000}"/>
    <cellStyle name="SAPBEXinputData 5 14" xfId="40981" xr:uid="{00000000-0005-0000-0000-0000E8A10000}"/>
    <cellStyle name="SAPBEXinputData 5 15" xfId="40982" xr:uid="{00000000-0005-0000-0000-0000E9A10000}"/>
    <cellStyle name="SAPBEXinputData 5 16" xfId="40983" xr:uid="{00000000-0005-0000-0000-0000EAA10000}"/>
    <cellStyle name="SAPBEXinputData 5 17" xfId="40984" xr:uid="{00000000-0005-0000-0000-0000EBA10000}"/>
    <cellStyle name="SAPBEXinputData 5 18" xfId="40985" xr:uid="{00000000-0005-0000-0000-0000ECA10000}"/>
    <cellStyle name="SAPBEXinputData 5 19" xfId="40986" xr:uid="{00000000-0005-0000-0000-0000EDA10000}"/>
    <cellStyle name="SAPBEXinputData 5 2" xfId="40987" xr:uid="{00000000-0005-0000-0000-0000EEA10000}"/>
    <cellStyle name="SAPBEXinputData 5 2 10" xfId="40988" xr:uid="{00000000-0005-0000-0000-0000EFA10000}"/>
    <cellStyle name="SAPBEXinputData 5 2 11" xfId="40989" xr:uid="{00000000-0005-0000-0000-0000F0A10000}"/>
    <cellStyle name="SAPBEXinputData 5 2 12" xfId="40990" xr:uid="{00000000-0005-0000-0000-0000F1A10000}"/>
    <cellStyle name="SAPBEXinputData 5 2 13" xfId="40991" xr:uid="{00000000-0005-0000-0000-0000F2A10000}"/>
    <cellStyle name="SAPBEXinputData 5 2 2" xfId="40992" xr:uid="{00000000-0005-0000-0000-0000F3A10000}"/>
    <cellStyle name="SAPBEXinputData 5 2 3" xfId="40993" xr:uid="{00000000-0005-0000-0000-0000F4A10000}"/>
    <cellStyle name="SAPBEXinputData 5 2 4" xfId="40994" xr:uid="{00000000-0005-0000-0000-0000F5A10000}"/>
    <cellStyle name="SAPBEXinputData 5 2 5" xfId="40995" xr:uid="{00000000-0005-0000-0000-0000F6A10000}"/>
    <cellStyle name="SAPBEXinputData 5 2 6" xfId="40996" xr:uid="{00000000-0005-0000-0000-0000F7A10000}"/>
    <cellStyle name="SAPBEXinputData 5 2 7" xfId="40997" xr:uid="{00000000-0005-0000-0000-0000F8A10000}"/>
    <cellStyle name="SAPBEXinputData 5 2 8" xfId="40998" xr:uid="{00000000-0005-0000-0000-0000F9A10000}"/>
    <cellStyle name="SAPBEXinputData 5 2 9" xfId="40999" xr:uid="{00000000-0005-0000-0000-0000FAA10000}"/>
    <cellStyle name="SAPBEXinputData 5 20" xfId="41000" xr:uid="{00000000-0005-0000-0000-0000FBA10000}"/>
    <cellStyle name="SAPBEXinputData 5 21" xfId="41001" xr:uid="{00000000-0005-0000-0000-0000FCA10000}"/>
    <cellStyle name="SAPBEXinputData 5 22" xfId="41002" xr:uid="{00000000-0005-0000-0000-0000FDA10000}"/>
    <cellStyle name="SAPBEXinputData 5 23" xfId="41003" xr:uid="{00000000-0005-0000-0000-0000FEA10000}"/>
    <cellStyle name="SAPBEXinputData 5 24" xfId="41004" xr:uid="{00000000-0005-0000-0000-0000FFA10000}"/>
    <cellStyle name="SAPBEXinputData 5 25" xfId="41005" xr:uid="{00000000-0005-0000-0000-000000A20000}"/>
    <cellStyle name="SAPBEXinputData 5 26" xfId="41006" xr:uid="{00000000-0005-0000-0000-000001A20000}"/>
    <cellStyle name="SAPBEXinputData 5 27" xfId="41007" xr:uid="{00000000-0005-0000-0000-000002A20000}"/>
    <cellStyle name="SAPBEXinputData 5 28" xfId="41008" xr:uid="{00000000-0005-0000-0000-000003A20000}"/>
    <cellStyle name="SAPBEXinputData 5 29" xfId="41009" xr:uid="{00000000-0005-0000-0000-000004A20000}"/>
    <cellStyle name="SAPBEXinputData 5 3" xfId="41010" xr:uid="{00000000-0005-0000-0000-000005A20000}"/>
    <cellStyle name="SAPBEXinputData 5 30" xfId="41011" xr:uid="{00000000-0005-0000-0000-000006A20000}"/>
    <cellStyle name="SAPBEXinputData 5 4" xfId="41012" xr:uid="{00000000-0005-0000-0000-000007A20000}"/>
    <cellStyle name="SAPBEXinputData 5 5" xfId="41013" xr:uid="{00000000-0005-0000-0000-000008A20000}"/>
    <cellStyle name="SAPBEXinputData 5 6" xfId="41014" xr:uid="{00000000-0005-0000-0000-000009A20000}"/>
    <cellStyle name="SAPBEXinputData 5 7" xfId="41015" xr:uid="{00000000-0005-0000-0000-00000AA20000}"/>
    <cellStyle name="SAPBEXinputData 5 8" xfId="41016" xr:uid="{00000000-0005-0000-0000-00000BA20000}"/>
    <cellStyle name="SAPBEXinputData 5 9" xfId="41017" xr:uid="{00000000-0005-0000-0000-00000CA20000}"/>
    <cellStyle name="SAPBEXinputData 6" xfId="41018" xr:uid="{00000000-0005-0000-0000-00000DA20000}"/>
    <cellStyle name="SAPBEXinputData 6 10" xfId="41019" xr:uid="{00000000-0005-0000-0000-00000EA20000}"/>
    <cellStyle name="SAPBEXinputData 6 11" xfId="41020" xr:uid="{00000000-0005-0000-0000-00000FA20000}"/>
    <cellStyle name="SAPBEXinputData 6 12" xfId="41021" xr:uid="{00000000-0005-0000-0000-000010A20000}"/>
    <cellStyle name="SAPBEXinputData 6 13" xfId="41022" xr:uid="{00000000-0005-0000-0000-000011A20000}"/>
    <cellStyle name="SAPBEXinputData 6 2" xfId="41023" xr:uid="{00000000-0005-0000-0000-000012A20000}"/>
    <cellStyle name="SAPBEXinputData 6 3" xfId="41024" xr:uid="{00000000-0005-0000-0000-000013A20000}"/>
    <cellStyle name="SAPBEXinputData 6 4" xfId="41025" xr:uid="{00000000-0005-0000-0000-000014A20000}"/>
    <cellStyle name="SAPBEXinputData 6 5" xfId="41026" xr:uid="{00000000-0005-0000-0000-000015A20000}"/>
    <cellStyle name="SAPBEXinputData 6 6" xfId="41027" xr:uid="{00000000-0005-0000-0000-000016A20000}"/>
    <cellStyle name="SAPBEXinputData 6 7" xfId="41028" xr:uid="{00000000-0005-0000-0000-000017A20000}"/>
    <cellStyle name="SAPBEXinputData 6 8" xfId="41029" xr:uid="{00000000-0005-0000-0000-000018A20000}"/>
    <cellStyle name="SAPBEXinputData 6 9" xfId="41030" xr:uid="{00000000-0005-0000-0000-000019A20000}"/>
    <cellStyle name="SAPBEXinputData 7" xfId="41031" xr:uid="{00000000-0005-0000-0000-00001AA20000}"/>
    <cellStyle name="SAPBEXinputData 8" xfId="41032" xr:uid="{00000000-0005-0000-0000-00001BA20000}"/>
    <cellStyle name="SAPBEXinputData 9" xfId="41033" xr:uid="{00000000-0005-0000-0000-00001CA20000}"/>
    <cellStyle name="SAPBEXinputData_0910 GSO Capex RRP - Final (Detail) v2 220710" xfId="41034" xr:uid="{00000000-0005-0000-0000-00001DA20000}"/>
    <cellStyle name="SAPBEXItemHeader" xfId="41035" xr:uid="{00000000-0005-0000-0000-00001EA20000}"/>
    <cellStyle name="SAPBEXItemHeader 10" xfId="41036" xr:uid="{00000000-0005-0000-0000-00001FA20000}"/>
    <cellStyle name="SAPBEXItemHeader 11" xfId="41037" xr:uid="{00000000-0005-0000-0000-000020A20000}"/>
    <cellStyle name="SAPBEXItemHeader 12" xfId="41038" xr:uid="{00000000-0005-0000-0000-000021A20000}"/>
    <cellStyle name="SAPBEXItemHeader 13" xfId="41039" xr:uid="{00000000-0005-0000-0000-000022A20000}"/>
    <cellStyle name="SAPBEXItemHeader 14" xfId="41040" xr:uid="{00000000-0005-0000-0000-000023A20000}"/>
    <cellStyle name="SAPBEXItemHeader 15" xfId="41041" xr:uid="{00000000-0005-0000-0000-000024A20000}"/>
    <cellStyle name="SAPBEXItemHeader 16" xfId="41042" xr:uid="{00000000-0005-0000-0000-000025A20000}"/>
    <cellStyle name="SAPBEXItemHeader 17" xfId="41043" xr:uid="{00000000-0005-0000-0000-000026A20000}"/>
    <cellStyle name="SAPBEXItemHeader 18" xfId="41044" xr:uid="{00000000-0005-0000-0000-000027A20000}"/>
    <cellStyle name="SAPBEXItemHeader 19" xfId="41045" xr:uid="{00000000-0005-0000-0000-000028A20000}"/>
    <cellStyle name="SAPBEXItemHeader 2" xfId="41046" xr:uid="{00000000-0005-0000-0000-000029A20000}"/>
    <cellStyle name="SAPBEXItemHeader 20" xfId="41047" xr:uid="{00000000-0005-0000-0000-00002AA20000}"/>
    <cellStyle name="SAPBEXItemHeader 21" xfId="41048" xr:uid="{00000000-0005-0000-0000-00002BA20000}"/>
    <cellStyle name="SAPBEXItemHeader 22" xfId="41049" xr:uid="{00000000-0005-0000-0000-00002CA20000}"/>
    <cellStyle name="SAPBEXItemHeader 23" xfId="41050" xr:uid="{00000000-0005-0000-0000-00002DA20000}"/>
    <cellStyle name="SAPBEXItemHeader 24" xfId="41051" xr:uid="{00000000-0005-0000-0000-00002EA20000}"/>
    <cellStyle name="SAPBEXItemHeader 25" xfId="41052" xr:uid="{00000000-0005-0000-0000-00002FA20000}"/>
    <cellStyle name="SAPBEXItemHeader 26" xfId="41053" xr:uid="{00000000-0005-0000-0000-000030A20000}"/>
    <cellStyle name="SAPBEXItemHeader 27" xfId="41054" xr:uid="{00000000-0005-0000-0000-000031A20000}"/>
    <cellStyle name="SAPBEXItemHeader 28" xfId="41055" xr:uid="{00000000-0005-0000-0000-000032A20000}"/>
    <cellStyle name="SAPBEXItemHeader 29" xfId="41056" xr:uid="{00000000-0005-0000-0000-000033A20000}"/>
    <cellStyle name="SAPBEXItemHeader 3" xfId="41057" xr:uid="{00000000-0005-0000-0000-000034A20000}"/>
    <cellStyle name="SAPBEXItemHeader 30" xfId="41058" xr:uid="{00000000-0005-0000-0000-000035A20000}"/>
    <cellStyle name="SAPBEXItemHeader 31" xfId="41059" xr:uid="{00000000-0005-0000-0000-000036A20000}"/>
    <cellStyle name="SAPBEXItemHeader 32" xfId="41060" xr:uid="{00000000-0005-0000-0000-000037A20000}"/>
    <cellStyle name="SAPBEXItemHeader 4" xfId="41061" xr:uid="{00000000-0005-0000-0000-000038A20000}"/>
    <cellStyle name="SAPBEXItemHeader 5" xfId="41062" xr:uid="{00000000-0005-0000-0000-000039A20000}"/>
    <cellStyle name="SAPBEXItemHeader 6" xfId="41063" xr:uid="{00000000-0005-0000-0000-00003AA20000}"/>
    <cellStyle name="SAPBEXItemHeader 7" xfId="41064" xr:uid="{00000000-0005-0000-0000-00003BA20000}"/>
    <cellStyle name="SAPBEXItemHeader 8" xfId="41065" xr:uid="{00000000-0005-0000-0000-00003CA20000}"/>
    <cellStyle name="SAPBEXItemHeader 9" xfId="41066" xr:uid="{00000000-0005-0000-0000-00003DA20000}"/>
    <cellStyle name="SAPBEXresData" xfId="41067" xr:uid="{00000000-0005-0000-0000-00003EA20000}"/>
    <cellStyle name="SAPBEXresData 10" xfId="41068" xr:uid="{00000000-0005-0000-0000-00003FA20000}"/>
    <cellStyle name="SAPBEXresData 11" xfId="41069" xr:uid="{00000000-0005-0000-0000-000040A20000}"/>
    <cellStyle name="SAPBEXresData 12" xfId="41070" xr:uid="{00000000-0005-0000-0000-000041A20000}"/>
    <cellStyle name="SAPBEXresData 13" xfId="41071" xr:uid="{00000000-0005-0000-0000-000042A20000}"/>
    <cellStyle name="SAPBEXresData 14" xfId="41072" xr:uid="{00000000-0005-0000-0000-000043A20000}"/>
    <cellStyle name="SAPBEXresData 15" xfId="41073" xr:uid="{00000000-0005-0000-0000-000044A20000}"/>
    <cellStyle name="SAPBEXresData 16" xfId="41074" xr:uid="{00000000-0005-0000-0000-000045A20000}"/>
    <cellStyle name="SAPBEXresData 17" xfId="41075" xr:uid="{00000000-0005-0000-0000-000046A20000}"/>
    <cellStyle name="SAPBEXresData 18" xfId="41076" xr:uid="{00000000-0005-0000-0000-000047A20000}"/>
    <cellStyle name="SAPBEXresData 19" xfId="41077" xr:uid="{00000000-0005-0000-0000-000048A20000}"/>
    <cellStyle name="SAPBEXresData 2" xfId="41078" xr:uid="{00000000-0005-0000-0000-000049A20000}"/>
    <cellStyle name="SAPBEXresData 20" xfId="41079" xr:uid="{00000000-0005-0000-0000-00004AA20000}"/>
    <cellStyle name="SAPBEXresData 21" xfId="41080" xr:uid="{00000000-0005-0000-0000-00004BA20000}"/>
    <cellStyle name="SAPBEXresData 22" xfId="41081" xr:uid="{00000000-0005-0000-0000-00004CA20000}"/>
    <cellStyle name="SAPBEXresData 23" xfId="41082" xr:uid="{00000000-0005-0000-0000-00004DA20000}"/>
    <cellStyle name="SAPBEXresData 24" xfId="41083" xr:uid="{00000000-0005-0000-0000-00004EA20000}"/>
    <cellStyle name="SAPBEXresData 25" xfId="41084" xr:uid="{00000000-0005-0000-0000-00004FA20000}"/>
    <cellStyle name="SAPBEXresData 26" xfId="41085" xr:uid="{00000000-0005-0000-0000-000050A20000}"/>
    <cellStyle name="SAPBEXresData 27" xfId="41086" xr:uid="{00000000-0005-0000-0000-000051A20000}"/>
    <cellStyle name="SAPBEXresData 28" xfId="41087" xr:uid="{00000000-0005-0000-0000-000052A20000}"/>
    <cellStyle name="SAPBEXresData 29" xfId="41088" xr:uid="{00000000-0005-0000-0000-000053A20000}"/>
    <cellStyle name="SAPBEXresData 3" xfId="41089" xr:uid="{00000000-0005-0000-0000-000054A20000}"/>
    <cellStyle name="SAPBEXresData 30" xfId="41090" xr:uid="{00000000-0005-0000-0000-000055A20000}"/>
    <cellStyle name="SAPBEXresData 31" xfId="41091" xr:uid="{00000000-0005-0000-0000-000056A20000}"/>
    <cellStyle name="SAPBEXresData 32" xfId="41092" xr:uid="{00000000-0005-0000-0000-000057A20000}"/>
    <cellStyle name="SAPBEXresData 4" xfId="41093" xr:uid="{00000000-0005-0000-0000-000058A20000}"/>
    <cellStyle name="SAPBEXresData 5" xfId="41094" xr:uid="{00000000-0005-0000-0000-000059A20000}"/>
    <cellStyle name="SAPBEXresData 6" xfId="41095" xr:uid="{00000000-0005-0000-0000-00005AA20000}"/>
    <cellStyle name="SAPBEXresData 7" xfId="41096" xr:uid="{00000000-0005-0000-0000-00005BA20000}"/>
    <cellStyle name="SAPBEXresData 8" xfId="41097" xr:uid="{00000000-0005-0000-0000-00005CA20000}"/>
    <cellStyle name="SAPBEXresData 9" xfId="41098" xr:uid="{00000000-0005-0000-0000-00005DA20000}"/>
    <cellStyle name="SAPBEXresDataEmph" xfId="41099" xr:uid="{00000000-0005-0000-0000-00005EA20000}"/>
    <cellStyle name="SAPBEXresDataEmph 10" xfId="41100" xr:uid="{00000000-0005-0000-0000-00005FA20000}"/>
    <cellStyle name="SAPBEXresDataEmph 11" xfId="41101" xr:uid="{00000000-0005-0000-0000-000060A20000}"/>
    <cellStyle name="SAPBEXresDataEmph 12" xfId="41102" xr:uid="{00000000-0005-0000-0000-000061A20000}"/>
    <cellStyle name="SAPBEXresDataEmph 13" xfId="41103" xr:uid="{00000000-0005-0000-0000-000062A20000}"/>
    <cellStyle name="SAPBEXresDataEmph 14" xfId="41104" xr:uid="{00000000-0005-0000-0000-000063A20000}"/>
    <cellStyle name="SAPBEXresDataEmph 15" xfId="41105" xr:uid="{00000000-0005-0000-0000-000064A20000}"/>
    <cellStyle name="SAPBEXresDataEmph 16" xfId="41106" xr:uid="{00000000-0005-0000-0000-000065A20000}"/>
    <cellStyle name="SAPBEXresDataEmph 17" xfId="41107" xr:uid="{00000000-0005-0000-0000-000066A20000}"/>
    <cellStyle name="SAPBEXresDataEmph 18" xfId="41108" xr:uid="{00000000-0005-0000-0000-000067A20000}"/>
    <cellStyle name="SAPBEXresDataEmph 19" xfId="41109" xr:uid="{00000000-0005-0000-0000-000068A20000}"/>
    <cellStyle name="SAPBEXresDataEmph 2" xfId="41110" xr:uid="{00000000-0005-0000-0000-000069A20000}"/>
    <cellStyle name="SAPBEXresDataEmph 20" xfId="41111" xr:uid="{00000000-0005-0000-0000-00006AA20000}"/>
    <cellStyle name="SAPBEXresDataEmph 21" xfId="41112" xr:uid="{00000000-0005-0000-0000-00006BA20000}"/>
    <cellStyle name="SAPBEXresDataEmph 22" xfId="41113" xr:uid="{00000000-0005-0000-0000-00006CA20000}"/>
    <cellStyle name="SAPBEXresDataEmph 23" xfId="41114" xr:uid="{00000000-0005-0000-0000-00006DA20000}"/>
    <cellStyle name="SAPBEXresDataEmph 24" xfId="41115" xr:uid="{00000000-0005-0000-0000-00006EA20000}"/>
    <cellStyle name="SAPBEXresDataEmph 25" xfId="41116" xr:uid="{00000000-0005-0000-0000-00006FA20000}"/>
    <cellStyle name="SAPBEXresDataEmph 26" xfId="41117" xr:uid="{00000000-0005-0000-0000-000070A20000}"/>
    <cellStyle name="SAPBEXresDataEmph 27" xfId="41118" xr:uid="{00000000-0005-0000-0000-000071A20000}"/>
    <cellStyle name="SAPBEXresDataEmph 28" xfId="41119" xr:uid="{00000000-0005-0000-0000-000072A20000}"/>
    <cellStyle name="SAPBEXresDataEmph 29" xfId="41120" xr:uid="{00000000-0005-0000-0000-000073A20000}"/>
    <cellStyle name="SAPBEXresDataEmph 3" xfId="41121" xr:uid="{00000000-0005-0000-0000-000074A20000}"/>
    <cellStyle name="SAPBEXresDataEmph 30" xfId="41122" xr:uid="{00000000-0005-0000-0000-000075A20000}"/>
    <cellStyle name="SAPBEXresDataEmph 31" xfId="41123" xr:uid="{00000000-0005-0000-0000-000076A20000}"/>
    <cellStyle name="SAPBEXresDataEmph 32" xfId="41124" xr:uid="{00000000-0005-0000-0000-000077A20000}"/>
    <cellStyle name="SAPBEXresDataEmph 4" xfId="41125" xr:uid="{00000000-0005-0000-0000-000078A20000}"/>
    <cellStyle name="SAPBEXresDataEmph 5" xfId="41126" xr:uid="{00000000-0005-0000-0000-000079A20000}"/>
    <cellStyle name="SAPBEXresDataEmph 6" xfId="41127" xr:uid="{00000000-0005-0000-0000-00007AA20000}"/>
    <cellStyle name="SAPBEXresDataEmph 7" xfId="41128" xr:uid="{00000000-0005-0000-0000-00007BA20000}"/>
    <cellStyle name="SAPBEXresDataEmph 8" xfId="41129" xr:uid="{00000000-0005-0000-0000-00007CA20000}"/>
    <cellStyle name="SAPBEXresDataEmph 9" xfId="41130" xr:uid="{00000000-0005-0000-0000-00007DA20000}"/>
    <cellStyle name="SAPBEXresItem" xfId="41131" xr:uid="{00000000-0005-0000-0000-00007EA20000}"/>
    <cellStyle name="SAPBEXresItem 10" xfId="41132" xr:uid="{00000000-0005-0000-0000-00007FA20000}"/>
    <cellStyle name="SAPBEXresItem 11" xfId="41133" xr:uid="{00000000-0005-0000-0000-000080A20000}"/>
    <cellStyle name="SAPBEXresItem 12" xfId="41134" xr:uid="{00000000-0005-0000-0000-000081A20000}"/>
    <cellStyle name="SAPBEXresItem 13" xfId="41135" xr:uid="{00000000-0005-0000-0000-000082A20000}"/>
    <cellStyle name="SAPBEXresItem 14" xfId="41136" xr:uid="{00000000-0005-0000-0000-000083A20000}"/>
    <cellStyle name="SAPBEXresItem 15" xfId="41137" xr:uid="{00000000-0005-0000-0000-000084A20000}"/>
    <cellStyle name="SAPBEXresItem 16" xfId="41138" xr:uid="{00000000-0005-0000-0000-000085A20000}"/>
    <cellStyle name="SAPBEXresItem 17" xfId="41139" xr:uid="{00000000-0005-0000-0000-000086A20000}"/>
    <cellStyle name="SAPBEXresItem 18" xfId="41140" xr:uid="{00000000-0005-0000-0000-000087A20000}"/>
    <cellStyle name="SAPBEXresItem 19" xfId="41141" xr:uid="{00000000-0005-0000-0000-000088A20000}"/>
    <cellStyle name="SAPBEXresItem 2" xfId="41142" xr:uid="{00000000-0005-0000-0000-000089A20000}"/>
    <cellStyle name="SAPBEXresItem 20" xfId="41143" xr:uid="{00000000-0005-0000-0000-00008AA20000}"/>
    <cellStyle name="SAPBEXresItem 21" xfId="41144" xr:uid="{00000000-0005-0000-0000-00008BA20000}"/>
    <cellStyle name="SAPBEXresItem 22" xfId="41145" xr:uid="{00000000-0005-0000-0000-00008CA20000}"/>
    <cellStyle name="SAPBEXresItem 23" xfId="41146" xr:uid="{00000000-0005-0000-0000-00008DA20000}"/>
    <cellStyle name="SAPBEXresItem 24" xfId="41147" xr:uid="{00000000-0005-0000-0000-00008EA20000}"/>
    <cellStyle name="SAPBEXresItem 25" xfId="41148" xr:uid="{00000000-0005-0000-0000-00008FA20000}"/>
    <cellStyle name="SAPBEXresItem 26" xfId="41149" xr:uid="{00000000-0005-0000-0000-000090A20000}"/>
    <cellStyle name="SAPBEXresItem 27" xfId="41150" xr:uid="{00000000-0005-0000-0000-000091A20000}"/>
    <cellStyle name="SAPBEXresItem 28" xfId="41151" xr:uid="{00000000-0005-0000-0000-000092A20000}"/>
    <cellStyle name="SAPBEXresItem 29" xfId="41152" xr:uid="{00000000-0005-0000-0000-000093A20000}"/>
    <cellStyle name="SAPBEXresItem 3" xfId="41153" xr:uid="{00000000-0005-0000-0000-000094A20000}"/>
    <cellStyle name="SAPBEXresItem 30" xfId="41154" xr:uid="{00000000-0005-0000-0000-000095A20000}"/>
    <cellStyle name="SAPBEXresItem 31" xfId="41155" xr:uid="{00000000-0005-0000-0000-000096A20000}"/>
    <cellStyle name="SAPBEXresItem 32" xfId="41156" xr:uid="{00000000-0005-0000-0000-000097A20000}"/>
    <cellStyle name="SAPBEXresItem 4" xfId="41157" xr:uid="{00000000-0005-0000-0000-000098A20000}"/>
    <cellStyle name="SAPBEXresItem 5" xfId="41158" xr:uid="{00000000-0005-0000-0000-000099A20000}"/>
    <cellStyle name="SAPBEXresItem 6" xfId="41159" xr:uid="{00000000-0005-0000-0000-00009AA20000}"/>
    <cellStyle name="SAPBEXresItem 7" xfId="41160" xr:uid="{00000000-0005-0000-0000-00009BA20000}"/>
    <cellStyle name="SAPBEXresItem 8" xfId="41161" xr:uid="{00000000-0005-0000-0000-00009CA20000}"/>
    <cellStyle name="SAPBEXresItem 9" xfId="41162" xr:uid="{00000000-0005-0000-0000-00009DA20000}"/>
    <cellStyle name="SAPBEXresItemX" xfId="41163" xr:uid="{00000000-0005-0000-0000-00009EA20000}"/>
    <cellStyle name="SAPBEXresItemX 10" xfId="41164" xr:uid="{00000000-0005-0000-0000-00009FA20000}"/>
    <cellStyle name="SAPBEXresItemX 11" xfId="41165" xr:uid="{00000000-0005-0000-0000-0000A0A20000}"/>
    <cellStyle name="SAPBEXresItemX 12" xfId="41166" xr:uid="{00000000-0005-0000-0000-0000A1A20000}"/>
    <cellStyle name="SAPBEXresItemX 13" xfId="41167" xr:uid="{00000000-0005-0000-0000-0000A2A20000}"/>
    <cellStyle name="SAPBEXresItemX 14" xfId="41168" xr:uid="{00000000-0005-0000-0000-0000A3A20000}"/>
    <cellStyle name="SAPBEXresItemX 15" xfId="41169" xr:uid="{00000000-0005-0000-0000-0000A4A20000}"/>
    <cellStyle name="SAPBEXresItemX 16" xfId="41170" xr:uid="{00000000-0005-0000-0000-0000A5A20000}"/>
    <cellStyle name="SAPBEXresItemX 17" xfId="41171" xr:uid="{00000000-0005-0000-0000-0000A6A20000}"/>
    <cellStyle name="SAPBEXresItemX 18" xfId="41172" xr:uid="{00000000-0005-0000-0000-0000A7A20000}"/>
    <cellStyle name="SAPBEXresItemX 19" xfId="41173" xr:uid="{00000000-0005-0000-0000-0000A8A20000}"/>
    <cellStyle name="SAPBEXresItemX 2" xfId="41174" xr:uid="{00000000-0005-0000-0000-0000A9A20000}"/>
    <cellStyle name="SAPBEXresItemX 20" xfId="41175" xr:uid="{00000000-0005-0000-0000-0000AAA20000}"/>
    <cellStyle name="SAPBEXresItemX 21" xfId="41176" xr:uid="{00000000-0005-0000-0000-0000ABA20000}"/>
    <cellStyle name="SAPBEXresItemX 22" xfId="41177" xr:uid="{00000000-0005-0000-0000-0000ACA20000}"/>
    <cellStyle name="SAPBEXresItemX 23" xfId="41178" xr:uid="{00000000-0005-0000-0000-0000ADA20000}"/>
    <cellStyle name="SAPBEXresItemX 24" xfId="41179" xr:uid="{00000000-0005-0000-0000-0000AEA20000}"/>
    <cellStyle name="SAPBEXresItemX 25" xfId="41180" xr:uid="{00000000-0005-0000-0000-0000AFA20000}"/>
    <cellStyle name="SAPBEXresItemX 26" xfId="41181" xr:uid="{00000000-0005-0000-0000-0000B0A20000}"/>
    <cellStyle name="SAPBEXresItemX 27" xfId="41182" xr:uid="{00000000-0005-0000-0000-0000B1A20000}"/>
    <cellStyle name="SAPBEXresItemX 28" xfId="41183" xr:uid="{00000000-0005-0000-0000-0000B2A20000}"/>
    <cellStyle name="SAPBEXresItemX 29" xfId="41184" xr:uid="{00000000-0005-0000-0000-0000B3A20000}"/>
    <cellStyle name="SAPBEXresItemX 3" xfId="41185" xr:uid="{00000000-0005-0000-0000-0000B4A20000}"/>
    <cellStyle name="SAPBEXresItemX 30" xfId="41186" xr:uid="{00000000-0005-0000-0000-0000B5A20000}"/>
    <cellStyle name="SAPBEXresItemX 31" xfId="41187" xr:uid="{00000000-0005-0000-0000-0000B6A20000}"/>
    <cellStyle name="SAPBEXresItemX 32" xfId="41188" xr:uid="{00000000-0005-0000-0000-0000B7A20000}"/>
    <cellStyle name="SAPBEXresItemX 4" xfId="41189" xr:uid="{00000000-0005-0000-0000-0000B8A20000}"/>
    <cellStyle name="SAPBEXresItemX 5" xfId="41190" xr:uid="{00000000-0005-0000-0000-0000B9A20000}"/>
    <cellStyle name="SAPBEXresItemX 6" xfId="41191" xr:uid="{00000000-0005-0000-0000-0000BAA20000}"/>
    <cellStyle name="SAPBEXresItemX 7" xfId="41192" xr:uid="{00000000-0005-0000-0000-0000BBA20000}"/>
    <cellStyle name="SAPBEXresItemX 8" xfId="41193" xr:uid="{00000000-0005-0000-0000-0000BCA20000}"/>
    <cellStyle name="SAPBEXresItemX 9" xfId="41194" xr:uid="{00000000-0005-0000-0000-0000BDA20000}"/>
    <cellStyle name="SAPBEXstdData" xfId="41195" xr:uid="{00000000-0005-0000-0000-0000BEA20000}"/>
    <cellStyle name="SAPBEXstdData 10" xfId="41196" xr:uid="{00000000-0005-0000-0000-0000BFA20000}"/>
    <cellStyle name="SAPBEXstdData 11" xfId="41197" xr:uid="{00000000-0005-0000-0000-0000C0A20000}"/>
    <cellStyle name="SAPBEXstdData 12" xfId="41198" xr:uid="{00000000-0005-0000-0000-0000C1A20000}"/>
    <cellStyle name="SAPBEXstdData 13" xfId="41199" xr:uid="{00000000-0005-0000-0000-0000C2A20000}"/>
    <cellStyle name="SAPBEXstdData 14" xfId="41200" xr:uid="{00000000-0005-0000-0000-0000C3A20000}"/>
    <cellStyle name="SAPBEXstdData 15" xfId="41201" xr:uid="{00000000-0005-0000-0000-0000C4A20000}"/>
    <cellStyle name="SAPBEXstdData 16" xfId="41202" xr:uid="{00000000-0005-0000-0000-0000C5A20000}"/>
    <cellStyle name="SAPBEXstdData 17" xfId="41203" xr:uid="{00000000-0005-0000-0000-0000C6A20000}"/>
    <cellStyle name="SAPBEXstdData 18" xfId="41204" xr:uid="{00000000-0005-0000-0000-0000C7A20000}"/>
    <cellStyle name="SAPBEXstdData 19" xfId="41205" xr:uid="{00000000-0005-0000-0000-0000C8A20000}"/>
    <cellStyle name="SAPBEXstdData 2" xfId="41206" xr:uid="{00000000-0005-0000-0000-0000C9A20000}"/>
    <cellStyle name="SAPBEXstdData 20" xfId="41207" xr:uid="{00000000-0005-0000-0000-0000CAA20000}"/>
    <cellStyle name="SAPBEXstdData 21" xfId="41208" xr:uid="{00000000-0005-0000-0000-0000CBA20000}"/>
    <cellStyle name="SAPBEXstdData 22" xfId="41209" xr:uid="{00000000-0005-0000-0000-0000CCA20000}"/>
    <cellStyle name="SAPBEXstdData 23" xfId="41210" xr:uid="{00000000-0005-0000-0000-0000CDA20000}"/>
    <cellStyle name="SAPBEXstdData 24" xfId="41211" xr:uid="{00000000-0005-0000-0000-0000CEA20000}"/>
    <cellStyle name="SAPBEXstdData 25" xfId="41212" xr:uid="{00000000-0005-0000-0000-0000CFA20000}"/>
    <cellStyle name="SAPBEXstdData 26" xfId="41213" xr:uid="{00000000-0005-0000-0000-0000D0A20000}"/>
    <cellStyle name="SAPBEXstdData 27" xfId="41214" xr:uid="{00000000-0005-0000-0000-0000D1A20000}"/>
    <cellStyle name="SAPBEXstdData 28" xfId="41215" xr:uid="{00000000-0005-0000-0000-0000D2A20000}"/>
    <cellStyle name="SAPBEXstdData 29" xfId="41216" xr:uid="{00000000-0005-0000-0000-0000D3A20000}"/>
    <cellStyle name="SAPBEXstdData 3" xfId="41217" xr:uid="{00000000-0005-0000-0000-0000D4A20000}"/>
    <cellStyle name="SAPBEXstdData 30" xfId="41218" xr:uid="{00000000-0005-0000-0000-0000D5A20000}"/>
    <cellStyle name="SAPBEXstdData 31" xfId="41219" xr:uid="{00000000-0005-0000-0000-0000D6A20000}"/>
    <cellStyle name="SAPBEXstdData 32" xfId="41220" xr:uid="{00000000-0005-0000-0000-0000D7A20000}"/>
    <cellStyle name="SAPBEXstdData 4" xfId="41221" xr:uid="{00000000-0005-0000-0000-0000D8A20000}"/>
    <cellStyle name="SAPBEXstdData 5" xfId="41222" xr:uid="{00000000-0005-0000-0000-0000D9A20000}"/>
    <cellStyle name="SAPBEXstdData 6" xfId="41223" xr:uid="{00000000-0005-0000-0000-0000DAA20000}"/>
    <cellStyle name="SAPBEXstdData 7" xfId="41224" xr:uid="{00000000-0005-0000-0000-0000DBA20000}"/>
    <cellStyle name="SAPBEXstdData 8" xfId="41225" xr:uid="{00000000-0005-0000-0000-0000DCA20000}"/>
    <cellStyle name="SAPBEXstdData 9" xfId="41226" xr:uid="{00000000-0005-0000-0000-0000DDA20000}"/>
    <cellStyle name="SAPBEXstdDataEmph" xfId="41227" xr:uid="{00000000-0005-0000-0000-0000DEA20000}"/>
    <cellStyle name="SAPBEXstdDataEmph 10" xfId="41228" xr:uid="{00000000-0005-0000-0000-0000DFA20000}"/>
    <cellStyle name="SAPBEXstdDataEmph 11" xfId="41229" xr:uid="{00000000-0005-0000-0000-0000E0A20000}"/>
    <cellStyle name="SAPBEXstdDataEmph 12" xfId="41230" xr:uid="{00000000-0005-0000-0000-0000E1A20000}"/>
    <cellStyle name="SAPBEXstdDataEmph 13" xfId="41231" xr:uid="{00000000-0005-0000-0000-0000E2A20000}"/>
    <cellStyle name="SAPBEXstdDataEmph 14" xfId="41232" xr:uid="{00000000-0005-0000-0000-0000E3A20000}"/>
    <cellStyle name="SAPBEXstdDataEmph 15" xfId="41233" xr:uid="{00000000-0005-0000-0000-0000E4A20000}"/>
    <cellStyle name="SAPBEXstdDataEmph 16" xfId="41234" xr:uid="{00000000-0005-0000-0000-0000E5A20000}"/>
    <cellStyle name="SAPBEXstdDataEmph 17" xfId="41235" xr:uid="{00000000-0005-0000-0000-0000E6A20000}"/>
    <cellStyle name="SAPBEXstdDataEmph 18" xfId="41236" xr:uid="{00000000-0005-0000-0000-0000E7A20000}"/>
    <cellStyle name="SAPBEXstdDataEmph 19" xfId="41237" xr:uid="{00000000-0005-0000-0000-0000E8A20000}"/>
    <cellStyle name="SAPBEXstdDataEmph 2" xfId="41238" xr:uid="{00000000-0005-0000-0000-0000E9A20000}"/>
    <cellStyle name="SAPBEXstdDataEmph 20" xfId="41239" xr:uid="{00000000-0005-0000-0000-0000EAA20000}"/>
    <cellStyle name="SAPBEXstdDataEmph 21" xfId="41240" xr:uid="{00000000-0005-0000-0000-0000EBA20000}"/>
    <cellStyle name="SAPBEXstdDataEmph 22" xfId="41241" xr:uid="{00000000-0005-0000-0000-0000ECA20000}"/>
    <cellStyle name="SAPBEXstdDataEmph 23" xfId="41242" xr:uid="{00000000-0005-0000-0000-0000EDA20000}"/>
    <cellStyle name="SAPBEXstdDataEmph 24" xfId="41243" xr:uid="{00000000-0005-0000-0000-0000EEA20000}"/>
    <cellStyle name="SAPBEXstdDataEmph 25" xfId="41244" xr:uid="{00000000-0005-0000-0000-0000EFA20000}"/>
    <cellStyle name="SAPBEXstdDataEmph 26" xfId="41245" xr:uid="{00000000-0005-0000-0000-0000F0A20000}"/>
    <cellStyle name="SAPBEXstdDataEmph 27" xfId="41246" xr:uid="{00000000-0005-0000-0000-0000F1A20000}"/>
    <cellStyle name="SAPBEXstdDataEmph 28" xfId="41247" xr:uid="{00000000-0005-0000-0000-0000F2A20000}"/>
    <cellStyle name="SAPBEXstdDataEmph 29" xfId="41248" xr:uid="{00000000-0005-0000-0000-0000F3A20000}"/>
    <cellStyle name="SAPBEXstdDataEmph 3" xfId="41249" xr:uid="{00000000-0005-0000-0000-0000F4A20000}"/>
    <cellStyle name="SAPBEXstdDataEmph 30" xfId="41250" xr:uid="{00000000-0005-0000-0000-0000F5A20000}"/>
    <cellStyle name="SAPBEXstdDataEmph 31" xfId="41251" xr:uid="{00000000-0005-0000-0000-0000F6A20000}"/>
    <cellStyle name="SAPBEXstdDataEmph 32" xfId="41252" xr:uid="{00000000-0005-0000-0000-0000F7A20000}"/>
    <cellStyle name="SAPBEXstdDataEmph 4" xfId="41253" xr:uid="{00000000-0005-0000-0000-0000F8A20000}"/>
    <cellStyle name="SAPBEXstdDataEmph 5" xfId="41254" xr:uid="{00000000-0005-0000-0000-0000F9A20000}"/>
    <cellStyle name="SAPBEXstdDataEmph 6" xfId="41255" xr:uid="{00000000-0005-0000-0000-0000FAA20000}"/>
    <cellStyle name="SAPBEXstdDataEmph 7" xfId="41256" xr:uid="{00000000-0005-0000-0000-0000FBA20000}"/>
    <cellStyle name="SAPBEXstdDataEmph 8" xfId="41257" xr:uid="{00000000-0005-0000-0000-0000FCA20000}"/>
    <cellStyle name="SAPBEXstdDataEmph 9" xfId="41258" xr:uid="{00000000-0005-0000-0000-0000FDA20000}"/>
    <cellStyle name="SAPBEXstdItem" xfId="41259" xr:uid="{00000000-0005-0000-0000-0000FEA20000}"/>
    <cellStyle name="SAPBEXstdItem 10" xfId="41260" xr:uid="{00000000-0005-0000-0000-0000FFA20000}"/>
    <cellStyle name="SAPBEXstdItem 11" xfId="41261" xr:uid="{00000000-0005-0000-0000-000000A30000}"/>
    <cellStyle name="SAPBEXstdItem 12" xfId="41262" xr:uid="{00000000-0005-0000-0000-000001A30000}"/>
    <cellStyle name="SAPBEXstdItem 13" xfId="41263" xr:uid="{00000000-0005-0000-0000-000002A30000}"/>
    <cellStyle name="SAPBEXstdItem 14" xfId="41264" xr:uid="{00000000-0005-0000-0000-000003A30000}"/>
    <cellStyle name="SAPBEXstdItem 15" xfId="41265" xr:uid="{00000000-0005-0000-0000-000004A30000}"/>
    <cellStyle name="SAPBEXstdItem 16" xfId="41266" xr:uid="{00000000-0005-0000-0000-000005A30000}"/>
    <cellStyle name="SAPBEXstdItem 17" xfId="41267" xr:uid="{00000000-0005-0000-0000-000006A30000}"/>
    <cellStyle name="SAPBEXstdItem 18" xfId="41268" xr:uid="{00000000-0005-0000-0000-000007A30000}"/>
    <cellStyle name="SAPBEXstdItem 19" xfId="41269" xr:uid="{00000000-0005-0000-0000-000008A30000}"/>
    <cellStyle name="SAPBEXstdItem 2" xfId="41270" xr:uid="{00000000-0005-0000-0000-000009A30000}"/>
    <cellStyle name="SAPBEXstdItem 20" xfId="41271" xr:uid="{00000000-0005-0000-0000-00000AA30000}"/>
    <cellStyle name="SAPBEXstdItem 21" xfId="41272" xr:uid="{00000000-0005-0000-0000-00000BA30000}"/>
    <cellStyle name="SAPBEXstdItem 22" xfId="41273" xr:uid="{00000000-0005-0000-0000-00000CA30000}"/>
    <cellStyle name="SAPBEXstdItem 23" xfId="41274" xr:uid="{00000000-0005-0000-0000-00000DA30000}"/>
    <cellStyle name="SAPBEXstdItem 24" xfId="41275" xr:uid="{00000000-0005-0000-0000-00000EA30000}"/>
    <cellStyle name="SAPBEXstdItem 25" xfId="41276" xr:uid="{00000000-0005-0000-0000-00000FA30000}"/>
    <cellStyle name="SAPBEXstdItem 26" xfId="41277" xr:uid="{00000000-0005-0000-0000-000010A30000}"/>
    <cellStyle name="SAPBEXstdItem 27" xfId="41278" xr:uid="{00000000-0005-0000-0000-000011A30000}"/>
    <cellStyle name="SAPBEXstdItem 28" xfId="41279" xr:uid="{00000000-0005-0000-0000-000012A30000}"/>
    <cellStyle name="SAPBEXstdItem 29" xfId="41280" xr:uid="{00000000-0005-0000-0000-000013A30000}"/>
    <cellStyle name="SAPBEXstdItem 3" xfId="41281" xr:uid="{00000000-0005-0000-0000-000014A30000}"/>
    <cellStyle name="SAPBEXstdItem 30" xfId="41282" xr:uid="{00000000-0005-0000-0000-000015A30000}"/>
    <cellStyle name="SAPBEXstdItem 31" xfId="41283" xr:uid="{00000000-0005-0000-0000-000016A30000}"/>
    <cellStyle name="SAPBEXstdItem 32" xfId="41284" xr:uid="{00000000-0005-0000-0000-000017A30000}"/>
    <cellStyle name="SAPBEXstdItem 4" xfId="41285" xr:uid="{00000000-0005-0000-0000-000018A30000}"/>
    <cellStyle name="SAPBEXstdItem 5" xfId="41286" xr:uid="{00000000-0005-0000-0000-000019A30000}"/>
    <cellStyle name="SAPBEXstdItem 6" xfId="41287" xr:uid="{00000000-0005-0000-0000-00001AA30000}"/>
    <cellStyle name="SAPBEXstdItem 7" xfId="41288" xr:uid="{00000000-0005-0000-0000-00001BA30000}"/>
    <cellStyle name="SAPBEXstdItem 8" xfId="41289" xr:uid="{00000000-0005-0000-0000-00001CA30000}"/>
    <cellStyle name="SAPBEXstdItem 9" xfId="41290" xr:uid="{00000000-0005-0000-0000-00001DA30000}"/>
    <cellStyle name="SAPBEXstdItemX" xfId="41291" xr:uid="{00000000-0005-0000-0000-00001EA30000}"/>
    <cellStyle name="SAPBEXstdItemX 10" xfId="41292" xr:uid="{00000000-0005-0000-0000-00001FA30000}"/>
    <cellStyle name="SAPBEXstdItemX 11" xfId="41293" xr:uid="{00000000-0005-0000-0000-000020A30000}"/>
    <cellStyle name="SAPBEXstdItemX 12" xfId="41294" xr:uid="{00000000-0005-0000-0000-000021A30000}"/>
    <cellStyle name="SAPBEXstdItemX 13" xfId="41295" xr:uid="{00000000-0005-0000-0000-000022A30000}"/>
    <cellStyle name="SAPBEXstdItemX 14" xfId="41296" xr:uid="{00000000-0005-0000-0000-000023A30000}"/>
    <cellStyle name="SAPBEXstdItemX 15" xfId="41297" xr:uid="{00000000-0005-0000-0000-000024A30000}"/>
    <cellStyle name="SAPBEXstdItemX 16" xfId="41298" xr:uid="{00000000-0005-0000-0000-000025A30000}"/>
    <cellStyle name="SAPBEXstdItemX 17" xfId="41299" xr:uid="{00000000-0005-0000-0000-000026A30000}"/>
    <cellStyle name="SAPBEXstdItemX 18" xfId="41300" xr:uid="{00000000-0005-0000-0000-000027A30000}"/>
    <cellStyle name="SAPBEXstdItemX 19" xfId="41301" xr:uid="{00000000-0005-0000-0000-000028A30000}"/>
    <cellStyle name="SAPBEXstdItemX 2" xfId="41302" xr:uid="{00000000-0005-0000-0000-000029A30000}"/>
    <cellStyle name="SAPBEXstdItemX 20" xfId="41303" xr:uid="{00000000-0005-0000-0000-00002AA30000}"/>
    <cellStyle name="SAPBEXstdItemX 21" xfId="41304" xr:uid="{00000000-0005-0000-0000-00002BA30000}"/>
    <cellStyle name="SAPBEXstdItemX 22" xfId="41305" xr:uid="{00000000-0005-0000-0000-00002CA30000}"/>
    <cellStyle name="SAPBEXstdItemX 23" xfId="41306" xr:uid="{00000000-0005-0000-0000-00002DA30000}"/>
    <cellStyle name="SAPBEXstdItemX 24" xfId="41307" xr:uid="{00000000-0005-0000-0000-00002EA30000}"/>
    <cellStyle name="SAPBEXstdItemX 25" xfId="41308" xr:uid="{00000000-0005-0000-0000-00002FA30000}"/>
    <cellStyle name="SAPBEXstdItemX 26" xfId="41309" xr:uid="{00000000-0005-0000-0000-000030A30000}"/>
    <cellStyle name="SAPBEXstdItemX 27" xfId="41310" xr:uid="{00000000-0005-0000-0000-000031A30000}"/>
    <cellStyle name="SAPBEXstdItemX 28" xfId="41311" xr:uid="{00000000-0005-0000-0000-000032A30000}"/>
    <cellStyle name="SAPBEXstdItemX 29" xfId="41312" xr:uid="{00000000-0005-0000-0000-000033A30000}"/>
    <cellStyle name="SAPBEXstdItemX 3" xfId="41313" xr:uid="{00000000-0005-0000-0000-000034A30000}"/>
    <cellStyle name="SAPBEXstdItemX 30" xfId="41314" xr:uid="{00000000-0005-0000-0000-000035A30000}"/>
    <cellStyle name="SAPBEXstdItemX 31" xfId="41315" xr:uid="{00000000-0005-0000-0000-000036A30000}"/>
    <cellStyle name="SAPBEXstdItemX 32" xfId="41316" xr:uid="{00000000-0005-0000-0000-000037A30000}"/>
    <cellStyle name="SAPBEXstdItemX 4" xfId="41317" xr:uid="{00000000-0005-0000-0000-000038A30000}"/>
    <cellStyle name="SAPBEXstdItemX 5" xfId="41318" xr:uid="{00000000-0005-0000-0000-000039A30000}"/>
    <cellStyle name="SAPBEXstdItemX 6" xfId="41319" xr:uid="{00000000-0005-0000-0000-00003AA30000}"/>
    <cellStyle name="SAPBEXstdItemX 7" xfId="41320" xr:uid="{00000000-0005-0000-0000-00003BA30000}"/>
    <cellStyle name="SAPBEXstdItemX 8" xfId="41321" xr:uid="{00000000-0005-0000-0000-00003CA30000}"/>
    <cellStyle name="SAPBEXstdItemX 9" xfId="41322" xr:uid="{00000000-0005-0000-0000-00003DA30000}"/>
    <cellStyle name="SAPBEXtitle" xfId="41323" xr:uid="{00000000-0005-0000-0000-00003EA30000}"/>
    <cellStyle name="SAPBEXtitle 2" xfId="42506" xr:uid="{00000000-0005-0000-0000-00003FA30000}"/>
    <cellStyle name="SAPBEXunassignedItem" xfId="41324" xr:uid="{00000000-0005-0000-0000-000040A30000}"/>
    <cellStyle name="SAPBEXunassignedItem 10" xfId="41325" xr:uid="{00000000-0005-0000-0000-000041A30000}"/>
    <cellStyle name="SAPBEXunassignedItem 11" xfId="41326" xr:uid="{00000000-0005-0000-0000-000042A30000}"/>
    <cellStyle name="SAPBEXunassignedItem 12" xfId="41327" xr:uid="{00000000-0005-0000-0000-000043A30000}"/>
    <cellStyle name="SAPBEXunassignedItem 13" xfId="41328" xr:uid="{00000000-0005-0000-0000-000044A30000}"/>
    <cellStyle name="SAPBEXunassignedItem 14" xfId="41329" xr:uid="{00000000-0005-0000-0000-000045A30000}"/>
    <cellStyle name="SAPBEXunassignedItem 15" xfId="41330" xr:uid="{00000000-0005-0000-0000-000046A30000}"/>
    <cellStyle name="SAPBEXunassignedItem 16" xfId="41331" xr:uid="{00000000-0005-0000-0000-000047A30000}"/>
    <cellStyle name="SAPBEXunassignedItem 17" xfId="41332" xr:uid="{00000000-0005-0000-0000-000048A30000}"/>
    <cellStyle name="SAPBEXunassignedItem 2" xfId="41333" xr:uid="{00000000-0005-0000-0000-000049A30000}"/>
    <cellStyle name="SAPBEXunassignedItem 2 10" xfId="41334" xr:uid="{00000000-0005-0000-0000-00004AA30000}"/>
    <cellStyle name="SAPBEXunassignedItem 2 11" xfId="41335" xr:uid="{00000000-0005-0000-0000-00004BA30000}"/>
    <cellStyle name="SAPBEXunassignedItem 2 12" xfId="41336" xr:uid="{00000000-0005-0000-0000-00004CA30000}"/>
    <cellStyle name="SAPBEXunassignedItem 2 13" xfId="41337" xr:uid="{00000000-0005-0000-0000-00004DA30000}"/>
    <cellStyle name="SAPBEXunassignedItem 2 14" xfId="41338" xr:uid="{00000000-0005-0000-0000-00004EA30000}"/>
    <cellStyle name="SAPBEXunassignedItem 2 15" xfId="41339" xr:uid="{00000000-0005-0000-0000-00004FA30000}"/>
    <cellStyle name="SAPBEXunassignedItem 2 16" xfId="41340" xr:uid="{00000000-0005-0000-0000-000050A30000}"/>
    <cellStyle name="SAPBEXunassignedItem 2 17" xfId="41341" xr:uid="{00000000-0005-0000-0000-000051A30000}"/>
    <cellStyle name="SAPBEXunassignedItem 2 18" xfId="41342" xr:uid="{00000000-0005-0000-0000-000052A30000}"/>
    <cellStyle name="SAPBEXunassignedItem 2 19" xfId="41343" xr:uid="{00000000-0005-0000-0000-000053A30000}"/>
    <cellStyle name="SAPBEXunassignedItem 2 2" xfId="41344" xr:uid="{00000000-0005-0000-0000-000054A30000}"/>
    <cellStyle name="SAPBEXunassignedItem 2 2 10" xfId="41345" xr:uid="{00000000-0005-0000-0000-000055A30000}"/>
    <cellStyle name="SAPBEXunassignedItem 2 2 11" xfId="41346" xr:uid="{00000000-0005-0000-0000-000056A30000}"/>
    <cellStyle name="SAPBEXunassignedItem 2 2 12" xfId="41347" xr:uid="{00000000-0005-0000-0000-000057A30000}"/>
    <cellStyle name="SAPBEXunassignedItem 2 2 13" xfId="41348" xr:uid="{00000000-0005-0000-0000-000058A30000}"/>
    <cellStyle name="SAPBEXunassignedItem 2 2 2" xfId="41349" xr:uid="{00000000-0005-0000-0000-000059A30000}"/>
    <cellStyle name="SAPBEXunassignedItem 2 2 3" xfId="41350" xr:uid="{00000000-0005-0000-0000-00005AA30000}"/>
    <cellStyle name="SAPBEXunassignedItem 2 2 4" xfId="41351" xr:uid="{00000000-0005-0000-0000-00005BA30000}"/>
    <cellStyle name="SAPBEXunassignedItem 2 2 5" xfId="41352" xr:uid="{00000000-0005-0000-0000-00005CA30000}"/>
    <cellStyle name="SAPBEXunassignedItem 2 2 6" xfId="41353" xr:uid="{00000000-0005-0000-0000-00005DA30000}"/>
    <cellStyle name="SAPBEXunassignedItem 2 2 7" xfId="41354" xr:uid="{00000000-0005-0000-0000-00005EA30000}"/>
    <cellStyle name="SAPBEXunassignedItem 2 2 8" xfId="41355" xr:uid="{00000000-0005-0000-0000-00005FA30000}"/>
    <cellStyle name="SAPBEXunassignedItem 2 2 9" xfId="41356" xr:uid="{00000000-0005-0000-0000-000060A30000}"/>
    <cellStyle name="SAPBEXunassignedItem 2 20" xfId="41357" xr:uid="{00000000-0005-0000-0000-000061A30000}"/>
    <cellStyle name="SAPBEXunassignedItem 2 21" xfId="41358" xr:uid="{00000000-0005-0000-0000-000062A30000}"/>
    <cellStyle name="SAPBEXunassignedItem 2 22" xfId="41359" xr:uid="{00000000-0005-0000-0000-000063A30000}"/>
    <cellStyle name="SAPBEXunassignedItem 2 23" xfId="41360" xr:uid="{00000000-0005-0000-0000-000064A30000}"/>
    <cellStyle name="SAPBEXunassignedItem 2 24" xfId="41361" xr:uid="{00000000-0005-0000-0000-000065A30000}"/>
    <cellStyle name="SAPBEXunassignedItem 2 25" xfId="41362" xr:uid="{00000000-0005-0000-0000-000066A30000}"/>
    <cellStyle name="SAPBEXunassignedItem 2 26" xfId="41363" xr:uid="{00000000-0005-0000-0000-000067A30000}"/>
    <cellStyle name="SAPBEXunassignedItem 2 27" xfId="41364" xr:uid="{00000000-0005-0000-0000-000068A30000}"/>
    <cellStyle name="SAPBEXunassignedItem 2 28" xfId="41365" xr:uid="{00000000-0005-0000-0000-000069A30000}"/>
    <cellStyle name="SAPBEXunassignedItem 2 29" xfId="41366" xr:uid="{00000000-0005-0000-0000-00006AA30000}"/>
    <cellStyle name="SAPBEXunassignedItem 2 3" xfId="41367" xr:uid="{00000000-0005-0000-0000-00006BA30000}"/>
    <cellStyle name="SAPBEXunassignedItem 2 30" xfId="41368" xr:uid="{00000000-0005-0000-0000-00006CA30000}"/>
    <cellStyle name="SAPBEXunassignedItem 2 4" xfId="41369" xr:uid="{00000000-0005-0000-0000-00006DA30000}"/>
    <cellStyle name="SAPBEXunassignedItem 2 5" xfId="41370" xr:uid="{00000000-0005-0000-0000-00006EA30000}"/>
    <cellStyle name="SAPBEXunassignedItem 2 6" xfId="41371" xr:uid="{00000000-0005-0000-0000-00006FA30000}"/>
    <cellStyle name="SAPBEXunassignedItem 2 7" xfId="41372" xr:uid="{00000000-0005-0000-0000-000070A30000}"/>
    <cellStyle name="SAPBEXunassignedItem 2 8" xfId="41373" xr:uid="{00000000-0005-0000-0000-000071A30000}"/>
    <cellStyle name="SAPBEXunassignedItem 2 9" xfId="41374" xr:uid="{00000000-0005-0000-0000-000072A30000}"/>
    <cellStyle name="SAPBEXunassignedItem 3" xfId="41375" xr:uid="{00000000-0005-0000-0000-000073A30000}"/>
    <cellStyle name="SAPBEXunassignedItem 3 10" xfId="41376" xr:uid="{00000000-0005-0000-0000-000074A30000}"/>
    <cellStyle name="SAPBEXunassignedItem 3 11" xfId="41377" xr:uid="{00000000-0005-0000-0000-000075A30000}"/>
    <cellStyle name="SAPBEXunassignedItem 3 12" xfId="41378" xr:uid="{00000000-0005-0000-0000-000076A30000}"/>
    <cellStyle name="SAPBEXunassignedItem 3 13" xfId="41379" xr:uid="{00000000-0005-0000-0000-000077A30000}"/>
    <cellStyle name="SAPBEXunassignedItem 3 14" xfId="41380" xr:uid="{00000000-0005-0000-0000-000078A30000}"/>
    <cellStyle name="SAPBEXunassignedItem 3 15" xfId="41381" xr:uid="{00000000-0005-0000-0000-000079A30000}"/>
    <cellStyle name="SAPBEXunassignedItem 3 16" xfId="41382" xr:uid="{00000000-0005-0000-0000-00007AA30000}"/>
    <cellStyle name="SAPBEXunassignedItem 3 17" xfId="41383" xr:uid="{00000000-0005-0000-0000-00007BA30000}"/>
    <cellStyle name="SAPBEXunassignedItem 3 18" xfId="41384" xr:uid="{00000000-0005-0000-0000-00007CA30000}"/>
    <cellStyle name="SAPBEXunassignedItem 3 19" xfId="41385" xr:uid="{00000000-0005-0000-0000-00007DA30000}"/>
    <cellStyle name="SAPBEXunassignedItem 3 2" xfId="41386" xr:uid="{00000000-0005-0000-0000-00007EA30000}"/>
    <cellStyle name="SAPBEXunassignedItem 3 2 10" xfId="41387" xr:uid="{00000000-0005-0000-0000-00007FA30000}"/>
    <cellStyle name="SAPBEXunassignedItem 3 2 11" xfId="41388" xr:uid="{00000000-0005-0000-0000-000080A30000}"/>
    <cellStyle name="SAPBEXunassignedItem 3 2 12" xfId="41389" xr:uid="{00000000-0005-0000-0000-000081A30000}"/>
    <cellStyle name="SAPBEXunassignedItem 3 2 13" xfId="41390" xr:uid="{00000000-0005-0000-0000-000082A30000}"/>
    <cellStyle name="SAPBEXunassignedItem 3 2 2" xfId="41391" xr:uid="{00000000-0005-0000-0000-000083A30000}"/>
    <cellStyle name="SAPBEXunassignedItem 3 2 3" xfId="41392" xr:uid="{00000000-0005-0000-0000-000084A30000}"/>
    <cellStyle name="SAPBEXunassignedItem 3 2 4" xfId="41393" xr:uid="{00000000-0005-0000-0000-000085A30000}"/>
    <cellStyle name="SAPBEXunassignedItem 3 2 5" xfId="41394" xr:uid="{00000000-0005-0000-0000-000086A30000}"/>
    <cellStyle name="SAPBEXunassignedItem 3 2 6" xfId="41395" xr:uid="{00000000-0005-0000-0000-000087A30000}"/>
    <cellStyle name="SAPBEXunassignedItem 3 2 7" xfId="41396" xr:uid="{00000000-0005-0000-0000-000088A30000}"/>
    <cellStyle name="SAPBEXunassignedItem 3 2 8" xfId="41397" xr:uid="{00000000-0005-0000-0000-000089A30000}"/>
    <cellStyle name="SAPBEXunassignedItem 3 2 9" xfId="41398" xr:uid="{00000000-0005-0000-0000-00008AA30000}"/>
    <cellStyle name="SAPBEXunassignedItem 3 20" xfId="41399" xr:uid="{00000000-0005-0000-0000-00008BA30000}"/>
    <cellStyle name="SAPBEXunassignedItem 3 21" xfId="41400" xr:uid="{00000000-0005-0000-0000-00008CA30000}"/>
    <cellStyle name="SAPBEXunassignedItem 3 22" xfId="41401" xr:uid="{00000000-0005-0000-0000-00008DA30000}"/>
    <cellStyle name="SAPBEXunassignedItem 3 23" xfId="41402" xr:uid="{00000000-0005-0000-0000-00008EA30000}"/>
    <cellStyle name="SAPBEXunassignedItem 3 24" xfId="41403" xr:uid="{00000000-0005-0000-0000-00008FA30000}"/>
    <cellStyle name="SAPBEXunassignedItem 3 25" xfId="41404" xr:uid="{00000000-0005-0000-0000-000090A30000}"/>
    <cellStyle name="SAPBEXunassignedItem 3 26" xfId="41405" xr:uid="{00000000-0005-0000-0000-000091A30000}"/>
    <cellStyle name="SAPBEXunassignedItem 3 27" xfId="41406" xr:uid="{00000000-0005-0000-0000-000092A30000}"/>
    <cellStyle name="SAPBEXunassignedItem 3 28" xfId="41407" xr:uid="{00000000-0005-0000-0000-000093A30000}"/>
    <cellStyle name="SAPBEXunassignedItem 3 29" xfId="41408" xr:uid="{00000000-0005-0000-0000-000094A30000}"/>
    <cellStyle name="SAPBEXunassignedItem 3 3" xfId="41409" xr:uid="{00000000-0005-0000-0000-000095A30000}"/>
    <cellStyle name="SAPBEXunassignedItem 3 30" xfId="41410" xr:uid="{00000000-0005-0000-0000-000096A30000}"/>
    <cellStyle name="SAPBEXunassignedItem 3 4" xfId="41411" xr:uid="{00000000-0005-0000-0000-000097A30000}"/>
    <cellStyle name="SAPBEXunassignedItem 3 5" xfId="41412" xr:uid="{00000000-0005-0000-0000-000098A30000}"/>
    <cellStyle name="SAPBEXunassignedItem 3 6" xfId="41413" xr:uid="{00000000-0005-0000-0000-000099A30000}"/>
    <cellStyle name="SAPBEXunassignedItem 3 7" xfId="41414" xr:uid="{00000000-0005-0000-0000-00009AA30000}"/>
    <cellStyle name="SAPBEXunassignedItem 3 8" xfId="41415" xr:uid="{00000000-0005-0000-0000-00009BA30000}"/>
    <cellStyle name="SAPBEXunassignedItem 3 9" xfId="41416" xr:uid="{00000000-0005-0000-0000-00009CA30000}"/>
    <cellStyle name="SAPBEXunassignedItem 4" xfId="41417" xr:uid="{00000000-0005-0000-0000-00009DA30000}"/>
    <cellStyle name="SAPBEXunassignedItem 4 10" xfId="41418" xr:uid="{00000000-0005-0000-0000-00009EA30000}"/>
    <cellStyle name="SAPBEXunassignedItem 4 11" xfId="41419" xr:uid="{00000000-0005-0000-0000-00009FA30000}"/>
    <cellStyle name="SAPBEXunassignedItem 4 12" xfId="41420" xr:uid="{00000000-0005-0000-0000-0000A0A30000}"/>
    <cellStyle name="SAPBEXunassignedItem 4 13" xfId="41421" xr:uid="{00000000-0005-0000-0000-0000A1A30000}"/>
    <cellStyle name="SAPBEXunassignedItem 4 14" xfId="41422" xr:uid="{00000000-0005-0000-0000-0000A2A30000}"/>
    <cellStyle name="SAPBEXunassignedItem 4 15" xfId="41423" xr:uid="{00000000-0005-0000-0000-0000A3A30000}"/>
    <cellStyle name="SAPBEXunassignedItem 4 16" xfId="41424" xr:uid="{00000000-0005-0000-0000-0000A4A30000}"/>
    <cellStyle name="SAPBEXunassignedItem 4 17" xfId="41425" xr:uid="{00000000-0005-0000-0000-0000A5A30000}"/>
    <cellStyle name="SAPBEXunassignedItem 4 18" xfId="41426" xr:uid="{00000000-0005-0000-0000-0000A6A30000}"/>
    <cellStyle name="SAPBEXunassignedItem 4 19" xfId="41427" xr:uid="{00000000-0005-0000-0000-0000A7A30000}"/>
    <cellStyle name="SAPBEXunassignedItem 4 2" xfId="41428" xr:uid="{00000000-0005-0000-0000-0000A8A30000}"/>
    <cellStyle name="SAPBEXunassignedItem 4 2 10" xfId="41429" xr:uid="{00000000-0005-0000-0000-0000A9A30000}"/>
    <cellStyle name="SAPBEXunassignedItem 4 2 11" xfId="41430" xr:uid="{00000000-0005-0000-0000-0000AAA30000}"/>
    <cellStyle name="SAPBEXunassignedItem 4 2 12" xfId="41431" xr:uid="{00000000-0005-0000-0000-0000ABA30000}"/>
    <cellStyle name="SAPBEXunassignedItem 4 2 13" xfId="41432" xr:uid="{00000000-0005-0000-0000-0000ACA30000}"/>
    <cellStyle name="SAPBEXunassignedItem 4 2 2" xfId="41433" xr:uid="{00000000-0005-0000-0000-0000ADA30000}"/>
    <cellStyle name="SAPBEXunassignedItem 4 2 3" xfId="41434" xr:uid="{00000000-0005-0000-0000-0000AEA30000}"/>
    <cellStyle name="SAPBEXunassignedItem 4 2 4" xfId="41435" xr:uid="{00000000-0005-0000-0000-0000AFA30000}"/>
    <cellStyle name="SAPBEXunassignedItem 4 2 5" xfId="41436" xr:uid="{00000000-0005-0000-0000-0000B0A30000}"/>
    <cellStyle name="SAPBEXunassignedItem 4 2 6" xfId="41437" xr:uid="{00000000-0005-0000-0000-0000B1A30000}"/>
    <cellStyle name="SAPBEXunassignedItem 4 2 7" xfId="41438" xr:uid="{00000000-0005-0000-0000-0000B2A30000}"/>
    <cellStyle name="SAPBEXunassignedItem 4 2 8" xfId="41439" xr:uid="{00000000-0005-0000-0000-0000B3A30000}"/>
    <cellStyle name="SAPBEXunassignedItem 4 2 9" xfId="41440" xr:uid="{00000000-0005-0000-0000-0000B4A30000}"/>
    <cellStyle name="SAPBEXunassignedItem 4 20" xfId="41441" xr:uid="{00000000-0005-0000-0000-0000B5A30000}"/>
    <cellStyle name="SAPBEXunassignedItem 4 21" xfId="41442" xr:uid="{00000000-0005-0000-0000-0000B6A30000}"/>
    <cellStyle name="SAPBEXunassignedItem 4 22" xfId="41443" xr:uid="{00000000-0005-0000-0000-0000B7A30000}"/>
    <cellStyle name="SAPBEXunassignedItem 4 23" xfId="41444" xr:uid="{00000000-0005-0000-0000-0000B8A30000}"/>
    <cellStyle name="SAPBEXunassignedItem 4 24" xfId="41445" xr:uid="{00000000-0005-0000-0000-0000B9A30000}"/>
    <cellStyle name="SAPBEXunassignedItem 4 25" xfId="41446" xr:uid="{00000000-0005-0000-0000-0000BAA30000}"/>
    <cellStyle name="SAPBEXunassignedItem 4 26" xfId="41447" xr:uid="{00000000-0005-0000-0000-0000BBA30000}"/>
    <cellStyle name="SAPBEXunassignedItem 4 27" xfId="41448" xr:uid="{00000000-0005-0000-0000-0000BCA30000}"/>
    <cellStyle name="SAPBEXunassignedItem 4 28" xfId="41449" xr:uid="{00000000-0005-0000-0000-0000BDA30000}"/>
    <cellStyle name="SAPBEXunassignedItem 4 29" xfId="41450" xr:uid="{00000000-0005-0000-0000-0000BEA30000}"/>
    <cellStyle name="SAPBEXunassignedItem 4 3" xfId="41451" xr:uid="{00000000-0005-0000-0000-0000BFA30000}"/>
    <cellStyle name="SAPBEXunassignedItem 4 30" xfId="41452" xr:uid="{00000000-0005-0000-0000-0000C0A30000}"/>
    <cellStyle name="SAPBEXunassignedItem 4 4" xfId="41453" xr:uid="{00000000-0005-0000-0000-0000C1A30000}"/>
    <cellStyle name="SAPBEXunassignedItem 4 5" xfId="41454" xr:uid="{00000000-0005-0000-0000-0000C2A30000}"/>
    <cellStyle name="SAPBEXunassignedItem 4 6" xfId="41455" xr:uid="{00000000-0005-0000-0000-0000C3A30000}"/>
    <cellStyle name="SAPBEXunassignedItem 4 7" xfId="41456" xr:uid="{00000000-0005-0000-0000-0000C4A30000}"/>
    <cellStyle name="SAPBEXunassignedItem 4 8" xfId="41457" xr:uid="{00000000-0005-0000-0000-0000C5A30000}"/>
    <cellStyle name="SAPBEXunassignedItem 4 9" xfId="41458" xr:uid="{00000000-0005-0000-0000-0000C6A30000}"/>
    <cellStyle name="SAPBEXunassignedItem 5" xfId="41459" xr:uid="{00000000-0005-0000-0000-0000C7A30000}"/>
    <cellStyle name="SAPBEXunassignedItem 5 10" xfId="41460" xr:uid="{00000000-0005-0000-0000-0000C8A30000}"/>
    <cellStyle name="SAPBEXunassignedItem 5 11" xfId="41461" xr:uid="{00000000-0005-0000-0000-0000C9A30000}"/>
    <cellStyle name="SAPBEXunassignedItem 5 12" xfId="41462" xr:uid="{00000000-0005-0000-0000-0000CAA30000}"/>
    <cellStyle name="SAPBEXunassignedItem 5 13" xfId="41463" xr:uid="{00000000-0005-0000-0000-0000CBA30000}"/>
    <cellStyle name="SAPBEXunassignedItem 5 2" xfId="41464" xr:uid="{00000000-0005-0000-0000-0000CCA30000}"/>
    <cellStyle name="SAPBEXunassignedItem 5 3" xfId="41465" xr:uid="{00000000-0005-0000-0000-0000CDA30000}"/>
    <cellStyle name="SAPBEXunassignedItem 5 4" xfId="41466" xr:uid="{00000000-0005-0000-0000-0000CEA30000}"/>
    <cellStyle name="SAPBEXunassignedItem 5 5" xfId="41467" xr:uid="{00000000-0005-0000-0000-0000CFA30000}"/>
    <cellStyle name="SAPBEXunassignedItem 5 6" xfId="41468" xr:uid="{00000000-0005-0000-0000-0000D0A30000}"/>
    <cellStyle name="SAPBEXunassignedItem 5 7" xfId="41469" xr:uid="{00000000-0005-0000-0000-0000D1A30000}"/>
    <cellStyle name="SAPBEXunassignedItem 5 8" xfId="41470" xr:uid="{00000000-0005-0000-0000-0000D2A30000}"/>
    <cellStyle name="SAPBEXunassignedItem 5 9" xfId="41471" xr:uid="{00000000-0005-0000-0000-0000D3A30000}"/>
    <cellStyle name="SAPBEXunassignedItem 6" xfId="41472" xr:uid="{00000000-0005-0000-0000-0000D4A30000}"/>
    <cellStyle name="SAPBEXunassignedItem 7" xfId="41473" xr:uid="{00000000-0005-0000-0000-0000D5A30000}"/>
    <cellStyle name="SAPBEXunassignedItem 8" xfId="41474" xr:uid="{00000000-0005-0000-0000-0000D6A30000}"/>
    <cellStyle name="SAPBEXunassignedItem 9" xfId="41475" xr:uid="{00000000-0005-0000-0000-0000D7A30000}"/>
    <cellStyle name="SAPBEXunassignedItem_Business Plan " xfId="41476" xr:uid="{00000000-0005-0000-0000-0000D8A30000}"/>
    <cellStyle name="SAPBEXundefined" xfId="41477" xr:uid="{00000000-0005-0000-0000-0000D9A30000}"/>
    <cellStyle name="SAPBEXundefined 10" xfId="41478" xr:uid="{00000000-0005-0000-0000-0000DAA30000}"/>
    <cellStyle name="SAPBEXundefined 11" xfId="41479" xr:uid="{00000000-0005-0000-0000-0000DBA30000}"/>
    <cellStyle name="SAPBEXundefined 12" xfId="41480" xr:uid="{00000000-0005-0000-0000-0000DCA30000}"/>
    <cellStyle name="SAPBEXundefined 13" xfId="41481" xr:uid="{00000000-0005-0000-0000-0000DDA30000}"/>
    <cellStyle name="SAPBEXundefined 14" xfId="41482" xr:uid="{00000000-0005-0000-0000-0000DEA30000}"/>
    <cellStyle name="SAPBEXundefined 15" xfId="41483" xr:uid="{00000000-0005-0000-0000-0000DFA30000}"/>
    <cellStyle name="SAPBEXundefined 16" xfId="41484" xr:uid="{00000000-0005-0000-0000-0000E0A30000}"/>
    <cellStyle name="SAPBEXundefined 17" xfId="41485" xr:uid="{00000000-0005-0000-0000-0000E1A30000}"/>
    <cellStyle name="SAPBEXundefined 18" xfId="41486" xr:uid="{00000000-0005-0000-0000-0000E2A30000}"/>
    <cellStyle name="SAPBEXundefined 19" xfId="41487" xr:uid="{00000000-0005-0000-0000-0000E3A30000}"/>
    <cellStyle name="SAPBEXundefined 2" xfId="41488" xr:uid="{00000000-0005-0000-0000-0000E4A30000}"/>
    <cellStyle name="SAPBEXundefined 20" xfId="41489" xr:uid="{00000000-0005-0000-0000-0000E5A30000}"/>
    <cellStyle name="SAPBEXundefined 21" xfId="41490" xr:uid="{00000000-0005-0000-0000-0000E6A30000}"/>
    <cellStyle name="SAPBEXundefined 22" xfId="41491" xr:uid="{00000000-0005-0000-0000-0000E7A30000}"/>
    <cellStyle name="SAPBEXundefined 23" xfId="41492" xr:uid="{00000000-0005-0000-0000-0000E8A30000}"/>
    <cellStyle name="SAPBEXundefined 24" xfId="41493" xr:uid="{00000000-0005-0000-0000-0000E9A30000}"/>
    <cellStyle name="SAPBEXundefined 25" xfId="41494" xr:uid="{00000000-0005-0000-0000-0000EAA30000}"/>
    <cellStyle name="SAPBEXundefined 26" xfId="41495" xr:uid="{00000000-0005-0000-0000-0000EBA30000}"/>
    <cellStyle name="SAPBEXundefined 27" xfId="41496" xr:uid="{00000000-0005-0000-0000-0000ECA30000}"/>
    <cellStyle name="SAPBEXundefined 28" xfId="41497" xr:uid="{00000000-0005-0000-0000-0000EDA30000}"/>
    <cellStyle name="SAPBEXundefined 29" xfId="41498" xr:uid="{00000000-0005-0000-0000-0000EEA30000}"/>
    <cellStyle name="SAPBEXundefined 3" xfId="41499" xr:uid="{00000000-0005-0000-0000-0000EFA30000}"/>
    <cellStyle name="SAPBEXundefined 30" xfId="41500" xr:uid="{00000000-0005-0000-0000-0000F0A30000}"/>
    <cellStyle name="SAPBEXundefined 31" xfId="41501" xr:uid="{00000000-0005-0000-0000-0000F1A30000}"/>
    <cellStyle name="SAPBEXundefined 32" xfId="41502" xr:uid="{00000000-0005-0000-0000-0000F2A30000}"/>
    <cellStyle name="SAPBEXundefined 4" xfId="41503" xr:uid="{00000000-0005-0000-0000-0000F3A30000}"/>
    <cellStyle name="SAPBEXundefined 5" xfId="41504" xr:uid="{00000000-0005-0000-0000-0000F4A30000}"/>
    <cellStyle name="SAPBEXundefined 6" xfId="41505" xr:uid="{00000000-0005-0000-0000-0000F5A30000}"/>
    <cellStyle name="SAPBEXundefined 7" xfId="41506" xr:uid="{00000000-0005-0000-0000-0000F6A30000}"/>
    <cellStyle name="SAPBEXundefined 8" xfId="41507" xr:uid="{00000000-0005-0000-0000-0000F7A30000}"/>
    <cellStyle name="SAPBEXundefined 9" xfId="41508" xr:uid="{00000000-0005-0000-0000-0000F8A30000}"/>
    <cellStyle name="Scen_index" xfId="41509" xr:uid="{00000000-0005-0000-0000-0000F9A30000}"/>
    <cellStyle name="Sch_name" xfId="41510" xr:uid="{00000000-0005-0000-0000-0000FAA30000}"/>
    <cellStyle name="Section Head" xfId="41511" xr:uid="{00000000-0005-0000-0000-0000FBA30000}"/>
    <cellStyle name="Separador de milhares [0]_K16010001" xfId="41512" xr:uid="{00000000-0005-0000-0000-0000FCA30000}"/>
    <cellStyle name="Separador de milhares_DADOS DO BALANCO" xfId="41513" xr:uid="{00000000-0005-0000-0000-0000FDA30000}"/>
    <cellStyle name="Shading" xfId="41514" xr:uid="{00000000-0005-0000-0000-0000FEA30000}"/>
    <cellStyle name="Sheet Header" xfId="41515" xr:uid="{00000000-0005-0000-0000-0000FFA30000}"/>
    <cellStyle name="Sheet Title" xfId="41516" xr:uid="{00000000-0005-0000-0000-000000A40000}"/>
    <cellStyle name="ShOut" xfId="41517" xr:uid="{00000000-0005-0000-0000-000001A40000}"/>
    <cellStyle name="sideways" xfId="41518" xr:uid="{00000000-0005-0000-0000-000002A40000}"/>
    <cellStyle name="SSN" xfId="41519" xr:uid="{00000000-0005-0000-0000-000003A40000}"/>
    <cellStyle name="Standard Currency" xfId="41520" xr:uid="{00000000-0005-0000-0000-000004A40000}"/>
    <cellStyle name="Standard Pecenct" xfId="41521" xr:uid="{00000000-0005-0000-0000-000005A40000}"/>
    <cellStyle name="Standard_Anpassen der Amortisation" xfId="41522" xr:uid="{00000000-0005-0000-0000-000006A40000}"/>
    <cellStyle name="Std" xfId="41523" xr:uid="{00000000-0005-0000-0000-000007A40000}"/>
    <cellStyle name="Style 1" xfId="41524" xr:uid="{00000000-0005-0000-0000-000008A40000}"/>
    <cellStyle name="Style 1 2" xfId="41525" xr:uid="{00000000-0005-0000-0000-000009A40000}"/>
    <cellStyle name="Style 1 2 10" xfId="41526" xr:uid="{00000000-0005-0000-0000-00000AA40000}"/>
    <cellStyle name="Style 1 2 11" xfId="41527" xr:uid="{00000000-0005-0000-0000-00000BA40000}"/>
    <cellStyle name="Style 1 2 12" xfId="41528" xr:uid="{00000000-0005-0000-0000-00000CA40000}"/>
    <cellStyle name="Style 1 2 13" xfId="41529" xr:uid="{00000000-0005-0000-0000-00000DA40000}"/>
    <cellStyle name="Style 1 2 14" xfId="41530" xr:uid="{00000000-0005-0000-0000-00000EA40000}"/>
    <cellStyle name="Style 1 2 15" xfId="41531" xr:uid="{00000000-0005-0000-0000-00000FA40000}"/>
    <cellStyle name="Style 1 2 16" xfId="41532" xr:uid="{00000000-0005-0000-0000-000010A40000}"/>
    <cellStyle name="Style 1 2 17" xfId="41533" xr:uid="{00000000-0005-0000-0000-000011A40000}"/>
    <cellStyle name="Style 1 2 2" xfId="41534" xr:uid="{00000000-0005-0000-0000-000012A40000}"/>
    <cellStyle name="Style 1 2 3" xfId="41535" xr:uid="{00000000-0005-0000-0000-000013A40000}"/>
    <cellStyle name="Style 1 2 4" xfId="41536" xr:uid="{00000000-0005-0000-0000-000014A40000}"/>
    <cellStyle name="Style 1 2 5" xfId="41537" xr:uid="{00000000-0005-0000-0000-000015A40000}"/>
    <cellStyle name="Style 1 2 6" xfId="41538" xr:uid="{00000000-0005-0000-0000-000016A40000}"/>
    <cellStyle name="Style 1 2 7" xfId="41539" xr:uid="{00000000-0005-0000-0000-000017A40000}"/>
    <cellStyle name="Style 1 2 8" xfId="41540" xr:uid="{00000000-0005-0000-0000-000018A40000}"/>
    <cellStyle name="Style 1 2 9" xfId="41541" xr:uid="{00000000-0005-0000-0000-000019A40000}"/>
    <cellStyle name="Style 1 3" xfId="41542" xr:uid="{00000000-0005-0000-0000-00001AA40000}"/>
    <cellStyle name="Style 1_Business Plan " xfId="41543" xr:uid="{00000000-0005-0000-0000-00001BA40000}"/>
    <cellStyle name="Style 100" xfId="41544" xr:uid="{00000000-0005-0000-0000-00001CA40000}"/>
    <cellStyle name="Style 101" xfId="41545" xr:uid="{00000000-0005-0000-0000-00001DA40000}"/>
    <cellStyle name="Style 102" xfId="41546" xr:uid="{00000000-0005-0000-0000-00001EA40000}"/>
    <cellStyle name="Style 103" xfId="41547" xr:uid="{00000000-0005-0000-0000-00001FA40000}"/>
    <cellStyle name="Style 104" xfId="41548" xr:uid="{00000000-0005-0000-0000-000020A40000}"/>
    <cellStyle name="Style 105" xfId="41549" xr:uid="{00000000-0005-0000-0000-000021A40000}"/>
    <cellStyle name="Style 106" xfId="41550" xr:uid="{00000000-0005-0000-0000-000022A40000}"/>
    <cellStyle name="Style 107" xfId="41551" xr:uid="{00000000-0005-0000-0000-000023A40000}"/>
    <cellStyle name="Style 108" xfId="41552" xr:uid="{00000000-0005-0000-0000-000024A40000}"/>
    <cellStyle name="Style 109" xfId="41553" xr:uid="{00000000-0005-0000-0000-000025A40000}"/>
    <cellStyle name="Style 110" xfId="41554" xr:uid="{00000000-0005-0000-0000-000026A40000}"/>
    <cellStyle name="Style 111" xfId="41555" xr:uid="{00000000-0005-0000-0000-000027A40000}"/>
    <cellStyle name="Style 112" xfId="41556" xr:uid="{00000000-0005-0000-0000-000028A40000}"/>
    <cellStyle name="Style 113" xfId="41557" xr:uid="{00000000-0005-0000-0000-000029A40000}"/>
    <cellStyle name="Style 114" xfId="41558" xr:uid="{00000000-0005-0000-0000-00002AA40000}"/>
    <cellStyle name="Style 115" xfId="41559" xr:uid="{00000000-0005-0000-0000-00002BA40000}"/>
    <cellStyle name="Style 116" xfId="41560" xr:uid="{00000000-0005-0000-0000-00002CA40000}"/>
    <cellStyle name="Style 117" xfId="41561" xr:uid="{00000000-0005-0000-0000-00002DA40000}"/>
    <cellStyle name="Style 118" xfId="41562" xr:uid="{00000000-0005-0000-0000-00002EA40000}"/>
    <cellStyle name="Style 119" xfId="41563" xr:uid="{00000000-0005-0000-0000-00002FA40000}"/>
    <cellStyle name="Style 120" xfId="41564" xr:uid="{00000000-0005-0000-0000-000030A40000}"/>
    <cellStyle name="Style 121" xfId="41565" xr:uid="{00000000-0005-0000-0000-000031A40000}"/>
    <cellStyle name="Style 122" xfId="41566" xr:uid="{00000000-0005-0000-0000-000032A40000}"/>
    <cellStyle name="Style 123" xfId="41567" xr:uid="{00000000-0005-0000-0000-000033A40000}"/>
    <cellStyle name="Style 124" xfId="41568" xr:uid="{00000000-0005-0000-0000-000034A40000}"/>
    <cellStyle name="Style 125" xfId="41569" xr:uid="{00000000-0005-0000-0000-000035A40000}"/>
    <cellStyle name="Style 126" xfId="41570" xr:uid="{00000000-0005-0000-0000-000036A40000}"/>
    <cellStyle name="Style 127" xfId="41571" xr:uid="{00000000-0005-0000-0000-000037A40000}"/>
    <cellStyle name="Style 128" xfId="41572" xr:uid="{00000000-0005-0000-0000-000038A40000}"/>
    <cellStyle name="Style 129" xfId="41573" xr:uid="{00000000-0005-0000-0000-000039A40000}"/>
    <cellStyle name="Style 130" xfId="41574" xr:uid="{00000000-0005-0000-0000-00003AA40000}"/>
    <cellStyle name="Style 131" xfId="41575" xr:uid="{00000000-0005-0000-0000-00003BA40000}"/>
    <cellStyle name="Style 132" xfId="41576" xr:uid="{00000000-0005-0000-0000-00003CA40000}"/>
    <cellStyle name="Style 133" xfId="41577" xr:uid="{00000000-0005-0000-0000-00003DA40000}"/>
    <cellStyle name="Style 134" xfId="41578" xr:uid="{00000000-0005-0000-0000-00003EA40000}"/>
    <cellStyle name="Style 135" xfId="41579" xr:uid="{00000000-0005-0000-0000-00003FA40000}"/>
    <cellStyle name="Style 136" xfId="41580" xr:uid="{00000000-0005-0000-0000-000040A40000}"/>
    <cellStyle name="Style 137" xfId="41581" xr:uid="{00000000-0005-0000-0000-000041A40000}"/>
    <cellStyle name="Style 138" xfId="41582" xr:uid="{00000000-0005-0000-0000-000042A40000}"/>
    <cellStyle name="Style 139" xfId="41583" xr:uid="{00000000-0005-0000-0000-000043A40000}"/>
    <cellStyle name="Style 140" xfId="41584" xr:uid="{00000000-0005-0000-0000-000044A40000}"/>
    <cellStyle name="Style 141" xfId="41585" xr:uid="{00000000-0005-0000-0000-000045A40000}"/>
    <cellStyle name="Style 142" xfId="41586" xr:uid="{00000000-0005-0000-0000-000046A40000}"/>
    <cellStyle name="Style 143" xfId="41587" xr:uid="{00000000-0005-0000-0000-000047A40000}"/>
    <cellStyle name="Style 144" xfId="41588" xr:uid="{00000000-0005-0000-0000-000048A40000}"/>
    <cellStyle name="Style 145" xfId="41589" xr:uid="{00000000-0005-0000-0000-000049A40000}"/>
    <cellStyle name="Style 146" xfId="41590" xr:uid="{00000000-0005-0000-0000-00004AA40000}"/>
    <cellStyle name="Style 147" xfId="41591" xr:uid="{00000000-0005-0000-0000-00004BA40000}"/>
    <cellStyle name="Style 148" xfId="41592" xr:uid="{00000000-0005-0000-0000-00004CA40000}"/>
    <cellStyle name="Style 149" xfId="41593" xr:uid="{00000000-0005-0000-0000-00004DA40000}"/>
    <cellStyle name="Style 150" xfId="41594" xr:uid="{00000000-0005-0000-0000-00004EA40000}"/>
    <cellStyle name="Style 151" xfId="41595" xr:uid="{00000000-0005-0000-0000-00004FA40000}"/>
    <cellStyle name="Style 152" xfId="41596" xr:uid="{00000000-0005-0000-0000-000050A40000}"/>
    <cellStyle name="Style 153" xfId="41597" xr:uid="{00000000-0005-0000-0000-000051A40000}"/>
    <cellStyle name="Style 154" xfId="41598" xr:uid="{00000000-0005-0000-0000-000052A40000}"/>
    <cellStyle name="Style 155" xfId="41599" xr:uid="{00000000-0005-0000-0000-000053A40000}"/>
    <cellStyle name="Style 156" xfId="41600" xr:uid="{00000000-0005-0000-0000-000054A40000}"/>
    <cellStyle name="Style 157" xfId="41601" xr:uid="{00000000-0005-0000-0000-000055A40000}"/>
    <cellStyle name="Style 158" xfId="41602" xr:uid="{00000000-0005-0000-0000-000056A40000}"/>
    <cellStyle name="Style 159" xfId="41603" xr:uid="{00000000-0005-0000-0000-000057A40000}"/>
    <cellStyle name="Style 160" xfId="41604" xr:uid="{00000000-0005-0000-0000-000058A40000}"/>
    <cellStyle name="Style 161" xfId="41605" xr:uid="{00000000-0005-0000-0000-000059A40000}"/>
    <cellStyle name="Style 162" xfId="41606" xr:uid="{00000000-0005-0000-0000-00005AA40000}"/>
    <cellStyle name="Style 164" xfId="41607" xr:uid="{00000000-0005-0000-0000-00005BA40000}"/>
    <cellStyle name="Style 166" xfId="41608" xr:uid="{00000000-0005-0000-0000-00005CA40000}"/>
    <cellStyle name="Style 168" xfId="41609" xr:uid="{00000000-0005-0000-0000-00005DA40000}"/>
    <cellStyle name="Style 170" xfId="41610" xr:uid="{00000000-0005-0000-0000-00005EA40000}"/>
    <cellStyle name="Style 172" xfId="41611" xr:uid="{00000000-0005-0000-0000-00005FA40000}"/>
    <cellStyle name="Style 174" xfId="41612" xr:uid="{00000000-0005-0000-0000-000060A40000}"/>
    <cellStyle name="Style 176" xfId="41613" xr:uid="{00000000-0005-0000-0000-000061A40000}"/>
    <cellStyle name="Style 178" xfId="41614" xr:uid="{00000000-0005-0000-0000-000062A40000}"/>
    <cellStyle name="Style 2" xfId="41615" xr:uid="{00000000-0005-0000-0000-000063A40000}"/>
    <cellStyle name="Style 3" xfId="41616" xr:uid="{00000000-0005-0000-0000-000064A40000}"/>
    <cellStyle name="Style 41" xfId="41617" xr:uid="{00000000-0005-0000-0000-000065A40000}"/>
    <cellStyle name="Style 42" xfId="41618" xr:uid="{00000000-0005-0000-0000-000066A40000}"/>
    <cellStyle name="Style 43" xfId="41619" xr:uid="{00000000-0005-0000-0000-000067A40000}"/>
    <cellStyle name="Style 44" xfId="41620" xr:uid="{00000000-0005-0000-0000-000068A40000}"/>
    <cellStyle name="Style 45" xfId="41621" xr:uid="{00000000-0005-0000-0000-000069A40000}"/>
    <cellStyle name="Style 46" xfId="41622" xr:uid="{00000000-0005-0000-0000-00006AA40000}"/>
    <cellStyle name="Style 47" xfId="41623" xr:uid="{00000000-0005-0000-0000-00006BA40000}"/>
    <cellStyle name="Style 48" xfId="41624" xr:uid="{00000000-0005-0000-0000-00006CA40000}"/>
    <cellStyle name="Style 49" xfId="41625" xr:uid="{00000000-0005-0000-0000-00006DA40000}"/>
    <cellStyle name="Style 50" xfId="41626" xr:uid="{00000000-0005-0000-0000-00006EA40000}"/>
    <cellStyle name="Style 56" xfId="41627" xr:uid="{00000000-0005-0000-0000-00006FA40000}"/>
    <cellStyle name="Style 58" xfId="41628" xr:uid="{00000000-0005-0000-0000-000070A40000}"/>
    <cellStyle name="Style 60" xfId="41629" xr:uid="{00000000-0005-0000-0000-000071A40000}"/>
    <cellStyle name="Style 62" xfId="41630" xr:uid="{00000000-0005-0000-0000-000072A40000}"/>
    <cellStyle name="Style 63" xfId="41631" xr:uid="{00000000-0005-0000-0000-000073A40000}"/>
    <cellStyle name="Style 64" xfId="41632" xr:uid="{00000000-0005-0000-0000-000074A40000}"/>
    <cellStyle name="Style 65" xfId="41633" xr:uid="{00000000-0005-0000-0000-000075A40000}"/>
    <cellStyle name="Style 66" xfId="41634" xr:uid="{00000000-0005-0000-0000-000076A40000}"/>
    <cellStyle name="Style 67" xfId="41635" xr:uid="{00000000-0005-0000-0000-000077A40000}"/>
    <cellStyle name="Style 68" xfId="41636" xr:uid="{00000000-0005-0000-0000-000078A40000}"/>
    <cellStyle name="Style 69" xfId="41637" xr:uid="{00000000-0005-0000-0000-000079A40000}"/>
    <cellStyle name="Style 70" xfId="41638" xr:uid="{00000000-0005-0000-0000-00007AA40000}"/>
    <cellStyle name="Style 71" xfId="41639" xr:uid="{00000000-0005-0000-0000-00007BA40000}"/>
    <cellStyle name="Style 72" xfId="41640" xr:uid="{00000000-0005-0000-0000-00007CA40000}"/>
    <cellStyle name="Style 73" xfId="41641" xr:uid="{00000000-0005-0000-0000-00007DA40000}"/>
    <cellStyle name="Style 74" xfId="41642" xr:uid="{00000000-0005-0000-0000-00007EA40000}"/>
    <cellStyle name="Style 82" xfId="41643" xr:uid="{00000000-0005-0000-0000-00007FA40000}"/>
    <cellStyle name="Style 83" xfId="41644" xr:uid="{00000000-0005-0000-0000-000080A40000}"/>
    <cellStyle name="Style 84" xfId="41645" xr:uid="{00000000-0005-0000-0000-000081A40000}"/>
    <cellStyle name="Style 85" xfId="41646" xr:uid="{00000000-0005-0000-0000-000082A40000}"/>
    <cellStyle name="Style 86" xfId="41647" xr:uid="{00000000-0005-0000-0000-000083A40000}"/>
    <cellStyle name="Style 87" xfId="41648" xr:uid="{00000000-0005-0000-0000-000084A40000}"/>
    <cellStyle name="Style 88" xfId="41649" xr:uid="{00000000-0005-0000-0000-000085A40000}"/>
    <cellStyle name="Style 89" xfId="41650" xr:uid="{00000000-0005-0000-0000-000086A40000}"/>
    <cellStyle name="Style 90" xfId="41651" xr:uid="{00000000-0005-0000-0000-000087A40000}"/>
    <cellStyle name="Style 91" xfId="41652" xr:uid="{00000000-0005-0000-0000-000088A40000}"/>
    <cellStyle name="Style 92" xfId="41653" xr:uid="{00000000-0005-0000-0000-000089A40000}"/>
    <cellStyle name="Style 93" xfId="41654" xr:uid="{00000000-0005-0000-0000-00008AA40000}"/>
    <cellStyle name="Style 94" xfId="41655" xr:uid="{00000000-0005-0000-0000-00008BA40000}"/>
    <cellStyle name="Style 95" xfId="41656" xr:uid="{00000000-0005-0000-0000-00008CA40000}"/>
    <cellStyle name="Style 96" xfId="41657" xr:uid="{00000000-0005-0000-0000-00008DA40000}"/>
    <cellStyle name="Style 97" xfId="41658" xr:uid="{00000000-0005-0000-0000-00008EA40000}"/>
    <cellStyle name="Style 98" xfId="41659" xr:uid="{00000000-0005-0000-0000-00008FA40000}"/>
    <cellStyle name="Style 99" xfId="41660" xr:uid="{00000000-0005-0000-0000-000090A40000}"/>
    <cellStyle name="STYLE1 - Style1" xfId="41661" xr:uid="{00000000-0005-0000-0000-000091A40000}"/>
    <cellStyle name="subhead" xfId="41662" xr:uid="{00000000-0005-0000-0000-000092A40000}"/>
    <cellStyle name="Subheading" xfId="41663" xr:uid="{00000000-0005-0000-0000-000093A40000}"/>
    <cellStyle name="SubsidTitle" xfId="41664" xr:uid="{00000000-0005-0000-0000-000094A40000}"/>
    <cellStyle name="subtitle" xfId="41665" xr:uid="{00000000-0005-0000-0000-000095A40000}"/>
    <cellStyle name="Subtotal" xfId="41666" xr:uid="{00000000-0005-0000-0000-000096A40000}"/>
    <cellStyle name="Sub-total" xfId="41667" xr:uid="{00000000-0005-0000-0000-000097A40000}"/>
    <cellStyle name="Sub-total 2" xfId="42507" xr:uid="{00000000-0005-0000-0000-000098A40000}"/>
    <cellStyle name="Sub-total 3" xfId="42508" xr:uid="{00000000-0005-0000-0000-000099A40000}"/>
    <cellStyle name="Subtotal_Allocated Opex " xfId="41668" xr:uid="{00000000-0005-0000-0000-00009AA40000}"/>
    <cellStyle name="Sub-total_Spreadsheet to populate plan slides 120810" xfId="41669" xr:uid="{00000000-0005-0000-0000-00009BA40000}"/>
    <cellStyle name="Subtotal_Total summary" xfId="41670" xr:uid="{00000000-0005-0000-0000-00009CA40000}"/>
    <cellStyle name="swpBody01" xfId="41671" xr:uid="{00000000-0005-0000-0000-00009DA40000}"/>
    <cellStyle name="Table Head" xfId="41672" xr:uid="{00000000-0005-0000-0000-00009EA40000}"/>
    <cellStyle name="Table Head Aligned" xfId="41673" xr:uid="{00000000-0005-0000-0000-00009FA40000}"/>
    <cellStyle name="Table Head Blue" xfId="41674" xr:uid="{00000000-0005-0000-0000-0000A0A40000}"/>
    <cellStyle name="Table Head Green" xfId="41675" xr:uid="{00000000-0005-0000-0000-0000A1A40000}"/>
    <cellStyle name="Table Head_Val_Sum_Graph" xfId="41676" xr:uid="{00000000-0005-0000-0000-0000A2A40000}"/>
    <cellStyle name="Table Text" xfId="41677" xr:uid="{00000000-0005-0000-0000-0000A3A40000}"/>
    <cellStyle name="Table Title" xfId="41678" xr:uid="{00000000-0005-0000-0000-0000A4A40000}"/>
    <cellStyle name="Table Units" xfId="41679" xr:uid="{00000000-0005-0000-0000-0000A5A40000}"/>
    <cellStyle name="Table_Header" xfId="41680" xr:uid="{00000000-0005-0000-0000-0000A6A40000}"/>
    <cellStyle name="tcn" xfId="41681" xr:uid="{00000000-0005-0000-0000-0000A7A40000}"/>
    <cellStyle name="Terminal" xfId="41682" xr:uid="{00000000-0005-0000-0000-0000A8A40000}"/>
    <cellStyle name="Text" xfId="41683" xr:uid="{00000000-0005-0000-0000-0000A9A40000}"/>
    <cellStyle name="Text 1" xfId="41684" xr:uid="{00000000-0005-0000-0000-0000AAA40000}"/>
    <cellStyle name="Text Head 1" xfId="41685" xr:uid="{00000000-0005-0000-0000-0000ABA40000}"/>
    <cellStyle name="Thousand" xfId="41686" xr:uid="{00000000-0005-0000-0000-0000ACA40000}"/>
    <cellStyle name="Thousands" xfId="41687" xr:uid="{00000000-0005-0000-0000-0000ADA40000}"/>
    <cellStyle name="Times" xfId="41688" xr:uid="{00000000-0005-0000-0000-0000AEA40000}"/>
    <cellStyle name="Title 2" xfId="41689" xr:uid="{00000000-0005-0000-0000-0000AFA40000}"/>
    <cellStyle name="Title 2 10" xfId="41690" xr:uid="{00000000-0005-0000-0000-0000B0A40000}"/>
    <cellStyle name="Title 2 11" xfId="41691" xr:uid="{00000000-0005-0000-0000-0000B1A40000}"/>
    <cellStyle name="Title 2 12" xfId="41692" xr:uid="{00000000-0005-0000-0000-0000B2A40000}"/>
    <cellStyle name="Title 2 13" xfId="41693" xr:uid="{00000000-0005-0000-0000-0000B3A40000}"/>
    <cellStyle name="Title 2 14" xfId="41694" xr:uid="{00000000-0005-0000-0000-0000B4A40000}"/>
    <cellStyle name="Title 2 15" xfId="41695" xr:uid="{00000000-0005-0000-0000-0000B5A40000}"/>
    <cellStyle name="Title 2 16" xfId="41696" xr:uid="{00000000-0005-0000-0000-0000B6A40000}"/>
    <cellStyle name="Title 2 17" xfId="41697" xr:uid="{00000000-0005-0000-0000-0000B7A40000}"/>
    <cellStyle name="Title 2 2" xfId="41698" xr:uid="{00000000-0005-0000-0000-0000B8A40000}"/>
    <cellStyle name="Title 2 3" xfId="41699" xr:uid="{00000000-0005-0000-0000-0000B9A40000}"/>
    <cellStyle name="Title 2 4" xfId="41700" xr:uid="{00000000-0005-0000-0000-0000BAA40000}"/>
    <cellStyle name="Title 2 5" xfId="41701" xr:uid="{00000000-0005-0000-0000-0000BBA40000}"/>
    <cellStyle name="Title 2 6" xfId="41702" xr:uid="{00000000-0005-0000-0000-0000BCA40000}"/>
    <cellStyle name="Title 2 7" xfId="41703" xr:uid="{00000000-0005-0000-0000-0000BDA40000}"/>
    <cellStyle name="Title 2 8" xfId="41704" xr:uid="{00000000-0005-0000-0000-0000BEA40000}"/>
    <cellStyle name="Title 2 9" xfId="41705" xr:uid="{00000000-0005-0000-0000-0000BFA40000}"/>
    <cellStyle name="Title 3" xfId="41706" xr:uid="{00000000-0005-0000-0000-0000C0A40000}"/>
    <cellStyle name="Title Row" xfId="41707" xr:uid="{00000000-0005-0000-0000-0000C1A40000}"/>
    <cellStyle name="TitlePage" xfId="41708" xr:uid="{00000000-0005-0000-0000-0000C2A40000}"/>
    <cellStyle name="Titles" xfId="41709" xr:uid="{00000000-0005-0000-0000-0000C3A40000}"/>
    <cellStyle name="tn" xfId="41710" xr:uid="{00000000-0005-0000-0000-0000C4A40000}"/>
    <cellStyle name="tons" xfId="41711" xr:uid="{00000000-0005-0000-0000-0000C5A40000}"/>
    <cellStyle name="Topline" xfId="41712" xr:uid="{00000000-0005-0000-0000-0000C6A40000}"/>
    <cellStyle name="Total 1" xfId="41713" xr:uid="{00000000-0005-0000-0000-0000C7A40000}"/>
    <cellStyle name="Total 1 10" xfId="41714" xr:uid="{00000000-0005-0000-0000-0000C8A40000}"/>
    <cellStyle name="Total 1 11" xfId="41715" xr:uid="{00000000-0005-0000-0000-0000C9A40000}"/>
    <cellStyle name="Total 1 12" xfId="41716" xr:uid="{00000000-0005-0000-0000-0000CAA40000}"/>
    <cellStyle name="Total 1 13" xfId="41717" xr:uid="{00000000-0005-0000-0000-0000CBA40000}"/>
    <cellStyle name="Total 1 14" xfId="41718" xr:uid="{00000000-0005-0000-0000-0000CCA40000}"/>
    <cellStyle name="Total 1 15" xfId="41719" xr:uid="{00000000-0005-0000-0000-0000CDA40000}"/>
    <cellStyle name="Total 1 16" xfId="41720" xr:uid="{00000000-0005-0000-0000-0000CEA40000}"/>
    <cellStyle name="Total 1 17" xfId="41721" xr:uid="{00000000-0005-0000-0000-0000CFA40000}"/>
    <cellStyle name="Total 1 18" xfId="41722" xr:uid="{00000000-0005-0000-0000-0000D0A40000}"/>
    <cellStyle name="Total 1 19" xfId="41723" xr:uid="{00000000-0005-0000-0000-0000D1A40000}"/>
    <cellStyle name="Total 1 2" xfId="41724" xr:uid="{00000000-0005-0000-0000-0000D2A40000}"/>
    <cellStyle name="Total 1 2 10" xfId="41725" xr:uid="{00000000-0005-0000-0000-0000D3A40000}"/>
    <cellStyle name="Total 1 2 11" xfId="41726" xr:uid="{00000000-0005-0000-0000-0000D4A40000}"/>
    <cellStyle name="Total 1 2 12" xfId="41727" xr:uid="{00000000-0005-0000-0000-0000D5A40000}"/>
    <cellStyle name="Total 1 2 13" xfId="41728" xr:uid="{00000000-0005-0000-0000-0000D6A40000}"/>
    <cellStyle name="Total 1 2 14" xfId="41729" xr:uid="{00000000-0005-0000-0000-0000D7A40000}"/>
    <cellStyle name="Total 1 2 15" xfId="41730" xr:uid="{00000000-0005-0000-0000-0000D8A40000}"/>
    <cellStyle name="Total 1 2 16" xfId="41731" xr:uid="{00000000-0005-0000-0000-0000D9A40000}"/>
    <cellStyle name="Total 1 2 17" xfId="41732" xr:uid="{00000000-0005-0000-0000-0000DAA40000}"/>
    <cellStyle name="Total 1 2 18" xfId="41733" xr:uid="{00000000-0005-0000-0000-0000DBA40000}"/>
    <cellStyle name="Total 1 2 19" xfId="41734" xr:uid="{00000000-0005-0000-0000-0000DCA40000}"/>
    <cellStyle name="Total 1 2 2" xfId="41735" xr:uid="{00000000-0005-0000-0000-0000DDA40000}"/>
    <cellStyle name="Total 1 2 2 10" xfId="41736" xr:uid="{00000000-0005-0000-0000-0000DEA40000}"/>
    <cellStyle name="Total 1 2 2 11" xfId="41737" xr:uid="{00000000-0005-0000-0000-0000DFA40000}"/>
    <cellStyle name="Total 1 2 2 12" xfId="41738" xr:uid="{00000000-0005-0000-0000-0000E0A40000}"/>
    <cellStyle name="Total 1 2 2 13" xfId="41739" xr:uid="{00000000-0005-0000-0000-0000E1A40000}"/>
    <cellStyle name="Total 1 2 2 2" xfId="41740" xr:uid="{00000000-0005-0000-0000-0000E2A40000}"/>
    <cellStyle name="Total 1 2 2 3" xfId="41741" xr:uid="{00000000-0005-0000-0000-0000E3A40000}"/>
    <cellStyle name="Total 1 2 2 4" xfId="41742" xr:uid="{00000000-0005-0000-0000-0000E4A40000}"/>
    <cellStyle name="Total 1 2 2 5" xfId="41743" xr:uid="{00000000-0005-0000-0000-0000E5A40000}"/>
    <cellStyle name="Total 1 2 2 6" xfId="41744" xr:uid="{00000000-0005-0000-0000-0000E6A40000}"/>
    <cellStyle name="Total 1 2 2 7" xfId="41745" xr:uid="{00000000-0005-0000-0000-0000E7A40000}"/>
    <cellStyle name="Total 1 2 2 8" xfId="41746" xr:uid="{00000000-0005-0000-0000-0000E8A40000}"/>
    <cellStyle name="Total 1 2 2 9" xfId="41747" xr:uid="{00000000-0005-0000-0000-0000E9A40000}"/>
    <cellStyle name="Total 1 2 20" xfId="41748" xr:uid="{00000000-0005-0000-0000-0000EAA40000}"/>
    <cellStyle name="Total 1 2 21" xfId="41749" xr:uid="{00000000-0005-0000-0000-0000EBA40000}"/>
    <cellStyle name="Total 1 2 22" xfId="41750" xr:uid="{00000000-0005-0000-0000-0000ECA40000}"/>
    <cellStyle name="Total 1 2 23" xfId="41751" xr:uid="{00000000-0005-0000-0000-0000EDA40000}"/>
    <cellStyle name="Total 1 2 24" xfId="41752" xr:uid="{00000000-0005-0000-0000-0000EEA40000}"/>
    <cellStyle name="Total 1 2 25" xfId="41753" xr:uid="{00000000-0005-0000-0000-0000EFA40000}"/>
    <cellStyle name="Total 1 2 26" xfId="41754" xr:uid="{00000000-0005-0000-0000-0000F0A40000}"/>
    <cellStyle name="Total 1 2 27" xfId="41755" xr:uid="{00000000-0005-0000-0000-0000F1A40000}"/>
    <cellStyle name="Total 1 2 28" xfId="41756" xr:uid="{00000000-0005-0000-0000-0000F2A40000}"/>
    <cellStyle name="Total 1 2 29" xfId="41757" xr:uid="{00000000-0005-0000-0000-0000F3A40000}"/>
    <cellStyle name="Total 1 2 3" xfId="41758" xr:uid="{00000000-0005-0000-0000-0000F4A40000}"/>
    <cellStyle name="Total 1 2 30" xfId="41759" xr:uid="{00000000-0005-0000-0000-0000F5A40000}"/>
    <cellStyle name="Total 1 2 4" xfId="41760" xr:uid="{00000000-0005-0000-0000-0000F6A40000}"/>
    <cellStyle name="Total 1 2 5" xfId="41761" xr:uid="{00000000-0005-0000-0000-0000F7A40000}"/>
    <cellStyle name="Total 1 2 6" xfId="41762" xr:uid="{00000000-0005-0000-0000-0000F8A40000}"/>
    <cellStyle name="Total 1 2 7" xfId="41763" xr:uid="{00000000-0005-0000-0000-0000F9A40000}"/>
    <cellStyle name="Total 1 2 8" xfId="41764" xr:uid="{00000000-0005-0000-0000-0000FAA40000}"/>
    <cellStyle name="Total 1 2 9" xfId="41765" xr:uid="{00000000-0005-0000-0000-0000FBA40000}"/>
    <cellStyle name="Total 1 20" xfId="41766" xr:uid="{00000000-0005-0000-0000-0000FCA40000}"/>
    <cellStyle name="Total 1 21" xfId="41767" xr:uid="{00000000-0005-0000-0000-0000FDA40000}"/>
    <cellStyle name="Total 1 22" xfId="41768" xr:uid="{00000000-0005-0000-0000-0000FEA40000}"/>
    <cellStyle name="Total 1 23" xfId="41769" xr:uid="{00000000-0005-0000-0000-0000FFA40000}"/>
    <cellStyle name="Total 1 24" xfId="41770" xr:uid="{00000000-0005-0000-0000-000000A50000}"/>
    <cellStyle name="Total 1 25" xfId="41771" xr:uid="{00000000-0005-0000-0000-000001A50000}"/>
    <cellStyle name="Total 1 26" xfId="41772" xr:uid="{00000000-0005-0000-0000-000002A50000}"/>
    <cellStyle name="Total 1 27" xfId="41773" xr:uid="{00000000-0005-0000-0000-000003A50000}"/>
    <cellStyle name="Total 1 28" xfId="41774" xr:uid="{00000000-0005-0000-0000-000004A50000}"/>
    <cellStyle name="Total 1 29" xfId="41775" xr:uid="{00000000-0005-0000-0000-000005A50000}"/>
    <cellStyle name="Total 1 3" xfId="41776" xr:uid="{00000000-0005-0000-0000-000006A50000}"/>
    <cellStyle name="Total 1 3 10" xfId="41777" xr:uid="{00000000-0005-0000-0000-000007A50000}"/>
    <cellStyle name="Total 1 3 11" xfId="41778" xr:uid="{00000000-0005-0000-0000-000008A50000}"/>
    <cellStyle name="Total 1 3 12" xfId="41779" xr:uid="{00000000-0005-0000-0000-000009A50000}"/>
    <cellStyle name="Total 1 3 13" xfId="41780" xr:uid="{00000000-0005-0000-0000-00000AA50000}"/>
    <cellStyle name="Total 1 3 14" xfId="41781" xr:uid="{00000000-0005-0000-0000-00000BA50000}"/>
    <cellStyle name="Total 1 3 15" xfId="41782" xr:uid="{00000000-0005-0000-0000-00000CA50000}"/>
    <cellStyle name="Total 1 3 16" xfId="41783" xr:uid="{00000000-0005-0000-0000-00000DA50000}"/>
    <cellStyle name="Total 1 3 17" xfId="41784" xr:uid="{00000000-0005-0000-0000-00000EA50000}"/>
    <cellStyle name="Total 1 3 18" xfId="41785" xr:uid="{00000000-0005-0000-0000-00000FA50000}"/>
    <cellStyle name="Total 1 3 19" xfId="41786" xr:uid="{00000000-0005-0000-0000-000010A50000}"/>
    <cellStyle name="Total 1 3 2" xfId="41787" xr:uid="{00000000-0005-0000-0000-000011A50000}"/>
    <cellStyle name="Total 1 3 2 10" xfId="41788" xr:uid="{00000000-0005-0000-0000-000012A50000}"/>
    <cellStyle name="Total 1 3 2 11" xfId="41789" xr:uid="{00000000-0005-0000-0000-000013A50000}"/>
    <cellStyle name="Total 1 3 2 12" xfId="41790" xr:uid="{00000000-0005-0000-0000-000014A50000}"/>
    <cellStyle name="Total 1 3 2 13" xfId="41791" xr:uid="{00000000-0005-0000-0000-000015A50000}"/>
    <cellStyle name="Total 1 3 2 2" xfId="41792" xr:uid="{00000000-0005-0000-0000-000016A50000}"/>
    <cellStyle name="Total 1 3 2 3" xfId="41793" xr:uid="{00000000-0005-0000-0000-000017A50000}"/>
    <cellStyle name="Total 1 3 2 4" xfId="41794" xr:uid="{00000000-0005-0000-0000-000018A50000}"/>
    <cellStyle name="Total 1 3 2 5" xfId="41795" xr:uid="{00000000-0005-0000-0000-000019A50000}"/>
    <cellStyle name="Total 1 3 2 6" xfId="41796" xr:uid="{00000000-0005-0000-0000-00001AA50000}"/>
    <cellStyle name="Total 1 3 2 7" xfId="41797" xr:uid="{00000000-0005-0000-0000-00001BA50000}"/>
    <cellStyle name="Total 1 3 2 8" xfId="41798" xr:uid="{00000000-0005-0000-0000-00001CA50000}"/>
    <cellStyle name="Total 1 3 2 9" xfId="41799" xr:uid="{00000000-0005-0000-0000-00001DA50000}"/>
    <cellStyle name="Total 1 3 20" xfId="41800" xr:uid="{00000000-0005-0000-0000-00001EA50000}"/>
    <cellStyle name="Total 1 3 21" xfId="41801" xr:uid="{00000000-0005-0000-0000-00001FA50000}"/>
    <cellStyle name="Total 1 3 22" xfId="41802" xr:uid="{00000000-0005-0000-0000-000020A50000}"/>
    <cellStyle name="Total 1 3 23" xfId="41803" xr:uid="{00000000-0005-0000-0000-000021A50000}"/>
    <cellStyle name="Total 1 3 24" xfId="41804" xr:uid="{00000000-0005-0000-0000-000022A50000}"/>
    <cellStyle name="Total 1 3 25" xfId="41805" xr:uid="{00000000-0005-0000-0000-000023A50000}"/>
    <cellStyle name="Total 1 3 26" xfId="41806" xr:uid="{00000000-0005-0000-0000-000024A50000}"/>
    <cellStyle name="Total 1 3 27" xfId="41807" xr:uid="{00000000-0005-0000-0000-000025A50000}"/>
    <cellStyle name="Total 1 3 28" xfId="41808" xr:uid="{00000000-0005-0000-0000-000026A50000}"/>
    <cellStyle name="Total 1 3 29" xfId="41809" xr:uid="{00000000-0005-0000-0000-000027A50000}"/>
    <cellStyle name="Total 1 3 3" xfId="41810" xr:uid="{00000000-0005-0000-0000-000028A50000}"/>
    <cellStyle name="Total 1 3 30" xfId="41811" xr:uid="{00000000-0005-0000-0000-000029A50000}"/>
    <cellStyle name="Total 1 3 4" xfId="41812" xr:uid="{00000000-0005-0000-0000-00002AA50000}"/>
    <cellStyle name="Total 1 3 5" xfId="41813" xr:uid="{00000000-0005-0000-0000-00002BA50000}"/>
    <cellStyle name="Total 1 3 6" xfId="41814" xr:uid="{00000000-0005-0000-0000-00002CA50000}"/>
    <cellStyle name="Total 1 3 7" xfId="41815" xr:uid="{00000000-0005-0000-0000-00002DA50000}"/>
    <cellStyle name="Total 1 3 8" xfId="41816" xr:uid="{00000000-0005-0000-0000-00002EA50000}"/>
    <cellStyle name="Total 1 3 9" xfId="41817" xr:uid="{00000000-0005-0000-0000-00002FA50000}"/>
    <cellStyle name="Total 1 30" xfId="41818" xr:uid="{00000000-0005-0000-0000-000030A50000}"/>
    <cellStyle name="Total 1 31" xfId="41819" xr:uid="{00000000-0005-0000-0000-000031A50000}"/>
    <cellStyle name="Total 1 32" xfId="41820" xr:uid="{00000000-0005-0000-0000-000032A50000}"/>
    <cellStyle name="Total 1 33" xfId="41821" xr:uid="{00000000-0005-0000-0000-000033A50000}"/>
    <cellStyle name="Total 1 34" xfId="41822" xr:uid="{00000000-0005-0000-0000-000034A50000}"/>
    <cellStyle name="Total 1 35" xfId="41823" xr:uid="{00000000-0005-0000-0000-000035A50000}"/>
    <cellStyle name="Total 1 36" xfId="41824" xr:uid="{00000000-0005-0000-0000-000036A50000}"/>
    <cellStyle name="Total 1 37" xfId="41825" xr:uid="{00000000-0005-0000-0000-000037A50000}"/>
    <cellStyle name="Total 1 38" xfId="41826" xr:uid="{00000000-0005-0000-0000-000038A50000}"/>
    <cellStyle name="Total 1 39" xfId="41827" xr:uid="{00000000-0005-0000-0000-000039A50000}"/>
    <cellStyle name="Total 1 4" xfId="41828" xr:uid="{00000000-0005-0000-0000-00003AA50000}"/>
    <cellStyle name="Total 1 4 10" xfId="41829" xr:uid="{00000000-0005-0000-0000-00003BA50000}"/>
    <cellStyle name="Total 1 4 11" xfId="41830" xr:uid="{00000000-0005-0000-0000-00003CA50000}"/>
    <cellStyle name="Total 1 4 12" xfId="41831" xr:uid="{00000000-0005-0000-0000-00003DA50000}"/>
    <cellStyle name="Total 1 4 13" xfId="41832" xr:uid="{00000000-0005-0000-0000-00003EA50000}"/>
    <cellStyle name="Total 1 4 14" xfId="41833" xr:uid="{00000000-0005-0000-0000-00003FA50000}"/>
    <cellStyle name="Total 1 4 15" xfId="41834" xr:uid="{00000000-0005-0000-0000-000040A50000}"/>
    <cellStyle name="Total 1 4 16" xfId="41835" xr:uid="{00000000-0005-0000-0000-000041A50000}"/>
    <cellStyle name="Total 1 4 17" xfId="41836" xr:uid="{00000000-0005-0000-0000-000042A50000}"/>
    <cellStyle name="Total 1 4 18" xfId="41837" xr:uid="{00000000-0005-0000-0000-000043A50000}"/>
    <cellStyle name="Total 1 4 19" xfId="41838" xr:uid="{00000000-0005-0000-0000-000044A50000}"/>
    <cellStyle name="Total 1 4 2" xfId="41839" xr:uid="{00000000-0005-0000-0000-000045A50000}"/>
    <cellStyle name="Total 1 4 2 10" xfId="41840" xr:uid="{00000000-0005-0000-0000-000046A50000}"/>
    <cellStyle name="Total 1 4 2 11" xfId="41841" xr:uid="{00000000-0005-0000-0000-000047A50000}"/>
    <cellStyle name="Total 1 4 2 12" xfId="41842" xr:uid="{00000000-0005-0000-0000-000048A50000}"/>
    <cellStyle name="Total 1 4 2 13" xfId="41843" xr:uid="{00000000-0005-0000-0000-000049A50000}"/>
    <cellStyle name="Total 1 4 2 2" xfId="41844" xr:uid="{00000000-0005-0000-0000-00004AA50000}"/>
    <cellStyle name="Total 1 4 2 3" xfId="41845" xr:uid="{00000000-0005-0000-0000-00004BA50000}"/>
    <cellStyle name="Total 1 4 2 4" xfId="41846" xr:uid="{00000000-0005-0000-0000-00004CA50000}"/>
    <cellStyle name="Total 1 4 2 5" xfId="41847" xr:uid="{00000000-0005-0000-0000-00004DA50000}"/>
    <cellStyle name="Total 1 4 2 6" xfId="41848" xr:uid="{00000000-0005-0000-0000-00004EA50000}"/>
    <cellStyle name="Total 1 4 2 7" xfId="41849" xr:uid="{00000000-0005-0000-0000-00004FA50000}"/>
    <cellStyle name="Total 1 4 2 8" xfId="41850" xr:uid="{00000000-0005-0000-0000-000050A50000}"/>
    <cellStyle name="Total 1 4 2 9" xfId="41851" xr:uid="{00000000-0005-0000-0000-000051A50000}"/>
    <cellStyle name="Total 1 4 20" xfId="41852" xr:uid="{00000000-0005-0000-0000-000052A50000}"/>
    <cellStyle name="Total 1 4 21" xfId="41853" xr:uid="{00000000-0005-0000-0000-000053A50000}"/>
    <cellStyle name="Total 1 4 22" xfId="41854" xr:uid="{00000000-0005-0000-0000-000054A50000}"/>
    <cellStyle name="Total 1 4 23" xfId="41855" xr:uid="{00000000-0005-0000-0000-000055A50000}"/>
    <cellStyle name="Total 1 4 24" xfId="41856" xr:uid="{00000000-0005-0000-0000-000056A50000}"/>
    <cellStyle name="Total 1 4 25" xfId="41857" xr:uid="{00000000-0005-0000-0000-000057A50000}"/>
    <cellStyle name="Total 1 4 26" xfId="41858" xr:uid="{00000000-0005-0000-0000-000058A50000}"/>
    <cellStyle name="Total 1 4 27" xfId="41859" xr:uid="{00000000-0005-0000-0000-000059A50000}"/>
    <cellStyle name="Total 1 4 28" xfId="41860" xr:uid="{00000000-0005-0000-0000-00005AA50000}"/>
    <cellStyle name="Total 1 4 29" xfId="41861" xr:uid="{00000000-0005-0000-0000-00005BA50000}"/>
    <cellStyle name="Total 1 4 3" xfId="41862" xr:uid="{00000000-0005-0000-0000-00005CA50000}"/>
    <cellStyle name="Total 1 4 30" xfId="41863" xr:uid="{00000000-0005-0000-0000-00005DA50000}"/>
    <cellStyle name="Total 1 4 4" xfId="41864" xr:uid="{00000000-0005-0000-0000-00005EA50000}"/>
    <cellStyle name="Total 1 4 5" xfId="41865" xr:uid="{00000000-0005-0000-0000-00005FA50000}"/>
    <cellStyle name="Total 1 4 6" xfId="41866" xr:uid="{00000000-0005-0000-0000-000060A50000}"/>
    <cellStyle name="Total 1 4 7" xfId="41867" xr:uid="{00000000-0005-0000-0000-000061A50000}"/>
    <cellStyle name="Total 1 4 8" xfId="41868" xr:uid="{00000000-0005-0000-0000-000062A50000}"/>
    <cellStyle name="Total 1 4 9" xfId="41869" xr:uid="{00000000-0005-0000-0000-000063A50000}"/>
    <cellStyle name="Total 1 40" xfId="41870" xr:uid="{00000000-0005-0000-0000-000064A50000}"/>
    <cellStyle name="Total 1 41" xfId="41871" xr:uid="{00000000-0005-0000-0000-000065A50000}"/>
    <cellStyle name="Total 1 42" xfId="41872" xr:uid="{00000000-0005-0000-0000-000066A50000}"/>
    <cellStyle name="Total 1 43" xfId="41873" xr:uid="{00000000-0005-0000-0000-000067A50000}"/>
    <cellStyle name="Total 1 44" xfId="41874" xr:uid="{00000000-0005-0000-0000-000068A50000}"/>
    <cellStyle name="Total 1 45" xfId="41875" xr:uid="{00000000-0005-0000-0000-000069A50000}"/>
    <cellStyle name="Total 1 46" xfId="41876" xr:uid="{00000000-0005-0000-0000-00006AA50000}"/>
    <cellStyle name="Total 1 47" xfId="41877" xr:uid="{00000000-0005-0000-0000-00006BA50000}"/>
    <cellStyle name="Total 1 48" xfId="41878" xr:uid="{00000000-0005-0000-0000-00006CA50000}"/>
    <cellStyle name="Total 1 49" xfId="41879" xr:uid="{00000000-0005-0000-0000-00006DA50000}"/>
    <cellStyle name="Total 1 5" xfId="41880" xr:uid="{00000000-0005-0000-0000-00006EA50000}"/>
    <cellStyle name="Total 1 5 10" xfId="41881" xr:uid="{00000000-0005-0000-0000-00006FA50000}"/>
    <cellStyle name="Total 1 5 11" xfId="41882" xr:uid="{00000000-0005-0000-0000-000070A50000}"/>
    <cellStyle name="Total 1 5 12" xfId="41883" xr:uid="{00000000-0005-0000-0000-000071A50000}"/>
    <cellStyle name="Total 1 5 13" xfId="41884" xr:uid="{00000000-0005-0000-0000-000072A50000}"/>
    <cellStyle name="Total 1 5 2" xfId="41885" xr:uid="{00000000-0005-0000-0000-000073A50000}"/>
    <cellStyle name="Total 1 5 3" xfId="41886" xr:uid="{00000000-0005-0000-0000-000074A50000}"/>
    <cellStyle name="Total 1 5 4" xfId="41887" xr:uid="{00000000-0005-0000-0000-000075A50000}"/>
    <cellStyle name="Total 1 5 5" xfId="41888" xr:uid="{00000000-0005-0000-0000-000076A50000}"/>
    <cellStyle name="Total 1 5 6" xfId="41889" xr:uid="{00000000-0005-0000-0000-000077A50000}"/>
    <cellStyle name="Total 1 5 7" xfId="41890" xr:uid="{00000000-0005-0000-0000-000078A50000}"/>
    <cellStyle name="Total 1 5 8" xfId="41891" xr:uid="{00000000-0005-0000-0000-000079A50000}"/>
    <cellStyle name="Total 1 5 9" xfId="41892" xr:uid="{00000000-0005-0000-0000-00007AA50000}"/>
    <cellStyle name="Total 1 50" xfId="41893" xr:uid="{00000000-0005-0000-0000-00007BA50000}"/>
    <cellStyle name="Total 1 51" xfId="41894" xr:uid="{00000000-0005-0000-0000-00007CA50000}"/>
    <cellStyle name="Total 1 52" xfId="41895" xr:uid="{00000000-0005-0000-0000-00007DA50000}"/>
    <cellStyle name="Total 1 53" xfId="41896" xr:uid="{00000000-0005-0000-0000-00007EA50000}"/>
    <cellStyle name="Total 1 54" xfId="41897" xr:uid="{00000000-0005-0000-0000-00007FA50000}"/>
    <cellStyle name="Total 1 55" xfId="41898" xr:uid="{00000000-0005-0000-0000-000080A50000}"/>
    <cellStyle name="Total 1 56" xfId="41899" xr:uid="{00000000-0005-0000-0000-000081A50000}"/>
    <cellStyle name="Total 1 57" xfId="41900" xr:uid="{00000000-0005-0000-0000-000082A50000}"/>
    <cellStyle name="Total 1 58" xfId="41901" xr:uid="{00000000-0005-0000-0000-000083A50000}"/>
    <cellStyle name="Total 1 59" xfId="41902" xr:uid="{00000000-0005-0000-0000-000084A50000}"/>
    <cellStyle name="Total 1 6" xfId="41903" xr:uid="{00000000-0005-0000-0000-000085A50000}"/>
    <cellStyle name="Total 1 60" xfId="41904" xr:uid="{00000000-0005-0000-0000-000086A50000}"/>
    <cellStyle name="Total 1 61" xfId="41905" xr:uid="{00000000-0005-0000-0000-000087A50000}"/>
    <cellStyle name="Total 1 62" xfId="41906" xr:uid="{00000000-0005-0000-0000-000088A50000}"/>
    <cellStyle name="Total 1 63" xfId="41907" xr:uid="{00000000-0005-0000-0000-000089A50000}"/>
    <cellStyle name="Total 1 64" xfId="41908" xr:uid="{00000000-0005-0000-0000-00008AA50000}"/>
    <cellStyle name="Total 1 65" xfId="41909" xr:uid="{00000000-0005-0000-0000-00008BA50000}"/>
    <cellStyle name="Total 1 66" xfId="41910" xr:uid="{00000000-0005-0000-0000-00008CA50000}"/>
    <cellStyle name="Total 1 67" xfId="41911" xr:uid="{00000000-0005-0000-0000-00008DA50000}"/>
    <cellStyle name="Total 1 68" xfId="41912" xr:uid="{00000000-0005-0000-0000-00008EA50000}"/>
    <cellStyle name="Total 1 69" xfId="41913" xr:uid="{00000000-0005-0000-0000-00008FA50000}"/>
    <cellStyle name="Total 1 7" xfId="41914" xr:uid="{00000000-0005-0000-0000-000090A50000}"/>
    <cellStyle name="Total 1 70" xfId="41915" xr:uid="{00000000-0005-0000-0000-000091A50000}"/>
    <cellStyle name="Total 1 71" xfId="41916" xr:uid="{00000000-0005-0000-0000-000092A50000}"/>
    <cellStyle name="Total 1 72" xfId="41917" xr:uid="{00000000-0005-0000-0000-000093A50000}"/>
    <cellStyle name="Total 1 73" xfId="41918" xr:uid="{00000000-0005-0000-0000-000094A50000}"/>
    <cellStyle name="Total 1 74" xfId="41919" xr:uid="{00000000-0005-0000-0000-000095A50000}"/>
    <cellStyle name="Total 1 75" xfId="41920" xr:uid="{00000000-0005-0000-0000-000096A50000}"/>
    <cellStyle name="Total 1 76" xfId="41921" xr:uid="{00000000-0005-0000-0000-000097A50000}"/>
    <cellStyle name="Total 1 77" xfId="41922" xr:uid="{00000000-0005-0000-0000-000098A50000}"/>
    <cellStyle name="Total 1 78" xfId="41923" xr:uid="{00000000-0005-0000-0000-000099A50000}"/>
    <cellStyle name="Total 1 8" xfId="41924" xr:uid="{00000000-0005-0000-0000-00009AA50000}"/>
    <cellStyle name="Total 1 9" xfId="41925" xr:uid="{00000000-0005-0000-0000-00009BA50000}"/>
    <cellStyle name="Total 1_Customer Operations Business Plan Input Reqs (3)" xfId="41926" xr:uid="{00000000-0005-0000-0000-00009CA50000}"/>
    <cellStyle name="Total 2" xfId="41927" xr:uid="{00000000-0005-0000-0000-00009DA50000}"/>
    <cellStyle name="Total 2 10" xfId="41928" xr:uid="{00000000-0005-0000-0000-00009EA50000}"/>
    <cellStyle name="Total 2 11" xfId="41929" xr:uid="{00000000-0005-0000-0000-00009FA50000}"/>
    <cellStyle name="Total 2 12" xfId="41930" xr:uid="{00000000-0005-0000-0000-0000A0A50000}"/>
    <cellStyle name="Total 2 13" xfId="41931" xr:uid="{00000000-0005-0000-0000-0000A1A50000}"/>
    <cellStyle name="Total 2 14" xfId="41932" xr:uid="{00000000-0005-0000-0000-0000A2A50000}"/>
    <cellStyle name="Total 2 15" xfId="41933" xr:uid="{00000000-0005-0000-0000-0000A3A50000}"/>
    <cellStyle name="Total 2 16" xfId="41934" xr:uid="{00000000-0005-0000-0000-0000A4A50000}"/>
    <cellStyle name="Total 2 17" xfId="41935" xr:uid="{00000000-0005-0000-0000-0000A5A50000}"/>
    <cellStyle name="Total 2 18" xfId="41936" xr:uid="{00000000-0005-0000-0000-0000A6A50000}"/>
    <cellStyle name="Total 2 19" xfId="41937" xr:uid="{00000000-0005-0000-0000-0000A7A50000}"/>
    <cellStyle name="Total 2 2" xfId="41938" xr:uid="{00000000-0005-0000-0000-0000A8A50000}"/>
    <cellStyle name="Total 2 20" xfId="41939" xr:uid="{00000000-0005-0000-0000-0000A9A50000}"/>
    <cellStyle name="Total 2 21" xfId="41940" xr:uid="{00000000-0005-0000-0000-0000AAA50000}"/>
    <cellStyle name="Total 2 22" xfId="41941" xr:uid="{00000000-0005-0000-0000-0000ABA50000}"/>
    <cellStyle name="Total 2 23" xfId="41942" xr:uid="{00000000-0005-0000-0000-0000ACA50000}"/>
    <cellStyle name="Total 2 24" xfId="41943" xr:uid="{00000000-0005-0000-0000-0000ADA50000}"/>
    <cellStyle name="Total 2 25" xfId="41944" xr:uid="{00000000-0005-0000-0000-0000AEA50000}"/>
    <cellStyle name="Total 2 26" xfId="41945" xr:uid="{00000000-0005-0000-0000-0000AFA50000}"/>
    <cellStyle name="Total 2 27" xfId="41946" xr:uid="{00000000-0005-0000-0000-0000B0A50000}"/>
    <cellStyle name="Total 2 28" xfId="41947" xr:uid="{00000000-0005-0000-0000-0000B1A50000}"/>
    <cellStyle name="Total 2 29" xfId="41948" xr:uid="{00000000-0005-0000-0000-0000B2A50000}"/>
    <cellStyle name="Total 2 3" xfId="41949" xr:uid="{00000000-0005-0000-0000-0000B3A50000}"/>
    <cellStyle name="Total 2 30" xfId="41950" xr:uid="{00000000-0005-0000-0000-0000B4A50000}"/>
    <cellStyle name="Total 2 31" xfId="41951" xr:uid="{00000000-0005-0000-0000-0000B5A50000}"/>
    <cellStyle name="Total 2 32" xfId="41952" xr:uid="{00000000-0005-0000-0000-0000B6A50000}"/>
    <cellStyle name="Total 2 33" xfId="41953" xr:uid="{00000000-0005-0000-0000-0000B7A50000}"/>
    <cellStyle name="Total 2 34" xfId="41954" xr:uid="{00000000-0005-0000-0000-0000B8A50000}"/>
    <cellStyle name="Total 2 35" xfId="41955" xr:uid="{00000000-0005-0000-0000-0000B9A50000}"/>
    <cellStyle name="Total 2 36" xfId="41956" xr:uid="{00000000-0005-0000-0000-0000BAA50000}"/>
    <cellStyle name="Total 2 37" xfId="41957" xr:uid="{00000000-0005-0000-0000-0000BBA50000}"/>
    <cellStyle name="Total 2 38" xfId="41958" xr:uid="{00000000-0005-0000-0000-0000BCA50000}"/>
    <cellStyle name="Total 2 39" xfId="41959" xr:uid="{00000000-0005-0000-0000-0000BDA50000}"/>
    <cellStyle name="Total 2 4" xfId="41960" xr:uid="{00000000-0005-0000-0000-0000BEA50000}"/>
    <cellStyle name="Total 2 40" xfId="41961" xr:uid="{00000000-0005-0000-0000-0000BFA50000}"/>
    <cellStyle name="Total 2 41" xfId="41962" xr:uid="{00000000-0005-0000-0000-0000C0A50000}"/>
    <cellStyle name="Total 2 42" xfId="41963" xr:uid="{00000000-0005-0000-0000-0000C1A50000}"/>
    <cellStyle name="Total 2 43" xfId="41964" xr:uid="{00000000-0005-0000-0000-0000C2A50000}"/>
    <cellStyle name="Total 2 44" xfId="41965" xr:uid="{00000000-0005-0000-0000-0000C3A50000}"/>
    <cellStyle name="Total 2 45" xfId="41966" xr:uid="{00000000-0005-0000-0000-0000C4A50000}"/>
    <cellStyle name="Total 2 46" xfId="41967" xr:uid="{00000000-0005-0000-0000-0000C5A50000}"/>
    <cellStyle name="Total 2 47" xfId="41968" xr:uid="{00000000-0005-0000-0000-0000C6A50000}"/>
    <cellStyle name="Total 2 48" xfId="41969" xr:uid="{00000000-0005-0000-0000-0000C7A50000}"/>
    <cellStyle name="Total 2 5" xfId="41970" xr:uid="{00000000-0005-0000-0000-0000C8A50000}"/>
    <cellStyle name="Total 2 6" xfId="41971" xr:uid="{00000000-0005-0000-0000-0000C9A50000}"/>
    <cellStyle name="Total 2 7" xfId="41972" xr:uid="{00000000-0005-0000-0000-0000CAA50000}"/>
    <cellStyle name="Total 2 8" xfId="41973" xr:uid="{00000000-0005-0000-0000-0000CBA50000}"/>
    <cellStyle name="Total 2 9" xfId="41974" xr:uid="{00000000-0005-0000-0000-0000CCA50000}"/>
    <cellStyle name="Total 3" xfId="41975" xr:uid="{00000000-0005-0000-0000-0000CDA50000}"/>
    <cellStyle name="Total 3 2" xfId="42509" xr:uid="{00000000-0005-0000-0000-0000CEA50000}"/>
    <cellStyle name="Totals" xfId="41976" xr:uid="{00000000-0005-0000-0000-0000CFA50000}"/>
    <cellStyle name="Totals [0]" xfId="41977" xr:uid="{00000000-0005-0000-0000-0000D0A50000}"/>
    <cellStyle name="Totals [2]" xfId="41978" xr:uid="{00000000-0005-0000-0000-0000D1A50000}"/>
    <cellStyle name="Totals_CNANGES NEEDED" xfId="41979" xr:uid="{00000000-0005-0000-0000-0000D2A50000}"/>
    <cellStyle name="Tusental (0)_pldt" xfId="41980" xr:uid="{00000000-0005-0000-0000-0000D3A50000}"/>
    <cellStyle name="Tusental_pldt" xfId="41981" xr:uid="{00000000-0005-0000-0000-0000D4A50000}"/>
    <cellStyle name="Two places" xfId="41982" xr:uid="{00000000-0005-0000-0000-0000D5A50000}"/>
    <cellStyle name="u" xfId="41983" xr:uid="{00000000-0005-0000-0000-0000D6A50000}"/>
    <cellStyle name="Underline_Single" xfId="41984" xr:uid="{00000000-0005-0000-0000-0000D7A50000}"/>
    <cellStyle name="Unprot" xfId="41985" xr:uid="{00000000-0005-0000-0000-0000D8A50000}"/>
    <cellStyle name="Unprot$" xfId="41986" xr:uid="{00000000-0005-0000-0000-0000D9A50000}"/>
    <cellStyle name="Unprot_CurrencySKorea" xfId="41987" xr:uid="{00000000-0005-0000-0000-0000DAA50000}"/>
    <cellStyle name="Unprotect" xfId="41988" xr:uid="{00000000-0005-0000-0000-0000DBA50000}"/>
    <cellStyle name="UNPROTECTED" xfId="41989" xr:uid="{00000000-0005-0000-0000-0000DCA50000}"/>
    <cellStyle name="UnProtectedCalc" xfId="41990" xr:uid="{00000000-0005-0000-0000-0000DDA50000}"/>
    <cellStyle name="Update" xfId="41991" xr:uid="{00000000-0005-0000-0000-0000DEA50000}"/>
    <cellStyle name="USD" xfId="41992" xr:uid="{00000000-0005-0000-0000-0000DFA50000}"/>
    <cellStyle name="USD billion" xfId="41993" xr:uid="{00000000-0005-0000-0000-0000E0A50000}"/>
    <cellStyle name="USD million" xfId="41994" xr:uid="{00000000-0005-0000-0000-0000E1A50000}"/>
    <cellStyle name="USD thousand" xfId="41995" xr:uid="{00000000-0005-0000-0000-0000E2A50000}"/>
    <cellStyle name="Valuta (0)_pldt" xfId="41996" xr:uid="{00000000-0005-0000-0000-0000E3A50000}"/>
    <cellStyle name="Valuta_pldt" xfId="41997" xr:uid="{00000000-0005-0000-0000-0000E4A50000}"/>
    <cellStyle name="vcc" xfId="41998" xr:uid="{00000000-0005-0000-0000-0000E5A50000}"/>
    <cellStyle name="VDD" xfId="41999" xr:uid="{00000000-0005-0000-0000-0000E6A50000}"/>
    <cellStyle name="Währung [0]_Anschreiben" xfId="42000" xr:uid="{00000000-0005-0000-0000-0000E7A50000}"/>
    <cellStyle name="Währung_Anschreiben" xfId="42001" xr:uid="{00000000-0005-0000-0000-0000E8A50000}"/>
    <cellStyle name="Walutowy [0]_1" xfId="42002" xr:uid="{00000000-0005-0000-0000-0000E9A50000}"/>
    <cellStyle name="Walutowy_1" xfId="42003" xr:uid="{00000000-0005-0000-0000-0000EAA50000}"/>
    <cellStyle name="Warning" xfId="42004" xr:uid="{00000000-0005-0000-0000-0000EBA50000}"/>
    <cellStyle name="Warning Text 2" xfId="42005" xr:uid="{00000000-0005-0000-0000-0000ECA50000}"/>
    <cellStyle name="Warning Text 2 10" xfId="42006" xr:uid="{00000000-0005-0000-0000-0000EDA50000}"/>
    <cellStyle name="Warning Text 2 11" xfId="42007" xr:uid="{00000000-0005-0000-0000-0000EEA50000}"/>
    <cellStyle name="Warning Text 2 12" xfId="42008" xr:uid="{00000000-0005-0000-0000-0000EFA50000}"/>
    <cellStyle name="Warning Text 2 13" xfId="42009" xr:uid="{00000000-0005-0000-0000-0000F0A50000}"/>
    <cellStyle name="Warning Text 2 14" xfId="42010" xr:uid="{00000000-0005-0000-0000-0000F1A50000}"/>
    <cellStyle name="Warning Text 2 15" xfId="42011" xr:uid="{00000000-0005-0000-0000-0000F2A50000}"/>
    <cellStyle name="Warning Text 2 16" xfId="42012" xr:uid="{00000000-0005-0000-0000-0000F3A50000}"/>
    <cellStyle name="Warning Text 2 17" xfId="42013" xr:uid="{00000000-0005-0000-0000-0000F4A50000}"/>
    <cellStyle name="Warning Text 2 2" xfId="42014" xr:uid="{00000000-0005-0000-0000-0000F5A50000}"/>
    <cellStyle name="Warning Text 2 3" xfId="42015" xr:uid="{00000000-0005-0000-0000-0000F6A50000}"/>
    <cellStyle name="Warning Text 2 4" xfId="42016" xr:uid="{00000000-0005-0000-0000-0000F7A50000}"/>
    <cellStyle name="Warning Text 2 5" xfId="42017" xr:uid="{00000000-0005-0000-0000-0000F8A50000}"/>
    <cellStyle name="Warning Text 2 6" xfId="42018" xr:uid="{00000000-0005-0000-0000-0000F9A50000}"/>
    <cellStyle name="Warning Text 2 7" xfId="42019" xr:uid="{00000000-0005-0000-0000-0000FAA50000}"/>
    <cellStyle name="Warning Text 2 8" xfId="42020" xr:uid="{00000000-0005-0000-0000-0000FBA50000}"/>
    <cellStyle name="Warning Text 2 9" xfId="42021" xr:uid="{00000000-0005-0000-0000-0000FCA50000}"/>
    <cellStyle name="Warning Text 3" xfId="42022" xr:uid="{00000000-0005-0000-0000-0000FDA50000}"/>
    <cellStyle name="wrap" xfId="42023" xr:uid="{00000000-0005-0000-0000-0000FEA50000}"/>
    <cellStyle name="x" xfId="42024" xr:uid="{00000000-0005-0000-0000-0000FFA50000}"/>
    <cellStyle name="xco" xfId="42025" xr:uid="{00000000-0005-0000-0000-000000A60000}"/>
    <cellStyle name="year" xfId="42026" xr:uid="{00000000-0005-0000-0000-000001A60000}"/>
    <cellStyle name="YEARS" xfId="42027" xr:uid="{00000000-0005-0000-0000-000002A60000}"/>
    <cellStyle name="Yellow" xfId="42028" xr:uid="{00000000-0005-0000-0000-000003A60000}"/>
    <cellStyle name="Yellow 2" xfId="42448" xr:uid="{00000000-0005-0000-0000-000004A60000}"/>
    <cellStyle name="Yellow 2 2" xfId="42449" xr:uid="{00000000-0005-0000-0000-000005A60000}"/>
    <cellStyle name="Yellow 2 3" xfId="42450" xr:uid="{00000000-0005-0000-0000-000006A60000}"/>
    <cellStyle name="Yellow 2 4" xfId="42451" xr:uid="{00000000-0005-0000-0000-000007A60000}"/>
    <cellStyle name="Yellow 2 5" xfId="42452" xr:uid="{00000000-0005-0000-0000-000008A60000}"/>
    <cellStyle name="Yellow 2 6" xfId="42453" xr:uid="{00000000-0005-0000-0000-000009A60000}"/>
    <cellStyle name="Yellow 2 7" xfId="42454" xr:uid="{00000000-0005-0000-0000-00000AA60000}"/>
    <cellStyle name="Yellow 2 8" xfId="42455" xr:uid="{00000000-0005-0000-0000-00000BA60000}"/>
    <cellStyle name="ze" xfId="42029" xr:uid="{00000000-0005-0000-0000-00000CA60000}"/>
    <cellStyle name="Обычный_TGK-9" xfId="42030" xr:uid="{00000000-0005-0000-0000-00000DA60000}"/>
    <cellStyle name="с" xfId="42031" xr:uid="{00000000-0005-0000-0000-00000EA60000}"/>
    <cellStyle name="Тысячи [0]_3Com" xfId="42032" xr:uid="{00000000-0005-0000-0000-00000FA60000}"/>
    <cellStyle name="Тысячи_3Com" xfId="42033" xr:uid="{00000000-0005-0000-0000-000010A60000}"/>
    <cellStyle name="Формула" xfId="42034" xr:uid="{00000000-0005-0000-0000-000011A60000}"/>
  </cellStyles>
  <dxfs count="319">
    <dxf>
      <border diagonalUp="0" diagonalDown="0">
        <left/>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numFmt numFmtId="13" formatCode="0%"/>
      <fill>
        <patternFill patternType="solid">
          <fgColor indexed="64"/>
          <bgColor theme="0" tint="-0.34998626667073579"/>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numFmt numFmtId="13" formatCode="0%"/>
      <fill>
        <patternFill patternType="solid">
          <fgColor indexed="64"/>
          <bgColor theme="0" tint="-0.3499862666707357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outline="0">
        <right style="thin">
          <color indexed="64"/>
        </right>
        <bottom style="thin">
          <color indexed="64"/>
        </bottom>
      </border>
    </dxf>
    <dxf>
      <font>
        <b val="0"/>
        <i val="0"/>
        <strike val="0"/>
        <condense val="0"/>
        <extend val="0"/>
        <outline val="0"/>
        <shadow val="0"/>
        <u val="none"/>
        <vertAlign val="baseline"/>
        <sz val="9"/>
        <color theme="1"/>
        <name val="Verdana"/>
        <family val="2"/>
        <scheme val="none"/>
      </font>
    </dxf>
    <dxf>
      <font>
        <b val="0"/>
        <i val="0"/>
        <strike val="0"/>
        <condense val="0"/>
        <extend val="0"/>
        <outline val="0"/>
        <shadow val="0"/>
        <u val="none"/>
        <vertAlign val="baseline"/>
        <sz val="9"/>
        <color theme="1"/>
        <name val="Verdana"/>
        <scheme val="none"/>
      </font>
      <fill>
        <patternFill patternType="none">
          <fgColor indexed="64"/>
          <bgColor indexed="65"/>
        </patternFill>
      </fill>
    </dxf>
    <dxf>
      <font>
        <b val="0"/>
        <i/>
        <strike val="0"/>
        <condense val="0"/>
        <extend val="0"/>
        <outline val="0"/>
        <shadow val="0"/>
        <u val="none"/>
        <vertAlign val="baseline"/>
        <sz val="9"/>
        <color theme="1"/>
        <name val="Verdana"/>
        <scheme val="none"/>
      </font>
      <numFmt numFmtId="336" formatCode="_-* #,##0.0_-;\-* #,##0.0_-;_-* &quot;-&quot;??_-;_-@_-"/>
      <fill>
        <patternFill patternType="none">
          <fgColor indexed="64"/>
          <bgColor indexed="65"/>
        </patternFill>
      </fill>
    </dxf>
    <dxf>
      <font>
        <b/>
        <i val="0"/>
        <strike val="0"/>
        <condense val="0"/>
        <extend val="0"/>
        <outline val="0"/>
        <shadow val="0"/>
        <u val="none"/>
        <vertAlign val="baseline"/>
        <sz val="9"/>
        <color auto="1"/>
        <name val="Verdana"/>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ont>
        <color rgb="FFFF0000"/>
      </font>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9"/>
        <color theme="1"/>
        <name val="Verdana"/>
        <scheme val="none"/>
      </font>
      <fill>
        <patternFill patternType="solid">
          <fgColor indexed="64"/>
          <bgColor rgb="FFFFFF99"/>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fill>
        <patternFill patternType="solid">
          <fgColor indexed="64"/>
          <bgColor rgb="FFFFFF9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fill>
        <patternFill patternType="solid">
          <fgColor indexed="64"/>
          <bgColor rgb="FFFFFF9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fill>
        <patternFill patternType="solid">
          <fgColor indexed="64"/>
          <bgColor rgb="FFFFFF9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fill>
        <patternFill patternType="solid">
          <fgColor indexed="64"/>
          <bgColor rgb="FFFFFF99"/>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0"/>
        <name val="Verdana"/>
        <scheme val="none"/>
      </font>
      <numFmt numFmtId="335" formatCode="_(* #,##0_);_(* \(#,##0\);_(* &quot;-&quot;??_);_(@_)"/>
      <fill>
        <patternFill patternType="solid">
          <fgColor indexed="64"/>
          <bgColor theme="4" tint="-0.249977111117893"/>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0"/>
        <name val="Verdana"/>
        <scheme val="none"/>
      </font>
      <numFmt numFmtId="335" formatCode="_(* #,##0_);_(* \(#,##0\);_(* &quot;-&quot;??_);_(@_)"/>
      <fill>
        <patternFill patternType="solid">
          <fgColor indexed="64"/>
          <bgColor theme="4" tint="-0.249977111117893"/>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0"/>
        <name val="Verdana"/>
        <scheme val="none"/>
      </font>
      <numFmt numFmtId="335" formatCode="_(* #,##0_);_(* \(#,##0\);_(* &quot;-&quot;??_);_(@_)"/>
      <fill>
        <patternFill patternType="solid">
          <fgColor indexed="64"/>
          <bgColor theme="4" tint="-0.249977111117893"/>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0"/>
        <name val="Verdana"/>
        <scheme val="none"/>
      </font>
      <numFmt numFmtId="335" formatCode="_(* #,##0_);_(* \(#,##0\);_(* &quot;-&quot;??_);_(@_)"/>
      <fill>
        <patternFill patternType="solid">
          <fgColor indexed="64"/>
          <bgColor theme="4" tint="-0.249977111117893"/>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0"/>
        <name val="Verdana"/>
        <scheme val="none"/>
      </font>
      <numFmt numFmtId="335" formatCode="_(* #,##0_);_(* \(#,##0\);_(* &quot;-&quot;??_);_(@_)"/>
      <fill>
        <patternFill patternType="solid">
          <fgColor indexed="64"/>
          <bgColor theme="4" tint="-0.249977111117893"/>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0"/>
        <name val="Verdana"/>
        <scheme val="none"/>
      </font>
      <numFmt numFmtId="335" formatCode="_(* #,##0_);_(* \(#,##0\);_(* &quot;-&quot;??_);_(@_)"/>
      <fill>
        <patternFill patternType="solid">
          <fgColor indexed="64"/>
          <bgColor theme="4" tint="-0.249977111117893"/>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0"/>
        <name val="Verdana"/>
        <scheme val="none"/>
      </font>
      <numFmt numFmtId="335" formatCode="_(* #,##0_);_(* \(#,##0\);_(* &quot;-&quot;??_);_(@_)"/>
      <fill>
        <patternFill patternType="solid">
          <fgColor indexed="64"/>
          <bgColor theme="4" tint="-0.249977111117893"/>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0"/>
        <name val="Verdana"/>
        <scheme val="none"/>
      </font>
      <numFmt numFmtId="335" formatCode="_(* #,##0_);_(* \(#,##0\);_(* &quot;-&quot;??_);_(@_)"/>
      <fill>
        <patternFill patternType="solid">
          <fgColor indexed="64"/>
          <bgColor theme="4" tint="-0.249977111117893"/>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Verdana"/>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Verdana"/>
        <scheme val="none"/>
      </font>
      <fill>
        <patternFill patternType="solid">
          <fgColor indexed="64"/>
          <bgColor rgb="FFFFFF99"/>
        </patternFill>
      </fill>
    </dxf>
    <dxf>
      <border outline="0">
        <bottom style="thin">
          <color indexed="64"/>
        </bottom>
      </border>
    </dxf>
    <dxf>
      <font>
        <b val="0"/>
        <i val="0"/>
        <strike val="0"/>
        <condense val="0"/>
        <extend val="0"/>
        <outline val="0"/>
        <shadow val="0"/>
        <u val="none"/>
        <vertAlign val="baseline"/>
        <sz val="9"/>
        <color auto="1"/>
        <name val="Verdana"/>
        <scheme val="none"/>
      </font>
      <fill>
        <patternFill patternType="solid">
          <fgColor indexed="64"/>
          <bgColor theme="0"/>
        </patternFill>
      </fill>
      <border diagonalUp="0" diagonalDown="0" outline="0">
        <left style="thin">
          <color indexed="64"/>
        </left>
        <right style="thin">
          <color indexed="64"/>
        </right>
        <top/>
        <bottom/>
      </border>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s>
  <tableStyles count="0" defaultTableStyle="TableStyleMedium2" defaultPivotStyle="PivotStyleLight16"/>
  <colors>
    <mruColors>
      <color rgb="FF00B2BF"/>
      <color rgb="FFFFFF99"/>
      <color rgb="FF60497A"/>
      <color rgb="FF366092"/>
      <color rgb="FFBFBFBF"/>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autoTitleDeleted val="0"/>
    <c:plotArea>
      <c:layout/>
      <c:barChart>
        <c:barDir val="col"/>
        <c:grouping val="clustered"/>
        <c:varyColors val="0"/>
        <c:ser>
          <c:idx val="0"/>
          <c:order val="0"/>
          <c:tx>
            <c:strRef>
              <c:f>'Ch2 - Network Asset SDs'!$J$10</c:f>
              <c:strCache>
                <c:ptCount val="1"/>
                <c:pt idx="0">
                  <c:v>% Delivered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'Ch2 - Network Asset SDs'!$C$11:$C$24</c:f>
              <c:strCache>
                <c:ptCount val="14"/>
                <c:pt idx="0">
                  <c:v>ENWL</c:v>
                </c:pt>
                <c:pt idx="1">
                  <c:v>NPgN</c:v>
                </c:pt>
                <c:pt idx="2">
                  <c:v>NPgY</c:v>
                </c:pt>
                <c:pt idx="3">
                  <c:v>WMID</c:v>
                </c:pt>
                <c:pt idx="4">
                  <c:v>EMID</c:v>
                </c:pt>
                <c:pt idx="5">
                  <c:v>SWALES</c:v>
                </c:pt>
                <c:pt idx="6">
                  <c:v>SWEST</c:v>
                </c:pt>
                <c:pt idx="7">
                  <c:v>LPN</c:v>
                </c:pt>
                <c:pt idx="8">
                  <c:v>SPN</c:v>
                </c:pt>
                <c:pt idx="9">
                  <c:v>EPN</c:v>
                </c:pt>
                <c:pt idx="10">
                  <c:v>SPD</c:v>
                </c:pt>
                <c:pt idx="11">
                  <c:v>SPMW</c:v>
                </c:pt>
                <c:pt idx="12">
                  <c:v>SSEH</c:v>
                </c:pt>
                <c:pt idx="13">
                  <c:v>SSES</c:v>
                </c:pt>
              </c:strCache>
            </c:strRef>
          </c:cat>
          <c:val>
            <c:numRef>
              <c:f>'Ch2 - Network Asset SDs'!$J$11:$J$24</c:f>
              <c:numCache>
                <c:formatCode>0%</c:formatCode>
                <c:ptCount val="14"/>
                <c:pt idx="0">
                  <c:v>0.85909977546472771</c:v>
                </c:pt>
                <c:pt idx="1">
                  <c:v>0.94584180589386502</c:v>
                </c:pt>
                <c:pt idx="2">
                  <c:v>0.85490872565134746</c:v>
                </c:pt>
                <c:pt idx="3">
                  <c:v>1.1481142529911237</c:v>
                </c:pt>
                <c:pt idx="4">
                  <c:v>1.1281112568035012</c:v>
                </c:pt>
                <c:pt idx="5">
                  <c:v>1.1462691822647171</c:v>
                </c:pt>
                <c:pt idx="6">
                  <c:v>0.98984565880094422</c:v>
                </c:pt>
                <c:pt idx="7">
                  <c:v>0.96495257912899801</c:v>
                </c:pt>
                <c:pt idx="8">
                  <c:v>0.91155652187541414</c:v>
                </c:pt>
                <c:pt idx="9">
                  <c:v>0.9117328677524974</c:v>
                </c:pt>
                <c:pt idx="10">
                  <c:v>1.0261244545093642</c:v>
                </c:pt>
                <c:pt idx="11">
                  <c:v>0.89925385634047517</c:v>
                </c:pt>
                <c:pt idx="12">
                  <c:v>0.92461136426892176</c:v>
                </c:pt>
                <c:pt idx="13">
                  <c:v>0.8825313239006074</c:v>
                </c:pt>
              </c:numCache>
            </c:numRef>
          </c:val>
          <c:extLst>
            <c:ext xmlns:c16="http://schemas.microsoft.com/office/drawing/2014/chart" uri="{C3380CC4-5D6E-409C-BE32-E72D297353CC}">
              <c16:uniqueId val="{00000000-9301-419A-B060-BE9B86B58F0B}"/>
            </c:ext>
          </c:extLst>
        </c:ser>
        <c:dLbls>
          <c:showLegendKey val="0"/>
          <c:showVal val="0"/>
          <c:showCatName val="0"/>
          <c:showSerName val="0"/>
          <c:showPercent val="0"/>
          <c:showBubbleSize val="0"/>
        </c:dLbls>
        <c:gapWidth val="219"/>
        <c:overlap val="-27"/>
        <c:axId val="912794224"/>
        <c:axId val="912794552"/>
      </c:barChart>
      <c:catAx>
        <c:axId val="91279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12794552"/>
        <c:crosses val="autoZero"/>
        <c:auto val="1"/>
        <c:lblAlgn val="ctr"/>
        <c:lblOffset val="100"/>
        <c:noMultiLvlLbl val="0"/>
      </c:catAx>
      <c:valAx>
        <c:axId val="912794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2794224"/>
        <c:crosses val="autoZero"/>
        <c:crossBetween val="between"/>
        <c:majorUnit val="0.1"/>
        <c:minorUnit val="1.0000000000000002E-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SPD - </a:t>
            </a:r>
            <a:r>
              <a:rPr lang="en-GB"/>
              <a:t>Totex Forecasts,</a:t>
            </a:r>
            <a:r>
              <a:rPr lang="en-GB" baseline="0"/>
              <a:t> Allowances, and Actuals (</a:t>
            </a:r>
            <a:r>
              <a:rPr lang="en-GB" sz="1800" b="1" i="0" u="none" strike="noStrike" baseline="0">
                <a:effectLst/>
              </a:rPr>
              <a:t>2021/22</a:t>
            </a:r>
            <a:r>
              <a:rPr lang="en-GB" baseline="0"/>
              <a:t>)</a:t>
            </a:r>
            <a:endParaRPr lang="en-GB"/>
          </a:p>
        </c:rich>
      </c:tx>
      <c:overlay val="0"/>
    </c:title>
    <c:autoTitleDeleted val="0"/>
    <c:plotArea>
      <c:layout>
        <c:manualLayout>
          <c:layoutTarget val="inner"/>
          <c:xMode val="edge"/>
          <c:yMode val="edge"/>
          <c:x val="5.9014423853420428E-2"/>
          <c:y val="0.16496089209833481"/>
          <c:w val="0.77278040687964378"/>
          <c:h val="0.58195392211592378"/>
        </c:manualLayout>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drivers'!$E$105:$V$105</c:f>
              <c:numCache>
                <c:formatCode>_(* #,##0.0_);_(* \(#,##0.0\);_(* "-"??_);_(@_)</c:formatCode>
                <c:ptCount val="18"/>
                <c:pt idx="0">
                  <c:v>209.79092711381486</c:v>
                </c:pt>
                <c:pt idx="1">
                  <c:v>236.74740738163905</c:v>
                </c:pt>
                <c:pt idx="2">
                  <c:v>238.01610160892639</c:v>
                </c:pt>
                <c:pt idx="3">
                  <c:v>235.05815174652977</c:v>
                </c:pt>
                <c:pt idx="4">
                  <c:v>208.14038418452563</c:v>
                </c:pt>
                <c:pt idx="5">
                  <c:v>216.58175530350388</c:v>
                </c:pt>
                <c:pt idx="6">
                  <c:v>242.42040352390367</c:v>
                </c:pt>
                <c:pt idx="7">
                  <c:v>227.73385897038926</c:v>
                </c:pt>
                <c:pt idx="8">
                  <c:v>260.05079879542302</c:v>
                </c:pt>
                <c:pt idx="9">
                  <c:v>266.40912511490393</c:v>
                </c:pt>
                <c:pt idx="10">
                  <c:v>231.4446669321344</c:v>
                </c:pt>
                <c:pt idx="11">
                  <c:v>249.56083905698566</c:v>
                </c:pt>
                <c:pt idx="12">
                  <c:v>254.08786346571719</c:v>
                </c:pt>
                <c:pt idx="13">
                  <c:v>280.22737336517099</c:v>
                </c:pt>
                <c:pt idx="14">
                  <c:v>269.49313894602204</c:v>
                </c:pt>
                <c:pt idx="15">
                  <c:v>264.02621258900734</c:v>
                </c:pt>
                <c:pt idx="16">
                  <c:v>242.90577148796288</c:v>
                </c:pt>
                <c:pt idx="17">
                  <c:v>257.56573132147639</c:v>
                </c:pt>
              </c:numCache>
            </c:numRef>
          </c:val>
          <c:extLst>
            <c:ext xmlns:c16="http://schemas.microsoft.com/office/drawing/2014/chart" uri="{C3380CC4-5D6E-409C-BE32-E72D297353CC}">
              <c16:uniqueId val="{00000000-FBB2-4DEB-90C5-3700FFD01757}"/>
            </c:ext>
          </c:extLst>
        </c:ser>
        <c:dLbls>
          <c:showLegendKey val="0"/>
          <c:showVal val="0"/>
          <c:showCatName val="0"/>
          <c:showSerName val="0"/>
          <c:showPercent val="0"/>
          <c:showBubbleSize val="0"/>
        </c:dLbls>
        <c:gapWidth val="150"/>
        <c:axId val="416910848"/>
        <c:axId val="458595648"/>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FBB2-4DEB-90C5-3700FFD01757}"/>
              </c:ext>
            </c:extLst>
          </c:dPt>
          <c:dPt>
            <c:idx val="10"/>
            <c:bubble3D val="0"/>
            <c:extLst>
              <c:ext xmlns:c16="http://schemas.microsoft.com/office/drawing/2014/chart" uri="{C3380CC4-5D6E-409C-BE32-E72D297353CC}">
                <c16:uniqueId val="{00000003-FBB2-4DEB-90C5-3700FFD01757}"/>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drivers'!$E$85:$V$85</c:f>
              <c:numCache>
                <c:formatCode>_(* #,##0.0_);_(* \(#,##0.0\);_(* "-"??_);_(@_)</c:formatCode>
                <c:ptCount val="18"/>
                <c:pt idx="0">
                  <c:v>273.62681207398367</c:v>
                </c:pt>
                <c:pt idx="1">
                  <c:v>280.97996845366634</c:v>
                </c:pt>
                <c:pt idx="2">
                  <c:v>279.75298169185993</c:v>
                </c:pt>
                <c:pt idx="3">
                  <c:v>278.35071110693838</c:v>
                </c:pt>
                <c:pt idx="4">
                  <c:v>277.12372434513185</c:v>
                </c:pt>
                <c:pt idx="5">
                  <c:v>231.45303604011428</c:v>
                </c:pt>
                <c:pt idx="6">
                  <c:v>245.48654741226119</c:v>
                </c:pt>
                <c:pt idx="7">
                  <c:v>264.67152454227789</c:v>
                </c:pt>
                <c:pt idx="8">
                  <c:v>278.38773306947519</c:v>
                </c:pt>
                <c:pt idx="9">
                  <c:v>272.20895125056563</c:v>
                </c:pt>
                <c:pt idx="10">
                  <c:v>260.80363292337768</c:v>
                </c:pt>
                <c:pt idx="11">
                  <c:v>259.30687439251801</c:v>
                </c:pt>
                <c:pt idx="12">
                  <c:v>265.30586436634763</c:v>
                </c:pt>
                <c:pt idx="13">
                  <c:v>252.01987186796529</c:v>
                </c:pt>
                <c:pt idx="14">
                  <c:v>243.23198975490428</c:v>
                </c:pt>
                <c:pt idx="15">
                  <c:v>231.39160598089606</c:v>
                </c:pt>
                <c:pt idx="16">
                  <c:v>235.03445780538499</c:v>
                </c:pt>
                <c:pt idx="17">
                  <c:v>238.40071153253376</c:v>
                </c:pt>
              </c:numCache>
            </c:numRef>
          </c:val>
          <c:smooth val="0"/>
          <c:extLst>
            <c:ext xmlns:c16="http://schemas.microsoft.com/office/drawing/2014/chart" uri="{C3380CC4-5D6E-409C-BE32-E72D297353CC}">
              <c16:uniqueId val="{00000004-FBB2-4DEB-90C5-3700FFD01757}"/>
            </c:ext>
          </c:extLst>
        </c:ser>
        <c:dLbls>
          <c:showLegendKey val="0"/>
          <c:showVal val="0"/>
          <c:showCatName val="0"/>
          <c:showSerName val="0"/>
          <c:showPercent val="0"/>
          <c:showBubbleSize val="0"/>
        </c:dLbls>
        <c:marker val="1"/>
        <c:smooth val="0"/>
        <c:axId val="416910848"/>
        <c:axId val="458595648"/>
      </c:lineChart>
      <c:catAx>
        <c:axId val="416910848"/>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95648"/>
        <c:crosses val="autoZero"/>
        <c:auto val="1"/>
        <c:lblAlgn val="ctr"/>
        <c:lblOffset val="100"/>
        <c:noMultiLvlLbl val="0"/>
      </c:catAx>
      <c:valAx>
        <c:axId val="458595648"/>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910848"/>
        <c:crosses val="autoZero"/>
        <c:crossBetween val="between"/>
      </c:valAx>
    </c:plotArea>
    <c:legend>
      <c:legendPos val="r"/>
      <c:layout>
        <c:manualLayout>
          <c:xMode val="edge"/>
          <c:yMode val="edge"/>
          <c:x val="0.83833452400219499"/>
          <c:y val="0.15592090658008065"/>
          <c:w val="0.15848451013376361"/>
          <c:h val="0.25558836866877715"/>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a:latin typeface="+mn-lt"/>
              </a:rPr>
              <a:t>SPMW - Totex Forecasts, Allowances, and Actuals (2021/22)</a:t>
            </a:r>
          </a:p>
        </c:rich>
      </c:tx>
      <c:overlay val="0"/>
    </c:title>
    <c:autoTitleDeleted val="0"/>
    <c:plotArea>
      <c:layout>
        <c:manualLayout>
          <c:layoutTarget val="inner"/>
          <c:xMode val="edge"/>
          <c:yMode val="edge"/>
          <c:x val="5.9164861141560297E-2"/>
          <c:y val="0.18687225256427334"/>
          <c:w val="0.7709548697558728"/>
          <c:h val="0.52642586217775689"/>
        </c:manualLayout>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drivers'!$E$106:$V$106</c:f>
              <c:numCache>
                <c:formatCode>_(* #,##0.0_);_(* \(#,##0.0\);_(* "-"??_);_(@_)</c:formatCode>
                <c:ptCount val="18"/>
                <c:pt idx="0">
                  <c:v>235.29378899813474</c:v>
                </c:pt>
                <c:pt idx="1">
                  <c:v>223.93955172328231</c:v>
                </c:pt>
                <c:pt idx="2">
                  <c:v>245.69619133649871</c:v>
                </c:pt>
                <c:pt idx="3">
                  <c:v>259.70359818053566</c:v>
                </c:pt>
                <c:pt idx="4">
                  <c:v>225.24390148399269</c:v>
                </c:pt>
                <c:pt idx="5">
                  <c:v>237.7557893749339</c:v>
                </c:pt>
                <c:pt idx="6">
                  <c:v>270.51904928026079</c:v>
                </c:pt>
                <c:pt idx="7">
                  <c:v>287.17788485161253</c:v>
                </c:pt>
                <c:pt idx="8">
                  <c:v>319.00347103499809</c:v>
                </c:pt>
                <c:pt idx="9">
                  <c:v>354.98584992677695</c:v>
                </c:pt>
                <c:pt idx="10">
                  <c:v>287.99013787455635</c:v>
                </c:pt>
                <c:pt idx="11">
                  <c:v>301.3202663174834</c:v>
                </c:pt>
                <c:pt idx="12">
                  <c:v>306.10397105291844</c:v>
                </c:pt>
                <c:pt idx="13">
                  <c:v>319.48398921620293</c:v>
                </c:pt>
                <c:pt idx="14">
                  <c:v>291.51071288244032</c:v>
                </c:pt>
                <c:pt idx="15">
                  <c:v>264.13226618957009</c:v>
                </c:pt>
                <c:pt idx="16">
                  <c:v>266.02569500649952</c:v>
                </c:pt>
                <c:pt idx="17">
                  <c:v>279.52658168002745</c:v>
                </c:pt>
              </c:numCache>
            </c:numRef>
          </c:val>
          <c:extLst>
            <c:ext xmlns:c16="http://schemas.microsoft.com/office/drawing/2014/chart" uri="{C3380CC4-5D6E-409C-BE32-E72D297353CC}">
              <c16:uniqueId val="{00000000-5BB7-461C-A2B4-37C9058151E9}"/>
            </c:ext>
          </c:extLst>
        </c:ser>
        <c:dLbls>
          <c:showLegendKey val="0"/>
          <c:showVal val="0"/>
          <c:showCatName val="0"/>
          <c:showSerName val="0"/>
          <c:showPercent val="0"/>
          <c:showBubbleSize val="0"/>
        </c:dLbls>
        <c:gapWidth val="150"/>
        <c:axId val="418648576"/>
        <c:axId val="463720384"/>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5BB7-461C-A2B4-37C9058151E9}"/>
              </c:ext>
            </c:extLst>
          </c:dPt>
          <c:dPt>
            <c:idx val="10"/>
            <c:bubble3D val="0"/>
            <c:extLst>
              <c:ext xmlns:c16="http://schemas.microsoft.com/office/drawing/2014/chart" uri="{C3380CC4-5D6E-409C-BE32-E72D297353CC}">
                <c16:uniqueId val="{00000003-5BB7-461C-A2B4-37C9058151E9}"/>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drivers'!$E$86:$V$86</c:f>
              <c:numCache>
                <c:formatCode>_(* #,##0.0_);_(* \(#,##0.0\);_(* "-"??_);_(@_)</c:formatCode>
                <c:ptCount val="18"/>
                <c:pt idx="0">
                  <c:v>246.32635662379121</c:v>
                </c:pt>
                <c:pt idx="1">
                  <c:v>244.0257564454042</c:v>
                </c:pt>
                <c:pt idx="2">
                  <c:v>241.61231730588682</c:v>
                </c:pt>
                <c:pt idx="3">
                  <c:v>238.52622649516482</c:v>
                </c:pt>
                <c:pt idx="4">
                  <c:v>237.4745235564736</c:v>
                </c:pt>
                <c:pt idx="5">
                  <c:v>304.92362850783195</c:v>
                </c:pt>
                <c:pt idx="6">
                  <c:v>297.83863233225776</c:v>
                </c:pt>
                <c:pt idx="7">
                  <c:v>325.51500112668742</c:v>
                </c:pt>
                <c:pt idx="8">
                  <c:v>314.93808170355476</c:v>
                </c:pt>
                <c:pt idx="9">
                  <c:v>318.78437256322746</c:v>
                </c:pt>
                <c:pt idx="10">
                  <c:v>300.51616552263738</c:v>
                </c:pt>
                <c:pt idx="11">
                  <c:v>312.36542774722523</c:v>
                </c:pt>
                <c:pt idx="12">
                  <c:v>286.32303980841573</c:v>
                </c:pt>
                <c:pt idx="13">
                  <c:v>263.68644346843428</c:v>
                </c:pt>
                <c:pt idx="14">
                  <c:v>262.58246759894166</c:v>
                </c:pt>
                <c:pt idx="15">
                  <c:v>266.78196541563</c:v>
                </c:pt>
                <c:pt idx="16">
                  <c:v>259.63119134170535</c:v>
                </c:pt>
                <c:pt idx="17">
                  <c:v>244.86640217500832</c:v>
                </c:pt>
              </c:numCache>
            </c:numRef>
          </c:val>
          <c:smooth val="0"/>
          <c:extLst>
            <c:ext xmlns:c16="http://schemas.microsoft.com/office/drawing/2014/chart" uri="{C3380CC4-5D6E-409C-BE32-E72D297353CC}">
              <c16:uniqueId val="{00000004-5BB7-461C-A2B4-37C9058151E9}"/>
            </c:ext>
          </c:extLst>
        </c:ser>
        <c:dLbls>
          <c:showLegendKey val="0"/>
          <c:showVal val="0"/>
          <c:showCatName val="0"/>
          <c:showSerName val="0"/>
          <c:showPercent val="0"/>
          <c:showBubbleSize val="0"/>
        </c:dLbls>
        <c:marker val="1"/>
        <c:smooth val="0"/>
        <c:axId val="418648576"/>
        <c:axId val="463720384"/>
      </c:lineChart>
      <c:catAx>
        <c:axId val="418648576"/>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463720384"/>
        <c:crosses val="autoZero"/>
        <c:auto val="1"/>
        <c:lblAlgn val="ctr"/>
        <c:lblOffset val="100"/>
        <c:noMultiLvlLbl val="0"/>
      </c:catAx>
      <c:valAx>
        <c:axId val="463720384"/>
        <c:scaling>
          <c:orientation val="minMax"/>
        </c:scaling>
        <c:delete val="0"/>
        <c:axPos val="l"/>
        <c:majorGridlines/>
        <c:numFmt formatCode="_(* #,##0.0_);_(* \(#,##0.0\);_(* &quot;-&quot;??_);_(@_)" sourceLinked="1"/>
        <c:majorTickMark val="none"/>
        <c:minorTickMark val="none"/>
        <c:tickLblPos val="nextTo"/>
        <c:crossAx val="418648576"/>
        <c:crosses val="autoZero"/>
        <c:crossBetween val="between"/>
      </c:valAx>
    </c:plotArea>
    <c:legend>
      <c:legendPos val="r"/>
      <c:layout>
        <c:manualLayout>
          <c:xMode val="edge"/>
          <c:yMode val="edge"/>
          <c:x val="0.83695038773849606"/>
          <c:y val="0.1238599365723391"/>
          <c:w val="0.15710040876184156"/>
          <c:h val="0.22458857309441746"/>
        </c:manualLayout>
      </c:layout>
      <c:overlay val="0"/>
      <c:txPr>
        <a:bodyPr/>
        <a:lstStyle/>
        <a:p>
          <a:pPr algn="ctr">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a:latin typeface="+mn-lt"/>
              </a:rPr>
              <a:t>SSEH - Totex Forecasts, Allowances, and Actuals (2021/22)</a:t>
            </a:r>
          </a:p>
        </c:rich>
      </c:tx>
      <c:layout>
        <c:manualLayout>
          <c:xMode val="edge"/>
          <c:yMode val="edge"/>
          <c:x val="0.23120256591422833"/>
          <c:y val="2.6622291522477144E-2"/>
        </c:manualLayout>
      </c:layout>
      <c:overlay val="0"/>
    </c:title>
    <c:autoTitleDeleted val="0"/>
    <c:plotArea>
      <c:layout>
        <c:manualLayout>
          <c:layoutTarget val="inner"/>
          <c:xMode val="edge"/>
          <c:yMode val="edge"/>
          <c:x val="5.8552861280869034E-2"/>
          <c:y val="0.18624528912961527"/>
          <c:w val="0.75482271931549727"/>
          <c:h val="0.52801472121883974"/>
        </c:manualLayout>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drivers'!$E$107:$V$107</c:f>
              <c:numCache>
                <c:formatCode>_(* #,##0.0_);_(* \(#,##0.0\);_(* "-"??_);_(@_)</c:formatCode>
                <c:ptCount val="18"/>
                <c:pt idx="0">
                  <c:v>116.35337473304689</c:v>
                </c:pt>
                <c:pt idx="1">
                  <c:v>122.59837211471186</c:v>
                </c:pt>
                <c:pt idx="2">
                  <c:v>132.21306232148424</c:v>
                </c:pt>
                <c:pt idx="3">
                  <c:v>152.27563743092449</c:v>
                </c:pt>
                <c:pt idx="4">
                  <c:v>161.92954586435962</c:v>
                </c:pt>
                <c:pt idx="5">
                  <c:v>125.47028163814993</c:v>
                </c:pt>
                <c:pt idx="6">
                  <c:v>156.62933987991994</c:v>
                </c:pt>
                <c:pt idx="7">
                  <c:v>153.46845410524165</c:v>
                </c:pt>
                <c:pt idx="8">
                  <c:v>146.34730082010441</c:v>
                </c:pt>
                <c:pt idx="9">
                  <c:v>156.83874456074216</c:v>
                </c:pt>
                <c:pt idx="10">
                  <c:v>181.49509966876869</c:v>
                </c:pt>
                <c:pt idx="11">
                  <c:v>204.24379206833942</c:v>
                </c:pt>
                <c:pt idx="12">
                  <c:v>193.47732494101973</c:v>
                </c:pt>
                <c:pt idx="13">
                  <c:v>208.7896619284025</c:v>
                </c:pt>
                <c:pt idx="14">
                  <c:v>216.268557396744</c:v>
                </c:pt>
                <c:pt idx="15">
                  <c:v>239.73608010053192</c:v>
                </c:pt>
                <c:pt idx="16">
                  <c:v>274.8996643528647</c:v>
                </c:pt>
                <c:pt idx="17">
                  <c:v>252.81047946708466</c:v>
                </c:pt>
              </c:numCache>
            </c:numRef>
          </c:val>
          <c:extLst>
            <c:ext xmlns:c16="http://schemas.microsoft.com/office/drawing/2014/chart" uri="{C3380CC4-5D6E-409C-BE32-E72D297353CC}">
              <c16:uniqueId val="{00000000-98F1-4FEC-BE1E-F8E61EA23683}"/>
            </c:ext>
          </c:extLst>
        </c:ser>
        <c:dLbls>
          <c:showLegendKey val="0"/>
          <c:showVal val="0"/>
          <c:showCatName val="0"/>
          <c:showSerName val="0"/>
          <c:showPercent val="0"/>
          <c:showBubbleSize val="0"/>
        </c:dLbls>
        <c:gapWidth val="150"/>
        <c:axId val="418649600"/>
        <c:axId val="463723264"/>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98F1-4FEC-BE1E-F8E61EA23683}"/>
              </c:ext>
            </c:extLst>
          </c:dPt>
          <c:dPt>
            <c:idx val="10"/>
            <c:bubble3D val="0"/>
            <c:extLst>
              <c:ext xmlns:c16="http://schemas.microsoft.com/office/drawing/2014/chart" uri="{C3380CC4-5D6E-409C-BE32-E72D297353CC}">
                <c16:uniqueId val="{00000003-98F1-4FEC-BE1E-F8E61EA23683}"/>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drivers'!$E$87:$V$87</c:f>
              <c:numCache>
                <c:formatCode>_(* #,##0.0_);_(* \(#,##0.0\);_(* "-"??_);_(@_)</c:formatCode>
                <c:ptCount val="18"/>
                <c:pt idx="0">
                  <c:v>165.68703379964322</c:v>
                </c:pt>
                <c:pt idx="1">
                  <c:v>166.76919230260071</c:v>
                </c:pt>
                <c:pt idx="2">
                  <c:v>169.24716327712187</c:v>
                </c:pt>
                <c:pt idx="3">
                  <c:v>171.05597730166181</c:v>
                </c:pt>
                <c:pt idx="4">
                  <c:v>170.17955818608584</c:v>
                </c:pt>
                <c:pt idx="5">
                  <c:v>172.12451479149215</c:v>
                </c:pt>
                <c:pt idx="6">
                  <c:v>167.22800347702344</c:v>
                </c:pt>
                <c:pt idx="7">
                  <c:v>162.36410127897361</c:v>
                </c:pt>
                <c:pt idx="8">
                  <c:v>161.1261167024376</c:v>
                </c:pt>
                <c:pt idx="9">
                  <c:v>167.96542408254948</c:v>
                </c:pt>
                <c:pt idx="10">
                  <c:v>205.1175413608012</c:v>
                </c:pt>
                <c:pt idx="11">
                  <c:v>213.02007499490509</c:v>
                </c:pt>
                <c:pt idx="12">
                  <c:v>211.13425364045096</c:v>
                </c:pt>
                <c:pt idx="13">
                  <c:v>215.83254152787904</c:v>
                </c:pt>
                <c:pt idx="14">
                  <c:v>222.0238761280938</c:v>
                </c:pt>
                <c:pt idx="15">
                  <c:v>206.18856493841639</c:v>
                </c:pt>
                <c:pt idx="16">
                  <c:v>214.91525694149703</c:v>
                </c:pt>
                <c:pt idx="17">
                  <c:v>209.50354763414174</c:v>
                </c:pt>
              </c:numCache>
            </c:numRef>
          </c:val>
          <c:smooth val="0"/>
          <c:extLst>
            <c:ext xmlns:c16="http://schemas.microsoft.com/office/drawing/2014/chart" uri="{C3380CC4-5D6E-409C-BE32-E72D297353CC}">
              <c16:uniqueId val="{00000004-98F1-4FEC-BE1E-F8E61EA23683}"/>
            </c:ext>
          </c:extLst>
        </c:ser>
        <c:dLbls>
          <c:showLegendKey val="0"/>
          <c:showVal val="0"/>
          <c:showCatName val="0"/>
          <c:showSerName val="0"/>
          <c:showPercent val="0"/>
          <c:showBubbleSize val="0"/>
        </c:dLbls>
        <c:marker val="1"/>
        <c:smooth val="0"/>
        <c:axId val="418649600"/>
        <c:axId val="463723264"/>
      </c:lineChart>
      <c:catAx>
        <c:axId val="418649600"/>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463723264"/>
        <c:crosses val="autoZero"/>
        <c:auto val="1"/>
        <c:lblAlgn val="ctr"/>
        <c:lblOffset val="100"/>
        <c:noMultiLvlLbl val="0"/>
      </c:catAx>
      <c:valAx>
        <c:axId val="463723264"/>
        <c:scaling>
          <c:orientation val="minMax"/>
        </c:scaling>
        <c:delete val="0"/>
        <c:axPos val="l"/>
        <c:majorGridlines/>
        <c:numFmt formatCode="_(* #,##0.0_);_(* \(#,##0.0\);_(* &quot;-&quot;??_);_(@_)" sourceLinked="1"/>
        <c:majorTickMark val="none"/>
        <c:minorTickMark val="none"/>
        <c:tickLblPos val="nextTo"/>
        <c:crossAx val="418649600"/>
        <c:crosses val="autoZero"/>
        <c:crossBetween val="between"/>
      </c:valAx>
    </c:plotArea>
    <c:legend>
      <c:legendPos val="r"/>
      <c:layout>
        <c:manualLayout>
          <c:xMode val="edge"/>
          <c:yMode val="edge"/>
          <c:x val="0.83834181017329823"/>
          <c:y val="0.12316196044923207"/>
          <c:w val="0.15986295321111421"/>
          <c:h val="0.2119874434534923"/>
        </c:manualLayout>
      </c:layout>
      <c:overlay val="0"/>
      <c:txPr>
        <a:bodyPr/>
        <a:lstStyle/>
        <a:p>
          <a:pPr algn="ctr">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SSES - </a:t>
            </a:r>
            <a:r>
              <a:rPr lang="en-GB"/>
              <a:t>Totex Forecasts,</a:t>
            </a:r>
            <a:r>
              <a:rPr lang="en-GB" baseline="0"/>
              <a:t> Allowances, and Actuals (</a:t>
            </a:r>
            <a:r>
              <a:rPr lang="en-GB" sz="1800" b="1" i="0" u="none" strike="noStrike" baseline="0">
                <a:effectLst/>
              </a:rPr>
              <a:t>2021/22</a:t>
            </a:r>
            <a:r>
              <a:rPr lang="en-GB" baseline="0"/>
              <a:t>)</a:t>
            </a:r>
            <a:endParaRPr lang="en-GB"/>
          </a:p>
        </c:rich>
      </c:tx>
      <c:overlay val="0"/>
    </c:title>
    <c:autoTitleDeleted val="0"/>
    <c:plotArea>
      <c:layout>
        <c:manualLayout>
          <c:layoutTarget val="inner"/>
          <c:xMode val="edge"/>
          <c:yMode val="edge"/>
          <c:x val="5.9154812387942443E-2"/>
          <c:y val="0.16882874214933982"/>
          <c:w val="0.76476324132393758"/>
          <c:h val="0.57215196528180035"/>
        </c:manualLayout>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drivers'!$E$108:$V$108</c:f>
              <c:numCache>
                <c:formatCode>_(* #,##0.0_);_(* \(#,##0.0\);_(* "-"??_);_(@_)</c:formatCode>
                <c:ptCount val="18"/>
                <c:pt idx="0">
                  <c:v>253.66753951779771</c:v>
                </c:pt>
                <c:pt idx="1">
                  <c:v>285.03290448863879</c:v>
                </c:pt>
                <c:pt idx="2">
                  <c:v>329.23680847825915</c:v>
                </c:pt>
                <c:pt idx="3">
                  <c:v>362.6912789526242</c:v>
                </c:pt>
                <c:pt idx="4">
                  <c:v>369.39785578248103</c:v>
                </c:pt>
                <c:pt idx="5">
                  <c:v>285.88189958361852</c:v>
                </c:pt>
                <c:pt idx="6">
                  <c:v>319.56989613005163</c:v>
                </c:pt>
                <c:pt idx="7">
                  <c:v>353.27862580157358</c:v>
                </c:pt>
                <c:pt idx="8">
                  <c:v>391.72211039463025</c:v>
                </c:pt>
                <c:pt idx="9">
                  <c:v>368.48130794730923</c:v>
                </c:pt>
                <c:pt idx="10">
                  <c:v>336.80004872259315</c:v>
                </c:pt>
                <c:pt idx="11">
                  <c:v>361.8694195400434</c:v>
                </c:pt>
                <c:pt idx="12">
                  <c:v>407.08659053855689</c:v>
                </c:pt>
                <c:pt idx="13">
                  <c:v>380.88083590800142</c:v>
                </c:pt>
                <c:pt idx="14">
                  <c:v>415.00212925872523</c:v>
                </c:pt>
                <c:pt idx="15">
                  <c:v>402.73731561488501</c:v>
                </c:pt>
                <c:pt idx="16">
                  <c:v>365.26276604256975</c:v>
                </c:pt>
                <c:pt idx="17">
                  <c:v>396.69397199351477</c:v>
                </c:pt>
              </c:numCache>
            </c:numRef>
          </c:val>
          <c:extLst>
            <c:ext xmlns:c16="http://schemas.microsoft.com/office/drawing/2014/chart" uri="{C3380CC4-5D6E-409C-BE32-E72D297353CC}">
              <c16:uniqueId val="{00000000-6E87-4E32-99FB-C36C2677DAD0}"/>
            </c:ext>
          </c:extLst>
        </c:ser>
        <c:dLbls>
          <c:showLegendKey val="0"/>
          <c:showVal val="0"/>
          <c:showCatName val="0"/>
          <c:showSerName val="0"/>
          <c:showPercent val="0"/>
          <c:showBubbleSize val="0"/>
        </c:dLbls>
        <c:gapWidth val="150"/>
        <c:axId val="418650624"/>
        <c:axId val="464397440"/>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6E87-4E32-99FB-C36C2677DAD0}"/>
              </c:ext>
            </c:extLst>
          </c:dPt>
          <c:dPt>
            <c:idx val="10"/>
            <c:bubble3D val="0"/>
            <c:extLst>
              <c:ext xmlns:c16="http://schemas.microsoft.com/office/drawing/2014/chart" uri="{C3380CC4-5D6E-409C-BE32-E72D297353CC}">
                <c16:uniqueId val="{00000003-6E87-4E32-99FB-C36C2677DAD0}"/>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drivers'!$E$88:$V$88</c:f>
              <c:numCache>
                <c:formatCode>_(* #,##0.0_);_(* \(#,##0.0\);_(* "-"??_);_(@_)</c:formatCode>
                <c:ptCount val="18"/>
                <c:pt idx="0">
                  <c:v>369.18278824523514</c:v>
                </c:pt>
                <c:pt idx="1">
                  <c:v>376.71999263918883</c:v>
                </c:pt>
                <c:pt idx="2">
                  <c:v>379.52453380903199</c:v>
                </c:pt>
                <c:pt idx="3">
                  <c:v>377.94697940099519</c:v>
                </c:pt>
                <c:pt idx="4">
                  <c:v>376.36942499295844</c:v>
                </c:pt>
                <c:pt idx="5">
                  <c:v>405.16440916851155</c:v>
                </c:pt>
                <c:pt idx="6">
                  <c:v>409.3825840817247</c:v>
                </c:pt>
                <c:pt idx="7">
                  <c:v>414.291069694984</c:v>
                </c:pt>
                <c:pt idx="8">
                  <c:v>408.51781385784381</c:v>
                </c:pt>
                <c:pt idx="9">
                  <c:v>395.93272680925998</c:v>
                </c:pt>
                <c:pt idx="10">
                  <c:v>391.09642872990474</c:v>
                </c:pt>
                <c:pt idx="11">
                  <c:v>399.74627155084198</c:v>
                </c:pt>
                <c:pt idx="12">
                  <c:v>386.72442349586055</c:v>
                </c:pt>
                <c:pt idx="13">
                  <c:v>390.44854232367049</c:v>
                </c:pt>
                <c:pt idx="14">
                  <c:v>349.20591355258347</c:v>
                </c:pt>
                <c:pt idx="15">
                  <c:v>358.28797987666235</c:v>
                </c:pt>
                <c:pt idx="16">
                  <c:v>359.10706612265346</c:v>
                </c:pt>
                <c:pt idx="17">
                  <c:v>351.66265125821042</c:v>
                </c:pt>
              </c:numCache>
            </c:numRef>
          </c:val>
          <c:smooth val="0"/>
          <c:extLst>
            <c:ext xmlns:c16="http://schemas.microsoft.com/office/drawing/2014/chart" uri="{C3380CC4-5D6E-409C-BE32-E72D297353CC}">
              <c16:uniqueId val="{00000004-6E87-4E32-99FB-C36C2677DAD0}"/>
            </c:ext>
          </c:extLst>
        </c:ser>
        <c:dLbls>
          <c:showLegendKey val="0"/>
          <c:showVal val="0"/>
          <c:showCatName val="0"/>
          <c:showSerName val="0"/>
          <c:showPercent val="0"/>
          <c:showBubbleSize val="0"/>
        </c:dLbls>
        <c:marker val="1"/>
        <c:smooth val="0"/>
        <c:axId val="418650624"/>
        <c:axId val="464397440"/>
      </c:lineChart>
      <c:catAx>
        <c:axId val="418650624"/>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64397440"/>
        <c:crosses val="autoZero"/>
        <c:auto val="1"/>
        <c:lblAlgn val="ctr"/>
        <c:lblOffset val="100"/>
        <c:noMultiLvlLbl val="0"/>
      </c:catAx>
      <c:valAx>
        <c:axId val="464397440"/>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8650624"/>
        <c:crosses val="autoZero"/>
        <c:crossBetween val="between"/>
      </c:valAx>
    </c:plotArea>
    <c:legend>
      <c:legendPos val="r"/>
      <c:layout>
        <c:manualLayout>
          <c:xMode val="edge"/>
          <c:yMode val="edge"/>
          <c:x val="0.83972645155663128"/>
          <c:y val="0.1557006454169407"/>
          <c:w val="0.15847831182778113"/>
          <c:h val="0.21105036049122183"/>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a:latin typeface="+mn-lt"/>
              </a:rPr>
              <a:t>ENWL - Totex Forecasts, Allowances, and Actuals (2021/22)</a:t>
            </a:r>
          </a:p>
        </c:rich>
      </c:tx>
      <c:layout>
        <c:manualLayout>
          <c:xMode val="edge"/>
          <c:yMode val="edge"/>
          <c:x val="0.20622506458139869"/>
          <c:y val="2.8990202164726926E-2"/>
        </c:manualLayout>
      </c:layout>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drivers'!$E$97:$V$97</c:f>
              <c:numCache>
                <c:formatCode>_(* #,##0.0_);_(* \(#,##0.0\);_(* "-"??_);_(@_)</c:formatCode>
                <c:ptCount val="18"/>
                <c:pt idx="0">
                  <c:v>232.9150505077163</c:v>
                </c:pt>
                <c:pt idx="1">
                  <c:v>206.12873269095979</c:v>
                </c:pt>
                <c:pt idx="2">
                  <c:v>223.3498860896419</c:v>
                </c:pt>
                <c:pt idx="3">
                  <c:v>237.56389254272278</c:v>
                </c:pt>
                <c:pt idx="4">
                  <c:v>254.7687261098153</c:v>
                </c:pt>
                <c:pt idx="5">
                  <c:v>217.84935106000279</c:v>
                </c:pt>
                <c:pt idx="6">
                  <c:v>229.4689142805976</c:v>
                </c:pt>
                <c:pt idx="7">
                  <c:v>291.0943699305617</c:v>
                </c:pt>
                <c:pt idx="8">
                  <c:v>297.35735372069769</c:v>
                </c:pt>
                <c:pt idx="9">
                  <c:v>344.42040126466389</c:v>
                </c:pt>
                <c:pt idx="10">
                  <c:v>299.2844256351504</c:v>
                </c:pt>
                <c:pt idx="11">
                  <c:v>258.10647031489032</c:v>
                </c:pt>
                <c:pt idx="12">
                  <c:v>250.16925848601696</c:v>
                </c:pt>
                <c:pt idx="13">
                  <c:v>263.18008329283123</c:v>
                </c:pt>
                <c:pt idx="14">
                  <c:v>288.35221241254862</c:v>
                </c:pt>
                <c:pt idx="15">
                  <c:v>281.0707410696599</c:v>
                </c:pt>
                <c:pt idx="16">
                  <c:v>278.47617745706378</c:v>
                </c:pt>
                <c:pt idx="17">
                  <c:v>295.47755315648016</c:v>
                </c:pt>
              </c:numCache>
            </c:numRef>
          </c:val>
          <c:extLst>
            <c:ext xmlns:c16="http://schemas.microsoft.com/office/drawing/2014/chart" uri="{C3380CC4-5D6E-409C-BE32-E72D297353CC}">
              <c16:uniqueId val="{00000000-3163-4CBF-A4A6-BEC93F5F1883}"/>
            </c:ext>
          </c:extLst>
        </c:ser>
        <c:dLbls>
          <c:showLegendKey val="0"/>
          <c:showVal val="0"/>
          <c:showCatName val="0"/>
          <c:showSerName val="0"/>
          <c:showPercent val="0"/>
          <c:showBubbleSize val="0"/>
        </c:dLbls>
        <c:gapWidth val="150"/>
        <c:axId val="362057216"/>
        <c:axId val="372988096"/>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3163-4CBF-A4A6-BEC93F5F1883}"/>
              </c:ext>
            </c:extLst>
          </c:dPt>
          <c:dPt>
            <c:idx val="10"/>
            <c:bubble3D val="0"/>
            <c:extLst>
              <c:ext xmlns:c16="http://schemas.microsoft.com/office/drawing/2014/chart" uri="{C3380CC4-5D6E-409C-BE32-E72D297353CC}">
                <c16:uniqueId val="{00000003-3163-4CBF-A4A6-BEC93F5F1883}"/>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drivers'!$E$75:$V$75</c:f>
              <c:numCache>
                <c:formatCode>_(* #,##0.0_);_(* \(#,##0.0\);_(* "-"??_);_(@_)</c:formatCode>
                <c:ptCount val="18"/>
                <c:pt idx="0">
                  <c:v>298.99914546990897</c:v>
                </c:pt>
                <c:pt idx="1">
                  <c:v>294.09119842268336</c:v>
                </c:pt>
                <c:pt idx="2">
                  <c:v>290.58552196037931</c:v>
                </c:pt>
                <c:pt idx="3">
                  <c:v>287.25512932119051</c:v>
                </c:pt>
                <c:pt idx="4">
                  <c:v>283.92473668200176</c:v>
                </c:pt>
                <c:pt idx="5">
                  <c:v>336.35155835280244</c:v>
                </c:pt>
                <c:pt idx="6">
                  <c:v>356.93365079737669</c:v>
                </c:pt>
                <c:pt idx="7">
                  <c:v>353.14033707490142</c:v>
                </c:pt>
                <c:pt idx="8">
                  <c:v>307.30158946537529</c:v>
                </c:pt>
                <c:pt idx="9">
                  <c:v>314.72700255764647</c:v>
                </c:pt>
                <c:pt idx="10">
                  <c:v>301.88601380907079</c:v>
                </c:pt>
                <c:pt idx="11">
                  <c:v>288.51658294990392</c:v>
                </c:pt>
                <c:pt idx="12">
                  <c:v>291.10831140305049</c:v>
                </c:pt>
                <c:pt idx="13">
                  <c:v>294.06952713340007</c:v>
                </c:pt>
                <c:pt idx="14">
                  <c:v>294.34130136111446</c:v>
                </c:pt>
                <c:pt idx="15">
                  <c:v>300.81001952875249</c:v>
                </c:pt>
                <c:pt idx="16">
                  <c:v>314.25606927441413</c:v>
                </c:pt>
                <c:pt idx="17">
                  <c:v>295.86294183904386</c:v>
                </c:pt>
              </c:numCache>
            </c:numRef>
          </c:val>
          <c:smooth val="0"/>
          <c:extLst>
            <c:ext xmlns:c16="http://schemas.microsoft.com/office/drawing/2014/chart" uri="{C3380CC4-5D6E-409C-BE32-E72D297353CC}">
              <c16:uniqueId val="{00000004-3163-4CBF-A4A6-BEC93F5F1883}"/>
            </c:ext>
          </c:extLst>
        </c:ser>
        <c:dLbls>
          <c:showLegendKey val="0"/>
          <c:showVal val="0"/>
          <c:showCatName val="0"/>
          <c:showSerName val="0"/>
          <c:showPercent val="0"/>
          <c:showBubbleSize val="0"/>
        </c:dLbls>
        <c:marker val="1"/>
        <c:smooth val="0"/>
        <c:axId val="362057216"/>
        <c:axId val="372988096"/>
      </c:lineChart>
      <c:catAx>
        <c:axId val="362057216"/>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372988096"/>
        <c:crosses val="autoZero"/>
        <c:auto val="1"/>
        <c:lblAlgn val="ctr"/>
        <c:lblOffset val="100"/>
        <c:noMultiLvlLbl val="0"/>
      </c:catAx>
      <c:valAx>
        <c:axId val="372988096"/>
        <c:scaling>
          <c:orientation val="minMax"/>
        </c:scaling>
        <c:delete val="0"/>
        <c:axPos val="l"/>
        <c:majorGridlines/>
        <c:numFmt formatCode="_(* #,##0.0_);_(* \(#,##0.0\);_(* &quot;-&quot;??_);_(@_)" sourceLinked="1"/>
        <c:majorTickMark val="none"/>
        <c:minorTickMark val="none"/>
        <c:tickLblPos val="nextTo"/>
        <c:crossAx val="362057216"/>
        <c:crosses val="autoZero"/>
        <c:crossBetween val="between"/>
      </c:valAx>
    </c:plotArea>
    <c:legend>
      <c:legendPos val="r"/>
      <c:layout>
        <c:manualLayout>
          <c:xMode val="edge"/>
          <c:yMode val="edge"/>
          <c:x val="0.84071810808289804"/>
          <c:y val="0.12769689243517865"/>
          <c:w val="0.15333267721194388"/>
          <c:h val="0.302767095448293"/>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a:latin typeface="+mn-lt"/>
              </a:rPr>
              <a:t>NPGN - Totex Forecasts, Allowances, and Actuals (2021/22)</a:t>
            </a:r>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drivers'!$E$96:$V$96</c:f>
              <c:numCache>
                <c:formatCode>_(* #,##0.0_);_(* \(#,##0.0\);_(* "-"??_);_(@_)</c:formatCode>
                <c:ptCount val="18"/>
                <c:pt idx="0">
                  <c:v>168.40976810305841</c:v>
                </c:pt>
                <c:pt idx="1">
                  <c:v>173.81515256413886</c:v>
                </c:pt>
                <c:pt idx="2">
                  <c:v>188.0377511002321</c:v>
                </c:pt>
                <c:pt idx="3">
                  <c:v>185.20829161210258</c:v>
                </c:pt>
                <c:pt idx="4">
                  <c:v>177.20162988673144</c:v>
                </c:pt>
                <c:pt idx="5">
                  <c:v>156.99297493576123</c:v>
                </c:pt>
                <c:pt idx="6">
                  <c:v>158.66110132704645</c:v>
                </c:pt>
                <c:pt idx="7">
                  <c:v>221.09457991070266</c:v>
                </c:pt>
                <c:pt idx="8">
                  <c:v>252.90972215896375</c:v>
                </c:pt>
                <c:pt idx="9">
                  <c:v>264.82926537636922</c:v>
                </c:pt>
                <c:pt idx="10">
                  <c:v>226.15238928983541</c:v>
                </c:pt>
                <c:pt idx="11">
                  <c:v>221.47358479840949</c:v>
                </c:pt>
                <c:pt idx="12">
                  <c:v>200.03702720418096</c:v>
                </c:pt>
                <c:pt idx="13">
                  <c:v>205.38342691430461</c:v>
                </c:pt>
                <c:pt idx="14">
                  <c:v>230.59991225873071</c:v>
                </c:pt>
                <c:pt idx="15">
                  <c:v>225.71869044544928</c:v>
                </c:pt>
                <c:pt idx="16">
                  <c:v>204.74443755041312</c:v>
                </c:pt>
                <c:pt idx="17">
                  <c:v>142.67472672030672</c:v>
                </c:pt>
              </c:numCache>
            </c:numRef>
          </c:val>
          <c:extLst>
            <c:ext xmlns:c16="http://schemas.microsoft.com/office/drawing/2014/chart" uri="{C3380CC4-5D6E-409C-BE32-E72D297353CC}">
              <c16:uniqueId val="{00000000-91AD-484A-A2E4-416F7F44D29E}"/>
            </c:ext>
          </c:extLst>
        </c:ser>
        <c:dLbls>
          <c:showLegendKey val="0"/>
          <c:showVal val="0"/>
          <c:showCatName val="0"/>
          <c:showSerName val="0"/>
          <c:showPercent val="0"/>
          <c:showBubbleSize val="0"/>
        </c:dLbls>
        <c:gapWidth val="150"/>
        <c:axId val="362057216"/>
        <c:axId val="372988096"/>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1-91AD-484A-A2E4-416F7F44D29E}"/>
              </c:ext>
            </c:extLst>
          </c:dPt>
          <c:dPt>
            <c:idx val="10"/>
            <c:bubble3D val="0"/>
            <c:extLst>
              <c:ext xmlns:c16="http://schemas.microsoft.com/office/drawing/2014/chart" uri="{C3380CC4-5D6E-409C-BE32-E72D297353CC}">
                <c16:uniqueId val="{00000002-91AD-484A-A2E4-416F7F44D29E}"/>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drivers'!$E$76:$V$76</c:f>
              <c:numCache>
                <c:formatCode>_(* #,##0.0_);_(* \(#,##0.0\);_(* "-"??_);_(@_)</c:formatCode>
                <c:ptCount val="18"/>
                <c:pt idx="0">
                  <c:v>190.39328866773073</c:v>
                </c:pt>
                <c:pt idx="1">
                  <c:v>192.4966945451132</c:v>
                </c:pt>
                <c:pt idx="2">
                  <c:v>191.44499160642195</c:v>
                </c:pt>
                <c:pt idx="3">
                  <c:v>190.39328866773073</c:v>
                </c:pt>
                <c:pt idx="4">
                  <c:v>189.51686955215473</c:v>
                </c:pt>
                <c:pt idx="5">
                  <c:v>218.73649069026268</c:v>
                </c:pt>
                <c:pt idx="6">
                  <c:v>217.70199719484728</c:v>
                </c:pt>
                <c:pt idx="7">
                  <c:v>228.28229489137161</c:v>
                </c:pt>
                <c:pt idx="8">
                  <c:v>235.85558226610888</c:v>
                </c:pt>
                <c:pt idx="9">
                  <c:v>231.02808821962205</c:v>
                </c:pt>
                <c:pt idx="10">
                  <c:v>233.00177265685323</c:v>
                </c:pt>
                <c:pt idx="11">
                  <c:v>228.86321811532517</c:v>
                </c:pt>
                <c:pt idx="12">
                  <c:v>213.62488976306801</c:v>
                </c:pt>
                <c:pt idx="13">
                  <c:v>210.53287527134188</c:v>
                </c:pt>
                <c:pt idx="14">
                  <c:v>209.46013354972644</c:v>
                </c:pt>
                <c:pt idx="15">
                  <c:v>194.21926461923726</c:v>
                </c:pt>
                <c:pt idx="16">
                  <c:v>181.79584768471167</c:v>
                </c:pt>
                <c:pt idx="17">
                  <c:v>179.17295663649753</c:v>
                </c:pt>
              </c:numCache>
            </c:numRef>
          </c:val>
          <c:smooth val="0"/>
          <c:extLst>
            <c:ext xmlns:c16="http://schemas.microsoft.com/office/drawing/2014/chart" uri="{C3380CC4-5D6E-409C-BE32-E72D297353CC}">
              <c16:uniqueId val="{00000003-91AD-484A-A2E4-416F7F44D29E}"/>
            </c:ext>
          </c:extLst>
        </c:ser>
        <c:dLbls>
          <c:showLegendKey val="0"/>
          <c:showVal val="0"/>
          <c:showCatName val="0"/>
          <c:showSerName val="0"/>
          <c:showPercent val="0"/>
          <c:showBubbleSize val="0"/>
        </c:dLbls>
        <c:marker val="1"/>
        <c:smooth val="0"/>
        <c:axId val="362057216"/>
        <c:axId val="372988096"/>
      </c:lineChart>
      <c:catAx>
        <c:axId val="362057216"/>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372988096"/>
        <c:crosses val="autoZero"/>
        <c:auto val="1"/>
        <c:lblAlgn val="ctr"/>
        <c:lblOffset val="100"/>
        <c:noMultiLvlLbl val="0"/>
      </c:catAx>
      <c:valAx>
        <c:axId val="372988096"/>
        <c:scaling>
          <c:orientation val="minMax"/>
        </c:scaling>
        <c:delete val="0"/>
        <c:axPos val="l"/>
        <c:majorGridlines/>
        <c:numFmt formatCode="_(* #,##0.0_);_(* \(#,##0.0\);_(* &quot;-&quot;??_);_(@_)" sourceLinked="1"/>
        <c:majorTickMark val="none"/>
        <c:minorTickMark val="none"/>
        <c:tickLblPos val="nextTo"/>
        <c:crossAx val="362057216"/>
        <c:crosses val="autoZero"/>
        <c:crossBetween val="between"/>
      </c:valAx>
    </c:plotArea>
    <c:legend>
      <c:legendPos val="r"/>
      <c:layout>
        <c:manualLayout>
          <c:xMode val="edge"/>
          <c:yMode val="edge"/>
          <c:x val="0.84071810808289804"/>
          <c:y val="0.12769689243517865"/>
          <c:w val="0.15333267721194388"/>
          <c:h val="0.302767095448293"/>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2378903701165634"/>
          <c:y val="0.12573726441284563"/>
          <c:w val="0.55523297104125358"/>
          <c:h val="0.86391765827108069"/>
        </c:manualLayout>
      </c:layout>
      <c:pieChart>
        <c:varyColors val="1"/>
        <c:ser>
          <c:idx val="0"/>
          <c:order val="0"/>
          <c:dPt>
            <c:idx val="0"/>
            <c:bubble3D val="0"/>
            <c:spPr>
              <a:solidFill>
                <a:srgbClr val="45216F"/>
              </a:solidFill>
              <a:ln w="19050">
                <a:solidFill>
                  <a:schemeClr val="lt1"/>
                </a:solidFill>
              </a:ln>
              <a:effectLst/>
            </c:spPr>
            <c:extLst>
              <c:ext xmlns:c16="http://schemas.microsoft.com/office/drawing/2014/chart" uri="{C3380CC4-5D6E-409C-BE32-E72D297353CC}">
                <c16:uniqueId val="{00000001-BA96-423F-93C4-31109F246891}"/>
              </c:ext>
            </c:extLst>
          </c:dPt>
          <c:dPt>
            <c:idx val="1"/>
            <c:bubble3D val="0"/>
            <c:spPr>
              <a:solidFill>
                <a:srgbClr val="F57F29"/>
              </a:solidFill>
              <a:ln w="19050">
                <a:solidFill>
                  <a:schemeClr val="lt1"/>
                </a:solidFill>
              </a:ln>
              <a:effectLst/>
            </c:spPr>
            <c:extLst>
              <c:ext xmlns:c16="http://schemas.microsoft.com/office/drawing/2014/chart" uri="{C3380CC4-5D6E-409C-BE32-E72D297353CC}">
                <c16:uniqueId val="{00000003-BA96-423F-93C4-31109F246891}"/>
              </c:ext>
            </c:extLst>
          </c:dPt>
          <c:dPt>
            <c:idx val="2"/>
            <c:bubble3D val="0"/>
            <c:spPr>
              <a:solidFill>
                <a:srgbClr val="CD1543"/>
              </a:solidFill>
              <a:ln w="19050">
                <a:solidFill>
                  <a:schemeClr val="lt1"/>
                </a:solidFill>
              </a:ln>
              <a:effectLst/>
            </c:spPr>
            <c:extLst>
              <c:ext xmlns:c16="http://schemas.microsoft.com/office/drawing/2014/chart" uri="{C3380CC4-5D6E-409C-BE32-E72D297353CC}">
                <c16:uniqueId val="{00000005-BA96-423F-93C4-31109F246891}"/>
              </c:ext>
            </c:extLst>
          </c:dPt>
          <c:dLbls>
            <c:dLbl>
              <c:idx val="0"/>
              <c:tx>
                <c:rich>
                  <a:bodyPr/>
                  <a:lstStyle/>
                  <a:p>
                    <a:fld id="{35CF101F-E025-4F5E-A3A5-C50B4B9C812C}" type="CATEGORYNAME">
                      <a:rPr lang="en-US" sz="1000">
                        <a:solidFill>
                          <a:schemeClr val="tx1"/>
                        </a:solidFill>
                      </a:rPr>
                      <a:pPr/>
                      <a:t>[CATEGORY NAME]</a:t>
                    </a:fld>
                    <a:r>
                      <a:rPr lang="en-US" sz="1000" baseline="0">
                        <a:solidFill>
                          <a:schemeClr val="tx1"/>
                        </a:solidFill>
                      </a:rPr>
                      <a:t>, </a:t>
                    </a:r>
                    <a:br>
                      <a:rPr lang="en-US" sz="1000" baseline="0">
                        <a:solidFill>
                          <a:schemeClr val="tx1"/>
                        </a:solidFill>
                      </a:rPr>
                    </a:br>
                    <a:fld id="{92C9632D-4E03-433E-AA9C-4D7F6679BCD7}" type="VALUE">
                      <a:rPr lang="en-US" sz="1000" baseline="0">
                        <a:solidFill>
                          <a:schemeClr val="tx1"/>
                        </a:solidFill>
                      </a:rPr>
                      <a:pPr/>
                      <a:t>[VALUE]</a:t>
                    </a:fld>
                    <a:r>
                      <a:rPr lang="en-US" sz="1000" baseline="0">
                        <a:solidFill>
                          <a:schemeClr val="tx1"/>
                        </a:solidFill>
                      </a:rPr>
                      <a:t>m</a:t>
                    </a:r>
                  </a:p>
                </c:rich>
              </c:tx>
              <c:showLegendKey val="0"/>
              <c:showVal val="0"/>
              <c:showCatName val="1"/>
              <c:showSerName val="0"/>
              <c:showPercent val="1"/>
              <c:showBubbleSize val="0"/>
              <c:extLst>
                <c:ext xmlns:c15="http://schemas.microsoft.com/office/drawing/2012/chart" uri="{CE6537A1-D6FC-4f65-9D91-7224C49458BB}">
                  <c15:layout>
                    <c:manualLayout>
                      <c:w val="0.22160034561125813"/>
                      <c:h val="0.19299259866958557"/>
                    </c:manualLayout>
                  </c15:layout>
                  <c15:dlblFieldTable/>
                  <c15:showDataLabelsRange val="0"/>
                </c:ext>
                <c:ext xmlns:c16="http://schemas.microsoft.com/office/drawing/2014/chart" uri="{C3380CC4-5D6E-409C-BE32-E72D297353CC}">
                  <c16:uniqueId val="{00000001-BA96-423F-93C4-31109F246891}"/>
                </c:ext>
              </c:extLst>
            </c:dLbl>
            <c:dLbl>
              <c:idx val="1"/>
              <c:tx>
                <c:rich>
                  <a:bodyPr/>
                  <a:lstStyle/>
                  <a:p>
                    <a:fld id="{8D3BB4C0-B792-487A-8033-FDBAD6111AC9}" type="CATEGORYNAME">
                      <a:rPr lang="en-US" sz="1000">
                        <a:solidFill>
                          <a:schemeClr val="tx1"/>
                        </a:solidFill>
                      </a:rPr>
                      <a:pPr/>
                      <a:t>[CATEGORY NAME]</a:t>
                    </a:fld>
                    <a:r>
                      <a:rPr lang="en-US" sz="1000" baseline="0">
                        <a:solidFill>
                          <a:schemeClr val="tx1"/>
                        </a:solidFill>
                      </a:rPr>
                      <a:t>, </a:t>
                    </a:r>
                    <a:br>
                      <a:rPr lang="en-US" sz="1000" baseline="0">
                        <a:solidFill>
                          <a:schemeClr val="tx1"/>
                        </a:solidFill>
                      </a:rPr>
                    </a:br>
                    <a:fld id="{3087DA9C-356E-43A9-8DC6-5E176DC4107F}" type="VALUE">
                      <a:rPr lang="en-US" sz="1000" baseline="0">
                        <a:solidFill>
                          <a:schemeClr val="tx1"/>
                        </a:solidFill>
                      </a:rPr>
                      <a:pPr/>
                      <a:t>[VALUE]</a:t>
                    </a:fld>
                    <a:r>
                      <a:rPr lang="en-US" sz="1000" baseline="0">
                        <a:solidFill>
                          <a:schemeClr val="tx1"/>
                        </a:solidFill>
                      </a:rPr>
                      <a:t>m</a:t>
                    </a:r>
                  </a:p>
                </c:rich>
              </c:tx>
              <c:dLblPos val="outEnd"/>
              <c:showLegendKey val="0"/>
              <c:showVal val="0"/>
              <c:showCatName val="1"/>
              <c:showSerName val="0"/>
              <c:showPercent val="1"/>
              <c:showBubbleSize val="0"/>
              <c:extLst>
                <c:ext xmlns:c15="http://schemas.microsoft.com/office/drawing/2012/chart" uri="{CE6537A1-D6FC-4f65-9D91-7224C49458BB}">
                  <c15:layout>
                    <c:manualLayout>
                      <c:w val="0.221613924637168"/>
                      <c:h val="0.24836498718149949"/>
                    </c:manualLayout>
                  </c15:layout>
                  <c15:dlblFieldTable/>
                  <c15:showDataLabelsRange val="0"/>
                </c:ext>
                <c:ext xmlns:c16="http://schemas.microsoft.com/office/drawing/2014/chart" uri="{C3380CC4-5D6E-409C-BE32-E72D297353CC}">
                  <c16:uniqueId val="{00000003-BA96-423F-93C4-31109F246891}"/>
                </c:ext>
              </c:extLst>
            </c:dLbl>
            <c:dLbl>
              <c:idx val="2"/>
              <c:tx>
                <c:rich>
                  <a:bodyPr/>
                  <a:lstStyle/>
                  <a:p>
                    <a:fld id="{BE38F3D6-2254-495C-8018-484F157D0792}" type="CATEGORYNAME">
                      <a:rPr lang="en-US" sz="1000">
                        <a:solidFill>
                          <a:schemeClr val="tx1"/>
                        </a:solidFill>
                      </a:rPr>
                      <a:pPr/>
                      <a:t>[CATEGORY NAME]</a:t>
                    </a:fld>
                    <a:r>
                      <a:rPr lang="en-US" sz="1000" baseline="0">
                        <a:solidFill>
                          <a:schemeClr val="tx1"/>
                        </a:solidFill>
                      </a:rPr>
                      <a:t>,</a:t>
                    </a:r>
                    <a:br>
                      <a:rPr lang="en-US" sz="1000" baseline="0">
                        <a:solidFill>
                          <a:schemeClr val="tx1"/>
                        </a:solidFill>
                      </a:rPr>
                    </a:br>
                    <a:fld id="{49A3DE6C-EA96-4E79-9ED2-CD1CE0523C5C}" type="VALUE">
                      <a:rPr lang="en-US" sz="1000" baseline="0">
                        <a:solidFill>
                          <a:schemeClr val="tx1"/>
                        </a:solidFill>
                      </a:rPr>
                      <a:pPr/>
                      <a:t>[VALUE]</a:t>
                    </a:fld>
                    <a:r>
                      <a:rPr lang="en-US" sz="1000" baseline="0">
                        <a:solidFill>
                          <a:schemeClr val="tx1"/>
                        </a:solidFill>
                      </a:rPr>
                      <a:t>m</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A96-423F-93C4-31109F246891}"/>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val>
            <c:numRef>
              <c:f>'Ch4 expenditure drivers 2'!$K$3:$K$4</c:f>
              <c:numCache>
                <c:formatCode>"£"#,##0.00</c:formatCode>
                <c:ptCount val="2"/>
                <c:pt idx="0">
                  <c:v>-983.42713952635995</c:v>
                </c:pt>
                <c:pt idx="1">
                  <c:v>-1288.4325384546355</c:v>
                </c:pt>
              </c:numCache>
              <c:extLst/>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6-BA96-423F-93C4-31109F246891}"/>
            </c:ext>
          </c:extLst>
        </c:ser>
        <c:dLbls>
          <c:showLegendKey val="0"/>
          <c:showVal val="1"/>
          <c:showCatName val="1"/>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2378903701165634"/>
          <c:y val="0.12573726441284563"/>
          <c:w val="0.55523297104125358"/>
          <c:h val="0.86391765827108069"/>
        </c:manualLayout>
      </c:layout>
      <c:pieChart>
        <c:varyColors val="1"/>
        <c:ser>
          <c:idx val="0"/>
          <c:order val="0"/>
          <c:dPt>
            <c:idx val="0"/>
            <c:bubble3D val="0"/>
            <c:spPr>
              <a:solidFill>
                <a:srgbClr val="F57F29"/>
              </a:solidFill>
              <a:ln w="19050">
                <a:solidFill>
                  <a:schemeClr val="lt1"/>
                </a:solidFill>
              </a:ln>
              <a:effectLst/>
            </c:spPr>
            <c:extLst>
              <c:ext xmlns:c16="http://schemas.microsoft.com/office/drawing/2014/chart" uri="{C3380CC4-5D6E-409C-BE32-E72D297353CC}">
                <c16:uniqueId val="{00000001-F49E-4957-B0EA-358D1CEF96BD}"/>
              </c:ext>
            </c:extLst>
          </c:dPt>
          <c:dPt>
            <c:idx val="1"/>
            <c:bubble3D val="0"/>
            <c:spPr>
              <a:solidFill>
                <a:srgbClr val="2062AF"/>
              </a:solidFill>
              <a:ln w="19050">
                <a:solidFill>
                  <a:schemeClr val="lt1"/>
                </a:solidFill>
              </a:ln>
              <a:effectLst/>
            </c:spPr>
            <c:extLst>
              <c:ext xmlns:c16="http://schemas.microsoft.com/office/drawing/2014/chart" uri="{C3380CC4-5D6E-409C-BE32-E72D297353CC}">
                <c16:uniqueId val="{00000003-F49E-4957-B0EA-358D1CEF96BD}"/>
              </c:ext>
            </c:extLst>
          </c:dPt>
          <c:dPt>
            <c:idx val="2"/>
            <c:bubble3D val="0"/>
            <c:spPr>
              <a:solidFill>
                <a:srgbClr val="CD1543"/>
              </a:solidFill>
              <a:ln w="19050">
                <a:solidFill>
                  <a:schemeClr val="lt1"/>
                </a:solidFill>
              </a:ln>
              <a:effectLst/>
            </c:spPr>
            <c:extLst>
              <c:ext xmlns:c16="http://schemas.microsoft.com/office/drawing/2014/chart" uri="{C3380CC4-5D6E-409C-BE32-E72D297353CC}">
                <c16:uniqueId val="{00000005-F49E-4957-B0EA-358D1CEF96BD}"/>
              </c:ext>
            </c:extLst>
          </c:dPt>
          <c:dPt>
            <c:idx val="3"/>
            <c:bubble3D val="0"/>
            <c:spPr>
              <a:solidFill>
                <a:srgbClr val="00B2BF"/>
              </a:solidFill>
              <a:ln w="19050">
                <a:solidFill>
                  <a:schemeClr val="lt1"/>
                </a:solidFill>
              </a:ln>
              <a:effectLst/>
            </c:spPr>
            <c:extLst>
              <c:ext xmlns:c16="http://schemas.microsoft.com/office/drawing/2014/chart" uri="{C3380CC4-5D6E-409C-BE32-E72D297353CC}">
                <c16:uniqueId val="{00000006-2CFB-494F-8EDF-A4E7BC0FD99A}"/>
              </c:ext>
            </c:extLst>
          </c:dPt>
          <c:dLbls>
            <c:dLbl>
              <c:idx val="0"/>
              <c:tx>
                <c:rich>
                  <a:bodyPr/>
                  <a:lstStyle/>
                  <a:p>
                    <a:fld id="{35CF101F-E025-4F5E-A3A5-C50B4B9C812C}" type="CATEGORYNAME">
                      <a:rPr lang="en-US" sz="1000">
                        <a:solidFill>
                          <a:sysClr val="windowText" lastClr="000000"/>
                        </a:solidFill>
                      </a:rPr>
                      <a:pPr/>
                      <a:t>[CATEGORY NAME]</a:t>
                    </a:fld>
                    <a:r>
                      <a:rPr lang="en-US" sz="1000" baseline="0">
                        <a:solidFill>
                          <a:sysClr val="windowText" lastClr="000000"/>
                        </a:solidFill>
                      </a:rPr>
                      <a:t>, </a:t>
                    </a:r>
                    <a:fld id="{92C9632D-4E03-433E-AA9C-4D7F6679BCD7}" type="VALUE">
                      <a:rPr lang="en-US" sz="1000" baseline="0">
                        <a:solidFill>
                          <a:sysClr val="windowText" lastClr="000000"/>
                        </a:solidFill>
                      </a:rPr>
                      <a:pPr/>
                      <a:t>[VALUE]</a:t>
                    </a:fld>
                    <a:r>
                      <a:rPr lang="en-US" sz="1000" baseline="0">
                        <a:solidFill>
                          <a:sysClr val="windowText" lastClr="000000"/>
                        </a:solidFill>
                      </a:rPr>
                      <a:t>m</a:t>
                    </a: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F49E-4957-B0EA-358D1CEF96BD}"/>
                </c:ext>
              </c:extLst>
            </c:dLbl>
            <c:dLbl>
              <c:idx val="1"/>
              <c:tx>
                <c:rich>
                  <a:bodyPr/>
                  <a:lstStyle/>
                  <a:p>
                    <a:fld id="{8D3BB4C0-B792-487A-8033-FDBAD6111AC9}" type="CATEGORYNAME">
                      <a:rPr lang="en-US" sz="1000">
                        <a:solidFill>
                          <a:sysClr val="windowText" lastClr="000000"/>
                        </a:solidFill>
                      </a:rPr>
                      <a:pPr/>
                      <a:t>[CATEGORY NAME]</a:t>
                    </a:fld>
                    <a:r>
                      <a:rPr lang="en-US" sz="1000" baseline="0">
                        <a:solidFill>
                          <a:sysClr val="windowText" lastClr="000000"/>
                        </a:solidFill>
                      </a:rPr>
                      <a:t>, </a:t>
                    </a:r>
                    <a:fld id="{3087DA9C-356E-43A9-8DC6-5E176DC4107F}" type="VALUE">
                      <a:rPr lang="en-US" sz="1000" baseline="0">
                        <a:solidFill>
                          <a:sysClr val="windowText" lastClr="000000"/>
                        </a:solidFill>
                      </a:rPr>
                      <a:pPr/>
                      <a:t>[VALUE]</a:t>
                    </a:fld>
                    <a:r>
                      <a:rPr lang="en-US" sz="1000" baseline="0">
                        <a:solidFill>
                          <a:sysClr val="windowText" lastClr="000000"/>
                        </a:solidFill>
                      </a:rPr>
                      <a:t>m</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49E-4957-B0EA-358D1CEF96BD}"/>
                </c:ext>
              </c:extLst>
            </c:dLbl>
            <c:dLbl>
              <c:idx val="2"/>
              <c:tx>
                <c:rich>
                  <a:bodyPr/>
                  <a:lstStyle/>
                  <a:p>
                    <a:fld id="{BE38F3D6-2254-495C-8018-484F157D0792}" type="CATEGORYNAME">
                      <a:rPr lang="en-US" sz="1000">
                        <a:solidFill>
                          <a:sysClr val="windowText" lastClr="000000"/>
                        </a:solidFill>
                      </a:rPr>
                      <a:pPr/>
                      <a:t>[CATEGORY NAME]</a:t>
                    </a:fld>
                    <a:r>
                      <a:rPr lang="en-US" sz="1000" baseline="0">
                        <a:solidFill>
                          <a:sysClr val="windowText" lastClr="000000"/>
                        </a:solidFill>
                      </a:rPr>
                      <a:t>, </a:t>
                    </a:r>
                    <a:fld id="{49A3DE6C-EA96-4E79-9ED2-CD1CE0523C5C}" type="VALUE">
                      <a:rPr lang="en-US" sz="1000" baseline="0">
                        <a:solidFill>
                          <a:sysClr val="windowText" lastClr="000000"/>
                        </a:solidFill>
                      </a:rPr>
                      <a:pPr/>
                      <a:t>[VALUE]</a:t>
                    </a:fld>
                    <a:r>
                      <a:rPr lang="en-US" sz="1000" baseline="0">
                        <a:solidFill>
                          <a:sysClr val="windowText" lastClr="000000"/>
                        </a:solidFill>
                      </a:rPr>
                      <a:t>m</a:t>
                    </a: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49E-4957-B0EA-358D1CEF96BD}"/>
                </c:ext>
              </c:extLst>
            </c:dLbl>
            <c:dLbl>
              <c:idx val="3"/>
              <c:layout>
                <c:manualLayout>
                  <c:x val="0.26612993893785147"/>
                  <c:y val="1.0184822689649098E-2"/>
                </c:manualLayout>
              </c:layout>
              <c:tx>
                <c:rich>
                  <a:bodyPr rot="0" spcFirstLastPara="1" vertOverflow="clip" horzOverflow="clip" vert="horz" wrap="square" lIns="38100" tIns="19050" rIns="38100" bIns="19050" anchor="ctr" anchorCtr="0">
                    <a:spAutoFit/>
                  </a:bodyPr>
                  <a:lstStyle/>
                  <a:p>
                    <a:pPr algn="ctr" rtl="0">
                      <a:defRPr lang="en-US" sz="10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fld id="{8E133572-C7A1-44A1-A555-384307A70AD4}" type="CATEGORYNAME">
                      <a:rPr lang="en-US" sz="10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lang="en-US" sz="1000">
                          <a:solidFill>
                            <a:sysClr val="windowText" lastClr="000000"/>
                          </a:solidFill>
                        </a:defRPr>
                      </a:pPr>
                      <a:t>[CATEGORY NAME]</a:t>
                    </a:fld>
                    <a:r>
                      <a:rPr lang="en-US" sz="10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Other operational capex, £59m</a:t>
                    </a:r>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0">
                  <a:spAutoFit/>
                </a:bodyPr>
                <a:lstStyle/>
                <a:p>
                  <a:pPr algn="ctr" rtl="0">
                    <a:defRPr lang="en-US" sz="10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0295749160896864"/>
                      <c:h val="0.1419293835385112"/>
                    </c:manualLayout>
                  </c15:layout>
                  <c15:dlblFieldTable/>
                  <c15:showDataLabelsRange val="0"/>
                </c:ext>
                <c:ext xmlns:c16="http://schemas.microsoft.com/office/drawing/2014/chart" uri="{C3380CC4-5D6E-409C-BE32-E72D297353CC}">
                  <c16:uniqueId val="{00000006-2CFB-494F-8EDF-A4E7BC0FD99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Lit>
              <c:ptCount val="3"/>
              <c:pt idx="0">
                <c:v>Network Faults</c:v>
              </c:pt>
              <c:pt idx="1">
                <c:v>Operational Support</c:v>
              </c:pt>
              <c:pt idx="2">
                <c:v>Business Support</c:v>
              </c:pt>
            </c:strLit>
          </c:cat>
          <c:val>
            <c:numRef>
              <c:f>'Ch4 expenditure drivers 2'!$Q$3:$Q$6</c:f>
              <c:numCache>
                <c:formatCode>"£"#,##0.00</c:formatCode>
                <c:ptCount val="4"/>
                <c:pt idx="0">
                  <c:v>690.97934139025801</c:v>
                </c:pt>
                <c:pt idx="1">
                  <c:v>669.25713620182432</c:v>
                </c:pt>
                <c:pt idx="2">
                  <c:v>154.72206660001484</c:v>
                </c:pt>
                <c:pt idx="3">
                  <c:v>49.339213841652509</c:v>
                </c:pt>
              </c:numCache>
            </c:numRef>
          </c:val>
          <c:extLst>
            <c:ext xmlns:c16="http://schemas.microsoft.com/office/drawing/2014/chart" uri="{C3380CC4-5D6E-409C-BE32-E72D297353CC}">
              <c16:uniqueId val="{00000006-F49E-4957-B0EA-358D1CEF96BD}"/>
            </c:ext>
          </c:extLst>
        </c:ser>
        <c:dLbls>
          <c:showLegendKey val="0"/>
          <c:showVal val="1"/>
          <c:showCatName val="1"/>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a:latin typeface="+mn-lt"/>
              </a:rPr>
              <a:t>NPgY - Totex Forecasts, Allowances, and Actuals (2021/22)</a:t>
            </a:r>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drivers'!$E$97:$V$97</c:f>
              <c:numCache>
                <c:formatCode>_(* #,##0.0_);_(* \(#,##0.0\);_(* "-"??_);_(@_)</c:formatCode>
                <c:ptCount val="18"/>
                <c:pt idx="0">
                  <c:v>232.9150505077163</c:v>
                </c:pt>
                <c:pt idx="1">
                  <c:v>206.12873269095979</c:v>
                </c:pt>
                <c:pt idx="2">
                  <c:v>223.3498860896419</c:v>
                </c:pt>
                <c:pt idx="3">
                  <c:v>237.56389254272278</c:v>
                </c:pt>
                <c:pt idx="4">
                  <c:v>254.7687261098153</c:v>
                </c:pt>
                <c:pt idx="5">
                  <c:v>217.84935106000279</c:v>
                </c:pt>
                <c:pt idx="6">
                  <c:v>229.4689142805976</c:v>
                </c:pt>
                <c:pt idx="7">
                  <c:v>291.0943699305617</c:v>
                </c:pt>
                <c:pt idx="8">
                  <c:v>297.35735372069769</c:v>
                </c:pt>
                <c:pt idx="9">
                  <c:v>344.42040126466389</c:v>
                </c:pt>
                <c:pt idx="10">
                  <c:v>299.2844256351504</c:v>
                </c:pt>
                <c:pt idx="11">
                  <c:v>258.10647031489032</c:v>
                </c:pt>
                <c:pt idx="12">
                  <c:v>250.16925848601696</c:v>
                </c:pt>
                <c:pt idx="13">
                  <c:v>263.18008329283123</c:v>
                </c:pt>
                <c:pt idx="14">
                  <c:v>288.35221241254862</c:v>
                </c:pt>
                <c:pt idx="15">
                  <c:v>281.0707410696599</c:v>
                </c:pt>
                <c:pt idx="16">
                  <c:v>278.47617745706378</c:v>
                </c:pt>
                <c:pt idx="17">
                  <c:v>295.47755315648016</c:v>
                </c:pt>
              </c:numCache>
            </c:numRef>
          </c:val>
          <c:extLst>
            <c:ext xmlns:c16="http://schemas.microsoft.com/office/drawing/2014/chart" uri="{C3380CC4-5D6E-409C-BE32-E72D297353CC}">
              <c16:uniqueId val="{00000000-90D2-40A2-BCEB-86FE80531146}"/>
            </c:ext>
          </c:extLst>
        </c:ser>
        <c:dLbls>
          <c:showLegendKey val="0"/>
          <c:showVal val="0"/>
          <c:showCatName val="0"/>
          <c:showSerName val="0"/>
          <c:showPercent val="0"/>
          <c:showBubbleSize val="0"/>
        </c:dLbls>
        <c:gapWidth val="150"/>
        <c:axId val="362057216"/>
        <c:axId val="372988096"/>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90D2-40A2-BCEB-86FE80531146}"/>
              </c:ext>
            </c:extLst>
          </c:dPt>
          <c:dPt>
            <c:idx val="10"/>
            <c:bubble3D val="0"/>
            <c:extLst>
              <c:ext xmlns:c16="http://schemas.microsoft.com/office/drawing/2014/chart" uri="{C3380CC4-5D6E-409C-BE32-E72D297353CC}">
                <c16:uniqueId val="{00000003-90D2-40A2-BCEB-86FE80531146}"/>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drivers'!$E$77:$V$77</c:f>
              <c:numCache>
                <c:formatCode>_(* #,##0.0_);_(* \(#,##0.0\);_(* "-"??_);_(@_)</c:formatCode>
                <c:ptCount val="18"/>
                <c:pt idx="0">
                  <c:v>254.44199763402494</c:v>
                </c:pt>
                <c:pt idx="1">
                  <c:v>251.46217264106656</c:v>
                </c:pt>
                <c:pt idx="2">
                  <c:v>248.30706382499298</c:v>
                </c:pt>
                <c:pt idx="3">
                  <c:v>246.9047932400714</c:v>
                </c:pt>
                <c:pt idx="4">
                  <c:v>245.67780647826496</c:v>
                </c:pt>
                <c:pt idx="5">
                  <c:v>293.24646226790622</c:v>
                </c:pt>
                <c:pt idx="6">
                  <c:v>296.05178103412118</c:v>
                </c:pt>
                <c:pt idx="7">
                  <c:v>291.54483435871163</c:v>
                </c:pt>
                <c:pt idx="8">
                  <c:v>296.83038383408586</c:v>
                </c:pt>
                <c:pt idx="9">
                  <c:v>307.56909763401455</c:v>
                </c:pt>
                <c:pt idx="10">
                  <c:v>307.36139767401318</c:v>
                </c:pt>
                <c:pt idx="11">
                  <c:v>289.80276310816424</c:v>
                </c:pt>
                <c:pt idx="12">
                  <c:v>284.97058710949995</c:v>
                </c:pt>
                <c:pt idx="13">
                  <c:v>287.6185623889163</c:v>
                </c:pt>
                <c:pt idx="14">
                  <c:v>273.32585113967036</c:v>
                </c:pt>
                <c:pt idx="15">
                  <c:v>260.05547196006773</c:v>
                </c:pt>
                <c:pt idx="16">
                  <c:v>247.78035809320502</c:v>
                </c:pt>
                <c:pt idx="17">
                  <c:v>254.21623068092791</c:v>
                </c:pt>
              </c:numCache>
            </c:numRef>
          </c:val>
          <c:smooth val="0"/>
          <c:extLst>
            <c:ext xmlns:c16="http://schemas.microsoft.com/office/drawing/2014/chart" uri="{C3380CC4-5D6E-409C-BE32-E72D297353CC}">
              <c16:uniqueId val="{00000004-90D2-40A2-BCEB-86FE80531146}"/>
            </c:ext>
          </c:extLst>
        </c:ser>
        <c:dLbls>
          <c:showLegendKey val="0"/>
          <c:showVal val="0"/>
          <c:showCatName val="0"/>
          <c:showSerName val="0"/>
          <c:showPercent val="0"/>
          <c:showBubbleSize val="0"/>
        </c:dLbls>
        <c:marker val="1"/>
        <c:smooth val="0"/>
        <c:axId val="362057216"/>
        <c:axId val="372988096"/>
      </c:lineChart>
      <c:catAx>
        <c:axId val="362057216"/>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372988096"/>
        <c:crosses val="autoZero"/>
        <c:auto val="1"/>
        <c:lblAlgn val="ctr"/>
        <c:lblOffset val="100"/>
        <c:noMultiLvlLbl val="0"/>
      </c:catAx>
      <c:valAx>
        <c:axId val="372988096"/>
        <c:scaling>
          <c:orientation val="minMax"/>
        </c:scaling>
        <c:delete val="0"/>
        <c:axPos val="l"/>
        <c:majorGridlines/>
        <c:numFmt formatCode="_(* #,##0.0_);_(* \(#,##0.0\);_(* &quot;-&quot;??_);_(@_)" sourceLinked="1"/>
        <c:majorTickMark val="none"/>
        <c:minorTickMark val="none"/>
        <c:tickLblPos val="nextTo"/>
        <c:crossAx val="362057216"/>
        <c:crosses val="autoZero"/>
        <c:crossBetween val="between"/>
      </c:valAx>
    </c:plotArea>
    <c:legend>
      <c:legendPos val="r"/>
      <c:layout>
        <c:manualLayout>
          <c:xMode val="edge"/>
          <c:yMode val="edge"/>
          <c:x val="0.84071810808289804"/>
          <c:y val="0.12769689243517865"/>
          <c:w val="0.15333267721194388"/>
          <c:h val="0.302767095448293"/>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WMID - </a:t>
            </a:r>
            <a:r>
              <a:rPr lang="en-GB"/>
              <a:t>Totex Forecasts,</a:t>
            </a:r>
            <a:r>
              <a:rPr lang="en-GB" baseline="0"/>
              <a:t> Allowances, and Actuals (2021/22)</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drivers'!$E$98:$V$98</c:f>
              <c:numCache>
                <c:formatCode>_(* #,##0.0_);_(* \(#,##0.0\);_(* "-"??_);_(@_)</c:formatCode>
                <c:ptCount val="18"/>
                <c:pt idx="0">
                  <c:v>240.64098072663103</c:v>
                </c:pt>
                <c:pt idx="1">
                  <c:v>307.46617458368968</c:v>
                </c:pt>
                <c:pt idx="2">
                  <c:v>324.28021828593643</c:v>
                </c:pt>
                <c:pt idx="3">
                  <c:v>363.84807383120335</c:v>
                </c:pt>
                <c:pt idx="4">
                  <c:v>336.52110934056486</c:v>
                </c:pt>
                <c:pt idx="5">
                  <c:v>296.46851398095271</c:v>
                </c:pt>
                <c:pt idx="6">
                  <c:v>361.13851856952539</c:v>
                </c:pt>
                <c:pt idx="7">
                  <c:v>340.69002240794651</c:v>
                </c:pt>
                <c:pt idx="8">
                  <c:v>406.21815119351879</c:v>
                </c:pt>
                <c:pt idx="9">
                  <c:v>403.47392420453224</c:v>
                </c:pt>
                <c:pt idx="10">
                  <c:v>374.02107204480541</c:v>
                </c:pt>
                <c:pt idx="11">
                  <c:v>376.6741186179205</c:v>
                </c:pt>
                <c:pt idx="12">
                  <c:v>318.39139237344847</c:v>
                </c:pt>
                <c:pt idx="13">
                  <c:v>287.81445035226687</c:v>
                </c:pt>
                <c:pt idx="14">
                  <c:v>287.89198339516162</c:v>
                </c:pt>
                <c:pt idx="15">
                  <c:v>334.58968982767607</c:v>
                </c:pt>
                <c:pt idx="16">
                  <c:v>349.4748775023474</c:v>
                </c:pt>
                <c:pt idx="17">
                  <c:v>347.26968230662237</c:v>
                </c:pt>
              </c:numCache>
            </c:numRef>
          </c:val>
          <c:extLst>
            <c:ext xmlns:c16="http://schemas.microsoft.com/office/drawing/2014/chart" uri="{C3380CC4-5D6E-409C-BE32-E72D297353CC}">
              <c16:uniqueId val="{00000000-0D18-4DEC-B487-38121EBD6C6C}"/>
            </c:ext>
          </c:extLst>
        </c:ser>
        <c:dLbls>
          <c:showLegendKey val="0"/>
          <c:showVal val="0"/>
          <c:showCatName val="0"/>
          <c:showSerName val="0"/>
          <c:showPercent val="0"/>
          <c:showBubbleSize val="0"/>
        </c:dLbls>
        <c:gapWidth val="150"/>
        <c:axId val="416129536"/>
        <c:axId val="451485696"/>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0D18-4DEC-B487-38121EBD6C6C}"/>
              </c:ext>
            </c:extLst>
          </c:dPt>
          <c:dPt>
            <c:idx val="10"/>
            <c:bubble3D val="0"/>
            <c:extLst>
              <c:ext xmlns:c16="http://schemas.microsoft.com/office/drawing/2014/chart" uri="{C3380CC4-5D6E-409C-BE32-E72D297353CC}">
                <c16:uniqueId val="{00000003-0D18-4DEC-B487-38121EBD6C6C}"/>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drivers'!$E$78:$V$78</c:f>
              <c:numCache>
                <c:formatCode>_(* #,##0.0_);_(* \(#,##0.0\);_(* "-"??_);_(@_)</c:formatCode>
                <c:ptCount val="18"/>
                <c:pt idx="0">
                  <c:v>322.59234806121492</c:v>
                </c:pt>
                <c:pt idx="1">
                  <c:v>317.33383336775893</c:v>
                </c:pt>
                <c:pt idx="2">
                  <c:v>313.1270216129941</c:v>
                </c:pt>
                <c:pt idx="3">
                  <c:v>309.97191279692044</c:v>
                </c:pt>
                <c:pt idx="4">
                  <c:v>308.56964221199888</c:v>
                </c:pt>
                <c:pt idx="5">
                  <c:v>322.09104359703224</c:v>
                </c:pt>
                <c:pt idx="6">
                  <c:v>331.98174431634141</c:v>
                </c:pt>
                <c:pt idx="7">
                  <c:v>350.20889556295913</c:v>
                </c:pt>
                <c:pt idx="8">
                  <c:v>355.54447320681624</c:v>
                </c:pt>
                <c:pt idx="9">
                  <c:v>359.74196300105166</c:v>
                </c:pt>
                <c:pt idx="10">
                  <c:v>331.21096045064183</c:v>
                </c:pt>
                <c:pt idx="11">
                  <c:v>332.3639492706414</c:v>
                </c:pt>
                <c:pt idx="12">
                  <c:v>321.77650538573533</c:v>
                </c:pt>
                <c:pt idx="13">
                  <c:v>327.56823781053487</c:v>
                </c:pt>
                <c:pt idx="14">
                  <c:v>336.78272656456994</c:v>
                </c:pt>
                <c:pt idx="15">
                  <c:v>334.64337806346697</c:v>
                </c:pt>
                <c:pt idx="16">
                  <c:v>333.71843367110824</c:v>
                </c:pt>
                <c:pt idx="17">
                  <c:v>339.03842255087659</c:v>
                </c:pt>
              </c:numCache>
            </c:numRef>
          </c:val>
          <c:smooth val="0"/>
          <c:extLst>
            <c:ext xmlns:c16="http://schemas.microsoft.com/office/drawing/2014/chart" uri="{C3380CC4-5D6E-409C-BE32-E72D297353CC}">
              <c16:uniqueId val="{00000004-0D18-4DEC-B487-38121EBD6C6C}"/>
            </c:ext>
          </c:extLst>
        </c:ser>
        <c:dLbls>
          <c:showLegendKey val="0"/>
          <c:showVal val="0"/>
          <c:showCatName val="0"/>
          <c:showSerName val="0"/>
          <c:showPercent val="0"/>
          <c:showBubbleSize val="0"/>
        </c:dLbls>
        <c:marker val="1"/>
        <c:smooth val="0"/>
        <c:axId val="416129536"/>
        <c:axId val="451485696"/>
      </c:lineChart>
      <c:catAx>
        <c:axId val="416129536"/>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1485696"/>
        <c:crosses val="autoZero"/>
        <c:auto val="1"/>
        <c:lblAlgn val="ctr"/>
        <c:lblOffset val="100"/>
        <c:noMultiLvlLbl val="0"/>
      </c:catAx>
      <c:valAx>
        <c:axId val="451485696"/>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129536"/>
        <c:crosses val="autoZero"/>
        <c:crossBetween val="between"/>
      </c:valAx>
    </c:plotArea>
    <c:legend>
      <c:legendPos val="r"/>
      <c:layout>
        <c:manualLayout>
          <c:xMode val="edge"/>
          <c:yMode val="edge"/>
          <c:x val="0.84079850978090642"/>
          <c:y val="0.15709630635793168"/>
          <c:w val="0.15325233007965966"/>
          <c:h val="0.23749785993731912"/>
        </c:manualLayout>
      </c:layout>
      <c:overlay val="0"/>
      <c:txPr>
        <a:bodyPr/>
        <a:lstStyle/>
        <a:p>
          <a:pP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EMID - </a:t>
            </a:r>
            <a:r>
              <a:rPr lang="en-GB"/>
              <a:t>Totex Forecasts,</a:t>
            </a:r>
            <a:r>
              <a:rPr lang="en-GB" baseline="0"/>
              <a:t> Allowances, and Actuals (2021/22)</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drivers'!$E$99:$V$99</c:f>
              <c:numCache>
                <c:formatCode>_(* #,##0.0_);_(* \(#,##0.0\);_(* "-"??_);_(@_)</c:formatCode>
                <c:ptCount val="18"/>
                <c:pt idx="0">
                  <c:v>228.61121784635301</c:v>
                </c:pt>
                <c:pt idx="1">
                  <c:v>280.6311047462379</c:v>
                </c:pt>
                <c:pt idx="2">
                  <c:v>310.60263763386536</c:v>
                </c:pt>
                <c:pt idx="3">
                  <c:v>347.10399001189887</c:v>
                </c:pt>
                <c:pt idx="4">
                  <c:v>308.34955028703843</c:v>
                </c:pt>
                <c:pt idx="5">
                  <c:v>277.25845428713552</c:v>
                </c:pt>
                <c:pt idx="6">
                  <c:v>332.32736485803514</c:v>
                </c:pt>
                <c:pt idx="7">
                  <c:v>381.56842213941655</c:v>
                </c:pt>
                <c:pt idx="8">
                  <c:v>411.98448881738335</c:v>
                </c:pt>
                <c:pt idx="9">
                  <c:v>448.36552815671678</c:v>
                </c:pt>
                <c:pt idx="10">
                  <c:v>369.2946866944452</c:v>
                </c:pt>
                <c:pt idx="11">
                  <c:v>372.67227109120256</c:v>
                </c:pt>
                <c:pt idx="12">
                  <c:v>323.91397488687119</c:v>
                </c:pt>
                <c:pt idx="13">
                  <c:v>292.33737155392714</c:v>
                </c:pt>
                <c:pt idx="14">
                  <c:v>312.79054049380341</c:v>
                </c:pt>
                <c:pt idx="15">
                  <c:v>323.37142246751006</c:v>
                </c:pt>
                <c:pt idx="16">
                  <c:v>317.80340000417578</c:v>
                </c:pt>
                <c:pt idx="17">
                  <c:v>344.72161878944814</c:v>
                </c:pt>
              </c:numCache>
            </c:numRef>
          </c:val>
          <c:extLst>
            <c:ext xmlns:c16="http://schemas.microsoft.com/office/drawing/2014/chart" uri="{C3380CC4-5D6E-409C-BE32-E72D297353CC}">
              <c16:uniqueId val="{00000000-B4F5-44EF-95C0-C627A79F7219}"/>
            </c:ext>
          </c:extLst>
        </c:ser>
        <c:dLbls>
          <c:showLegendKey val="0"/>
          <c:showVal val="0"/>
          <c:showCatName val="0"/>
          <c:showSerName val="0"/>
          <c:showPercent val="0"/>
          <c:showBubbleSize val="0"/>
        </c:dLbls>
        <c:gapWidth val="150"/>
        <c:axId val="416130560"/>
        <c:axId val="458580544"/>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B4F5-44EF-95C0-C627A79F7219}"/>
              </c:ext>
            </c:extLst>
          </c:dPt>
          <c:dPt>
            <c:idx val="10"/>
            <c:bubble3D val="0"/>
            <c:extLst>
              <c:ext xmlns:c16="http://schemas.microsoft.com/office/drawing/2014/chart" uri="{C3380CC4-5D6E-409C-BE32-E72D297353CC}">
                <c16:uniqueId val="{00000003-B4F5-44EF-95C0-C627A79F7219}"/>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drivers'!$E$79:$V$79</c:f>
              <c:numCache>
                <c:formatCode>_(* #,##0.0_);_(* \(#,##0.0\);_(* "-"??_);_(@_)</c:formatCode>
                <c:ptCount val="18"/>
                <c:pt idx="0">
                  <c:v>325.15149187869685</c:v>
                </c:pt>
                <c:pt idx="1">
                  <c:v>328.83245216411603</c:v>
                </c:pt>
                <c:pt idx="2">
                  <c:v>328.83245216411603</c:v>
                </c:pt>
                <c:pt idx="3">
                  <c:v>325.85262717115768</c:v>
                </c:pt>
                <c:pt idx="4">
                  <c:v>324.27507276312082</c:v>
                </c:pt>
                <c:pt idx="5">
                  <c:v>321.15092922659227</c:v>
                </c:pt>
                <c:pt idx="6">
                  <c:v>335.30847847117377</c:v>
                </c:pt>
                <c:pt idx="7">
                  <c:v>367.27954079887144</c:v>
                </c:pt>
                <c:pt idx="8">
                  <c:v>360.88416766459318</c:v>
                </c:pt>
                <c:pt idx="9">
                  <c:v>358.68244458366445</c:v>
                </c:pt>
                <c:pt idx="10">
                  <c:v>362.5893268996</c:v>
                </c:pt>
                <c:pt idx="11">
                  <c:v>355.09376556347485</c:v>
                </c:pt>
                <c:pt idx="12">
                  <c:v>316.03412320842483</c:v>
                </c:pt>
                <c:pt idx="13">
                  <c:v>322.28806784565512</c:v>
                </c:pt>
                <c:pt idx="14">
                  <c:v>317.77804500738569</c:v>
                </c:pt>
                <c:pt idx="15">
                  <c:v>326.65416427153343</c:v>
                </c:pt>
                <c:pt idx="16">
                  <c:v>345.31213598615403</c:v>
                </c:pt>
                <c:pt idx="17">
                  <c:v>336.47941278217183</c:v>
                </c:pt>
              </c:numCache>
            </c:numRef>
          </c:val>
          <c:smooth val="0"/>
          <c:extLst>
            <c:ext xmlns:c16="http://schemas.microsoft.com/office/drawing/2014/chart" uri="{C3380CC4-5D6E-409C-BE32-E72D297353CC}">
              <c16:uniqueId val="{00000004-B4F5-44EF-95C0-C627A79F7219}"/>
            </c:ext>
          </c:extLst>
        </c:ser>
        <c:dLbls>
          <c:showLegendKey val="0"/>
          <c:showVal val="0"/>
          <c:showCatName val="0"/>
          <c:showSerName val="0"/>
          <c:showPercent val="0"/>
          <c:showBubbleSize val="0"/>
        </c:dLbls>
        <c:marker val="1"/>
        <c:smooth val="0"/>
        <c:axId val="416130560"/>
        <c:axId val="458580544"/>
      </c:lineChart>
      <c:catAx>
        <c:axId val="416130560"/>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80544"/>
        <c:crosses val="autoZero"/>
        <c:auto val="1"/>
        <c:lblAlgn val="ctr"/>
        <c:lblOffset val="100"/>
        <c:noMultiLvlLbl val="0"/>
      </c:catAx>
      <c:valAx>
        <c:axId val="458580544"/>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130560"/>
        <c:crosses val="autoZero"/>
        <c:crossBetween val="between"/>
      </c:valAx>
    </c:plotArea>
    <c:legend>
      <c:legendPos val="r"/>
      <c:layout>
        <c:manualLayout>
          <c:xMode val="edge"/>
          <c:yMode val="edge"/>
          <c:x val="0.83806830457481352"/>
          <c:y val="0.14658392507138154"/>
          <c:w val="0.15598253528575251"/>
          <c:h val="0.24115675463047734"/>
        </c:manualLayout>
      </c:layout>
      <c:overlay val="0"/>
      <c:txPr>
        <a:bodyPr/>
        <a:lstStyle/>
        <a:p>
          <a:pP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a:latin typeface="+mn-lt"/>
              </a:rPr>
              <a:t>SWALES - Totex Forecasts, Allowances, and Actuals (2021/22)</a:t>
            </a:r>
          </a:p>
        </c:rich>
      </c:tx>
      <c:layout>
        <c:manualLayout>
          <c:xMode val="edge"/>
          <c:yMode val="edge"/>
          <c:x val="0.25826016845933475"/>
          <c:y val="3.012621834967966E-2"/>
        </c:manualLayout>
      </c:layout>
      <c:overlay val="0"/>
    </c:title>
    <c:autoTitleDeleted val="0"/>
    <c:plotArea>
      <c:layout>
        <c:manualLayout>
          <c:layoutTarget val="inner"/>
          <c:xMode val="edge"/>
          <c:yMode val="edge"/>
          <c:x val="5.9099573337646517E-2"/>
          <c:y val="0.14258308770355529"/>
          <c:w val="0.77120761865551124"/>
          <c:h val="0.58026146439853632"/>
        </c:manualLayout>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drivers'!$E$100:$V$100</c:f>
              <c:numCache>
                <c:formatCode>_(* #,##0.0_);_(* \(#,##0.0\);_(* "-"??_);_(@_)</c:formatCode>
                <c:ptCount val="18"/>
                <c:pt idx="0">
                  <c:v>125.70532729342848</c:v>
                </c:pt>
                <c:pt idx="1">
                  <c:v>130.86244132184473</c:v>
                </c:pt>
                <c:pt idx="2">
                  <c:v>136.91739425516425</c:v>
                </c:pt>
                <c:pt idx="3">
                  <c:v>130.65915291948244</c:v>
                </c:pt>
                <c:pt idx="4">
                  <c:v>135.22260880936537</c:v>
                </c:pt>
                <c:pt idx="5">
                  <c:v>148.21568486805913</c:v>
                </c:pt>
                <c:pt idx="6">
                  <c:v>146.46391527685677</c:v>
                </c:pt>
                <c:pt idx="7">
                  <c:v>168.80852321498102</c:v>
                </c:pt>
                <c:pt idx="8">
                  <c:v>164.72117365065367</c:v>
                </c:pt>
                <c:pt idx="9">
                  <c:v>170.65325198876366</c:v>
                </c:pt>
                <c:pt idx="10">
                  <c:v>170.30759070203095</c:v>
                </c:pt>
                <c:pt idx="11">
                  <c:v>177.0454404095218</c:v>
                </c:pt>
                <c:pt idx="12">
                  <c:v>155.657551243325</c:v>
                </c:pt>
                <c:pt idx="13">
                  <c:v>162.45492534979596</c:v>
                </c:pt>
                <c:pt idx="14">
                  <c:v>153.57912442301975</c:v>
                </c:pt>
                <c:pt idx="15">
                  <c:v>177.45824348966934</c:v>
                </c:pt>
                <c:pt idx="16">
                  <c:v>166.79459154369209</c:v>
                </c:pt>
                <c:pt idx="17">
                  <c:v>179.2264925397501</c:v>
                </c:pt>
              </c:numCache>
            </c:numRef>
          </c:val>
          <c:extLst>
            <c:ext xmlns:c16="http://schemas.microsoft.com/office/drawing/2014/chart" uri="{C3380CC4-5D6E-409C-BE32-E72D297353CC}">
              <c16:uniqueId val="{00000000-6F6B-4FA5-BC78-97094B32B9D9}"/>
            </c:ext>
          </c:extLst>
        </c:ser>
        <c:dLbls>
          <c:showLegendKey val="0"/>
          <c:showVal val="0"/>
          <c:showCatName val="0"/>
          <c:showSerName val="0"/>
          <c:showPercent val="0"/>
          <c:showBubbleSize val="0"/>
        </c:dLbls>
        <c:gapWidth val="150"/>
        <c:axId val="416131584"/>
        <c:axId val="458582848"/>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6F6B-4FA5-BC78-97094B32B9D9}"/>
              </c:ext>
            </c:extLst>
          </c:dPt>
          <c:dPt>
            <c:idx val="10"/>
            <c:bubble3D val="0"/>
            <c:extLst>
              <c:ext xmlns:c16="http://schemas.microsoft.com/office/drawing/2014/chart" uri="{C3380CC4-5D6E-409C-BE32-E72D297353CC}">
                <c16:uniqueId val="{00000003-6F6B-4FA5-BC78-97094B32B9D9}"/>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drivers'!$E$80:$V$80</c:f>
              <c:numCache>
                <c:formatCode>_(* #,##0.0_);_(* \(#,##0.0\);_(* "-"??_);_(@_)</c:formatCode>
                <c:ptCount val="18"/>
                <c:pt idx="0">
                  <c:v>152.60209640409352</c:v>
                </c:pt>
                <c:pt idx="1">
                  <c:v>155.05606992770632</c:v>
                </c:pt>
                <c:pt idx="2">
                  <c:v>155.93248904328235</c:v>
                </c:pt>
                <c:pt idx="3">
                  <c:v>155.05606992770635</c:v>
                </c:pt>
                <c:pt idx="4">
                  <c:v>154.17965081213035</c:v>
                </c:pt>
                <c:pt idx="5">
                  <c:v>158.22009057865193</c:v>
                </c:pt>
                <c:pt idx="6">
                  <c:v>163.81918737648601</c:v>
                </c:pt>
                <c:pt idx="7">
                  <c:v>169.37035278439464</c:v>
                </c:pt>
                <c:pt idx="8">
                  <c:v>168.32210347897256</c:v>
                </c:pt>
                <c:pt idx="9">
                  <c:v>171.533168920501</c:v>
                </c:pt>
                <c:pt idx="10">
                  <c:v>186.84444740452849</c:v>
                </c:pt>
                <c:pt idx="11">
                  <c:v>188.52806218585917</c:v>
                </c:pt>
                <c:pt idx="12">
                  <c:v>178.46476266408246</c:v>
                </c:pt>
                <c:pt idx="13">
                  <c:v>189.95214992316625</c:v>
                </c:pt>
                <c:pt idx="14">
                  <c:v>173.42945563217114</c:v>
                </c:pt>
                <c:pt idx="15">
                  <c:v>157.69949267253946</c:v>
                </c:pt>
                <c:pt idx="16">
                  <c:v>153.42656264854818</c:v>
                </c:pt>
                <c:pt idx="17">
                  <c:v>157.23752840661652</c:v>
                </c:pt>
              </c:numCache>
            </c:numRef>
          </c:val>
          <c:smooth val="0"/>
          <c:extLst>
            <c:ext xmlns:c16="http://schemas.microsoft.com/office/drawing/2014/chart" uri="{C3380CC4-5D6E-409C-BE32-E72D297353CC}">
              <c16:uniqueId val="{00000004-6F6B-4FA5-BC78-97094B32B9D9}"/>
            </c:ext>
          </c:extLst>
        </c:ser>
        <c:dLbls>
          <c:showLegendKey val="0"/>
          <c:showVal val="0"/>
          <c:showCatName val="0"/>
          <c:showSerName val="0"/>
          <c:showPercent val="0"/>
          <c:showBubbleSize val="0"/>
        </c:dLbls>
        <c:marker val="1"/>
        <c:smooth val="0"/>
        <c:axId val="416131584"/>
        <c:axId val="458582848"/>
      </c:lineChart>
      <c:catAx>
        <c:axId val="416131584"/>
        <c:scaling>
          <c:orientation val="minMax"/>
        </c:scaling>
        <c:delete val="0"/>
        <c:axPos val="b"/>
        <c:numFmt formatCode="General" sourceLinked="1"/>
        <c:majorTickMark val="none"/>
        <c:minorTickMark val="none"/>
        <c:tickLblPos val="nextTo"/>
        <c:txPr>
          <a:bodyPr rot="-2700000" vert="horz"/>
          <a:lstStyle/>
          <a:p>
            <a:pPr algn="ctr">
              <a:defRPr/>
            </a:pPr>
            <a:endParaRPr lang="en-US"/>
          </a:p>
        </c:txPr>
        <c:crossAx val="458582848"/>
        <c:crosses val="autoZero"/>
        <c:auto val="1"/>
        <c:lblAlgn val="ctr"/>
        <c:lblOffset val="100"/>
        <c:noMultiLvlLbl val="0"/>
      </c:catAx>
      <c:valAx>
        <c:axId val="458582848"/>
        <c:scaling>
          <c:orientation val="minMax"/>
        </c:scaling>
        <c:delete val="0"/>
        <c:axPos val="l"/>
        <c:majorGridlines/>
        <c:numFmt formatCode="_(* #,##0.0_);_(* \(#,##0.0\);_(* &quot;-&quot;??_);_(@_)" sourceLinked="1"/>
        <c:majorTickMark val="none"/>
        <c:minorTickMark val="none"/>
        <c:tickLblPos val="nextTo"/>
        <c:txPr>
          <a:bodyPr/>
          <a:lstStyle/>
          <a:p>
            <a:pPr algn="ctr">
              <a:defRPr/>
            </a:pPr>
            <a:endParaRPr lang="en-US"/>
          </a:p>
        </c:txPr>
        <c:crossAx val="416131584"/>
        <c:crosses val="autoZero"/>
        <c:crossBetween val="between"/>
      </c:valAx>
    </c:plotArea>
    <c:legend>
      <c:legendPos val="r"/>
      <c:layout>
        <c:manualLayout>
          <c:xMode val="edge"/>
          <c:yMode val="edge"/>
          <c:x val="0.83294294095591015"/>
          <c:y val="0.13968805639465412"/>
          <c:w val="0.16401685947886682"/>
          <c:h val="0.23961473410456205"/>
        </c:manualLayout>
      </c:layout>
      <c:overlay val="0"/>
      <c:txPr>
        <a:bodyPr/>
        <a:lstStyle/>
        <a:p>
          <a:pPr algn="ctr">
            <a:defRPr/>
          </a:pPr>
          <a:endParaRPr lang="en-US"/>
        </a:p>
      </c:txPr>
    </c:legend>
    <c:plotVisOnly val="1"/>
    <c:dispBlanksAs val="gap"/>
    <c:showDLblsOverMax val="0"/>
  </c:chart>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SWEST - </a:t>
            </a:r>
            <a:r>
              <a:rPr lang="en-GB"/>
              <a:t>Totex Forecasts,</a:t>
            </a:r>
            <a:r>
              <a:rPr lang="en-GB" baseline="0"/>
              <a:t> Allowances, and Actuals (</a:t>
            </a:r>
            <a:r>
              <a:rPr lang="en-GB" sz="1800" b="1" i="0" u="none" strike="noStrike" baseline="0">
                <a:effectLst/>
              </a:rPr>
              <a:t>2021/22</a:t>
            </a:r>
            <a:r>
              <a:rPr lang="en-GB" baseline="0"/>
              <a:t>)</a:t>
            </a:r>
            <a:endParaRPr lang="en-GB"/>
          </a:p>
        </c:rich>
      </c:tx>
      <c:overlay val="0"/>
    </c:title>
    <c:autoTitleDeleted val="0"/>
    <c:plotArea>
      <c:layout>
        <c:manualLayout>
          <c:layoutTarget val="inner"/>
          <c:xMode val="edge"/>
          <c:yMode val="edge"/>
          <c:x val="5.6513972301647196E-2"/>
          <c:y val="0.18717966274282605"/>
          <c:w val="0.76812202550825137"/>
          <c:h val="0.52564681923120815"/>
        </c:manualLayout>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drivers'!$E$101:$V$101</c:f>
              <c:numCache>
                <c:formatCode>_(* #,##0.0_);_(* \(#,##0.0\);_(* "-"??_);_(@_)</c:formatCode>
                <c:ptCount val="18"/>
                <c:pt idx="0">
                  <c:v>183.10027053901484</c:v>
                </c:pt>
                <c:pt idx="1">
                  <c:v>191.52145549717716</c:v>
                </c:pt>
                <c:pt idx="2">
                  <c:v>190.99142175372188</c:v>
                </c:pt>
                <c:pt idx="3">
                  <c:v>194.33043408799568</c:v>
                </c:pt>
                <c:pt idx="4">
                  <c:v>208.75486869204386</c:v>
                </c:pt>
                <c:pt idx="5">
                  <c:v>209.08116866359148</c:v>
                </c:pt>
                <c:pt idx="6">
                  <c:v>210.97868303325382</c:v>
                </c:pt>
                <c:pt idx="7">
                  <c:v>222.42971572278955</c:v>
                </c:pt>
                <c:pt idx="8">
                  <c:v>244.02794019314817</c:v>
                </c:pt>
                <c:pt idx="9">
                  <c:v>228.72350303934675</c:v>
                </c:pt>
                <c:pt idx="10">
                  <c:v>267.63884168783466</c:v>
                </c:pt>
                <c:pt idx="11">
                  <c:v>306.54274173182586</c:v>
                </c:pt>
                <c:pt idx="12">
                  <c:v>264.4095970884805</c:v>
                </c:pt>
                <c:pt idx="13">
                  <c:v>243.91078011422192</c:v>
                </c:pt>
                <c:pt idx="14">
                  <c:v>259.79524837008967</c:v>
                </c:pt>
                <c:pt idx="15">
                  <c:v>249.82921185392854</c:v>
                </c:pt>
                <c:pt idx="16">
                  <c:v>238.37711022269144</c:v>
                </c:pt>
                <c:pt idx="17">
                  <c:v>303.81671922864359</c:v>
                </c:pt>
              </c:numCache>
            </c:numRef>
          </c:val>
          <c:extLst>
            <c:ext xmlns:c16="http://schemas.microsoft.com/office/drawing/2014/chart" uri="{C3380CC4-5D6E-409C-BE32-E72D297353CC}">
              <c16:uniqueId val="{00000000-C5C6-41B6-BFC8-38D4B5222298}"/>
            </c:ext>
          </c:extLst>
        </c:ser>
        <c:dLbls>
          <c:showLegendKey val="0"/>
          <c:showVal val="0"/>
          <c:showCatName val="0"/>
          <c:showSerName val="0"/>
          <c:showPercent val="0"/>
          <c:showBubbleSize val="0"/>
        </c:dLbls>
        <c:gapWidth val="150"/>
        <c:axId val="416132608"/>
        <c:axId val="458585728"/>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C5C6-41B6-BFC8-38D4B5222298}"/>
              </c:ext>
            </c:extLst>
          </c:dPt>
          <c:dPt>
            <c:idx val="10"/>
            <c:bubble3D val="0"/>
            <c:extLst>
              <c:ext xmlns:c16="http://schemas.microsoft.com/office/drawing/2014/chart" uri="{C3380CC4-5D6E-409C-BE32-E72D297353CC}">
                <c16:uniqueId val="{00000003-C5C6-41B6-BFC8-38D4B5222298}"/>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drivers'!$E$81:$V$81</c:f>
              <c:numCache>
                <c:formatCode>_(* #,##0.0_);_(* \(#,##0.0\);_(* "-"??_);_(@_)</c:formatCode>
                <c:ptCount val="18"/>
                <c:pt idx="0">
                  <c:v>205.15218657403068</c:v>
                </c:pt>
                <c:pt idx="1">
                  <c:v>208.48257921321942</c:v>
                </c:pt>
                <c:pt idx="2">
                  <c:v>209.53428215191067</c:v>
                </c:pt>
                <c:pt idx="3">
                  <c:v>208.48257921321945</c:v>
                </c:pt>
                <c:pt idx="4">
                  <c:v>207.43087627452826</c:v>
                </c:pt>
                <c:pt idx="5">
                  <c:v>217.35504750287086</c:v>
                </c:pt>
                <c:pt idx="6">
                  <c:v>236.37489591087356</c:v>
                </c:pt>
                <c:pt idx="7">
                  <c:v>242.23914511255958</c:v>
                </c:pt>
                <c:pt idx="8">
                  <c:v>246.14519178425061</c:v>
                </c:pt>
                <c:pt idx="9">
                  <c:v>248.46729704623405</c:v>
                </c:pt>
                <c:pt idx="10">
                  <c:v>273.00086274751908</c:v>
                </c:pt>
                <c:pt idx="11">
                  <c:v>273.80532842777177</c:v>
                </c:pt>
                <c:pt idx="12">
                  <c:v>268.74440770410911</c:v>
                </c:pt>
                <c:pt idx="13">
                  <c:v>272.53212590136781</c:v>
                </c:pt>
                <c:pt idx="14">
                  <c:v>267.2388191438734</c:v>
                </c:pt>
                <c:pt idx="15">
                  <c:v>266.66470090827983</c:v>
                </c:pt>
                <c:pt idx="16">
                  <c:v>267.88499090331271</c:v>
                </c:pt>
                <c:pt idx="17">
                  <c:v>282.28107112607546</c:v>
                </c:pt>
              </c:numCache>
            </c:numRef>
          </c:val>
          <c:smooth val="0"/>
          <c:extLst>
            <c:ext xmlns:c16="http://schemas.microsoft.com/office/drawing/2014/chart" uri="{C3380CC4-5D6E-409C-BE32-E72D297353CC}">
              <c16:uniqueId val="{00000004-C5C6-41B6-BFC8-38D4B5222298}"/>
            </c:ext>
          </c:extLst>
        </c:ser>
        <c:dLbls>
          <c:showLegendKey val="0"/>
          <c:showVal val="0"/>
          <c:showCatName val="0"/>
          <c:showSerName val="0"/>
          <c:showPercent val="0"/>
          <c:showBubbleSize val="0"/>
        </c:dLbls>
        <c:marker val="1"/>
        <c:smooth val="0"/>
        <c:axId val="416132608"/>
        <c:axId val="458585728"/>
      </c:lineChart>
      <c:catAx>
        <c:axId val="416132608"/>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85728"/>
        <c:crosses val="autoZero"/>
        <c:auto val="1"/>
        <c:lblAlgn val="ctr"/>
        <c:lblOffset val="100"/>
        <c:noMultiLvlLbl val="0"/>
      </c:catAx>
      <c:valAx>
        <c:axId val="458585728"/>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132608"/>
        <c:crosses val="autoZero"/>
        <c:crossBetween val="between"/>
      </c:valAx>
    </c:plotArea>
    <c:legend>
      <c:legendPos val="r"/>
      <c:layout>
        <c:manualLayout>
          <c:xMode val="edge"/>
          <c:yMode val="edge"/>
          <c:x val="0.8398396028218591"/>
          <c:y val="0.15350241597158845"/>
          <c:w val="0.15142679713736201"/>
          <c:h val="0.25546731186903521"/>
        </c:manualLayout>
      </c:layout>
      <c:overlay val="0"/>
      <c:txPr>
        <a:bodyPr/>
        <a:lstStyle/>
        <a:p>
          <a:pP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LPN - </a:t>
            </a:r>
            <a:r>
              <a:rPr lang="en-GB"/>
              <a:t>Totex Forecasts,</a:t>
            </a:r>
            <a:r>
              <a:rPr lang="en-GB" baseline="0"/>
              <a:t> Allowances, and Actuals (</a:t>
            </a:r>
            <a:r>
              <a:rPr lang="en-GB" sz="1800" b="1" i="0" u="none" strike="noStrike" baseline="0">
                <a:effectLst/>
              </a:rPr>
              <a:t>2021/22)</a:t>
            </a:r>
            <a:endParaRPr lang="en-GB"/>
          </a:p>
        </c:rich>
      </c:tx>
      <c:layout>
        <c:manualLayout>
          <c:xMode val="edge"/>
          <c:yMode val="edge"/>
          <c:x val="0.24578825162382653"/>
          <c:y val="1.9193863767093495E-2"/>
        </c:manualLayout>
      </c:layout>
      <c:overlay val="0"/>
    </c:title>
    <c:autoTitleDeleted val="0"/>
    <c:plotArea>
      <c:layout>
        <c:manualLayout>
          <c:layoutTarget val="inner"/>
          <c:xMode val="edge"/>
          <c:yMode val="edge"/>
          <c:x val="5.6162948575527435E-2"/>
          <c:y val="0.16113263745753548"/>
          <c:w val="0.76601303719022706"/>
          <c:h val="0.59165553573700957"/>
        </c:manualLayout>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drivers'!$E$102:$V$102</c:f>
              <c:numCache>
                <c:formatCode>_(* #,##0.0_);_(* \(#,##0.0\);_(* "-"??_);_(@_)</c:formatCode>
                <c:ptCount val="18"/>
                <c:pt idx="0">
                  <c:v>215.99941704286684</c:v>
                </c:pt>
                <c:pt idx="1">
                  <c:v>241.65680636011345</c:v>
                </c:pt>
                <c:pt idx="2">
                  <c:v>256.72306404058963</c:v>
                </c:pt>
                <c:pt idx="3">
                  <c:v>273.31896770040993</c:v>
                </c:pt>
                <c:pt idx="4">
                  <c:v>267.38433430392342</c:v>
                </c:pt>
                <c:pt idx="5">
                  <c:v>258.25274269178641</c:v>
                </c:pt>
                <c:pt idx="6">
                  <c:v>229.39777407847623</c:v>
                </c:pt>
                <c:pt idx="7">
                  <c:v>258.42351969830548</c:v>
                </c:pt>
                <c:pt idx="8">
                  <c:v>276.22279732416894</c:v>
                </c:pt>
                <c:pt idx="9">
                  <c:v>265.45856657792933</c:v>
                </c:pt>
                <c:pt idx="10">
                  <c:v>226.72122338777444</c:v>
                </c:pt>
                <c:pt idx="11">
                  <c:v>244.24287500244972</c:v>
                </c:pt>
                <c:pt idx="12">
                  <c:v>266.1180894087567</c:v>
                </c:pt>
                <c:pt idx="13">
                  <c:v>251.05159275631792</c:v>
                </c:pt>
                <c:pt idx="14">
                  <c:v>251.27105200931155</c:v>
                </c:pt>
                <c:pt idx="15">
                  <c:v>247.58180233726867</c:v>
                </c:pt>
                <c:pt idx="16">
                  <c:v>253.58585868941918</c:v>
                </c:pt>
                <c:pt idx="17">
                  <c:v>220.14775965423439</c:v>
                </c:pt>
              </c:numCache>
            </c:numRef>
          </c:val>
          <c:extLst>
            <c:ext xmlns:c16="http://schemas.microsoft.com/office/drawing/2014/chart" uri="{C3380CC4-5D6E-409C-BE32-E72D297353CC}">
              <c16:uniqueId val="{00000000-1570-4986-9121-6E339C8BA822}"/>
            </c:ext>
          </c:extLst>
        </c:ser>
        <c:dLbls>
          <c:showLegendKey val="0"/>
          <c:showVal val="0"/>
          <c:showCatName val="0"/>
          <c:showSerName val="0"/>
          <c:showPercent val="0"/>
          <c:showBubbleSize val="0"/>
        </c:dLbls>
        <c:gapWidth val="150"/>
        <c:axId val="416907776"/>
        <c:axId val="458588160"/>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1570-4986-9121-6E339C8BA822}"/>
              </c:ext>
            </c:extLst>
          </c:dPt>
          <c:dPt>
            <c:idx val="10"/>
            <c:bubble3D val="0"/>
            <c:extLst>
              <c:ext xmlns:c16="http://schemas.microsoft.com/office/drawing/2014/chart" uri="{C3380CC4-5D6E-409C-BE32-E72D297353CC}">
                <c16:uniqueId val="{00000003-1570-4986-9121-6E339C8BA822}"/>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drivers'!$E$82:$V$82</c:f>
              <c:numCache>
                <c:formatCode>_(* #,##0.0_);_(* \(#,##0.0\);_(* "-"??_);_(@_)</c:formatCode>
                <c:ptCount val="18"/>
                <c:pt idx="0">
                  <c:v>279.1570166932683</c:v>
                </c:pt>
                <c:pt idx="1">
                  <c:v>283.18854462491794</c:v>
                </c:pt>
                <c:pt idx="2">
                  <c:v>285.64251814853071</c:v>
                </c:pt>
                <c:pt idx="3">
                  <c:v>284.24024756360905</c:v>
                </c:pt>
                <c:pt idx="4">
                  <c:v>282.83797697868749</c:v>
                </c:pt>
                <c:pt idx="5">
                  <c:v>308.84151773282093</c:v>
                </c:pt>
                <c:pt idx="6">
                  <c:v>310.68355637390005</c:v>
                </c:pt>
                <c:pt idx="7">
                  <c:v>303.06900594349179</c:v>
                </c:pt>
                <c:pt idx="8">
                  <c:v>279.24726514655003</c:v>
                </c:pt>
                <c:pt idx="9">
                  <c:v>278.75079839693637</c:v>
                </c:pt>
                <c:pt idx="10">
                  <c:v>314.31612421155899</c:v>
                </c:pt>
                <c:pt idx="11">
                  <c:v>308.45963593202862</c:v>
                </c:pt>
                <c:pt idx="12">
                  <c:v>292.26301957358493</c:v>
                </c:pt>
                <c:pt idx="13">
                  <c:v>280.56830164226773</c:v>
                </c:pt>
                <c:pt idx="14">
                  <c:v>285.2616586810318</c:v>
                </c:pt>
                <c:pt idx="15">
                  <c:v>271.13526634308317</c:v>
                </c:pt>
                <c:pt idx="16">
                  <c:v>255.39379269547783</c:v>
                </c:pt>
                <c:pt idx="17">
                  <c:v>243.36364811516955</c:v>
                </c:pt>
              </c:numCache>
            </c:numRef>
          </c:val>
          <c:smooth val="0"/>
          <c:extLst>
            <c:ext xmlns:c16="http://schemas.microsoft.com/office/drawing/2014/chart" uri="{C3380CC4-5D6E-409C-BE32-E72D297353CC}">
              <c16:uniqueId val="{00000004-1570-4986-9121-6E339C8BA822}"/>
            </c:ext>
          </c:extLst>
        </c:ser>
        <c:dLbls>
          <c:showLegendKey val="0"/>
          <c:showVal val="0"/>
          <c:showCatName val="0"/>
          <c:showSerName val="0"/>
          <c:showPercent val="0"/>
          <c:showBubbleSize val="0"/>
        </c:dLbls>
        <c:marker val="1"/>
        <c:smooth val="0"/>
        <c:axId val="416907776"/>
        <c:axId val="458588160"/>
      </c:lineChart>
      <c:catAx>
        <c:axId val="416907776"/>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88160"/>
        <c:crosses val="autoZero"/>
        <c:auto val="1"/>
        <c:lblAlgn val="ctr"/>
        <c:lblOffset val="100"/>
        <c:noMultiLvlLbl val="0"/>
      </c:catAx>
      <c:valAx>
        <c:axId val="458588160"/>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907776"/>
        <c:crosses val="autoZero"/>
        <c:crossBetween val="between"/>
      </c:valAx>
    </c:plotArea>
    <c:legend>
      <c:legendPos val="r"/>
      <c:layout>
        <c:manualLayout>
          <c:xMode val="edge"/>
          <c:yMode val="edge"/>
          <c:x val="0.8398396028218591"/>
          <c:y val="0.14273628858676402"/>
          <c:w val="0.15421116586670877"/>
          <c:h val="0.26429038498215407"/>
        </c:manualLayout>
      </c:layout>
      <c:overlay val="0"/>
      <c:txPr>
        <a:bodyPr/>
        <a:lstStyle/>
        <a:p>
          <a:pP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SPN - </a:t>
            </a:r>
            <a:r>
              <a:rPr lang="en-GB"/>
              <a:t>Totex Forecasts,</a:t>
            </a:r>
            <a:r>
              <a:rPr lang="en-GB" baseline="0"/>
              <a:t> Allowances, and Actuals (</a:t>
            </a:r>
            <a:r>
              <a:rPr lang="en-GB" sz="1800" b="1" i="0" u="none" strike="noStrike" baseline="0">
                <a:effectLst/>
              </a:rPr>
              <a:t>2021/22</a:t>
            </a:r>
            <a:r>
              <a:rPr lang="en-GB" baseline="0"/>
              <a:t>)</a:t>
            </a:r>
            <a:endParaRPr lang="en-GB"/>
          </a:p>
        </c:rich>
      </c:tx>
      <c:overlay val="0"/>
    </c:title>
    <c:autoTitleDeleted val="0"/>
    <c:plotArea>
      <c:layout>
        <c:manualLayout>
          <c:layoutTarget val="inner"/>
          <c:xMode val="edge"/>
          <c:yMode val="edge"/>
          <c:x val="5.6280992815641293E-2"/>
          <c:y val="0.18370820513668795"/>
          <c:w val="0.76552123941389949"/>
          <c:h val="0.53444423308079969"/>
        </c:manualLayout>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drivers'!$E$103:$V$103</c:f>
              <c:numCache>
                <c:formatCode>_(* #,##0.0_);_(* \(#,##0.0\);_(* "-"??_);_(@_)</c:formatCode>
                <c:ptCount val="18"/>
                <c:pt idx="0">
                  <c:v>241.06012288761937</c:v>
                </c:pt>
                <c:pt idx="1">
                  <c:v>194.96632463744953</c:v>
                </c:pt>
                <c:pt idx="2">
                  <c:v>239.27007247013699</c:v>
                </c:pt>
                <c:pt idx="3">
                  <c:v>302.2910489378329</c:v>
                </c:pt>
                <c:pt idx="4">
                  <c:v>350.07489851628679</c:v>
                </c:pt>
                <c:pt idx="5">
                  <c:v>310.28149685258603</c:v>
                </c:pt>
                <c:pt idx="6">
                  <c:v>277.97481438684247</c:v>
                </c:pt>
                <c:pt idx="7">
                  <c:v>269.52023428929664</c:v>
                </c:pt>
                <c:pt idx="8">
                  <c:v>285.9144756065981</c:v>
                </c:pt>
                <c:pt idx="9">
                  <c:v>234.96308778554493</c:v>
                </c:pt>
                <c:pt idx="10">
                  <c:v>207.45004016973718</c:v>
                </c:pt>
                <c:pt idx="11">
                  <c:v>242.0128968306025</c:v>
                </c:pt>
                <c:pt idx="12">
                  <c:v>242.4371991794178</c:v>
                </c:pt>
                <c:pt idx="13">
                  <c:v>249.9843488728965</c:v>
                </c:pt>
                <c:pt idx="14">
                  <c:v>243.00691232756611</c:v>
                </c:pt>
                <c:pt idx="15">
                  <c:v>233.65227919268472</c:v>
                </c:pt>
                <c:pt idx="16">
                  <c:v>238.59250839622717</c:v>
                </c:pt>
                <c:pt idx="17">
                  <c:v>232.52733106345406</c:v>
                </c:pt>
              </c:numCache>
            </c:numRef>
          </c:val>
          <c:extLst>
            <c:ext xmlns:c16="http://schemas.microsoft.com/office/drawing/2014/chart" uri="{C3380CC4-5D6E-409C-BE32-E72D297353CC}">
              <c16:uniqueId val="{00000000-9548-4DAB-BFEF-D907C33B4B76}"/>
            </c:ext>
          </c:extLst>
        </c:ser>
        <c:dLbls>
          <c:showLegendKey val="0"/>
          <c:showVal val="0"/>
          <c:showCatName val="0"/>
          <c:showSerName val="0"/>
          <c:showPercent val="0"/>
          <c:showBubbleSize val="0"/>
        </c:dLbls>
        <c:gapWidth val="150"/>
        <c:axId val="416908800"/>
        <c:axId val="458591040"/>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9548-4DAB-BFEF-D907C33B4B76}"/>
              </c:ext>
            </c:extLst>
          </c:dPt>
          <c:dPt>
            <c:idx val="10"/>
            <c:bubble3D val="0"/>
            <c:extLst>
              <c:ext xmlns:c16="http://schemas.microsoft.com/office/drawing/2014/chart" uri="{C3380CC4-5D6E-409C-BE32-E72D297353CC}">
                <c16:uniqueId val="{00000003-9548-4DAB-BFEF-D907C33B4B76}"/>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drivers'!$E$83:$V$83</c:f>
              <c:numCache>
                <c:formatCode>_(* #,##0.0_);_(* \(#,##0.0\);_(* "-"??_);_(@_)</c:formatCode>
                <c:ptCount val="18"/>
                <c:pt idx="0">
                  <c:v>290.37518137264107</c:v>
                </c:pt>
                <c:pt idx="1">
                  <c:v>282.66269315557224</c:v>
                </c:pt>
                <c:pt idx="2">
                  <c:v>275.30077258473381</c:v>
                </c:pt>
                <c:pt idx="3">
                  <c:v>270.74339318373865</c:v>
                </c:pt>
                <c:pt idx="4">
                  <c:v>262.68033732043938</c:v>
                </c:pt>
                <c:pt idx="5">
                  <c:v>306.15419594690866</c:v>
                </c:pt>
                <c:pt idx="6">
                  <c:v>312.30284332201563</c:v>
                </c:pt>
                <c:pt idx="7">
                  <c:v>300.06615580713208</c:v>
                </c:pt>
                <c:pt idx="8">
                  <c:v>297.49469330871869</c:v>
                </c:pt>
                <c:pt idx="9">
                  <c:v>312.47277388827712</c:v>
                </c:pt>
                <c:pt idx="10">
                  <c:v>283.44528168253356</c:v>
                </c:pt>
                <c:pt idx="11">
                  <c:v>310.54959183344243</c:v>
                </c:pt>
                <c:pt idx="12">
                  <c:v>291.87876359120628</c:v>
                </c:pt>
                <c:pt idx="13">
                  <c:v>276.63907788763214</c:v>
                </c:pt>
                <c:pt idx="14">
                  <c:v>264.66117753843662</c:v>
                </c:pt>
                <c:pt idx="15">
                  <c:v>256.04713759943581</c:v>
                </c:pt>
                <c:pt idx="16">
                  <c:v>258.05591658448037</c:v>
                </c:pt>
                <c:pt idx="17">
                  <c:v>252.84615687225977</c:v>
                </c:pt>
              </c:numCache>
            </c:numRef>
          </c:val>
          <c:smooth val="0"/>
          <c:extLst>
            <c:ext xmlns:c16="http://schemas.microsoft.com/office/drawing/2014/chart" uri="{C3380CC4-5D6E-409C-BE32-E72D297353CC}">
              <c16:uniqueId val="{00000004-9548-4DAB-BFEF-D907C33B4B76}"/>
            </c:ext>
          </c:extLst>
        </c:ser>
        <c:dLbls>
          <c:showLegendKey val="0"/>
          <c:showVal val="0"/>
          <c:showCatName val="0"/>
          <c:showSerName val="0"/>
          <c:showPercent val="0"/>
          <c:showBubbleSize val="0"/>
        </c:dLbls>
        <c:marker val="1"/>
        <c:smooth val="0"/>
        <c:axId val="416908800"/>
        <c:axId val="458591040"/>
      </c:lineChart>
      <c:catAx>
        <c:axId val="416908800"/>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91040"/>
        <c:crosses val="autoZero"/>
        <c:auto val="1"/>
        <c:lblAlgn val="ctr"/>
        <c:lblOffset val="100"/>
        <c:noMultiLvlLbl val="0"/>
      </c:catAx>
      <c:valAx>
        <c:axId val="458591040"/>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908800"/>
        <c:crosses val="autoZero"/>
        <c:crossBetween val="between"/>
      </c:valAx>
    </c:plotArea>
    <c:legend>
      <c:legendPos val="r"/>
      <c:layout>
        <c:manualLayout>
          <c:xMode val="edge"/>
          <c:yMode val="edge"/>
          <c:x val="0.8411027609894377"/>
          <c:y val="0.15552770265414806"/>
          <c:w val="0.15294803615927827"/>
          <c:h val="0.24709634464819774"/>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baseline="0"/>
              <a:t>EPN - </a:t>
            </a:r>
            <a:r>
              <a:rPr lang="en-GB"/>
              <a:t>Totex Forecasts,</a:t>
            </a:r>
            <a:r>
              <a:rPr lang="en-GB" baseline="0"/>
              <a:t> Allowances, and Actuals (</a:t>
            </a:r>
            <a:r>
              <a:rPr lang="en-GB" sz="1800" b="1" i="0" u="none" strike="noStrike" baseline="0">
                <a:effectLst/>
              </a:rPr>
              <a:t>2021/22</a:t>
            </a:r>
            <a:r>
              <a:rPr lang="en-GB" baseline="0"/>
              <a:t>)</a:t>
            </a:r>
            <a:endParaRPr lang="en-GB"/>
          </a:p>
        </c:rich>
      </c:tx>
      <c:overlay val="0"/>
    </c:title>
    <c:autoTitleDeleted val="0"/>
    <c:plotArea>
      <c:layout/>
      <c:barChart>
        <c:barDir val="col"/>
        <c:grouping val="clustered"/>
        <c:varyColors val="0"/>
        <c:ser>
          <c:idx val="3"/>
          <c:order val="0"/>
          <c:tx>
            <c:strRef>
              <c:f>'Ch4 expenditure drivers'!$D$92</c:f>
              <c:strCache>
                <c:ptCount val="1"/>
                <c:pt idx="0">
                  <c:v>Actuals/Forecasts</c:v>
                </c:pt>
              </c:strCache>
            </c:strRef>
          </c:tx>
          <c:spPr>
            <a:solidFill>
              <a:schemeClr val="tx2"/>
            </a:solidFill>
            <a:ln w="63500" cmpd="thinThick">
              <a:noFill/>
              <a:prstDash val="lgDashDotDot"/>
            </a:ln>
          </c:spPr>
          <c:invertIfNegative val="0"/>
          <c:val>
            <c:numRef>
              <c:f>'Ch4 expenditure drivers'!$E$104:$V$104</c:f>
              <c:numCache>
                <c:formatCode>_(* #,##0.0_);_(* \(#,##0.0\);_(* "-"??_);_(@_)</c:formatCode>
                <c:ptCount val="18"/>
                <c:pt idx="0">
                  <c:v>314.601360872518</c:v>
                </c:pt>
                <c:pt idx="1">
                  <c:v>345.6289014422116</c:v>
                </c:pt>
                <c:pt idx="2">
                  <c:v>428.26956238264535</c:v>
                </c:pt>
                <c:pt idx="3">
                  <c:v>488.52734163635421</c:v>
                </c:pt>
                <c:pt idx="4">
                  <c:v>537.59493217878787</c:v>
                </c:pt>
                <c:pt idx="5">
                  <c:v>461.30278834998234</c:v>
                </c:pt>
                <c:pt idx="6">
                  <c:v>403.0044506631549</c:v>
                </c:pt>
                <c:pt idx="7">
                  <c:v>392.86785386003021</c:v>
                </c:pt>
                <c:pt idx="8">
                  <c:v>451.57986182998934</c:v>
                </c:pt>
                <c:pt idx="9">
                  <c:v>439.80465242448332</c:v>
                </c:pt>
                <c:pt idx="10">
                  <c:v>336.88757074038131</c:v>
                </c:pt>
                <c:pt idx="11">
                  <c:v>365.34277472478607</c:v>
                </c:pt>
                <c:pt idx="12">
                  <c:v>391.13391382207044</c:v>
                </c:pt>
                <c:pt idx="13">
                  <c:v>374.47990408755402</c:v>
                </c:pt>
                <c:pt idx="14">
                  <c:v>389.03268385463645</c:v>
                </c:pt>
                <c:pt idx="15">
                  <c:v>382.11797715314435</c:v>
                </c:pt>
                <c:pt idx="16">
                  <c:v>382.8101396446728</c:v>
                </c:pt>
                <c:pt idx="17">
                  <c:v>389.2994247964275</c:v>
                </c:pt>
              </c:numCache>
            </c:numRef>
          </c:val>
          <c:extLst>
            <c:ext xmlns:c16="http://schemas.microsoft.com/office/drawing/2014/chart" uri="{C3380CC4-5D6E-409C-BE32-E72D297353CC}">
              <c16:uniqueId val="{00000000-6196-4DFB-87D2-D3CCD7C29291}"/>
            </c:ext>
          </c:extLst>
        </c:ser>
        <c:dLbls>
          <c:showLegendKey val="0"/>
          <c:showVal val="0"/>
          <c:showCatName val="0"/>
          <c:showSerName val="0"/>
          <c:showPercent val="0"/>
          <c:showBubbleSize val="0"/>
        </c:dLbls>
        <c:gapWidth val="150"/>
        <c:axId val="416909824"/>
        <c:axId val="458593344"/>
      </c:barChart>
      <c:lineChart>
        <c:grouping val="standard"/>
        <c:varyColors val="0"/>
        <c:ser>
          <c:idx val="1"/>
          <c:order val="1"/>
          <c:tx>
            <c:strRef>
              <c:f>'Ch4 expenditure drivers'!$D$72</c:f>
              <c:strCache>
                <c:ptCount val="1"/>
                <c:pt idx="0">
                  <c:v>Allowances</c:v>
                </c:pt>
              </c:strCache>
            </c:strRef>
          </c:tx>
          <c:spPr>
            <a:ln w="63500" cmpd="sng">
              <a:solidFill>
                <a:schemeClr val="accent4">
                  <a:lumMod val="75000"/>
                </a:schemeClr>
              </a:solidFill>
              <a:prstDash val="solid"/>
            </a:ln>
          </c:spPr>
          <c:marker>
            <c:symbol val="none"/>
          </c:marker>
          <c:dPt>
            <c:idx val="5"/>
            <c:bubble3D val="0"/>
            <c:extLst>
              <c:ext xmlns:c16="http://schemas.microsoft.com/office/drawing/2014/chart" uri="{C3380CC4-5D6E-409C-BE32-E72D297353CC}">
                <c16:uniqueId val="{00000002-6196-4DFB-87D2-D3CCD7C29291}"/>
              </c:ext>
            </c:extLst>
          </c:dPt>
          <c:dPt>
            <c:idx val="10"/>
            <c:bubble3D val="0"/>
            <c:extLst>
              <c:ext xmlns:c16="http://schemas.microsoft.com/office/drawing/2014/chart" uri="{C3380CC4-5D6E-409C-BE32-E72D297353CC}">
                <c16:uniqueId val="{00000003-6196-4DFB-87D2-D3CCD7C29291}"/>
              </c:ext>
            </c:extLst>
          </c:dPt>
          <c:cat>
            <c:multiLvlStrRef>
              <c:f>'Ch4 expenditure drivers'!$E$73:$V$74</c:f>
              <c:multiLvlStrCache>
                <c:ptCount val="18"/>
                <c:lvl>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pt idx="13">
                    <c:v>2018/19</c:v>
                  </c:pt>
                  <c:pt idx="14">
                    <c:v>2019/20</c:v>
                  </c:pt>
                  <c:pt idx="15">
                    <c:v>2020/21</c:v>
                  </c:pt>
                  <c:pt idx="16">
                    <c:v>2021/22</c:v>
                  </c:pt>
                  <c:pt idx="17">
                    <c:v>2022/23</c:v>
                  </c:pt>
                </c:lvl>
                <c:lvl>
                  <c:pt idx="0">
                    <c:v>DR4</c:v>
                  </c:pt>
                  <c:pt idx="5">
                    <c:v>DR5</c:v>
                  </c:pt>
                  <c:pt idx="10">
                    <c:v>ED1</c:v>
                  </c:pt>
                </c:lvl>
              </c:multiLvlStrCache>
            </c:multiLvlStrRef>
          </c:cat>
          <c:val>
            <c:numRef>
              <c:f>'Ch4 expenditure drivers'!$E$84:$V$84</c:f>
              <c:numCache>
                <c:formatCode>_(* #,##0.0_);_(* \(#,##0.0\);_(* "-"??_);_(@_)</c:formatCode>
                <c:ptCount val="18"/>
                <c:pt idx="0">
                  <c:v>428.04309604731952</c:v>
                </c:pt>
                <c:pt idx="1">
                  <c:v>428.56894751666516</c:v>
                </c:pt>
                <c:pt idx="2">
                  <c:v>426.64082546239797</c:v>
                </c:pt>
                <c:pt idx="3">
                  <c:v>424.71270340813061</c:v>
                </c:pt>
                <c:pt idx="4">
                  <c:v>422.95986517697867</c:v>
                </c:pt>
                <c:pt idx="5">
                  <c:v>454.83455250930126</c:v>
                </c:pt>
                <c:pt idx="6">
                  <c:v>435.80319390107582</c:v>
                </c:pt>
                <c:pt idx="7">
                  <c:v>425.74127899103178</c:v>
                </c:pt>
                <c:pt idx="8">
                  <c:v>424.92529598441706</c:v>
                </c:pt>
                <c:pt idx="9">
                  <c:v>441.52339145425702</c:v>
                </c:pt>
                <c:pt idx="10">
                  <c:v>424.67304097533798</c:v>
                </c:pt>
                <c:pt idx="11">
                  <c:v>438.62680559441645</c:v>
                </c:pt>
                <c:pt idx="12">
                  <c:v>417.09810551842361</c:v>
                </c:pt>
                <c:pt idx="13">
                  <c:v>415.28833249284997</c:v>
                </c:pt>
                <c:pt idx="14">
                  <c:v>409.99414835926825</c:v>
                </c:pt>
                <c:pt idx="15">
                  <c:v>390.4625957834582</c:v>
                </c:pt>
                <c:pt idx="16">
                  <c:v>393.19135711429618</c:v>
                </c:pt>
                <c:pt idx="17">
                  <c:v>377.92314179754061</c:v>
                </c:pt>
              </c:numCache>
            </c:numRef>
          </c:val>
          <c:smooth val="0"/>
          <c:extLst>
            <c:ext xmlns:c16="http://schemas.microsoft.com/office/drawing/2014/chart" uri="{C3380CC4-5D6E-409C-BE32-E72D297353CC}">
              <c16:uniqueId val="{00000004-6196-4DFB-87D2-D3CCD7C29291}"/>
            </c:ext>
          </c:extLst>
        </c:ser>
        <c:dLbls>
          <c:showLegendKey val="0"/>
          <c:showVal val="0"/>
          <c:showCatName val="0"/>
          <c:showSerName val="0"/>
          <c:showPercent val="0"/>
          <c:showBubbleSize val="0"/>
        </c:dLbls>
        <c:marker val="1"/>
        <c:smooth val="0"/>
        <c:axId val="416909824"/>
        <c:axId val="458593344"/>
      </c:lineChart>
      <c:catAx>
        <c:axId val="416909824"/>
        <c:scaling>
          <c:orientation val="minMax"/>
        </c:scaling>
        <c:delete val="0"/>
        <c:axPos val="b"/>
        <c:numFmt formatCode="General" sourceLinked="1"/>
        <c:majorTickMark val="none"/>
        <c:minorTickMark val="none"/>
        <c:tickLblPos val="nextTo"/>
        <c:txPr>
          <a:bodyPr rot="-2700000" vert="horz"/>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58593344"/>
        <c:crosses val="autoZero"/>
        <c:auto val="1"/>
        <c:lblAlgn val="ctr"/>
        <c:lblOffset val="100"/>
        <c:noMultiLvlLbl val="0"/>
      </c:catAx>
      <c:valAx>
        <c:axId val="458593344"/>
        <c:scaling>
          <c:orientation val="minMax"/>
        </c:scaling>
        <c:delete val="0"/>
        <c:axPos val="l"/>
        <c:majorGridlines/>
        <c:numFmt formatCode="_(* #,##0.0_);_(* \(#,##0.0\);_(* &quot;-&quot;??_);_(@_)" sourceLinked="1"/>
        <c:majorTickMark val="none"/>
        <c:minorTickMark val="none"/>
        <c:tickLblPos val="nextTo"/>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16909824"/>
        <c:crosses val="autoZero"/>
        <c:crossBetween val="between"/>
      </c:valAx>
    </c:plotArea>
    <c:legend>
      <c:legendPos val="r"/>
      <c:layout>
        <c:manualLayout>
          <c:xMode val="edge"/>
          <c:yMode val="edge"/>
          <c:x val="0.83833452400219499"/>
          <c:y val="0.15547946135082744"/>
          <c:w val="0.15571627314652092"/>
          <c:h val="0.24694950185664921"/>
        </c:manualLayout>
      </c:layout>
      <c:overlay val="0"/>
      <c:txPr>
        <a:bodyPr/>
        <a:lstStyle/>
        <a:p>
          <a:pPr algn="ctr">
            <a:defRPr lang="en-GB" sz="900" b="0" i="0" u="none" strike="noStrike" kern="12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9">
  <a:schemeClr val="accent6"/>
</cs:colorStyle>
</file>

<file path=xl/charts/colors3.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hyperlink" Target="#Contents!A1"/><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3049114" cy="716559"/>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49114" cy="716559"/>
        </a:xfrm>
        <a:prstGeom prst="rect">
          <a:avLst/>
        </a:prstGeom>
      </xdr:spPr>
    </xdr:pic>
    <xdr:clientData/>
  </xdr:oneCellAnchor>
  <xdr:oneCellAnchor>
    <xdr:from>
      <xdr:col>5</xdr:col>
      <xdr:colOff>179140</xdr:colOff>
      <xdr:row>0</xdr:row>
      <xdr:rowOff>183509</xdr:rowOff>
    </xdr:from>
    <xdr:ext cx="918608" cy="361950"/>
    <xdr:pic>
      <xdr:nvPicPr>
        <xdr:cNvPr id="3" name="Picture 2" title="white box">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80283" y="156295"/>
          <a:ext cx="918608" cy="361950"/>
        </a:xfrm>
        <a:prstGeom prst="rect">
          <a:avLst/>
        </a:prstGeom>
      </xdr:spPr>
    </xdr:pic>
    <xdr:clientData/>
  </xdr:oneCellAnchor>
  <xdr:twoCellAnchor>
    <xdr:from>
      <xdr:col>3</xdr:col>
      <xdr:colOff>654140</xdr:colOff>
      <xdr:row>7</xdr:row>
      <xdr:rowOff>0</xdr:rowOff>
    </xdr:from>
    <xdr:to>
      <xdr:col>17</xdr:col>
      <xdr:colOff>134822</xdr:colOff>
      <xdr:row>16</xdr:row>
      <xdr:rowOff>134823</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616565" y="1677798"/>
          <a:ext cx="8638663" cy="1572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400" u="none">
              <a:latin typeface="Verdana" panose="020B0604030504040204" pitchFamily="34" charset="0"/>
              <a:ea typeface="Verdana" panose="020B0604030504040204" pitchFamily="34" charset="0"/>
              <a:cs typeface="Verdana" panose="020B0604030504040204" pitchFamily="34" charset="0"/>
            </a:rPr>
            <a:t>RIIO-ED1</a:t>
          </a:r>
          <a:r>
            <a:rPr lang="en-GB" sz="2400" u="none" baseline="0">
              <a:latin typeface="Verdana" panose="020B0604030504040204" pitchFamily="34" charset="0"/>
              <a:ea typeface="Verdana" panose="020B0604030504040204" pitchFamily="34" charset="0"/>
              <a:cs typeface="Verdana" panose="020B0604030504040204" pitchFamily="34" charset="0"/>
            </a:rPr>
            <a:t> </a:t>
          </a:r>
          <a:r>
            <a:rPr lang="en-GB" sz="2400" u="none">
              <a:latin typeface="Verdana" panose="020B0604030504040204" pitchFamily="34" charset="0"/>
              <a:ea typeface="Verdana" panose="020B0604030504040204" pitchFamily="34" charset="0"/>
              <a:cs typeface="Verdana" panose="020B0604030504040204" pitchFamily="34" charset="0"/>
            </a:rPr>
            <a:t>Network Performance Summary 2021-22 - Supplementary</a:t>
          </a:r>
          <a:r>
            <a:rPr lang="en-GB" sz="2400" u="none" baseline="0">
              <a:latin typeface="Verdana" panose="020B0604030504040204" pitchFamily="34" charset="0"/>
              <a:ea typeface="Verdana" panose="020B0604030504040204" pitchFamily="34" charset="0"/>
              <a:cs typeface="Verdana" panose="020B0604030504040204" pitchFamily="34" charset="0"/>
            </a:rPr>
            <a:t> Data File </a:t>
          </a:r>
          <a:endParaRPr lang="en-GB" sz="2400"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129267</xdr:colOff>
      <xdr:row>9</xdr:row>
      <xdr:rowOff>408216</xdr:rowOff>
    </xdr:from>
    <xdr:to>
      <xdr:col>1</xdr:col>
      <xdr:colOff>2307091</xdr:colOff>
      <xdr:row>18</xdr:row>
      <xdr:rowOff>13607</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864053" y="4612823"/>
          <a:ext cx="2130199" cy="152399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Network Asset Workbook Monitised Workbook</a:t>
          </a:r>
        </a:p>
        <a:p>
          <a:pPr marL="0" marR="0" lvl="0" indent="0" defTabSz="914400" eaLnBrk="1" fontAlgn="auto" latinLnBrk="0" hangingPunct="1">
            <a:lnSpc>
              <a:spcPct val="100000"/>
            </a:lnSpc>
            <a:spcBef>
              <a:spcPts val="0"/>
            </a:spcBef>
            <a:spcAft>
              <a:spcPts val="0"/>
            </a:spcAft>
            <a:buClrTx/>
            <a:buSzTx/>
            <a:buFontTx/>
            <a:buNone/>
            <a:tabLst/>
            <a:defRPr/>
          </a:pPr>
          <a:endPar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GB" sz="900" b="1" u="none" baseline="0">
              <a:latin typeface="Verdana" panose="020B0604030504040204" pitchFamily="34" charset="0"/>
              <a:ea typeface="Verdana" panose="020B0604030504040204" pitchFamily="34" charset="0"/>
              <a:cs typeface="Verdana" panose="020B0604030504040204" pitchFamily="34" charset="0"/>
            </a:rPr>
            <a:t>RIGs - Annex D </a:t>
          </a: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282806</xdr:colOff>
      <xdr:row>9</xdr:row>
      <xdr:rowOff>45943</xdr:rowOff>
    </xdr:from>
    <xdr:to>
      <xdr:col>15</xdr:col>
      <xdr:colOff>367856</xdr:colOff>
      <xdr:row>28</xdr:row>
      <xdr:rowOff>115343</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xdr:colOff>
      <xdr:row>0</xdr:row>
      <xdr:rowOff>0</xdr:rowOff>
    </xdr:from>
    <xdr:to>
      <xdr:col>4</xdr:col>
      <xdr:colOff>990600</xdr:colOff>
      <xdr:row>1</xdr:row>
      <xdr:rowOff>4761</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5195888"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1166812</xdr:colOff>
      <xdr:row>0</xdr:row>
      <xdr:rowOff>0</xdr:rowOff>
    </xdr:from>
    <xdr:to>
      <xdr:col>4</xdr:col>
      <xdr:colOff>900112</xdr:colOff>
      <xdr:row>1</xdr:row>
      <xdr:rowOff>4761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962525"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102053</xdr:colOff>
      <xdr:row>56</xdr:row>
      <xdr:rowOff>0</xdr:rowOff>
    </xdr:from>
    <xdr:to>
      <xdr:col>1</xdr:col>
      <xdr:colOff>2279877</xdr:colOff>
      <xdr:row>60</xdr:row>
      <xdr:rowOff>108857</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91267" y="7089323"/>
          <a:ext cx="2177824"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'Environment and Innovation' Reporting Pack &gt; 'Environment' Spreadsheet &gt; 'E3 BCF' Tab </a:t>
          </a:r>
          <a:endParaRPr lang="en-GB" sz="900">
            <a:effectLst/>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130969</xdr:colOff>
      <xdr:row>95</xdr:row>
      <xdr:rowOff>0</xdr:rowOff>
    </xdr:from>
    <xdr:to>
      <xdr:col>2</xdr:col>
      <xdr:colOff>340</xdr:colOff>
      <xdr:row>105</xdr:row>
      <xdr:rowOff>6803</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920183" y="15348857"/>
          <a:ext cx="2182586" cy="151039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'E2 Environmental Reporting'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95250</xdr:colOff>
      <xdr:row>135</xdr:row>
      <xdr:rowOff>35719</xdr:rowOff>
    </xdr:from>
    <xdr:to>
      <xdr:col>1</xdr:col>
      <xdr:colOff>2449286</xdr:colOff>
      <xdr:row>145</xdr:row>
      <xdr:rowOff>42522</xdr:rowOff>
    </xdr:to>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881063" y="14906625"/>
          <a:ext cx="2354036"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'E2 Environmental Reporting'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107157</xdr:colOff>
      <xdr:row>135</xdr:row>
      <xdr:rowOff>35719</xdr:rowOff>
    </xdr:from>
    <xdr:to>
      <xdr:col>1</xdr:col>
      <xdr:colOff>2166937</xdr:colOff>
      <xdr:row>145</xdr:row>
      <xdr:rowOff>42522</xdr:rowOff>
    </xdr:to>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892970" y="21574127"/>
          <a:ext cx="2059780"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'E2 Environmental Reporting'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202406</xdr:colOff>
      <xdr:row>174</xdr:row>
      <xdr:rowOff>35719</xdr:rowOff>
    </xdr:from>
    <xdr:to>
      <xdr:col>1</xdr:col>
      <xdr:colOff>2556442</xdr:colOff>
      <xdr:row>180</xdr:row>
      <xdr:rowOff>42522</xdr:rowOff>
    </xdr:to>
    <xdr:sp macro="" textlink="">
      <xdr:nvSpPr>
        <xdr:cNvPr id="13" name="TextBox 12">
          <a:extLst>
            <a:ext uri="{FF2B5EF4-FFF2-40B4-BE49-F238E27FC236}">
              <a16:creationId xmlns:a16="http://schemas.microsoft.com/office/drawing/2014/main" id="{00000000-0008-0000-0B00-00000D000000}"/>
            </a:ext>
          </a:extLst>
        </xdr:cNvPr>
        <xdr:cNvSpPr txBox="1"/>
      </xdr:nvSpPr>
      <xdr:spPr>
        <a:xfrm>
          <a:off x="988219" y="24336375"/>
          <a:ext cx="2354036"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'E1 Visual Amenity'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190500</xdr:colOff>
      <xdr:row>293</xdr:row>
      <xdr:rowOff>47625</xdr:rowOff>
    </xdr:from>
    <xdr:to>
      <xdr:col>1</xdr:col>
      <xdr:colOff>2071687</xdr:colOff>
      <xdr:row>302</xdr:row>
      <xdr:rowOff>54428</xdr:rowOff>
    </xdr:to>
    <xdr:sp macro="" textlink="">
      <xdr:nvSpPr>
        <xdr:cNvPr id="14" name="TextBox 13">
          <a:extLst>
            <a:ext uri="{FF2B5EF4-FFF2-40B4-BE49-F238E27FC236}">
              <a16:creationId xmlns:a16="http://schemas.microsoft.com/office/drawing/2014/main" id="{00000000-0008-0000-0B00-00000E000000}"/>
            </a:ext>
          </a:extLst>
        </xdr:cNvPr>
        <xdr:cNvSpPr txBox="1"/>
      </xdr:nvSpPr>
      <xdr:spPr>
        <a:xfrm>
          <a:off x="976313" y="49160908"/>
          <a:ext cx="1881187"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'E7 - LCTs'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88446</xdr:colOff>
      <xdr:row>17</xdr:row>
      <xdr:rowOff>27214</xdr:rowOff>
    </xdr:from>
    <xdr:to>
      <xdr:col>1</xdr:col>
      <xdr:colOff>2266270</xdr:colOff>
      <xdr:row>27</xdr:row>
      <xdr:rowOff>34017</xdr:rowOff>
    </xdr:to>
    <xdr:sp macro="" textlink="">
      <xdr:nvSpPr>
        <xdr:cNvPr id="16" name="TextBox 15">
          <a:extLst>
            <a:ext uri="{FF2B5EF4-FFF2-40B4-BE49-F238E27FC236}">
              <a16:creationId xmlns:a16="http://schemas.microsoft.com/office/drawing/2014/main" id="{00000000-0008-0000-0B00-000010000000}"/>
            </a:ext>
          </a:extLst>
        </xdr:cNvPr>
        <xdr:cNvSpPr txBox="1"/>
      </xdr:nvSpPr>
      <xdr:spPr>
        <a:xfrm>
          <a:off x="877660" y="4156983"/>
          <a:ext cx="2177824"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Panel results in 15/16 for reward in 16/17</a:t>
          </a:r>
        </a:p>
        <a:p>
          <a:pPr marL="0" marR="0" lvl="0" indent="0" defTabSz="914400" eaLnBrk="1" fontAlgn="auto" latinLnBrk="0" hangingPunct="1">
            <a:lnSpc>
              <a:spcPct val="100000"/>
            </a:lnSpc>
            <a:spcBef>
              <a:spcPts val="0"/>
            </a:spcBef>
            <a:spcAft>
              <a:spcPts val="0"/>
            </a:spcAft>
            <a:buClrTx/>
            <a:buSzTx/>
            <a:buFontTx/>
            <a:buNone/>
            <a:tabLst/>
            <a:defRPr/>
          </a:pPr>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6804</xdr:colOff>
      <xdr:row>36</xdr:row>
      <xdr:rowOff>142875</xdr:rowOff>
    </xdr:from>
    <xdr:to>
      <xdr:col>1</xdr:col>
      <xdr:colOff>2132240</xdr:colOff>
      <xdr:row>50</xdr:row>
      <xdr:rowOff>6804</xdr:rowOff>
    </xdr:to>
    <xdr:sp macro="" textlink="">
      <xdr:nvSpPr>
        <xdr:cNvPr id="17" name="TextBox 16">
          <a:extLst>
            <a:ext uri="{FF2B5EF4-FFF2-40B4-BE49-F238E27FC236}">
              <a16:creationId xmlns:a16="http://schemas.microsoft.com/office/drawing/2014/main" id="{00000000-0008-0000-0B00-000011000000}"/>
            </a:ext>
          </a:extLst>
        </xdr:cNvPr>
        <xdr:cNvSpPr txBox="1"/>
      </xdr:nvSpPr>
      <xdr:spPr>
        <a:xfrm>
          <a:off x="796018" y="57075161"/>
          <a:ext cx="2125436" cy="190500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'E3 - BCF' Tab (Cell ref: BO55,BP55)</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Cost &amp; Volumes Pack &gt; M14-Drivers</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6804</xdr:colOff>
      <xdr:row>313</xdr:row>
      <xdr:rowOff>2</xdr:rowOff>
    </xdr:from>
    <xdr:to>
      <xdr:col>1</xdr:col>
      <xdr:colOff>2132240</xdr:colOff>
      <xdr:row>321</xdr:row>
      <xdr:rowOff>115662</xdr:rowOff>
    </xdr:to>
    <xdr:sp macro="" textlink="">
      <xdr:nvSpPr>
        <xdr:cNvPr id="18" name="TextBox 17">
          <a:extLst>
            <a:ext uri="{FF2B5EF4-FFF2-40B4-BE49-F238E27FC236}">
              <a16:creationId xmlns:a16="http://schemas.microsoft.com/office/drawing/2014/main" id="{00000000-0008-0000-0B00-000012000000}"/>
            </a:ext>
          </a:extLst>
        </xdr:cNvPr>
        <xdr:cNvSpPr txBox="1"/>
      </xdr:nvSpPr>
      <xdr:spPr>
        <a:xfrm>
          <a:off x="796018" y="59544859"/>
          <a:ext cx="2125436" cy="125866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'Environment and Innovation' Reporting Pack &gt; 'Environment' Spreadsheet &gt; 'E2 - Environmental Reporting' Tab </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1033462</xdr:colOff>
      <xdr:row>0</xdr:row>
      <xdr:rowOff>0</xdr:rowOff>
    </xdr:from>
    <xdr:to>
      <xdr:col>4</xdr:col>
      <xdr:colOff>914400</xdr:colOff>
      <xdr:row>1</xdr:row>
      <xdr:rowOff>4761</xdr:rowOff>
    </xdr:to>
    <xdr:sp macro="" textlink="">
      <xdr:nvSpPr>
        <xdr:cNvPr id="11" name="Rounded Rectangle 10">
          <a:hlinkClick xmlns:r="http://schemas.openxmlformats.org/officeDocument/2006/relationships" r:id="rId1"/>
          <a:extLst>
            <a:ext uri="{FF2B5EF4-FFF2-40B4-BE49-F238E27FC236}">
              <a16:creationId xmlns:a16="http://schemas.microsoft.com/office/drawing/2014/main" id="{00000000-0008-0000-0B00-00000B000000}"/>
            </a:ext>
          </a:extLst>
        </xdr:cNvPr>
        <xdr:cNvSpPr/>
      </xdr:nvSpPr>
      <xdr:spPr>
        <a:xfrm>
          <a:off x="4572000"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347382</xdr:colOff>
      <xdr:row>12</xdr:row>
      <xdr:rowOff>22412</xdr:rowOff>
    </xdr:from>
    <xdr:to>
      <xdr:col>1</xdr:col>
      <xdr:colOff>2525206</xdr:colOff>
      <xdr:row>19</xdr:row>
      <xdr:rowOff>12406</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131794" y="3059206"/>
          <a:ext cx="2177824"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for customer satisfaction survey results</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'Customer Service' Reporting Pack &gt; 'Customer Service' Spreadsheet &gt; 'Customer Satisfaction Survey' Tab </a:t>
          </a:r>
          <a:endParaRPr lang="en-GB" sz="900">
            <a:effectLst/>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257735</xdr:colOff>
      <xdr:row>41</xdr:row>
      <xdr:rowOff>106456</xdr:rowOff>
    </xdr:from>
    <xdr:to>
      <xdr:col>1</xdr:col>
      <xdr:colOff>2435559</xdr:colOff>
      <xdr:row>41</xdr:row>
      <xdr:rowOff>1542009</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42147" y="7788089"/>
          <a:ext cx="2177824"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for complaints metric scores</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r>
            <a:rPr lang="en-GB" sz="1100" b="1" baseline="0">
              <a:solidFill>
                <a:schemeClr val="dk1"/>
              </a:solidFill>
              <a:effectLst/>
              <a:latin typeface="+mn-lt"/>
              <a:ea typeface="+mn-ea"/>
              <a:cs typeface="+mn-cs"/>
            </a:rPr>
            <a:t>'Customer Service' Reporting Pack &gt; 'Customer Service' Spreadsheet &gt; 'Complaints handling' Tab </a:t>
          </a:r>
          <a:endParaRPr lang="en-GB" sz="900">
            <a:effectLst/>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240926</xdr:colOff>
      <xdr:row>60</xdr:row>
      <xdr:rowOff>162484</xdr:rowOff>
    </xdr:from>
    <xdr:to>
      <xdr:col>1</xdr:col>
      <xdr:colOff>2530809</xdr:colOff>
      <xdr:row>68</xdr:row>
      <xdr:rowOff>6802</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1025338" y="12629029"/>
          <a:ext cx="2289883" cy="14355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Stakeholder Engagement Panel </a:t>
          </a:r>
          <a:endParaRPr lang="en-GB" sz="900">
            <a:effectLst/>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1047750</xdr:colOff>
      <xdr:row>0</xdr:row>
      <xdr:rowOff>0</xdr:rowOff>
    </xdr:from>
    <xdr:to>
      <xdr:col>4</xdr:col>
      <xdr:colOff>909637</xdr:colOff>
      <xdr:row>1</xdr:row>
      <xdr:rowOff>4761</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C00-000006000000}"/>
            </a:ext>
          </a:extLst>
        </xdr:cNvPr>
        <xdr:cNvSpPr/>
      </xdr:nvSpPr>
      <xdr:spPr>
        <a:xfrm>
          <a:off x="5067300"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285750</xdr:colOff>
      <xdr:row>113</xdr:row>
      <xdr:rowOff>105262</xdr:rowOff>
    </xdr:from>
    <xdr:to>
      <xdr:col>41</xdr:col>
      <xdr:colOff>178379</xdr:colOff>
      <xdr:row>135</xdr:row>
      <xdr:rowOff>28574</xdr:rowOff>
    </xdr:to>
    <xdr:graphicFrame macro="">
      <xdr:nvGraphicFramePr>
        <xdr:cNvPr id="18" name="Chart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381000</xdr:colOff>
      <xdr:row>70</xdr:row>
      <xdr:rowOff>0</xdr:rowOff>
    </xdr:from>
    <xdr:to>
      <xdr:col>56</xdr:col>
      <xdr:colOff>161925</xdr:colOff>
      <xdr:row>90</xdr:row>
      <xdr:rowOff>42862</xdr:rowOff>
    </xdr:to>
    <xdr:graphicFrame macro="">
      <xdr:nvGraphicFramePr>
        <xdr:cNvPr id="19" name="Chart 18">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361949</xdr:colOff>
      <xdr:row>91</xdr:row>
      <xdr:rowOff>46759</xdr:rowOff>
    </xdr:from>
    <xdr:to>
      <xdr:col>56</xdr:col>
      <xdr:colOff>206955</xdr:colOff>
      <xdr:row>113</xdr:row>
      <xdr:rowOff>38099</xdr:rowOff>
    </xdr:to>
    <xdr:graphicFrame macro="">
      <xdr:nvGraphicFramePr>
        <xdr:cNvPr id="20" name="Chart 19">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390524</xdr:colOff>
      <xdr:row>114</xdr:row>
      <xdr:rowOff>87557</xdr:rowOff>
    </xdr:from>
    <xdr:to>
      <xdr:col>56</xdr:col>
      <xdr:colOff>200025</xdr:colOff>
      <xdr:row>135</xdr:row>
      <xdr:rowOff>38099</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56</xdr:col>
      <xdr:colOff>428626</xdr:colOff>
      <xdr:row>70</xdr:row>
      <xdr:rowOff>19049</xdr:rowOff>
    </xdr:from>
    <xdr:to>
      <xdr:col>72</xdr:col>
      <xdr:colOff>628650</xdr:colOff>
      <xdr:row>90</xdr:row>
      <xdr:rowOff>66674</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476250</xdr:colOff>
      <xdr:row>91</xdr:row>
      <xdr:rowOff>63501</xdr:rowOff>
    </xdr:from>
    <xdr:to>
      <xdr:col>73</xdr:col>
      <xdr:colOff>38099</xdr:colOff>
      <xdr:row>113</xdr:row>
      <xdr:rowOff>28574</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470190</xdr:colOff>
      <xdr:row>114</xdr:row>
      <xdr:rowOff>89058</xdr:rowOff>
    </xdr:from>
    <xdr:to>
      <xdr:col>73</xdr:col>
      <xdr:colOff>9524</xdr:colOff>
      <xdr:row>134</xdr:row>
      <xdr:rowOff>133350</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73</xdr:col>
      <xdr:colOff>264101</xdr:colOff>
      <xdr:row>70</xdr:row>
      <xdr:rowOff>-1</xdr:rowOff>
    </xdr:from>
    <xdr:to>
      <xdr:col>88</xdr:col>
      <xdr:colOff>638175</xdr:colOff>
      <xdr:row>90</xdr:row>
      <xdr:rowOff>57148</xdr:rowOff>
    </xdr:to>
    <xdr:graphicFrame macro="">
      <xdr:nvGraphicFramePr>
        <xdr:cNvPr id="12" name="Chart 11">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73</xdr:col>
      <xdr:colOff>299605</xdr:colOff>
      <xdr:row>91</xdr:row>
      <xdr:rowOff>92654</xdr:rowOff>
    </xdr:from>
    <xdr:to>
      <xdr:col>89</xdr:col>
      <xdr:colOff>-1</xdr:colOff>
      <xdr:row>112</xdr:row>
      <xdr:rowOff>123826</xdr:rowOff>
    </xdr:to>
    <xdr:graphicFrame macro="">
      <xdr:nvGraphicFramePr>
        <xdr:cNvPr id="13" name="Chart 12">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73</xdr:col>
      <xdr:colOff>287481</xdr:colOff>
      <xdr:row>114</xdr:row>
      <xdr:rowOff>109616</xdr:rowOff>
    </xdr:from>
    <xdr:to>
      <xdr:col>88</xdr:col>
      <xdr:colOff>619125</xdr:colOff>
      <xdr:row>134</xdr:row>
      <xdr:rowOff>104776</xdr:rowOff>
    </xdr:to>
    <xdr:graphicFrame macro="">
      <xdr:nvGraphicFramePr>
        <xdr:cNvPr id="14" name="Chart 13">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89</xdr:col>
      <xdr:colOff>314324</xdr:colOff>
      <xdr:row>70</xdr:row>
      <xdr:rowOff>38099</xdr:rowOff>
    </xdr:from>
    <xdr:to>
      <xdr:col>105</xdr:col>
      <xdr:colOff>95249</xdr:colOff>
      <xdr:row>89</xdr:row>
      <xdr:rowOff>152398</xdr:rowOff>
    </xdr:to>
    <xdr:graphicFrame macro="">
      <xdr:nvGraphicFramePr>
        <xdr:cNvPr id="15" name="Chart 14">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89</xdr:col>
      <xdr:colOff>342900</xdr:colOff>
      <xdr:row>91</xdr:row>
      <xdr:rowOff>90488</xdr:rowOff>
    </xdr:from>
    <xdr:to>
      <xdr:col>105</xdr:col>
      <xdr:colOff>19049</xdr:colOff>
      <xdr:row>112</xdr:row>
      <xdr:rowOff>47625</xdr:rowOff>
    </xdr:to>
    <xdr:graphicFrame macro="">
      <xdr:nvGraphicFramePr>
        <xdr:cNvPr id="21" name="Chart 20">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28</xdr:col>
      <xdr:colOff>133350</xdr:colOff>
      <xdr:row>69</xdr:row>
      <xdr:rowOff>123824</xdr:rowOff>
    </xdr:from>
    <xdr:to>
      <xdr:col>41</xdr:col>
      <xdr:colOff>25979</xdr:colOff>
      <xdr:row>90</xdr:row>
      <xdr:rowOff>142386</xdr:rowOff>
    </xdr:to>
    <xdr:graphicFrame macro="">
      <xdr:nvGraphicFramePr>
        <xdr:cNvPr id="17" name="Chart 16">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28</xdr:col>
      <xdr:colOff>152400</xdr:colOff>
      <xdr:row>91</xdr:row>
      <xdr:rowOff>114300</xdr:rowOff>
    </xdr:from>
    <xdr:to>
      <xdr:col>41</xdr:col>
      <xdr:colOff>45029</xdr:colOff>
      <xdr:row>111</xdr:row>
      <xdr:rowOff>132862</xdr:rowOff>
    </xdr:to>
    <xdr:graphicFrame macro="">
      <xdr:nvGraphicFramePr>
        <xdr:cNvPr id="24" name="Chart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2000250</xdr:colOff>
      <xdr:row>0</xdr:row>
      <xdr:rowOff>0</xdr:rowOff>
    </xdr:from>
    <xdr:to>
      <xdr:col>4</xdr:col>
      <xdr:colOff>909637</xdr:colOff>
      <xdr:row>1</xdr:row>
      <xdr:rowOff>4761</xdr:rowOff>
    </xdr:to>
    <xdr:sp macro="" textlink="">
      <xdr:nvSpPr>
        <xdr:cNvPr id="22" name="Rounded Rectangle 21">
          <a:hlinkClick xmlns:r="http://schemas.openxmlformats.org/officeDocument/2006/relationships" r:id="rId15"/>
          <a:extLst>
            <a:ext uri="{FF2B5EF4-FFF2-40B4-BE49-F238E27FC236}">
              <a16:creationId xmlns:a16="http://schemas.microsoft.com/office/drawing/2014/main" id="{00000000-0008-0000-0D00-000016000000}"/>
            </a:ext>
          </a:extLst>
        </xdr:cNvPr>
        <xdr:cNvSpPr/>
      </xdr:nvSpPr>
      <xdr:spPr>
        <a:xfrm>
          <a:off x="5638800"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361950</xdr:colOff>
      <xdr:row>0</xdr:row>
      <xdr:rowOff>0</xdr:rowOff>
    </xdr:from>
    <xdr:to>
      <xdr:col>5</xdr:col>
      <xdr:colOff>638175</xdr:colOff>
      <xdr:row>0</xdr:row>
      <xdr:rowOff>257174</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4652963"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twoCellAnchor>
    <xdr:from>
      <xdr:col>9</xdr:col>
      <xdr:colOff>444500</xdr:colOff>
      <xdr:row>14</xdr:row>
      <xdr:rowOff>92604</xdr:rowOff>
    </xdr:from>
    <xdr:to>
      <xdr:col>13</xdr:col>
      <xdr:colOff>1226992</xdr:colOff>
      <xdr:row>34</xdr:row>
      <xdr:rowOff>94271</xdr:rowOff>
    </xdr:to>
    <xdr:graphicFrame macro="">
      <xdr:nvGraphicFramePr>
        <xdr:cNvPr id="6" name="Chart 1">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539750</xdr:colOff>
      <xdr:row>14</xdr:row>
      <xdr:rowOff>74084</xdr:rowOff>
    </xdr:from>
    <xdr:to>
      <xdr:col>21</xdr:col>
      <xdr:colOff>97750</xdr:colOff>
      <xdr:row>34</xdr:row>
      <xdr:rowOff>75751</xdr:rowOff>
    </xdr:to>
    <xdr:graphicFrame macro="">
      <xdr:nvGraphicFramePr>
        <xdr:cNvPr id="9" name="Chart 1">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23812</xdr:rowOff>
    </xdr:from>
    <xdr:to>
      <xdr:col>0</xdr:col>
      <xdr:colOff>2988594</xdr:colOff>
      <xdr:row>4</xdr:row>
      <xdr:rowOff>21234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812"/>
          <a:ext cx="2988594" cy="7213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603250</xdr:colOff>
          <xdr:row>962</xdr:row>
          <xdr:rowOff>0</xdr:rowOff>
        </xdr:from>
        <xdr:to>
          <xdr:col>2</xdr:col>
          <xdr:colOff>203200</xdr:colOff>
          <xdr:row>964</xdr:row>
          <xdr:rowOff>31750</xdr:rowOff>
        </xdr:to>
        <xdr:sp macro="" textlink="">
          <xdr:nvSpPr>
            <xdr:cNvPr id="11267" name="CommandButton1"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3681413</xdr:colOff>
      <xdr:row>0</xdr:row>
      <xdr:rowOff>104777</xdr:rowOff>
    </xdr:from>
    <xdr:to>
      <xdr:col>1</xdr:col>
      <xdr:colOff>881063</xdr:colOff>
      <xdr:row>0</xdr:row>
      <xdr:rowOff>361951</xdr:rowOff>
    </xdr:to>
    <xdr:sp macro="" textlink="">
      <xdr:nvSpPr>
        <xdr:cNvPr id="15" name="Rounded Rectangle 14">
          <a:hlinkClick xmlns:r="http://schemas.openxmlformats.org/officeDocument/2006/relationships" r:id="rId1"/>
          <a:extLst>
            <a:ext uri="{FF2B5EF4-FFF2-40B4-BE49-F238E27FC236}">
              <a16:creationId xmlns:a16="http://schemas.microsoft.com/office/drawing/2014/main" id="{00000000-0008-0000-0200-00000F000000}"/>
            </a:ext>
          </a:extLst>
        </xdr:cNvPr>
        <xdr:cNvSpPr/>
      </xdr:nvSpPr>
      <xdr:spPr>
        <a:xfrm>
          <a:off x="3681413" y="104777"/>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2838450</xdr:colOff>
      <xdr:row>0</xdr:row>
      <xdr:rowOff>80963</xdr:rowOff>
    </xdr:from>
    <xdr:to>
      <xdr:col>2</xdr:col>
      <xdr:colOff>876300</xdr:colOff>
      <xdr:row>0</xdr:row>
      <xdr:rowOff>338137</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3757613" y="80963"/>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1681</xdr:colOff>
      <xdr:row>20</xdr:row>
      <xdr:rowOff>128868</xdr:rowOff>
    </xdr:from>
    <xdr:to>
      <xdr:col>9</xdr:col>
      <xdr:colOff>105054</xdr:colOff>
      <xdr:row>25</xdr:row>
      <xdr:rowOff>2725552</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1" y="4186518"/>
          <a:ext cx="7513823" cy="4958884"/>
        </a:xfrm>
        <a:prstGeom prst="rect">
          <a:avLst/>
        </a:prstGeom>
        <a:noFill/>
        <a:ln>
          <a:noFill/>
        </a:ln>
      </xdr:spPr>
    </xdr:pic>
    <xdr:clientData/>
  </xdr:twoCellAnchor>
  <xdr:twoCellAnchor>
    <xdr:from>
      <xdr:col>5</xdr:col>
      <xdr:colOff>28575</xdr:colOff>
      <xdr:row>0</xdr:row>
      <xdr:rowOff>0</xdr:rowOff>
    </xdr:from>
    <xdr:to>
      <xdr:col>6</xdr:col>
      <xdr:colOff>195263</xdr:colOff>
      <xdr:row>0</xdr:row>
      <xdr:rowOff>257174</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2690813"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129267</xdr:colOff>
      <xdr:row>3</xdr:row>
      <xdr:rowOff>408216</xdr:rowOff>
    </xdr:from>
    <xdr:to>
      <xdr:col>1</xdr:col>
      <xdr:colOff>2307091</xdr:colOff>
      <xdr:row>12</xdr:row>
      <xdr:rowOff>13607</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915080" y="7856766"/>
          <a:ext cx="2177824" cy="1400854"/>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0</xdr:colOff>
      <xdr:row>0</xdr:row>
      <xdr:rowOff>0</xdr:rowOff>
    </xdr:from>
    <xdr:to>
      <xdr:col>5</xdr:col>
      <xdr:colOff>52388</xdr:colOff>
      <xdr:row>1</xdr:row>
      <xdr:rowOff>4761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4862513"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34018</xdr:colOff>
      <xdr:row>15</xdr:row>
      <xdr:rowOff>61232</xdr:rowOff>
    </xdr:from>
    <xdr:to>
      <xdr:col>1</xdr:col>
      <xdr:colOff>2388054</xdr:colOff>
      <xdr:row>25</xdr:row>
      <xdr:rowOff>6803</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823232" y="1081768"/>
          <a:ext cx="2354036" cy="1374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for CI and CML performance</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r>
            <a:rPr lang="en-GB" sz="900" b="1" u="none" baseline="0">
              <a:latin typeface="Verdana" panose="020B0604030504040204" pitchFamily="34" charset="0"/>
              <a:ea typeface="Verdana" panose="020B0604030504040204" pitchFamily="34" charset="0"/>
              <a:cs typeface="Verdana" panose="020B0604030504040204" pitchFamily="34" charset="0"/>
            </a:rPr>
            <a:t>'QoS' Reporting Pack &gt; 'Stage Data' Spreadsheet &gt; 'EE Impact' Tab &gt; 'Potential net impact for IIS penalties and rewards (weighted)' Model</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54428</xdr:colOff>
      <xdr:row>51</xdr:row>
      <xdr:rowOff>523875</xdr:rowOff>
    </xdr:from>
    <xdr:to>
      <xdr:col>1</xdr:col>
      <xdr:colOff>2408464</xdr:colOff>
      <xdr:row>61</xdr:row>
      <xdr:rowOff>17859</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840241" y="9590485"/>
          <a:ext cx="2354036" cy="1357312"/>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for IIS performance</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'QoS' Reporting Pack &gt; 'Stage Data' Spreadsheet &gt; 'EE Impact' Tab</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Values as confirmed in Directions issued </a:t>
          </a:r>
          <a:r>
            <a:rPr lang="en-GB" sz="1100" b="1" baseline="0">
              <a:solidFill>
                <a:srgbClr val="FF0000"/>
              </a:solidFill>
              <a:effectLst/>
              <a:latin typeface="+mn-lt"/>
              <a:ea typeface="+mn-ea"/>
              <a:cs typeface="+mn-cs"/>
            </a:rPr>
            <a:t>31/10/21</a:t>
          </a:r>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40203</xdr:colOff>
      <xdr:row>206</xdr:row>
      <xdr:rowOff>145676</xdr:rowOff>
    </xdr:from>
    <xdr:to>
      <xdr:col>1</xdr:col>
      <xdr:colOff>2393155</xdr:colOff>
      <xdr:row>241</xdr:row>
      <xdr:rowOff>145676</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824615" y="35746764"/>
          <a:ext cx="2352952" cy="714935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r>
            <a:rPr lang="en-GB" sz="900" b="1" u="none" baseline="0">
              <a:latin typeface="Verdana" panose="020B0604030504040204" pitchFamily="34" charset="0"/>
              <a:ea typeface="Verdana" panose="020B0604030504040204" pitchFamily="34" charset="0"/>
              <a:cs typeface="Verdana" panose="020B0604030504040204" pitchFamily="34" charset="0"/>
            </a:rPr>
            <a:t>'QoS' Reporting Pack &gt; 'Guaranteed Standards of Performance' Spreadsheet &gt; 'GS template' Tab</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pPr eaLnBrk="1" fontAlgn="auto" latinLnBrk="0" hangingPunct="1"/>
          <a:r>
            <a:rPr lang="en-GB" sz="900" b="1" u="none" baseline="0">
              <a:solidFill>
                <a:srgbClr val="FF0000"/>
              </a:solidFill>
              <a:latin typeface="Verdana" panose="020B0604030504040204" pitchFamily="34" charset="0"/>
              <a:ea typeface="Verdana" panose="020B0604030504040204" pitchFamily="34" charset="0"/>
              <a:cs typeface="Verdana" panose="020B0604030504040204" pitchFamily="34" charset="0"/>
            </a:rPr>
            <a:t>NOTE: </a:t>
          </a:r>
          <a:r>
            <a:rPr lang="en-GB" sz="900" b="1" baseline="0">
              <a:solidFill>
                <a:srgbClr val="FF0000"/>
              </a:solidFill>
              <a:effectLst/>
              <a:latin typeface="Verdana" panose="020B0604030504040204" pitchFamily="34" charset="0"/>
              <a:ea typeface="Verdana" panose="020B0604030504040204" pitchFamily="34" charset="0"/>
              <a:cs typeface="Verdana" panose="020B0604030504040204" pitchFamily="34" charset="0"/>
            </a:rPr>
            <a:t>DNO numbers are not currently on a comparable basis.</a:t>
          </a:r>
          <a:endParaRPr lang="en-GB" sz="900">
            <a:solidFill>
              <a:srgbClr val="FF0000"/>
            </a:solidFill>
            <a:effectLst/>
            <a:latin typeface="Verdana" panose="020B0604030504040204" pitchFamily="34" charset="0"/>
            <a:ea typeface="Verdana" panose="020B0604030504040204" pitchFamily="34" charset="0"/>
            <a:cs typeface="Verdana" panose="020B0604030504040204" pitchFamily="34" charset="0"/>
          </a:endParaRPr>
        </a:p>
        <a:p>
          <a:endParaRPr lang="en-GB" sz="900" b="1" u="none" baseline="0">
            <a:solidFill>
              <a:srgbClr val="FF0000"/>
            </a:solidFill>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0" u="non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inconsistency in the reporting of regulation 17 (appointments) and differences in how companies have reported under regulation 5 (supply restoration: normal conditions) and regulation 7 (supply restoration: severe weather conditions).  </a:t>
          </a:r>
          <a:endParaRPr lang="en-GB" sz="900" b="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endParaRPr lang="en-GB" sz="900" b="0" u="none"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a:p>
          <a:r>
            <a:rPr lang="en-GB" sz="900" b="0" u="none"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Ofgem and the DNOs have established a working group to work through these inconsistencies, and any others that may arise, to ensure future reporting of data is on a comparable basis.</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61632</xdr:colOff>
      <xdr:row>363</xdr:row>
      <xdr:rowOff>11206</xdr:rowOff>
    </xdr:from>
    <xdr:to>
      <xdr:col>1</xdr:col>
      <xdr:colOff>2415668</xdr:colOff>
      <xdr:row>399</xdr:row>
      <xdr:rowOff>323369</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846044" y="47115133"/>
          <a:ext cx="2354036" cy="145516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 </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'Cost and Volumes' Reporting Pack &gt; 'Cost and Volumes' Spreadsheet , and 'WSC Schemes' Spreadsheet</a:t>
          </a:r>
        </a:p>
        <a:p>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71437</xdr:colOff>
      <xdr:row>0</xdr:row>
      <xdr:rowOff>0</xdr:rowOff>
    </xdr:from>
    <xdr:to>
      <xdr:col>4</xdr:col>
      <xdr:colOff>995362</xdr:colOff>
      <xdr:row>1</xdr:row>
      <xdr:rowOff>4761</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4905375"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176892</xdr:colOff>
      <xdr:row>12</xdr:row>
      <xdr:rowOff>122463</xdr:rowOff>
    </xdr:from>
    <xdr:to>
      <xdr:col>1</xdr:col>
      <xdr:colOff>2048556</xdr:colOff>
      <xdr:row>18</xdr:row>
      <xdr:rowOff>111125</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930955" y="3662588"/>
          <a:ext cx="1871664" cy="85385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RIGs environment and innovation reporting pack, E7- LCTs</a:t>
          </a:r>
          <a:endParaRPr lang="en-GB" sz="900" b="1" u="none" baseline="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224518</xdr:colOff>
      <xdr:row>21</xdr:row>
      <xdr:rowOff>136072</xdr:rowOff>
    </xdr:from>
    <xdr:to>
      <xdr:col>1</xdr:col>
      <xdr:colOff>1960110</xdr:colOff>
      <xdr:row>27</xdr:row>
      <xdr:rowOff>68035</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979715" y="5116286"/>
          <a:ext cx="1735592" cy="1217839"/>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RIGs connections reporting pack, CC8 - TTC &amp; TTQ</a:t>
          </a:r>
          <a:endParaRPr lang="en-GB" sz="900" b="1" u="none" baseline="0">
            <a:latin typeface="Verdana" panose="020B0604030504040204" pitchFamily="34" charset="0"/>
            <a:ea typeface="Verdana" panose="020B0604030504040204" pitchFamily="34" charset="0"/>
            <a:cs typeface="Verdana" panose="020B0604030504040204" pitchFamily="34" charset="0"/>
          </a:endParaRP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136071</xdr:colOff>
      <xdr:row>83</xdr:row>
      <xdr:rowOff>176894</xdr:rowOff>
    </xdr:from>
    <xdr:to>
      <xdr:col>1</xdr:col>
      <xdr:colOff>1979838</xdr:colOff>
      <xdr:row>83</xdr:row>
      <xdr:rowOff>1347107</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891268" y="15913555"/>
          <a:ext cx="1843767" cy="1170213"/>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1" u="sng">
              <a:latin typeface="Verdana" panose="020B0604030504040204" pitchFamily="34" charset="0"/>
              <a:ea typeface="Verdana" panose="020B0604030504040204" pitchFamily="34" charset="0"/>
              <a:cs typeface="Verdana" panose="020B0604030504040204" pitchFamily="34" charset="0"/>
            </a:rPr>
            <a:t>Source</a:t>
          </a:r>
          <a:r>
            <a:rPr lang="en-GB" sz="900" b="1" u="sng" baseline="0">
              <a:latin typeface="Verdana" panose="020B0604030504040204" pitchFamily="34" charset="0"/>
              <a:ea typeface="Verdana" panose="020B0604030504040204" pitchFamily="34" charset="0"/>
              <a:cs typeface="Verdana" panose="020B0604030504040204" pitchFamily="34" charset="0"/>
            </a:rPr>
            <a:t> data</a:t>
          </a:r>
        </a:p>
        <a:p>
          <a:endParaRPr lang="en-GB" sz="900" b="1" u="sng" baseline="0">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900" b="1" u="none" baseline="0">
              <a:latin typeface="Verdana" panose="020B0604030504040204" pitchFamily="34" charset="0"/>
              <a:ea typeface="Verdana" panose="020B0604030504040204" pitchFamily="34" charset="0"/>
              <a:cs typeface="Verdana" panose="020B0604030504040204" pitchFamily="34" charset="0"/>
            </a:rPr>
            <a:t>RIGs connections Guaranteed Standards, Quarterly performance</a:t>
          </a:r>
        </a:p>
        <a:p>
          <a:endParaRPr lang="en-GB" sz="900" b="1" u="none">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1247775</xdr:colOff>
      <xdr:row>0</xdr:row>
      <xdr:rowOff>0</xdr:rowOff>
    </xdr:from>
    <xdr:to>
      <xdr:col>4</xdr:col>
      <xdr:colOff>847725</xdr:colOff>
      <xdr:row>1</xdr:row>
      <xdr:rowOff>4761</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4524375"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2476500</xdr:colOff>
      <xdr:row>0</xdr:row>
      <xdr:rowOff>0</xdr:rowOff>
    </xdr:from>
    <xdr:to>
      <xdr:col>5</xdr:col>
      <xdr:colOff>57150</xdr:colOff>
      <xdr:row>0</xdr:row>
      <xdr:rowOff>257174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5548313" y="0"/>
          <a:ext cx="923925" cy="257174"/>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GB" sz="1100" b="1">
              <a:latin typeface="Verdana" panose="020B0604030504040204" pitchFamily="34" charset="0"/>
              <a:ea typeface="Verdana" panose="020B0604030504040204" pitchFamily="34" charset="0"/>
              <a:cs typeface="Verdana" panose="020B0604030504040204" pitchFamily="34" charset="0"/>
            </a:rPr>
            <a:t>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0/sgg/network_company_sub/Network_Company_Sub_Lib/RIIO-ED1/Revenue/2016_17/2017_Revenue_Return_ENW_ENW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Incentive"/>
      <sheetName val="R13 Correction Factor"/>
      <sheetName val="R14 Allowed Revenue Summary"/>
      <sheetName val="R15 RegAccs Recon"/>
      <sheetName val="Licence Values"/>
    </sheetNames>
    <sheetDataSet>
      <sheetData sheetId="0"/>
      <sheetData sheetId="1"/>
      <sheetData sheetId="2"/>
      <sheetData sheetId="3"/>
      <sheetData sheetId="4"/>
      <sheetData sheetId="5">
        <row r="40">
          <cell r="G40">
            <v>48.796266836355926</v>
          </cell>
        </row>
      </sheetData>
      <sheetData sheetId="6">
        <row r="47">
          <cell r="G47">
            <v>415.26918895190363</v>
          </cell>
        </row>
        <row r="50">
          <cell r="D50">
            <v>0.5</v>
          </cell>
          <cell r="E50">
            <v>0.5</v>
          </cell>
          <cell r="F50">
            <v>0.5</v>
          </cell>
          <cell r="G50">
            <v>0.5</v>
          </cell>
          <cell r="H50">
            <v>0.34</v>
          </cell>
          <cell r="I50"/>
          <cell r="J50"/>
          <cell r="K50"/>
          <cell r="L50"/>
          <cell r="M50"/>
          <cell r="N50"/>
        </row>
      </sheetData>
      <sheetData sheetId="7">
        <row r="6">
          <cell r="G6">
            <v>373</v>
          </cell>
        </row>
      </sheetData>
      <sheetData sheetId="8">
        <row r="6">
          <cell r="I6">
            <v>-0.21936500453496982</v>
          </cell>
        </row>
      </sheetData>
      <sheetData sheetId="9"/>
      <sheetData sheetId="10"/>
      <sheetData sheetId="11"/>
      <sheetData sheetId="12"/>
      <sheetData sheetId="13"/>
      <sheetData sheetId="14">
        <row r="11">
          <cell r="G11">
            <v>0.5</v>
          </cell>
        </row>
      </sheetData>
      <sheetData sheetId="15">
        <row r="9">
          <cell r="G9">
            <v>8.3946523265849056</v>
          </cell>
        </row>
      </sheetData>
      <sheetData sheetId="16"/>
      <sheetData sheetId="1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41:O56" totalsRowShown="0" headerRowDxfId="312" dataDxfId="310" headerRowBorderDxfId="311" tableBorderDxfId="309" totalsRowBorderDxfId="308">
  <tableColumns count="14">
    <tableColumn id="1" xr3:uid="{00000000-0010-0000-0000-000001000000}" name="Column1" dataDxfId="307"/>
    <tableColumn id="2" xr3:uid="{00000000-0010-0000-0000-000002000000}" name="2011" dataDxfId="306" dataCellStyle="Comma"/>
    <tableColumn id="3" xr3:uid="{00000000-0010-0000-0000-000003000000}" name="2012" dataDxfId="305" dataCellStyle="Comma"/>
    <tableColumn id="4" xr3:uid="{00000000-0010-0000-0000-000004000000}" name="2013" dataDxfId="304" dataCellStyle="Comma"/>
    <tableColumn id="5" xr3:uid="{00000000-0010-0000-0000-000005000000}" name="2014" dataDxfId="303" dataCellStyle="Comma"/>
    <tableColumn id="6" xr3:uid="{00000000-0010-0000-0000-000006000000}" name="2015" dataDxfId="302" dataCellStyle="Comma"/>
    <tableColumn id="7" xr3:uid="{00000000-0010-0000-0000-000007000000}" name="2016" dataDxfId="301" dataCellStyle="Comma"/>
    <tableColumn id="8" xr3:uid="{00000000-0010-0000-0000-000008000000}" name="2017" dataDxfId="300" dataCellStyle="Comma"/>
    <tableColumn id="9" xr3:uid="{00000000-0010-0000-0000-000009000000}" name="2018" dataDxfId="299" dataCellStyle="Comma"/>
    <tableColumn id="10" xr3:uid="{00000000-0010-0000-0000-00000A000000}" name="2019" dataDxfId="298"/>
    <tableColumn id="11" xr3:uid="{00000000-0010-0000-0000-00000B000000}" name="2020" dataDxfId="297"/>
    <tableColumn id="12" xr3:uid="{00000000-0010-0000-0000-00000C000000}" name="2021" dataDxfId="296"/>
    <tableColumn id="13" xr3:uid="{00000000-0010-0000-0000-00000D000000}" name="2022" dataDxfId="295"/>
    <tableColumn id="14" xr3:uid="{00000000-0010-0000-0000-00000E000000}" name="2023" dataDxfId="29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ExpendituresvsAllowances1" displayName="ExpendituresvsAllowances1" ref="D3:I25" totalsRowShown="0" headerRowDxfId="10">
  <tableColumns count="6">
    <tableColumn id="1" xr3:uid="{00000000-0010-0000-0100-000001000000}" name="2021-22" dataDxfId="9"/>
    <tableColumn id="2" xr3:uid="{00000000-0010-0000-0100-000002000000}" name="Baseline Allowance"/>
    <tableColumn id="3" xr3:uid="{00000000-0010-0000-0100-000003000000}" name="% of total baseline allowance" dataDxfId="8"/>
    <tableColumn id="4" xr3:uid="{00000000-0010-0000-0100-000004000000}" name="Actual"/>
    <tableColumn id="5" xr3:uid="{00000000-0010-0000-0100-000005000000}" name="% of total actual" dataDxfId="7"/>
    <tableColumn id="6" xr3:uid="{DC5F35E9-2351-4CC2-B1E7-33C637D961AA}" name="Column1" dataDxfId="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J3:M20" totalsRowShown="0" tableBorderDxfId="5">
  <tableColumns count="4">
    <tableColumn id="1" xr3:uid="{00000000-0010-0000-0200-000001000000}" name="2021-22" dataDxfId="4"/>
    <tableColumn id="2" xr3:uid="{00000000-0010-0000-0200-000002000000}" name="Technical / glossary term" dataDxfId="3"/>
    <tableColumn id="3" xr3:uid="{00000000-0010-0000-0200-000003000000}" name="% of total actual" dataDxfId="2"/>
    <tableColumn id="4" xr3:uid="{00000000-0010-0000-0200-000004000000}" name="% of total baseline allowance" dataDxfId="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A6:N10" totalsRowShown="0">
  <tableColumns count="14">
    <tableColumn id="1" xr3:uid="{00000000-0010-0000-0300-000001000000}" name="Column1"/>
    <tableColumn id="2" xr3:uid="{00000000-0010-0000-0300-000002000000}" name="Column2"/>
    <tableColumn id="3" xr3:uid="{00000000-0010-0000-0300-000003000000}" name="2011">
      <calculatedColumnFormula>INDEX(Dataset!$A:$V,MATCH(Calculations!C$6&amp;Calculations!$P7,Dataset!$V:$V,0),MATCH(Calculations!$A$1,Dataset!$A$1:$V$1,0))</calculatedColumnFormula>
    </tableColumn>
    <tableColumn id="4" xr3:uid="{00000000-0010-0000-0300-000004000000}" name="2012">
      <calculatedColumnFormula>INDEX(Dataset!$A:$V,MATCH(Calculations!D$6&amp;Calculations!$P7,Dataset!$V:$V,0),MATCH(Calculations!$A$1,Dataset!$A$1:$V$1,0))</calculatedColumnFormula>
    </tableColumn>
    <tableColumn id="5" xr3:uid="{00000000-0010-0000-0300-000005000000}" name="2013">
      <calculatedColumnFormula>INDEX(Dataset!$A:$V,MATCH(Calculations!E$6&amp;Calculations!$P7,Dataset!$V:$V,0),MATCH(Calculations!$A$1,Dataset!$A$1:$V$1,0))</calculatedColumnFormula>
    </tableColumn>
    <tableColumn id="6" xr3:uid="{00000000-0010-0000-0300-000006000000}" name="2014">
      <calculatedColumnFormula>INDEX(Dataset!$A:$V,MATCH(Calculations!F$6&amp;Calculations!$P7,Dataset!$V:$V,0),MATCH(Calculations!$A$1,Dataset!$A$1:$V$1,0))</calculatedColumnFormula>
    </tableColumn>
    <tableColumn id="7" xr3:uid="{00000000-0010-0000-0300-000007000000}" name="2015">
      <calculatedColumnFormula>INDEX(Dataset!$A:$V,MATCH(Calculations!G$6&amp;Calculations!$P7,Dataset!$V:$V,0),MATCH(Calculations!$A$1,Dataset!$A$1:$V$1,0))</calculatedColumnFormula>
    </tableColumn>
    <tableColumn id="8" xr3:uid="{00000000-0010-0000-0300-000008000000}" name="2016">
      <calculatedColumnFormula>INDEX(Dataset!$A:$V,MATCH(Calculations!H$6&amp;Calculations!$P7,Dataset!$V:$V,0),MATCH(Calculations!$A$1,Dataset!$A$1:$V$1,0))</calculatedColumnFormula>
    </tableColumn>
    <tableColumn id="9" xr3:uid="{00000000-0010-0000-0300-000009000000}" name="2017">
      <calculatedColumnFormula>INDEX(Dataset!$A:$V,MATCH(Calculations!I$6&amp;Calculations!$P7,Dataset!$V:$V,0),MATCH(Calculations!$A$1,Dataset!$A$1:$V$1,0))</calculatedColumnFormula>
    </tableColumn>
    <tableColumn id="10" xr3:uid="{00000000-0010-0000-0300-00000A000000}" name="2018">
      <calculatedColumnFormula>INDEX(Dataset!$A:$V,MATCH(Calculations!J$6&amp;Calculations!$P7,Dataset!$V:$V,0),MATCH(Calculations!$A$1,Dataset!$A$1:$V$1,0))</calculatedColumnFormula>
    </tableColumn>
    <tableColumn id="11" xr3:uid="{00000000-0010-0000-0300-00000B000000}" name="2019">
      <calculatedColumnFormula>INDEX(Dataset!$A:$V,MATCH(Calculations!K$6&amp;Calculations!$P7,Dataset!$V:$V,0),MATCH(Calculations!$A$1,Dataset!$A$1:$V$1,0))</calculatedColumnFormula>
    </tableColumn>
    <tableColumn id="12" xr3:uid="{CB7C06B6-9CEA-4289-B5D4-FA0F1C5DE6C6}" name="2020" dataDxfId="0">
      <calculatedColumnFormula>INDEX(Dataset!$A:$V,MATCH(Calculations!L$6&amp;Calculations!$P7,Dataset!$V:$V,0),MATCH(Calculations!$A$1,Dataset!$A$1:$V$1,0))</calculatedColumnFormula>
    </tableColumn>
    <tableColumn id="13" xr3:uid="{5E745926-2C5B-44A5-BD57-71FFF0BA0827}" name="2021">
      <calculatedColumnFormula>INDEX(Dataset!$A:$V,MATCH(Calculations!M$6&amp;Calculations!$P7,Dataset!$V:$V,0),MATCH(Calculations!$A$1,Dataset!$A$1:$V$1,0))</calculatedColumnFormula>
    </tableColumn>
    <tableColumn id="14" xr3:uid="{A89B51F2-F1E6-4C16-AEE8-DD7E08A39A55}" name="2022">
      <calculatedColumnFormula>INDEX(Dataset!$A:$V,MATCH(Calculations!N$6&amp;Calculations!$P7,Dataset!$V:$V,0),MATCH(Calculations!$A$1,Dataset!$A$1:$V$1,0))</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control" Target="../activeX/activeX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2"/>
  <sheetViews>
    <sheetView workbookViewId="0">
      <selection activeCell="A2" sqref="A2"/>
    </sheetView>
  </sheetViews>
  <sheetFormatPr defaultColWidth="9.1796875" defaultRowHeight="13.5"/>
  <cols>
    <col min="1" max="16384" width="9.1796875" style="957"/>
  </cols>
  <sheetData>
    <row r="1" spans="1:1" s="1142" customFormat="1" ht="57" customHeight="1"/>
    <row r="2" spans="1:1">
      <c r="A2" s="958"/>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4" tint="-0.249977111117893"/>
  </sheetPr>
  <dimension ref="A1:M53"/>
  <sheetViews>
    <sheetView topLeftCell="A4" workbookViewId="0">
      <selection activeCell="E15" sqref="E15"/>
    </sheetView>
  </sheetViews>
  <sheetFormatPr defaultColWidth="9.1796875" defaultRowHeight="14.5"/>
  <cols>
    <col min="1" max="1" width="11" style="2" bestFit="1" customWidth="1"/>
    <col min="2" max="2" width="33.81640625" style="56" customWidth="1"/>
    <col min="3" max="3" width="12.81640625" style="2" customWidth="1"/>
    <col min="4" max="4" width="25.26953125" customWidth="1"/>
    <col min="5" max="9" width="16.1796875" style="2" bestFit="1" customWidth="1"/>
    <col min="10" max="10" width="13.1796875" style="2" bestFit="1" customWidth="1"/>
    <col min="11" max="11" width="13.81640625" style="2" customWidth="1"/>
    <col min="12" max="12" width="18.54296875" style="2" customWidth="1"/>
    <col min="13" max="13" width="19.81640625" style="2" customWidth="1"/>
    <col min="14" max="14" width="10.81640625" style="2" customWidth="1"/>
    <col min="15" max="15" width="13.1796875" style="2" customWidth="1"/>
    <col min="16" max="16" width="11.81640625" style="2" customWidth="1"/>
    <col min="17" max="16384" width="9.1796875" style="2"/>
  </cols>
  <sheetData>
    <row r="1" spans="1:13" ht="19.5">
      <c r="A1" s="885" t="s">
        <v>178</v>
      </c>
      <c r="B1" s="885"/>
      <c r="C1" s="885"/>
      <c r="D1" s="885"/>
      <c r="E1" s="885"/>
      <c r="F1" s="885"/>
    </row>
    <row r="2" spans="1:13" ht="11.5">
      <c r="B2" s="107" t="s">
        <v>212</v>
      </c>
      <c r="D2" s="2"/>
      <c r="E2" s="1"/>
    </row>
    <row r="3" spans="1:13" ht="11.5">
      <c r="D3" s="2"/>
      <c r="E3" s="1"/>
    </row>
    <row r="4" spans="1:13" ht="27" customHeight="1">
      <c r="B4" s="1191" t="s">
        <v>213</v>
      </c>
      <c r="C4" s="1191"/>
      <c r="D4" s="1191"/>
      <c r="E4" s="1191"/>
      <c r="F4" s="1191"/>
      <c r="G4" s="1191"/>
      <c r="H4" s="1191"/>
      <c r="I4" s="1191"/>
      <c r="J4" s="1191"/>
    </row>
    <row r="5" spans="1:13" ht="13.5">
      <c r="B5" s="1192" t="s">
        <v>214</v>
      </c>
      <c r="C5" s="1192"/>
      <c r="D5" s="1192"/>
      <c r="E5" s="1192"/>
      <c r="F5" s="1192" t="s">
        <v>215</v>
      </c>
      <c r="G5" s="1192"/>
      <c r="H5" s="1192"/>
      <c r="I5" s="1192"/>
      <c r="J5" s="1192"/>
    </row>
    <row r="6" spans="1:13" s="56" customFormat="1" ht="52.5" customHeight="1">
      <c r="B6" s="1190" t="s">
        <v>299</v>
      </c>
      <c r="C6" s="1190"/>
      <c r="D6" s="1190"/>
      <c r="E6" s="1190"/>
      <c r="F6" s="1190" t="s">
        <v>300</v>
      </c>
      <c r="G6" s="1190"/>
      <c r="H6" s="1190"/>
      <c r="I6" s="1190"/>
      <c r="J6" s="1190"/>
    </row>
    <row r="7" spans="1:13" s="1" customFormat="1" ht="29.25" customHeight="1">
      <c r="B7" s="180"/>
      <c r="C7" s="180"/>
      <c r="D7" s="180"/>
      <c r="E7" s="180"/>
      <c r="F7" s="181"/>
      <c r="G7" s="181"/>
      <c r="H7" s="181"/>
      <c r="I7" s="181"/>
      <c r="J7" s="181"/>
    </row>
    <row r="8" spans="1:13" ht="12" thickBot="1">
      <c r="D8" s="1" t="s">
        <v>1405</v>
      </c>
    </row>
    <row r="9" spans="1:13" ht="21.75" customHeight="1" thickBot="1">
      <c r="B9" s="1207" t="s">
        <v>301</v>
      </c>
      <c r="D9" s="2"/>
      <c r="E9" s="1094"/>
      <c r="F9" s="1094"/>
      <c r="G9" s="1094"/>
      <c r="H9" s="1094"/>
      <c r="I9" s="1094"/>
      <c r="J9" s="1094"/>
    </row>
    <row r="10" spans="1:13" ht="58" thickBot="1">
      <c r="B10" s="1208"/>
      <c r="D10" s="1104" t="s">
        <v>302</v>
      </c>
      <c r="E10" s="1105" t="s">
        <v>303</v>
      </c>
      <c r="F10" s="1105" t="s">
        <v>304</v>
      </c>
      <c r="G10" s="1105" t="s">
        <v>305</v>
      </c>
      <c r="H10" s="1105" t="s">
        <v>306</v>
      </c>
      <c r="I10" s="1105" t="s">
        <v>1373</v>
      </c>
      <c r="J10" s="1106" t="s">
        <v>307</v>
      </c>
    </row>
    <row r="11" spans="1:13" ht="12" customHeight="1">
      <c r="B11" s="1208"/>
      <c r="C11" s="186" t="s">
        <v>161</v>
      </c>
      <c r="D11" s="1102">
        <v>34717173.946499869</v>
      </c>
      <c r="E11" s="1102">
        <v>52801732.966237813</v>
      </c>
      <c r="F11" s="1102">
        <v>41290441.301693097</v>
      </c>
      <c r="G11" s="1102">
        <v>11511291.664544724</v>
      </c>
      <c r="H11" s="1102">
        <f>+E11-D11</f>
        <v>18084559.019737944</v>
      </c>
      <c r="I11" s="1102">
        <v>9889348.0843193643</v>
      </c>
      <c r="J11" s="1103">
        <f>I11/G11</f>
        <v>0.85909977546472771</v>
      </c>
    </row>
    <row r="12" spans="1:13" ht="12" customHeight="1">
      <c r="B12" s="1208"/>
      <c r="C12" s="187" t="s">
        <v>162</v>
      </c>
      <c r="D12" s="185">
        <v>35398060.561412401</v>
      </c>
      <c r="E12" s="185">
        <v>50635472.349193722</v>
      </c>
      <c r="F12" s="185">
        <v>40069116.526471682</v>
      </c>
      <c r="G12" s="185">
        <v>10566355.822722025</v>
      </c>
      <c r="H12" s="185">
        <f t="shared" ref="H12:H24" si="0">+E12-D12</f>
        <v>15237411.787781321</v>
      </c>
      <c r="I12" s="185">
        <v>9994101.0730805565</v>
      </c>
      <c r="J12" s="1103">
        <f t="shared" ref="J12:J25" si="1">I12/G12</f>
        <v>0.94584180589386502</v>
      </c>
    </row>
    <row r="13" spans="1:13" ht="12" customHeight="1">
      <c r="B13" s="1208"/>
      <c r="C13" s="187" t="s">
        <v>163</v>
      </c>
      <c r="D13" s="185">
        <v>29674137.9439281</v>
      </c>
      <c r="E13" s="185">
        <v>39226669.012665838</v>
      </c>
      <c r="F13" s="185">
        <v>29830607.609918866</v>
      </c>
      <c r="G13" s="185">
        <v>9396061.4027469829</v>
      </c>
      <c r="H13" s="185">
        <f t="shared" si="0"/>
        <v>9552531.0687377378</v>
      </c>
      <c r="I13" s="185">
        <v>8032774.8799642352</v>
      </c>
      <c r="J13" s="1103">
        <f t="shared" si="1"/>
        <v>0.85490872565134746</v>
      </c>
      <c r="M13"/>
    </row>
    <row r="14" spans="1:13" ht="12" customHeight="1">
      <c r="B14" s="1208"/>
      <c r="C14" s="187" t="s">
        <v>164</v>
      </c>
      <c r="D14" s="185">
        <v>40210986.96654059</v>
      </c>
      <c r="E14" s="185">
        <v>52621580.08995156</v>
      </c>
      <c r="F14" s="185">
        <v>35393380.373779505</v>
      </c>
      <c r="G14" s="185">
        <v>17228199.716172047</v>
      </c>
      <c r="H14" s="185">
        <f t="shared" si="0"/>
        <v>12410593.12341097</v>
      </c>
      <c r="I14" s="185">
        <v>19779941.64751476</v>
      </c>
      <c r="J14" s="1103">
        <f t="shared" si="1"/>
        <v>1.1481142529911237</v>
      </c>
    </row>
    <row r="15" spans="1:13" ht="12" customHeight="1">
      <c r="B15" s="1208"/>
      <c r="C15" s="187" t="s">
        <v>165</v>
      </c>
      <c r="D15" s="185">
        <v>34930944.436057702</v>
      </c>
      <c r="E15" s="185">
        <v>42724719.564123228</v>
      </c>
      <c r="F15" s="185">
        <v>30194501.949782174</v>
      </c>
      <c r="G15" s="185">
        <v>12530217.614341054</v>
      </c>
      <c r="H15" s="185">
        <f t="shared" si="0"/>
        <v>7793775.1280655265</v>
      </c>
      <c r="I15" s="185">
        <v>14135479.540935654</v>
      </c>
      <c r="J15" s="1103">
        <f t="shared" si="1"/>
        <v>1.1281112568035012</v>
      </c>
    </row>
    <row r="16" spans="1:13" ht="12" customHeight="1">
      <c r="B16" s="1208"/>
      <c r="C16" s="187" t="s">
        <v>166</v>
      </c>
      <c r="D16" s="185">
        <v>20709600.892820612</v>
      </c>
      <c r="E16" s="185">
        <v>27797837.715861499</v>
      </c>
      <c r="F16" s="185">
        <v>17981336.209192295</v>
      </c>
      <c r="G16" s="185">
        <v>9816501.5066692047</v>
      </c>
      <c r="H16" s="185">
        <f t="shared" si="0"/>
        <v>7088236.8230408877</v>
      </c>
      <c r="I16" s="185">
        <v>11252353.154750073</v>
      </c>
      <c r="J16" s="1103">
        <f t="shared" si="1"/>
        <v>1.1462691822647171</v>
      </c>
    </row>
    <row r="17" spans="2:10" ht="12" customHeight="1">
      <c r="B17" s="1208"/>
      <c r="C17" s="187" t="s">
        <v>167</v>
      </c>
      <c r="D17" s="185">
        <v>31601986.911348734</v>
      </c>
      <c r="E17" s="185">
        <v>46546170.718818411</v>
      </c>
      <c r="F17" s="185">
        <v>30235486.383803267</v>
      </c>
      <c r="G17" s="185">
        <v>16310684.335015152</v>
      </c>
      <c r="H17" s="185">
        <f t="shared" si="0"/>
        <v>14944183.807469677</v>
      </c>
      <c r="I17" s="185">
        <v>16145060.081087314</v>
      </c>
      <c r="J17" s="1103">
        <f t="shared" si="1"/>
        <v>0.98984565880094422</v>
      </c>
    </row>
    <row r="18" spans="2:10" ht="12" customHeight="1">
      <c r="B18" s="1208"/>
      <c r="C18" s="187" t="s">
        <v>168</v>
      </c>
      <c r="D18" s="185">
        <v>27708452.575041577</v>
      </c>
      <c r="E18" s="185">
        <v>35728247.991480425</v>
      </c>
      <c r="F18" s="185">
        <v>26585580.797096916</v>
      </c>
      <c r="G18" s="185">
        <v>9142667.1943835244</v>
      </c>
      <c r="H18" s="185">
        <f t="shared" si="0"/>
        <v>8019795.4164388478</v>
      </c>
      <c r="I18" s="185">
        <v>8822240.2893384621</v>
      </c>
      <c r="J18" s="1103">
        <f t="shared" si="1"/>
        <v>0.96495257912899801</v>
      </c>
    </row>
    <row r="19" spans="2:10" ht="12" customHeight="1">
      <c r="B19" s="1208"/>
      <c r="C19" s="187" t="s">
        <v>169</v>
      </c>
      <c r="D19" s="185">
        <v>35848065.344327152</v>
      </c>
      <c r="E19" s="185">
        <v>46097951.077517502</v>
      </c>
      <c r="F19" s="185">
        <v>37659235.170638166</v>
      </c>
      <c r="G19" s="185">
        <v>8438715.9068793431</v>
      </c>
      <c r="H19" s="185">
        <f t="shared" si="0"/>
        <v>10249885.73319035</v>
      </c>
      <c r="I19" s="185">
        <v>7692366.5211696653</v>
      </c>
      <c r="J19" s="1103">
        <f t="shared" si="1"/>
        <v>0.91155652187541414</v>
      </c>
    </row>
    <row r="20" spans="2:10" ht="12" customHeight="1">
      <c r="B20" s="1208"/>
      <c r="C20" s="187" t="s">
        <v>170</v>
      </c>
      <c r="D20" s="185">
        <v>50577623.924371935</v>
      </c>
      <c r="E20" s="185">
        <v>65823784.585643537</v>
      </c>
      <c r="F20" s="185">
        <v>54362805.491895676</v>
      </c>
      <c r="G20" s="185">
        <v>11460979.093747869</v>
      </c>
      <c r="H20" s="185">
        <f t="shared" si="0"/>
        <v>15246160.661271602</v>
      </c>
      <c r="I20" s="185">
        <v>10449351.336394163</v>
      </c>
      <c r="J20" s="1103">
        <f t="shared" si="1"/>
        <v>0.9117328677524974</v>
      </c>
    </row>
    <row r="21" spans="2:10" ht="12" customHeight="1">
      <c r="B21" s="1208"/>
      <c r="C21" s="187" t="s">
        <v>171</v>
      </c>
      <c r="D21" s="185">
        <v>30942854.042898096</v>
      </c>
      <c r="E21" s="185">
        <v>46997140.343846105</v>
      </c>
      <c r="F21" s="185">
        <v>40114396.530287042</v>
      </c>
      <c r="G21" s="185">
        <v>6882743.8135590702</v>
      </c>
      <c r="H21" s="185">
        <f t="shared" si="0"/>
        <v>16054286.300948009</v>
      </c>
      <c r="I21" s="185">
        <v>7062551.741216002</v>
      </c>
      <c r="J21" s="1103">
        <f t="shared" si="1"/>
        <v>1.0261244545093642</v>
      </c>
    </row>
    <row r="22" spans="2:10" ht="12" customHeight="1">
      <c r="B22" s="1208"/>
      <c r="C22" s="187" t="s">
        <v>172</v>
      </c>
      <c r="D22" s="185">
        <v>36840842.86841929</v>
      </c>
      <c r="E22" s="185">
        <v>52578037.673996069</v>
      </c>
      <c r="F22" s="185">
        <v>42446657.549351126</v>
      </c>
      <c r="G22" s="185">
        <v>10131380.12464495</v>
      </c>
      <c r="H22" s="185">
        <f t="shared" si="0"/>
        <v>15737194.805576779</v>
      </c>
      <c r="I22" s="185">
        <v>9110682.6471382156</v>
      </c>
      <c r="J22" s="1103">
        <f t="shared" si="1"/>
        <v>0.89925385634047517</v>
      </c>
    </row>
    <row r="23" spans="2:10" ht="12" customHeight="1">
      <c r="B23" s="1208"/>
      <c r="C23" s="187" t="s">
        <v>28</v>
      </c>
      <c r="D23" s="185">
        <v>29746923.894414015</v>
      </c>
      <c r="E23" s="185">
        <v>40727721.332472458</v>
      </c>
      <c r="F23" s="185">
        <v>34325214.593015693</v>
      </c>
      <c r="G23" s="185">
        <v>6402506.7394567579</v>
      </c>
      <c r="H23" s="185">
        <f t="shared" si="0"/>
        <v>10980797.438058443</v>
      </c>
      <c r="I23" s="185">
        <v>5919830.491110079</v>
      </c>
      <c r="J23" s="1103">
        <f t="shared" si="1"/>
        <v>0.92461136426892176</v>
      </c>
    </row>
    <row r="24" spans="2:10" ht="12" customHeight="1" thickBot="1">
      <c r="B24" s="1208"/>
      <c r="C24" s="1100" t="s">
        <v>173</v>
      </c>
      <c r="D24" s="188">
        <v>47453646.570192613</v>
      </c>
      <c r="E24" s="188">
        <v>65647485.210699759</v>
      </c>
      <c r="F24" s="188">
        <v>49343867.270478591</v>
      </c>
      <c r="G24" s="188">
        <v>16303617.940221168</v>
      </c>
      <c r="H24" s="188">
        <f t="shared" si="0"/>
        <v>18193838.640507147</v>
      </c>
      <c r="I24" s="188">
        <v>14388453.525153082</v>
      </c>
      <c r="J24" s="1103">
        <f t="shared" si="1"/>
        <v>0.8825313239006074</v>
      </c>
    </row>
    <row r="25" spans="2:10" ht="12" customHeight="1" thickBot="1">
      <c r="B25" s="1214"/>
      <c r="C25" s="1101" t="s">
        <v>174</v>
      </c>
      <c r="D25" s="491">
        <f>SUM(D11:D24)</f>
        <v>486361300.87827271</v>
      </c>
      <c r="E25" s="492">
        <f>SUM(E11:E24)</f>
        <v>665954550.63250792</v>
      </c>
      <c r="F25" s="492">
        <f>SUM(F11:F24)</f>
        <v>509832627.75740409</v>
      </c>
      <c r="G25" s="492">
        <f>SUM(F25-E25) * -1</f>
        <v>156121922.87510383</v>
      </c>
      <c r="H25" s="492">
        <f>+E25-D25</f>
        <v>179593249.75423521</v>
      </c>
      <c r="I25" s="492">
        <f>SUM(I11:I24)</f>
        <v>152674535.01317161</v>
      </c>
      <c r="J25" s="1124">
        <f t="shared" si="1"/>
        <v>0.97791861771591104</v>
      </c>
    </row>
    <row r="26" spans="2:10" ht="12" customHeight="1">
      <c r="B26" s="2"/>
      <c r="D26" s="2"/>
    </row>
    <row r="27" spans="2:10">
      <c r="B27" s="2"/>
    </row>
    <row r="28" spans="2:10">
      <c r="B28" s="2"/>
      <c r="D28" s="998"/>
      <c r="G28" s="112"/>
    </row>
    <row r="29" spans="2:10">
      <c r="B29" s="2"/>
      <c r="E29" s="112"/>
    </row>
    <row r="30" spans="2:10">
      <c r="B30" s="2"/>
    </row>
    <row r="31" spans="2:10">
      <c r="B31" s="2"/>
    </row>
    <row r="32" spans="2:10">
      <c r="B32" s="2"/>
    </row>
    <row r="33" spans="2:5">
      <c r="B33" s="2"/>
    </row>
    <row r="34" spans="2:5">
      <c r="B34" s="2"/>
    </row>
    <row r="35" spans="2:5">
      <c r="B35" s="2"/>
      <c r="C35"/>
      <c r="E35"/>
    </row>
    <row r="36" spans="2:5">
      <c r="B36" s="2"/>
      <c r="C36"/>
      <c r="E36"/>
    </row>
    <row r="37" spans="2:5">
      <c r="B37" s="2"/>
      <c r="C37"/>
      <c r="E37"/>
    </row>
    <row r="38" spans="2:5">
      <c r="B38" s="2"/>
      <c r="C38"/>
      <c r="E38"/>
    </row>
    <row r="39" spans="2:5">
      <c r="C39"/>
      <c r="E39"/>
    </row>
    <row r="40" spans="2:5">
      <c r="C40"/>
      <c r="E40"/>
    </row>
    <row r="41" spans="2:5">
      <c r="C41"/>
      <c r="E41"/>
    </row>
    <row r="42" spans="2:5">
      <c r="C42"/>
      <c r="E42"/>
    </row>
    <row r="43" spans="2:5">
      <c r="C43"/>
      <c r="E43"/>
    </row>
    <row r="44" spans="2:5">
      <c r="C44"/>
      <c r="E44"/>
    </row>
    <row r="45" spans="2:5">
      <c r="C45"/>
      <c r="E45"/>
    </row>
    <row r="46" spans="2:5">
      <c r="C46"/>
      <c r="E46"/>
    </row>
    <row r="47" spans="2:5">
      <c r="C47"/>
      <c r="E47"/>
    </row>
    <row r="48" spans="2:5">
      <c r="C48"/>
      <c r="E48"/>
    </row>
    <row r="49" spans="3:5">
      <c r="C49"/>
      <c r="E49"/>
    </row>
    <row r="50" spans="3:5">
      <c r="C50"/>
      <c r="E50"/>
    </row>
    <row r="51" spans="3:5">
      <c r="C51"/>
      <c r="E51"/>
    </row>
    <row r="52" spans="3:5">
      <c r="C52"/>
      <c r="E52"/>
    </row>
    <row r="53" spans="3:5">
      <c r="C53"/>
      <c r="E53"/>
    </row>
  </sheetData>
  <mergeCells count="6">
    <mergeCell ref="B9:B25"/>
    <mergeCell ref="B4:J4"/>
    <mergeCell ref="B5:E5"/>
    <mergeCell ref="F5:J5"/>
    <mergeCell ref="B6:E6"/>
    <mergeCell ref="F6:J6"/>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4" tint="-0.249977111117893"/>
  </sheetPr>
  <dimension ref="A1:AJ78"/>
  <sheetViews>
    <sheetView topLeftCell="C14" workbookViewId="0">
      <selection activeCell="P19" sqref="P19"/>
    </sheetView>
  </sheetViews>
  <sheetFormatPr defaultColWidth="9.1796875" defaultRowHeight="11.5"/>
  <cols>
    <col min="1" max="1" width="10.54296875" style="2" bestFit="1" customWidth="1"/>
    <col min="2" max="2" width="36.453125" style="2" bestFit="1" customWidth="1"/>
    <col min="3" max="3" width="6.1796875" style="2" customWidth="1"/>
    <col min="4" max="4" width="17.453125" style="2" customWidth="1"/>
    <col min="5" max="5" width="16.81640625" style="2" customWidth="1"/>
    <col min="6" max="6" width="23.453125" style="2" customWidth="1"/>
    <col min="7" max="7" width="18.1796875" style="2" bestFit="1" customWidth="1"/>
    <col min="8" max="8" width="16" style="2" bestFit="1" customWidth="1"/>
    <col min="9" max="9" width="22" style="2" bestFit="1" customWidth="1"/>
    <col min="10" max="10" width="13" style="2" bestFit="1" customWidth="1"/>
    <col min="11" max="11" width="13.81640625" style="2" bestFit="1" customWidth="1"/>
    <col min="12" max="12" width="9.1796875" style="2"/>
    <col min="13" max="13" width="16.54296875" style="2" customWidth="1"/>
    <col min="14" max="14" width="20.453125" style="2" customWidth="1"/>
    <col min="15" max="15" width="18.1796875" style="2" bestFit="1" customWidth="1"/>
    <col min="16" max="16" width="9.1796875" style="2"/>
    <col min="17" max="17" width="15.453125" style="2" customWidth="1"/>
    <col min="18" max="18" width="17.453125" style="2" bestFit="1" customWidth="1"/>
    <col min="19" max="19" width="19" style="2" bestFit="1" customWidth="1"/>
    <col min="20" max="20" width="19.453125" style="2" customWidth="1"/>
    <col min="21" max="21" width="9.1796875" style="2"/>
    <col min="22" max="22" width="17.26953125" style="2" bestFit="1" customWidth="1"/>
    <col min="23" max="23" width="18.7265625" style="2" customWidth="1"/>
    <col min="24" max="24" width="9.1796875" style="2"/>
    <col min="25" max="25" width="11.81640625" style="2" bestFit="1" customWidth="1"/>
    <col min="26" max="26" width="17.453125" style="2" bestFit="1" customWidth="1"/>
    <col min="27" max="27" width="19.1796875" style="2" bestFit="1" customWidth="1"/>
    <col min="28" max="28" width="9.1796875" style="2" bestFit="1" customWidth="1"/>
    <col min="29" max="29" width="13.81640625" style="2" customWidth="1"/>
    <col min="30" max="30" width="17.26953125" style="2" bestFit="1" customWidth="1"/>
    <col min="31" max="31" width="19" style="2" bestFit="1" customWidth="1"/>
    <col min="32" max="32" width="11.36328125" style="2" customWidth="1"/>
    <col min="33" max="16384" width="9.1796875" style="2"/>
  </cols>
  <sheetData>
    <row r="1" spans="1:36" ht="19.5">
      <c r="A1" s="885" t="s">
        <v>525</v>
      </c>
      <c r="B1" s="885"/>
      <c r="C1" s="885"/>
      <c r="D1" s="885"/>
      <c r="E1" s="885"/>
      <c r="F1" s="885"/>
    </row>
    <row r="2" spans="1:36">
      <c r="B2" s="107" t="s">
        <v>526</v>
      </c>
    </row>
    <row r="3" spans="1:36" ht="12" thickBot="1">
      <c r="B3" s="1200" t="s">
        <v>527</v>
      </c>
      <c r="D3" s="1" t="s">
        <v>528</v>
      </c>
    </row>
    <row r="4" spans="1:36" s="149" customFormat="1">
      <c r="B4" s="1200"/>
      <c r="D4" s="213"/>
      <c r="E4" s="697" t="s">
        <v>529</v>
      </c>
      <c r="F4" s="1008"/>
      <c r="G4" s="1008"/>
      <c r="H4" s="698"/>
      <c r="I4" s="697" t="s">
        <v>530</v>
      </c>
      <c r="J4" s="1008"/>
      <c r="K4" s="1008"/>
      <c r="L4" s="698"/>
      <c r="M4" s="697" t="s">
        <v>531</v>
      </c>
      <c r="N4" s="1008"/>
      <c r="O4" s="1001"/>
      <c r="P4" s="698"/>
      <c r="Q4" s="697" t="s">
        <v>532</v>
      </c>
      <c r="R4" s="1008"/>
      <c r="S4" s="1001"/>
      <c r="T4" s="1008"/>
      <c r="U4" s="697" t="s">
        <v>1415</v>
      </c>
      <c r="V4" s="1008"/>
      <c r="W4" s="1001"/>
      <c r="X4" s="698"/>
      <c r="Y4" s="1008" t="s">
        <v>1416</v>
      </c>
      <c r="Z4" s="1008"/>
      <c r="AA4" s="1001"/>
      <c r="AB4" s="1008"/>
      <c r="AC4" s="697" t="s">
        <v>1417</v>
      </c>
      <c r="AD4" s="1008"/>
      <c r="AE4" s="1001"/>
      <c r="AF4" s="698"/>
      <c r="AG4" s="1008" t="s">
        <v>143</v>
      </c>
      <c r="AH4" s="1008"/>
      <c r="AI4" s="1001"/>
      <c r="AJ4" s="698"/>
    </row>
    <row r="5" spans="1:36" ht="35" thickBot="1">
      <c r="B5" s="1200"/>
      <c r="D5" s="56"/>
      <c r="E5" s="754" t="s">
        <v>533</v>
      </c>
      <c r="F5" s="102" t="s">
        <v>534</v>
      </c>
      <c r="G5" s="102" t="s">
        <v>535</v>
      </c>
      <c r="H5" s="548" t="s">
        <v>536</v>
      </c>
      <c r="I5" s="754" t="s">
        <v>533</v>
      </c>
      <c r="J5" s="100" t="s">
        <v>534</v>
      </c>
      <c r="K5" s="100" t="s">
        <v>535</v>
      </c>
      <c r="L5" s="548" t="s">
        <v>536</v>
      </c>
      <c r="M5" s="754" t="s">
        <v>533</v>
      </c>
      <c r="N5" s="100" t="s">
        <v>534</v>
      </c>
      <c r="O5" s="100" t="s">
        <v>535</v>
      </c>
      <c r="P5" s="548" t="s">
        <v>536</v>
      </c>
      <c r="Q5" s="754" t="s">
        <v>533</v>
      </c>
      <c r="R5" s="102" t="s">
        <v>534</v>
      </c>
      <c r="S5" s="102" t="s">
        <v>535</v>
      </c>
      <c r="T5" s="382" t="s">
        <v>536</v>
      </c>
      <c r="U5" s="754" t="s">
        <v>533</v>
      </c>
      <c r="V5" s="102" t="s">
        <v>534</v>
      </c>
      <c r="W5" s="102" t="s">
        <v>535</v>
      </c>
      <c r="X5" s="548" t="s">
        <v>536</v>
      </c>
      <c r="Y5" s="753" t="s">
        <v>533</v>
      </c>
      <c r="Z5" s="102" t="s">
        <v>534</v>
      </c>
      <c r="AA5" s="102" t="s">
        <v>535</v>
      </c>
      <c r="AB5" s="382" t="s">
        <v>536</v>
      </c>
      <c r="AC5" s="754" t="s">
        <v>533</v>
      </c>
      <c r="AD5" s="102" t="s">
        <v>534</v>
      </c>
      <c r="AE5" s="102" t="s">
        <v>535</v>
      </c>
      <c r="AF5" s="548" t="s">
        <v>536</v>
      </c>
      <c r="AG5" s="753" t="s">
        <v>533</v>
      </c>
      <c r="AH5" s="102" t="s">
        <v>534</v>
      </c>
      <c r="AI5" s="102" t="s">
        <v>535</v>
      </c>
      <c r="AJ5" s="548" t="s">
        <v>536</v>
      </c>
    </row>
    <row r="6" spans="1:36">
      <c r="B6" s="1200"/>
      <c r="C6" s="60"/>
      <c r="D6" s="646" t="s">
        <v>161</v>
      </c>
      <c r="E6" s="755">
        <v>18</v>
      </c>
      <c r="F6" s="993">
        <v>2.8251020000000002</v>
      </c>
      <c r="G6" s="993">
        <v>2.5253786443801003</v>
      </c>
      <c r="H6" s="756">
        <f>G6/F6</f>
        <v>0.89390706756078187</v>
      </c>
      <c r="I6" s="755">
        <v>18</v>
      </c>
      <c r="J6" s="993">
        <v>2.865936317365958</v>
      </c>
      <c r="K6" s="993">
        <v>2.8649822704817343</v>
      </c>
      <c r="L6" s="756">
        <f>K6/J6</f>
        <v>0.99966710813550086</v>
      </c>
      <c r="M6" s="878">
        <v>13</v>
      </c>
      <c r="N6" s="417">
        <v>2.7290368793360802</v>
      </c>
      <c r="O6" s="417">
        <v>2.7290368793360802</v>
      </c>
      <c r="P6" s="756">
        <f>O6/N6</f>
        <v>1</v>
      </c>
      <c r="Q6" s="369">
        <v>15</v>
      </c>
      <c r="R6" s="25">
        <v>2.7926601254017229</v>
      </c>
      <c r="S6" s="25">
        <v>2.7926601254017229</v>
      </c>
      <c r="T6" s="1060">
        <v>1</v>
      </c>
      <c r="U6" s="369">
        <v>10</v>
      </c>
      <c r="V6" s="25">
        <v>2.8722691589586375</v>
      </c>
      <c r="W6" s="25">
        <v>2.8722691589586375</v>
      </c>
      <c r="X6" s="36">
        <f>W6/V6</f>
        <v>1</v>
      </c>
      <c r="Y6" s="369">
        <v>8</v>
      </c>
      <c r="Z6" s="25">
        <v>2.9133954592617979</v>
      </c>
      <c r="AA6" s="25">
        <v>2.913395459261797</v>
      </c>
      <c r="AB6" s="36">
        <f>AA6/Z6</f>
        <v>0.99999999999999967</v>
      </c>
      <c r="AC6" s="369">
        <v>12</v>
      </c>
      <c r="AD6" s="25">
        <v>2.8897392656707264</v>
      </c>
      <c r="AE6" s="25">
        <v>2.8897392656707268</v>
      </c>
      <c r="AF6" s="36">
        <f t="shared" ref="AF6:AF12" si="0">AE6/AD6</f>
        <v>1.0000000000000002</v>
      </c>
      <c r="AG6" s="551"/>
      <c r="AH6" s="27"/>
      <c r="AI6" s="27"/>
      <c r="AJ6" s="411"/>
    </row>
    <row r="7" spans="1:36">
      <c r="B7" s="1200"/>
      <c r="C7" s="60"/>
      <c r="D7" s="647" t="s">
        <v>187</v>
      </c>
      <c r="E7" s="755">
        <v>16</v>
      </c>
      <c r="F7" s="993">
        <v>3.7179684000000006</v>
      </c>
      <c r="G7" s="993">
        <v>1.3074962130685717</v>
      </c>
      <c r="H7" s="756">
        <f t="shared" ref="H7:H12" si="1">G7/F7</f>
        <v>0.35166953357338149</v>
      </c>
      <c r="I7" s="755">
        <v>18</v>
      </c>
      <c r="J7" s="993">
        <v>3.7090613999999995</v>
      </c>
      <c r="K7" s="993">
        <v>1.2591850949999999</v>
      </c>
      <c r="L7" s="756">
        <f t="shared" ref="L7:L12" si="2">K7/J7</f>
        <v>0.33948887850710696</v>
      </c>
      <c r="M7" s="878">
        <v>26</v>
      </c>
      <c r="N7" s="417">
        <v>3.6999861365891369</v>
      </c>
      <c r="O7" s="417">
        <v>3.697980532615385</v>
      </c>
      <c r="P7" s="756">
        <f t="shared" ref="P7:P12" si="3">O7/N7</f>
        <v>0.99945794284094247</v>
      </c>
      <c r="Q7" s="369">
        <v>30</v>
      </c>
      <c r="R7" s="25">
        <v>3.8404667060489146</v>
      </c>
      <c r="S7" s="25">
        <v>3.8321673219000001</v>
      </c>
      <c r="T7" s="1060">
        <v>0.9978389646925353</v>
      </c>
      <c r="U7" s="369">
        <v>33</v>
      </c>
      <c r="V7" s="25">
        <v>3.9412095412529444</v>
      </c>
      <c r="W7" s="25">
        <v>3.7072391040000001</v>
      </c>
      <c r="X7" s="36">
        <f t="shared" ref="X7:X12" si="4">W7/V7</f>
        <v>0.94063486480382286</v>
      </c>
      <c r="Y7" s="369">
        <v>25</v>
      </c>
      <c r="Z7" s="25">
        <v>4.011034900005507</v>
      </c>
      <c r="AA7" s="25">
        <v>3.8984828580000004</v>
      </c>
      <c r="AB7" s="36">
        <f t="shared" ref="AB7:AB12" si="5">AA7/Z7</f>
        <v>0.97193940097470799</v>
      </c>
      <c r="AC7" s="369">
        <v>27</v>
      </c>
      <c r="AD7" s="25">
        <v>4.0981180646494977</v>
      </c>
      <c r="AE7" s="25">
        <v>1.5305622840000037</v>
      </c>
      <c r="AF7" s="36">
        <f t="shared" si="0"/>
        <v>0.37347930436721299</v>
      </c>
      <c r="AG7" s="551"/>
      <c r="AH7" s="27"/>
      <c r="AI7" s="27"/>
      <c r="AJ7" s="411"/>
    </row>
    <row r="8" spans="1:36">
      <c r="B8" s="1200"/>
      <c r="C8" s="60"/>
      <c r="D8" s="647" t="s">
        <v>1410</v>
      </c>
      <c r="E8" s="755">
        <v>14</v>
      </c>
      <c r="F8" s="993">
        <v>6.8025340000000005</v>
      </c>
      <c r="G8" s="993">
        <v>1.534576988</v>
      </c>
      <c r="H8" s="756">
        <f t="shared" si="1"/>
        <v>0.22558902138526613</v>
      </c>
      <c r="I8" s="755">
        <v>22</v>
      </c>
      <c r="J8" s="993">
        <v>7.0513690000000002</v>
      </c>
      <c r="K8" s="993">
        <v>5.0609080229999996</v>
      </c>
      <c r="L8" s="756">
        <f t="shared" si="2"/>
        <v>0.71771992403177309</v>
      </c>
      <c r="M8" s="878">
        <v>23</v>
      </c>
      <c r="N8" s="417">
        <v>7.211238998225773</v>
      </c>
      <c r="O8" s="417">
        <v>6.2045499999999993</v>
      </c>
      <c r="P8" s="756">
        <f t="shared" si="3"/>
        <v>0.86039999527495126</v>
      </c>
      <c r="Q8" s="369">
        <v>28</v>
      </c>
      <c r="R8" s="25">
        <v>7.5293910495780096</v>
      </c>
      <c r="S8" s="25">
        <v>4.1079600000000003</v>
      </c>
      <c r="T8" s="1060">
        <v>0.54558993854227211</v>
      </c>
      <c r="U8" s="369">
        <v>28</v>
      </c>
      <c r="V8" s="25">
        <v>7.9054244574777739</v>
      </c>
      <c r="W8" s="25">
        <v>6.1214427000000011</v>
      </c>
      <c r="X8" s="36">
        <f t="shared" si="4"/>
        <v>0.77433447538793476</v>
      </c>
      <c r="Y8" s="369">
        <v>26</v>
      </c>
      <c r="Z8" s="25">
        <v>7.8930327729437151</v>
      </c>
      <c r="AA8" s="25">
        <v>4.8146849999999999</v>
      </c>
      <c r="AB8" s="36">
        <f>AA8/Z8</f>
        <v>0.60999176596657634</v>
      </c>
      <c r="AC8" s="369">
        <v>21</v>
      </c>
      <c r="AD8" s="25">
        <v>7.829581639050895</v>
      </c>
      <c r="AE8" s="25">
        <v>5.6327589000000007</v>
      </c>
      <c r="AF8" s="36">
        <f t="shared" si="0"/>
        <v>0.71942016312927881</v>
      </c>
      <c r="AG8" s="551"/>
      <c r="AH8" s="27"/>
      <c r="AI8" s="27"/>
      <c r="AJ8" s="411"/>
    </row>
    <row r="9" spans="1:36">
      <c r="B9" s="1200"/>
      <c r="C9" s="60"/>
      <c r="D9" s="647" t="s">
        <v>188</v>
      </c>
      <c r="E9" s="755">
        <v>31</v>
      </c>
      <c r="F9" s="993">
        <v>5.9035350000000006</v>
      </c>
      <c r="G9" s="993">
        <v>2.4701726699999975</v>
      </c>
      <c r="H9" s="756">
        <f t="shared" si="1"/>
        <v>0.41842263491281023</v>
      </c>
      <c r="I9" s="755">
        <v>24</v>
      </c>
      <c r="J9" s="993">
        <v>6.1354335000000004</v>
      </c>
      <c r="K9" s="993">
        <v>4.5238989289999996</v>
      </c>
      <c r="L9" s="756">
        <f t="shared" si="2"/>
        <v>0.73733973793375795</v>
      </c>
      <c r="M9" s="878">
        <v>33</v>
      </c>
      <c r="N9" s="417">
        <v>5.9419705926340018</v>
      </c>
      <c r="O9" s="417">
        <v>5.4735711236300091</v>
      </c>
      <c r="P9" s="756">
        <f t="shared" si="3"/>
        <v>0.92117102202009438</v>
      </c>
      <c r="Q9" s="369">
        <v>30</v>
      </c>
      <c r="R9" s="25">
        <v>6.6303937705722218</v>
      </c>
      <c r="S9" s="25">
        <v>5.0025993750000008</v>
      </c>
      <c r="T9" s="1060">
        <v>0.75449506441127434</v>
      </c>
      <c r="U9" s="369">
        <v>34</v>
      </c>
      <c r="V9" s="25">
        <v>7.2305252486193456</v>
      </c>
      <c r="W9" s="25">
        <v>6.6908450429999995</v>
      </c>
      <c r="X9" s="36">
        <f t="shared" si="4"/>
        <v>0.92536085732880924</v>
      </c>
      <c r="Y9" s="369">
        <v>43</v>
      </c>
      <c r="Z9" s="25">
        <v>7.4839245804330519</v>
      </c>
      <c r="AA9" s="25">
        <v>6.9915946410000007</v>
      </c>
      <c r="AB9" s="36">
        <f t="shared" si="5"/>
        <v>0.93421500522329382</v>
      </c>
      <c r="AC9" s="369">
        <v>36</v>
      </c>
      <c r="AD9" s="25">
        <v>7.3656590086089615</v>
      </c>
      <c r="AE9" s="25">
        <v>7.0783893179999993</v>
      </c>
      <c r="AF9" s="36">
        <f t="shared" si="0"/>
        <v>0.96099877956973001</v>
      </c>
      <c r="AG9" s="551"/>
      <c r="AH9" s="27"/>
      <c r="AI9" s="27"/>
      <c r="AJ9" s="411"/>
    </row>
    <row r="10" spans="1:36">
      <c r="B10" s="1200"/>
      <c r="C10" s="60"/>
      <c r="D10" s="647" t="s">
        <v>189</v>
      </c>
      <c r="E10" s="755">
        <v>21</v>
      </c>
      <c r="F10" s="993">
        <v>3.4780890000000007</v>
      </c>
      <c r="G10" s="993">
        <v>3.0739000000000001</v>
      </c>
      <c r="H10" s="756">
        <f t="shared" si="1"/>
        <v>0.88378992026943515</v>
      </c>
      <c r="I10" s="755">
        <v>22</v>
      </c>
      <c r="J10" s="993">
        <v>3.5526754386418022</v>
      </c>
      <c r="K10" s="993">
        <v>3.0411999999999999</v>
      </c>
      <c r="L10" s="756">
        <f t="shared" si="2"/>
        <v>0.85603091318768465</v>
      </c>
      <c r="M10" s="878">
        <v>31</v>
      </c>
      <c r="N10" s="417">
        <v>3.5423633329251767</v>
      </c>
      <c r="O10" s="417">
        <v>2.0510999999999999</v>
      </c>
      <c r="P10" s="756">
        <f t="shared" si="3"/>
        <v>0.57902022103030959</v>
      </c>
      <c r="Q10" s="369">
        <v>28</v>
      </c>
      <c r="R10" s="25">
        <v>3.6614271400511145</v>
      </c>
      <c r="S10" s="25">
        <v>2.9422864640130308</v>
      </c>
      <c r="T10" s="1060">
        <v>0.80359006241810826</v>
      </c>
      <c r="U10" s="369">
        <v>32</v>
      </c>
      <c r="V10" s="25">
        <v>3.8183881262529131</v>
      </c>
      <c r="W10" s="25">
        <v>3.3942822703489144</v>
      </c>
      <c r="X10" s="36">
        <f t="shared" si="4"/>
        <v>0.88893065820415029</v>
      </c>
      <c r="Y10" s="369">
        <v>41</v>
      </c>
      <c r="Z10" s="25">
        <v>3.9828808307849521</v>
      </c>
      <c r="AA10" s="25">
        <v>3.7805757778738642</v>
      </c>
      <c r="AB10" s="36">
        <f t="shared" si="5"/>
        <v>0.94920635050202662</v>
      </c>
      <c r="AC10" s="369">
        <v>29</v>
      </c>
      <c r="AD10" s="25">
        <v>3.9715070325374486</v>
      </c>
      <c r="AE10" s="25">
        <v>3.9715070325374491</v>
      </c>
      <c r="AF10" s="36">
        <f t="shared" si="0"/>
        <v>1.0000000000000002</v>
      </c>
      <c r="AG10" s="551"/>
      <c r="AH10" s="27"/>
      <c r="AI10" s="27"/>
      <c r="AJ10" s="411"/>
    </row>
    <row r="11" spans="1:36">
      <c r="B11" s="1200"/>
      <c r="C11" s="60"/>
      <c r="D11" s="647" t="s">
        <v>190</v>
      </c>
      <c r="E11" s="755">
        <v>35</v>
      </c>
      <c r="F11" s="993">
        <v>3.7947169999999999</v>
      </c>
      <c r="G11" s="993">
        <v>3.0855776808598225</v>
      </c>
      <c r="H11" s="756">
        <f t="shared" si="1"/>
        <v>0.81312458369354623</v>
      </c>
      <c r="I11" s="755">
        <v>31</v>
      </c>
      <c r="J11" s="993">
        <v>3.8070794999999999</v>
      </c>
      <c r="K11" s="993">
        <v>2.7904497170000004</v>
      </c>
      <c r="L11" s="756">
        <f t="shared" si="2"/>
        <v>0.73296334289840825</v>
      </c>
      <c r="M11" s="878">
        <v>28</v>
      </c>
      <c r="N11" s="417">
        <v>3.7599204290877419</v>
      </c>
      <c r="O11" s="417">
        <v>1.8137506980000007</v>
      </c>
      <c r="P11" s="756">
        <f t="shared" si="3"/>
        <v>0.482390713369449</v>
      </c>
      <c r="Q11" s="369">
        <v>37</v>
      </c>
      <c r="R11" s="25">
        <v>4.0835444525960796</v>
      </c>
      <c r="S11" s="25">
        <v>2.308242237841228</v>
      </c>
      <c r="T11" s="1060">
        <v>0.56525458817370833</v>
      </c>
      <c r="U11" s="369">
        <v>35</v>
      </c>
      <c r="V11" s="25">
        <v>4.1720354052157651</v>
      </c>
      <c r="W11" s="25">
        <v>1.9614572909999999</v>
      </c>
      <c r="X11" s="36">
        <f t="shared" si="4"/>
        <v>0.47014397062590585</v>
      </c>
      <c r="Y11" s="369">
        <v>25</v>
      </c>
      <c r="Z11" s="25">
        <v>4.2503277684792939</v>
      </c>
      <c r="AA11" s="25">
        <v>2.8057185990000004</v>
      </c>
      <c r="AB11" s="36">
        <f t="shared" si="5"/>
        <v>0.66011817248716476</v>
      </c>
      <c r="AC11" s="369">
        <v>22</v>
      </c>
      <c r="AD11" s="25">
        <v>4.6672482468066203</v>
      </c>
      <c r="AE11" s="25">
        <v>3.3196815000000002</v>
      </c>
      <c r="AF11" s="36">
        <f t="shared" si="0"/>
        <v>0.71127167968221117</v>
      </c>
      <c r="AG11" s="551"/>
      <c r="AH11" s="27"/>
      <c r="AI11" s="27"/>
      <c r="AJ11" s="411"/>
    </row>
    <row r="12" spans="1:36" ht="12" thickBot="1">
      <c r="B12" s="1200"/>
      <c r="C12" s="60"/>
      <c r="D12" s="408" t="s">
        <v>174</v>
      </c>
      <c r="E12" s="757">
        <v>128</v>
      </c>
      <c r="F12" s="994">
        <f>SUM(F6:F11)</f>
        <v>26.521945400000003</v>
      </c>
      <c r="G12" s="994">
        <f>SUM(G6:G11)</f>
        <v>13.997102196308491</v>
      </c>
      <c r="H12" s="758">
        <f t="shared" si="1"/>
        <v>0.52775548645494497</v>
      </c>
      <c r="I12" s="757">
        <f>SUM(I6:I11)</f>
        <v>135</v>
      </c>
      <c r="J12" s="994">
        <f>SUM(J6:J11)</f>
        <v>27.121555156007762</v>
      </c>
      <c r="K12" s="994">
        <f>SUM(K6:K11)</f>
        <v>19.540624034481734</v>
      </c>
      <c r="L12" s="758">
        <f t="shared" si="2"/>
        <v>0.72048317001295714</v>
      </c>
      <c r="M12" s="879">
        <f>SUM(M6:M11)</f>
        <v>154</v>
      </c>
      <c r="N12" s="995">
        <f>SUM(N6:N11)</f>
        <v>26.884516368797911</v>
      </c>
      <c r="O12" s="995">
        <f>SUM(O6:O11)</f>
        <v>21.969989233581472</v>
      </c>
      <c r="P12" s="876">
        <f t="shared" si="3"/>
        <v>0.817198603545637</v>
      </c>
      <c r="Q12" s="942">
        <f>SUM(Q6:Q11)</f>
        <v>168</v>
      </c>
      <c r="R12" s="402">
        <f>SUM(R6:R11)</f>
        <v>28.537883244248061</v>
      </c>
      <c r="S12" s="402">
        <f>SUM(S6:S11)</f>
        <v>20.985915524155981</v>
      </c>
      <c r="T12" s="1061">
        <f>S12/R12</f>
        <v>0.7353704318061427</v>
      </c>
      <c r="U12" s="985">
        <f>SUM(U6:U11)</f>
        <v>172</v>
      </c>
      <c r="V12" s="402">
        <f>SUM(V6:V11)</f>
        <v>29.93985193777738</v>
      </c>
      <c r="W12" s="402">
        <f>SUM(W6:W11)</f>
        <v>24.747535567307551</v>
      </c>
      <c r="X12" s="1062">
        <f t="shared" si="4"/>
        <v>0.82657508189216222</v>
      </c>
      <c r="Y12" s="985">
        <f>SUM(Y6:Y11)</f>
        <v>168</v>
      </c>
      <c r="Z12" s="402">
        <f>SUM(Z6:Z11)</f>
        <v>30.53459631190832</v>
      </c>
      <c r="AA12" s="402">
        <f>SUM(AA6:AA11)</f>
        <v>25.204452335135663</v>
      </c>
      <c r="AB12" s="36">
        <f t="shared" si="5"/>
        <v>0.82543918634699842</v>
      </c>
      <c r="AC12" s="1085">
        <f>SUM(AC6:AC11)</f>
        <v>147</v>
      </c>
      <c r="AD12" s="992">
        <f>SUM(AD6:AD11)</f>
        <v>30.82185325732415</v>
      </c>
      <c r="AE12" s="402">
        <f>SUM(AE6:AE11)</f>
        <v>24.422638300208181</v>
      </c>
      <c r="AF12" s="36">
        <f t="shared" si="0"/>
        <v>0.79238059101474267</v>
      </c>
      <c r="AG12" s="552"/>
      <c r="AH12" s="404"/>
      <c r="AI12" s="404"/>
      <c r="AJ12" s="412"/>
    </row>
    <row r="13" spans="1:36" customFormat="1" ht="14.5"/>
    <row r="14" spans="1:36" ht="14.5">
      <c r="C14" s="60"/>
      <c r="M14" s="1125"/>
      <c r="O14"/>
      <c r="Y14"/>
      <c r="AD14"/>
    </row>
    <row r="15" spans="1:36" ht="14.5">
      <c r="B15" s="1200" t="s">
        <v>537</v>
      </c>
      <c r="C15" s="60"/>
      <c r="D15" s="16" t="s">
        <v>538</v>
      </c>
      <c r="O15"/>
    </row>
    <row r="16" spans="1:36" ht="15" thickBot="1">
      <c r="B16" s="1200"/>
      <c r="D16" s="1" t="s">
        <v>137</v>
      </c>
      <c r="O16"/>
      <c r="R16" s="1119"/>
    </row>
    <row r="17" spans="2:31" ht="23">
      <c r="B17" s="1200"/>
      <c r="C17" s="60"/>
      <c r="D17" s="414" t="s">
        <v>539</v>
      </c>
      <c r="E17" s="179" t="s">
        <v>540</v>
      </c>
      <c r="F17" s="179" t="s">
        <v>2</v>
      </c>
      <c r="G17" s="179" t="s">
        <v>541</v>
      </c>
      <c r="H17" s="179" t="s">
        <v>542</v>
      </c>
      <c r="I17" s="415" t="s">
        <v>543</v>
      </c>
      <c r="AE17"/>
    </row>
    <row r="18" spans="2:31" ht="58.5">
      <c r="B18" s="1200"/>
      <c r="C18" s="60"/>
      <c r="D18" s="759" t="s">
        <v>544</v>
      </c>
      <c r="E18" s="99" t="s">
        <v>161</v>
      </c>
      <c r="F18" s="99" t="s">
        <v>545</v>
      </c>
      <c r="G18" s="389">
        <v>5.703399497491632</v>
      </c>
      <c r="H18" s="389">
        <v>6.6055282502936352</v>
      </c>
      <c r="I18" s="760">
        <v>2020</v>
      </c>
      <c r="AE18"/>
    </row>
    <row r="19" spans="2:31" ht="82" thickBot="1">
      <c r="B19" s="1200"/>
      <c r="C19" s="60"/>
      <c r="D19" s="761" t="s">
        <v>546</v>
      </c>
      <c r="E19" s="762" t="s">
        <v>547</v>
      </c>
      <c r="F19" s="762" t="s">
        <v>548</v>
      </c>
      <c r="G19" s="763">
        <v>15.775594256718268</v>
      </c>
      <c r="H19" s="763">
        <v>17.559641001746382</v>
      </c>
      <c r="I19" s="764">
        <v>2020</v>
      </c>
      <c r="AE19"/>
    </row>
    <row r="20" spans="2:31">
      <c r="B20" s="1200"/>
      <c r="C20" s="60"/>
      <c r="D20" s="2" t="s">
        <v>549</v>
      </c>
    </row>
    <row r="21" spans="2:31">
      <c r="B21" s="1200"/>
      <c r="C21" s="60"/>
      <c r="D21" s="1"/>
    </row>
    <row r="22" spans="2:31" ht="12" thickBot="1">
      <c r="B22" s="1200"/>
      <c r="C22" s="60"/>
      <c r="D22" s="1" t="s">
        <v>138</v>
      </c>
    </row>
    <row r="23" spans="2:31" ht="23">
      <c r="B23" s="1200"/>
      <c r="C23" s="60"/>
      <c r="D23" s="414" t="s">
        <v>539</v>
      </c>
      <c r="E23" s="179" t="s">
        <v>540</v>
      </c>
      <c r="F23" s="179" t="s">
        <v>2</v>
      </c>
      <c r="G23" s="179" t="s">
        <v>541</v>
      </c>
      <c r="H23" s="179" t="s">
        <v>542</v>
      </c>
      <c r="I23" s="415" t="s">
        <v>543</v>
      </c>
    </row>
    <row r="24" spans="2:31" ht="57.5">
      <c r="B24" s="1200"/>
      <c r="C24" s="60"/>
      <c r="D24" s="759" t="s">
        <v>550</v>
      </c>
      <c r="E24" s="99" t="s">
        <v>1412</v>
      </c>
      <c r="F24" s="99" t="s">
        <v>551</v>
      </c>
      <c r="G24" s="389">
        <v>5.7003632312724557</v>
      </c>
      <c r="H24" s="389">
        <v>6.9376566703900489</v>
      </c>
      <c r="I24" s="760">
        <v>2020</v>
      </c>
    </row>
    <row r="25" spans="2:31" ht="35" thickBot="1">
      <c r="B25" s="1200"/>
      <c r="C25" s="60"/>
      <c r="D25" s="761" t="s">
        <v>552</v>
      </c>
      <c r="E25" s="762" t="s">
        <v>553</v>
      </c>
      <c r="F25" s="762" t="s">
        <v>554</v>
      </c>
      <c r="G25" s="763">
        <v>5.3948925006995463</v>
      </c>
      <c r="H25" s="763">
        <v>7.2669683670963652</v>
      </c>
      <c r="I25" s="764">
        <v>2021</v>
      </c>
    </row>
    <row r="26" spans="2:31">
      <c r="B26" s="1200"/>
      <c r="C26" s="60"/>
      <c r="D26" s="2" t="s">
        <v>555</v>
      </c>
    </row>
    <row r="27" spans="2:31">
      <c r="B27" s="1200"/>
      <c r="C27" s="60"/>
    </row>
    <row r="28" spans="2:31" ht="12" thickBot="1">
      <c r="B28" s="1200"/>
      <c r="C28" s="60"/>
      <c r="D28" s="149" t="s">
        <v>139</v>
      </c>
    </row>
    <row r="29" spans="2:31" ht="23">
      <c r="B29" s="1200"/>
      <c r="C29" s="60"/>
      <c r="D29" s="414" t="s">
        <v>539</v>
      </c>
      <c r="E29" s="179" t="s">
        <v>540</v>
      </c>
      <c r="F29" s="179" t="s">
        <v>2</v>
      </c>
      <c r="G29" s="179" t="s">
        <v>541</v>
      </c>
      <c r="H29" s="179" t="s">
        <v>542</v>
      </c>
      <c r="I29" s="415" t="s">
        <v>543</v>
      </c>
    </row>
    <row r="30" spans="2:31" ht="46">
      <c r="B30" s="1200"/>
      <c r="C30" s="60"/>
      <c r="D30" s="759" t="s">
        <v>556</v>
      </c>
      <c r="E30" s="759" t="s">
        <v>553</v>
      </c>
      <c r="F30" s="759" t="s">
        <v>557</v>
      </c>
      <c r="G30" s="853">
        <v>15.658339671526473</v>
      </c>
      <c r="H30" s="853">
        <v>20.71069957005351</v>
      </c>
      <c r="I30" s="759">
        <v>2021</v>
      </c>
    </row>
    <row r="31" spans="2:31" ht="34.5">
      <c r="B31" s="1200"/>
      <c r="C31" s="60"/>
      <c r="D31" s="759" t="s">
        <v>558</v>
      </c>
      <c r="E31" s="759" t="s">
        <v>559</v>
      </c>
      <c r="F31" s="759" t="s">
        <v>560</v>
      </c>
      <c r="G31" s="853">
        <v>8.2513986999573525</v>
      </c>
      <c r="H31" s="853">
        <v>9.3891800033048245</v>
      </c>
      <c r="I31" s="759">
        <v>2022</v>
      </c>
    </row>
    <row r="32" spans="2:31" ht="57.5">
      <c r="B32" s="1200"/>
      <c r="C32" s="60"/>
      <c r="D32" s="759" t="s">
        <v>561</v>
      </c>
      <c r="E32" s="759" t="s">
        <v>1411</v>
      </c>
      <c r="F32" s="759" t="s">
        <v>562</v>
      </c>
      <c r="G32" s="853">
        <v>3.3307575404523764</v>
      </c>
      <c r="H32" s="853">
        <v>4.8802282650923212</v>
      </c>
      <c r="I32" s="759">
        <v>2020</v>
      </c>
    </row>
    <row r="33" spans="2:11" ht="46">
      <c r="B33" s="1200"/>
      <c r="C33" s="60"/>
      <c r="D33" s="759" t="s">
        <v>563</v>
      </c>
      <c r="E33" s="759" t="s">
        <v>564</v>
      </c>
      <c r="F33" s="759" t="s">
        <v>565</v>
      </c>
      <c r="G33" s="853">
        <f>13.1*'Guide &amp; drivers'!J27</f>
        <v>14.827491378934042</v>
      </c>
      <c r="H33" s="853">
        <v>16.628131122678518</v>
      </c>
      <c r="I33" s="759">
        <v>2021</v>
      </c>
    </row>
    <row r="34" spans="2:11" ht="57.5">
      <c r="B34" s="1200"/>
      <c r="C34" s="60"/>
      <c r="D34" s="759" t="s">
        <v>566</v>
      </c>
      <c r="E34" s="759" t="s">
        <v>559</v>
      </c>
      <c r="F34" s="854" t="s">
        <v>567</v>
      </c>
      <c r="G34" s="853">
        <v>5.992474511384172</v>
      </c>
      <c r="H34" s="853">
        <v>6.7582177581140135</v>
      </c>
      <c r="I34" s="759">
        <v>2022</v>
      </c>
    </row>
    <row r="35" spans="2:11">
      <c r="B35" s="1200"/>
      <c r="C35" s="60"/>
      <c r="D35" s="2" t="s">
        <v>568</v>
      </c>
    </row>
    <row r="36" spans="2:11">
      <c r="B36" s="1200"/>
      <c r="C36" s="60"/>
    </row>
    <row r="37" spans="2:11" ht="12" thickBot="1">
      <c r="B37" s="1200"/>
      <c r="C37" s="60"/>
      <c r="D37" s="149" t="s">
        <v>140</v>
      </c>
    </row>
    <row r="38" spans="2:11" ht="23">
      <c r="B38" s="1200"/>
      <c r="C38" s="60"/>
      <c r="D38" s="414" t="s">
        <v>539</v>
      </c>
      <c r="E38" s="179" t="s">
        <v>540</v>
      </c>
      <c r="F38" s="179" t="s">
        <v>2</v>
      </c>
      <c r="G38" s="179" t="s">
        <v>541</v>
      </c>
      <c r="H38" s="179" t="s">
        <v>542</v>
      </c>
      <c r="I38" s="415" t="s">
        <v>543</v>
      </c>
      <c r="K38" s="7"/>
    </row>
    <row r="39" spans="2:11" ht="126.5">
      <c r="B39" s="1200"/>
      <c r="C39" s="60"/>
      <c r="D39" s="759" t="s">
        <v>569</v>
      </c>
      <c r="E39" s="99" t="s">
        <v>547</v>
      </c>
      <c r="F39" s="99" t="s">
        <v>570</v>
      </c>
      <c r="G39" s="389">
        <f>6.85*'Guide &amp; drivers'!J28</f>
        <v>7.5234232707865658</v>
      </c>
      <c r="H39" s="389">
        <f>8.4*'Guide &amp; drivers'!J28</f>
        <v>9.2258037189207531</v>
      </c>
      <c r="I39" s="760">
        <v>2021</v>
      </c>
    </row>
    <row r="40" spans="2:11" ht="69.5" thickBot="1">
      <c r="B40" s="1200"/>
      <c r="C40" s="60"/>
      <c r="D40" s="761" t="s">
        <v>571</v>
      </c>
      <c r="E40" s="762" t="s">
        <v>553</v>
      </c>
      <c r="F40" s="762" t="s">
        <v>572</v>
      </c>
      <c r="G40" s="1057">
        <f>16.4*'Guide &amp; drivers'!J28</f>
        <v>18.012283451226228</v>
      </c>
      <c r="H40" s="763">
        <f>34.5*'Guide &amp; drivers'!J28</f>
        <v>37.891693845567374</v>
      </c>
      <c r="I40" s="760">
        <v>2021</v>
      </c>
    </row>
    <row r="41" spans="2:11" s="923" customFormat="1">
      <c r="B41" s="1200"/>
      <c r="C41" s="924"/>
      <c r="D41" s="2" t="s">
        <v>573</v>
      </c>
      <c r="E41" s="2"/>
      <c r="F41" s="2"/>
      <c r="G41" s="2"/>
      <c r="H41" s="2"/>
      <c r="I41" s="2"/>
    </row>
    <row r="42" spans="2:11">
      <c r="B42" s="1200"/>
      <c r="C42" s="60"/>
    </row>
    <row r="43" spans="2:11" ht="12" thickBot="1">
      <c r="B43" s="1200"/>
      <c r="C43" s="60"/>
      <c r="D43" s="149" t="s">
        <v>141</v>
      </c>
    </row>
    <row r="44" spans="2:11" ht="23">
      <c r="B44" s="1200"/>
      <c r="C44" s="60"/>
      <c r="D44" s="414" t="s">
        <v>539</v>
      </c>
      <c r="E44" s="179" t="s">
        <v>540</v>
      </c>
      <c r="F44" s="179" t="s">
        <v>2</v>
      </c>
      <c r="G44" s="179" t="s">
        <v>541</v>
      </c>
      <c r="H44" s="179" t="s">
        <v>542</v>
      </c>
      <c r="I44" s="415" t="s">
        <v>543</v>
      </c>
    </row>
    <row r="45" spans="2:11" ht="180" customHeight="1">
      <c r="B45" s="1200"/>
      <c r="C45" s="60"/>
      <c r="D45" s="759" t="s">
        <v>574</v>
      </c>
      <c r="E45" s="99" t="s">
        <v>1411</v>
      </c>
      <c r="F45" s="99" t="s">
        <v>575</v>
      </c>
      <c r="G45" s="389">
        <f>4.7*'Guide &amp; drivers'!J29</f>
        <v>5.031798570062139</v>
      </c>
      <c r="H45" s="389">
        <f>5.59*'Guide &amp; drivers'!J29</f>
        <v>5.9846285120526295</v>
      </c>
      <c r="I45" s="760">
        <v>2023</v>
      </c>
    </row>
    <row r="46" spans="2:11" ht="138.75" customHeight="1">
      <c r="B46" s="1200"/>
      <c r="C46" s="60"/>
      <c r="D46" s="759" t="s">
        <v>576</v>
      </c>
      <c r="E46" s="99" t="s">
        <v>577</v>
      </c>
      <c r="F46" s="99" t="s">
        <v>578</v>
      </c>
      <c r="G46" s="389">
        <f>9.7*'Guide &amp; drivers'!J29</f>
        <v>10.384775772255903</v>
      </c>
      <c r="H46" s="389">
        <f>10.76*'Guide &amp; drivers'!J29</f>
        <v>11.519606939120981</v>
      </c>
      <c r="I46" s="760">
        <v>2024</v>
      </c>
    </row>
    <row r="47" spans="2:11">
      <c r="B47" s="1200"/>
      <c r="C47" s="60"/>
    </row>
    <row r="48" spans="2:11" ht="12" thickBot="1">
      <c r="B48" s="1200"/>
      <c r="C48" s="60"/>
      <c r="D48" s="149" t="s">
        <v>126</v>
      </c>
    </row>
    <row r="49" spans="2:9" ht="23">
      <c r="B49" s="1200"/>
      <c r="C49" s="60"/>
      <c r="D49" s="414" t="s">
        <v>539</v>
      </c>
      <c r="E49" s="179" t="s">
        <v>540</v>
      </c>
      <c r="F49" s="179" t="s">
        <v>2</v>
      </c>
      <c r="G49" s="179" t="s">
        <v>541</v>
      </c>
      <c r="H49" s="179" t="s">
        <v>542</v>
      </c>
      <c r="I49" s="415" t="s">
        <v>543</v>
      </c>
    </row>
    <row r="50" spans="2:9" ht="149.5">
      <c r="B50" s="1200"/>
      <c r="C50" s="60"/>
      <c r="D50" s="759" t="s">
        <v>579</v>
      </c>
      <c r="E50" s="99" t="s">
        <v>188</v>
      </c>
      <c r="F50" s="99" t="s">
        <v>580</v>
      </c>
      <c r="G50" s="999">
        <v>14.38</v>
      </c>
      <c r="H50" s="999">
        <v>17.57</v>
      </c>
      <c r="I50" s="760">
        <v>2025</v>
      </c>
    </row>
    <row r="51" spans="2:9" ht="207">
      <c r="B51" s="1200"/>
      <c r="C51" s="60"/>
      <c r="D51" s="759" t="s">
        <v>581</v>
      </c>
      <c r="E51" s="99" t="s">
        <v>161</v>
      </c>
      <c r="F51" s="99" t="s">
        <v>582</v>
      </c>
      <c r="G51" s="999">
        <v>7.95</v>
      </c>
      <c r="H51" s="99">
        <v>9.67</v>
      </c>
      <c r="I51" s="760">
        <v>2024</v>
      </c>
    </row>
    <row r="52" spans="2:9" ht="14.5">
      <c r="B52" s="1200"/>
      <c r="C52" s="60"/>
      <c r="D52" s="1000" t="s">
        <v>583</v>
      </c>
    </row>
    <row r="53" spans="2:9" ht="12" thickBot="1">
      <c r="B53" s="1200"/>
      <c r="C53" s="60"/>
      <c r="D53" s="149" t="s">
        <v>142</v>
      </c>
    </row>
    <row r="54" spans="2:9" ht="23">
      <c r="B54" s="1200"/>
      <c r="C54" s="60"/>
      <c r="D54" s="414" t="s">
        <v>539</v>
      </c>
      <c r="E54" s="179" t="s">
        <v>540</v>
      </c>
      <c r="F54" s="179" t="s">
        <v>2</v>
      </c>
      <c r="G54" s="179" t="s">
        <v>541</v>
      </c>
      <c r="H54" s="179" t="s">
        <v>542</v>
      </c>
      <c r="I54" s="415" t="s">
        <v>543</v>
      </c>
    </row>
    <row r="55" spans="2:9" ht="172.5">
      <c r="B55" s="1200"/>
      <c r="C55" s="60"/>
      <c r="D55" s="759" t="s">
        <v>1370</v>
      </c>
      <c r="E55" s="99" t="s">
        <v>1410</v>
      </c>
      <c r="F55" s="99" t="s">
        <v>1371</v>
      </c>
      <c r="G55" s="999">
        <v>6.98</v>
      </c>
      <c r="H55" s="999">
        <v>15.38</v>
      </c>
      <c r="I55" s="760">
        <v>2025</v>
      </c>
    </row>
    <row r="56" spans="2:9" ht="294" customHeight="1">
      <c r="B56" s="1200"/>
      <c r="C56" s="60"/>
      <c r="D56" s="1096" t="s">
        <v>1372</v>
      </c>
      <c r="E56" s="1097" t="s">
        <v>161</v>
      </c>
      <c r="F56" s="1097" t="s">
        <v>1374</v>
      </c>
      <c r="G56" s="1098">
        <v>6.79</v>
      </c>
      <c r="H56" s="1098">
        <f>6.79+0.85+0.67</f>
        <v>8.31</v>
      </c>
      <c r="I56" s="1099">
        <v>2026</v>
      </c>
    </row>
    <row r="57" spans="2:9">
      <c r="B57" s="1200"/>
      <c r="C57" s="60"/>
      <c r="D57" s="2" t="s">
        <v>1369</v>
      </c>
    </row>
    <row r="58" spans="2:9" ht="12" thickBot="1">
      <c r="B58" s="1200"/>
      <c r="C58" s="60"/>
      <c r="D58" s="149" t="s">
        <v>143</v>
      </c>
    </row>
    <row r="59" spans="2:9" ht="23">
      <c r="B59" s="1200"/>
      <c r="D59" s="414" t="s">
        <v>539</v>
      </c>
      <c r="E59" s="179" t="s">
        <v>540</v>
      </c>
      <c r="F59" s="179" t="s">
        <v>2</v>
      </c>
      <c r="G59" s="179" t="s">
        <v>541</v>
      </c>
      <c r="H59" s="179" t="s">
        <v>542</v>
      </c>
      <c r="I59" s="415" t="s">
        <v>543</v>
      </c>
    </row>
    <row r="60" spans="2:9">
      <c r="B60" s="1200"/>
      <c r="C60" s="61"/>
      <c r="D60" s="765"/>
      <c r="E60" s="152"/>
      <c r="F60" s="152"/>
      <c r="G60" s="152"/>
      <c r="H60" s="152"/>
      <c r="I60" s="766"/>
    </row>
    <row r="61" spans="2:9" ht="12" thickBot="1">
      <c r="B61" s="1200"/>
      <c r="C61" s="61"/>
      <c r="D61" s="767"/>
      <c r="E61" s="768"/>
      <c r="F61" s="768"/>
      <c r="G61" s="768"/>
      <c r="H61" s="768"/>
      <c r="I61" s="769"/>
    </row>
    <row r="62" spans="2:9">
      <c r="B62" s="1200"/>
      <c r="C62" s="61"/>
    </row>
    <row r="63" spans="2:9" ht="12" thickBot="1">
      <c r="B63" s="1200"/>
      <c r="C63" s="61"/>
      <c r="D63" s="149">
        <v>2023</v>
      </c>
    </row>
    <row r="64" spans="2:9" ht="23">
      <c r="B64" s="1200"/>
      <c r="C64" s="61"/>
      <c r="D64" s="414" t="s">
        <v>539</v>
      </c>
      <c r="E64" s="179" t="s">
        <v>540</v>
      </c>
      <c r="F64" s="179" t="s">
        <v>2</v>
      </c>
      <c r="G64" s="179" t="s">
        <v>541</v>
      </c>
      <c r="H64" s="179" t="s">
        <v>542</v>
      </c>
      <c r="I64" s="415" t="s">
        <v>543</v>
      </c>
    </row>
    <row r="65" spans="2:31">
      <c r="B65" s="1200"/>
      <c r="C65" s="61"/>
      <c r="D65" s="765"/>
      <c r="E65" s="152"/>
      <c r="F65" s="152"/>
      <c r="G65" s="152"/>
      <c r="H65" s="152"/>
      <c r="I65" s="766"/>
    </row>
    <row r="66" spans="2:31" ht="12" thickBot="1">
      <c r="B66" s="1200"/>
      <c r="C66" s="61"/>
      <c r="D66" s="767"/>
      <c r="E66" s="768"/>
      <c r="F66" s="768"/>
      <c r="G66" s="768"/>
      <c r="H66" s="768"/>
      <c r="I66" s="769"/>
    </row>
    <row r="67" spans="2:31">
      <c r="C67" s="61"/>
    </row>
    <row r="68" spans="2:31" s="56" customFormat="1" ht="39" customHeight="1" thickBot="1">
      <c r="B68" s="1200" t="s">
        <v>584</v>
      </c>
      <c r="D68" s="390" t="s">
        <v>1367</v>
      </c>
      <c r="E68" s="391"/>
      <c r="F68" s="391"/>
      <c r="G68" s="391"/>
      <c r="H68" s="391"/>
      <c r="I68" s="391"/>
      <c r="J68" s="391"/>
    </row>
    <row r="69" spans="2:31" s="149" customFormat="1" ht="39" customHeight="1">
      <c r="B69" s="1200"/>
      <c r="D69" s="770" t="s">
        <v>585</v>
      </c>
      <c r="E69" s="771" t="s">
        <v>161</v>
      </c>
      <c r="F69" s="771" t="s">
        <v>187</v>
      </c>
      <c r="G69" s="771" t="s">
        <v>1410</v>
      </c>
      <c r="H69" s="771" t="s">
        <v>188</v>
      </c>
      <c r="I69" s="771" t="s">
        <v>189</v>
      </c>
      <c r="J69" s="772" t="s">
        <v>190</v>
      </c>
      <c r="K69" s="2"/>
      <c r="L69" s="2"/>
      <c r="M69" s="2"/>
      <c r="N69" s="2"/>
      <c r="O69" s="2"/>
      <c r="P69" s="2"/>
      <c r="Q69" s="2"/>
      <c r="R69" s="2"/>
      <c r="S69" s="2"/>
      <c r="T69" s="2"/>
      <c r="U69" s="2"/>
      <c r="V69" s="2"/>
      <c r="W69" s="2"/>
      <c r="X69" s="2"/>
      <c r="Y69" s="2"/>
      <c r="Z69" s="2"/>
      <c r="AA69" s="2"/>
      <c r="AB69" s="2"/>
      <c r="AC69" s="2"/>
      <c r="AD69" s="2"/>
      <c r="AE69" s="2"/>
    </row>
    <row r="70" spans="2:31" ht="158.5" customHeight="1">
      <c r="B70" s="1200"/>
      <c r="D70" s="773" t="s">
        <v>586</v>
      </c>
      <c r="E70" s="392" t="s">
        <v>1375</v>
      </c>
      <c r="F70" s="392" t="s">
        <v>587</v>
      </c>
      <c r="G70" s="392" t="s">
        <v>1399</v>
      </c>
      <c r="H70" s="392" t="s">
        <v>1379</v>
      </c>
      <c r="I70" s="392" t="s">
        <v>1396</v>
      </c>
      <c r="J70" s="774" t="s">
        <v>1418</v>
      </c>
      <c r="K70" s="1094"/>
    </row>
    <row r="71" spans="2:31" ht="39" customHeight="1">
      <c r="B71" s="1200"/>
      <c r="C71" s="60"/>
      <c r="D71" s="773" t="s">
        <v>588</v>
      </c>
      <c r="E71" s="392" t="s">
        <v>1376</v>
      </c>
      <c r="F71" s="392" t="s">
        <v>589</v>
      </c>
      <c r="G71" s="392"/>
      <c r="H71" s="392" t="s">
        <v>1380</v>
      </c>
      <c r="I71" s="392" t="s">
        <v>1390</v>
      </c>
      <c r="J71" s="774"/>
    </row>
    <row r="72" spans="2:31" ht="39" customHeight="1">
      <c r="B72" s="1200"/>
      <c r="C72" s="60"/>
      <c r="D72" s="773" t="s">
        <v>590</v>
      </c>
      <c r="E72" s="392" t="s">
        <v>1377</v>
      </c>
      <c r="F72" s="392" t="s">
        <v>591</v>
      </c>
      <c r="G72" s="392" t="s">
        <v>1400</v>
      </c>
      <c r="H72" s="392" t="s">
        <v>1382</v>
      </c>
      <c r="I72" s="392" t="s">
        <v>1394</v>
      </c>
      <c r="J72" s="774" t="s">
        <v>1398</v>
      </c>
    </row>
    <row r="73" spans="2:31" ht="39" customHeight="1">
      <c r="B73" s="1200"/>
      <c r="C73" s="60"/>
      <c r="D73" s="773" t="s">
        <v>592</v>
      </c>
      <c r="E73" s="392"/>
      <c r="F73" s="392"/>
      <c r="G73" s="392"/>
      <c r="H73" s="392" t="s">
        <v>1381</v>
      </c>
      <c r="I73" s="392"/>
      <c r="J73" s="774" t="s">
        <v>1397</v>
      </c>
    </row>
    <row r="74" spans="2:31" ht="39" customHeight="1">
      <c r="B74" s="1200"/>
      <c r="C74" s="60"/>
      <c r="D74" s="773" t="s">
        <v>593</v>
      </c>
      <c r="E74" s="392"/>
      <c r="F74" s="392" t="s">
        <v>594</v>
      </c>
      <c r="G74" s="392"/>
      <c r="H74" s="392" t="s">
        <v>1383</v>
      </c>
      <c r="I74" s="392" t="s">
        <v>1395</v>
      </c>
      <c r="J74" s="774"/>
    </row>
    <row r="75" spans="2:31" ht="39" customHeight="1">
      <c r="B75" s="1200"/>
      <c r="C75" s="60"/>
      <c r="D75" s="773" t="s">
        <v>595</v>
      </c>
      <c r="E75" s="392"/>
      <c r="F75" s="392" t="s">
        <v>1389</v>
      </c>
      <c r="G75" s="392"/>
      <c r="H75" s="392" t="s">
        <v>1384</v>
      </c>
      <c r="I75" s="392"/>
      <c r="J75" s="774" t="s">
        <v>596</v>
      </c>
    </row>
    <row r="76" spans="2:31" ht="39" customHeight="1" thickBot="1">
      <c r="B76" s="1200"/>
      <c r="C76" s="60"/>
      <c r="D76" s="775" t="s">
        <v>597</v>
      </c>
      <c r="E76" s="776" t="s">
        <v>1378</v>
      </c>
      <c r="F76" s="776" t="s">
        <v>598</v>
      </c>
      <c r="G76" s="776" t="s">
        <v>1401</v>
      </c>
      <c r="H76" s="776" t="s">
        <v>1385</v>
      </c>
      <c r="I76" s="776" t="s">
        <v>1391</v>
      </c>
      <c r="J76" s="777"/>
    </row>
    <row r="77" spans="2:31" ht="39" customHeight="1" thickBot="1">
      <c r="B77" s="1200"/>
      <c r="C77" s="60"/>
      <c r="D77" s="393"/>
      <c r="E77" s="393"/>
      <c r="F77" s="393"/>
      <c r="G77" s="393"/>
      <c r="H77" s="393"/>
      <c r="I77" s="393"/>
      <c r="J77" s="393"/>
    </row>
    <row r="78" spans="2:31" ht="15" thickBot="1">
      <c r="D78" s="778" t="s">
        <v>599</v>
      </c>
      <c r="E78" s="779">
        <v>10</v>
      </c>
      <c r="F78" s="779">
        <v>14</v>
      </c>
      <c r="G78" s="779">
        <v>22</v>
      </c>
      <c r="H78" s="779">
        <v>58</v>
      </c>
      <c r="I78" s="779">
        <v>26</v>
      </c>
      <c r="J78" s="780">
        <v>10</v>
      </c>
    </row>
  </sheetData>
  <mergeCells count="3">
    <mergeCell ref="B68:B77"/>
    <mergeCell ref="B3:B12"/>
    <mergeCell ref="B15:B66"/>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4" tint="-0.249977111117893"/>
    <pageSetUpPr autoPageBreaks="0"/>
  </sheetPr>
  <dimension ref="A1:AJ328"/>
  <sheetViews>
    <sheetView zoomScaleNormal="100" workbookViewId="0">
      <selection activeCell="K1" sqref="K1"/>
    </sheetView>
  </sheetViews>
  <sheetFormatPr defaultColWidth="9.1796875" defaultRowHeight="11.5"/>
  <cols>
    <col min="1" max="1" width="11" style="2" bestFit="1" customWidth="1"/>
    <col min="2" max="2" width="32.453125" style="2" customWidth="1"/>
    <col min="3" max="3" width="6.1796875" style="2" customWidth="1"/>
    <col min="4" max="4" width="14.54296875" style="2" customWidth="1"/>
    <col min="5" max="5" width="19.81640625" style="109" customWidth="1"/>
    <col min="6" max="8" width="18.1796875" style="109" customWidth="1"/>
    <col min="9" max="12" width="18.1796875" style="2" customWidth="1"/>
    <col min="13" max="13" width="20.08984375" style="2" customWidth="1"/>
    <col min="14" max="18" width="18.1796875" style="2" customWidth="1"/>
    <col min="19" max="19" width="17.1796875" style="2" bestFit="1" customWidth="1"/>
    <col min="20" max="20" width="16.1796875" style="2" bestFit="1" customWidth="1"/>
    <col min="21" max="21" width="19.54296875" style="2" bestFit="1" customWidth="1"/>
    <col min="22" max="22" width="18.1796875" style="2" customWidth="1"/>
    <col min="23" max="23" width="17.1796875" style="2" customWidth="1"/>
    <col min="24" max="24" width="16.7265625" style="2" customWidth="1"/>
    <col min="25" max="25" width="16.36328125" style="2" customWidth="1"/>
    <col min="26" max="26" width="12.453125" style="2" bestFit="1" customWidth="1"/>
    <col min="27" max="32" width="10.453125" style="2" customWidth="1"/>
    <col min="33" max="35" width="9.1796875" style="2"/>
    <col min="36" max="36" width="9.1796875" style="2" customWidth="1"/>
    <col min="37" max="16384" width="9.1796875" style="2"/>
  </cols>
  <sheetData>
    <row r="1" spans="1:24" ht="19.5">
      <c r="A1" s="885" t="s">
        <v>393</v>
      </c>
      <c r="B1" s="885"/>
      <c r="C1" s="885"/>
      <c r="D1" s="885"/>
      <c r="E1" s="885"/>
      <c r="F1" s="885"/>
    </row>
    <row r="2" spans="1:24">
      <c r="B2" s="1"/>
    </row>
    <row r="3" spans="1:24">
      <c r="B3" s="1"/>
    </row>
    <row r="4" spans="1:24" ht="27" customHeight="1">
      <c r="B4" s="1191" t="s">
        <v>394</v>
      </c>
      <c r="C4" s="1191"/>
      <c r="D4" s="1191"/>
      <c r="E4" s="1191"/>
      <c r="F4" s="1191"/>
      <c r="G4" s="1191"/>
      <c r="H4" s="1191"/>
      <c r="I4" s="1191"/>
      <c r="X4" s="108"/>
    </row>
    <row r="5" spans="1:24" ht="13.5">
      <c r="B5" s="1272" t="s">
        <v>214</v>
      </c>
      <c r="C5" s="1272"/>
      <c r="D5" s="1272"/>
      <c r="E5" s="1272"/>
      <c r="F5" s="1272" t="s">
        <v>215</v>
      </c>
      <c r="G5" s="1272"/>
      <c r="H5" s="1272"/>
      <c r="I5" s="1272"/>
      <c r="X5" s="108"/>
    </row>
    <row r="6" spans="1:24" ht="55.5" customHeight="1">
      <c r="B6" s="1222" t="s">
        <v>395</v>
      </c>
      <c r="C6" s="1190"/>
      <c r="D6" s="1190"/>
      <c r="E6" s="1190"/>
      <c r="F6" s="1190" t="s">
        <v>396</v>
      </c>
      <c r="G6" s="1190"/>
      <c r="H6" s="1190"/>
      <c r="I6" s="1190"/>
      <c r="X6" s="108"/>
    </row>
    <row r="7" spans="1:24" ht="14.25" customHeight="1">
      <c r="B7" s="1222" t="s">
        <v>397</v>
      </c>
      <c r="C7" s="1190"/>
      <c r="D7" s="1190"/>
      <c r="E7" s="1190"/>
      <c r="F7" s="1190" t="s">
        <v>398</v>
      </c>
      <c r="G7" s="1190"/>
      <c r="H7" s="1190"/>
      <c r="I7" s="1190"/>
      <c r="X7" s="108"/>
    </row>
    <row r="8" spans="1:24" ht="14.25" customHeight="1">
      <c r="B8" s="1222" t="s">
        <v>399</v>
      </c>
      <c r="C8" s="1190"/>
      <c r="D8" s="1190"/>
      <c r="E8" s="1190"/>
      <c r="F8" s="1190" t="s">
        <v>398</v>
      </c>
      <c r="G8" s="1190"/>
      <c r="H8" s="1190"/>
      <c r="I8" s="1190"/>
      <c r="X8" s="108"/>
    </row>
    <row r="9" spans="1:24" ht="13.5">
      <c r="B9" s="1268" t="s">
        <v>400</v>
      </c>
      <c r="C9" s="1196"/>
      <c r="D9" s="1196"/>
      <c r="E9" s="1196"/>
      <c r="F9" s="1190" t="s">
        <v>398</v>
      </c>
      <c r="G9" s="1190"/>
      <c r="H9" s="1190"/>
      <c r="I9" s="1190"/>
      <c r="X9" s="108"/>
    </row>
    <row r="10" spans="1:24" ht="14.25" customHeight="1">
      <c r="B10" s="1222" t="s">
        <v>401</v>
      </c>
      <c r="C10" s="1190"/>
      <c r="D10" s="1190"/>
      <c r="E10" s="1190"/>
      <c r="F10" s="1190" t="s">
        <v>398</v>
      </c>
      <c r="G10" s="1190"/>
      <c r="H10" s="1190"/>
      <c r="I10" s="1190"/>
      <c r="X10" s="108"/>
    </row>
    <row r="11" spans="1:24" ht="29.25" customHeight="1">
      <c r="B11" s="1222" t="s">
        <v>402</v>
      </c>
      <c r="C11" s="1190"/>
      <c r="D11" s="1190"/>
      <c r="E11" s="1190"/>
      <c r="F11" s="1190" t="s">
        <v>403</v>
      </c>
      <c r="G11" s="1190"/>
      <c r="H11" s="1190"/>
      <c r="I11" s="1190"/>
      <c r="X11" s="108"/>
    </row>
    <row r="12" spans="1:24" ht="42.75" customHeight="1">
      <c r="B12" s="1222" t="s">
        <v>404</v>
      </c>
      <c r="C12" s="1190"/>
      <c r="D12" s="1190"/>
      <c r="E12" s="1190"/>
      <c r="F12" s="1190" t="s">
        <v>405</v>
      </c>
      <c r="G12" s="1190"/>
      <c r="H12" s="1190"/>
      <c r="I12" s="1190"/>
      <c r="X12" s="108"/>
    </row>
    <row r="13" spans="1:24" ht="13.5" customHeight="1">
      <c r="B13" s="156"/>
      <c r="C13" s="157"/>
      <c r="D13" s="157"/>
      <c r="E13" s="494"/>
      <c r="F13" s="494"/>
      <c r="G13" s="494"/>
      <c r="H13" s="494"/>
      <c r="I13" s="157"/>
      <c r="X13" s="108"/>
    </row>
    <row r="14" spans="1:24">
      <c r="B14" s="1"/>
    </row>
    <row r="15" spans="1:24" ht="12" thickBot="1">
      <c r="B15" s="1"/>
      <c r="D15" s="133" t="s">
        <v>406</v>
      </c>
    </row>
    <row r="16" spans="1:24" ht="11.25" customHeight="1">
      <c r="B16" s="216" t="s">
        <v>407</v>
      </c>
      <c r="E16" s="1263" t="s">
        <v>408</v>
      </c>
      <c r="F16" s="1234"/>
      <c r="G16" s="1234"/>
      <c r="H16" s="1234"/>
      <c r="I16" s="1234"/>
      <c r="J16" s="1234"/>
      <c r="K16" s="1234"/>
      <c r="L16" s="1235"/>
      <c r="N16" s="16"/>
    </row>
    <row r="17" spans="2:12" ht="12" thickBot="1">
      <c r="B17" s="217"/>
      <c r="E17" s="479" t="s">
        <v>137</v>
      </c>
      <c r="F17" s="38" t="s">
        <v>138</v>
      </c>
      <c r="G17" s="38" t="s">
        <v>139</v>
      </c>
      <c r="H17" s="38" t="s">
        <v>140</v>
      </c>
      <c r="I17" s="38" t="s">
        <v>141</v>
      </c>
      <c r="J17" s="38" t="s">
        <v>126</v>
      </c>
      <c r="K17" s="38" t="s">
        <v>142</v>
      </c>
      <c r="L17" s="480" t="s">
        <v>143</v>
      </c>
    </row>
    <row r="18" spans="2:12">
      <c r="B18" s="217"/>
      <c r="C18" s="60"/>
      <c r="D18" s="186" t="s">
        <v>161</v>
      </c>
      <c r="E18" s="495"/>
      <c r="F18" s="496">
        <v>0.52</v>
      </c>
      <c r="G18" s="497"/>
      <c r="H18" s="917">
        <v>0</v>
      </c>
      <c r="I18" s="482"/>
      <c r="J18" s="917">
        <v>0</v>
      </c>
      <c r="K18" s="482"/>
      <c r="L18" s="483"/>
    </row>
    <row r="19" spans="2:12">
      <c r="B19" s="217"/>
      <c r="C19" s="60"/>
      <c r="D19" s="187" t="s">
        <v>187</v>
      </c>
      <c r="E19" s="498"/>
      <c r="F19" s="499">
        <v>0.26</v>
      </c>
      <c r="G19" s="500"/>
      <c r="H19" s="164">
        <v>0</v>
      </c>
      <c r="I19" s="46"/>
      <c r="J19" s="164">
        <v>0</v>
      </c>
      <c r="K19" s="46"/>
      <c r="L19" s="476"/>
    </row>
    <row r="20" spans="2:12">
      <c r="B20" s="217"/>
      <c r="C20" s="60"/>
      <c r="D20" s="187" t="s">
        <v>1410</v>
      </c>
      <c r="E20" s="498"/>
      <c r="F20" s="499">
        <v>0.12</v>
      </c>
      <c r="G20" s="500"/>
      <c r="H20" s="164">
        <v>0</v>
      </c>
      <c r="I20" s="46"/>
      <c r="J20" s="164">
        <v>0</v>
      </c>
      <c r="K20" s="46"/>
      <c r="L20" s="476"/>
    </row>
    <row r="21" spans="2:12">
      <c r="B21" s="217"/>
      <c r="C21" s="60"/>
      <c r="D21" s="187" t="s">
        <v>188</v>
      </c>
      <c r="E21" s="498"/>
      <c r="F21" s="499">
        <v>0.71</v>
      </c>
      <c r="G21" s="500"/>
      <c r="H21" s="164">
        <v>0</v>
      </c>
      <c r="I21" s="46"/>
      <c r="J21" s="164">
        <v>0</v>
      </c>
      <c r="K21" s="46"/>
      <c r="L21" s="476"/>
    </row>
    <row r="22" spans="2:12">
      <c r="B22" s="217"/>
      <c r="C22" s="60"/>
      <c r="D22" s="187" t="s">
        <v>189</v>
      </c>
      <c r="E22" s="498"/>
      <c r="F22" s="499">
        <v>0.57999999999999996</v>
      </c>
      <c r="G22" s="500"/>
      <c r="H22" s="164">
        <v>0</v>
      </c>
      <c r="I22" s="46"/>
      <c r="J22" s="164">
        <v>0</v>
      </c>
      <c r="K22" s="46"/>
      <c r="L22" s="476"/>
    </row>
    <row r="23" spans="2:12">
      <c r="B23" s="217"/>
      <c r="C23" s="60"/>
      <c r="D23" s="187" t="s">
        <v>190</v>
      </c>
      <c r="E23" s="498"/>
      <c r="F23" s="499">
        <v>0.68</v>
      </c>
      <c r="G23" s="500"/>
      <c r="H23" s="164">
        <v>0</v>
      </c>
      <c r="I23" s="46"/>
      <c r="J23" s="164">
        <v>0</v>
      </c>
      <c r="K23" s="46"/>
      <c r="L23" s="476"/>
    </row>
    <row r="24" spans="2:12" ht="12" thickBot="1">
      <c r="B24" s="217"/>
      <c r="C24" s="60"/>
      <c r="D24" s="456" t="s">
        <v>174</v>
      </c>
      <c r="E24" s="501"/>
      <c r="F24" s="867">
        <v>0.48</v>
      </c>
      <c r="G24" s="502"/>
      <c r="H24" s="918">
        <v>0</v>
      </c>
      <c r="I24" s="477"/>
      <c r="J24" s="918">
        <v>0</v>
      </c>
      <c r="K24" s="477"/>
      <c r="L24" s="478"/>
    </row>
    <row r="25" spans="2:12" ht="12" thickBot="1">
      <c r="B25" s="217"/>
      <c r="C25" s="60"/>
    </row>
    <row r="26" spans="2:12">
      <c r="B26" s="217"/>
      <c r="C26" s="60"/>
      <c r="E26" s="1263" t="s">
        <v>409</v>
      </c>
      <c r="F26" s="1234"/>
      <c r="G26" s="1234"/>
      <c r="H26" s="1234"/>
      <c r="I26" s="1234"/>
      <c r="J26" s="1234"/>
      <c r="K26" s="1234"/>
      <c r="L26" s="1235"/>
    </row>
    <row r="27" spans="2:12" ht="12" thickBot="1">
      <c r="B27" s="217"/>
      <c r="C27" s="60"/>
      <c r="E27" s="479" t="s">
        <v>137</v>
      </c>
      <c r="F27" s="38" t="s">
        <v>138</v>
      </c>
      <c r="G27" s="38" t="s">
        <v>139</v>
      </c>
      <c r="H27" s="38" t="s">
        <v>140</v>
      </c>
      <c r="I27" s="38" t="s">
        <v>141</v>
      </c>
      <c r="J27" s="38" t="s">
        <v>126</v>
      </c>
      <c r="K27" s="38" t="s">
        <v>142</v>
      </c>
      <c r="L27" s="480" t="s">
        <v>143</v>
      </c>
    </row>
    <row r="28" spans="2:12">
      <c r="B28" s="217"/>
      <c r="C28" s="60"/>
      <c r="D28" s="186" t="s">
        <v>161</v>
      </c>
      <c r="E28" s="495"/>
      <c r="F28" s="503">
        <f>SUM(695000*'Guide &amp; drivers'!J26)</f>
        <v>816085.76862697746</v>
      </c>
      <c r="G28" s="497"/>
      <c r="H28" s="919">
        <v>0</v>
      </c>
      <c r="I28" s="482"/>
      <c r="J28" s="920">
        <v>0</v>
      </c>
      <c r="K28" s="482"/>
      <c r="L28" s="483"/>
    </row>
    <row r="29" spans="2:12">
      <c r="B29" s="217"/>
      <c r="C29" s="60"/>
      <c r="D29" s="187" t="s">
        <v>187</v>
      </c>
      <c r="E29" s="498"/>
      <c r="F29" s="128">
        <f>SUM(350000*'Guide &amp; drivers'!J26)</f>
        <v>410978.4446322908</v>
      </c>
      <c r="G29" s="500"/>
      <c r="H29" s="920">
        <v>0</v>
      </c>
      <c r="I29" s="46"/>
      <c r="J29" s="920">
        <v>0</v>
      </c>
      <c r="K29" s="46"/>
      <c r="L29" s="476"/>
    </row>
    <row r="30" spans="2:12">
      <c r="B30" s="217"/>
      <c r="C30" s="60"/>
      <c r="D30" s="187" t="s">
        <v>1410</v>
      </c>
      <c r="E30" s="498"/>
      <c r="F30" s="128">
        <f>SUM(160000*'Guide &amp; drivers'!J26)</f>
        <v>187875.86040333295</v>
      </c>
      <c r="G30" s="500"/>
      <c r="H30" s="920">
        <v>0</v>
      </c>
      <c r="I30" s="46"/>
      <c r="J30" s="920">
        <v>0</v>
      </c>
      <c r="K30" s="46"/>
      <c r="L30" s="476"/>
    </row>
    <row r="31" spans="2:12">
      <c r="B31" s="217"/>
      <c r="C31" s="60"/>
      <c r="D31" s="187" t="s">
        <v>188</v>
      </c>
      <c r="E31" s="498"/>
      <c r="F31" s="128">
        <f>SUM(945000*'Guide &amp; drivers'!J26)</f>
        <v>1109641.8005071853</v>
      </c>
      <c r="G31" s="500"/>
      <c r="H31" s="920">
        <v>0</v>
      </c>
      <c r="I31" s="46"/>
      <c r="J31" s="920">
        <v>0</v>
      </c>
      <c r="K31" s="46"/>
      <c r="L31" s="476"/>
    </row>
    <row r="32" spans="2:12">
      <c r="B32" s="217"/>
      <c r="C32" s="60"/>
      <c r="D32" s="187" t="s">
        <v>189</v>
      </c>
      <c r="E32" s="498"/>
      <c r="F32" s="128">
        <f>SUM(770000*'Guide &amp; drivers'!J26)</f>
        <v>904152.57819103985</v>
      </c>
      <c r="G32" s="500"/>
      <c r="H32" s="920">
        <v>0</v>
      </c>
      <c r="I32" s="46"/>
      <c r="J32" s="920">
        <v>0</v>
      </c>
      <c r="K32" s="46"/>
      <c r="L32" s="476"/>
    </row>
    <row r="33" spans="2:14">
      <c r="B33" s="217"/>
      <c r="C33" s="60"/>
      <c r="D33" s="187" t="s">
        <v>190</v>
      </c>
      <c r="E33" s="498"/>
      <c r="F33" s="128">
        <f>SUM(910000*'Guide &amp; drivers'!J26)</f>
        <v>1068543.9560439561</v>
      </c>
      <c r="G33" s="500"/>
      <c r="H33" s="920">
        <v>0</v>
      </c>
      <c r="I33" s="46"/>
      <c r="J33" s="920">
        <v>0</v>
      </c>
      <c r="K33" s="46"/>
      <c r="L33" s="476"/>
    </row>
    <row r="34" spans="2:14" ht="12" thickBot="1">
      <c r="B34" s="217"/>
      <c r="D34" s="456" t="s">
        <v>174</v>
      </c>
      <c r="E34" s="501"/>
      <c r="F34" s="509">
        <f>SUM(3830000*'Guide &amp; drivers'!$J$26)</f>
        <v>4497278.4084047824</v>
      </c>
      <c r="G34" s="502"/>
      <c r="H34" s="921">
        <v>0</v>
      </c>
      <c r="I34" s="477"/>
      <c r="J34" s="921">
        <v>0</v>
      </c>
      <c r="K34" s="477"/>
      <c r="L34" s="478"/>
    </row>
    <row r="35" spans="2:14" ht="16">
      <c r="B35" s="218"/>
      <c r="E35" s="504"/>
      <c r="F35" s="504"/>
      <c r="G35" s="504"/>
      <c r="H35" s="504"/>
      <c r="I35" s="178"/>
      <c r="J35" s="178"/>
      <c r="K35" s="178"/>
      <c r="L35" s="178"/>
      <c r="M35" s="178"/>
    </row>
    <row r="36" spans="2:14" ht="12" thickBot="1">
      <c r="B36" s="218"/>
      <c r="D36" s="1" t="s">
        <v>410</v>
      </c>
    </row>
    <row r="37" spans="2:14" ht="15" thickBot="1">
      <c r="B37" s="218"/>
      <c r="D37"/>
      <c r="E37" s="1012" t="s">
        <v>137</v>
      </c>
      <c r="F37" s="1013" t="s">
        <v>138</v>
      </c>
      <c r="G37" s="1013" t="s">
        <v>139</v>
      </c>
      <c r="H37" s="1013" t="s">
        <v>140</v>
      </c>
      <c r="I37" s="1013" t="s">
        <v>141</v>
      </c>
      <c r="J37" s="1013" t="s">
        <v>126</v>
      </c>
      <c r="K37" s="1013" t="s">
        <v>142</v>
      </c>
      <c r="L37" s="1014" t="s">
        <v>143</v>
      </c>
    </row>
    <row r="38" spans="2:14">
      <c r="B38" s="218"/>
      <c r="D38" s="406" t="s">
        <v>161</v>
      </c>
      <c r="E38" s="505">
        <v>6.5031279692656166E-2</v>
      </c>
      <c r="F38" s="505">
        <v>6.3847467572848107E-2</v>
      </c>
      <c r="G38" s="505">
        <v>6.667408890210702E-2</v>
      </c>
      <c r="H38" s="505">
        <v>5.645994618743206E-2</v>
      </c>
      <c r="I38" s="505">
        <v>5.3781803149282117E-2</v>
      </c>
      <c r="J38" s="505">
        <v>6.0390785349241353E-2</v>
      </c>
      <c r="K38" s="505">
        <v>6.0288216780194449E-2</v>
      </c>
      <c r="L38" s="411"/>
      <c r="N38" s="9"/>
    </row>
    <row r="39" spans="2:14">
      <c r="B39" s="218"/>
      <c r="D39" s="407" t="s">
        <v>263</v>
      </c>
      <c r="E39" s="505">
        <v>5.3263985095423301E-2</v>
      </c>
      <c r="F39" s="505">
        <v>5.2881828097173698E-2</v>
      </c>
      <c r="G39" s="505">
        <v>5.3202097305214129E-2</v>
      </c>
      <c r="H39" s="505">
        <v>4.7729049242539727E-2</v>
      </c>
      <c r="I39" s="505">
        <v>5.6026748342843422E-2</v>
      </c>
      <c r="J39" s="505">
        <v>5.5048557094875626E-2</v>
      </c>
      <c r="K39" s="505">
        <v>4.745876089386885E-2</v>
      </c>
      <c r="L39" s="411"/>
      <c r="N39" s="9"/>
    </row>
    <row r="40" spans="2:14">
      <c r="B40" s="218"/>
      <c r="D40" s="407" t="s">
        <v>264</v>
      </c>
      <c r="E40" s="505">
        <v>5.8125547817493906E-2</v>
      </c>
      <c r="F40" s="505">
        <v>5.8275917826251654E-2</v>
      </c>
      <c r="G40" s="505">
        <v>6.3398247383254475E-2</v>
      </c>
      <c r="H40" s="505">
        <v>5.7657541768700714E-2</v>
      </c>
      <c r="I40" s="505">
        <v>6.5332811382600942E-2</v>
      </c>
      <c r="J40" s="505">
        <v>7.0981843185140406E-2</v>
      </c>
      <c r="K40" s="505">
        <v>6.8872492097162369E-2</v>
      </c>
      <c r="L40" s="411"/>
      <c r="N40" s="9"/>
    </row>
    <row r="41" spans="2:14">
      <c r="B41" s="218"/>
      <c r="D41" s="407" t="s">
        <v>164</v>
      </c>
      <c r="E41" s="505">
        <v>5.2407788057232257E-2</v>
      </c>
      <c r="F41" s="505">
        <v>5.7284526025704129E-2</v>
      </c>
      <c r="G41" s="505">
        <v>6.072177958774122E-2</v>
      </c>
      <c r="H41" s="505">
        <v>5.6285080360940494E-2</v>
      </c>
      <c r="I41" s="505">
        <v>6.0729972049248425E-2</v>
      </c>
      <c r="J41" s="505">
        <v>6.6584322812511795E-2</v>
      </c>
      <c r="K41" s="505">
        <v>6.0469927380106606E-2</v>
      </c>
      <c r="L41" s="411"/>
      <c r="N41" s="9"/>
    </row>
    <row r="42" spans="2:14">
      <c r="B42" s="218"/>
      <c r="D42" s="407" t="s">
        <v>165</v>
      </c>
      <c r="E42" s="505">
        <v>4.7902142895028497E-2</v>
      </c>
      <c r="F42" s="505">
        <v>4.7939998889495274E-2</v>
      </c>
      <c r="G42" s="505">
        <v>5.1500171123307556E-2</v>
      </c>
      <c r="H42" s="505">
        <v>4.7081451403489467E-2</v>
      </c>
      <c r="I42" s="505">
        <v>5.1884278189533117E-2</v>
      </c>
      <c r="J42" s="505">
        <v>6.0175246856135879E-2</v>
      </c>
      <c r="K42" s="505">
        <v>5.5855954190939215E-2</v>
      </c>
      <c r="L42" s="411"/>
      <c r="N42" s="9"/>
    </row>
    <row r="43" spans="2:14">
      <c r="B43" s="218"/>
      <c r="D43" s="407" t="s">
        <v>166</v>
      </c>
      <c r="E43" s="505">
        <v>4.3871346345248294E-2</v>
      </c>
      <c r="F43" s="505">
        <v>4.0161681633208102E-2</v>
      </c>
      <c r="G43" s="505">
        <v>4.0848265978858905E-2</v>
      </c>
      <c r="H43" s="505">
        <v>4.1539500236438424E-2</v>
      </c>
      <c r="I43" s="505">
        <v>4.5947721763252625E-2</v>
      </c>
      <c r="J43" s="505">
        <v>5.547087627925551E-2</v>
      </c>
      <c r="K43" s="505">
        <v>4.7923115308983522E-2</v>
      </c>
      <c r="L43" s="411"/>
      <c r="N43" s="9"/>
    </row>
    <row r="44" spans="2:14">
      <c r="B44" s="218"/>
      <c r="D44" s="407" t="s">
        <v>167</v>
      </c>
      <c r="E44" s="505">
        <v>4.6682448658459032E-2</v>
      </c>
      <c r="F44" s="505">
        <v>4.6729221177262546E-2</v>
      </c>
      <c r="G44" s="505">
        <v>4.9886968922169123E-2</v>
      </c>
      <c r="H44" s="505">
        <v>4.4244760297102531E-2</v>
      </c>
      <c r="I44" s="505">
        <v>4.6977971391321663E-2</v>
      </c>
      <c r="J44" s="505">
        <v>4.5589879742427855E-2</v>
      </c>
      <c r="K44" s="505">
        <v>3.8241310784911831E-2</v>
      </c>
      <c r="L44" s="411"/>
      <c r="N44" s="9"/>
    </row>
    <row r="45" spans="2:14">
      <c r="B45" s="218"/>
      <c r="D45" s="407" t="s">
        <v>168</v>
      </c>
      <c r="E45" s="505">
        <v>6.9381686732938819E-2</v>
      </c>
      <c r="F45" s="505">
        <v>6.939044964424558E-2</v>
      </c>
      <c r="G45" s="505">
        <v>6.7821708870131794E-2</v>
      </c>
      <c r="H45" s="505">
        <v>6.6259678379988085E-2</v>
      </c>
      <c r="I45" s="505">
        <v>7.5255052562163E-2</v>
      </c>
      <c r="J45" s="505">
        <v>7.8398182238080635E-2</v>
      </c>
      <c r="K45" s="505">
        <v>6.7557803749427617E-2</v>
      </c>
      <c r="L45" s="411"/>
      <c r="N45" s="9"/>
    </row>
    <row r="46" spans="2:14">
      <c r="B46" s="218"/>
      <c r="D46" s="407" t="s">
        <v>169</v>
      </c>
      <c r="E46" s="505">
        <v>6.2328082664551296E-2</v>
      </c>
      <c r="F46" s="505">
        <v>6.7444010684199709E-2</v>
      </c>
      <c r="G46" s="505">
        <v>7.1904196562225783E-2</v>
      </c>
      <c r="H46" s="505">
        <v>6.9147014809845711E-2</v>
      </c>
      <c r="I46" s="505">
        <v>7.9411607951820076E-2</v>
      </c>
      <c r="J46" s="505">
        <v>7.8564782114889875E-2</v>
      </c>
      <c r="K46" s="505">
        <v>8.0423634091963417E-2</v>
      </c>
      <c r="L46" s="411"/>
      <c r="N46" s="9"/>
    </row>
    <row r="47" spans="2:14">
      <c r="B47" s="218"/>
      <c r="D47" s="407" t="s">
        <v>170</v>
      </c>
      <c r="E47" s="505">
        <v>6.839644265150821E-2</v>
      </c>
      <c r="F47" s="505">
        <v>7.4125244030635237E-2</v>
      </c>
      <c r="G47" s="505">
        <v>7.2071527819730558E-2</v>
      </c>
      <c r="H47" s="505">
        <v>6.4648117839607208E-2</v>
      </c>
      <c r="I47" s="505">
        <v>5.489006349107059E-2</v>
      </c>
      <c r="J47" s="505">
        <v>8.4971351841317599E-2</v>
      </c>
      <c r="K47" s="505">
        <v>7.922919216934167E-2</v>
      </c>
      <c r="L47" s="411"/>
      <c r="N47" s="9"/>
    </row>
    <row r="48" spans="2:14">
      <c r="B48" s="218"/>
      <c r="D48" s="407" t="s">
        <v>171</v>
      </c>
      <c r="E48" s="505">
        <v>6.6601264442991068E-2</v>
      </c>
      <c r="F48" s="505">
        <v>6.7757919937642672E-2</v>
      </c>
      <c r="G48" s="505">
        <v>6.9982616497504632E-2</v>
      </c>
      <c r="H48" s="505">
        <v>6.9790339395343445E-2</v>
      </c>
      <c r="I48" s="505">
        <v>7.4287585111477178E-2</v>
      </c>
      <c r="J48" s="505">
        <v>7.6669300871305884E-2</v>
      </c>
      <c r="K48" s="505">
        <v>7.8851043807042831E-2</v>
      </c>
      <c r="L48" s="411"/>
      <c r="N48" s="9"/>
    </row>
    <row r="49" spans="2:14">
      <c r="B49" s="218"/>
      <c r="D49" s="407" t="s">
        <v>172</v>
      </c>
      <c r="E49" s="505">
        <v>6.5958961745096772E-2</v>
      </c>
      <c r="F49" s="505">
        <v>6.7253960949312991E-2</v>
      </c>
      <c r="G49" s="505">
        <v>6.7336949331922205E-2</v>
      </c>
      <c r="H49" s="505">
        <v>6.7349027635619244E-2</v>
      </c>
      <c r="I49" s="505">
        <v>6.9272794125386006E-2</v>
      </c>
      <c r="J49" s="505">
        <v>7.0936780806959296E-2</v>
      </c>
      <c r="K49" s="505">
        <v>7.9585916860748562E-2</v>
      </c>
      <c r="L49" s="411"/>
      <c r="N49" s="9"/>
    </row>
    <row r="50" spans="2:14">
      <c r="B50" s="218"/>
      <c r="D50" s="407" t="s">
        <v>28</v>
      </c>
      <c r="E50" s="505">
        <v>6.7121366905957228E-2</v>
      </c>
      <c r="F50" s="505">
        <v>7.2581012501406986E-2</v>
      </c>
      <c r="G50" s="505">
        <v>7.0679136347316207E-2</v>
      </c>
      <c r="H50" s="505">
        <v>6.9865190708254005E-2</v>
      </c>
      <c r="I50" s="505">
        <v>7.3824666940888406E-2</v>
      </c>
      <c r="J50" s="505">
        <v>6.9613334164766991E-2</v>
      </c>
      <c r="K50" s="505">
        <v>6.7875436078538645E-2</v>
      </c>
      <c r="L50" s="411"/>
      <c r="N50" s="9"/>
    </row>
    <row r="51" spans="2:14">
      <c r="B51" s="218"/>
      <c r="D51" s="407" t="s">
        <v>173</v>
      </c>
      <c r="E51" s="505">
        <v>5.675750810528768E-2</v>
      </c>
      <c r="F51" s="505">
        <v>5.7917079715423141E-2</v>
      </c>
      <c r="G51" s="505">
        <v>5.1871428152030614E-2</v>
      </c>
      <c r="H51" s="505">
        <v>5.2108033008059065E-2</v>
      </c>
      <c r="I51" s="505">
        <v>5.194002624138401E-2</v>
      </c>
      <c r="J51" s="505">
        <v>5.1860912155591583E-2</v>
      </c>
      <c r="K51" s="505">
        <v>5.2262893418087611E-2</v>
      </c>
      <c r="L51" s="411"/>
      <c r="N51" s="9"/>
    </row>
    <row r="52" spans="2:14" ht="12" thickBot="1">
      <c r="B52" s="219"/>
      <c r="D52" s="408" t="s">
        <v>174</v>
      </c>
      <c r="E52" s="851">
        <v>5.1670384917906542E-2</v>
      </c>
      <c r="F52" s="851">
        <v>5.3223865679834705E-2</v>
      </c>
      <c r="G52" s="851">
        <v>5.3864914991217837E-2</v>
      </c>
      <c r="H52" s="851">
        <v>5.0297186983594616E-2</v>
      </c>
      <c r="I52" s="851">
        <v>5.2623256182095859E-2</v>
      </c>
      <c r="J52" s="851">
        <v>5.8697054480867969E-2</v>
      </c>
      <c r="K52" s="851">
        <v>5.5182296449468385E-2</v>
      </c>
      <c r="L52" s="412"/>
    </row>
    <row r="53" spans="2:14">
      <c r="B53" s="39"/>
      <c r="C53" s="60"/>
      <c r="F53" s="506"/>
      <c r="H53" s="922"/>
    </row>
    <row r="54" spans="2:14">
      <c r="B54" s="1"/>
      <c r="C54" s="60"/>
    </row>
    <row r="55" spans="2:14">
      <c r="B55" s="1223" t="s">
        <v>397</v>
      </c>
      <c r="C55" s="60"/>
      <c r="D55" s="1"/>
      <c r="F55" s="507"/>
    </row>
    <row r="56" spans="2:14" ht="12" thickBot="1">
      <c r="B56" s="1223"/>
      <c r="C56" s="60"/>
      <c r="D56" s="133" t="s">
        <v>411</v>
      </c>
      <c r="E56" s="508"/>
      <c r="G56" s="507"/>
    </row>
    <row r="57" spans="2:14" ht="12" thickBot="1">
      <c r="B57" s="1223"/>
      <c r="C57" s="60"/>
      <c r="D57" s="1"/>
      <c r="E57" s="1015" t="s">
        <v>412</v>
      </c>
      <c r="F57" s="1016" t="s">
        <v>413</v>
      </c>
      <c r="G57" s="1016" t="s">
        <v>137</v>
      </c>
      <c r="H57" s="1016" t="s">
        <v>138</v>
      </c>
      <c r="I57" s="1017" t="s">
        <v>139</v>
      </c>
      <c r="J57" s="1017" t="s">
        <v>140</v>
      </c>
      <c r="K57" s="1017" t="s">
        <v>141</v>
      </c>
      <c r="L57" s="1017" t="s">
        <v>126</v>
      </c>
      <c r="M57" s="1017" t="s">
        <v>142</v>
      </c>
      <c r="N57" s="1018" t="s">
        <v>143</v>
      </c>
    </row>
    <row r="58" spans="2:14">
      <c r="B58" s="1223"/>
      <c r="C58" s="60"/>
      <c r="D58" s="406" t="s">
        <v>161</v>
      </c>
      <c r="E58" s="431">
        <v>22374.23</v>
      </c>
      <c r="F58" s="431">
        <v>23134.07</v>
      </c>
      <c r="G58" s="431">
        <v>15790.450116128985</v>
      </c>
      <c r="H58" s="431">
        <v>15301.958916425016</v>
      </c>
      <c r="I58" s="431">
        <v>14147.271781017183</v>
      </c>
      <c r="J58" s="431">
        <v>12567.10378720886</v>
      </c>
      <c r="K58" s="431">
        <v>12553.201785967669</v>
      </c>
      <c r="L58" s="431">
        <v>10799.07427932833</v>
      </c>
      <c r="M58" s="431">
        <v>9664.1000476311801</v>
      </c>
      <c r="N58" s="489"/>
    </row>
    <row r="59" spans="2:14">
      <c r="B59" s="1223"/>
      <c r="C59" s="60"/>
      <c r="D59" s="407" t="s">
        <v>162</v>
      </c>
      <c r="E59" s="431">
        <v>23368.300672958008</v>
      </c>
      <c r="F59" s="431">
        <v>22745.425991605618</v>
      </c>
      <c r="G59" s="431">
        <v>10554.830994291706</v>
      </c>
      <c r="H59" s="431">
        <v>9412.9451659319311</v>
      </c>
      <c r="I59" s="431">
        <v>9162.6946989533571</v>
      </c>
      <c r="J59" s="431">
        <v>7564.0221328165817</v>
      </c>
      <c r="K59" s="431">
        <v>7332.9456057326779</v>
      </c>
      <c r="L59" s="431">
        <v>6421.9725789178256</v>
      </c>
      <c r="M59" s="431">
        <v>6028.0542138347728</v>
      </c>
      <c r="N59" s="489"/>
    </row>
    <row r="60" spans="2:14">
      <c r="B60" s="1223"/>
      <c r="C60" s="60"/>
      <c r="D60" s="407" t="s">
        <v>163</v>
      </c>
      <c r="E60" s="431">
        <v>26495.100197351003</v>
      </c>
      <c r="F60" s="431">
        <v>28807.022312067074</v>
      </c>
      <c r="G60" s="431">
        <v>14559.859915711191</v>
      </c>
      <c r="H60" s="431">
        <v>13872.997737456541</v>
      </c>
      <c r="I60" s="431">
        <v>12110.706380886282</v>
      </c>
      <c r="J60" s="431">
        <v>10159.428156661555</v>
      </c>
      <c r="K60" s="431">
        <v>9439.200460453163</v>
      </c>
      <c r="L60" s="431">
        <v>8300.3648839911784</v>
      </c>
      <c r="M60" s="431">
        <v>8438.6305151777069</v>
      </c>
      <c r="N60" s="489"/>
    </row>
    <row r="61" spans="2:14">
      <c r="B61" s="1223"/>
      <c r="C61" s="60"/>
      <c r="D61" s="407" t="s">
        <v>164</v>
      </c>
      <c r="E61" s="431">
        <v>29290.645064748202</v>
      </c>
      <c r="F61" s="431">
        <v>29722.899999999998</v>
      </c>
      <c r="G61" s="431">
        <v>26708.587865428595</v>
      </c>
      <c r="H61" s="431">
        <v>22933.915431895362</v>
      </c>
      <c r="I61" s="431">
        <v>20832.016472945819</v>
      </c>
      <c r="J61" s="431">
        <v>17325.740381459083</v>
      </c>
      <c r="K61" s="431">
        <v>14547.590891712225</v>
      </c>
      <c r="L61" s="431">
        <v>14876.638565430478</v>
      </c>
      <c r="M61" s="431">
        <v>14043.356877497055</v>
      </c>
      <c r="N61" s="489"/>
    </row>
    <row r="62" spans="2:14">
      <c r="B62" s="1223"/>
      <c r="C62" s="60"/>
      <c r="D62" s="407" t="s">
        <v>165</v>
      </c>
      <c r="E62" s="431">
        <v>30151.785935251799</v>
      </c>
      <c r="F62" s="431">
        <v>30172.149999999998</v>
      </c>
      <c r="G62" s="431">
        <v>22830.064457707365</v>
      </c>
      <c r="H62" s="431">
        <v>21098.219691701266</v>
      </c>
      <c r="I62" s="431">
        <v>19571.03820049364</v>
      </c>
      <c r="J62" s="431">
        <v>19027.402711826762</v>
      </c>
      <c r="K62" s="431">
        <v>18342.347164256538</v>
      </c>
      <c r="L62" s="431">
        <v>15602.965021424819</v>
      </c>
      <c r="M62" s="431">
        <v>14189.031906480599</v>
      </c>
      <c r="N62" s="489"/>
    </row>
    <row r="63" spans="2:14">
      <c r="B63" s="1223"/>
      <c r="C63" s="60"/>
      <c r="D63" s="407" t="s">
        <v>166</v>
      </c>
      <c r="E63" s="431">
        <v>13395.2243856</v>
      </c>
      <c r="F63" s="431">
        <v>18330.133000000002</v>
      </c>
      <c r="G63" s="431">
        <v>13628.275710295062</v>
      </c>
      <c r="H63" s="431">
        <v>12486.937624212418</v>
      </c>
      <c r="I63" s="431">
        <v>12144.532507177009</v>
      </c>
      <c r="J63" s="431">
        <v>12131.979108196891</v>
      </c>
      <c r="K63" s="431">
        <v>9432.0363884317248</v>
      </c>
      <c r="L63" s="431">
        <v>8297.2873829985692</v>
      </c>
      <c r="M63" s="431">
        <v>9449.4373343799925</v>
      </c>
      <c r="N63" s="489"/>
    </row>
    <row r="64" spans="2:14">
      <c r="B64" s="1223"/>
      <c r="C64" s="60"/>
      <c r="D64" s="407" t="s">
        <v>167</v>
      </c>
      <c r="E64" s="431">
        <v>23059.600361999997</v>
      </c>
      <c r="F64" s="431">
        <v>23752.9</v>
      </c>
      <c r="G64" s="431">
        <v>17504.45863194601</v>
      </c>
      <c r="H64" s="431">
        <v>15669.232470650419</v>
      </c>
      <c r="I64" s="431">
        <v>15183.025734103689</v>
      </c>
      <c r="J64" s="431">
        <v>15336.214414291513</v>
      </c>
      <c r="K64" s="431">
        <v>14185.339312849925</v>
      </c>
      <c r="L64" s="431">
        <v>11790.796548400451</v>
      </c>
      <c r="M64" s="431">
        <v>11725.324720493736</v>
      </c>
      <c r="N64" s="489"/>
    </row>
    <row r="65" spans="2:36">
      <c r="B65" s="1223"/>
      <c r="C65" s="60"/>
      <c r="D65" s="407" t="s">
        <v>168</v>
      </c>
      <c r="E65" s="431">
        <v>16573.197265375711</v>
      </c>
      <c r="F65" s="431">
        <v>19776.4951</v>
      </c>
      <c r="G65" s="431">
        <v>14176.253353684589</v>
      </c>
      <c r="H65" s="431">
        <v>14796.488736818281</v>
      </c>
      <c r="I65" s="431">
        <v>12807.221491579256</v>
      </c>
      <c r="J65" s="431">
        <v>11810.714814584871</v>
      </c>
      <c r="K65" s="431">
        <v>12495.697227250739</v>
      </c>
      <c r="L65" s="431">
        <v>11563.249916326415</v>
      </c>
      <c r="M65" s="431">
        <v>11438.502012894614</v>
      </c>
      <c r="N65" s="489"/>
    </row>
    <row r="66" spans="2:36">
      <c r="B66" s="1223"/>
      <c r="C66" s="60"/>
      <c r="D66" s="407" t="s">
        <v>169</v>
      </c>
      <c r="E66" s="431">
        <v>26961.825025953352</v>
      </c>
      <c r="F66" s="431">
        <v>25025.118200000004</v>
      </c>
      <c r="G66" s="431">
        <v>17694.088929224527</v>
      </c>
      <c r="H66" s="431">
        <v>16687.61323596325</v>
      </c>
      <c r="I66" s="431">
        <v>15607.209663331123</v>
      </c>
      <c r="J66" s="431">
        <v>15901.038220167837</v>
      </c>
      <c r="K66" s="431">
        <v>14455.045825056626</v>
      </c>
      <c r="L66" s="431">
        <v>13492.220731941425</v>
      </c>
      <c r="M66" s="431">
        <v>13042.100348208831</v>
      </c>
      <c r="N66" s="489"/>
    </row>
    <row r="67" spans="2:36">
      <c r="B67" s="1223"/>
      <c r="C67" s="60"/>
      <c r="D67" s="407" t="s">
        <v>170</v>
      </c>
      <c r="E67" s="431">
        <v>35454.956207434181</v>
      </c>
      <c r="F67" s="431">
        <v>32539.492999999999</v>
      </c>
      <c r="G67" s="431">
        <v>23609.29691667201</v>
      </c>
      <c r="H67" s="431">
        <v>26083.401722962924</v>
      </c>
      <c r="I67" s="431">
        <v>24848.053306042224</v>
      </c>
      <c r="J67" s="431">
        <v>22442.722376755337</v>
      </c>
      <c r="K67" s="431">
        <v>19958.603657978969</v>
      </c>
      <c r="L67" s="431">
        <v>20011.197546670672</v>
      </c>
      <c r="M67" s="431">
        <v>19415.887778606379</v>
      </c>
      <c r="N67" s="489"/>
    </row>
    <row r="68" spans="2:36">
      <c r="B68" s="1223"/>
      <c r="C68" s="60"/>
      <c r="D68" s="407" t="s">
        <v>414</v>
      </c>
      <c r="E68" s="431">
        <v>31088.837180230141</v>
      </c>
      <c r="F68" s="431">
        <v>24450.95</v>
      </c>
      <c r="G68" s="431">
        <v>15639.595058514253</v>
      </c>
      <c r="H68" s="431">
        <v>13534.278910298543</v>
      </c>
      <c r="I68" s="431">
        <v>12196.568325878578</v>
      </c>
      <c r="J68" s="431">
        <v>11898.004929521874</v>
      </c>
      <c r="K68" s="431">
        <v>9652.4037654399744</v>
      </c>
      <c r="L68" s="431">
        <v>6158.7254327832006</v>
      </c>
      <c r="M68" s="431">
        <v>6656.9481456335179</v>
      </c>
      <c r="N68" s="489"/>
    </row>
    <row r="69" spans="2:36">
      <c r="B69" s="1223"/>
      <c r="C69" s="60"/>
      <c r="D69" s="407" t="s">
        <v>415</v>
      </c>
      <c r="E69" s="431">
        <v>15143.10141456255</v>
      </c>
      <c r="F69" s="431">
        <v>26026.38</v>
      </c>
      <c r="G69" s="431">
        <v>12710.088810871941</v>
      </c>
      <c r="H69" s="431">
        <v>12572.995236160634</v>
      </c>
      <c r="I69" s="431">
        <v>11557.536078944036</v>
      </c>
      <c r="J69" s="431">
        <v>11798.768903918355</v>
      </c>
      <c r="K69" s="431">
        <v>8237.5365874174495</v>
      </c>
      <c r="L69" s="431">
        <v>6700.2838180984108</v>
      </c>
      <c r="M69" s="431">
        <v>6934.3837080851181</v>
      </c>
      <c r="N69" s="489"/>
    </row>
    <row r="70" spans="2:36">
      <c r="B70" s="1223"/>
      <c r="C70" s="60"/>
      <c r="D70" s="407" t="s">
        <v>28</v>
      </c>
      <c r="E70" s="431">
        <v>23653.440412354612</v>
      </c>
      <c r="F70" s="431">
        <v>43857.570832616577</v>
      </c>
      <c r="G70" s="431">
        <v>16911.071472264863</v>
      </c>
      <c r="H70" s="431">
        <v>17429.136334676459</v>
      </c>
      <c r="I70" s="431">
        <v>21468.445357248322</v>
      </c>
      <c r="J70" s="431">
        <v>24140.90693283833</v>
      </c>
      <c r="K70" s="431">
        <v>26674.97366252455</v>
      </c>
      <c r="L70" s="431">
        <v>59298.286291072087</v>
      </c>
      <c r="M70" s="431">
        <v>46474.605593554545</v>
      </c>
      <c r="N70" s="489"/>
    </row>
    <row r="71" spans="2:36">
      <c r="B71" s="1223"/>
      <c r="C71" s="60"/>
      <c r="D71" s="407" t="s">
        <v>173</v>
      </c>
      <c r="E71" s="431">
        <v>35373.503623677403</v>
      </c>
      <c r="F71" s="431">
        <v>34060.008905644878</v>
      </c>
      <c r="G71" s="431">
        <v>26641.073610192081</v>
      </c>
      <c r="H71" s="431">
        <v>26558.884809643791</v>
      </c>
      <c r="I71" s="431">
        <v>25601.271109063386</v>
      </c>
      <c r="J71" s="431">
        <v>24511.394736277751</v>
      </c>
      <c r="K71" s="431">
        <v>24594.380797938844</v>
      </c>
      <c r="L71" s="431">
        <v>30777.149420529684</v>
      </c>
      <c r="M71" s="431">
        <v>32464.131123090126</v>
      </c>
      <c r="N71" s="489"/>
    </row>
    <row r="72" spans="2:36" ht="12" thickBot="1">
      <c r="B72" s="1223"/>
      <c r="C72" s="60"/>
      <c r="D72" s="408" t="s">
        <v>174</v>
      </c>
      <c r="E72" s="493">
        <f t="shared" ref="E72:M72" si="0">SUM(E58:E71)</f>
        <v>352383.74774749693</v>
      </c>
      <c r="F72" s="493">
        <f t="shared" si="0"/>
        <v>382400.61734193412</v>
      </c>
      <c r="G72" s="493">
        <f t="shared" si="0"/>
        <v>248957.99584293313</v>
      </c>
      <c r="H72" s="493">
        <f t="shared" si="0"/>
        <v>238439.00602479686</v>
      </c>
      <c r="I72" s="493">
        <f t="shared" si="0"/>
        <v>227237.59110766393</v>
      </c>
      <c r="J72" s="493">
        <f t="shared" si="0"/>
        <v>216615.44160652559</v>
      </c>
      <c r="K72" s="493">
        <f t="shared" si="0"/>
        <v>201901.3031330111</v>
      </c>
      <c r="L72" s="493">
        <f t="shared" si="0"/>
        <v>224090.21241791354</v>
      </c>
      <c r="M72" s="493">
        <f t="shared" si="0"/>
        <v>209964.4943255682</v>
      </c>
      <c r="N72" s="490"/>
      <c r="O72" s="897"/>
    </row>
    <row r="73" spans="2:36" ht="14.5">
      <c r="B73" s="1223"/>
      <c r="C73" s="60"/>
      <c r="D73" s="2" t="s">
        <v>416</v>
      </c>
      <c r="I73" s="228"/>
      <c r="J73" s="960"/>
      <c r="L73" s="1040"/>
      <c r="M73" s="1136"/>
      <c r="N73" s="1134"/>
      <c r="AI73"/>
      <c r="AJ73"/>
    </row>
    <row r="74" spans="2:36" ht="12" thickBot="1">
      <c r="B74" s="1223"/>
      <c r="C74" s="60"/>
      <c r="D74" s="133" t="s">
        <v>417</v>
      </c>
      <c r="E74" s="508"/>
      <c r="G74" s="507"/>
      <c r="J74" s="897"/>
      <c r="K74" s="1040"/>
      <c r="L74" s="1040"/>
      <c r="P74" s="14"/>
      <c r="Q74" s="194"/>
    </row>
    <row r="75" spans="2:36" ht="14.25" customHeight="1" thickBot="1">
      <c r="B75" s="1223"/>
      <c r="C75" s="60"/>
      <c r="D75" s="1"/>
      <c r="E75" s="1015" t="s">
        <v>412</v>
      </c>
      <c r="F75" s="1016" t="s">
        <v>413</v>
      </c>
      <c r="G75" s="1016" t="s">
        <v>137</v>
      </c>
      <c r="H75" s="1016" t="s">
        <v>138</v>
      </c>
      <c r="I75" s="1017" t="s">
        <v>139</v>
      </c>
      <c r="J75" s="1017" t="s">
        <v>140</v>
      </c>
      <c r="K75" s="1017" t="s">
        <v>141</v>
      </c>
      <c r="L75" s="1017" t="s">
        <v>126</v>
      </c>
      <c r="M75" s="1017" t="s">
        <v>142</v>
      </c>
      <c r="N75" s="1018" t="s">
        <v>143</v>
      </c>
      <c r="P75" s="1" t="s">
        <v>63</v>
      </c>
      <c r="Q75" s="1019" t="s">
        <v>137</v>
      </c>
      <c r="R75" s="1017" t="s">
        <v>138</v>
      </c>
      <c r="S75" s="1017" t="s">
        <v>139</v>
      </c>
      <c r="T75" s="1017" t="s">
        <v>140</v>
      </c>
      <c r="U75" s="1017" t="s">
        <v>141</v>
      </c>
      <c r="V75" s="1017" t="s">
        <v>126</v>
      </c>
      <c r="W75" s="1017" t="s">
        <v>142</v>
      </c>
      <c r="X75" s="1018" t="s">
        <v>143</v>
      </c>
    </row>
    <row r="76" spans="2:36">
      <c r="B76" s="1223"/>
      <c r="C76" s="60"/>
      <c r="D76" s="532" t="s">
        <v>161</v>
      </c>
      <c r="E76" s="1068">
        <f>((E58/'Guide &amp; drivers'!F42)*50%)+(E58/'Guide &amp; drivers'!F61)*50%</f>
        <v>0.1991138438633428</v>
      </c>
      <c r="F76" s="1069">
        <f>((F58/'Guide &amp; drivers'!G42)*50%)+(F58/'Guide &amp; drivers'!G61)*50%</f>
        <v>0.20526132666998356</v>
      </c>
      <c r="G76" s="1069">
        <f>((G58/'Guide &amp; drivers'!H42)*50%)+(G58/'Guide &amp; drivers'!H61)*50%</f>
        <v>0.1395663767651798</v>
      </c>
      <c r="H76" s="1069">
        <f>((H58/'Guide &amp; drivers'!I42)*50%)+(H58/'Guide &amp; drivers'!I61)*50%</f>
        <v>0.137225397276139</v>
      </c>
      <c r="I76" s="1069">
        <f>((I58/'Guide &amp; drivers'!J42)*50%)+(I58/'Guide &amp; drivers'!J61)*50%</f>
        <v>0.12636440436895949</v>
      </c>
      <c r="J76" s="1069">
        <f>((J58/'Guide &amp; drivers'!K42)*50%)+(J58/'Guide &amp; drivers'!K61)*50%</f>
        <v>0.11219268730212638</v>
      </c>
      <c r="K76" s="1069">
        <f>((K58/'Guide &amp; drivers'!L42)*50%)+(K58/'Guide &amp; drivers'!L61)*50%</f>
        <v>0.11190291653298794</v>
      </c>
      <c r="L76" s="1069">
        <f>((L58/'Guide &amp; drivers'!M42)*50%)+(L58/'Guide &amp; drivers'!M61)*50%</f>
        <v>9.6287946549079614E-2</v>
      </c>
      <c r="M76" s="1069">
        <f>((M58/'Guide &amp; drivers'!N42)*50%)+(M58/'Guide &amp; drivers'!N61)*50%</f>
        <v>8.5755505143985125E-2</v>
      </c>
      <c r="N76" s="489"/>
      <c r="P76" s="406" t="s">
        <v>161</v>
      </c>
      <c r="Q76" s="488">
        <f t="shared" ref="Q76:Q89" si="1">RANK(G76,$G$76:$G$89,1)</f>
        <v>5</v>
      </c>
      <c r="R76" s="488">
        <f t="shared" ref="R76:R89" si="2">RANK(H76,$H$76:$H$89,1)</f>
        <v>5</v>
      </c>
      <c r="S76" s="488">
        <f t="shared" ref="S76:S89" si="3">RANK(I76,$I$76:$I$89,1)</f>
        <v>4</v>
      </c>
      <c r="T76" s="488">
        <f t="shared" ref="T76:T89" si="4">RANK(J76,$J$76:$J$89,1)</f>
        <v>4</v>
      </c>
      <c r="U76" s="488">
        <f t="shared" ref="U76:U89" si="5">RANK(K76,$K$76:$K$89,1)</f>
        <v>6</v>
      </c>
      <c r="V76" s="488">
        <f t="shared" ref="V76:V89" si="6">RANK(L76,$L$76:$L$89,1)</f>
        <v>5</v>
      </c>
      <c r="W76" s="488">
        <f t="shared" ref="W76:W89" si="7">RANK(M76,$M$76:$M$89,1)</f>
        <v>5</v>
      </c>
      <c r="X76" s="221"/>
    </row>
    <row r="77" spans="2:36">
      <c r="B77" s="1223"/>
      <c r="C77" s="60"/>
      <c r="D77" s="533" t="s">
        <v>162</v>
      </c>
      <c r="E77" s="1068">
        <f>((E59/'Guide &amp; drivers'!F43)*50%)+(E59/'Guide &amp; drivers'!F62)*50%</f>
        <v>0.29383141276934277</v>
      </c>
      <c r="F77" s="1069">
        <f>((F59/'Guide &amp; drivers'!G43)*50%)+(F59/'Guide &amp; drivers'!G62)*50%</f>
        <v>0.28444576502161767</v>
      </c>
      <c r="G77" s="1069">
        <f>((G59/'Guide &amp; drivers'!H43)*50%)+(G59/'Guide &amp; drivers'!H62)*50%</f>
        <v>0.13126335844396192</v>
      </c>
      <c r="H77" s="1069">
        <f>((H59/'Guide &amp; drivers'!I43)*50%)+(H59/'Guide &amp; drivers'!I62)*50%</f>
        <v>0.11633978353042014</v>
      </c>
      <c r="I77" s="1069">
        <f>((I59/'Guide &amp; drivers'!J43)*50%)+(I59/'Guide &amp; drivers'!J62)*50%</f>
        <v>0.11271097016342214</v>
      </c>
      <c r="J77" s="1069">
        <f>((J59/'Guide &amp; drivers'!K43)*50%)+(J59/'Guide &amp; drivers'!K62)*50%</f>
        <v>9.2748565069819086E-2</v>
      </c>
      <c r="K77" s="1069">
        <f>((K59/'Guide &amp; drivers'!L43)*50%)+(K59/'Guide &amp; drivers'!L62)*50%</f>
        <v>8.9733605708945549E-2</v>
      </c>
      <c r="L77" s="1069">
        <f>((L59/'Guide &amp; drivers'!M43)*50%)+(L59/'Guide &amp; drivers'!M62)*50%</f>
        <v>7.8438347125381266E-2</v>
      </c>
      <c r="M77" s="1069">
        <f>((M59/'Guide &amp; drivers'!N43)*50%)+(M59/'Guide &amp; drivers'!N62)*50%</f>
        <v>7.3455670501911874E-2</v>
      </c>
      <c r="N77" s="489"/>
      <c r="P77" s="407" t="s">
        <v>162</v>
      </c>
      <c r="Q77" s="488">
        <f t="shared" si="1"/>
        <v>2</v>
      </c>
      <c r="R77" s="488">
        <f t="shared" si="2"/>
        <v>1</v>
      </c>
      <c r="S77" s="488">
        <f t="shared" si="3"/>
        <v>2</v>
      </c>
      <c r="T77" s="488">
        <f t="shared" si="4"/>
        <v>1</v>
      </c>
      <c r="U77" s="488">
        <f t="shared" si="5"/>
        <v>3</v>
      </c>
      <c r="V77" s="488">
        <f t="shared" si="6"/>
        <v>4</v>
      </c>
      <c r="W77" s="488">
        <f t="shared" si="7"/>
        <v>2</v>
      </c>
      <c r="X77" s="221"/>
    </row>
    <row r="78" spans="2:36" ht="14.25" customHeight="1">
      <c r="B78" s="1223"/>
      <c r="C78" s="60"/>
      <c r="D78" s="533" t="s">
        <v>163</v>
      </c>
      <c r="E78" s="1068">
        <f>((E60/'Guide &amp; drivers'!F44)*50%)+(E60/'Guide &amp; drivers'!F63)*50%</f>
        <v>0.25436620229555307</v>
      </c>
      <c r="F78" s="1069">
        <f>((F60/'Guide &amp; drivers'!G44)*50%)+(F60/'Guide &amp; drivers'!G63)*50%</f>
        <v>0.27519349889028927</v>
      </c>
      <c r="G78" s="1069">
        <f>((G60/'Guide &amp; drivers'!H44)*50%)+(G60/'Guide &amp; drivers'!H63)*50%</f>
        <v>0.13830769610000274</v>
      </c>
      <c r="H78" s="1069">
        <f>((H60/'Guide &amp; drivers'!I44)*50%)+(H60/'Guide &amp; drivers'!I63)*50%</f>
        <v>0.13124744976758251</v>
      </c>
      <c r="I78" s="1069">
        <f>((I60/'Guide &amp; drivers'!J44)*50%)+(I60/'Guide &amp; drivers'!J63)*50%</f>
        <v>0.11411260852282304</v>
      </c>
      <c r="J78" s="1069">
        <f>((J60/'Guide &amp; drivers'!K44)*50%)+(J60/'Guide &amp; drivers'!K63)*50%</f>
        <v>9.5145993458880126E-2</v>
      </c>
      <c r="K78" s="1069">
        <f>((K60/'Guide &amp; drivers'!L44)*50%)+(K60/'Guide &amp; drivers'!L63)*50%</f>
        <v>8.8022633546106663E-2</v>
      </c>
      <c r="L78" s="1069">
        <f>((L60/'Guide &amp; drivers'!M44)*50%)+(L60/'Guide &amp; drivers'!M63)*50%</f>
        <v>7.7083505979374314E-2</v>
      </c>
      <c r="M78" s="1069">
        <f>((M60/'Guide &amp; drivers'!N44)*50%)+(M60/'Guide &amp; drivers'!N63)*50%</f>
        <v>7.8403542827601314E-2</v>
      </c>
      <c r="N78" s="489"/>
      <c r="P78" s="407" t="s">
        <v>163</v>
      </c>
      <c r="Q78" s="488">
        <f t="shared" si="1"/>
        <v>3</v>
      </c>
      <c r="R78" s="488">
        <f t="shared" si="2"/>
        <v>3</v>
      </c>
      <c r="S78" s="488">
        <f t="shared" si="3"/>
        <v>3</v>
      </c>
      <c r="T78" s="488">
        <f t="shared" si="4"/>
        <v>2</v>
      </c>
      <c r="U78" s="488">
        <f t="shared" si="5"/>
        <v>2</v>
      </c>
      <c r="V78" s="488">
        <f t="shared" si="6"/>
        <v>3</v>
      </c>
      <c r="W78" s="488">
        <f t="shared" si="7"/>
        <v>4</v>
      </c>
      <c r="X78" s="221"/>
    </row>
    <row r="79" spans="2:36">
      <c r="B79" s="1223"/>
      <c r="C79" s="60"/>
      <c r="D79" s="533" t="s">
        <v>164</v>
      </c>
      <c r="E79" s="1068">
        <f>((E61/'Guide &amp; drivers'!F45)*50%)+(E61/'Guide &amp; drivers'!F64)*50%</f>
        <v>0.23381545639027365</v>
      </c>
      <c r="F79" s="1069">
        <f>((F61/'Guide &amp; drivers'!G45)*50%)+(F61/'Guide &amp; drivers'!G64)*50%</f>
        <v>0.23613821254543346</v>
      </c>
      <c r="G79" s="1069">
        <f>((G61/'Guide &amp; drivers'!H45)*50%)+(G61/'Guide &amp; drivers'!H64)*50%</f>
        <v>0.21320908774122974</v>
      </c>
      <c r="H79" s="1069">
        <f>((H61/'Guide &amp; drivers'!I45)*50%)+(H61/'Guide &amp; drivers'!I64)*50%</f>
        <v>0.18221745896709957</v>
      </c>
      <c r="I79" s="1069">
        <f>((I61/'Guide &amp; drivers'!J45)*50%)+(I61/'Guide &amp; drivers'!J64)*50%</f>
        <v>0.16474237874143857</v>
      </c>
      <c r="J79" s="1069">
        <f>((J61/'Guide &amp; drivers'!K45)*50%)+(J61/'Guide &amp; drivers'!K64)*50%</f>
        <v>0.13643836231536605</v>
      </c>
      <c r="K79" s="1069">
        <f>((K61/'Guide &amp; drivers'!L45)*50%)+(K61/'Guide &amp; drivers'!L64)*50%</f>
        <v>0.11419351029081042</v>
      </c>
      <c r="L79" s="1069">
        <f>((L61/'Guide &amp; drivers'!M45)*50%)+(L61/'Guide &amp; drivers'!M64)*50%</f>
        <v>0.1164100271134887</v>
      </c>
      <c r="M79" s="1069">
        <f>((M61/'Guide &amp; drivers'!N45)*50%)+(M61/'Guide &amp; drivers'!N64)*50%</f>
        <v>0.10956030289578472</v>
      </c>
      <c r="N79" s="489"/>
      <c r="P79" s="407" t="s">
        <v>164</v>
      </c>
      <c r="Q79" s="488">
        <f t="shared" si="1"/>
        <v>14</v>
      </c>
      <c r="R79" s="488">
        <f t="shared" si="2"/>
        <v>12</v>
      </c>
      <c r="S79" s="488">
        <f t="shared" si="3"/>
        <v>10</v>
      </c>
      <c r="T79" s="488">
        <f t="shared" si="4"/>
        <v>8</v>
      </c>
      <c r="U79" s="488">
        <f t="shared" si="5"/>
        <v>7</v>
      </c>
      <c r="V79" s="488">
        <f t="shared" si="6"/>
        <v>8</v>
      </c>
      <c r="W79" s="488">
        <f t="shared" si="7"/>
        <v>8</v>
      </c>
      <c r="X79" s="221"/>
    </row>
    <row r="80" spans="2:36">
      <c r="B80" s="1223"/>
      <c r="C80" s="60"/>
      <c r="D80" s="533" t="s">
        <v>165</v>
      </c>
      <c r="E80" s="1068">
        <f>((E62/'Guide &amp; drivers'!F46)*50%)+(E62/'Guide &amp; drivers'!F65)*50%</f>
        <v>0.21407204630632085</v>
      </c>
      <c r="F80" s="1069">
        <f>((F62/'Guide &amp; drivers'!G46)*50%)+(F62/'Guide &amp; drivers'!G65)*50%</f>
        <v>0.21310841769892558</v>
      </c>
      <c r="G80" s="1069">
        <f>((G62/'Guide &amp; drivers'!H46)*50%)+(G62/'Guide &amp; drivers'!H65)*50%</f>
        <v>0.16077375378516412</v>
      </c>
      <c r="H80" s="1069">
        <f>((H62/'Guide &amp; drivers'!I46)*50%)+(H62/'Guide &amp; drivers'!I65)*50%</f>
        <v>0.14777053807666743</v>
      </c>
      <c r="I80" s="1069">
        <f>((I62/'Guide &amp; drivers'!J46)*50%)+(I62/'Guide &amp; drivers'!J65)*50%</f>
        <v>0.13638993157400328</v>
      </c>
      <c r="J80" s="1069">
        <f>((J62/'Guide &amp; drivers'!K46)*50%)+(J62/'Guide &amp; drivers'!K65)*50%</f>
        <v>0.13194921618082242</v>
      </c>
      <c r="K80" s="1069">
        <f>((K62/'Guide &amp; drivers'!L46)*50%)+(K62/'Guide &amp; drivers'!L65)*50%</f>
        <v>0.12670939939685824</v>
      </c>
      <c r="L80" s="1069">
        <f>((L62/'Guide &amp; drivers'!M46)*50%)+(L62/'Guide &amp; drivers'!M65)*50%</f>
        <v>0.1072833328333069</v>
      </c>
      <c r="M80" s="1069">
        <f>((M62/'Guide &amp; drivers'!N46)*50%)+(M62/'Guide &amp; drivers'!N65)*50%</f>
        <v>9.714502874156937E-2</v>
      </c>
      <c r="N80" s="489"/>
      <c r="P80" s="407" t="s">
        <v>165</v>
      </c>
      <c r="Q80" s="488">
        <f t="shared" si="1"/>
        <v>7</v>
      </c>
      <c r="R80" s="488">
        <f t="shared" si="2"/>
        <v>7</v>
      </c>
      <c r="S80" s="488">
        <f t="shared" si="3"/>
        <v>7</v>
      </c>
      <c r="T80" s="488">
        <f t="shared" si="4"/>
        <v>7</v>
      </c>
      <c r="U80" s="488">
        <f t="shared" si="5"/>
        <v>8</v>
      </c>
      <c r="V80" s="488">
        <f t="shared" si="6"/>
        <v>7</v>
      </c>
      <c r="W80" s="488">
        <f t="shared" si="7"/>
        <v>6</v>
      </c>
      <c r="X80" s="221"/>
    </row>
    <row r="81" spans="2:26">
      <c r="B81" s="1223"/>
      <c r="C81" s="60"/>
      <c r="D81" s="533" t="s">
        <v>166</v>
      </c>
      <c r="E81" s="1068">
        <f>((E63/'Guide &amp; drivers'!F47)*50%)+(E63/'Guide &amp; drivers'!F66)*50%</f>
        <v>0.19490241423938232</v>
      </c>
      <c r="F81" s="1069">
        <f>((F63/'Guide &amp; drivers'!G47)*50%)+(F63/'Guide &amp; drivers'!G66)*50%</f>
        <v>0.26541149949721193</v>
      </c>
      <c r="G81" s="1069">
        <f>((G63/'Guide &amp; drivers'!H47)*50%)+(G63/'Guide &amp; drivers'!H66)*50%</f>
        <v>0.19741048686415755</v>
      </c>
      <c r="H81" s="1069">
        <f>((H63/'Guide &amp; drivers'!I47)*50%)+(H63/'Guide &amp; drivers'!I66)*50%</f>
        <v>0.1799824165368768</v>
      </c>
      <c r="I81" s="1069">
        <f>((I63/'Guide &amp; drivers'!J47)*50%)+(I63/'Guide &amp; drivers'!J66)*50%</f>
        <v>0.17555203265878341</v>
      </c>
      <c r="J81" s="1069">
        <f>((J63/'Guide &amp; drivers'!K47)*50%)+(J63/'Guide &amp; drivers'!K66)*50%</f>
        <v>0.1749679178524671</v>
      </c>
      <c r="K81" s="1069">
        <f>((K63/'Guide &amp; drivers'!L47)*50%)+(K63/'Guide &amp; drivers'!L66)*50%</f>
        <v>0.13574106585209353</v>
      </c>
      <c r="L81" s="1069">
        <f>((L63/'Guide &amp; drivers'!M47)*50%)+(L63/'Guide &amp; drivers'!M66)*50%</f>
        <v>0.11908898001355754</v>
      </c>
      <c r="M81" s="1069">
        <f>((M63/'Guide &amp; drivers'!N47)*50%)+(M63/'Guide &amp; drivers'!N66)*50%</f>
        <v>0.13515643853203471</v>
      </c>
      <c r="N81" s="489"/>
      <c r="P81" s="407" t="s">
        <v>166</v>
      </c>
      <c r="Q81" s="488">
        <f t="shared" si="1"/>
        <v>13</v>
      </c>
      <c r="R81" s="488">
        <f t="shared" si="2"/>
        <v>11</v>
      </c>
      <c r="S81" s="488">
        <f t="shared" si="3"/>
        <v>13</v>
      </c>
      <c r="T81" s="488">
        <f t="shared" si="4"/>
        <v>13</v>
      </c>
      <c r="U81" s="488">
        <f t="shared" si="5"/>
        <v>9</v>
      </c>
      <c r="V81" s="488">
        <f t="shared" si="6"/>
        <v>10</v>
      </c>
      <c r="W81" s="488">
        <f t="shared" si="7"/>
        <v>11</v>
      </c>
      <c r="X81" s="221"/>
    </row>
    <row r="82" spans="2:26">
      <c r="B82" s="1223"/>
      <c r="C82" s="60"/>
      <c r="D82" s="533" t="s">
        <v>167</v>
      </c>
      <c r="E82" s="1068">
        <f>((E64/'Guide &amp; drivers'!F48)*50%)+(E64/'Guide &amp; drivers'!F67)*50%</f>
        <v>0.23447875386835412</v>
      </c>
      <c r="F82" s="1069">
        <f>((F64/'Guide &amp; drivers'!G48)*50%)+(F64/'Guide &amp; drivers'!G67)*50%</f>
        <v>0.24016064706937792</v>
      </c>
      <c r="G82" s="1069">
        <f>((G64/'Guide &amp; drivers'!H48)*50%)+(G64/'Guide &amp; drivers'!H67)*50%</f>
        <v>0.17968574521833433</v>
      </c>
      <c r="H82" s="1069">
        <f>((H64/'Guide &amp; drivers'!I48)*50%)+(H64/'Guide &amp; drivers'!I67)*50%</f>
        <v>0.16018934582928152</v>
      </c>
      <c r="I82" s="1069">
        <f>((I64/'Guide &amp; drivers'!J48)*50%)+(I64/'Guide &amp; drivers'!J67)*50%</f>
        <v>0.1547060763899013</v>
      </c>
      <c r="J82" s="1069">
        <f>((J64/'Guide &amp; drivers'!K48)*50%)+(J64/'Guide &amp; drivers'!K67)*50%</f>
        <v>0.15567144155625445</v>
      </c>
      <c r="K82" s="1069">
        <f>((K64/'Guide &amp; drivers'!L48)*50%)+(K64/'Guide &amp; drivers'!L67)*50%</f>
        <v>0.14360126679954566</v>
      </c>
      <c r="L82" s="1069">
        <f>((L64/'Guide &amp; drivers'!M48)*50%)+(L64/'Guide &amp; drivers'!M67)*50%</f>
        <v>0.11899238607501766</v>
      </c>
      <c r="M82" s="1069">
        <f>((M64/'Guide &amp; drivers'!N48)*50%)+(M64/'Guide &amp; drivers'!N67)*50%</f>
        <v>0.11798953844198247</v>
      </c>
      <c r="N82" s="489"/>
      <c r="P82" s="407" t="s">
        <v>167</v>
      </c>
      <c r="Q82" s="488">
        <f t="shared" si="1"/>
        <v>10</v>
      </c>
      <c r="R82" s="488">
        <f t="shared" si="2"/>
        <v>8</v>
      </c>
      <c r="S82" s="488">
        <f t="shared" si="3"/>
        <v>9</v>
      </c>
      <c r="T82" s="488">
        <f t="shared" si="4"/>
        <v>10</v>
      </c>
      <c r="U82" s="488">
        <f t="shared" si="5"/>
        <v>11</v>
      </c>
      <c r="V82" s="488">
        <f t="shared" si="6"/>
        <v>9</v>
      </c>
      <c r="W82" s="488">
        <f t="shared" si="7"/>
        <v>9</v>
      </c>
      <c r="X82" s="221"/>
    </row>
    <row r="83" spans="2:26">
      <c r="B83" s="1223"/>
      <c r="C83" s="60"/>
      <c r="D83" s="533" t="s">
        <v>168</v>
      </c>
      <c r="E83" s="1068">
        <f>((E65/'Guide &amp; drivers'!F49)*50%)+(E65/'Guide &amp; drivers'!F68)*50%</f>
        <v>0.22866515723299274</v>
      </c>
      <c r="F83" s="1069">
        <f>((F65/'Guide &amp; drivers'!G49)*50%)+(F65/'Guide &amp; drivers'!G68)*50%</f>
        <v>0.27267110586618337</v>
      </c>
      <c r="G83" s="1069">
        <f>((G65/'Guide &amp; drivers'!H49)*50%)+(G65/'Guide &amp; drivers'!H68)*50%</f>
        <v>0.19498515580500367</v>
      </c>
      <c r="H83" s="1069">
        <f>((H65/'Guide &amp; drivers'!I49)*50%)+(H65/'Guide &amp; drivers'!I68)*50%</f>
        <v>0.2029013953498871</v>
      </c>
      <c r="I83" s="1069">
        <f>((I65/'Guide &amp; drivers'!J49)*50%)+(I65/'Guide &amp; drivers'!J68)*50%</f>
        <v>0.17505684308178918</v>
      </c>
      <c r="J83" s="1069">
        <f>((J65/'Guide &amp; drivers'!K49)*50%)+(J65/'Guide &amp; drivers'!K68)*50%</f>
        <v>0.16094840380255226</v>
      </c>
      <c r="K83" s="1069">
        <f>((K65/'Guide &amp; drivers'!L49)*50%)+(K65/'Guide &amp; drivers'!L68)*50%</f>
        <v>0.1694397891717635</v>
      </c>
      <c r="L83" s="1069">
        <f>((L65/'Guide &amp; drivers'!M49)*50%)+(L65/'Guide &amp; drivers'!M68)*50%</f>
        <v>0.15656449786091839</v>
      </c>
      <c r="M83" s="1069">
        <f>((M65/'Guide &amp; drivers'!N49)*50%)+(M65/'Guide &amp; drivers'!N68)*50%</f>
        <v>0.15458581670323734</v>
      </c>
      <c r="N83" s="489"/>
      <c r="P83" s="407" t="s">
        <v>168</v>
      </c>
      <c r="Q83" s="488">
        <f t="shared" si="1"/>
        <v>12</v>
      </c>
      <c r="R83" s="488">
        <f t="shared" si="2"/>
        <v>14</v>
      </c>
      <c r="S83" s="488">
        <f t="shared" si="3"/>
        <v>12</v>
      </c>
      <c r="T83" s="488">
        <f t="shared" si="4"/>
        <v>11</v>
      </c>
      <c r="U83" s="488">
        <f t="shared" si="5"/>
        <v>13</v>
      </c>
      <c r="V83" s="488">
        <f t="shared" si="6"/>
        <v>12</v>
      </c>
      <c r="W83" s="488">
        <f t="shared" si="7"/>
        <v>12</v>
      </c>
      <c r="X83" s="221"/>
    </row>
    <row r="84" spans="2:26">
      <c r="B84" s="1223"/>
      <c r="C84" s="60"/>
      <c r="D84" s="533" t="s">
        <v>169</v>
      </c>
      <c r="E84" s="1068">
        <f>((E66/'Guide &amp; drivers'!F50)*50%)+(E66/'Guide &amp; drivers'!F69)*50%</f>
        <v>0.26182678526808778</v>
      </c>
      <c r="F84" s="1069">
        <f>((F66/'Guide &amp; drivers'!G50)*50%)+(F66/'Guide &amp; drivers'!G69)*50%</f>
        <v>0.24246330210327952</v>
      </c>
      <c r="G84" s="1069">
        <f>((G66/'Guide &amp; drivers'!H50)*50%)+(G66/'Guide &amp; drivers'!H69)*50%</f>
        <v>0.17130604313627559</v>
      </c>
      <c r="H84" s="1069">
        <f>((H66/'Guide &amp; drivers'!I50)*50%)+(H66/'Guide &amp; drivers'!I69)*50%</f>
        <v>0.16130210331268741</v>
      </c>
      <c r="I84" s="1069">
        <f>((I66/'Guide &amp; drivers'!J50)*50%)+(I66/'Guide &amp; drivers'!J69)*50%</f>
        <v>0.15059490998559255</v>
      </c>
      <c r="J84" s="1069">
        <f>((J66/'Guide &amp; drivers'!K50)*50%)+(J66/'Guide &amp; drivers'!K69)*50%</f>
        <v>0.153080242561104</v>
      </c>
      <c r="K84" s="1069">
        <f>((K66/'Guide &amp; drivers'!L50)*50%)+(K66/'Guide &amp; drivers'!L69)*50%</f>
        <v>0.13884826278455792</v>
      </c>
      <c r="L84" s="1069">
        <f>((L66/'Guide &amp; drivers'!M50)*50%)+(L66/'Guide &amp; drivers'!M69)*50%</f>
        <v>0.12924726693588251</v>
      </c>
      <c r="M84" s="1069">
        <f>((M66/'Guide &amp; drivers'!N50)*50%)+(M66/'Guide &amp; drivers'!N69)*50%</f>
        <v>0.12480727943479476</v>
      </c>
      <c r="N84" s="489"/>
      <c r="P84" s="407" t="s">
        <v>169</v>
      </c>
      <c r="Q84" s="488">
        <f t="shared" si="1"/>
        <v>8</v>
      </c>
      <c r="R84" s="488">
        <f t="shared" si="2"/>
        <v>9</v>
      </c>
      <c r="S84" s="488">
        <f t="shared" si="3"/>
        <v>8</v>
      </c>
      <c r="T84" s="488">
        <f t="shared" si="4"/>
        <v>9</v>
      </c>
      <c r="U84" s="488">
        <f t="shared" si="5"/>
        <v>10</v>
      </c>
      <c r="V84" s="488">
        <f t="shared" si="6"/>
        <v>11</v>
      </c>
      <c r="W84" s="488">
        <f t="shared" si="7"/>
        <v>10</v>
      </c>
      <c r="X84" s="221"/>
    </row>
    <row r="85" spans="2:26">
      <c r="B85" s="1223"/>
      <c r="C85" s="60"/>
      <c r="D85" s="533" t="s">
        <v>170</v>
      </c>
      <c r="E85" s="1068">
        <f>((E67/'Guide &amp; drivers'!F51)*50%)+(E67/'Guide &amp; drivers'!F70)*50%</f>
        <v>0.18816865752138826</v>
      </c>
      <c r="F85" s="1069">
        <f>((F67/'Guide &amp; drivers'!G51)*50%)+(F67/'Guide &amp; drivers'!G70)*50%</f>
        <v>0.17242235816030926</v>
      </c>
      <c r="G85" s="1069">
        <f>((G67/'Guide &amp; drivers'!H51)*50%)+(G67/'Guide &amp; drivers'!H70)*50%</f>
        <v>0.12464978949267687</v>
      </c>
      <c r="H85" s="1069">
        <f>((H67/'Guide &amp; drivers'!I51)*50%)+(H67/'Guide &amp; drivers'!I70)*50%</f>
        <v>0.13718846529341183</v>
      </c>
      <c r="I85" s="1069">
        <f>((I67/'Guide &amp; drivers'!J51)*50%)+(I67/'Guide &amp; drivers'!J70)*50%</f>
        <v>0.13043698105524079</v>
      </c>
      <c r="J85" s="1069">
        <f>((J67/'Guide &amp; drivers'!K51)*50%)+(J67/'Guide &amp; drivers'!K70)*50%</f>
        <v>0.11750515663844333</v>
      </c>
      <c r="K85" s="1069">
        <f>((K67/'Guide &amp; drivers'!L51)*50%)+(K67/'Guide &amp; drivers'!L70)*50%</f>
        <v>0.10415354563317811</v>
      </c>
      <c r="L85" s="1069">
        <f>((L67/'Guide &amp; drivers'!M51)*50%)+(L67/'Guide &amp; drivers'!M70)*50%</f>
        <v>0.10421280005333043</v>
      </c>
      <c r="M85" s="1069">
        <f>((M67/'Guide &amp; drivers'!N51)*50%)+(M67/'Guide &amp; drivers'!N70)*50%</f>
        <v>0.10090491823330096</v>
      </c>
      <c r="N85" s="489"/>
      <c r="P85" s="407" t="s">
        <v>170</v>
      </c>
      <c r="Q85" s="488">
        <f t="shared" si="1"/>
        <v>1</v>
      </c>
      <c r="R85" s="488">
        <f t="shared" si="2"/>
        <v>4</v>
      </c>
      <c r="S85" s="488">
        <f t="shared" si="3"/>
        <v>6</v>
      </c>
      <c r="T85" s="488">
        <f t="shared" si="4"/>
        <v>5</v>
      </c>
      <c r="U85" s="488">
        <f t="shared" si="5"/>
        <v>5</v>
      </c>
      <c r="V85" s="488">
        <f t="shared" si="6"/>
        <v>6</v>
      </c>
      <c r="W85" s="488">
        <f t="shared" si="7"/>
        <v>7</v>
      </c>
      <c r="X85" s="221"/>
    </row>
    <row r="86" spans="2:26">
      <c r="B86" s="1223"/>
      <c r="C86" s="60"/>
      <c r="D86" s="533" t="s">
        <v>414</v>
      </c>
      <c r="E86" s="1068">
        <f>((E68/'Guide &amp; drivers'!F52)*50%)+(E68/'Guide &amp; drivers'!F71)*50%</f>
        <v>0.2789525521451246</v>
      </c>
      <c r="F86" s="1069">
        <f>((F68/'Guide &amp; drivers'!G52)*50%)+(F68/'Guide &amp; drivers'!G71)*50%</f>
        <v>0.21825755035588834</v>
      </c>
      <c r="G86" s="1069">
        <f>((G68/'Guide &amp; drivers'!H52)*50%)+(G68/'Guide &amp; drivers'!H71)*50%</f>
        <v>0.13876585953825019</v>
      </c>
      <c r="H86" s="1069">
        <f>((H68/'Guide &amp; drivers'!I52)*50%)+(H68/'Guide &amp; drivers'!I71)*50%</f>
        <v>0.11944270665760877</v>
      </c>
      <c r="I86" s="1069">
        <f>((I68/'Guide &amp; drivers'!J52)*50%)+(I68/'Guide &amp; drivers'!J71)*50%</f>
        <v>0.1072549081283298</v>
      </c>
      <c r="J86" s="1069">
        <f>((J68/'Guide &amp; drivers'!K52)*50%)+(J68/'Guide &amp; drivers'!K71)*50%</f>
        <v>0.10452611112178353</v>
      </c>
      <c r="K86" s="1069">
        <f>((K68/'Guide &amp; drivers'!L52)*50%)+(K68/'Guide &amp; drivers'!L71)*50%</f>
        <v>8.462554113935393E-2</v>
      </c>
      <c r="L86" s="1069">
        <f>((L68/'Guide &amp; drivers'!M52)*50%)+(L68/'Guide &amp; drivers'!M71)*50%</f>
        <v>5.388649423382362E-2</v>
      </c>
      <c r="M86" s="1069">
        <f>((M68/'Guide &amp; drivers'!N52)*50%)+(M68/'Guide &amp; drivers'!N71)*50%</f>
        <v>5.8068132275938052E-2</v>
      </c>
      <c r="N86" s="489"/>
      <c r="P86" s="407" t="s">
        <v>171</v>
      </c>
      <c r="Q86" s="488">
        <f t="shared" si="1"/>
        <v>4</v>
      </c>
      <c r="R86" s="488">
        <f t="shared" si="2"/>
        <v>2</v>
      </c>
      <c r="S86" s="488">
        <f t="shared" si="3"/>
        <v>1</v>
      </c>
      <c r="T86" s="488">
        <f t="shared" si="4"/>
        <v>3</v>
      </c>
      <c r="U86" s="488">
        <f t="shared" si="5"/>
        <v>1</v>
      </c>
      <c r="V86" s="488">
        <f t="shared" si="6"/>
        <v>1</v>
      </c>
      <c r="W86" s="488">
        <f t="shared" si="7"/>
        <v>1</v>
      </c>
      <c r="X86" s="221"/>
    </row>
    <row r="87" spans="2:26">
      <c r="B87" s="1223"/>
      <c r="C87" s="60"/>
      <c r="D87" s="533" t="s">
        <v>415</v>
      </c>
      <c r="E87" s="1068">
        <f>((E69/'Guide &amp; drivers'!F53)*50%)+(E69/'Guide &amp; drivers'!F72)*50%</f>
        <v>0.16811382951328369</v>
      </c>
      <c r="F87" s="1069">
        <f>((F69/'Guide &amp; drivers'!G53)*50%)+(F69/'Guide &amp; drivers'!G72)*50%</f>
        <v>0.28799187273497523</v>
      </c>
      <c r="G87" s="1069">
        <f>((G69/'Guide &amp; drivers'!H53)*50%)+(G69/'Guide &amp; drivers'!H72)*50%</f>
        <v>0.13988964168345011</v>
      </c>
      <c r="H87" s="1069">
        <f>((H69/'Guide &amp; drivers'!I53)*50%)+(H69/'Guide &amp; drivers'!I72)*50%</f>
        <v>0.13807317728349017</v>
      </c>
      <c r="I87" s="1069">
        <f>((I69/'Guide &amp; drivers'!J53)*50%)+(I69/'Guide &amp; drivers'!J72)*50%</f>
        <v>0.1266377275011249</v>
      </c>
      <c r="J87" s="1069">
        <f>((J69/'Guide &amp; drivers'!K53)*50%)+(J69/'Guide &amp; drivers'!K72)*50%</f>
        <v>0.12901784676649775</v>
      </c>
      <c r="K87" s="1069">
        <f>((K69/'Guide &amp; drivers'!L53)*50%)+(K69/'Guide &amp; drivers'!L72)*50%</f>
        <v>8.9874302133714085E-2</v>
      </c>
      <c r="L87" s="1069">
        <f>((L69/'Guide &amp; drivers'!M53)*50%)+(L69/'Guide &amp; drivers'!M72)*50%</f>
        <v>7.2915772361916001E-2</v>
      </c>
      <c r="M87" s="1069">
        <f>((M69/'Guide &amp; drivers'!N53)*50%)+(M69/'Guide &amp; drivers'!N72)*50%</f>
        <v>7.5261308577667302E-2</v>
      </c>
      <c r="N87" s="489"/>
      <c r="P87" s="407" t="s">
        <v>172</v>
      </c>
      <c r="Q87" s="488">
        <f t="shared" si="1"/>
        <v>6</v>
      </c>
      <c r="R87" s="488">
        <f t="shared" si="2"/>
        <v>6</v>
      </c>
      <c r="S87" s="488">
        <f t="shared" si="3"/>
        <v>5</v>
      </c>
      <c r="T87" s="488">
        <f t="shared" si="4"/>
        <v>6</v>
      </c>
      <c r="U87" s="488">
        <f t="shared" si="5"/>
        <v>4</v>
      </c>
      <c r="V87" s="488">
        <f t="shared" si="6"/>
        <v>2</v>
      </c>
      <c r="W87" s="488">
        <f t="shared" si="7"/>
        <v>3</v>
      </c>
      <c r="X87" s="221"/>
    </row>
    <row r="88" spans="2:26">
      <c r="B88" s="1223"/>
      <c r="C88" s="60"/>
      <c r="D88" s="533" t="s">
        <v>28</v>
      </c>
      <c r="E88" s="1068">
        <f>((E70/'Guide &amp; drivers'!F54)*50%)+(E70/'Guide &amp; drivers'!F73)*50%</f>
        <v>0.26179730424483399</v>
      </c>
      <c r="F88" s="1069">
        <f>((F70/'Guide &amp; drivers'!G54)*50%)+(F70/'Guide &amp; drivers'!G73)*50%</f>
        <v>0.48193438631192825</v>
      </c>
      <c r="G88" s="1069">
        <f>((G70/'Guide &amp; drivers'!H54)*50%)+(G70/'Guide &amp; drivers'!H73)*50%</f>
        <v>0.18604820411161249</v>
      </c>
      <c r="H88" s="1069">
        <f>((H70/'Guide &amp; drivers'!I54)*50%)+(H70/'Guide &amp; drivers'!I73)*50%</f>
        <v>0.18911298291174361</v>
      </c>
      <c r="I88" s="1069">
        <f>((I70/'Guide &amp; drivers'!J54)*50%)+(I70/'Guide &amp; drivers'!J73)*50%</f>
        <v>0.23226643731734367</v>
      </c>
      <c r="J88" s="1069">
        <f>((J70/'Guide &amp; drivers'!K54)*50%)+(J70/'Guide &amp; drivers'!K73)*50%</f>
        <v>0.26006429567460815</v>
      </c>
      <c r="K88" s="1069">
        <f>((K70/'Guide &amp; drivers'!L54)*50%)+(K70/'Guide &amp; drivers'!L73)*50%</f>
        <v>0.28708760209000939</v>
      </c>
      <c r="L88" s="1069">
        <f>((L70/'Guide &amp; drivers'!M54)*50%)+(L70/'Guide &amp; drivers'!M73)*50%</f>
        <v>0.63856862459180397</v>
      </c>
      <c r="M88" s="1069">
        <f>((M70/'Guide &amp; drivers'!N54)*50%)+(M70/'Guide &amp; drivers'!N73)*50%</f>
        <v>0.49919074336260399</v>
      </c>
      <c r="N88" s="489"/>
      <c r="P88" s="407" t="s">
        <v>28</v>
      </c>
      <c r="Q88" s="488">
        <f t="shared" si="1"/>
        <v>11</v>
      </c>
      <c r="R88" s="488">
        <f t="shared" si="2"/>
        <v>13</v>
      </c>
      <c r="S88" s="488">
        <f t="shared" si="3"/>
        <v>14</v>
      </c>
      <c r="T88" s="488">
        <f t="shared" si="4"/>
        <v>14</v>
      </c>
      <c r="U88" s="488">
        <f t="shared" si="5"/>
        <v>14</v>
      </c>
      <c r="V88" s="488">
        <f t="shared" si="6"/>
        <v>14</v>
      </c>
      <c r="W88" s="488">
        <f>RANK(M88,$M$76:$M$89,1)</f>
        <v>14</v>
      </c>
      <c r="X88" s="221"/>
    </row>
    <row r="89" spans="2:26" ht="12" thickBot="1">
      <c r="B89" s="1223"/>
      <c r="C89" s="60"/>
      <c r="D89" s="533" t="s">
        <v>173</v>
      </c>
      <c r="E89" s="1068">
        <f>((E71/'Guide &amp; drivers'!F55)*50%)+(E71/'Guide &amp; drivers'!F74)*50%</f>
        <v>0.2364617812110299</v>
      </c>
      <c r="F89" s="1069">
        <f>((F71/'Guide &amp; drivers'!G55)*50%)+(F71/'Guide &amp; drivers'!G74)*50%</f>
        <v>0.22647173498227108</v>
      </c>
      <c r="G89" s="1069">
        <f>((G71/'Guide &amp; drivers'!H55)*50%)+(G71/'Guide &amp; drivers'!H74)*50%</f>
        <v>0.17516496794161487</v>
      </c>
      <c r="H89" s="1069">
        <f>((H71/'Guide &amp; drivers'!I55)*50%)+(H71/'Guide &amp; drivers'!I74)*50%</f>
        <v>0.17599523013938223</v>
      </c>
      <c r="I89" s="1069">
        <f>((I71/'Guide &amp; drivers'!J55)*50%)+(I71/'Guide &amp; drivers'!J74)*50%</f>
        <v>0.16939432603658891</v>
      </c>
      <c r="J89" s="1069">
        <f>((J71/'Guide &amp; drivers'!K55)*50%)+(J71/'Guide &amp; drivers'!K74)*50%</f>
        <v>0.16170531493695778</v>
      </c>
      <c r="K89" s="1069">
        <f>((K71/'Guide &amp; drivers'!L55)*50%)+(K71/'Guide &amp; drivers'!L74)*50%</f>
        <v>0.16163697676153752</v>
      </c>
      <c r="L89" s="1069">
        <f>((L71/'Guide &amp; drivers'!M55)*50%)+(L71/'Guide &amp; drivers'!M74)*50%</f>
        <v>0.20186069196679954</v>
      </c>
      <c r="M89" s="1069">
        <f>((M71/'Guide &amp; drivers'!N55)*50%)+(M71/'Guide &amp; drivers'!N74)*50%</f>
        <v>0.21143590643253987</v>
      </c>
      <c r="N89" s="489"/>
      <c r="P89" s="413" t="s">
        <v>173</v>
      </c>
      <c r="Q89" s="523">
        <f t="shared" si="1"/>
        <v>9</v>
      </c>
      <c r="R89" s="523">
        <f t="shared" si="2"/>
        <v>10</v>
      </c>
      <c r="S89" s="523">
        <f t="shared" si="3"/>
        <v>11</v>
      </c>
      <c r="T89" s="523">
        <f t="shared" si="4"/>
        <v>12</v>
      </c>
      <c r="U89" s="523">
        <f t="shared" si="5"/>
        <v>12</v>
      </c>
      <c r="V89" s="523">
        <f t="shared" si="6"/>
        <v>13</v>
      </c>
      <c r="W89" s="523">
        <f t="shared" si="7"/>
        <v>13</v>
      </c>
      <c r="X89" s="524"/>
    </row>
    <row r="90" spans="2:26" s="1" customFormat="1" ht="12" thickBot="1">
      <c r="B90" s="1223"/>
      <c r="C90" s="60"/>
      <c r="D90" s="534" t="s">
        <v>174</v>
      </c>
      <c r="E90" s="1070">
        <f>((E72/'Guide &amp; drivers'!F56)*50%)+(E72/'Guide &amp; drivers'!F75)*50%</f>
        <v>0.22922542880811528</v>
      </c>
      <c r="F90" s="1071">
        <f>((F72/'Guide &amp; drivers'!G56)*50%)+(F72/'Guide &amp; drivers'!G75)*50%</f>
        <v>0.24770997097386926</v>
      </c>
      <c r="G90" s="1071">
        <f>((G72/'Guide &amp; drivers'!H56)*50%)+(G72/'Guide &amp; drivers'!H75)*50%</f>
        <v>0.1609099647752158</v>
      </c>
      <c r="H90" s="1071">
        <f>((H72/'Guide &amp; drivers'!I56)*50%)+(H72/'Guide &amp; drivers'!I75)*50%</f>
        <v>0.15376725812998004</v>
      </c>
      <c r="I90" s="1071">
        <f>((I72/'Guide &amp; drivers'!J56)*50%)+(I72/'Guide &amp; drivers'!J75)*50%</f>
        <v>0.14611349868130236</v>
      </c>
      <c r="J90" s="1071">
        <f>((J72/'Guide &amp; drivers'!K56)*50%)+(J72/'Guide &amp; drivers'!K75)*50%</f>
        <v>0.13885108475399421</v>
      </c>
      <c r="K90" s="1071">
        <f>((K72/'Guide &amp; drivers'!L56)*50%)+(K72/'Guide &amp; drivers'!L75)*50%</f>
        <v>0.12904824970574022</v>
      </c>
      <c r="L90" s="1072">
        <f>((L72/'Guide &amp; drivers'!M56)*50%)+(L72/'Guide &amp; drivers'!M75)*50%</f>
        <v>0.14289825042680915</v>
      </c>
      <c r="M90" s="1072">
        <f>((M72/'Guide &amp; drivers'!N56)*50%)+(M72/'Guide &amp; drivers'!N75)*50%</f>
        <v>0.13348450169453796</v>
      </c>
      <c r="N90" s="490"/>
      <c r="P90" s="14"/>
      <c r="Q90" s="522"/>
    </row>
    <row r="91" spans="2:26">
      <c r="C91" s="60"/>
      <c r="G91" s="1132"/>
      <c r="I91" s="899"/>
      <c r="L91" s="1040"/>
      <c r="M91" s="1134"/>
    </row>
    <row r="92" spans="2:26">
      <c r="C92" s="60"/>
      <c r="S92" s="47"/>
      <c r="T92" s="47"/>
    </row>
    <row r="93" spans="2:26" ht="12" customHeight="1">
      <c r="B93" s="192" t="s">
        <v>418</v>
      </c>
      <c r="C93" s="60"/>
      <c r="D93" s="1"/>
    </row>
    <row r="94" spans="2:26" ht="14.25" customHeight="1" thickBot="1">
      <c r="B94" s="193"/>
      <c r="C94" s="60"/>
      <c r="D94" s="16" t="s">
        <v>419</v>
      </c>
      <c r="P94" s="16" t="s">
        <v>420</v>
      </c>
    </row>
    <row r="95" spans="2:26" ht="12" thickBot="1">
      <c r="B95" s="193"/>
      <c r="C95" s="60"/>
      <c r="E95" s="1019" t="s">
        <v>412</v>
      </c>
      <c r="F95" s="1017" t="s">
        <v>413</v>
      </c>
      <c r="G95" s="1017" t="s">
        <v>137</v>
      </c>
      <c r="H95" s="1017" t="s">
        <v>138</v>
      </c>
      <c r="I95" s="1017" t="s">
        <v>139</v>
      </c>
      <c r="J95" s="1017" t="s">
        <v>140</v>
      </c>
      <c r="K95" s="1017" t="s">
        <v>141</v>
      </c>
      <c r="L95" s="1017" t="s">
        <v>126</v>
      </c>
      <c r="M95" s="1017" t="s">
        <v>142</v>
      </c>
      <c r="N95" s="1018" t="s">
        <v>143</v>
      </c>
      <c r="Q95" s="525" t="s">
        <v>412</v>
      </c>
      <c r="R95" s="526" t="s">
        <v>413</v>
      </c>
      <c r="S95" s="1017" t="s">
        <v>137</v>
      </c>
      <c r="T95" s="1017" t="s">
        <v>138</v>
      </c>
      <c r="U95" s="1017" t="s">
        <v>139</v>
      </c>
      <c r="V95" s="1017" t="s">
        <v>140</v>
      </c>
      <c r="W95" s="1017" t="s">
        <v>141</v>
      </c>
      <c r="X95" s="1017" t="s">
        <v>126</v>
      </c>
      <c r="Y95" s="1017" t="s">
        <v>142</v>
      </c>
      <c r="Z95" s="1018" t="s">
        <v>143</v>
      </c>
    </row>
    <row r="96" spans="2:26" ht="12.75" customHeight="1">
      <c r="B96" s="193"/>
      <c r="C96" s="60"/>
      <c r="D96" s="186" t="s">
        <v>161</v>
      </c>
      <c r="E96" s="52">
        <v>57.100000000000009</v>
      </c>
      <c r="F96" s="52">
        <v>36.1</v>
      </c>
      <c r="G96" s="52">
        <v>14.627000000000001</v>
      </c>
      <c r="H96" s="52">
        <v>55.23</v>
      </c>
      <c r="I96" s="52">
        <v>54.27</v>
      </c>
      <c r="J96" s="52">
        <v>38.03</v>
      </c>
      <c r="K96" s="52">
        <v>77.73</v>
      </c>
      <c r="L96" s="52">
        <v>65.260000000000005</v>
      </c>
      <c r="M96" s="52">
        <v>38.47</v>
      </c>
      <c r="N96" s="221"/>
      <c r="P96" s="406" t="s">
        <v>161</v>
      </c>
      <c r="Q96" s="52">
        <v>13508.72</v>
      </c>
      <c r="R96" s="52">
        <v>16852.099999999999</v>
      </c>
      <c r="S96" s="52">
        <v>14736.27</v>
      </c>
      <c r="T96" s="52">
        <v>14159.45</v>
      </c>
      <c r="U96" s="52">
        <v>14615.28</v>
      </c>
      <c r="V96" s="52">
        <v>15751.63</v>
      </c>
      <c r="W96" s="52">
        <v>16097.92</v>
      </c>
      <c r="X96" s="52">
        <v>16787.41</v>
      </c>
      <c r="Y96" s="52">
        <v>15366</v>
      </c>
      <c r="Z96" s="221"/>
    </row>
    <row r="97" spans="2:26">
      <c r="B97" s="193"/>
      <c r="C97" s="60"/>
      <c r="D97" s="187" t="s">
        <v>162</v>
      </c>
      <c r="E97" s="52">
        <v>25.11</v>
      </c>
      <c r="F97" s="52">
        <v>16.12</v>
      </c>
      <c r="G97" s="52">
        <v>23.75</v>
      </c>
      <c r="H97" s="52">
        <v>14.87</v>
      </c>
      <c r="I97" s="52">
        <v>36</v>
      </c>
      <c r="J97" s="52">
        <v>17.7</v>
      </c>
      <c r="K97" s="52">
        <v>14.75</v>
      </c>
      <c r="L97" s="52">
        <v>24.049999999999997</v>
      </c>
      <c r="M97" s="52">
        <v>14.5</v>
      </c>
      <c r="N97" s="221"/>
      <c r="P97" s="407" t="s">
        <v>162</v>
      </c>
      <c r="Q97" s="52">
        <v>14530.149807449996</v>
      </c>
      <c r="R97" s="52">
        <v>15125.069807449996</v>
      </c>
      <c r="S97" s="52">
        <v>15258.789807449995</v>
      </c>
      <c r="T97" s="52">
        <v>15392.509807449995</v>
      </c>
      <c r="U97" s="52">
        <v>16174</v>
      </c>
      <c r="V97" s="52">
        <v>16357.03</v>
      </c>
      <c r="W97" s="52">
        <v>16590.150000000001</v>
      </c>
      <c r="X97" s="52">
        <v>16620.75</v>
      </c>
      <c r="Y97" s="52">
        <v>17058.86</v>
      </c>
      <c r="Z97" s="221"/>
    </row>
    <row r="98" spans="2:26">
      <c r="B98" s="193"/>
      <c r="C98" s="60"/>
      <c r="D98" s="187" t="s">
        <v>163</v>
      </c>
      <c r="E98" s="52">
        <v>97.97999999999999</v>
      </c>
      <c r="F98" s="52">
        <v>79.105000000000004</v>
      </c>
      <c r="G98" s="52">
        <v>84.49</v>
      </c>
      <c r="H98" s="52">
        <v>98.75</v>
      </c>
      <c r="I98" s="52">
        <v>61.96</v>
      </c>
      <c r="J98" s="52">
        <v>47.45</v>
      </c>
      <c r="K98" s="52">
        <v>48.37</v>
      </c>
      <c r="L98" s="52">
        <v>49.010000000000005</v>
      </c>
      <c r="M98" s="52">
        <v>87.055000000000007</v>
      </c>
      <c r="N98" s="221"/>
      <c r="P98" s="407" t="s">
        <v>163</v>
      </c>
      <c r="Q98" s="52">
        <v>17280.803275450005</v>
      </c>
      <c r="R98" s="52">
        <v>17816.803275450005</v>
      </c>
      <c r="S98" s="52">
        <v>18304.153275450004</v>
      </c>
      <c r="T98" s="52">
        <v>18637.593275450003</v>
      </c>
      <c r="U98" s="52">
        <v>19101.253275450003</v>
      </c>
      <c r="V98" s="52">
        <v>19486.643275450002</v>
      </c>
      <c r="W98" s="52">
        <v>19604.743275450001</v>
      </c>
      <c r="X98" s="52">
        <v>19679.06327545</v>
      </c>
      <c r="Y98" s="52">
        <v>20193.40327545</v>
      </c>
      <c r="Z98" s="221"/>
    </row>
    <row r="99" spans="2:26">
      <c r="B99" s="193"/>
      <c r="C99" s="60"/>
      <c r="D99" s="187" t="s">
        <v>164</v>
      </c>
      <c r="E99" s="52">
        <v>94.660881370217623</v>
      </c>
      <c r="F99" s="52">
        <v>62</v>
      </c>
      <c r="G99" s="52">
        <v>352.64</v>
      </c>
      <c r="H99" s="52">
        <v>199.63</v>
      </c>
      <c r="I99" s="52">
        <v>186.96</v>
      </c>
      <c r="J99" s="52">
        <v>166.28399999999999</v>
      </c>
      <c r="K99" s="52">
        <v>111.521</v>
      </c>
      <c r="L99" s="52">
        <v>184.79600000000002</v>
      </c>
      <c r="M99" s="52">
        <v>135.422</v>
      </c>
      <c r="N99" s="221"/>
      <c r="P99" s="407" t="s">
        <v>164</v>
      </c>
      <c r="Q99" s="52">
        <v>17537</v>
      </c>
      <c r="R99" s="52">
        <v>19464</v>
      </c>
      <c r="S99" s="52">
        <v>20866</v>
      </c>
      <c r="T99" s="52">
        <v>22761</v>
      </c>
      <c r="U99" s="52">
        <v>24570</v>
      </c>
      <c r="V99" s="52">
        <v>25776.7</v>
      </c>
      <c r="W99" s="52">
        <v>26230.76</v>
      </c>
      <c r="X99" s="52">
        <v>26940.35</v>
      </c>
      <c r="Y99" s="52">
        <v>28523.46</v>
      </c>
      <c r="Z99" s="221"/>
    </row>
    <row r="100" spans="2:26">
      <c r="B100" s="193"/>
      <c r="C100" s="60"/>
      <c r="D100" s="187" t="s">
        <v>165</v>
      </c>
      <c r="E100" s="52">
        <v>43.52911862978236</v>
      </c>
      <c r="F100" s="52">
        <v>14.14</v>
      </c>
      <c r="G100" s="52">
        <v>75.61</v>
      </c>
      <c r="H100" s="52">
        <v>56.74</v>
      </c>
      <c r="I100" s="52">
        <v>56.96</v>
      </c>
      <c r="J100" s="52">
        <v>69.100000000000009</v>
      </c>
      <c r="K100" s="52">
        <v>109.419</v>
      </c>
      <c r="L100" s="52">
        <v>70.53</v>
      </c>
      <c r="M100" s="52">
        <v>93.179000000000002</v>
      </c>
      <c r="N100" s="221"/>
      <c r="P100" s="407" t="s">
        <v>165</v>
      </c>
      <c r="Q100" s="52">
        <v>15684</v>
      </c>
      <c r="R100" s="52">
        <v>16952</v>
      </c>
      <c r="S100" s="52">
        <v>18231</v>
      </c>
      <c r="T100" s="52">
        <v>20124</v>
      </c>
      <c r="U100" s="52">
        <v>22588</v>
      </c>
      <c r="V100" s="52">
        <v>25327.9</v>
      </c>
      <c r="W100" s="52">
        <v>26137.02</v>
      </c>
      <c r="X100" s="52">
        <v>27320.81</v>
      </c>
      <c r="Y100" s="52">
        <v>29332.17</v>
      </c>
      <c r="Z100" s="221"/>
    </row>
    <row r="101" spans="2:26">
      <c r="B101" s="193"/>
      <c r="C101" s="60"/>
      <c r="D101" s="187" t="s">
        <v>166</v>
      </c>
      <c r="E101" s="52">
        <v>41.83</v>
      </c>
      <c r="F101" s="52">
        <v>141.41999999999999</v>
      </c>
      <c r="G101" s="52">
        <v>93.9</v>
      </c>
      <c r="H101" s="52">
        <v>88.3</v>
      </c>
      <c r="I101" s="52">
        <v>103.64</v>
      </c>
      <c r="J101" s="52">
        <v>151.38300000000001</v>
      </c>
      <c r="K101" s="52">
        <v>72.8</v>
      </c>
      <c r="L101" s="52">
        <v>66.63900000000001</v>
      </c>
      <c r="M101" s="52">
        <v>107.90299999999999</v>
      </c>
      <c r="N101" s="221"/>
      <c r="P101" s="407" t="s">
        <v>166</v>
      </c>
      <c r="Q101" s="52">
        <v>15597</v>
      </c>
      <c r="R101" s="52">
        <v>16227</v>
      </c>
      <c r="S101" s="52">
        <v>16632</v>
      </c>
      <c r="T101" s="52">
        <v>17455</v>
      </c>
      <c r="U101" s="52">
        <v>18098</v>
      </c>
      <c r="V101" s="52">
        <v>18801.099999999999</v>
      </c>
      <c r="W101" s="52">
        <v>19248.480000000003</v>
      </c>
      <c r="X101" s="52">
        <v>19401.39</v>
      </c>
      <c r="Y101" s="52">
        <v>20935.38</v>
      </c>
      <c r="Z101" s="221"/>
    </row>
    <row r="102" spans="2:26">
      <c r="B102" s="193"/>
      <c r="C102" s="60"/>
      <c r="D102" s="187" t="s">
        <v>167</v>
      </c>
      <c r="E102" s="52">
        <v>157.66999999999999</v>
      </c>
      <c r="F102" s="52">
        <v>128.97</v>
      </c>
      <c r="G102" s="52">
        <v>105.3</v>
      </c>
      <c r="H102" s="52">
        <v>74</v>
      </c>
      <c r="I102" s="52">
        <v>121.28</v>
      </c>
      <c r="J102" s="52">
        <v>92.79</v>
      </c>
      <c r="K102" s="52">
        <v>101.23400000000001</v>
      </c>
      <c r="L102" s="52">
        <v>58.586999999999996</v>
      </c>
      <c r="M102" s="52">
        <v>67.376000000000005</v>
      </c>
      <c r="N102" s="221"/>
      <c r="P102" s="407" t="s">
        <v>167</v>
      </c>
      <c r="Q102" s="52">
        <v>11327</v>
      </c>
      <c r="R102" s="52">
        <v>11558</v>
      </c>
      <c r="S102" s="52">
        <v>11684</v>
      </c>
      <c r="T102" s="52">
        <v>12368</v>
      </c>
      <c r="U102" s="52">
        <v>13277</v>
      </c>
      <c r="V102" s="52">
        <v>16009.59</v>
      </c>
      <c r="W102" s="52">
        <v>17172.099999999999</v>
      </c>
      <c r="X102" s="52">
        <v>17012.690000000002</v>
      </c>
      <c r="Y102" s="52">
        <v>18015.240000000002</v>
      </c>
      <c r="Z102" s="221"/>
    </row>
    <row r="103" spans="2:26">
      <c r="B103" s="193"/>
      <c r="C103" s="60"/>
      <c r="D103" s="187" t="s">
        <v>168</v>
      </c>
      <c r="E103" s="52">
        <v>10.42</v>
      </c>
      <c r="F103" s="52">
        <v>20.609000000000002</v>
      </c>
      <c r="G103" s="52">
        <v>9.5500000000000007</v>
      </c>
      <c r="H103" s="52">
        <v>16.100000000000001</v>
      </c>
      <c r="I103" s="52">
        <v>7.35</v>
      </c>
      <c r="J103" s="52">
        <v>26.65</v>
      </c>
      <c r="K103" s="52">
        <v>44.88</v>
      </c>
      <c r="L103" s="52">
        <v>62.38</v>
      </c>
      <c r="M103" s="52">
        <v>107.34</v>
      </c>
      <c r="N103" s="221"/>
      <c r="P103" s="407" t="s">
        <v>168</v>
      </c>
      <c r="Q103" s="52">
        <v>43149.7</v>
      </c>
      <c r="R103" s="52">
        <v>40825.459000000003</v>
      </c>
      <c r="S103" s="52">
        <v>41889.606</v>
      </c>
      <c r="T103" s="52">
        <v>42305</v>
      </c>
      <c r="U103" s="52">
        <v>46089</v>
      </c>
      <c r="V103" s="52">
        <v>46880.7</v>
      </c>
      <c r="W103" s="52">
        <v>47581.09</v>
      </c>
      <c r="X103" s="52">
        <v>48518</v>
      </c>
      <c r="Y103" s="52">
        <v>48874</v>
      </c>
      <c r="Z103" s="221"/>
    </row>
    <row r="104" spans="2:26">
      <c r="B104" s="193"/>
      <c r="C104" s="60"/>
      <c r="D104" s="187" t="s">
        <v>169</v>
      </c>
      <c r="E104" s="52">
        <v>16.577999999999999</v>
      </c>
      <c r="F104" s="52">
        <v>15.138</v>
      </c>
      <c r="G104" s="52">
        <v>17.609000000000002</v>
      </c>
      <c r="H104" s="52">
        <v>16.5</v>
      </c>
      <c r="I104" s="52">
        <v>35.700000000000003</v>
      </c>
      <c r="J104" s="52">
        <v>22.68</v>
      </c>
      <c r="K104" s="52">
        <v>14.85</v>
      </c>
      <c r="L104" s="52">
        <v>9.93</v>
      </c>
      <c r="M104" s="52">
        <v>4.8879999999999999</v>
      </c>
      <c r="N104" s="221"/>
      <c r="P104" s="407" t="s">
        <v>169</v>
      </c>
      <c r="Q104" s="52">
        <v>19622.900000000001</v>
      </c>
      <c r="R104" s="52">
        <v>20451.965</v>
      </c>
      <c r="S104" s="52">
        <v>21158.534</v>
      </c>
      <c r="T104" s="52">
        <v>21124</v>
      </c>
      <c r="U104" s="52">
        <v>21603</v>
      </c>
      <c r="V104" s="52">
        <v>24198.5</v>
      </c>
      <c r="W104" s="52">
        <v>24445.46</v>
      </c>
      <c r="X104" s="52">
        <v>25218</v>
      </c>
      <c r="Y104" s="52">
        <v>25434</v>
      </c>
      <c r="Z104" s="221"/>
    </row>
    <row r="105" spans="2:26">
      <c r="B105" s="193"/>
      <c r="C105" s="60"/>
      <c r="D105" s="187" t="s">
        <v>170</v>
      </c>
      <c r="E105" s="52">
        <v>71.86</v>
      </c>
      <c r="F105" s="52">
        <v>64.47</v>
      </c>
      <c r="G105" s="52">
        <v>66.89</v>
      </c>
      <c r="H105" s="52">
        <v>98.96</v>
      </c>
      <c r="I105" s="52">
        <v>93.28</v>
      </c>
      <c r="J105" s="52">
        <v>42.47</v>
      </c>
      <c r="K105" s="52">
        <v>56.47</v>
      </c>
      <c r="L105" s="52">
        <v>58.14</v>
      </c>
      <c r="M105" s="52">
        <v>53.040999999999997</v>
      </c>
      <c r="N105" s="221"/>
      <c r="P105" s="407" t="s">
        <v>170</v>
      </c>
      <c r="Q105" s="52">
        <v>32780.699999999997</v>
      </c>
      <c r="R105" s="52">
        <v>34185.483999999997</v>
      </c>
      <c r="S105" s="52">
        <v>36058.735999999997</v>
      </c>
      <c r="T105" s="52">
        <v>36921</v>
      </c>
      <c r="U105" s="52">
        <v>41022</v>
      </c>
      <c r="V105" s="52">
        <v>42026.7</v>
      </c>
      <c r="W105" s="52">
        <v>44830.54</v>
      </c>
      <c r="X105" s="52">
        <v>48944</v>
      </c>
      <c r="Y105" s="52">
        <v>49739</v>
      </c>
      <c r="Z105" s="221"/>
    </row>
    <row r="106" spans="2:26">
      <c r="B106" s="193"/>
      <c r="C106" s="60"/>
      <c r="D106" s="187" t="s">
        <v>171</v>
      </c>
      <c r="E106" s="52">
        <v>61.7</v>
      </c>
      <c r="F106" s="52">
        <v>62.4</v>
      </c>
      <c r="G106" s="52">
        <v>0.8</v>
      </c>
      <c r="H106" s="52">
        <v>1.04</v>
      </c>
      <c r="I106" s="52">
        <v>36.501999999999988</v>
      </c>
      <c r="J106" s="52">
        <v>18.296000000000003</v>
      </c>
      <c r="K106" s="52">
        <v>45.599000000000011</v>
      </c>
      <c r="L106" s="52">
        <v>49.919000000000004</v>
      </c>
      <c r="M106" s="52">
        <v>84.642000000000024</v>
      </c>
      <c r="N106" s="221"/>
      <c r="P106" s="407" t="s">
        <v>171</v>
      </c>
      <c r="Q106" s="52">
        <v>12564</v>
      </c>
      <c r="R106" s="52">
        <v>13259</v>
      </c>
      <c r="S106" s="52">
        <v>12709.962000000001</v>
      </c>
      <c r="T106" s="52">
        <v>14314.641999999996</v>
      </c>
      <c r="U106" s="52">
        <v>15181.751</v>
      </c>
      <c r="V106" s="52">
        <v>15274.388000000001</v>
      </c>
      <c r="W106" s="52">
        <v>15584.723999999998</v>
      </c>
      <c r="X106" s="52">
        <v>15866.572999999999</v>
      </c>
      <c r="Y106" s="52">
        <v>15866.572999999999</v>
      </c>
      <c r="Z106" s="221"/>
    </row>
    <row r="107" spans="2:26">
      <c r="B107" s="193"/>
      <c r="C107" s="60"/>
      <c r="D107" s="187" t="s">
        <v>172</v>
      </c>
      <c r="E107" s="52">
        <v>121.8</v>
      </c>
      <c r="F107" s="52">
        <v>124.2</v>
      </c>
      <c r="G107" s="52">
        <v>29.87</v>
      </c>
      <c r="H107" s="52">
        <v>46.690000000000012</v>
      </c>
      <c r="I107" s="52">
        <v>67.489999999999995</v>
      </c>
      <c r="J107" s="52">
        <v>37.5</v>
      </c>
      <c r="K107" s="52">
        <v>32.630000000000003</v>
      </c>
      <c r="L107" s="52">
        <v>69.494999999999976</v>
      </c>
      <c r="M107" s="52">
        <v>88.892990000000012</v>
      </c>
      <c r="N107" s="221"/>
      <c r="P107" s="407" t="s">
        <v>172</v>
      </c>
      <c r="Q107" s="52">
        <v>22193</v>
      </c>
      <c r="R107" s="52">
        <v>23117</v>
      </c>
      <c r="S107" s="52">
        <v>16893.361000000001</v>
      </c>
      <c r="T107" s="52">
        <v>16922.361000000001</v>
      </c>
      <c r="U107" s="52">
        <v>17833.271000000001</v>
      </c>
      <c r="V107" s="52">
        <v>18739.053</v>
      </c>
      <c r="W107" s="52">
        <v>19976.824999999997</v>
      </c>
      <c r="X107" s="52">
        <v>20850.46</v>
      </c>
      <c r="Y107" s="52">
        <v>20850.46</v>
      </c>
      <c r="Z107" s="221"/>
    </row>
    <row r="108" spans="2:26">
      <c r="B108" s="193"/>
      <c r="C108" s="60"/>
      <c r="D108" s="187" t="s">
        <v>28</v>
      </c>
      <c r="E108" s="52">
        <v>9</v>
      </c>
      <c r="F108" s="52">
        <v>14</v>
      </c>
      <c r="G108" s="52">
        <v>5.8</v>
      </c>
      <c r="H108" s="52">
        <v>3.9</v>
      </c>
      <c r="I108" s="52">
        <v>1.56</v>
      </c>
      <c r="J108" s="52">
        <v>8.470000000000006</v>
      </c>
      <c r="K108" s="52">
        <v>10.96</v>
      </c>
      <c r="L108" s="52">
        <v>9.879999999999999</v>
      </c>
      <c r="M108" s="52">
        <v>0.78</v>
      </c>
      <c r="N108" s="221"/>
      <c r="P108" s="407" t="s">
        <v>28</v>
      </c>
      <c r="Q108" s="52">
        <v>4887.2759999999998</v>
      </c>
      <c r="R108" s="52">
        <v>5231.978000000001</v>
      </c>
      <c r="S108" s="52">
        <v>5510.8445555555554</v>
      </c>
      <c r="T108" s="52">
        <v>5716.13</v>
      </c>
      <c r="U108" s="52">
        <v>5653.7699999996948</v>
      </c>
      <c r="V108" s="52">
        <v>5433.3859999997485</v>
      </c>
      <c r="W108" s="52">
        <v>5116.9040000000132</v>
      </c>
      <c r="X108" s="52">
        <v>6034.3279999999886</v>
      </c>
      <c r="Y108" s="52">
        <v>5007.6879999997618</v>
      </c>
      <c r="Z108" s="221"/>
    </row>
    <row r="109" spans="2:26">
      <c r="B109" s="193"/>
      <c r="C109" s="60"/>
      <c r="D109" s="187" t="s">
        <v>173</v>
      </c>
      <c r="E109" s="52">
        <v>107</v>
      </c>
      <c r="F109" s="52">
        <v>102</v>
      </c>
      <c r="G109" s="52">
        <v>132.99999999999994</v>
      </c>
      <c r="H109" s="52">
        <v>132.29999999999998</v>
      </c>
      <c r="I109" s="52">
        <v>186.20000000000002</v>
      </c>
      <c r="J109" s="52">
        <v>211.05200000000002</v>
      </c>
      <c r="K109" s="52">
        <v>162.98999999999995</v>
      </c>
      <c r="L109" s="52">
        <v>161.78500000000005</v>
      </c>
      <c r="M109" s="52">
        <v>155.48400000000007</v>
      </c>
      <c r="N109" s="221"/>
      <c r="P109" s="407" t="s">
        <v>173</v>
      </c>
      <c r="Q109" s="52">
        <v>22983.677000000007</v>
      </c>
      <c r="R109" s="52">
        <v>21967.991000000009</v>
      </c>
      <c r="S109" s="52">
        <v>25702</v>
      </c>
      <c r="T109" s="52">
        <v>24272.526000000023</v>
      </c>
      <c r="U109" s="52">
        <v>23941.639000000556</v>
      </c>
      <c r="V109" s="52">
        <v>22703.790000000736</v>
      </c>
      <c r="W109" s="52">
        <v>22038.959999999672</v>
      </c>
      <c r="X109" s="52">
        <v>22570.940000001174</v>
      </c>
      <c r="Y109" s="52">
        <v>22133.896000001343</v>
      </c>
      <c r="Z109" s="221"/>
    </row>
    <row r="110" spans="2:26" ht="12" thickBot="1">
      <c r="B110" s="193"/>
      <c r="D110" s="456" t="s">
        <v>174</v>
      </c>
      <c r="E110" s="511">
        <f t="shared" ref="E110:M110" si="8">SUM(E96:E109)</f>
        <v>916.23799999999994</v>
      </c>
      <c r="F110" s="510">
        <f t="shared" si="8"/>
        <v>880.67200000000003</v>
      </c>
      <c r="G110" s="511">
        <f t="shared" si="8"/>
        <v>1013.8359999999998</v>
      </c>
      <c r="H110" s="509">
        <f t="shared" si="8"/>
        <v>903.01</v>
      </c>
      <c r="I110" s="509">
        <f t="shared" si="8"/>
        <v>1049.152</v>
      </c>
      <c r="J110" s="509">
        <f t="shared" si="8"/>
        <v>949.85500000000002</v>
      </c>
      <c r="K110" s="509">
        <f t="shared" si="8"/>
        <v>904.20299999999997</v>
      </c>
      <c r="L110" s="509">
        <f t="shared" si="8"/>
        <v>940.40099999999995</v>
      </c>
      <c r="M110" s="509">
        <f t="shared" si="8"/>
        <v>1038.9729900000002</v>
      </c>
      <c r="N110" s="222"/>
      <c r="O110" s="897"/>
      <c r="P110" s="408" t="s">
        <v>174</v>
      </c>
      <c r="Q110" s="220">
        <f>SUM(Q96:Q109)</f>
        <v>263645.92608290003</v>
      </c>
      <c r="R110" s="220">
        <f t="shared" ref="R110:Y110" si="9">SUM(R96:R109)</f>
        <v>273033.85008290003</v>
      </c>
      <c r="S110" s="220">
        <f t="shared" si="9"/>
        <v>275635.25663845555</v>
      </c>
      <c r="T110" s="220">
        <f t="shared" si="9"/>
        <v>282473.21208290005</v>
      </c>
      <c r="U110" s="220">
        <f t="shared" si="9"/>
        <v>299747.96427545021</v>
      </c>
      <c r="V110" s="220">
        <f t="shared" si="9"/>
        <v>312767.11027545051</v>
      </c>
      <c r="W110" s="220">
        <f t="shared" si="9"/>
        <v>320655.67627544975</v>
      </c>
      <c r="X110" s="220">
        <f t="shared" si="9"/>
        <v>331764.76427545113</v>
      </c>
      <c r="Y110" s="220">
        <f t="shared" si="9"/>
        <v>337330.13027545111</v>
      </c>
      <c r="Z110" s="222"/>
    </row>
    <row r="111" spans="2:26" ht="11.25" customHeight="1">
      <c r="B111" s="193"/>
      <c r="C111" s="61"/>
      <c r="D111" s="1"/>
      <c r="E111" s="512"/>
      <c r="F111" s="512"/>
      <c r="G111" s="512"/>
      <c r="H111" s="512"/>
      <c r="I111" s="44"/>
      <c r="J111" s="10"/>
      <c r="L111" s="1041"/>
      <c r="M111" s="263"/>
    </row>
    <row r="112" spans="2:26" ht="11.25" customHeight="1">
      <c r="B112" s="193"/>
      <c r="C112" s="61"/>
      <c r="D112" s="1"/>
      <c r="E112" s="512"/>
      <c r="F112" s="512"/>
      <c r="G112" s="512"/>
      <c r="H112" s="512"/>
      <c r="I112" s="44"/>
      <c r="J112" s="44"/>
    </row>
    <row r="113" spans="2:24" ht="11.25" customHeight="1">
      <c r="B113" s="193"/>
      <c r="C113" s="60"/>
      <c r="D113" s="1"/>
    </row>
    <row r="114" spans="2:24" ht="11.25" customHeight="1" thickBot="1">
      <c r="B114" s="193"/>
      <c r="C114" s="60"/>
      <c r="D114" s="16" t="s">
        <v>421</v>
      </c>
      <c r="E114" s="516"/>
      <c r="F114" s="516"/>
      <c r="G114" s="516"/>
      <c r="H114" s="516"/>
      <c r="P114" s="16" t="s">
        <v>422</v>
      </c>
      <c r="Q114"/>
      <c r="R114"/>
      <c r="S114"/>
      <c r="T114"/>
      <c r="U114"/>
      <c r="V114"/>
      <c r="W114"/>
    </row>
    <row r="115" spans="2:24" s="56" customFormat="1" ht="12" thickBot="1">
      <c r="B115" s="193"/>
      <c r="C115" s="61"/>
      <c r="E115" s="1003" t="s">
        <v>412</v>
      </c>
      <c r="F115" s="1005" t="s">
        <v>413</v>
      </c>
      <c r="G115" s="414" t="s">
        <v>137</v>
      </c>
      <c r="H115" s="179" t="s">
        <v>138</v>
      </c>
      <c r="I115" s="179" t="s">
        <v>139</v>
      </c>
      <c r="J115" s="179" t="s">
        <v>140</v>
      </c>
      <c r="K115" s="179" t="s">
        <v>141</v>
      </c>
      <c r="L115" s="179" t="s">
        <v>126</v>
      </c>
      <c r="M115" s="179" t="s">
        <v>142</v>
      </c>
      <c r="N115" s="415" t="s">
        <v>143</v>
      </c>
      <c r="P115" s="1" t="s">
        <v>63</v>
      </c>
      <c r="Q115" s="1019" t="s">
        <v>137</v>
      </c>
      <c r="R115" s="1017" t="s">
        <v>138</v>
      </c>
      <c r="S115" s="1017" t="s">
        <v>139</v>
      </c>
      <c r="T115" s="1017" t="s">
        <v>140</v>
      </c>
      <c r="U115" s="1017" t="s">
        <v>141</v>
      </c>
      <c r="V115" s="1017" t="s">
        <v>126</v>
      </c>
      <c r="W115" s="1017" t="s">
        <v>142</v>
      </c>
      <c r="X115" s="1018" t="s">
        <v>143</v>
      </c>
    </row>
    <row r="116" spans="2:24" ht="11.25" customHeight="1">
      <c r="B116" s="193"/>
      <c r="C116" s="60"/>
      <c r="D116" s="406" t="s">
        <v>161</v>
      </c>
      <c r="E116" s="529">
        <f>E96/Q96</f>
        <v>4.2268993657430176E-3</v>
      </c>
      <c r="F116" s="529">
        <f t="shared" ref="F116:M130" si="10">F96/R96</f>
        <v>2.142166258211143E-3</v>
      </c>
      <c r="G116" s="529">
        <f t="shared" si="10"/>
        <v>9.9258496213763727E-4</v>
      </c>
      <c r="H116" s="529">
        <f t="shared" si="10"/>
        <v>3.900575234207543E-3</v>
      </c>
      <c r="I116" s="529">
        <f t="shared" si="10"/>
        <v>3.7132371052761219E-3</v>
      </c>
      <c r="J116" s="529">
        <f t="shared" si="10"/>
        <v>2.4143533081973107E-3</v>
      </c>
      <c r="K116" s="529">
        <f t="shared" si="10"/>
        <v>4.8285741263467581E-3</v>
      </c>
      <c r="L116" s="529">
        <f t="shared" si="10"/>
        <v>3.8874370733782047E-3</v>
      </c>
      <c r="M116" s="529">
        <f t="shared" si="10"/>
        <v>2.5035793309904986E-3</v>
      </c>
      <c r="N116" s="530"/>
      <c r="P116" s="406" t="s">
        <v>161</v>
      </c>
      <c r="Q116" s="488">
        <f>RANK(G116,$G$116:$G$129,1)</f>
        <v>4</v>
      </c>
      <c r="R116" s="52">
        <f>RANK(H116,$H$116:$H$129,1)</f>
        <v>9</v>
      </c>
      <c r="S116" s="52">
        <f>RANK(I116,$I$116:$I$129,1)</f>
        <v>9</v>
      </c>
      <c r="T116" s="52">
        <f>RANK(J116,$J$116:$J$129,1)</f>
        <v>8</v>
      </c>
      <c r="U116" s="52">
        <f t="shared" ref="U116:U129" si="11">RANK(K116,$K$116:$K$129,1)</f>
        <v>12</v>
      </c>
      <c r="V116" s="52">
        <f>RANK(L116,$L$116:$L$129,1)</f>
        <v>12</v>
      </c>
      <c r="W116" s="52">
        <f t="shared" ref="W116:W129" si="12">RANK(M116,$M$116:$M$129,1)</f>
        <v>6</v>
      </c>
      <c r="X116" s="221"/>
    </row>
    <row r="117" spans="2:24" ht="11.25" customHeight="1">
      <c r="B117" s="193"/>
      <c r="C117" s="60"/>
      <c r="D117" s="407" t="s">
        <v>162</v>
      </c>
      <c r="E117" s="529">
        <f t="shared" ref="E117:E130" si="13">E97/Q97</f>
        <v>1.728130840545459E-3</v>
      </c>
      <c r="F117" s="529">
        <f t="shared" si="10"/>
        <v>1.0657802049984552E-3</v>
      </c>
      <c r="G117" s="529">
        <f t="shared" si="10"/>
        <v>1.5564799240110269E-3</v>
      </c>
      <c r="H117" s="529">
        <f t="shared" si="10"/>
        <v>9.6605428133642631E-4</v>
      </c>
      <c r="I117" s="529">
        <f t="shared" si="10"/>
        <v>2.2257944849758873E-3</v>
      </c>
      <c r="J117" s="529">
        <f t="shared" si="10"/>
        <v>1.0821035359108589E-3</v>
      </c>
      <c r="K117" s="529">
        <f t="shared" si="10"/>
        <v>8.8908177442639151E-4</v>
      </c>
      <c r="L117" s="529">
        <f t="shared" si="10"/>
        <v>1.4469864476633122E-3</v>
      </c>
      <c r="M117" s="529">
        <f t="shared" si="10"/>
        <v>8.4999818276250579E-4</v>
      </c>
      <c r="N117" s="530"/>
      <c r="P117" s="407" t="s">
        <v>162</v>
      </c>
      <c r="Q117" s="488">
        <f t="shared" ref="Q117:Q129" si="14">RANK(G117,$G$116:$G$129,1)</f>
        <v>6</v>
      </c>
      <c r="R117" s="52">
        <f t="shared" ref="R117:R129" si="15">RANK(H117,$H$116:$H$129,1)</f>
        <v>5</v>
      </c>
      <c r="S117" s="52">
        <f t="shared" ref="S117:S129" si="16">RANK(I117,$I$116:$I$129,1)</f>
        <v>4</v>
      </c>
      <c r="T117" s="52">
        <f t="shared" ref="T117:T129" si="17">RANK(J117,$J$116:$J$129,1)</f>
        <v>4</v>
      </c>
      <c r="U117" s="52">
        <f t="shared" si="11"/>
        <v>2</v>
      </c>
      <c r="V117" s="52">
        <f t="shared" ref="V117:V129" si="18">RANK(L117,$L$116:$L$129,1)</f>
        <v>4</v>
      </c>
      <c r="W117" s="52">
        <f t="shared" si="12"/>
        <v>3</v>
      </c>
      <c r="X117" s="221"/>
    </row>
    <row r="118" spans="2:24" ht="11.25" customHeight="1">
      <c r="B118" s="193"/>
      <c r="C118" s="60"/>
      <c r="D118" s="407" t="s">
        <v>163</v>
      </c>
      <c r="E118" s="529">
        <f t="shared" si="13"/>
        <v>5.6698753199277141E-3</v>
      </c>
      <c r="F118" s="529">
        <f t="shared" si="10"/>
        <v>4.4399098298963519E-3</v>
      </c>
      <c r="G118" s="529">
        <f t="shared" si="10"/>
        <v>4.6158922911402915E-3</v>
      </c>
      <c r="H118" s="529">
        <f t="shared" si="10"/>
        <v>5.2984308939758046E-3</v>
      </c>
      <c r="I118" s="529">
        <f t="shared" si="10"/>
        <v>3.2437662129549609E-3</v>
      </c>
      <c r="J118" s="529">
        <f t="shared" si="10"/>
        <v>2.435001212331899E-3</v>
      </c>
      <c r="K118" s="529">
        <f t="shared" si="10"/>
        <v>2.4672600564257952E-3</v>
      </c>
      <c r="L118" s="529">
        <f t="shared" si="10"/>
        <v>2.4904640690464621E-3</v>
      </c>
      <c r="M118" s="529">
        <f t="shared" si="10"/>
        <v>4.3110613308969354E-3</v>
      </c>
      <c r="N118" s="530"/>
      <c r="P118" s="407" t="s">
        <v>163</v>
      </c>
      <c r="Q118" s="488">
        <f t="shared" si="14"/>
        <v>10</v>
      </c>
      <c r="R118" s="52">
        <f t="shared" si="15"/>
        <v>11</v>
      </c>
      <c r="S118" s="52">
        <f t="shared" si="16"/>
        <v>8</v>
      </c>
      <c r="T118" s="52">
        <f t="shared" si="17"/>
        <v>9</v>
      </c>
      <c r="U118" s="52">
        <f t="shared" si="11"/>
        <v>7</v>
      </c>
      <c r="V118" s="52">
        <f t="shared" si="18"/>
        <v>6</v>
      </c>
      <c r="W118" s="52">
        <f t="shared" si="12"/>
        <v>10</v>
      </c>
      <c r="X118" s="221"/>
    </row>
    <row r="119" spans="2:24" ht="11.25" customHeight="1">
      <c r="B119" s="193"/>
      <c r="C119" s="60"/>
      <c r="D119" s="407" t="s">
        <v>164</v>
      </c>
      <c r="E119" s="529">
        <f t="shared" si="13"/>
        <v>5.3977807703836245E-3</v>
      </c>
      <c r="F119" s="529">
        <f t="shared" si="10"/>
        <v>3.1853678586107686E-3</v>
      </c>
      <c r="G119" s="529">
        <f t="shared" si="10"/>
        <v>1.6900220454327614E-2</v>
      </c>
      <c r="H119" s="529">
        <f t="shared" si="10"/>
        <v>8.7707042748561125E-3</v>
      </c>
      <c r="I119" s="529">
        <f t="shared" si="10"/>
        <v>7.6092796092796094E-3</v>
      </c>
      <c r="J119" s="529">
        <f t="shared" si="10"/>
        <v>6.4509421299080169E-3</v>
      </c>
      <c r="K119" s="529">
        <f t="shared" si="10"/>
        <v>4.2515352204816025E-3</v>
      </c>
      <c r="L119" s="529">
        <f t="shared" si="10"/>
        <v>6.859450601050099E-3</v>
      </c>
      <c r="M119" s="529">
        <f t="shared" si="10"/>
        <v>4.747740982335243E-3</v>
      </c>
      <c r="N119" s="530"/>
      <c r="P119" s="407" t="s">
        <v>164</v>
      </c>
      <c r="Q119" s="488">
        <f t="shared" si="14"/>
        <v>14</v>
      </c>
      <c r="R119" s="52">
        <f t="shared" si="15"/>
        <v>14</v>
      </c>
      <c r="S119" s="52">
        <f t="shared" si="16"/>
        <v>12</v>
      </c>
      <c r="T119" s="52">
        <f t="shared" si="17"/>
        <v>12</v>
      </c>
      <c r="U119" s="52">
        <f t="shared" si="11"/>
        <v>11</v>
      </c>
      <c r="V119" s="52">
        <f t="shared" si="18"/>
        <v>13</v>
      </c>
      <c r="W119" s="52">
        <f t="shared" si="12"/>
        <v>11</v>
      </c>
      <c r="X119" s="221"/>
    </row>
    <row r="120" spans="2:24" ht="11.25" customHeight="1">
      <c r="B120" s="193"/>
      <c r="C120" s="60"/>
      <c r="D120" s="407" t="s">
        <v>165</v>
      </c>
      <c r="E120" s="529">
        <f t="shared" si="13"/>
        <v>2.7753837432914026E-3</v>
      </c>
      <c r="F120" s="529">
        <f t="shared" si="10"/>
        <v>8.3411986786219923E-4</v>
      </c>
      <c r="G120" s="529">
        <f t="shared" si="10"/>
        <v>4.1473314683780375E-3</v>
      </c>
      <c r="H120" s="529">
        <f t="shared" si="10"/>
        <v>2.8195189823096802E-3</v>
      </c>
      <c r="I120" s="529">
        <f t="shared" si="10"/>
        <v>2.5216929343013991E-3</v>
      </c>
      <c r="J120" s="529">
        <f t="shared" si="10"/>
        <v>2.728216709636409E-3</v>
      </c>
      <c r="K120" s="529">
        <f t="shared" si="10"/>
        <v>4.1863609546918508E-3</v>
      </c>
      <c r="L120" s="529">
        <f t="shared" si="10"/>
        <v>2.5815486436895538E-3</v>
      </c>
      <c r="M120" s="529">
        <f t="shared" si="10"/>
        <v>3.1766828025338737E-3</v>
      </c>
      <c r="N120" s="530"/>
      <c r="P120" s="407" t="s">
        <v>165</v>
      </c>
      <c r="Q120" s="488">
        <f t="shared" si="14"/>
        <v>9</v>
      </c>
      <c r="R120" s="52">
        <f t="shared" si="15"/>
        <v>8</v>
      </c>
      <c r="S120" s="52">
        <f t="shared" si="16"/>
        <v>7</v>
      </c>
      <c r="T120" s="52">
        <f t="shared" si="17"/>
        <v>10</v>
      </c>
      <c r="U120" s="52">
        <f t="shared" si="11"/>
        <v>10</v>
      </c>
      <c r="V120" s="52">
        <f t="shared" si="18"/>
        <v>7</v>
      </c>
      <c r="W120" s="52">
        <f t="shared" si="12"/>
        <v>7</v>
      </c>
      <c r="X120" s="221"/>
    </row>
    <row r="121" spans="2:24" ht="11.25" customHeight="1">
      <c r="B121" s="193"/>
      <c r="C121" s="60"/>
      <c r="D121" s="407" t="s">
        <v>166</v>
      </c>
      <c r="E121" s="529">
        <f t="shared" si="13"/>
        <v>2.6819260114124511E-3</v>
      </c>
      <c r="F121" s="529">
        <f t="shared" si="10"/>
        <v>8.7151044555370677E-3</v>
      </c>
      <c r="G121" s="529">
        <f t="shared" si="10"/>
        <v>5.6457431457431458E-3</v>
      </c>
      <c r="H121" s="529">
        <f t="shared" si="10"/>
        <v>5.0587224291034089E-3</v>
      </c>
      <c r="I121" s="529">
        <f t="shared" si="10"/>
        <v>5.726599624267875E-3</v>
      </c>
      <c r="J121" s="529">
        <f t="shared" si="10"/>
        <v>8.0518161171420841E-3</v>
      </c>
      <c r="K121" s="529">
        <f t="shared" si="10"/>
        <v>3.7821168216918936E-3</v>
      </c>
      <c r="L121" s="529">
        <f t="shared" si="10"/>
        <v>3.434753901653439E-3</v>
      </c>
      <c r="M121" s="529">
        <f t="shared" si="10"/>
        <v>5.1540979910562881E-3</v>
      </c>
      <c r="N121" s="530"/>
      <c r="P121" s="407" t="s">
        <v>166</v>
      </c>
      <c r="Q121" s="488">
        <f t="shared" si="14"/>
        <v>12</v>
      </c>
      <c r="R121" s="52">
        <f t="shared" si="15"/>
        <v>10</v>
      </c>
      <c r="S121" s="52">
        <f t="shared" si="16"/>
        <v>11</v>
      </c>
      <c r="T121" s="52">
        <f t="shared" si="17"/>
        <v>13</v>
      </c>
      <c r="U121" s="52">
        <f t="shared" si="11"/>
        <v>9</v>
      </c>
      <c r="V121" s="52">
        <f t="shared" si="18"/>
        <v>10</v>
      </c>
      <c r="W121" s="52">
        <f t="shared" si="12"/>
        <v>12</v>
      </c>
      <c r="X121" s="221"/>
    </row>
    <row r="122" spans="2:24" ht="11.25" customHeight="1">
      <c r="B122" s="193"/>
      <c r="C122" s="60"/>
      <c r="D122" s="407" t="s">
        <v>167</v>
      </c>
      <c r="E122" s="529">
        <f t="shared" si="13"/>
        <v>1.3919837556281451E-2</v>
      </c>
      <c r="F122" s="529">
        <f t="shared" si="10"/>
        <v>1.1158504931649074E-2</v>
      </c>
      <c r="G122" s="529">
        <f t="shared" si="10"/>
        <v>9.0123245463882232E-3</v>
      </c>
      <c r="H122" s="529">
        <f t="shared" si="10"/>
        <v>5.983182406209573E-3</v>
      </c>
      <c r="I122" s="529">
        <f t="shared" si="10"/>
        <v>9.1345936582059202E-3</v>
      </c>
      <c r="J122" s="529">
        <f t="shared" si="10"/>
        <v>5.7959010817891033E-3</v>
      </c>
      <c r="K122" s="529">
        <f t="shared" si="10"/>
        <v>5.8952603350784132E-3</v>
      </c>
      <c r="L122" s="529">
        <f t="shared" si="10"/>
        <v>3.4437234793557037E-3</v>
      </c>
      <c r="M122" s="529">
        <f t="shared" si="10"/>
        <v>3.7399446246622302E-3</v>
      </c>
      <c r="N122" s="530"/>
      <c r="P122" s="407" t="s">
        <v>167</v>
      </c>
      <c r="Q122" s="488">
        <f t="shared" si="14"/>
        <v>13</v>
      </c>
      <c r="R122" s="52">
        <f t="shared" si="15"/>
        <v>13</v>
      </c>
      <c r="S122" s="52">
        <f t="shared" si="16"/>
        <v>14</v>
      </c>
      <c r="T122" s="52">
        <f t="shared" si="17"/>
        <v>11</v>
      </c>
      <c r="U122" s="52">
        <f t="shared" si="11"/>
        <v>13</v>
      </c>
      <c r="V122" s="52">
        <f t="shared" si="18"/>
        <v>11</v>
      </c>
      <c r="W122" s="52">
        <f t="shared" si="12"/>
        <v>8</v>
      </c>
      <c r="X122" s="221"/>
    </row>
    <row r="123" spans="2:24" ht="11.25" customHeight="1">
      <c r="B123" s="193"/>
      <c r="C123" s="60"/>
      <c r="D123" s="407" t="s">
        <v>168</v>
      </c>
      <c r="E123" s="529">
        <f t="shared" si="13"/>
        <v>2.4148487706751148E-4</v>
      </c>
      <c r="F123" s="529">
        <f t="shared" si="10"/>
        <v>5.0480755158196751E-4</v>
      </c>
      <c r="G123" s="529">
        <f t="shared" si="10"/>
        <v>2.2798018200505398E-4</v>
      </c>
      <c r="H123" s="529">
        <f t="shared" si="10"/>
        <v>3.8056967261553009E-4</v>
      </c>
      <c r="I123" s="529">
        <f t="shared" si="10"/>
        <v>1.5947406105578337E-4</v>
      </c>
      <c r="J123" s="529">
        <f t="shared" si="10"/>
        <v>5.6846420808563008E-4</v>
      </c>
      <c r="K123" s="529">
        <f t="shared" si="10"/>
        <v>9.4323185954756409E-4</v>
      </c>
      <c r="L123" s="529">
        <f t="shared" si="10"/>
        <v>1.2857083968836308E-3</v>
      </c>
      <c r="M123" s="529">
        <f t="shared" si="10"/>
        <v>2.1962597700208699E-3</v>
      </c>
      <c r="N123" s="530"/>
      <c r="P123" s="407" t="s">
        <v>168</v>
      </c>
      <c r="Q123" s="488">
        <f t="shared" si="14"/>
        <v>2</v>
      </c>
      <c r="R123" s="52">
        <f t="shared" si="15"/>
        <v>2</v>
      </c>
      <c r="S123" s="52">
        <f t="shared" si="16"/>
        <v>1</v>
      </c>
      <c r="T123" s="52">
        <f t="shared" si="17"/>
        <v>1</v>
      </c>
      <c r="U123" s="52">
        <f t="shared" si="11"/>
        <v>3</v>
      </c>
      <c r="V123" s="52">
        <f t="shared" si="18"/>
        <v>3</v>
      </c>
      <c r="W123" s="52">
        <f t="shared" si="12"/>
        <v>5</v>
      </c>
      <c r="X123" s="221"/>
    </row>
    <row r="124" spans="2:24" ht="11.25" customHeight="1">
      <c r="B124" s="193"/>
      <c r="C124" s="60"/>
      <c r="D124" s="407" t="s">
        <v>169</v>
      </c>
      <c r="E124" s="529">
        <f t="shared" si="13"/>
        <v>8.4482925561461342E-4</v>
      </c>
      <c r="F124" s="529">
        <f t="shared" si="10"/>
        <v>7.4017337698358075E-4</v>
      </c>
      <c r="G124" s="529">
        <f t="shared" si="10"/>
        <v>8.3224102388190042E-4</v>
      </c>
      <c r="H124" s="529">
        <f t="shared" si="10"/>
        <v>7.8110206400302975E-4</v>
      </c>
      <c r="I124" s="529">
        <f t="shared" si="10"/>
        <v>1.6525482571865019E-3</v>
      </c>
      <c r="J124" s="529">
        <f t="shared" si="10"/>
        <v>9.3724817653986813E-4</v>
      </c>
      <c r="K124" s="529">
        <f t="shared" si="10"/>
        <v>6.074747621848802E-4</v>
      </c>
      <c r="L124" s="529">
        <f t="shared" si="10"/>
        <v>3.9376635736378774E-4</v>
      </c>
      <c r="M124" s="529">
        <f t="shared" si="10"/>
        <v>1.9218369112212E-4</v>
      </c>
      <c r="N124" s="530"/>
      <c r="P124" s="407" t="s">
        <v>169</v>
      </c>
      <c r="Q124" s="488">
        <f t="shared" si="14"/>
        <v>3</v>
      </c>
      <c r="R124" s="52">
        <f t="shared" si="15"/>
        <v>4</v>
      </c>
      <c r="S124" s="52">
        <f t="shared" si="16"/>
        <v>3</v>
      </c>
      <c r="T124" s="52">
        <f t="shared" si="17"/>
        <v>2</v>
      </c>
      <c r="U124" s="52">
        <f t="shared" si="11"/>
        <v>1</v>
      </c>
      <c r="V124" s="52">
        <f t="shared" si="18"/>
        <v>1</v>
      </c>
      <c r="W124" s="52">
        <f t="shared" si="12"/>
        <v>2</v>
      </c>
      <c r="X124" s="221"/>
    </row>
    <row r="125" spans="2:24" ht="11.25" customHeight="1">
      <c r="B125" s="193"/>
      <c r="C125" s="60"/>
      <c r="D125" s="407" t="s">
        <v>170</v>
      </c>
      <c r="E125" s="529">
        <f t="shared" si="13"/>
        <v>2.1921435478803077E-3</v>
      </c>
      <c r="F125" s="529">
        <f t="shared" si="10"/>
        <v>1.8858881740565676E-3</v>
      </c>
      <c r="G125" s="529">
        <f t="shared" si="10"/>
        <v>1.8550289727293826E-3</v>
      </c>
      <c r="H125" s="529">
        <f t="shared" si="10"/>
        <v>2.6803174345223584E-3</v>
      </c>
      <c r="I125" s="529">
        <f t="shared" si="10"/>
        <v>2.2739018087855299E-3</v>
      </c>
      <c r="J125" s="529">
        <f t="shared" si="10"/>
        <v>1.0105480563546508E-3</v>
      </c>
      <c r="K125" s="529">
        <f t="shared" si="10"/>
        <v>1.2596323845307238E-3</v>
      </c>
      <c r="L125" s="529">
        <f t="shared" si="10"/>
        <v>1.1878881987577639E-3</v>
      </c>
      <c r="M125" s="529">
        <f t="shared" si="10"/>
        <v>1.0663865377269345E-3</v>
      </c>
      <c r="N125" s="530"/>
      <c r="P125" s="407" t="s">
        <v>170</v>
      </c>
      <c r="Q125" s="488">
        <f t="shared" si="14"/>
        <v>8</v>
      </c>
      <c r="R125" s="52">
        <f t="shared" si="15"/>
        <v>6</v>
      </c>
      <c r="S125" s="52">
        <f t="shared" si="16"/>
        <v>5</v>
      </c>
      <c r="T125" s="52">
        <f t="shared" si="17"/>
        <v>3</v>
      </c>
      <c r="U125" s="52">
        <f t="shared" si="11"/>
        <v>4</v>
      </c>
      <c r="V125" s="52">
        <f t="shared" si="18"/>
        <v>2</v>
      </c>
      <c r="W125" s="52">
        <f t="shared" si="12"/>
        <v>4</v>
      </c>
      <c r="X125" s="221"/>
    </row>
    <row r="126" spans="2:24" ht="11.25" customHeight="1">
      <c r="B126" s="193"/>
      <c r="C126" s="60"/>
      <c r="D126" s="407" t="s">
        <v>171</v>
      </c>
      <c r="E126" s="529">
        <f t="shared" si="13"/>
        <v>4.9108564151544099E-3</v>
      </c>
      <c r="F126" s="529">
        <f t="shared" si="10"/>
        <v>4.7062372727958365E-3</v>
      </c>
      <c r="G126" s="529">
        <f t="shared" si="10"/>
        <v>6.2942753093990362E-5</v>
      </c>
      <c r="H126" s="529">
        <f t="shared" si="10"/>
        <v>7.2652882272570995E-5</v>
      </c>
      <c r="I126" s="529">
        <f t="shared" si="10"/>
        <v>2.404333992831261E-3</v>
      </c>
      <c r="J126" s="529">
        <f t="shared" si="10"/>
        <v>1.1978221320553073E-3</v>
      </c>
      <c r="K126" s="529">
        <f t="shared" si="10"/>
        <v>2.9258779302090954E-3</v>
      </c>
      <c r="L126" s="529">
        <f t="shared" si="10"/>
        <v>3.1461740351870571E-3</v>
      </c>
      <c r="M126" s="529">
        <f t="shared" si="10"/>
        <v>5.3346113240710542E-3</v>
      </c>
      <c r="N126" s="530"/>
      <c r="P126" s="407" t="s">
        <v>171</v>
      </c>
      <c r="Q126" s="488">
        <f t="shared" si="14"/>
        <v>1</v>
      </c>
      <c r="R126" s="52">
        <f t="shared" si="15"/>
        <v>1</v>
      </c>
      <c r="S126" s="52">
        <f t="shared" si="16"/>
        <v>6</v>
      </c>
      <c r="T126" s="52">
        <f t="shared" si="17"/>
        <v>5</v>
      </c>
      <c r="U126" s="52">
        <f t="shared" si="11"/>
        <v>8</v>
      </c>
      <c r="V126" s="52">
        <f t="shared" si="18"/>
        <v>8</v>
      </c>
      <c r="W126" s="52">
        <f t="shared" si="12"/>
        <v>13</v>
      </c>
      <c r="X126" s="221"/>
    </row>
    <row r="127" spans="2:24" ht="11.25" customHeight="1">
      <c r="B127" s="193"/>
      <c r="C127" s="60"/>
      <c r="D127" s="407" t="s">
        <v>172</v>
      </c>
      <c r="E127" s="529">
        <f t="shared" si="13"/>
        <v>5.4882170053620512E-3</v>
      </c>
      <c r="F127" s="529">
        <f t="shared" si="10"/>
        <v>5.3726694640308E-3</v>
      </c>
      <c r="G127" s="529">
        <f t="shared" si="10"/>
        <v>1.7681502218534252E-3</v>
      </c>
      <c r="H127" s="529">
        <f t="shared" si="10"/>
        <v>2.7590712667103609E-3</v>
      </c>
      <c r="I127" s="529">
        <f t="shared" si="10"/>
        <v>3.784499209371068E-3</v>
      </c>
      <c r="J127" s="529">
        <f t="shared" si="10"/>
        <v>2.0011683621365497E-3</v>
      </c>
      <c r="K127" s="529">
        <f t="shared" si="10"/>
        <v>1.6333926937839225E-3</v>
      </c>
      <c r="L127" s="529">
        <f t="shared" si="10"/>
        <v>3.3330199909258587E-3</v>
      </c>
      <c r="M127" s="529">
        <f t="shared" si="10"/>
        <v>4.2633586980814816E-3</v>
      </c>
      <c r="N127" s="530"/>
      <c r="P127" s="407" t="s">
        <v>172</v>
      </c>
      <c r="Q127" s="488">
        <f t="shared" si="14"/>
        <v>7</v>
      </c>
      <c r="R127" s="52">
        <f t="shared" si="15"/>
        <v>7</v>
      </c>
      <c r="S127" s="52">
        <f t="shared" si="16"/>
        <v>10</v>
      </c>
      <c r="T127" s="52">
        <f t="shared" si="17"/>
        <v>7</v>
      </c>
      <c r="U127" s="52">
        <f t="shared" si="11"/>
        <v>5</v>
      </c>
      <c r="V127" s="52">
        <f t="shared" si="18"/>
        <v>9</v>
      </c>
      <c r="W127" s="52">
        <f t="shared" si="12"/>
        <v>9</v>
      </c>
      <c r="X127" s="221"/>
    </row>
    <row r="128" spans="2:24" ht="11.25" customHeight="1">
      <c r="B128" s="193"/>
      <c r="C128" s="60"/>
      <c r="D128" s="407" t="s">
        <v>28</v>
      </c>
      <c r="E128" s="529">
        <f t="shared" si="13"/>
        <v>1.8415166239844037E-3</v>
      </c>
      <c r="F128" s="529">
        <f t="shared" si="10"/>
        <v>2.6758522302654936E-3</v>
      </c>
      <c r="G128" s="529">
        <f t="shared" si="10"/>
        <v>1.0524702595998544E-3</v>
      </c>
      <c r="H128" s="529">
        <f t="shared" si="10"/>
        <v>6.8227979419642308E-4</v>
      </c>
      <c r="I128" s="529">
        <f t="shared" si="10"/>
        <v>2.7592208384849125E-4</v>
      </c>
      <c r="J128" s="529">
        <f t="shared" si="10"/>
        <v>1.5588805948998283E-3</v>
      </c>
      <c r="K128" s="529">
        <f t="shared" si="10"/>
        <v>2.1419201923663163E-3</v>
      </c>
      <c r="L128" s="529">
        <f t="shared" si="10"/>
        <v>1.6372991325628997E-3</v>
      </c>
      <c r="M128" s="529">
        <f t="shared" si="10"/>
        <v>1.5576050265113104E-4</v>
      </c>
      <c r="N128" s="530"/>
      <c r="P128" s="407" t="s">
        <v>28</v>
      </c>
      <c r="Q128" s="488">
        <f t="shared" si="14"/>
        <v>5</v>
      </c>
      <c r="R128" s="52">
        <f t="shared" si="15"/>
        <v>3</v>
      </c>
      <c r="S128" s="52">
        <f t="shared" si="16"/>
        <v>2</v>
      </c>
      <c r="T128" s="52">
        <f t="shared" si="17"/>
        <v>6</v>
      </c>
      <c r="U128" s="52">
        <f t="shared" si="11"/>
        <v>6</v>
      </c>
      <c r="V128" s="52">
        <f t="shared" si="18"/>
        <v>5</v>
      </c>
      <c r="W128" s="52">
        <f t="shared" si="12"/>
        <v>1</v>
      </c>
      <c r="X128" s="221"/>
    </row>
    <row r="129" spans="2:30" ht="11.25" customHeight="1" thickBot="1">
      <c r="B129" s="193"/>
      <c r="C129" s="60"/>
      <c r="D129" s="407" t="s">
        <v>173</v>
      </c>
      <c r="E129" s="529">
        <f t="shared" si="13"/>
        <v>4.6554778854575778E-3</v>
      </c>
      <c r="F129" s="529">
        <f t="shared" si="10"/>
        <v>4.6431191636959407E-3</v>
      </c>
      <c r="G129" s="529">
        <f t="shared" si="10"/>
        <v>5.1746945762975623E-3</v>
      </c>
      <c r="H129" s="529">
        <f t="shared" si="10"/>
        <v>5.4506069949209184E-3</v>
      </c>
      <c r="I129" s="529">
        <f t="shared" si="10"/>
        <v>7.7772453256017976E-3</v>
      </c>
      <c r="J129" s="529">
        <f t="shared" si="10"/>
        <v>9.2958928883676763E-3</v>
      </c>
      <c r="K129" s="529">
        <f t="shared" si="10"/>
        <v>7.3955395354409819E-3</v>
      </c>
      <c r="L129" s="529">
        <f t="shared" si="10"/>
        <v>7.1678450255058777E-3</v>
      </c>
      <c r="M129" s="529">
        <f t="shared" si="10"/>
        <v>7.0247009383251208E-3</v>
      </c>
      <c r="N129" s="530"/>
      <c r="P129" s="413" t="s">
        <v>173</v>
      </c>
      <c r="Q129" s="523">
        <f t="shared" si="14"/>
        <v>11</v>
      </c>
      <c r="R129" s="481">
        <f t="shared" si="15"/>
        <v>12</v>
      </c>
      <c r="S129" s="52">
        <f t="shared" si="16"/>
        <v>13</v>
      </c>
      <c r="T129" s="52">
        <f t="shared" si="17"/>
        <v>14</v>
      </c>
      <c r="U129" s="52">
        <f t="shared" si="11"/>
        <v>14</v>
      </c>
      <c r="V129" s="52">
        <f t="shared" si="18"/>
        <v>14</v>
      </c>
      <c r="W129" s="52">
        <f t="shared" si="12"/>
        <v>14</v>
      </c>
      <c r="X129" s="524"/>
    </row>
    <row r="130" spans="2:30" ht="12" thickBot="1">
      <c r="B130" s="193"/>
      <c r="D130" s="408" t="s">
        <v>174</v>
      </c>
      <c r="E130" s="529">
        <f t="shared" si="13"/>
        <v>3.4752594648927017E-3</v>
      </c>
      <c r="F130" s="529">
        <f t="shared" si="10"/>
        <v>3.2255048219574445E-3</v>
      </c>
      <c r="G130" s="529">
        <f t="shared" si="10"/>
        <v>3.6781796797853957E-3</v>
      </c>
      <c r="H130" s="529">
        <f t="shared" si="10"/>
        <v>3.1967987100135543E-3</v>
      </c>
      <c r="I130" s="529">
        <f t="shared" si="10"/>
        <v>3.5001138457637464E-3</v>
      </c>
      <c r="J130" s="529">
        <f t="shared" si="10"/>
        <v>3.0369401666417973E-3</v>
      </c>
      <c r="K130" s="529">
        <f t="shared" si="10"/>
        <v>2.8198565218077449E-3</v>
      </c>
      <c r="L130" s="529">
        <f t="shared" si="10"/>
        <v>2.834541522375843E-3</v>
      </c>
      <c r="M130" s="529">
        <f t="shared" si="10"/>
        <v>3.0799887017255584E-3</v>
      </c>
      <c r="N130" s="531"/>
      <c r="O130" s="897"/>
    </row>
    <row r="131" spans="2:30">
      <c r="B131" s="1"/>
      <c r="C131" s="61"/>
      <c r="D131" s="1"/>
      <c r="E131" s="512"/>
      <c r="F131" s="512"/>
      <c r="G131" s="512"/>
      <c r="H131" s="512"/>
      <c r="I131" s="44"/>
      <c r="J131" s="44"/>
      <c r="X131" s="56"/>
    </row>
    <row r="132" spans="2:30">
      <c r="B132" s="1"/>
      <c r="C132" s="61"/>
      <c r="D132" s="1"/>
      <c r="E132" s="512"/>
      <c r="F132" s="512"/>
      <c r="G132" s="512"/>
      <c r="H132" s="512"/>
      <c r="I132" s="44"/>
      <c r="J132" s="44"/>
    </row>
    <row r="133" spans="2:30">
      <c r="B133" s="1223" t="s">
        <v>423</v>
      </c>
      <c r="C133" s="61"/>
      <c r="D133" s="1"/>
    </row>
    <row r="134" spans="2:30" ht="12" thickBot="1">
      <c r="B134" s="1223"/>
      <c r="C134" s="61"/>
      <c r="D134" s="16" t="s">
        <v>424</v>
      </c>
      <c r="E134" s="516"/>
      <c r="F134" s="516"/>
      <c r="G134" s="516"/>
      <c r="H134" s="516"/>
      <c r="I134" s="134"/>
      <c r="J134" s="14"/>
      <c r="P134" s="16" t="s">
        <v>425</v>
      </c>
      <c r="T134" s="134"/>
      <c r="U134" s="134"/>
      <c r="V134" s="134"/>
      <c r="W134" s="134"/>
      <c r="X134" s="134"/>
      <c r="Y134" s="134"/>
      <c r="Z134" s="134"/>
      <c r="AB134" s="1"/>
    </row>
    <row r="135" spans="2:30" ht="12" thickBot="1">
      <c r="B135" s="1223"/>
      <c r="C135" s="61"/>
      <c r="E135" s="1015" t="s">
        <v>412</v>
      </c>
      <c r="F135" s="1016" t="s">
        <v>413</v>
      </c>
      <c r="G135" s="535" t="s">
        <v>137</v>
      </c>
      <c r="H135" s="536" t="s">
        <v>138</v>
      </c>
      <c r="I135" s="318" t="s">
        <v>139</v>
      </c>
      <c r="J135" s="318" t="s">
        <v>140</v>
      </c>
      <c r="K135" s="318" t="s">
        <v>141</v>
      </c>
      <c r="L135" s="318" t="s">
        <v>126</v>
      </c>
      <c r="M135" s="318" t="s">
        <v>142</v>
      </c>
      <c r="N135" s="319" t="s">
        <v>143</v>
      </c>
      <c r="Q135" s="525" t="s">
        <v>412</v>
      </c>
      <c r="R135" s="526" t="s">
        <v>413</v>
      </c>
      <c r="S135" s="1017" t="s">
        <v>137</v>
      </c>
      <c r="T135" s="1017" t="s">
        <v>138</v>
      </c>
      <c r="U135" s="1017" t="s">
        <v>139</v>
      </c>
      <c r="V135" s="1017" t="s">
        <v>140</v>
      </c>
      <c r="W135" s="1017" t="s">
        <v>141</v>
      </c>
      <c r="X135" s="1017" t="s">
        <v>126</v>
      </c>
      <c r="Y135" s="1017" t="s">
        <v>142</v>
      </c>
      <c r="Z135" s="1018" t="s">
        <v>143</v>
      </c>
    </row>
    <row r="136" spans="2:30">
      <c r="B136" s="1223"/>
      <c r="C136" s="61"/>
      <c r="D136" s="406" t="s">
        <v>161</v>
      </c>
      <c r="E136" s="431">
        <v>33115</v>
      </c>
      <c r="F136" s="431">
        <v>28318</v>
      </c>
      <c r="G136" s="431">
        <v>31220</v>
      </c>
      <c r="H136" s="431">
        <v>21096</v>
      </c>
      <c r="I136" s="431">
        <v>67398</v>
      </c>
      <c r="J136" s="431">
        <v>55829</v>
      </c>
      <c r="K136" s="431">
        <v>21616</v>
      </c>
      <c r="L136" s="431">
        <v>16998</v>
      </c>
      <c r="M136" s="431">
        <v>13266</v>
      </c>
      <c r="N136" s="221"/>
      <c r="P136" s="406" t="s">
        <v>161</v>
      </c>
      <c r="Q136" s="431">
        <v>1311206</v>
      </c>
      <c r="R136" s="431">
        <v>1266283.4173814249</v>
      </c>
      <c r="S136" s="431">
        <v>1202260.53</v>
      </c>
      <c r="T136" s="431">
        <v>1319898.9099999999</v>
      </c>
      <c r="U136" s="431">
        <v>1106980.4099999999</v>
      </c>
      <c r="V136" s="431">
        <v>1093156.6100000001</v>
      </c>
      <c r="W136" s="431">
        <v>1066356.99</v>
      </c>
      <c r="X136" s="431">
        <v>1069908</v>
      </c>
      <c r="Y136" s="431">
        <v>1061444.2855016205</v>
      </c>
      <c r="Z136" s="221"/>
      <c r="AD136" s="228"/>
    </row>
    <row r="137" spans="2:30">
      <c r="B137" s="1223"/>
      <c r="C137" s="61"/>
      <c r="D137" s="407" t="s">
        <v>162</v>
      </c>
      <c r="E137" s="431">
        <v>16837</v>
      </c>
      <c r="F137" s="431">
        <v>15890</v>
      </c>
      <c r="G137" s="431">
        <v>13021</v>
      </c>
      <c r="H137" s="431">
        <v>18641</v>
      </c>
      <c r="I137" s="431">
        <v>12124</v>
      </c>
      <c r="J137" s="431">
        <v>14747</v>
      </c>
      <c r="K137" s="431">
        <v>9543</v>
      </c>
      <c r="L137" s="431">
        <v>7831</v>
      </c>
      <c r="M137" s="431">
        <v>8979</v>
      </c>
      <c r="N137" s="221"/>
      <c r="P137" s="407" t="s">
        <v>162</v>
      </c>
      <c r="Q137" s="431">
        <v>1469598.8159999999</v>
      </c>
      <c r="R137" s="431">
        <v>1419147.3388364422</v>
      </c>
      <c r="S137" s="431">
        <v>1433538.0178800002</v>
      </c>
      <c r="T137" s="431">
        <v>1429192.0272611226</v>
      </c>
      <c r="U137" s="431">
        <v>1347254</v>
      </c>
      <c r="V137" s="431">
        <v>1305156.33448</v>
      </c>
      <c r="W137" s="431">
        <v>1240009.32036</v>
      </c>
      <c r="X137" s="431">
        <v>1211779.32672</v>
      </c>
      <c r="Y137" s="431">
        <v>1202394.3115200002</v>
      </c>
      <c r="Z137" s="221"/>
    </row>
    <row r="138" spans="2:30">
      <c r="B138" s="1223"/>
      <c r="C138" s="61"/>
      <c r="D138" s="407" t="s">
        <v>163</v>
      </c>
      <c r="E138" s="431">
        <v>42951</v>
      </c>
      <c r="F138" s="431">
        <v>28113</v>
      </c>
      <c r="G138" s="431">
        <v>18732</v>
      </c>
      <c r="H138" s="431">
        <v>18150</v>
      </c>
      <c r="I138" s="431">
        <v>17438</v>
      </c>
      <c r="J138" s="431">
        <v>19567</v>
      </c>
      <c r="K138" s="431">
        <v>24267</v>
      </c>
      <c r="L138" s="431">
        <v>20224</v>
      </c>
      <c r="M138" s="431">
        <v>19383</v>
      </c>
      <c r="N138" s="221"/>
      <c r="P138" s="407" t="s">
        <v>163</v>
      </c>
      <c r="Q138" s="431">
        <v>1398926.3729039412</v>
      </c>
      <c r="R138" s="431">
        <v>1362750.5087267822</v>
      </c>
      <c r="S138" s="431">
        <v>1145692.0851176656</v>
      </c>
      <c r="T138" s="431">
        <v>1089977.6984518017</v>
      </c>
      <c r="U138" s="431">
        <v>1078595.8522713762</v>
      </c>
      <c r="V138" s="431">
        <v>1042745.0633667794</v>
      </c>
      <c r="W138" s="431">
        <v>974315.41151691496</v>
      </c>
      <c r="X138" s="431">
        <v>914406.42919691524</v>
      </c>
      <c r="Y138" s="431">
        <v>870045.25863691512</v>
      </c>
      <c r="Z138" s="221"/>
    </row>
    <row r="139" spans="2:30">
      <c r="B139" s="1223"/>
      <c r="C139" s="61"/>
      <c r="D139" s="407" t="s">
        <v>164</v>
      </c>
      <c r="E139" s="431">
        <v>11382</v>
      </c>
      <c r="F139" s="431">
        <v>19717</v>
      </c>
      <c r="G139" s="431">
        <v>8392</v>
      </c>
      <c r="H139" s="431">
        <v>9421</v>
      </c>
      <c r="I139" s="431">
        <v>12771</v>
      </c>
      <c r="J139" s="431">
        <v>31474</v>
      </c>
      <c r="K139" s="431">
        <v>12511</v>
      </c>
      <c r="L139" s="431">
        <v>8348</v>
      </c>
      <c r="M139" s="431">
        <v>12728</v>
      </c>
      <c r="N139" s="221"/>
      <c r="P139" s="407" t="s">
        <v>164</v>
      </c>
      <c r="Q139" s="431">
        <v>918008.22899999935</v>
      </c>
      <c r="R139" s="431">
        <v>877755.23399999982</v>
      </c>
      <c r="S139" s="431">
        <v>865392</v>
      </c>
      <c r="T139" s="431">
        <v>935150</v>
      </c>
      <c r="U139" s="431">
        <v>663808</v>
      </c>
      <c r="V139" s="431">
        <v>671353</v>
      </c>
      <c r="W139" s="431">
        <v>671353</v>
      </c>
      <c r="X139" s="431">
        <v>671353</v>
      </c>
      <c r="Y139" s="431">
        <v>671353</v>
      </c>
      <c r="Z139" s="221"/>
    </row>
    <row r="140" spans="2:30">
      <c r="B140" s="1223"/>
      <c r="C140" s="61"/>
      <c r="D140" s="407" t="s">
        <v>165</v>
      </c>
      <c r="E140" s="431">
        <v>10110</v>
      </c>
      <c r="F140" s="431">
        <v>9303</v>
      </c>
      <c r="G140" s="431">
        <v>7255</v>
      </c>
      <c r="H140" s="431">
        <v>7220</v>
      </c>
      <c r="I140" s="431">
        <v>9630</v>
      </c>
      <c r="J140" s="431">
        <v>9848</v>
      </c>
      <c r="K140" s="431">
        <v>4611</v>
      </c>
      <c r="L140" s="431">
        <v>4645</v>
      </c>
      <c r="M140" s="431">
        <v>6684</v>
      </c>
      <c r="N140" s="221"/>
      <c r="P140" s="407" t="s">
        <v>165</v>
      </c>
      <c r="Q140" s="431">
        <v>794256.84952959977</v>
      </c>
      <c r="R140" s="431">
        <v>770711.49799999991</v>
      </c>
      <c r="S140" s="431">
        <v>711036</v>
      </c>
      <c r="T140" s="431">
        <v>694510</v>
      </c>
      <c r="U140" s="431">
        <v>521215</v>
      </c>
      <c r="V140" s="431">
        <v>521138</v>
      </c>
      <c r="W140" s="431">
        <v>521138</v>
      </c>
      <c r="X140" s="431">
        <v>521113</v>
      </c>
      <c r="Y140" s="431">
        <v>521113</v>
      </c>
      <c r="Z140" s="221"/>
    </row>
    <row r="141" spans="2:30">
      <c r="B141" s="1223"/>
      <c r="C141" s="61"/>
      <c r="D141" s="407" t="s">
        <v>166</v>
      </c>
      <c r="E141" s="431">
        <v>0</v>
      </c>
      <c r="F141" s="431">
        <v>0</v>
      </c>
      <c r="G141" s="431">
        <v>938</v>
      </c>
      <c r="H141" s="431">
        <v>400</v>
      </c>
      <c r="I141" s="431">
        <v>270</v>
      </c>
      <c r="J141" s="431">
        <v>860</v>
      </c>
      <c r="K141" s="431">
        <v>2840</v>
      </c>
      <c r="L141" s="431">
        <v>5055</v>
      </c>
      <c r="M141" s="431">
        <v>1090</v>
      </c>
      <c r="N141" s="221"/>
      <c r="P141" s="407" t="s">
        <v>166</v>
      </c>
      <c r="Q141" s="431">
        <v>144156.06823500001</v>
      </c>
      <c r="R141" s="431">
        <v>143999.39223500001</v>
      </c>
      <c r="S141" s="431">
        <v>144974</v>
      </c>
      <c r="T141" s="431">
        <v>182210</v>
      </c>
      <c r="U141" s="431">
        <v>161291</v>
      </c>
      <c r="V141" s="431">
        <v>193712</v>
      </c>
      <c r="W141" s="431">
        <v>193712</v>
      </c>
      <c r="X141" s="431">
        <v>193712</v>
      </c>
      <c r="Y141" s="431">
        <v>193712</v>
      </c>
      <c r="Z141" s="221"/>
    </row>
    <row r="142" spans="2:30">
      <c r="B142" s="1223"/>
      <c r="C142" s="61"/>
      <c r="D142" s="407" t="s">
        <v>167</v>
      </c>
      <c r="E142" s="431">
        <v>724</v>
      </c>
      <c r="F142" s="431">
        <v>1930</v>
      </c>
      <c r="G142" s="431">
        <v>706</v>
      </c>
      <c r="H142" s="431">
        <v>210</v>
      </c>
      <c r="I142" s="431">
        <v>687</v>
      </c>
      <c r="J142" s="431">
        <v>3310</v>
      </c>
      <c r="K142" s="431">
        <v>251</v>
      </c>
      <c r="L142" s="431">
        <v>363</v>
      </c>
      <c r="M142" s="431">
        <v>14731</v>
      </c>
      <c r="N142" s="221"/>
      <c r="P142" s="407" t="s">
        <v>167</v>
      </c>
      <c r="Q142" s="431">
        <v>311241.52918399998</v>
      </c>
      <c r="R142" s="431">
        <v>314455.38454400003</v>
      </c>
      <c r="S142" s="431">
        <v>303186</v>
      </c>
      <c r="T142" s="431">
        <v>285380</v>
      </c>
      <c r="U142" s="431">
        <v>241053</v>
      </c>
      <c r="V142" s="431">
        <v>273595</v>
      </c>
      <c r="W142" s="431">
        <v>273595</v>
      </c>
      <c r="X142" s="431">
        <v>273595</v>
      </c>
      <c r="Y142" s="431">
        <v>273595</v>
      </c>
      <c r="Z142" s="221"/>
    </row>
    <row r="143" spans="2:30">
      <c r="B143" s="1223"/>
      <c r="C143" s="61"/>
      <c r="D143" s="407" t="s">
        <v>168</v>
      </c>
      <c r="E143" s="431">
        <v>143605</v>
      </c>
      <c r="F143" s="431">
        <v>165221</v>
      </c>
      <c r="G143" s="431">
        <v>151557</v>
      </c>
      <c r="H143" s="431">
        <v>137086</v>
      </c>
      <c r="I143" s="431">
        <v>114723</v>
      </c>
      <c r="J143" s="431">
        <v>96865</v>
      </c>
      <c r="K143" s="431">
        <v>68146</v>
      </c>
      <c r="L143" s="431">
        <v>105153</v>
      </c>
      <c r="M143" s="431">
        <v>108024.1</v>
      </c>
      <c r="N143" s="221"/>
      <c r="P143" s="407" t="s">
        <v>168</v>
      </c>
      <c r="Q143" s="431">
        <v>3111189.2</v>
      </c>
      <c r="R143" s="431">
        <v>3158906.69</v>
      </c>
      <c r="S143" s="431">
        <v>3156496.2070359429</v>
      </c>
      <c r="T143" s="431">
        <v>3238312.2868083408</v>
      </c>
      <c r="U143" s="431">
        <v>3248501.9192407732</v>
      </c>
      <c r="V143" s="431">
        <v>3182030.9408623972</v>
      </c>
      <c r="W143" s="431">
        <v>3162410.94</v>
      </c>
      <c r="X143" s="431">
        <v>3091620.94</v>
      </c>
      <c r="Y143" s="431">
        <v>2958270.9408624</v>
      </c>
      <c r="Z143" s="221"/>
    </row>
    <row r="144" spans="2:30">
      <c r="B144" s="1223"/>
      <c r="C144" s="61"/>
      <c r="D144" s="407" t="s">
        <v>169</v>
      </c>
      <c r="E144" s="431">
        <v>66208</v>
      </c>
      <c r="F144" s="431">
        <v>71297</v>
      </c>
      <c r="G144" s="431">
        <v>52446</v>
      </c>
      <c r="H144" s="431">
        <v>52068</v>
      </c>
      <c r="I144" s="431">
        <v>72233</v>
      </c>
      <c r="J144" s="431">
        <v>80385</v>
      </c>
      <c r="K144" s="431">
        <v>53783</v>
      </c>
      <c r="L144" s="431">
        <v>59404</v>
      </c>
      <c r="M144" s="431">
        <v>47913</v>
      </c>
      <c r="N144" s="221"/>
      <c r="P144" s="407" t="s">
        <v>169</v>
      </c>
      <c r="Q144" s="431">
        <v>1981939.81</v>
      </c>
      <c r="R144" s="431">
        <v>2002002.87</v>
      </c>
      <c r="S144" s="431">
        <v>2002711.8776586039</v>
      </c>
      <c r="T144" s="431">
        <v>2073473.8722687042</v>
      </c>
      <c r="U144" s="431">
        <v>2062589.8396540238</v>
      </c>
      <c r="V144" s="431">
        <v>2054119.7787527759</v>
      </c>
      <c r="W144" s="431">
        <v>2054119.7790000001</v>
      </c>
      <c r="X144" s="431">
        <v>2040743.33</v>
      </c>
      <c r="Y144" s="431">
        <v>2038280.9398067</v>
      </c>
      <c r="Z144" s="221"/>
    </row>
    <row r="145" spans="2:34">
      <c r="B145" s="1223"/>
      <c r="C145" s="61"/>
      <c r="D145" s="407" t="s">
        <v>170</v>
      </c>
      <c r="E145" s="431">
        <v>30829</v>
      </c>
      <c r="F145" s="431">
        <v>46916</v>
      </c>
      <c r="G145" s="431">
        <v>37768</v>
      </c>
      <c r="H145" s="431">
        <v>42306</v>
      </c>
      <c r="I145" s="431">
        <v>55978</v>
      </c>
      <c r="J145" s="431">
        <v>63787</v>
      </c>
      <c r="K145" s="431">
        <v>56557</v>
      </c>
      <c r="L145" s="431">
        <v>48996</v>
      </c>
      <c r="M145" s="431">
        <v>55451.5</v>
      </c>
      <c r="N145" s="221"/>
      <c r="P145" s="407" t="s">
        <v>170</v>
      </c>
      <c r="Q145" s="431">
        <v>1943552.7</v>
      </c>
      <c r="R145" s="431">
        <v>1989261.7</v>
      </c>
      <c r="S145" s="431">
        <v>1931841.770348846</v>
      </c>
      <c r="T145" s="431">
        <v>2196313.6706440239</v>
      </c>
      <c r="U145" s="431">
        <v>2191115.463250204</v>
      </c>
      <c r="V145" s="431">
        <v>2191115.463250204</v>
      </c>
      <c r="W145" s="431">
        <v>2174076.83</v>
      </c>
      <c r="X145" s="431">
        <v>2164067.66</v>
      </c>
      <c r="Y145" s="431">
        <v>2131533.0676568602</v>
      </c>
      <c r="Z145" s="221"/>
    </row>
    <row r="146" spans="2:34">
      <c r="B146" s="1223"/>
      <c r="C146" s="61"/>
      <c r="D146" s="407" t="s">
        <v>171</v>
      </c>
      <c r="E146" s="431">
        <v>46</v>
      </c>
      <c r="F146" s="431">
        <v>37</v>
      </c>
      <c r="G146" s="431">
        <v>0</v>
      </c>
      <c r="H146" s="431">
        <v>0</v>
      </c>
      <c r="I146" s="431">
        <v>20</v>
      </c>
      <c r="J146" s="431">
        <v>26</v>
      </c>
      <c r="K146" s="431">
        <v>49</v>
      </c>
      <c r="L146" s="431">
        <v>39</v>
      </c>
      <c r="M146" s="431">
        <v>74</v>
      </c>
      <c r="N146" s="221"/>
      <c r="P146" s="407" t="s">
        <v>171</v>
      </c>
      <c r="Q146" s="431">
        <v>0</v>
      </c>
      <c r="R146" s="431">
        <v>0</v>
      </c>
      <c r="S146" s="431">
        <v>86700</v>
      </c>
      <c r="T146" s="431">
        <v>86700</v>
      </c>
      <c r="U146" s="431">
        <v>86700</v>
      </c>
      <c r="V146" s="431">
        <v>86700</v>
      </c>
      <c r="W146" s="431">
        <v>86700</v>
      </c>
      <c r="X146" s="431">
        <v>86700</v>
      </c>
      <c r="Y146" s="431">
        <v>86700</v>
      </c>
      <c r="Z146" s="221"/>
    </row>
    <row r="147" spans="2:34">
      <c r="B147" s="1223"/>
      <c r="C147" s="61"/>
      <c r="D147" s="407" t="s">
        <v>172</v>
      </c>
      <c r="E147" s="431">
        <v>5535</v>
      </c>
      <c r="F147" s="431">
        <v>3555</v>
      </c>
      <c r="G147" s="431">
        <v>13600</v>
      </c>
      <c r="H147" s="431">
        <v>9315</v>
      </c>
      <c r="I147" s="431">
        <v>4420</v>
      </c>
      <c r="J147" s="431">
        <v>5024</v>
      </c>
      <c r="K147" s="431">
        <v>3230</v>
      </c>
      <c r="L147" s="431">
        <v>2067</v>
      </c>
      <c r="M147" s="431">
        <v>2195</v>
      </c>
      <c r="N147" s="221"/>
      <c r="P147" s="407" t="s">
        <v>172</v>
      </c>
      <c r="Q147" s="431">
        <v>0</v>
      </c>
      <c r="R147" s="431">
        <v>0</v>
      </c>
      <c r="S147" s="431">
        <v>699600</v>
      </c>
      <c r="T147" s="431">
        <v>699600</v>
      </c>
      <c r="U147" s="431">
        <v>699319.28</v>
      </c>
      <c r="V147" s="431">
        <v>699319.28</v>
      </c>
      <c r="W147" s="431">
        <v>699319.28</v>
      </c>
      <c r="X147" s="431">
        <v>699187.28</v>
      </c>
      <c r="Y147" s="431">
        <v>699187.28</v>
      </c>
      <c r="Z147" s="221"/>
    </row>
    <row r="148" spans="2:34">
      <c r="B148" s="1223"/>
      <c r="C148" s="61"/>
      <c r="D148" s="407" t="s">
        <v>28</v>
      </c>
      <c r="E148" s="431">
        <v>1077</v>
      </c>
      <c r="F148" s="431">
        <v>1623</v>
      </c>
      <c r="G148" s="431">
        <v>410</v>
      </c>
      <c r="H148" s="431">
        <v>612</v>
      </c>
      <c r="I148" s="431">
        <v>3440</v>
      </c>
      <c r="J148" s="431">
        <v>1191</v>
      </c>
      <c r="K148" s="431">
        <v>221</v>
      </c>
      <c r="L148" s="431">
        <v>139</v>
      </c>
      <c r="M148" s="431">
        <v>242</v>
      </c>
      <c r="N148" s="221"/>
      <c r="P148" s="407" t="s">
        <v>28</v>
      </c>
      <c r="Q148" s="431">
        <v>38188.994999999995</v>
      </c>
      <c r="R148" s="431">
        <v>38116.844999999994</v>
      </c>
      <c r="S148" s="431">
        <v>35090.393000000004</v>
      </c>
      <c r="T148" s="431">
        <v>32744.074999999993</v>
      </c>
      <c r="U148" s="431">
        <v>32744.075000000001</v>
      </c>
      <c r="V148" s="431">
        <v>30317.911000000004</v>
      </c>
      <c r="W148" s="431">
        <v>30317.911000000004</v>
      </c>
      <c r="X148" s="431">
        <v>30320.316000000003</v>
      </c>
      <c r="Y148" s="431">
        <v>28469.909000000003</v>
      </c>
      <c r="Z148" s="221"/>
    </row>
    <row r="149" spans="2:34">
      <c r="B149" s="1223"/>
      <c r="D149" s="407" t="s">
        <v>173</v>
      </c>
      <c r="E149" s="431">
        <v>17184</v>
      </c>
      <c r="F149" s="431">
        <v>18804</v>
      </c>
      <c r="G149" s="431">
        <v>14851</v>
      </c>
      <c r="H149" s="431">
        <v>21199</v>
      </c>
      <c r="I149" s="431">
        <v>31857</v>
      </c>
      <c r="J149" s="431">
        <v>31377</v>
      </c>
      <c r="K149" s="431">
        <v>25936</v>
      </c>
      <c r="L149" s="431">
        <v>18317</v>
      </c>
      <c r="M149" s="431">
        <v>17847</v>
      </c>
      <c r="N149" s="221"/>
      <c r="P149" s="407" t="s">
        <v>173</v>
      </c>
      <c r="Q149" s="431">
        <v>513316.17808375997</v>
      </c>
      <c r="R149" s="431">
        <v>513316.17808375997</v>
      </c>
      <c r="S149" s="431">
        <v>689617.70799999998</v>
      </c>
      <c r="T149" s="431">
        <v>684272.83600000001</v>
      </c>
      <c r="U149" s="431">
        <v>646332.35884100001</v>
      </c>
      <c r="V149" s="431">
        <v>643478.35184099991</v>
      </c>
      <c r="W149" s="431">
        <v>640179.65384100005</v>
      </c>
      <c r="X149" s="431">
        <v>640113.27584100002</v>
      </c>
      <c r="Y149" s="431">
        <v>629419.63184100005</v>
      </c>
      <c r="Z149" s="221"/>
    </row>
    <row r="150" spans="2:34" ht="12" thickBot="1">
      <c r="B150" s="1223"/>
      <c r="D150" s="408" t="s">
        <v>174</v>
      </c>
      <c r="E150" s="511">
        <f t="shared" ref="E150:M150" si="19">SUM(E136:E149)</f>
        <v>379603</v>
      </c>
      <c r="F150" s="509">
        <f t="shared" si="19"/>
        <v>410724</v>
      </c>
      <c r="G150" s="509">
        <f t="shared" si="19"/>
        <v>350896</v>
      </c>
      <c r="H150" s="509">
        <f t="shared" si="19"/>
        <v>337724</v>
      </c>
      <c r="I150" s="509">
        <f t="shared" si="19"/>
        <v>402989</v>
      </c>
      <c r="J150" s="509">
        <f t="shared" si="19"/>
        <v>414290</v>
      </c>
      <c r="K150" s="509">
        <f t="shared" si="19"/>
        <v>283561</v>
      </c>
      <c r="L150" s="509">
        <f t="shared" si="19"/>
        <v>297579</v>
      </c>
      <c r="M150" s="509">
        <f t="shared" si="19"/>
        <v>308607.59999999998</v>
      </c>
      <c r="N150" s="222"/>
      <c r="P150" s="408" t="s">
        <v>174</v>
      </c>
      <c r="Q150" s="220">
        <f>SUM(Q136:Q149)</f>
        <v>13935580.747936299</v>
      </c>
      <c r="R150" s="220">
        <f t="shared" ref="R150:Y150" si="20">SUM(R136:R149)</f>
        <v>13856707.05680741</v>
      </c>
      <c r="S150" s="220">
        <f t="shared" si="20"/>
        <v>14408136.589041058</v>
      </c>
      <c r="T150" s="220">
        <f t="shared" si="20"/>
        <v>14947735.376433991</v>
      </c>
      <c r="U150" s="220">
        <f t="shared" si="20"/>
        <v>14087500.198257376</v>
      </c>
      <c r="V150" s="220">
        <f t="shared" si="20"/>
        <v>13987937.733553156</v>
      </c>
      <c r="W150" s="220">
        <f t="shared" si="20"/>
        <v>13787604.115717916</v>
      </c>
      <c r="X150" s="220">
        <f t="shared" si="20"/>
        <v>13608619.557757914</v>
      </c>
      <c r="Y150" s="220">
        <f t="shared" si="20"/>
        <v>13365518.624825494</v>
      </c>
      <c r="Z150" s="222"/>
    </row>
    <row r="151" spans="2:34">
      <c r="B151" s="1223"/>
      <c r="E151" s="512"/>
      <c r="F151" s="512"/>
      <c r="G151" s="512"/>
      <c r="L151" s="1041"/>
      <c r="M151" s="263"/>
    </row>
    <row r="152" spans="2:34">
      <c r="B152" s="1223"/>
      <c r="C152" s="61"/>
      <c r="D152" s="1"/>
    </row>
    <row r="153" spans="2:34" ht="12" thickBot="1">
      <c r="B153" s="1223"/>
      <c r="C153" s="61"/>
      <c r="D153" s="16" t="s">
        <v>426</v>
      </c>
      <c r="E153" s="516"/>
      <c r="F153" s="516"/>
      <c r="P153" s="16" t="s">
        <v>427</v>
      </c>
    </row>
    <row r="154" spans="2:34" s="56" customFormat="1" ht="12" thickBot="1">
      <c r="B154" s="1223"/>
      <c r="C154" s="61"/>
      <c r="E154" s="1020" t="s">
        <v>412</v>
      </c>
      <c r="F154" s="1021" t="s">
        <v>413</v>
      </c>
      <c r="G154" s="527" t="s">
        <v>137</v>
      </c>
      <c r="H154" s="528" t="s">
        <v>138</v>
      </c>
      <c r="I154" s="179" t="s">
        <v>139</v>
      </c>
      <c r="J154" s="179" t="s">
        <v>140</v>
      </c>
      <c r="K154" s="179" t="s">
        <v>141</v>
      </c>
      <c r="L154" s="179" t="s">
        <v>126</v>
      </c>
      <c r="M154" s="179" t="s">
        <v>142</v>
      </c>
      <c r="N154" s="415" t="s">
        <v>143</v>
      </c>
      <c r="P154" s="1" t="s">
        <v>63</v>
      </c>
      <c r="Q154" s="537" t="s">
        <v>137</v>
      </c>
      <c r="R154" s="318" t="s">
        <v>138</v>
      </c>
      <c r="S154" s="318" t="s">
        <v>139</v>
      </c>
      <c r="T154" s="318" t="s">
        <v>140</v>
      </c>
      <c r="U154" s="318" t="s">
        <v>141</v>
      </c>
      <c r="V154" s="318" t="s">
        <v>126</v>
      </c>
      <c r="W154" s="318" t="s">
        <v>142</v>
      </c>
      <c r="X154" s="319" t="s">
        <v>143</v>
      </c>
      <c r="Y154" s="2"/>
      <c r="Z154" s="2"/>
      <c r="AA154" s="604" t="s">
        <v>137</v>
      </c>
      <c r="AB154" s="605" t="s">
        <v>138</v>
      </c>
      <c r="AC154" s="605" t="s">
        <v>139</v>
      </c>
      <c r="AD154" s="605" t="s">
        <v>140</v>
      </c>
      <c r="AE154" s="605" t="s">
        <v>141</v>
      </c>
      <c r="AF154" s="605" t="s">
        <v>126</v>
      </c>
      <c r="AG154" s="605" t="s">
        <v>142</v>
      </c>
      <c r="AH154" s="606" t="s">
        <v>143</v>
      </c>
    </row>
    <row r="155" spans="2:34">
      <c r="B155" s="1223"/>
      <c r="C155" s="61"/>
      <c r="D155" s="406" t="s">
        <v>161</v>
      </c>
      <c r="E155" s="539">
        <f>IFERROR(E136/Q136,"")</f>
        <v>2.5255375585529656E-2</v>
      </c>
      <c r="F155" s="539">
        <f>IFERROR(F136/R136,"")</f>
        <v>2.2363082080439314E-2</v>
      </c>
      <c r="G155" s="539">
        <f t="shared" ref="F155:M169" si="21">IFERROR(G136/S136,"")</f>
        <v>2.5967749269785977E-2</v>
      </c>
      <c r="H155" s="539">
        <f t="shared" si="21"/>
        <v>1.5983042216467926E-2</v>
      </c>
      <c r="I155" s="539">
        <f t="shared" si="21"/>
        <v>6.0884546276659048E-2</v>
      </c>
      <c r="J155" s="539">
        <f t="shared" si="21"/>
        <v>5.1071364788252978E-2</v>
      </c>
      <c r="K155" s="539">
        <f t="shared" si="21"/>
        <v>2.027088508136473E-2</v>
      </c>
      <c r="L155" s="539">
        <f t="shared" si="21"/>
        <v>1.5887347323321258E-2</v>
      </c>
      <c r="M155" s="539">
        <f t="shared" si="21"/>
        <v>1.2498065307055391E-2</v>
      </c>
      <c r="N155" s="540" t="str">
        <f t="shared" ref="N155:N164" si="22">IFERROR(N136/Z136,"")</f>
        <v/>
      </c>
      <c r="P155" s="406" t="s">
        <v>161</v>
      </c>
      <c r="Q155" s="488">
        <f>RANK(AA155,$AA$155:$AA$167,1)</f>
        <v>11</v>
      </c>
      <c r="R155" s="52">
        <f t="shared" ref="R155:R167" si="23">RANK(AB155,$AB$155:$AB$167,1)</f>
        <v>7</v>
      </c>
      <c r="S155" s="52">
        <f t="shared" ref="S155:S167" si="24">RANK(AC155,$AC$155:$AC$167,1)</f>
        <v>12</v>
      </c>
      <c r="T155" s="52">
        <f t="shared" ref="T155:T167" si="25">RANK(AD155,$AD$155:$AD$167,1)</f>
        <v>13</v>
      </c>
      <c r="U155" s="52">
        <f t="shared" ref="U155:U167" si="26">RANK(AE155,$AE$155:$AE$167,1)</f>
        <v>8</v>
      </c>
      <c r="V155" s="52">
        <f t="shared" ref="V155:V167" si="27">RANK(AF155,$AF$155:$AF$167,1)</f>
        <v>7</v>
      </c>
      <c r="W155" s="52">
        <f t="shared" ref="W155:W167" si="28">RANK(AG155,$AG$155:$AG$167,1)</f>
        <v>5</v>
      </c>
      <c r="X155" s="221"/>
      <c r="Z155" s="614" t="s">
        <v>161</v>
      </c>
      <c r="AA155" s="607">
        <f t="shared" ref="AA155:AA164" si="29">G155</f>
        <v>2.5967749269785977E-2</v>
      </c>
      <c r="AB155" s="608">
        <f t="shared" ref="AB155:AE164" si="30">H155</f>
        <v>1.5983042216467926E-2</v>
      </c>
      <c r="AC155" s="608">
        <f>I155</f>
        <v>6.0884546276659048E-2</v>
      </c>
      <c r="AD155" s="608">
        <f>J155</f>
        <v>5.1071364788252978E-2</v>
      </c>
      <c r="AE155" s="608">
        <f>K155</f>
        <v>2.027088508136473E-2</v>
      </c>
      <c r="AF155" s="608">
        <f>L155</f>
        <v>1.5887347323321258E-2</v>
      </c>
      <c r="AG155" s="608">
        <f>M155</f>
        <v>1.2498065307055391E-2</v>
      </c>
      <c r="AH155" s="609"/>
    </row>
    <row r="156" spans="2:34">
      <c r="B156" s="1223"/>
      <c r="C156" s="61"/>
      <c r="D156" s="407" t="s">
        <v>162</v>
      </c>
      <c r="E156" s="539">
        <f t="shared" ref="E156:E168" si="31">IFERROR(E137/Q137,"")</f>
        <v>1.1456868239610776E-2</v>
      </c>
      <c r="F156" s="539">
        <f t="shared" si="21"/>
        <v>1.1196864176927675E-2</v>
      </c>
      <c r="G156" s="539">
        <f t="shared" si="21"/>
        <v>9.0831215060875863E-3</v>
      </c>
      <c r="H156" s="539">
        <f t="shared" si="21"/>
        <v>1.3043033857195014E-2</v>
      </c>
      <c r="I156" s="539">
        <f t="shared" si="21"/>
        <v>8.9990454658141674E-3</v>
      </c>
      <c r="J156" s="539">
        <f t="shared" si="21"/>
        <v>1.1299029557156842E-2</v>
      </c>
      <c r="K156" s="539">
        <f t="shared" si="21"/>
        <v>7.6959098962493862E-3</v>
      </c>
      <c r="L156" s="539">
        <f t="shared" si="21"/>
        <v>6.4623977545455119E-3</v>
      </c>
      <c r="M156" s="539">
        <f t="shared" si="21"/>
        <v>7.4676001990139542E-3</v>
      </c>
      <c r="N156" s="540" t="str">
        <f t="shared" si="22"/>
        <v/>
      </c>
      <c r="P156" s="407" t="s">
        <v>162</v>
      </c>
      <c r="Q156" s="488">
        <f t="shared" ref="Q156:Q167" si="32">RANK(AA156,$AA$155:$AA$167,1)</f>
        <v>3</v>
      </c>
      <c r="R156" s="52">
        <f t="shared" si="23"/>
        <v>5</v>
      </c>
      <c r="S156" s="52">
        <f t="shared" si="24"/>
        <v>4</v>
      </c>
      <c r="T156" s="52">
        <f t="shared" si="25"/>
        <v>3</v>
      </c>
      <c r="U156" s="52">
        <f t="shared" si="26"/>
        <v>4</v>
      </c>
      <c r="V156" s="52">
        <f t="shared" si="27"/>
        <v>4</v>
      </c>
      <c r="W156" s="52">
        <f t="shared" si="28"/>
        <v>3</v>
      </c>
      <c r="X156" s="221"/>
      <c r="Z156" s="615" t="s">
        <v>162</v>
      </c>
      <c r="AA156" s="607">
        <f t="shared" si="29"/>
        <v>9.0831215060875863E-3</v>
      </c>
      <c r="AB156" s="608">
        <f t="shared" si="30"/>
        <v>1.3043033857195014E-2</v>
      </c>
      <c r="AC156" s="608">
        <f t="shared" si="30"/>
        <v>8.9990454658141674E-3</v>
      </c>
      <c r="AD156" s="608">
        <f t="shared" si="30"/>
        <v>1.1299029557156842E-2</v>
      </c>
      <c r="AE156" s="608">
        <f t="shared" si="30"/>
        <v>7.6959098962493862E-3</v>
      </c>
      <c r="AF156" s="608">
        <f t="shared" ref="AF156:AF164" si="33">L156</f>
        <v>6.4623977545455119E-3</v>
      </c>
      <c r="AG156" s="608">
        <f t="shared" ref="AG156:AG164" si="34">M156</f>
        <v>7.4676001990139542E-3</v>
      </c>
      <c r="AH156" s="609"/>
    </row>
    <row r="157" spans="2:34">
      <c r="B157" s="1223"/>
      <c r="C157" s="61"/>
      <c r="D157" s="407" t="s">
        <v>163</v>
      </c>
      <c r="E157" s="539">
        <f t="shared" si="31"/>
        <v>3.0702830993771878E-2</v>
      </c>
      <c r="F157" s="539">
        <f t="shared" si="21"/>
        <v>2.0629601544794856E-2</v>
      </c>
      <c r="G157" s="539">
        <f t="shared" si="21"/>
        <v>1.6349942749300021E-2</v>
      </c>
      <c r="H157" s="539">
        <f t="shared" si="21"/>
        <v>1.6651716843179599E-2</v>
      </c>
      <c r="I157" s="539">
        <f t="shared" si="21"/>
        <v>1.6167316018579105E-2</v>
      </c>
      <c r="J157" s="539">
        <f t="shared" si="21"/>
        <v>1.8764893440802052E-2</v>
      </c>
      <c r="K157" s="539">
        <f t="shared" si="21"/>
        <v>2.4906718823444068E-2</v>
      </c>
      <c r="L157" s="539">
        <f t="shared" si="21"/>
        <v>2.2117079839171615E-2</v>
      </c>
      <c r="M157" s="539">
        <f t="shared" si="21"/>
        <v>2.2278151403717791E-2</v>
      </c>
      <c r="N157" s="540" t="str">
        <f t="shared" si="22"/>
        <v/>
      </c>
      <c r="P157" s="407" t="s">
        <v>163</v>
      </c>
      <c r="Q157" s="488">
        <f t="shared" si="32"/>
        <v>7</v>
      </c>
      <c r="R157" s="52">
        <f t="shared" si="23"/>
        <v>8</v>
      </c>
      <c r="S157" s="52">
        <f t="shared" si="24"/>
        <v>5</v>
      </c>
      <c r="T157" s="52">
        <f t="shared" si="25"/>
        <v>5</v>
      </c>
      <c r="U157" s="52">
        <f t="shared" si="26"/>
        <v>10</v>
      </c>
      <c r="V157" s="52">
        <f t="shared" si="27"/>
        <v>8</v>
      </c>
      <c r="W157" s="52">
        <f t="shared" si="28"/>
        <v>8</v>
      </c>
      <c r="X157" s="221"/>
      <c r="Z157" s="615" t="s">
        <v>163</v>
      </c>
      <c r="AA157" s="607">
        <f t="shared" si="29"/>
        <v>1.6349942749300021E-2</v>
      </c>
      <c r="AB157" s="608">
        <f t="shared" si="30"/>
        <v>1.6651716843179599E-2</v>
      </c>
      <c r="AC157" s="608">
        <f t="shared" si="30"/>
        <v>1.6167316018579105E-2</v>
      </c>
      <c r="AD157" s="608">
        <f t="shared" si="30"/>
        <v>1.8764893440802052E-2</v>
      </c>
      <c r="AE157" s="608">
        <f t="shared" si="30"/>
        <v>2.4906718823444068E-2</v>
      </c>
      <c r="AF157" s="608">
        <f t="shared" si="33"/>
        <v>2.2117079839171615E-2</v>
      </c>
      <c r="AG157" s="608">
        <f t="shared" si="34"/>
        <v>2.2278151403717791E-2</v>
      </c>
      <c r="AH157" s="609"/>
    </row>
    <row r="158" spans="2:34">
      <c r="B158" s="1223"/>
      <c r="C158" s="61"/>
      <c r="D158" s="407" t="s">
        <v>164</v>
      </c>
      <c r="E158" s="539">
        <f t="shared" si="31"/>
        <v>1.2398581668923154E-2</v>
      </c>
      <c r="F158" s="539">
        <f t="shared" si="21"/>
        <v>2.2462981975223409E-2</v>
      </c>
      <c r="G158" s="539">
        <f t="shared" si="21"/>
        <v>9.697339471592065E-3</v>
      </c>
      <c r="H158" s="539">
        <f t="shared" si="21"/>
        <v>1.0074319627867187E-2</v>
      </c>
      <c r="I158" s="539">
        <f t="shared" si="21"/>
        <v>1.9238996818357116E-2</v>
      </c>
      <c r="J158" s="539">
        <f t="shared" si="21"/>
        <v>4.6881446869232728E-2</v>
      </c>
      <c r="K158" s="539">
        <f t="shared" si="21"/>
        <v>1.8635501740515051E-2</v>
      </c>
      <c r="L158" s="539">
        <f t="shared" si="21"/>
        <v>1.2434591042268375E-2</v>
      </c>
      <c r="M158" s="539">
        <f t="shared" si="21"/>
        <v>1.8958729610205064E-2</v>
      </c>
      <c r="N158" s="540" t="str">
        <f t="shared" si="22"/>
        <v/>
      </c>
      <c r="P158" s="407" t="s">
        <v>164</v>
      </c>
      <c r="Q158" s="488">
        <f t="shared" si="32"/>
        <v>4</v>
      </c>
      <c r="R158" s="52">
        <f t="shared" si="23"/>
        <v>3</v>
      </c>
      <c r="S158" s="52">
        <f t="shared" si="24"/>
        <v>7</v>
      </c>
      <c r="T158" s="52">
        <f t="shared" si="25"/>
        <v>11</v>
      </c>
      <c r="U158" s="52">
        <f t="shared" si="26"/>
        <v>7</v>
      </c>
      <c r="V158" s="52">
        <f t="shared" si="27"/>
        <v>6</v>
      </c>
      <c r="W158" s="52">
        <f t="shared" si="28"/>
        <v>7</v>
      </c>
      <c r="X158" s="221"/>
      <c r="Z158" s="615" t="s">
        <v>164</v>
      </c>
      <c r="AA158" s="607">
        <f t="shared" si="29"/>
        <v>9.697339471592065E-3</v>
      </c>
      <c r="AB158" s="608">
        <f t="shared" si="30"/>
        <v>1.0074319627867187E-2</v>
      </c>
      <c r="AC158" s="608">
        <f t="shared" si="30"/>
        <v>1.9238996818357116E-2</v>
      </c>
      <c r="AD158" s="608">
        <f t="shared" si="30"/>
        <v>4.6881446869232728E-2</v>
      </c>
      <c r="AE158" s="608">
        <f t="shared" si="30"/>
        <v>1.8635501740515051E-2</v>
      </c>
      <c r="AF158" s="608">
        <f t="shared" si="33"/>
        <v>1.2434591042268375E-2</v>
      </c>
      <c r="AG158" s="608">
        <f t="shared" si="34"/>
        <v>1.8958729610205064E-2</v>
      </c>
      <c r="AH158" s="609"/>
    </row>
    <row r="159" spans="2:34">
      <c r="B159" s="1223"/>
      <c r="C159" s="61"/>
      <c r="D159" s="407" t="s">
        <v>165</v>
      </c>
      <c r="E159" s="539">
        <f t="shared" si="31"/>
        <v>1.2728879840303131E-2</v>
      </c>
      <c r="F159" s="539">
        <f t="shared" si="21"/>
        <v>1.2070664605551274E-2</v>
      </c>
      <c r="G159" s="539">
        <f t="shared" si="21"/>
        <v>1.02034214863945E-2</v>
      </c>
      <c r="H159" s="539">
        <f t="shared" si="21"/>
        <v>1.0395818634720883E-2</v>
      </c>
      <c r="I159" s="539">
        <f t="shared" si="21"/>
        <v>1.8476060742687758E-2</v>
      </c>
      <c r="J159" s="539">
        <f t="shared" si="21"/>
        <v>1.889710594890413E-2</v>
      </c>
      <c r="K159" s="539">
        <f t="shared" si="21"/>
        <v>8.8479443064984706E-3</v>
      </c>
      <c r="L159" s="539">
        <f t="shared" si="21"/>
        <v>8.9136137459629675E-3</v>
      </c>
      <c r="M159" s="539">
        <f t="shared" si="21"/>
        <v>1.2826392740154248E-2</v>
      </c>
      <c r="N159" s="540" t="str">
        <f t="shared" si="22"/>
        <v/>
      </c>
      <c r="P159" s="407" t="s">
        <v>165</v>
      </c>
      <c r="Q159" s="488">
        <f t="shared" si="32"/>
        <v>5</v>
      </c>
      <c r="R159" s="52">
        <f t="shared" si="23"/>
        <v>4</v>
      </c>
      <c r="S159" s="52">
        <f t="shared" si="24"/>
        <v>6</v>
      </c>
      <c r="T159" s="52">
        <f t="shared" si="25"/>
        <v>6</v>
      </c>
      <c r="U159" s="52">
        <f t="shared" si="26"/>
        <v>5</v>
      </c>
      <c r="V159" s="52">
        <f t="shared" si="27"/>
        <v>5</v>
      </c>
      <c r="W159" s="52">
        <f t="shared" si="28"/>
        <v>6</v>
      </c>
      <c r="X159" s="221"/>
      <c r="Z159" s="615" t="s">
        <v>165</v>
      </c>
      <c r="AA159" s="607">
        <f t="shared" si="29"/>
        <v>1.02034214863945E-2</v>
      </c>
      <c r="AB159" s="608">
        <f t="shared" si="30"/>
        <v>1.0395818634720883E-2</v>
      </c>
      <c r="AC159" s="608">
        <f t="shared" si="30"/>
        <v>1.8476060742687758E-2</v>
      </c>
      <c r="AD159" s="608">
        <f t="shared" si="30"/>
        <v>1.889710594890413E-2</v>
      </c>
      <c r="AE159" s="608">
        <f t="shared" si="30"/>
        <v>8.8479443064984706E-3</v>
      </c>
      <c r="AF159" s="608">
        <f t="shared" si="33"/>
        <v>8.9136137459629675E-3</v>
      </c>
      <c r="AG159" s="608">
        <f t="shared" si="34"/>
        <v>1.2826392740154248E-2</v>
      </c>
      <c r="AH159" s="609"/>
    </row>
    <row r="160" spans="2:34">
      <c r="B160" s="1223"/>
      <c r="C160" s="61"/>
      <c r="D160" s="407" t="s">
        <v>166</v>
      </c>
      <c r="E160" s="539">
        <f t="shared" si="31"/>
        <v>0</v>
      </c>
      <c r="F160" s="539">
        <f t="shared" si="21"/>
        <v>0</v>
      </c>
      <c r="G160" s="539">
        <f t="shared" si="21"/>
        <v>6.4701256777077269E-3</v>
      </c>
      <c r="H160" s="539">
        <f t="shared" si="21"/>
        <v>2.1952691948850227E-3</v>
      </c>
      <c r="I160" s="539">
        <f t="shared" si="21"/>
        <v>1.6739929692295293E-3</v>
      </c>
      <c r="J160" s="539">
        <f t="shared" si="21"/>
        <v>4.4395804080284134E-3</v>
      </c>
      <c r="K160" s="539">
        <f t="shared" si="21"/>
        <v>1.466093995209383E-2</v>
      </c>
      <c r="L160" s="539">
        <f t="shared" si="21"/>
        <v>2.609544065416701E-2</v>
      </c>
      <c r="M160" s="539">
        <f t="shared" si="21"/>
        <v>5.6269100520360124E-3</v>
      </c>
      <c r="N160" s="540" t="str">
        <f>IFERROR(N141/Z141,"")</f>
        <v/>
      </c>
      <c r="P160" s="407" t="s">
        <v>166</v>
      </c>
      <c r="Q160" s="488">
        <f t="shared" si="32"/>
        <v>2</v>
      </c>
      <c r="R160" s="52">
        <f t="shared" si="23"/>
        <v>2</v>
      </c>
      <c r="S160" s="52">
        <f t="shared" si="24"/>
        <v>1</v>
      </c>
      <c r="T160" s="52">
        <f t="shared" si="25"/>
        <v>1</v>
      </c>
      <c r="U160" s="52">
        <f t="shared" si="26"/>
        <v>6</v>
      </c>
      <c r="V160" s="52">
        <f t="shared" si="27"/>
        <v>10</v>
      </c>
      <c r="W160" s="52">
        <f t="shared" si="28"/>
        <v>2</v>
      </c>
      <c r="X160" s="221"/>
      <c r="Z160" s="615" t="s">
        <v>166</v>
      </c>
      <c r="AA160" s="607">
        <f t="shared" si="29"/>
        <v>6.4701256777077269E-3</v>
      </c>
      <c r="AB160" s="608">
        <f t="shared" si="30"/>
        <v>2.1952691948850227E-3</v>
      </c>
      <c r="AC160" s="608">
        <f t="shared" si="30"/>
        <v>1.6739929692295293E-3</v>
      </c>
      <c r="AD160" s="608">
        <f t="shared" si="30"/>
        <v>4.4395804080284134E-3</v>
      </c>
      <c r="AE160" s="608">
        <f t="shared" si="30"/>
        <v>1.466093995209383E-2</v>
      </c>
      <c r="AF160" s="608">
        <f t="shared" si="33"/>
        <v>2.609544065416701E-2</v>
      </c>
      <c r="AG160" s="608">
        <f t="shared" si="34"/>
        <v>5.6269100520360124E-3</v>
      </c>
      <c r="AH160" s="609"/>
    </row>
    <row r="161" spans="2:35">
      <c r="B161" s="1223"/>
      <c r="C161" s="61"/>
      <c r="D161" s="407" t="s">
        <v>167</v>
      </c>
      <c r="E161" s="539">
        <f t="shared" si="31"/>
        <v>2.3261677254258224E-3</v>
      </c>
      <c r="F161" s="539">
        <f t="shared" si="21"/>
        <v>6.1375956490576349E-3</v>
      </c>
      <c r="G161" s="539">
        <f t="shared" si="21"/>
        <v>2.3286035634890795E-3</v>
      </c>
      <c r="H161" s="539">
        <f t="shared" si="21"/>
        <v>7.3586095732006444E-4</v>
      </c>
      <c r="I161" s="539">
        <f t="shared" si="21"/>
        <v>2.8499956441114609E-3</v>
      </c>
      <c r="J161" s="539">
        <f t="shared" si="21"/>
        <v>1.2098174308741022E-2</v>
      </c>
      <c r="K161" s="539">
        <f t="shared" si="21"/>
        <v>9.1741442643323158E-4</v>
      </c>
      <c r="L161" s="539">
        <f t="shared" si="21"/>
        <v>1.3267786326504505E-3</v>
      </c>
      <c r="M161" s="539">
        <f t="shared" si="21"/>
        <v>5.3842358230230813E-2</v>
      </c>
      <c r="N161" s="540" t="str">
        <f t="shared" si="22"/>
        <v/>
      </c>
      <c r="P161" s="407" t="s">
        <v>167</v>
      </c>
      <c r="Q161" s="488">
        <f t="shared" si="32"/>
        <v>1</v>
      </c>
      <c r="R161" s="52">
        <f t="shared" si="23"/>
        <v>1</v>
      </c>
      <c r="S161" s="52">
        <f t="shared" si="24"/>
        <v>2</v>
      </c>
      <c r="T161" s="52">
        <f t="shared" si="25"/>
        <v>4</v>
      </c>
      <c r="U161" s="52">
        <f t="shared" si="26"/>
        <v>1</v>
      </c>
      <c r="V161" s="52">
        <f t="shared" si="27"/>
        <v>1</v>
      </c>
      <c r="W161" s="52">
        <f t="shared" si="28"/>
        <v>13</v>
      </c>
      <c r="X161" s="221"/>
      <c r="Z161" s="615" t="s">
        <v>167</v>
      </c>
      <c r="AA161" s="607">
        <f t="shared" si="29"/>
        <v>2.3286035634890795E-3</v>
      </c>
      <c r="AB161" s="608">
        <f t="shared" si="30"/>
        <v>7.3586095732006444E-4</v>
      </c>
      <c r="AC161" s="608">
        <f t="shared" si="30"/>
        <v>2.8499956441114609E-3</v>
      </c>
      <c r="AD161" s="608">
        <f t="shared" si="30"/>
        <v>1.2098174308741022E-2</v>
      </c>
      <c r="AE161" s="608">
        <f t="shared" si="30"/>
        <v>9.1741442643323158E-4</v>
      </c>
      <c r="AF161" s="608">
        <f t="shared" si="33"/>
        <v>1.3267786326504505E-3</v>
      </c>
      <c r="AG161" s="608">
        <f t="shared" si="34"/>
        <v>5.3842358230230813E-2</v>
      </c>
      <c r="AH161" s="609"/>
    </row>
    <row r="162" spans="2:35">
      <c r="B162" s="1223"/>
      <c r="C162" s="61"/>
      <c r="D162" s="407" t="s">
        <v>168</v>
      </c>
      <c r="E162" s="539">
        <f t="shared" si="31"/>
        <v>4.6157591444454742E-2</v>
      </c>
      <c r="F162" s="539">
        <f t="shared" si="21"/>
        <v>5.2303222669739573E-2</v>
      </c>
      <c r="G162" s="539">
        <f t="shared" si="21"/>
        <v>4.8014313992259527E-2</v>
      </c>
      <c r="H162" s="539">
        <f t="shared" si="21"/>
        <v>4.2332544813060959E-2</v>
      </c>
      <c r="I162" s="539">
        <f t="shared" si="21"/>
        <v>3.5315663297133773E-2</v>
      </c>
      <c r="J162" s="539">
        <f t="shared" si="21"/>
        <v>3.0441250195306885E-2</v>
      </c>
      <c r="K162" s="539">
        <f t="shared" si="21"/>
        <v>2.1548749132521024E-2</v>
      </c>
      <c r="L162" s="539">
        <f t="shared" si="21"/>
        <v>3.4012255072900364E-2</v>
      </c>
      <c r="M162" s="539">
        <f t="shared" si="21"/>
        <v>3.6515958869037413E-2</v>
      </c>
      <c r="N162" s="540" t="str">
        <f t="shared" si="22"/>
        <v/>
      </c>
      <c r="P162" s="407" t="s">
        <v>168</v>
      </c>
      <c r="Q162" s="488">
        <f t="shared" si="32"/>
        <v>13</v>
      </c>
      <c r="R162" s="52">
        <f t="shared" si="23"/>
        <v>13</v>
      </c>
      <c r="S162" s="52">
        <f t="shared" si="24"/>
        <v>10</v>
      </c>
      <c r="T162" s="52">
        <f t="shared" si="25"/>
        <v>8</v>
      </c>
      <c r="U162" s="52">
        <f t="shared" si="26"/>
        <v>9</v>
      </c>
      <c r="V162" s="52">
        <f t="shared" si="27"/>
        <v>13</v>
      </c>
      <c r="W162" s="52">
        <f t="shared" si="28"/>
        <v>12</v>
      </c>
      <c r="X162" s="221"/>
      <c r="Z162" s="615" t="s">
        <v>168</v>
      </c>
      <c r="AA162" s="607">
        <f t="shared" si="29"/>
        <v>4.8014313992259527E-2</v>
      </c>
      <c r="AB162" s="608">
        <f t="shared" si="30"/>
        <v>4.2332544813060959E-2</v>
      </c>
      <c r="AC162" s="608">
        <f t="shared" si="30"/>
        <v>3.5315663297133773E-2</v>
      </c>
      <c r="AD162" s="608">
        <f t="shared" si="30"/>
        <v>3.0441250195306885E-2</v>
      </c>
      <c r="AE162" s="608">
        <f t="shared" si="30"/>
        <v>2.1548749132521024E-2</v>
      </c>
      <c r="AF162" s="608">
        <f t="shared" si="33"/>
        <v>3.4012255072900364E-2</v>
      </c>
      <c r="AG162" s="608">
        <f t="shared" si="34"/>
        <v>3.6515958869037413E-2</v>
      </c>
      <c r="AH162" s="609"/>
    </row>
    <row r="163" spans="2:35">
      <c r="B163" s="1223"/>
      <c r="C163" s="61"/>
      <c r="D163" s="407" t="s">
        <v>169</v>
      </c>
      <c r="E163" s="539">
        <f t="shared" si="31"/>
        <v>3.3405656249470055E-2</v>
      </c>
      <c r="F163" s="539">
        <f t="shared" si="21"/>
        <v>3.5612836059520731E-2</v>
      </c>
      <c r="G163" s="539">
        <f t="shared" si="21"/>
        <v>2.618749136361806E-2</v>
      </c>
      <c r="H163" s="539">
        <f t="shared" si="21"/>
        <v>2.5111481121789819E-2</v>
      </c>
      <c r="I163" s="539">
        <f t="shared" si="21"/>
        <v>3.5020535159872732E-2</v>
      </c>
      <c r="J163" s="539">
        <f t="shared" si="21"/>
        <v>3.9133550453814482E-2</v>
      </c>
      <c r="K163" s="539">
        <f t="shared" si="21"/>
        <v>2.6182991152630345E-2</v>
      </c>
      <c r="L163" s="539">
        <f t="shared" si="21"/>
        <v>2.9109001179486886E-2</v>
      </c>
      <c r="M163" s="539">
        <f t="shared" si="21"/>
        <v>2.3506573144202497E-2</v>
      </c>
      <c r="N163" s="540" t="str">
        <f t="shared" si="22"/>
        <v/>
      </c>
      <c r="P163" s="407" t="s">
        <v>169</v>
      </c>
      <c r="Q163" s="488">
        <f t="shared" si="32"/>
        <v>12</v>
      </c>
      <c r="R163" s="52">
        <f t="shared" si="23"/>
        <v>11</v>
      </c>
      <c r="S163" s="52">
        <f t="shared" si="24"/>
        <v>9</v>
      </c>
      <c r="T163" s="52">
        <f t="shared" si="25"/>
        <v>9</v>
      </c>
      <c r="U163" s="52">
        <f t="shared" si="26"/>
        <v>12</v>
      </c>
      <c r="V163" s="52">
        <f t="shared" si="27"/>
        <v>12</v>
      </c>
      <c r="W163" s="52">
        <f t="shared" si="28"/>
        <v>9</v>
      </c>
      <c r="X163" s="221"/>
      <c r="Z163" s="615" t="s">
        <v>169</v>
      </c>
      <c r="AA163" s="607">
        <f t="shared" si="29"/>
        <v>2.618749136361806E-2</v>
      </c>
      <c r="AB163" s="608">
        <f t="shared" si="30"/>
        <v>2.5111481121789819E-2</v>
      </c>
      <c r="AC163" s="608">
        <f t="shared" si="30"/>
        <v>3.5020535159872732E-2</v>
      </c>
      <c r="AD163" s="608">
        <f t="shared" si="30"/>
        <v>3.9133550453814482E-2</v>
      </c>
      <c r="AE163" s="608">
        <f t="shared" si="30"/>
        <v>2.6182991152630345E-2</v>
      </c>
      <c r="AF163" s="608">
        <f t="shared" si="33"/>
        <v>2.9109001179486886E-2</v>
      </c>
      <c r="AG163" s="608">
        <f t="shared" si="34"/>
        <v>2.3506573144202497E-2</v>
      </c>
      <c r="AH163" s="609"/>
    </row>
    <row r="164" spans="2:35">
      <c r="B164" s="1223"/>
      <c r="C164" s="61"/>
      <c r="D164" s="407" t="s">
        <v>170</v>
      </c>
      <c r="E164" s="539">
        <f t="shared" si="31"/>
        <v>1.5862188866810765E-2</v>
      </c>
      <c r="F164" s="539">
        <f t="shared" si="21"/>
        <v>2.358462941301288E-2</v>
      </c>
      <c r="G164" s="539">
        <f t="shared" si="21"/>
        <v>1.9550255398598185E-2</v>
      </c>
      <c r="H164" s="539">
        <f t="shared" si="21"/>
        <v>1.9262275951501331E-2</v>
      </c>
      <c r="I164" s="539">
        <f t="shared" si="21"/>
        <v>2.5547718018001982E-2</v>
      </c>
      <c r="J164" s="539">
        <f t="shared" si="21"/>
        <v>2.9111656172322923E-2</v>
      </c>
      <c r="K164" s="539">
        <f t="shared" si="21"/>
        <v>2.6014260038823005E-2</v>
      </c>
      <c r="L164" s="539">
        <f t="shared" si="21"/>
        <v>2.2640696917951262E-2</v>
      </c>
      <c r="M164" s="539">
        <f t="shared" si="21"/>
        <v>2.601484388931222E-2</v>
      </c>
      <c r="N164" s="540" t="str">
        <f t="shared" si="22"/>
        <v/>
      </c>
      <c r="P164" s="407" t="s">
        <v>170</v>
      </c>
      <c r="Q164" s="488">
        <f t="shared" si="32"/>
        <v>9</v>
      </c>
      <c r="R164" s="52">
        <f t="shared" si="23"/>
        <v>10</v>
      </c>
      <c r="S164" s="52">
        <f t="shared" si="24"/>
        <v>8</v>
      </c>
      <c r="T164" s="52">
        <f t="shared" si="25"/>
        <v>7</v>
      </c>
      <c r="U164" s="52">
        <f t="shared" si="26"/>
        <v>11</v>
      </c>
      <c r="V164" s="52">
        <f t="shared" si="27"/>
        <v>9</v>
      </c>
      <c r="W164" s="52">
        <f t="shared" si="28"/>
        <v>10</v>
      </c>
      <c r="X164" s="221"/>
      <c r="Z164" s="615" t="s">
        <v>170</v>
      </c>
      <c r="AA164" s="607">
        <f t="shared" si="29"/>
        <v>1.9550255398598185E-2</v>
      </c>
      <c r="AB164" s="608">
        <f t="shared" si="30"/>
        <v>1.9262275951501331E-2</v>
      </c>
      <c r="AC164" s="608">
        <f t="shared" si="30"/>
        <v>2.5547718018001982E-2</v>
      </c>
      <c r="AD164" s="608">
        <f t="shared" si="30"/>
        <v>2.9111656172322923E-2</v>
      </c>
      <c r="AE164" s="608">
        <f t="shared" si="30"/>
        <v>2.6014260038823005E-2</v>
      </c>
      <c r="AF164" s="608">
        <f t="shared" si="33"/>
        <v>2.2640696917951262E-2</v>
      </c>
      <c r="AG164" s="608">
        <f t="shared" si="34"/>
        <v>2.601484388931222E-2</v>
      </c>
      <c r="AH164" s="609"/>
    </row>
    <row r="165" spans="2:35">
      <c r="B165" s="1223"/>
      <c r="C165" s="61"/>
      <c r="D165" s="407" t="s">
        <v>171</v>
      </c>
      <c r="E165" s="539" t="str">
        <f t="shared" si="31"/>
        <v/>
      </c>
      <c r="F165" s="539" t="str">
        <f t="shared" si="21"/>
        <v/>
      </c>
      <c r="G165" s="539">
        <f t="shared" si="21"/>
        <v>0</v>
      </c>
      <c r="H165" s="539">
        <f t="shared" si="21"/>
        <v>0</v>
      </c>
      <c r="I165" s="539">
        <f t="shared" si="21"/>
        <v>2.306805074971165E-4</v>
      </c>
      <c r="J165" s="539">
        <f t="shared" si="21"/>
        <v>2.9988465974625144E-4</v>
      </c>
      <c r="K165" s="539">
        <f t="shared" si="21"/>
        <v>5.6516724336793539E-4</v>
      </c>
      <c r="L165" s="539">
        <f t="shared" si="21"/>
        <v>4.4982698961937718E-4</v>
      </c>
      <c r="M165" s="539">
        <f t="shared" si="21"/>
        <v>8.5351787773933101E-4</v>
      </c>
      <c r="N165" s="540" t="s">
        <v>428</v>
      </c>
      <c r="P165" s="407" t="s">
        <v>172</v>
      </c>
      <c r="Q165" s="488">
        <f t="shared" si="32"/>
        <v>8</v>
      </c>
      <c r="R165" s="52">
        <f t="shared" si="23"/>
        <v>6</v>
      </c>
      <c r="S165" s="52">
        <f t="shared" si="24"/>
        <v>3</v>
      </c>
      <c r="T165" s="52">
        <f t="shared" si="25"/>
        <v>2</v>
      </c>
      <c r="U165" s="52">
        <f t="shared" si="26"/>
        <v>2</v>
      </c>
      <c r="V165" s="52">
        <f t="shared" si="27"/>
        <v>2</v>
      </c>
      <c r="W165" s="52">
        <f t="shared" si="28"/>
        <v>1</v>
      </c>
      <c r="X165" s="221"/>
      <c r="Z165" s="615" t="s">
        <v>172</v>
      </c>
      <c r="AA165" s="607">
        <f t="shared" ref="AA165:AF167" si="35">G166</f>
        <v>1.9439679817038306E-2</v>
      </c>
      <c r="AB165" s="608">
        <f t="shared" si="35"/>
        <v>1.33147512864494E-2</v>
      </c>
      <c r="AC165" s="608">
        <f t="shared" si="35"/>
        <v>6.3204320635918973E-3</v>
      </c>
      <c r="AD165" s="608">
        <f t="shared" si="35"/>
        <v>7.1841291148157672E-3</v>
      </c>
      <c r="AE165" s="608">
        <f t="shared" si="35"/>
        <v>4.6187772772402326E-3</v>
      </c>
      <c r="AF165" s="608">
        <f t="shared" si="35"/>
        <v>2.9562894794081494E-3</v>
      </c>
      <c r="AG165" s="608">
        <f>M166</f>
        <v>3.1393591714082669E-3</v>
      </c>
      <c r="AH165" s="609"/>
    </row>
    <row r="166" spans="2:35">
      <c r="B166" s="1223"/>
      <c r="C166" s="61"/>
      <c r="D166" s="407" t="s">
        <v>172</v>
      </c>
      <c r="E166" s="539" t="str">
        <f t="shared" si="31"/>
        <v/>
      </c>
      <c r="F166" s="539" t="str">
        <f t="shared" si="21"/>
        <v/>
      </c>
      <c r="G166" s="539">
        <f t="shared" si="21"/>
        <v>1.9439679817038306E-2</v>
      </c>
      <c r="H166" s="539">
        <f t="shared" si="21"/>
        <v>1.33147512864494E-2</v>
      </c>
      <c r="I166" s="539">
        <f t="shared" si="21"/>
        <v>6.3204320635918973E-3</v>
      </c>
      <c r="J166" s="539">
        <f t="shared" si="21"/>
        <v>7.1841291148157672E-3</v>
      </c>
      <c r="K166" s="539">
        <f t="shared" si="21"/>
        <v>4.6187772772402326E-3</v>
      </c>
      <c r="L166" s="539">
        <f t="shared" si="21"/>
        <v>2.9562894794081494E-3</v>
      </c>
      <c r="M166" s="539">
        <f t="shared" si="21"/>
        <v>3.1393591714082669E-3</v>
      </c>
      <c r="N166" s="540" t="str">
        <f t="shared" ref="N166:N169" si="36">IFERROR(N147/Z147,"")</f>
        <v/>
      </c>
      <c r="P166" s="407" t="s">
        <v>28</v>
      </c>
      <c r="Q166" s="488">
        <f t="shared" si="32"/>
        <v>6</v>
      </c>
      <c r="R166" s="52">
        <f t="shared" si="23"/>
        <v>9</v>
      </c>
      <c r="S166" s="52">
        <f t="shared" si="24"/>
        <v>13</v>
      </c>
      <c r="T166" s="52">
        <f t="shared" si="25"/>
        <v>10</v>
      </c>
      <c r="U166" s="52">
        <f t="shared" si="26"/>
        <v>3</v>
      </c>
      <c r="V166" s="52">
        <f t="shared" si="27"/>
        <v>3</v>
      </c>
      <c r="W166" s="52">
        <f t="shared" si="28"/>
        <v>4</v>
      </c>
      <c r="X166" s="221"/>
      <c r="Z166" s="615" t="s">
        <v>28</v>
      </c>
      <c r="AA166" s="607">
        <f t="shared" si="35"/>
        <v>1.168410966500147E-2</v>
      </c>
      <c r="AB166" s="608">
        <f t="shared" si="35"/>
        <v>1.8690404294517408E-2</v>
      </c>
      <c r="AC166" s="608">
        <f t="shared" si="35"/>
        <v>0.10505717446591482</v>
      </c>
      <c r="AD166" s="608">
        <f t="shared" si="35"/>
        <v>3.928370922389738E-2</v>
      </c>
      <c r="AE166" s="608">
        <f t="shared" si="35"/>
        <v>7.2894204353327633E-3</v>
      </c>
      <c r="AF166" s="608">
        <f t="shared" si="35"/>
        <v>4.5843849384683191E-3</v>
      </c>
      <c r="AG166" s="608">
        <f>M167</f>
        <v>8.5002027930612626E-3</v>
      </c>
      <c r="AH166" s="609"/>
    </row>
    <row r="167" spans="2:35" ht="12" thickBot="1">
      <c r="B167" s="1223"/>
      <c r="C167" s="61"/>
      <c r="D167" s="407" t="s">
        <v>28</v>
      </c>
      <c r="E167" s="539">
        <f t="shared" si="31"/>
        <v>2.8201841918070902E-2</v>
      </c>
      <c r="F167" s="539">
        <f t="shared" si="21"/>
        <v>4.2579599649446333E-2</v>
      </c>
      <c r="G167" s="539">
        <f t="shared" si="21"/>
        <v>1.168410966500147E-2</v>
      </c>
      <c r="H167" s="539">
        <f t="shared" si="21"/>
        <v>1.8690404294517408E-2</v>
      </c>
      <c r="I167" s="539">
        <f t="shared" si="21"/>
        <v>0.10505717446591482</v>
      </c>
      <c r="J167" s="539">
        <f t="shared" si="21"/>
        <v>3.928370922389738E-2</v>
      </c>
      <c r="K167" s="539">
        <f t="shared" si="21"/>
        <v>7.2894204353327633E-3</v>
      </c>
      <c r="L167" s="539">
        <f t="shared" si="21"/>
        <v>4.5843849384683191E-3</v>
      </c>
      <c r="M167" s="539">
        <f t="shared" si="21"/>
        <v>8.5002027930612626E-3</v>
      </c>
      <c r="N167" s="540" t="str">
        <f t="shared" si="36"/>
        <v/>
      </c>
      <c r="P167" s="413" t="s">
        <v>173</v>
      </c>
      <c r="Q167" s="523">
        <f t="shared" si="32"/>
        <v>10</v>
      </c>
      <c r="R167" s="481">
        <f t="shared" si="23"/>
        <v>12</v>
      </c>
      <c r="S167" s="52">
        <f t="shared" si="24"/>
        <v>11</v>
      </c>
      <c r="T167" s="52">
        <f t="shared" si="25"/>
        <v>12</v>
      </c>
      <c r="U167" s="52">
        <f t="shared" si="26"/>
        <v>13</v>
      </c>
      <c r="V167" s="52">
        <f t="shared" si="27"/>
        <v>11</v>
      </c>
      <c r="W167" s="52">
        <f t="shared" si="28"/>
        <v>11</v>
      </c>
      <c r="X167" s="524"/>
      <c r="Z167" s="616" t="s">
        <v>173</v>
      </c>
      <c r="AA167" s="610">
        <f t="shared" si="35"/>
        <v>2.1535119860930253E-2</v>
      </c>
      <c r="AB167" s="611">
        <f t="shared" si="35"/>
        <v>3.0980332529231075E-2</v>
      </c>
      <c r="AC167" s="611">
        <f t="shared" si="35"/>
        <v>4.9288882978295895E-2</v>
      </c>
      <c r="AD167" s="611">
        <f t="shared" si="35"/>
        <v>4.8761547160413393E-2</v>
      </c>
      <c r="AE167" s="611">
        <f t="shared" si="35"/>
        <v>4.0513627455023217E-2</v>
      </c>
      <c r="AF167" s="611">
        <f t="shared" si="35"/>
        <v>2.8615247787096083E-2</v>
      </c>
      <c r="AG167" s="611">
        <f>M168</f>
        <v>2.835469231838068E-2</v>
      </c>
      <c r="AH167" s="613"/>
    </row>
    <row r="168" spans="2:35">
      <c r="B168" s="1223"/>
      <c r="D168" s="407" t="s">
        <v>173</v>
      </c>
      <c r="E168" s="539">
        <f t="shared" si="31"/>
        <v>3.3476443435211611E-2</v>
      </c>
      <c r="F168" s="539">
        <f t="shared" si="21"/>
        <v>3.6632393060737845E-2</v>
      </c>
      <c r="G168" s="539">
        <f t="shared" si="21"/>
        <v>2.1535119860930253E-2</v>
      </c>
      <c r="H168" s="539">
        <f t="shared" si="21"/>
        <v>3.0980332529231075E-2</v>
      </c>
      <c r="I168" s="539">
        <f t="shared" si="21"/>
        <v>4.9288882978295895E-2</v>
      </c>
      <c r="J168" s="539">
        <f t="shared" si="21"/>
        <v>4.8761547160413393E-2</v>
      </c>
      <c r="K168" s="539">
        <f t="shared" si="21"/>
        <v>4.0513627455023217E-2</v>
      </c>
      <c r="L168" s="539">
        <f t="shared" si="21"/>
        <v>2.8615247787096083E-2</v>
      </c>
      <c r="M168" s="539">
        <f t="shared" si="21"/>
        <v>2.835469231838068E-2</v>
      </c>
      <c r="N168" s="540" t="str">
        <f t="shared" si="36"/>
        <v/>
      </c>
      <c r="AI168" s="330"/>
    </row>
    <row r="169" spans="2:35" ht="12" thickBot="1">
      <c r="B169" s="1223"/>
      <c r="D169" s="408" t="s">
        <v>174</v>
      </c>
      <c r="E169" s="539">
        <f t="shared" ref="E169" si="37">IFERROR(E150/Q150,"")</f>
        <v>2.7239840726136576E-2</v>
      </c>
      <c r="F169" s="539">
        <f t="shared" si="21"/>
        <v>2.9640808477525177E-2</v>
      </c>
      <c r="G169" s="539">
        <f t="shared" si="21"/>
        <v>2.435401676209082E-2</v>
      </c>
      <c r="H169" s="539">
        <f t="shared" si="21"/>
        <v>2.2593656597135265E-2</v>
      </c>
      <c r="I169" s="539">
        <f t="shared" si="21"/>
        <v>2.8606139792626214E-2</v>
      </c>
      <c r="J169" s="539">
        <f t="shared" si="21"/>
        <v>2.961766115145294E-2</v>
      </c>
      <c r="K169" s="539">
        <f t="shared" si="21"/>
        <v>2.0566372345775397E-2</v>
      </c>
      <c r="L169" s="539">
        <f t="shared" si="21"/>
        <v>2.1866949747328199E-2</v>
      </c>
      <c r="M169" s="539">
        <f t="shared" si="21"/>
        <v>2.3089833523315992E-2</v>
      </c>
      <c r="N169" s="541" t="str">
        <f t="shared" si="36"/>
        <v/>
      </c>
    </row>
    <row r="170" spans="2:35">
      <c r="B170" s="1223"/>
      <c r="D170" s="1"/>
      <c r="V170" s="7"/>
      <c r="Y170" s="108"/>
    </row>
    <row r="171" spans="2:35">
      <c r="D171" s="18"/>
      <c r="L171" s="135"/>
      <c r="M171" s="136"/>
      <c r="N171" s="137"/>
      <c r="O171" s="137"/>
    </row>
    <row r="172" spans="2:35">
      <c r="B172" s="1223" t="s">
        <v>429</v>
      </c>
      <c r="D172" s="1"/>
      <c r="E172" s="514"/>
      <c r="F172" s="514"/>
      <c r="G172" s="515"/>
    </row>
    <row r="173" spans="2:35" ht="12" thickBot="1">
      <c r="B173" s="1223"/>
      <c r="D173" s="133" t="s">
        <v>430</v>
      </c>
      <c r="E173" s="516"/>
      <c r="F173" s="516"/>
    </row>
    <row r="174" spans="2:35">
      <c r="B174" s="1223"/>
      <c r="D174" s="516"/>
      <c r="E174" s="542" t="s">
        <v>137</v>
      </c>
      <c r="F174" s="543"/>
      <c r="G174" s="556"/>
      <c r="H174" s="381" t="s">
        <v>138</v>
      </c>
      <c r="I174" s="381"/>
      <c r="J174" s="381"/>
      <c r="K174" s="1022" t="s">
        <v>139</v>
      </c>
      <c r="L174" s="1022"/>
      <c r="M174" s="546"/>
      <c r="N174" s="544" t="s">
        <v>140</v>
      </c>
      <c r="O174" s="1022"/>
      <c r="P174" s="545"/>
      <c r="Q174" s="553" t="s">
        <v>141</v>
      </c>
      <c r="R174" s="1022"/>
      <c r="S174" s="546"/>
      <c r="T174" s="544" t="s">
        <v>126</v>
      </c>
      <c r="U174" s="1022"/>
      <c r="V174" s="1022"/>
      <c r="W174" s="553" t="s">
        <v>142</v>
      </c>
      <c r="X174" s="1022"/>
      <c r="Y174" s="546"/>
      <c r="Z174" s="1022" t="s">
        <v>143</v>
      </c>
      <c r="AA174" s="1022"/>
      <c r="AB174" s="546"/>
    </row>
    <row r="175" spans="2:35" ht="56.25" customHeight="1" thickBot="1">
      <c r="B175" s="1223"/>
      <c r="D175" s="109"/>
      <c r="E175" s="547" t="s">
        <v>431</v>
      </c>
      <c r="F175" s="517" t="s">
        <v>432</v>
      </c>
      <c r="G175" s="557" t="s">
        <v>433</v>
      </c>
      <c r="H175" s="554" t="s">
        <v>431</v>
      </c>
      <c r="I175" s="100" t="s">
        <v>432</v>
      </c>
      <c r="J175" s="548" t="s">
        <v>433</v>
      </c>
      <c r="K175" s="383" t="s">
        <v>431</v>
      </c>
      <c r="L175" s="100" t="s">
        <v>432</v>
      </c>
      <c r="M175" s="548" t="s">
        <v>433</v>
      </c>
      <c r="N175" s="100" t="s">
        <v>431</v>
      </c>
      <c r="O175" s="100" t="s">
        <v>432</v>
      </c>
      <c r="P175" s="100" t="s">
        <v>433</v>
      </c>
      <c r="Q175" s="554" t="s">
        <v>431</v>
      </c>
      <c r="R175" s="100" t="s">
        <v>432</v>
      </c>
      <c r="S175" s="548" t="s">
        <v>433</v>
      </c>
      <c r="T175" s="100" t="s">
        <v>431</v>
      </c>
      <c r="U175" s="100" t="s">
        <v>432</v>
      </c>
      <c r="V175" s="382" t="s">
        <v>433</v>
      </c>
      <c r="W175" s="554" t="s">
        <v>431</v>
      </c>
      <c r="X175" s="100" t="s">
        <v>432</v>
      </c>
      <c r="Y175" s="548" t="s">
        <v>433</v>
      </c>
      <c r="Z175" s="383" t="s">
        <v>431</v>
      </c>
      <c r="AA175" s="100" t="s">
        <v>432</v>
      </c>
      <c r="AB175" s="548" t="s">
        <v>433</v>
      </c>
    </row>
    <row r="176" spans="2:35">
      <c r="B176" s="1223"/>
      <c r="D176" s="562" t="s">
        <v>161</v>
      </c>
      <c r="E176" s="549">
        <v>3.79</v>
      </c>
      <c r="F176" s="49">
        <v>3.41</v>
      </c>
      <c r="G176" s="558">
        <v>1.0336707352075742</v>
      </c>
      <c r="H176" s="399">
        <v>11.23</v>
      </c>
      <c r="I176" s="25">
        <v>12.206</v>
      </c>
      <c r="J176" s="417">
        <v>1.1113371705389246</v>
      </c>
      <c r="K176" s="561">
        <v>4.88</v>
      </c>
      <c r="L176" s="561">
        <v>4.46</v>
      </c>
      <c r="M176" s="939">
        <v>1.2177547020821511</v>
      </c>
      <c r="N176" s="25">
        <v>7.3109999999999999</v>
      </c>
      <c r="O176" s="25">
        <v>9.1999999999999993</v>
      </c>
      <c r="P176" s="25">
        <v>1.1865932073560419</v>
      </c>
      <c r="Q176" s="25">
        <v>7.1759999999999993</v>
      </c>
      <c r="R176" s="25">
        <v>8.6140000000000008</v>
      </c>
      <c r="S176" s="25">
        <v>1.3397038215591828</v>
      </c>
      <c r="T176" s="25">
        <v>11.23</v>
      </c>
      <c r="U176" s="25">
        <v>14.83</v>
      </c>
      <c r="V176" s="25">
        <v>1.8140695591279785</v>
      </c>
      <c r="W176" s="25">
        <v>5.6769999999999996</v>
      </c>
      <c r="X176" s="25">
        <v>8.1059999999999999</v>
      </c>
      <c r="Y176" s="25">
        <v>1.7091443208636479</v>
      </c>
      <c r="Z176" s="551"/>
      <c r="AA176" s="27"/>
      <c r="AB176" s="411"/>
    </row>
    <row r="177" spans="2:28">
      <c r="B177" s="1223"/>
      <c r="D177" s="563" t="s">
        <v>162</v>
      </c>
      <c r="E177" s="549">
        <v>9.1120000000000001</v>
      </c>
      <c r="F177" s="49">
        <v>9.0670000000000002</v>
      </c>
      <c r="G177" s="559">
        <v>0.98397750322172928</v>
      </c>
      <c r="H177" s="560">
        <v>9.1610000000000014</v>
      </c>
      <c r="I177" s="48">
        <v>8.8759999999999994</v>
      </c>
      <c r="J177" s="561">
        <v>2.6288130653255122</v>
      </c>
      <c r="K177" s="561">
        <v>9.995000000000001</v>
      </c>
      <c r="L177" s="561">
        <v>12.030000000000001</v>
      </c>
      <c r="M177" s="939">
        <v>1.9860971388318998</v>
      </c>
      <c r="N177" s="25">
        <v>6.93</v>
      </c>
      <c r="O177" s="25">
        <v>7.5920000000000005</v>
      </c>
      <c r="P177" s="25">
        <v>1.0338436454348603</v>
      </c>
      <c r="Q177" s="25">
        <v>3.2050000000000001</v>
      </c>
      <c r="R177" s="25">
        <v>3.8779999999999997</v>
      </c>
      <c r="S177" s="25">
        <v>1.8937752003271009</v>
      </c>
      <c r="T177" s="25">
        <v>5.3800000000000008</v>
      </c>
      <c r="U177" s="25">
        <v>6.4700000000000006</v>
      </c>
      <c r="V177" s="25">
        <v>1.8783002472464303</v>
      </c>
      <c r="W177" s="25">
        <v>13.99</v>
      </c>
      <c r="X177" s="25">
        <v>11.395</v>
      </c>
      <c r="Y177" s="25">
        <v>1.5035517692698628</v>
      </c>
      <c r="Z177" s="551"/>
      <c r="AA177" s="27"/>
      <c r="AB177" s="411"/>
    </row>
    <row r="178" spans="2:28">
      <c r="B178" s="1223"/>
      <c r="D178" s="563" t="s">
        <v>163</v>
      </c>
      <c r="E178" s="549">
        <v>7.7510000000000003</v>
      </c>
      <c r="F178" s="49">
        <v>7.8449999999999998</v>
      </c>
      <c r="G178" s="558">
        <v>0.47540024745875764</v>
      </c>
      <c r="H178" s="399">
        <v>3.85</v>
      </c>
      <c r="I178" s="25">
        <v>3.645</v>
      </c>
      <c r="J178" s="417">
        <v>0.70257459027810154</v>
      </c>
      <c r="K178" s="561">
        <v>3.87</v>
      </c>
      <c r="L178" s="561">
        <v>3.585</v>
      </c>
      <c r="M178" s="939">
        <v>0.74712925798450736</v>
      </c>
      <c r="N178" s="25">
        <v>4.38</v>
      </c>
      <c r="O178" s="25">
        <v>5.5</v>
      </c>
      <c r="P178" s="25">
        <v>1.2474026777829825</v>
      </c>
      <c r="Q178" s="25">
        <v>10.417999999999999</v>
      </c>
      <c r="R178" s="25">
        <v>12.119</v>
      </c>
      <c r="S178" s="25">
        <v>0.5966525265761603</v>
      </c>
      <c r="T178" s="25">
        <v>0.83600000000000008</v>
      </c>
      <c r="U178" s="25">
        <v>1.3900000000000001</v>
      </c>
      <c r="V178" s="25">
        <v>0.68542388834813961</v>
      </c>
      <c r="W178" s="25">
        <v>0</v>
      </c>
      <c r="X178" s="25">
        <v>0</v>
      </c>
      <c r="Y178" s="25">
        <v>1.3891629307561795</v>
      </c>
      <c r="Z178" s="551"/>
      <c r="AA178" s="27"/>
      <c r="AB178" s="411"/>
    </row>
    <row r="179" spans="2:28">
      <c r="B179" s="1223"/>
      <c r="D179" s="563" t="s">
        <v>164</v>
      </c>
      <c r="E179" s="549">
        <v>4.6558569999999992</v>
      </c>
      <c r="F179" s="49">
        <v>5.0293909999999995</v>
      </c>
      <c r="G179" s="558">
        <v>0.83021416704891049</v>
      </c>
      <c r="H179" s="399">
        <v>3.2930359999999999</v>
      </c>
      <c r="I179" s="25">
        <v>6.442838042</v>
      </c>
      <c r="J179" s="417">
        <v>0.53320949112496219</v>
      </c>
      <c r="K179" s="561">
        <v>0</v>
      </c>
      <c r="L179" s="561">
        <v>0</v>
      </c>
      <c r="M179" s="939">
        <v>0</v>
      </c>
      <c r="N179" s="25">
        <v>0.35079300000000002</v>
      </c>
      <c r="O179" s="25">
        <v>0</v>
      </c>
      <c r="P179" s="25">
        <v>1.204651050324029E-3</v>
      </c>
      <c r="Q179" s="25">
        <v>5.7007799999999982</v>
      </c>
      <c r="R179" s="25">
        <v>5.9682199999999996</v>
      </c>
      <c r="S179" s="25">
        <v>0.53217600820991062</v>
      </c>
      <c r="T179" s="25">
        <v>0</v>
      </c>
      <c r="U179" s="25">
        <v>9.3939999999999996E-2</v>
      </c>
      <c r="V179" s="25">
        <v>7.5418751933425593E-2</v>
      </c>
      <c r="W179" s="25">
        <v>6.2429999999999999E-2</v>
      </c>
      <c r="X179" s="25">
        <v>0</v>
      </c>
      <c r="Y179" s="25">
        <v>1.468027719E-2</v>
      </c>
      <c r="Z179" s="551"/>
      <c r="AA179" s="27"/>
      <c r="AB179" s="411"/>
    </row>
    <row r="180" spans="2:28">
      <c r="B180" s="1223"/>
      <c r="D180" s="563" t="s">
        <v>165</v>
      </c>
      <c r="E180" s="549">
        <v>4.1606329999999989</v>
      </c>
      <c r="F180" s="49">
        <v>0</v>
      </c>
      <c r="G180" s="558">
        <v>2.0029726364803244E-2</v>
      </c>
      <c r="H180" s="399">
        <v>0</v>
      </c>
      <c r="I180" s="25">
        <v>0.28911100000000001</v>
      </c>
      <c r="J180" s="417">
        <v>2.678523832686119E-2</v>
      </c>
      <c r="K180" s="561">
        <v>1.092980523</v>
      </c>
      <c r="L180" s="561">
        <v>1.4685116000000002E-2</v>
      </c>
      <c r="M180" s="939">
        <v>0</v>
      </c>
      <c r="N180" s="25">
        <v>0</v>
      </c>
      <c r="O180" s="25">
        <v>0</v>
      </c>
      <c r="P180" s="25">
        <v>1.0214282688805117E-2</v>
      </c>
      <c r="Q180" s="25">
        <v>3.2819039999999999</v>
      </c>
      <c r="R180" s="25">
        <v>3.304386</v>
      </c>
      <c r="S180" s="25">
        <v>0.41974950581174802</v>
      </c>
      <c r="T180" s="25">
        <v>0.37509000000000003</v>
      </c>
      <c r="U180" s="25">
        <v>0.32565999999999995</v>
      </c>
      <c r="V180" s="25">
        <v>0.27660594152301249</v>
      </c>
      <c r="W180" s="25">
        <v>0.81237000000000004</v>
      </c>
      <c r="X180" s="25">
        <v>1.2489999999999999E-2</v>
      </c>
      <c r="Y180" s="25">
        <v>4.5433486000000002E-2</v>
      </c>
      <c r="Z180" s="551"/>
      <c r="AA180" s="27"/>
      <c r="AB180" s="411"/>
    </row>
    <row r="181" spans="2:28">
      <c r="B181" s="1223"/>
      <c r="D181" s="563" t="s">
        <v>166</v>
      </c>
      <c r="E181" s="549">
        <v>0</v>
      </c>
      <c r="F181" s="49">
        <v>0</v>
      </c>
      <c r="G181" s="558">
        <v>0</v>
      </c>
      <c r="H181" s="399">
        <v>1.171771696</v>
      </c>
      <c r="I181" s="25">
        <v>1.174857</v>
      </c>
      <c r="J181" s="417">
        <v>8.5545191278941279E-2</v>
      </c>
      <c r="K181" s="561">
        <v>0.11323900000000001</v>
      </c>
      <c r="L181" s="561">
        <v>0</v>
      </c>
      <c r="M181" s="939">
        <v>0.20102003579379282</v>
      </c>
      <c r="N181" s="25">
        <v>0.11675199999999999</v>
      </c>
      <c r="O181" s="25">
        <v>0.12409298299999999</v>
      </c>
      <c r="P181" s="25">
        <v>1.4937015544919314E-2</v>
      </c>
      <c r="Q181" s="25">
        <v>0</v>
      </c>
      <c r="R181" s="25">
        <v>0</v>
      </c>
      <c r="S181" s="25">
        <v>1.9455579783788995E-4</v>
      </c>
      <c r="T181" s="25">
        <v>0</v>
      </c>
      <c r="U181" s="25">
        <v>0</v>
      </c>
      <c r="V181" s="25">
        <v>0</v>
      </c>
      <c r="W181" s="25">
        <v>1.46004</v>
      </c>
      <c r="X181" s="25">
        <v>2.2430300000000001</v>
      </c>
      <c r="Y181" s="25">
        <v>0.4453976557799999</v>
      </c>
      <c r="Z181" s="551"/>
      <c r="AA181" s="27"/>
      <c r="AB181" s="411"/>
    </row>
    <row r="182" spans="2:28">
      <c r="B182" s="1223"/>
      <c r="D182" s="563" t="s">
        <v>167</v>
      </c>
      <c r="E182" s="549">
        <v>0</v>
      </c>
      <c r="F182" s="49">
        <v>0</v>
      </c>
      <c r="G182" s="558">
        <v>6.3567395049974385E-2</v>
      </c>
      <c r="H182" s="399">
        <v>0.30572799999999994</v>
      </c>
      <c r="I182" s="25">
        <v>0.68536437700000008</v>
      </c>
      <c r="J182" s="417">
        <v>4.3840689075072457E-2</v>
      </c>
      <c r="K182" s="561">
        <v>1.8983159999999999</v>
      </c>
      <c r="L182" s="561">
        <v>9.4384342359999991</v>
      </c>
      <c r="M182" s="939">
        <v>1.2318136540224365</v>
      </c>
      <c r="N182" s="25">
        <v>0.33694199999999996</v>
      </c>
      <c r="O182" s="25">
        <v>1.348525441</v>
      </c>
      <c r="P182" s="25">
        <v>0.17345264489320178</v>
      </c>
      <c r="Q182" s="25">
        <v>2.6442780000000004</v>
      </c>
      <c r="R182" s="25">
        <v>0.10259799999999999</v>
      </c>
      <c r="S182" s="25">
        <v>0.29481297272346596</v>
      </c>
      <c r="T182" s="25">
        <v>3.1866500000000002</v>
      </c>
      <c r="U182" s="25">
        <v>3.1555639999999996</v>
      </c>
      <c r="V182" s="25">
        <v>0.16786754462601181</v>
      </c>
      <c r="W182" s="25">
        <v>0.45227000000000001</v>
      </c>
      <c r="X182" s="25">
        <v>9.8229999999999998E-2</v>
      </c>
      <c r="Y182" s="25">
        <v>0.15445977339999997</v>
      </c>
      <c r="Z182" s="551"/>
      <c r="AA182" s="27"/>
      <c r="AB182" s="411"/>
    </row>
    <row r="183" spans="2:28">
      <c r="B183" s="1223"/>
      <c r="D183" s="563" t="s">
        <v>434</v>
      </c>
      <c r="E183" s="549" t="s">
        <v>210</v>
      </c>
      <c r="F183" s="49" t="s">
        <v>210</v>
      </c>
      <c r="G183" s="559" t="s">
        <v>210</v>
      </c>
      <c r="H183" s="399">
        <v>0</v>
      </c>
      <c r="I183" s="25">
        <v>0</v>
      </c>
      <c r="J183" s="940" t="s">
        <v>210</v>
      </c>
      <c r="K183" s="561">
        <v>0</v>
      </c>
      <c r="L183" s="561">
        <v>0</v>
      </c>
      <c r="M183" s="939" t="s">
        <v>210</v>
      </c>
      <c r="N183" s="25">
        <v>0</v>
      </c>
      <c r="O183" s="25">
        <v>0</v>
      </c>
      <c r="P183" s="25">
        <v>0</v>
      </c>
      <c r="Q183" s="25">
        <v>0</v>
      </c>
      <c r="R183" s="25">
        <v>0</v>
      </c>
      <c r="S183" s="25">
        <v>0</v>
      </c>
      <c r="T183" s="25">
        <v>0</v>
      </c>
      <c r="U183" s="25">
        <v>0</v>
      </c>
      <c r="V183" s="25">
        <v>0</v>
      </c>
      <c r="W183" s="25">
        <v>0</v>
      </c>
      <c r="X183" s="25">
        <v>0</v>
      </c>
      <c r="Y183" s="25">
        <v>0</v>
      </c>
      <c r="Z183" s="551"/>
      <c r="AA183" s="27"/>
      <c r="AB183" s="411"/>
    </row>
    <row r="184" spans="2:28">
      <c r="B184" s="1223"/>
      <c r="D184" s="563" t="s">
        <v>169</v>
      </c>
      <c r="E184" s="549">
        <v>5.3496379999999997</v>
      </c>
      <c r="F184" s="49">
        <v>7.8831249999999997</v>
      </c>
      <c r="G184" s="558">
        <v>0.40595261934339716</v>
      </c>
      <c r="H184" s="399">
        <v>3.1821000000000002</v>
      </c>
      <c r="I184" s="25">
        <v>1.86</v>
      </c>
      <c r="J184" s="417">
        <v>0.40405744134565197</v>
      </c>
      <c r="K184" s="561">
        <v>0</v>
      </c>
      <c r="L184" s="561">
        <v>0</v>
      </c>
      <c r="M184" s="939">
        <v>5.4877581337546437E-2</v>
      </c>
      <c r="N184" s="25">
        <v>0</v>
      </c>
      <c r="O184" s="25">
        <v>0</v>
      </c>
      <c r="P184" s="25">
        <v>4.7909606041280597E-2</v>
      </c>
      <c r="Q184" s="25">
        <v>0</v>
      </c>
      <c r="R184" s="25">
        <v>0</v>
      </c>
      <c r="S184" s="25">
        <v>4.6588706181627207E-2</v>
      </c>
      <c r="T184" s="25">
        <v>0</v>
      </c>
      <c r="U184" s="25">
        <v>0</v>
      </c>
      <c r="V184" s="25">
        <v>0.14882662583496817</v>
      </c>
      <c r="W184" s="25">
        <v>0</v>
      </c>
      <c r="X184" s="25">
        <v>0</v>
      </c>
      <c r="Y184" s="25">
        <v>2.2792287787281821E-2</v>
      </c>
      <c r="Z184" s="551"/>
      <c r="AA184" s="27"/>
      <c r="AB184" s="411"/>
    </row>
    <row r="185" spans="2:28">
      <c r="B185" s="1223"/>
      <c r="D185" s="563" t="s">
        <v>170</v>
      </c>
      <c r="E185" s="549">
        <v>0</v>
      </c>
      <c r="F185" s="49">
        <v>0.13500000000000001</v>
      </c>
      <c r="G185" s="558">
        <v>0.57331003955822701</v>
      </c>
      <c r="H185" s="399">
        <v>1.46682782</v>
      </c>
      <c r="I185" s="25">
        <v>1.7854460649999999</v>
      </c>
      <c r="J185" s="417">
        <v>0.22192879837575011</v>
      </c>
      <c r="K185" s="561">
        <v>2.0534879999999998</v>
      </c>
      <c r="L185" s="561">
        <v>3.4493601669999996</v>
      </c>
      <c r="M185" s="939">
        <v>0.20816208876459558</v>
      </c>
      <c r="N185" s="25">
        <v>0.53191999999999995</v>
      </c>
      <c r="O185" s="25">
        <v>2.6718999999999999</v>
      </c>
      <c r="P185" s="25">
        <v>0.8552317015684362</v>
      </c>
      <c r="Q185" s="25">
        <v>8.4470200000000002</v>
      </c>
      <c r="R185" s="25">
        <v>9.9145500000000002</v>
      </c>
      <c r="S185" s="25">
        <v>1.2351295689695361</v>
      </c>
      <c r="T185" s="25">
        <v>5.4224199999999998</v>
      </c>
      <c r="U185" s="25">
        <v>5.5922600000000005</v>
      </c>
      <c r="V185" s="25">
        <v>0.64191304695696239</v>
      </c>
      <c r="W185" s="25">
        <v>14.271829999999998</v>
      </c>
      <c r="X185" s="25">
        <v>10.65568</v>
      </c>
      <c r="Y185" s="25">
        <v>2.2775498752169647</v>
      </c>
      <c r="Z185" s="551"/>
      <c r="AA185" s="27"/>
      <c r="AB185" s="411"/>
    </row>
    <row r="186" spans="2:28">
      <c r="B186" s="1223"/>
      <c r="D186" s="563" t="s">
        <v>171</v>
      </c>
      <c r="E186" s="549">
        <v>0</v>
      </c>
      <c r="F186" s="49">
        <v>0</v>
      </c>
      <c r="G186" s="558">
        <v>0</v>
      </c>
      <c r="H186" s="399">
        <v>0</v>
      </c>
      <c r="I186" s="25">
        <v>0</v>
      </c>
      <c r="J186" s="417">
        <v>0.16979182249124505</v>
      </c>
      <c r="K186" s="561">
        <v>7.7417924221172898</v>
      </c>
      <c r="L186" s="561">
        <v>0</v>
      </c>
      <c r="M186" s="939">
        <v>0</v>
      </c>
      <c r="N186" s="25">
        <v>0</v>
      </c>
      <c r="O186" s="25">
        <v>0</v>
      </c>
      <c r="P186" s="25">
        <v>0.194036554661358</v>
      </c>
      <c r="Q186" s="25">
        <v>7.7417924221172898</v>
      </c>
      <c r="R186" s="25">
        <v>0</v>
      </c>
      <c r="S186" s="25">
        <v>6.3270691696313691E-2</v>
      </c>
      <c r="T186" s="25">
        <v>7.7417924221172898</v>
      </c>
      <c r="U186" s="25">
        <v>0</v>
      </c>
      <c r="V186" s="25">
        <v>1.1562967041631889</v>
      </c>
      <c r="W186" s="25">
        <v>7.7417924221172898</v>
      </c>
      <c r="X186" s="25">
        <v>8.495136490721638</v>
      </c>
      <c r="Y186" s="25">
        <v>0.38586689185767542</v>
      </c>
      <c r="Z186" s="551"/>
      <c r="AA186" s="27"/>
      <c r="AB186" s="411"/>
    </row>
    <row r="187" spans="2:28">
      <c r="B187" s="1223"/>
      <c r="D187" s="563" t="s">
        <v>172</v>
      </c>
      <c r="E187" s="549">
        <v>1.6</v>
      </c>
      <c r="F187" s="49">
        <v>0</v>
      </c>
      <c r="G187" s="558">
        <v>0.11176103968220732</v>
      </c>
      <c r="H187" s="399">
        <v>1.9689431949862217</v>
      </c>
      <c r="I187" s="25">
        <v>1.623761834003534</v>
      </c>
      <c r="J187" s="417">
        <v>0.24592409819911015</v>
      </c>
      <c r="K187" s="561">
        <v>7.4369999999999994</v>
      </c>
      <c r="L187" s="561">
        <v>0</v>
      </c>
      <c r="M187" s="939">
        <v>0.55877165844462628</v>
      </c>
      <c r="N187" s="25">
        <v>0.70589999999999997</v>
      </c>
      <c r="O187" s="25">
        <v>0.69269999999999998</v>
      </c>
      <c r="P187" s="25">
        <v>0</v>
      </c>
      <c r="Q187" s="25">
        <v>1.3136000000000001</v>
      </c>
      <c r="R187" s="25">
        <v>1.1731099999999999</v>
      </c>
      <c r="S187" s="25">
        <v>0.61277676889389243</v>
      </c>
      <c r="T187" s="25">
        <v>1.33264</v>
      </c>
      <c r="U187" s="25">
        <v>1.7625500000000001</v>
      </c>
      <c r="V187" s="25">
        <v>0.51951448883939511</v>
      </c>
      <c r="W187" s="25">
        <v>2.3686199999999999</v>
      </c>
      <c r="X187" s="25">
        <v>0.28968317562000001</v>
      </c>
      <c r="Y187" s="25">
        <v>0.24469265271968194</v>
      </c>
      <c r="Z187" s="551"/>
      <c r="AA187" s="27"/>
      <c r="AB187" s="411"/>
    </row>
    <row r="188" spans="2:28">
      <c r="B188" s="1223"/>
      <c r="D188" s="563" t="s">
        <v>28</v>
      </c>
      <c r="E188" s="549">
        <v>0</v>
      </c>
      <c r="F188" s="49">
        <v>0</v>
      </c>
      <c r="G188" s="558">
        <v>0</v>
      </c>
      <c r="H188" s="399">
        <v>0</v>
      </c>
      <c r="I188" s="25">
        <v>0</v>
      </c>
      <c r="J188" s="417">
        <v>0.27713487146630844</v>
      </c>
      <c r="K188" s="561">
        <v>1.9219999999999999</v>
      </c>
      <c r="L188" s="561">
        <v>2.5089999999999999</v>
      </c>
      <c r="M188" s="939">
        <v>0.93064313870094717</v>
      </c>
      <c r="N188" s="25">
        <v>2.5989999999999998</v>
      </c>
      <c r="O188" s="25">
        <v>3.1330000000000005</v>
      </c>
      <c r="P188" s="25">
        <v>0.2326169986869415</v>
      </c>
      <c r="Q188" s="25">
        <v>0</v>
      </c>
      <c r="R188" s="25">
        <v>0</v>
      </c>
      <c r="S188" s="25">
        <v>0.18728436713620195</v>
      </c>
      <c r="T188" s="25">
        <v>11.214</v>
      </c>
      <c r="U188" s="25">
        <v>10.724</v>
      </c>
      <c r="V188" s="25">
        <v>0.17453597970404572</v>
      </c>
      <c r="W188" s="25">
        <v>0</v>
      </c>
      <c r="X188" s="25">
        <v>0</v>
      </c>
      <c r="Y188" s="25">
        <v>0.12655253999999999</v>
      </c>
      <c r="Z188" s="551"/>
      <c r="AA188" s="27"/>
      <c r="AB188" s="411"/>
    </row>
    <row r="189" spans="2:28">
      <c r="B189" s="1223"/>
      <c r="D189" s="563" t="s">
        <v>173</v>
      </c>
      <c r="E189" s="549">
        <v>2.5</v>
      </c>
      <c r="F189" s="49">
        <v>2.4</v>
      </c>
      <c r="G189" s="558">
        <v>0.29957478228290163</v>
      </c>
      <c r="H189" s="399">
        <v>6.0270000000000001</v>
      </c>
      <c r="I189" s="25">
        <v>6.9669999999999996</v>
      </c>
      <c r="J189" s="417">
        <v>0.53507797720534966</v>
      </c>
      <c r="K189" s="561">
        <v>0</v>
      </c>
      <c r="L189" s="561">
        <v>0</v>
      </c>
      <c r="M189" s="939">
        <v>0.23040727480466189</v>
      </c>
      <c r="N189" s="25">
        <v>0</v>
      </c>
      <c r="O189" s="25">
        <v>0</v>
      </c>
      <c r="P189" s="25">
        <v>0.15383261080943711</v>
      </c>
      <c r="Q189" s="25">
        <v>2.3940000000000001</v>
      </c>
      <c r="R189" s="25">
        <v>2.7622100000000001</v>
      </c>
      <c r="S189" s="25">
        <v>0.63266052806270268</v>
      </c>
      <c r="T189" s="25">
        <v>0.57200000000000006</v>
      </c>
      <c r="U189" s="25">
        <v>0.9890000000000001</v>
      </c>
      <c r="V189" s="25">
        <v>7.2217823551928004E-2</v>
      </c>
      <c r="W189" s="25">
        <v>3.9370000000000003</v>
      </c>
      <c r="X189" s="25">
        <v>4.0149999999999997</v>
      </c>
      <c r="Y189" s="25">
        <v>0.84150063999999991</v>
      </c>
      <c r="Z189" s="551"/>
      <c r="AA189" s="27"/>
      <c r="AB189" s="411"/>
    </row>
    <row r="190" spans="2:28" ht="12" thickBot="1">
      <c r="B190" s="1223"/>
      <c r="D190" s="564" t="s">
        <v>174</v>
      </c>
      <c r="E190" s="577">
        <f t="shared" ref="E190:P190" si="38">SUM(E176:E189)</f>
        <v>38.919128000000001</v>
      </c>
      <c r="F190" s="578">
        <f t="shared" si="38"/>
        <v>35.769515999999996</v>
      </c>
      <c r="G190" s="582">
        <f>SUM(G176:G189)</f>
        <v>4.7974582552184817</v>
      </c>
      <c r="H190" s="583">
        <f t="shared" si="38"/>
        <v>41.656406710986225</v>
      </c>
      <c r="I190" s="579">
        <f t="shared" si="38"/>
        <v>45.555378318003534</v>
      </c>
      <c r="J190" s="584">
        <f t="shared" si="38"/>
        <v>6.9860204450317909</v>
      </c>
      <c r="K190" s="584">
        <f t="shared" si="38"/>
        <v>41.003815945117289</v>
      </c>
      <c r="L190" s="584">
        <f t="shared" si="38"/>
        <v>35.486479519</v>
      </c>
      <c r="M190" s="584">
        <f t="shared" si="38"/>
        <v>7.3666765307671644</v>
      </c>
      <c r="N190" s="584">
        <f t="shared" si="38"/>
        <v>23.262307</v>
      </c>
      <c r="O190" s="584">
        <f t="shared" si="38"/>
        <v>30.262218424</v>
      </c>
      <c r="P190" s="584">
        <f t="shared" si="38"/>
        <v>5.1512755965185884</v>
      </c>
      <c r="Q190" s="584">
        <f t="shared" ref="Q190:V190" si="39">SUM(Q176:Q189)</f>
        <v>52.322374422117292</v>
      </c>
      <c r="R190" s="584">
        <f t="shared" si="39"/>
        <v>47.836074000000004</v>
      </c>
      <c r="S190" s="584">
        <f t="shared" si="39"/>
        <v>7.8547752219456806</v>
      </c>
      <c r="T190" s="584">
        <f t="shared" si="39"/>
        <v>47.290592422117285</v>
      </c>
      <c r="U190" s="584">
        <f t="shared" si="39"/>
        <v>45.332974</v>
      </c>
      <c r="V190" s="584">
        <f t="shared" si="39"/>
        <v>7.6109906018554874</v>
      </c>
      <c r="W190" s="584">
        <f t="shared" ref="W190:Y190" si="40">SUM(W176:W189)</f>
        <v>50.773352422117284</v>
      </c>
      <c r="X190" s="584">
        <f t="shared" si="40"/>
        <v>45.310249666341633</v>
      </c>
      <c r="Y190" s="584">
        <f t="shared" si="40"/>
        <v>9.160785100841295</v>
      </c>
      <c r="Z190" s="552"/>
      <c r="AA190" s="404"/>
      <c r="AB190" s="412"/>
    </row>
    <row r="191" spans="2:28">
      <c r="B191" s="1223"/>
      <c r="D191" s="565" t="s">
        <v>435</v>
      </c>
      <c r="E191" s="2"/>
    </row>
    <row r="192" spans="2:28">
      <c r="B192" s="1223"/>
      <c r="E192" s="519"/>
    </row>
    <row r="193" spans="1:29">
      <c r="B193" s="1223"/>
      <c r="E193" s="519"/>
    </row>
    <row r="194" spans="1:29">
      <c r="B194" s="1223"/>
      <c r="D194" s="1" t="s">
        <v>436</v>
      </c>
      <c r="E194" s="520"/>
      <c r="F194" s="520"/>
      <c r="G194" s="520"/>
      <c r="H194" s="520"/>
      <c r="I194" s="41"/>
      <c r="J194" s="41"/>
      <c r="K194" s="42"/>
    </row>
    <row r="195" spans="1:29" ht="12" thickBot="1">
      <c r="B195" s="1223"/>
    </row>
    <row r="196" spans="1:29" ht="11.25" customHeight="1">
      <c r="B196" s="1223"/>
      <c r="D196" s="1256" t="s">
        <v>437</v>
      </c>
      <c r="E196" s="1258" t="s">
        <v>438</v>
      </c>
      <c r="F196" s="1253" t="s">
        <v>137</v>
      </c>
      <c r="G196" s="1254"/>
      <c r="H196" s="1255"/>
      <c r="I196" s="1264" t="s">
        <v>138</v>
      </c>
      <c r="J196" s="1265"/>
      <c r="K196" s="1266"/>
      <c r="L196" s="1265" t="s">
        <v>139</v>
      </c>
      <c r="M196" s="1265"/>
      <c r="N196" s="1265"/>
      <c r="O196" s="1264" t="s">
        <v>140</v>
      </c>
      <c r="P196" s="1265"/>
      <c r="Q196" s="1266"/>
      <c r="R196" s="1265" t="s">
        <v>141</v>
      </c>
      <c r="S196" s="1265"/>
      <c r="T196" s="1265"/>
      <c r="U196" s="1264" t="s">
        <v>126</v>
      </c>
      <c r="V196" s="1265"/>
      <c r="W196" s="1266"/>
      <c r="X196" s="1265" t="s">
        <v>142</v>
      </c>
      <c r="Y196" s="1265"/>
      <c r="Z196" s="1265"/>
      <c r="AA196" s="1264" t="s">
        <v>143</v>
      </c>
      <c r="AB196" s="1265"/>
      <c r="AC196" s="1266"/>
    </row>
    <row r="197" spans="1:29" ht="69">
      <c r="B197" s="1223"/>
      <c r="D197" s="1257"/>
      <c r="E197" s="1259"/>
      <c r="F197" s="600" t="s">
        <v>439</v>
      </c>
      <c r="G197" s="521" t="s">
        <v>440</v>
      </c>
      <c r="H197" s="570" t="s">
        <v>441</v>
      </c>
      <c r="I197" s="571" t="s">
        <v>439</v>
      </c>
      <c r="J197" s="381" t="s">
        <v>440</v>
      </c>
      <c r="K197" s="566" t="s">
        <v>441</v>
      </c>
      <c r="L197" s="385" t="s">
        <v>439</v>
      </c>
      <c r="M197" s="381" t="s">
        <v>440</v>
      </c>
      <c r="N197" s="384" t="s">
        <v>441</v>
      </c>
      <c r="O197" s="571" t="s">
        <v>439</v>
      </c>
      <c r="P197" s="381" t="s">
        <v>440</v>
      </c>
      <c r="Q197" s="566" t="s">
        <v>441</v>
      </c>
      <c r="R197" s="385" t="s">
        <v>439</v>
      </c>
      <c r="S197" s="381" t="s">
        <v>440</v>
      </c>
      <c r="T197" s="384" t="s">
        <v>441</v>
      </c>
      <c r="U197" s="571" t="s">
        <v>439</v>
      </c>
      <c r="V197" s="381" t="s">
        <v>440</v>
      </c>
      <c r="W197" s="566" t="s">
        <v>441</v>
      </c>
      <c r="X197" s="385" t="s">
        <v>439</v>
      </c>
      <c r="Y197" s="381" t="s">
        <v>440</v>
      </c>
      <c r="Z197" s="384" t="s">
        <v>441</v>
      </c>
      <c r="AA197" s="571" t="s">
        <v>439</v>
      </c>
      <c r="AB197" s="381" t="s">
        <v>440</v>
      </c>
      <c r="AC197" s="566" t="s">
        <v>441</v>
      </c>
    </row>
    <row r="198" spans="1:29">
      <c r="B198" s="1223"/>
      <c r="D198" s="1025" t="s">
        <v>161</v>
      </c>
      <c r="E198" s="1026" t="s">
        <v>442</v>
      </c>
      <c r="F198" s="601">
        <v>0</v>
      </c>
      <c r="G198" s="49">
        <v>0</v>
      </c>
      <c r="H198" s="559">
        <v>1.0230537304579833E-2</v>
      </c>
      <c r="I198" s="560">
        <v>0</v>
      </c>
      <c r="J198" s="48">
        <v>0</v>
      </c>
      <c r="K198" s="561">
        <v>-1.5810947604033332E-4</v>
      </c>
      <c r="L198" s="561">
        <v>0</v>
      </c>
      <c r="M198" s="561">
        <v>0</v>
      </c>
      <c r="N198" s="561">
        <v>0</v>
      </c>
      <c r="O198" s="399">
        <v>0</v>
      </c>
      <c r="P198" s="25">
        <v>0</v>
      </c>
      <c r="Q198" s="417">
        <v>0</v>
      </c>
      <c r="R198" s="399">
        <v>0</v>
      </c>
      <c r="S198" s="25">
        <v>0</v>
      </c>
      <c r="T198" s="417">
        <v>0</v>
      </c>
      <c r="U198" s="399">
        <v>0</v>
      </c>
      <c r="V198" s="25">
        <v>0</v>
      </c>
      <c r="W198" s="417">
        <v>0</v>
      </c>
      <c r="X198" s="399">
        <v>0</v>
      </c>
      <c r="Y198" s="25">
        <v>0</v>
      </c>
      <c r="Z198" s="417">
        <v>0.284095924781266</v>
      </c>
      <c r="AA198" s="555"/>
      <c r="AB198" s="27"/>
      <c r="AC198" s="411"/>
    </row>
    <row r="199" spans="1:29">
      <c r="B199" s="1223"/>
      <c r="D199" s="1025"/>
      <c r="E199" s="1026" t="s">
        <v>443</v>
      </c>
      <c r="F199" s="601">
        <v>1.22</v>
      </c>
      <c r="G199" s="49">
        <v>1.355</v>
      </c>
      <c r="H199" s="559">
        <v>0.15790657718117845</v>
      </c>
      <c r="I199" s="560">
        <v>1.8009999999999999</v>
      </c>
      <c r="J199" s="48">
        <v>2.2509999999999999</v>
      </c>
      <c r="K199" s="561">
        <v>0.18992028441839756</v>
      </c>
      <c r="L199" s="561">
        <v>2.6869999999999998</v>
      </c>
      <c r="M199" s="561">
        <v>3.4</v>
      </c>
      <c r="N199" s="561">
        <v>0.31187420969924479</v>
      </c>
      <c r="O199" s="399">
        <v>0</v>
      </c>
      <c r="P199" s="25">
        <v>0</v>
      </c>
      <c r="Q199" s="417">
        <v>0.19810095733286753</v>
      </c>
      <c r="R199" s="399">
        <v>5.2709999999999999</v>
      </c>
      <c r="S199" s="25">
        <v>6.43</v>
      </c>
      <c r="T199" s="417">
        <v>0.55163377227673172</v>
      </c>
      <c r="U199" s="399">
        <v>5.7960000000000003</v>
      </c>
      <c r="V199" s="25">
        <v>8.1939999999999991</v>
      </c>
      <c r="W199" s="417">
        <v>0.89918686141735349</v>
      </c>
      <c r="X199" s="399">
        <v>0</v>
      </c>
      <c r="Y199" s="25">
        <v>0</v>
      </c>
      <c r="Z199" s="417">
        <v>4.0002109897392217E-3</v>
      </c>
      <c r="AA199" s="555"/>
      <c r="AB199" s="27"/>
      <c r="AC199" s="411"/>
    </row>
    <row r="200" spans="1:29" customFormat="1" ht="14.5">
      <c r="A200" s="2"/>
      <c r="B200" s="1223"/>
      <c r="C200" s="2"/>
      <c r="D200" s="1025"/>
      <c r="E200" s="1026" t="s">
        <v>444</v>
      </c>
      <c r="F200" s="601">
        <v>0</v>
      </c>
      <c r="G200" s="49">
        <v>0</v>
      </c>
      <c r="H200" s="559">
        <v>3.4375231792985795E-3</v>
      </c>
      <c r="I200" s="560">
        <v>2.7189999999999999</v>
      </c>
      <c r="J200" s="48">
        <v>3.1080000000000001</v>
      </c>
      <c r="K200" s="561">
        <v>0.35843639807940009</v>
      </c>
      <c r="L200" s="561">
        <v>0</v>
      </c>
      <c r="M200" s="561">
        <v>0</v>
      </c>
      <c r="N200" s="561">
        <v>8.4833624339779121E-3</v>
      </c>
      <c r="O200" s="399">
        <v>0</v>
      </c>
      <c r="P200" s="25">
        <v>0</v>
      </c>
      <c r="Q200" s="417">
        <v>1.2553462957230078E-3</v>
      </c>
      <c r="R200" s="399">
        <v>0</v>
      </c>
      <c r="S200" s="25">
        <v>0</v>
      </c>
      <c r="T200" s="417">
        <v>0</v>
      </c>
      <c r="U200" s="399">
        <v>0</v>
      </c>
      <c r="V200" s="25">
        <v>0</v>
      </c>
      <c r="W200" s="417">
        <v>0</v>
      </c>
      <c r="X200" s="399">
        <v>1.9329999999999998</v>
      </c>
      <c r="Y200" s="25">
        <v>2.1219999999999999</v>
      </c>
      <c r="Z200" s="417">
        <v>0.31162566790097723</v>
      </c>
      <c r="AA200" s="555"/>
      <c r="AB200" s="27"/>
      <c r="AC200" s="411"/>
    </row>
    <row r="201" spans="1:29" customFormat="1" ht="14.5">
      <c r="A201" s="2"/>
      <c r="B201" s="1223"/>
      <c r="C201" s="2"/>
      <c r="D201" s="1025"/>
      <c r="E201" s="1026" t="s">
        <v>445</v>
      </c>
      <c r="F201" s="601">
        <v>0.92999999999999994</v>
      </c>
      <c r="G201" s="49">
        <v>1.1850000000000001</v>
      </c>
      <c r="H201" s="559">
        <v>0.10342946289578565</v>
      </c>
      <c r="I201" s="560">
        <v>1.607</v>
      </c>
      <c r="J201" s="48">
        <v>2.2410000000000001</v>
      </c>
      <c r="K201" s="561">
        <v>0.18434449876222678</v>
      </c>
      <c r="L201" s="561">
        <v>0</v>
      </c>
      <c r="M201" s="561">
        <v>0</v>
      </c>
      <c r="N201" s="561">
        <v>0</v>
      </c>
      <c r="O201" s="399">
        <v>0</v>
      </c>
      <c r="P201" s="25">
        <v>0</v>
      </c>
      <c r="Q201" s="417">
        <v>0</v>
      </c>
      <c r="R201" s="399">
        <v>0.73</v>
      </c>
      <c r="S201" s="25">
        <v>0.70200000000000007</v>
      </c>
      <c r="T201" s="417">
        <v>9.949438105515658E-2</v>
      </c>
      <c r="U201" s="399">
        <v>0</v>
      </c>
      <c r="V201" s="25">
        <v>0</v>
      </c>
      <c r="W201" s="417">
        <v>0</v>
      </c>
      <c r="X201" s="399">
        <v>0</v>
      </c>
      <c r="Y201" s="25">
        <v>0</v>
      </c>
      <c r="Z201" s="417">
        <v>0</v>
      </c>
      <c r="AA201" s="555"/>
      <c r="AB201" s="27"/>
      <c r="AC201" s="411"/>
    </row>
    <row r="202" spans="1:29" customFormat="1" ht="14.5">
      <c r="A202" s="2"/>
      <c r="B202" s="1223"/>
      <c r="C202" s="2"/>
      <c r="D202" s="1025"/>
      <c r="E202" s="1026" t="s">
        <v>446</v>
      </c>
      <c r="F202" s="601">
        <v>0.8</v>
      </c>
      <c r="G202" s="49">
        <v>0.87000000000000011</v>
      </c>
      <c r="H202" s="559">
        <v>0.66781632985161477</v>
      </c>
      <c r="I202" s="560">
        <v>4.0519999999999996</v>
      </c>
      <c r="J202" s="48">
        <v>3.5550000000000002</v>
      </c>
      <c r="K202" s="561">
        <v>0.19115754794242848</v>
      </c>
      <c r="L202" s="561">
        <v>0.88200000000000001</v>
      </c>
      <c r="M202" s="561">
        <v>1.06</v>
      </c>
      <c r="N202" s="561">
        <v>0.78428827185822148</v>
      </c>
      <c r="O202" s="399">
        <v>5.827</v>
      </c>
      <c r="P202" s="25">
        <v>7.0309999999999997</v>
      </c>
      <c r="Q202" s="417">
        <v>0.5938813047821615</v>
      </c>
      <c r="R202" s="399">
        <v>0.125</v>
      </c>
      <c r="S202" s="25">
        <v>0.16200000000000001</v>
      </c>
      <c r="T202" s="417">
        <v>2.670825179947884E-2</v>
      </c>
      <c r="U202" s="399">
        <v>2.6640000000000001</v>
      </c>
      <c r="V202" s="25">
        <v>3.09</v>
      </c>
      <c r="W202" s="417">
        <v>0.55964371600946494</v>
      </c>
      <c r="X202" s="399">
        <v>1.9119999999999999</v>
      </c>
      <c r="Y202" s="25">
        <v>3.327</v>
      </c>
      <c r="Z202" s="417">
        <v>0.73049726819472061</v>
      </c>
      <c r="AA202" s="555"/>
      <c r="AB202" s="27"/>
      <c r="AC202" s="411"/>
    </row>
    <row r="203" spans="1:29" customFormat="1" ht="14.5">
      <c r="A203" s="2"/>
      <c r="B203" s="1223"/>
      <c r="C203" s="2"/>
      <c r="D203" s="1025"/>
      <c r="E203" s="1026" t="s">
        <v>447</v>
      </c>
      <c r="F203" s="601">
        <v>0.84</v>
      </c>
      <c r="G203" s="49">
        <v>0</v>
      </c>
      <c r="H203" s="559">
        <v>5.5800125483473267E-2</v>
      </c>
      <c r="I203" s="560">
        <v>1.0510000000000002</v>
      </c>
      <c r="J203" s="48">
        <v>1.0510000000000002</v>
      </c>
      <c r="K203" s="561">
        <v>0.18677393208111948</v>
      </c>
      <c r="L203" s="561">
        <v>1.3149999999999999</v>
      </c>
      <c r="M203" s="561">
        <v>0</v>
      </c>
      <c r="N203" s="561">
        <v>0.1131088580907067</v>
      </c>
      <c r="O203" s="399">
        <v>0.98</v>
      </c>
      <c r="P203" s="25">
        <v>1.49</v>
      </c>
      <c r="Q203" s="417">
        <v>0.24759132609526893</v>
      </c>
      <c r="R203" s="399">
        <v>0</v>
      </c>
      <c r="S203" s="25">
        <v>0</v>
      </c>
      <c r="T203" s="417">
        <v>-4.0735088625028452E-3</v>
      </c>
      <c r="U203" s="399">
        <v>0</v>
      </c>
      <c r="V203" s="25">
        <v>0</v>
      </c>
      <c r="W203" s="417">
        <v>0.37630417002501992</v>
      </c>
      <c r="X203" s="399">
        <v>1.8319999999999999</v>
      </c>
      <c r="Y203" s="25">
        <v>2.657</v>
      </c>
      <c r="Z203" s="417">
        <v>8.4578672205597269E-2</v>
      </c>
      <c r="AA203" s="555"/>
      <c r="AB203" s="27"/>
      <c r="AC203" s="411"/>
    </row>
    <row r="204" spans="1:29" customFormat="1" ht="14.5">
      <c r="A204" s="2"/>
      <c r="B204" s="1223"/>
      <c r="C204" s="2"/>
      <c r="D204" s="1025"/>
      <c r="E204" s="1026" t="s">
        <v>448</v>
      </c>
      <c r="F204" s="601">
        <v>0</v>
      </c>
      <c r="G204" s="49">
        <v>0</v>
      </c>
      <c r="H204" s="559">
        <v>3.5050179311643566E-2</v>
      </c>
      <c r="I204" s="560">
        <v>0</v>
      </c>
      <c r="J204" s="48">
        <v>0</v>
      </c>
      <c r="K204" s="561">
        <v>8.6262063715855577E-4</v>
      </c>
      <c r="L204" s="561">
        <v>0</v>
      </c>
      <c r="M204" s="561">
        <v>0</v>
      </c>
      <c r="N204" s="561">
        <v>0</v>
      </c>
      <c r="O204" s="399">
        <v>0.504</v>
      </c>
      <c r="P204" s="25">
        <v>0.67899999999999994</v>
      </c>
      <c r="Q204" s="417">
        <v>0.14856948951141127</v>
      </c>
      <c r="R204" s="399">
        <v>1.05</v>
      </c>
      <c r="S204" s="25">
        <v>1.3199999999999998</v>
      </c>
      <c r="T204" s="417">
        <v>0.66594092529031856</v>
      </c>
      <c r="U204" s="399">
        <v>2.7709999999999999</v>
      </c>
      <c r="V204" s="25">
        <v>3.5450000000000004</v>
      </c>
      <c r="W204" s="417">
        <v>-3.5297150770376186E-2</v>
      </c>
      <c r="X204" s="399">
        <v>0</v>
      </c>
      <c r="Y204" s="25">
        <v>0</v>
      </c>
      <c r="Z204" s="417">
        <v>0.29434657679134762</v>
      </c>
      <c r="AA204" s="555"/>
      <c r="AB204" s="27"/>
      <c r="AC204" s="411"/>
    </row>
    <row r="205" spans="1:29" customFormat="1" ht="14.5">
      <c r="A205" s="2"/>
      <c r="B205" s="1223"/>
      <c r="C205" s="2"/>
      <c r="D205" s="1025" t="s">
        <v>263</v>
      </c>
      <c r="E205" s="1026" t="s">
        <v>449</v>
      </c>
      <c r="F205" s="601">
        <v>1.5050000000000001</v>
      </c>
      <c r="G205" s="49">
        <v>1.5050000000000001</v>
      </c>
      <c r="H205" s="559">
        <v>0.14064101463654957</v>
      </c>
      <c r="I205" s="560">
        <v>1.07</v>
      </c>
      <c r="J205" s="48">
        <v>0.96499999999999997</v>
      </c>
      <c r="K205" s="561">
        <v>0.22783298815291486</v>
      </c>
      <c r="L205" s="561">
        <v>0.27</v>
      </c>
      <c r="M205" s="561">
        <v>0.42499999999999999</v>
      </c>
      <c r="N205" s="561">
        <v>6.0752861526037795E-2</v>
      </c>
      <c r="O205" s="399">
        <v>0.57999999999999996</v>
      </c>
      <c r="P205" s="25">
        <v>0.8</v>
      </c>
      <c r="Q205" s="417">
        <v>8.5127391670012972E-2</v>
      </c>
      <c r="R205" s="399">
        <v>0</v>
      </c>
      <c r="S205" s="25">
        <v>0</v>
      </c>
      <c r="T205" s="417">
        <v>4.2229943588254918E-3</v>
      </c>
      <c r="U205" s="399">
        <v>1.175</v>
      </c>
      <c r="V205" s="25">
        <v>1.4550000000000001</v>
      </c>
      <c r="W205" s="417">
        <v>0.47364720876977107</v>
      </c>
      <c r="X205" s="399">
        <v>1.63</v>
      </c>
      <c r="Y205" s="25">
        <v>1.635</v>
      </c>
      <c r="Z205" s="417">
        <v>4.2506874229790284E-2</v>
      </c>
      <c r="AA205" s="555"/>
      <c r="AB205" s="27"/>
      <c r="AC205" s="411"/>
    </row>
    <row r="206" spans="1:29" customFormat="1" ht="14.5">
      <c r="A206" s="2"/>
      <c r="B206" s="1223"/>
      <c r="C206" s="2"/>
      <c r="D206" s="1025"/>
      <c r="E206" s="1026" t="s">
        <v>450</v>
      </c>
      <c r="F206" s="601">
        <v>1.1480000000000001</v>
      </c>
      <c r="G206" s="49">
        <v>1.1480000000000001</v>
      </c>
      <c r="H206" s="559">
        <v>9.8684283791897309E-2</v>
      </c>
      <c r="I206" s="560">
        <v>0.192</v>
      </c>
      <c r="J206" s="48">
        <v>0.192</v>
      </c>
      <c r="K206" s="561">
        <v>1.274645901227961E-2</v>
      </c>
      <c r="L206" s="561">
        <v>0</v>
      </c>
      <c r="M206" s="561">
        <v>0</v>
      </c>
      <c r="N206" s="561">
        <v>0.10844020171548299</v>
      </c>
      <c r="O206" s="399">
        <v>0.52</v>
      </c>
      <c r="P206" s="25">
        <v>0.54</v>
      </c>
      <c r="Q206" s="417">
        <v>9.6317685381888909E-2</v>
      </c>
      <c r="R206" s="399">
        <v>0.52</v>
      </c>
      <c r="S206" s="25">
        <v>0.78</v>
      </c>
      <c r="T206" s="417">
        <v>0.36096664311954657</v>
      </c>
      <c r="U206" s="399">
        <v>0</v>
      </c>
      <c r="V206" s="25">
        <v>0</v>
      </c>
      <c r="W206" s="417">
        <v>0.62949123675670615</v>
      </c>
      <c r="X206" s="399">
        <v>6.0949999999999998</v>
      </c>
      <c r="Y206" s="25">
        <v>0.99</v>
      </c>
      <c r="Z206" s="417">
        <v>0.22046724619502961</v>
      </c>
      <c r="AA206" s="555"/>
      <c r="AB206" s="27"/>
      <c r="AC206" s="411"/>
    </row>
    <row r="207" spans="1:29" customFormat="1" ht="14.5">
      <c r="A207" s="2"/>
      <c r="B207" s="1223"/>
      <c r="C207" s="2"/>
      <c r="D207" s="1025"/>
      <c r="E207" s="1026" t="s">
        <v>444</v>
      </c>
      <c r="F207" s="601">
        <v>1.17</v>
      </c>
      <c r="G207" s="49">
        <v>1.17</v>
      </c>
      <c r="H207" s="559">
        <v>0.170046734061744</v>
      </c>
      <c r="I207" s="560">
        <v>1.446</v>
      </c>
      <c r="J207" s="48">
        <v>1.446</v>
      </c>
      <c r="K207" s="561">
        <v>0.31325630465867699</v>
      </c>
      <c r="L207" s="561">
        <v>1.7549999999999999</v>
      </c>
      <c r="M207" s="561">
        <v>1.875</v>
      </c>
      <c r="N207" s="561">
        <v>0.62268928376620536</v>
      </c>
      <c r="O207" s="399">
        <v>1.56</v>
      </c>
      <c r="P207" s="25">
        <v>1.6970000000000001</v>
      </c>
      <c r="Q207" s="417">
        <v>0.44639705098904681</v>
      </c>
      <c r="R207" s="399">
        <v>1.39</v>
      </c>
      <c r="S207" s="25">
        <v>1.7449999999999999</v>
      </c>
      <c r="T207" s="417">
        <v>0.55058604684844925</v>
      </c>
      <c r="U207" s="399">
        <v>0</v>
      </c>
      <c r="V207" s="25">
        <v>0</v>
      </c>
      <c r="W207" s="417">
        <v>6.6161563986621402E-2</v>
      </c>
      <c r="X207" s="399">
        <v>3.7549999999999999</v>
      </c>
      <c r="Y207" s="25">
        <v>4.5999999999999996</v>
      </c>
      <c r="Z207" s="417">
        <v>0.72101736244162151</v>
      </c>
      <c r="AA207" s="555"/>
      <c r="AB207" s="27"/>
      <c r="AC207" s="411"/>
    </row>
    <row r="208" spans="1:29" customFormat="1" ht="14.5">
      <c r="A208" s="2"/>
      <c r="B208" s="1223"/>
      <c r="C208" s="2"/>
      <c r="D208" s="1025"/>
      <c r="E208" s="1026" t="s">
        <v>451</v>
      </c>
      <c r="F208" s="601">
        <v>0</v>
      </c>
      <c r="G208" s="49">
        <v>0</v>
      </c>
      <c r="H208" s="559">
        <v>0</v>
      </c>
      <c r="I208" s="560">
        <v>0.73</v>
      </c>
      <c r="J208" s="48">
        <v>0.73</v>
      </c>
      <c r="K208" s="561">
        <v>0.10188676428065692</v>
      </c>
      <c r="L208" s="561">
        <v>0</v>
      </c>
      <c r="M208" s="561">
        <v>0</v>
      </c>
      <c r="N208" s="561">
        <v>1.9276463189139639E-2</v>
      </c>
      <c r="O208" s="399">
        <v>0.32</v>
      </c>
      <c r="P208" s="25">
        <v>0.31</v>
      </c>
      <c r="Q208" s="417">
        <v>5.1458968587195356E-2</v>
      </c>
      <c r="R208" s="399">
        <v>0</v>
      </c>
      <c r="S208" s="25">
        <v>0</v>
      </c>
      <c r="T208" s="417">
        <v>9.2635728872265972E-3</v>
      </c>
      <c r="U208" s="399">
        <v>0</v>
      </c>
      <c r="V208" s="25">
        <v>0</v>
      </c>
      <c r="W208" s="417">
        <v>0</v>
      </c>
      <c r="X208" s="399">
        <v>0</v>
      </c>
      <c r="Y208" s="25">
        <v>0</v>
      </c>
      <c r="Z208" s="417">
        <v>5.0591992633712763E-4</v>
      </c>
      <c r="AA208" s="555"/>
      <c r="AB208" s="27"/>
      <c r="AC208" s="411"/>
    </row>
    <row r="209" spans="1:29" customFormat="1" ht="14.5">
      <c r="A209" s="2"/>
      <c r="B209" s="1223"/>
      <c r="C209" s="2"/>
      <c r="D209" s="1025"/>
      <c r="E209" s="1026" t="s">
        <v>452</v>
      </c>
      <c r="F209" s="601">
        <v>0.78</v>
      </c>
      <c r="G209" s="49">
        <v>0.78</v>
      </c>
      <c r="H209" s="559">
        <v>8.5702149928598911E-2</v>
      </c>
      <c r="I209" s="560">
        <v>0.86</v>
      </c>
      <c r="J209" s="48">
        <v>0.5</v>
      </c>
      <c r="K209" s="561">
        <v>0.14524759092933981</v>
      </c>
      <c r="L209" s="561">
        <v>0</v>
      </c>
      <c r="M209" s="561">
        <v>0</v>
      </c>
      <c r="N209" s="561">
        <v>2.9721785699943253E-2</v>
      </c>
      <c r="O209" s="399">
        <v>0</v>
      </c>
      <c r="P209" s="25">
        <v>0</v>
      </c>
      <c r="Q209" s="417">
        <v>2.6167500134245795E-2</v>
      </c>
      <c r="R209" s="399">
        <v>0</v>
      </c>
      <c r="S209" s="25">
        <v>0</v>
      </c>
      <c r="T209" s="417">
        <v>0.41933551282216752</v>
      </c>
      <c r="U209" s="399">
        <v>0</v>
      </c>
      <c r="V209" s="25">
        <v>0</v>
      </c>
      <c r="W209" s="417">
        <v>5.2352317028859556E-2</v>
      </c>
      <c r="X209" s="399">
        <v>0</v>
      </c>
      <c r="Y209" s="25">
        <v>0</v>
      </c>
      <c r="Z209" s="417">
        <v>6.3472705330905599E-2</v>
      </c>
      <c r="AA209" s="555"/>
      <c r="AB209" s="27"/>
      <c r="AC209" s="411"/>
    </row>
    <row r="210" spans="1:29" customFormat="1" ht="14.5">
      <c r="A210" s="2"/>
      <c r="B210" s="1223"/>
      <c r="C210" s="2"/>
      <c r="D210" s="1025"/>
      <c r="E210" s="1026" t="s">
        <v>453</v>
      </c>
      <c r="F210" s="601">
        <v>4.3090000000000002</v>
      </c>
      <c r="G210" s="49">
        <v>4.2640000000000002</v>
      </c>
      <c r="H210" s="559">
        <v>0.46468592644951834</v>
      </c>
      <c r="I210" s="560">
        <v>4.8629999999999995</v>
      </c>
      <c r="J210" s="48">
        <v>5.0430000000000001</v>
      </c>
      <c r="K210" s="561">
        <v>1.8254907288568551</v>
      </c>
      <c r="L210" s="561">
        <v>4.4399999999999995</v>
      </c>
      <c r="M210" s="561">
        <v>5.5449999999999999</v>
      </c>
      <c r="N210" s="561">
        <v>0.71731505132480688</v>
      </c>
      <c r="O210" s="399">
        <v>3.95</v>
      </c>
      <c r="P210" s="25">
        <v>4.2450000000000001</v>
      </c>
      <c r="Q210" s="417">
        <v>0.27918623009584881</v>
      </c>
      <c r="R210" s="399">
        <v>0.32500000000000001</v>
      </c>
      <c r="S210" s="25">
        <v>0.46800000000000003</v>
      </c>
      <c r="T210" s="417">
        <v>0.2889148744923794</v>
      </c>
      <c r="U210" s="399">
        <v>4.2050000000000001</v>
      </c>
      <c r="V210" s="25">
        <v>5.0150000000000006</v>
      </c>
      <c r="W210" s="417">
        <v>0.56931479934856377</v>
      </c>
      <c r="X210" s="399">
        <v>1.1200000000000001</v>
      </c>
      <c r="Y210" s="25">
        <v>1.7549999999999999</v>
      </c>
      <c r="Z210" s="417">
        <v>0.36475708488721714</v>
      </c>
      <c r="AA210" s="555"/>
      <c r="AB210" s="27"/>
      <c r="AC210" s="411"/>
    </row>
    <row r="211" spans="1:29" customFormat="1" ht="14.5">
      <c r="A211" s="2"/>
      <c r="B211" s="1223"/>
      <c r="C211" s="2"/>
      <c r="D211" s="1025"/>
      <c r="E211" s="1026" t="s">
        <v>454</v>
      </c>
      <c r="F211" s="601">
        <v>0.2</v>
      </c>
      <c r="G211" s="49">
        <v>0.2</v>
      </c>
      <c r="H211" s="559">
        <v>2.4217394353421094E-2</v>
      </c>
      <c r="I211" s="560">
        <v>0</v>
      </c>
      <c r="J211" s="48">
        <v>0</v>
      </c>
      <c r="K211" s="561">
        <v>0</v>
      </c>
      <c r="L211" s="561">
        <v>3.5300000000000002</v>
      </c>
      <c r="M211" s="561">
        <v>4.1849999999999996</v>
      </c>
      <c r="N211" s="561">
        <v>0.42790152556637129</v>
      </c>
      <c r="O211" s="399">
        <v>0</v>
      </c>
      <c r="P211" s="25">
        <v>0</v>
      </c>
      <c r="Q211" s="417">
        <v>4.9188818576621655E-2</v>
      </c>
      <c r="R211" s="399">
        <v>0.97</v>
      </c>
      <c r="S211" s="25">
        <v>0.88500000000000001</v>
      </c>
      <c r="T211" s="417">
        <v>0.26048555579850607</v>
      </c>
      <c r="U211" s="399">
        <v>0</v>
      </c>
      <c r="V211" s="25">
        <v>0</v>
      </c>
      <c r="W211" s="417">
        <v>8.7333121355908302E-2</v>
      </c>
      <c r="X211" s="399">
        <v>1.3900000000000001</v>
      </c>
      <c r="Y211" s="25">
        <v>2.415</v>
      </c>
      <c r="Z211" s="417">
        <v>9.0824576258961384E-2</v>
      </c>
      <c r="AA211" s="555"/>
      <c r="AB211" s="27"/>
      <c r="AC211" s="411"/>
    </row>
    <row r="212" spans="1:29" customFormat="1" ht="14.5">
      <c r="A212" s="2"/>
      <c r="B212" s="1223"/>
      <c r="C212" s="2"/>
      <c r="D212" s="1025" t="s">
        <v>264</v>
      </c>
      <c r="E212" s="1026" t="s">
        <v>455</v>
      </c>
      <c r="F212" s="601">
        <v>0.48100000000000004</v>
      </c>
      <c r="G212" s="49">
        <v>0.57500000000000007</v>
      </c>
      <c r="H212" s="559">
        <v>2.1626321745911291E-2</v>
      </c>
      <c r="I212" s="560">
        <v>0</v>
      </c>
      <c r="J212" s="48">
        <v>0</v>
      </c>
      <c r="K212" s="561">
        <v>4.432972212288646E-2</v>
      </c>
      <c r="L212" s="561">
        <v>0.25</v>
      </c>
      <c r="M212" s="561">
        <v>0.28000000000000003</v>
      </c>
      <c r="N212" s="561">
        <v>0.33502986956263575</v>
      </c>
      <c r="O212" s="399">
        <v>1.8</v>
      </c>
      <c r="P212" s="25">
        <v>2.6</v>
      </c>
      <c r="Q212" s="417">
        <v>4.920913179006222E-2</v>
      </c>
      <c r="R212" s="399">
        <v>0</v>
      </c>
      <c r="S212" s="25">
        <v>0</v>
      </c>
      <c r="T212" s="417">
        <v>1.9846529625697534E-2</v>
      </c>
      <c r="U212" s="399">
        <v>0</v>
      </c>
      <c r="V212" s="25">
        <v>0</v>
      </c>
      <c r="W212" s="417">
        <v>0.60761156143557959</v>
      </c>
      <c r="X212" s="399">
        <v>0</v>
      </c>
      <c r="Y212" s="25">
        <v>0</v>
      </c>
      <c r="Z212" s="417">
        <v>0.90724920125619857</v>
      </c>
      <c r="AA212" s="555"/>
      <c r="AB212" s="27"/>
      <c r="AC212" s="411"/>
    </row>
    <row r="213" spans="1:29" customFormat="1" ht="14.5">
      <c r="A213" s="2"/>
      <c r="B213" s="1223"/>
      <c r="C213" s="2"/>
      <c r="D213" s="1025"/>
      <c r="E213" s="1026" t="s">
        <v>454</v>
      </c>
      <c r="F213" s="601">
        <v>0</v>
      </c>
      <c r="G213" s="49">
        <v>0</v>
      </c>
      <c r="H213" s="559">
        <v>0</v>
      </c>
      <c r="I213" s="560">
        <v>0</v>
      </c>
      <c r="J213" s="48">
        <v>0</v>
      </c>
      <c r="K213" s="561">
        <v>2.1491522079946569E-2</v>
      </c>
      <c r="L213" s="561">
        <v>0</v>
      </c>
      <c r="M213" s="561">
        <v>0</v>
      </c>
      <c r="N213" s="561">
        <v>5.8323605216638276E-3</v>
      </c>
      <c r="O213" s="399">
        <v>0</v>
      </c>
      <c r="P213" s="25">
        <v>0</v>
      </c>
      <c r="Q213" s="417">
        <v>0.58941381896626555</v>
      </c>
      <c r="R213" s="399">
        <v>4.68</v>
      </c>
      <c r="S213" s="25">
        <v>5.2859999999999996</v>
      </c>
      <c r="T213" s="417">
        <v>0.24481080655314241</v>
      </c>
      <c r="U213" s="399">
        <v>0.83600000000000008</v>
      </c>
      <c r="V213" s="25">
        <v>1.3900000000000001</v>
      </c>
      <c r="W213" s="417">
        <v>6.0801772008817305E-2</v>
      </c>
      <c r="X213" s="399">
        <v>0</v>
      </c>
      <c r="Y213" s="25">
        <v>0</v>
      </c>
      <c r="Z213" s="417">
        <v>0.44788085998099858</v>
      </c>
      <c r="AA213" s="555"/>
      <c r="AB213" s="27"/>
      <c r="AC213" s="411"/>
    </row>
    <row r="214" spans="1:29" customFormat="1" ht="14.5">
      <c r="A214" s="2"/>
      <c r="B214" s="1223"/>
      <c r="C214" s="2"/>
      <c r="D214" s="1025"/>
      <c r="E214" s="1026" t="s">
        <v>450</v>
      </c>
      <c r="F214" s="601">
        <v>5</v>
      </c>
      <c r="G214" s="49">
        <v>5</v>
      </c>
      <c r="H214" s="559">
        <v>0.12056836693356264</v>
      </c>
      <c r="I214" s="560">
        <v>0.24</v>
      </c>
      <c r="J214" s="48">
        <v>0.24</v>
      </c>
      <c r="K214" s="561">
        <v>5.5149121367568513E-2</v>
      </c>
      <c r="L214" s="561">
        <v>0</v>
      </c>
      <c r="M214" s="561">
        <v>0</v>
      </c>
      <c r="N214" s="561">
        <v>3.5867434243586608E-4</v>
      </c>
      <c r="O214" s="399">
        <v>0</v>
      </c>
      <c r="P214" s="25">
        <v>0</v>
      </c>
      <c r="Q214" s="417">
        <v>6.0336821965802654E-3</v>
      </c>
      <c r="R214" s="399">
        <v>1.8879999999999999</v>
      </c>
      <c r="S214" s="25">
        <v>2.6630000000000003</v>
      </c>
      <c r="T214" s="417">
        <v>0.24606145315835226</v>
      </c>
      <c r="U214" s="399">
        <v>0</v>
      </c>
      <c r="V214" s="25">
        <v>0</v>
      </c>
      <c r="W214" s="417">
        <v>1.0705215150930432E-2</v>
      </c>
      <c r="X214" s="399">
        <v>0</v>
      </c>
      <c r="Y214" s="25">
        <v>0</v>
      </c>
      <c r="Z214" s="417">
        <v>1.0498977711156021E-2</v>
      </c>
      <c r="AA214" s="555"/>
      <c r="AB214" s="27"/>
      <c r="AC214" s="411"/>
    </row>
    <row r="215" spans="1:29" customFormat="1" ht="14.5">
      <c r="A215" s="2"/>
      <c r="B215" s="1223"/>
      <c r="C215" s="2"/>
      <c r="D215" s="1025"/>
      <c r="E215" s="1026" t="s">
        <v>456</v>
      </c>
      <c r="F215" s="601">
        <v>2.27</v>
      </c>
      <c r="G215" s="49">
        <v>2.27</v>
      </c>
      <c r="H215" s="559">
        <v>0.33320555877928371</v>
      </c>
      <c r="I215" s="560">
        <v>3.6100000000000003</v>
      </c>
      <c r="J215" s="48">
        <v>3.4050000000000002</v>
      </c>
      <c r="K215" s="561">
        <v>0.5816042247076999</v>
      </c>
      <c r="L215" s="561">
        <v>3.62</v>
      </c>
      <c r="M215" s="561">
        <v>3.3049999999999997</v>
      </c>
      <c r="N215" s="561">
        <v>0.40590835355777194</v>
      </c>
      <c r="O215" s="399">
        <v>2.58</v>
      </c>
      <c r="P215" s="25">
        <v>2.9</v>
      </c>
      <c r="Q215" s="417">
        <v>0.60274604483007443</v>
      </c>
      <c r="R215" s="399">
        <v>3.85</v>
      </c>
      <c r="S215" s="25">
        <v>4.17</v>
      </c>
      <c r="T215" s="417">
        <v>8.5933737238968078E-2</v>
      </c>
      <c r="U215" s="399">
        <v>0</v>
      </c>
      <c r="V215" s="25">
        <v>0</v>
      </c>
      <c r="W215" s="417">
        <v>6.3053397528122709E-3</v>
      </c>
      <c r="X215" s="399">
        <v>0</v>
      </c>
      <c r="Y215" s="25">
        <v>0</v>
      </c>
      <c r="Z215" s="417">
        <v>2.3533891807826224E-2</v>
      </c>
      <c r="AA215" s="555"/>
      <c r="AB215" s="27"/>
      <c r="AC215" s="411"/>
    </row>
    <row r="216" spans="1:29" customFormat="1" ht="14.5">
      <c r="A216" s="2"/>
      <c r="B216" s="1223"/>
      <c r="C216" s="2"/>
      <c r="D216" s="1025" t="s">
        <v>164</v>
      </c>
      <c r="E216" s="1026" t="s">
        <v>457</v>
      </c>
      <c r="F216" s="601">
        <v>5.2671999999999997E-2</v>
      </c>
      <c r="G216" s="49">
        <v>1.5997999999999998E-2</v>
      </c>
      <c r="H216" s="559">
        <v>-9.2712445987981493E-2</v>
      </c>
      <c r="I216" s="560">
        <v>0</v>
      </c>
      <c r="J216" s="48">
        <v>0</v>
      </c>
      <c r="K216" s="561">
        <v>-9.3233395725153975E-2</v>
      </c>
      <c r="L216" s="561">
        <v>0</v>
      </c>
      <c r="M216" s="561">
        <v>0</v>
      </c>
      <c r="N216" s="561">
        <v>0</v>
      </c>
      <c r="O216" s="399">
        <v>0</v>
      </c>
      <c r="P216" s="25">
        <v>0</v>
      </c>
      <c r="Q216" s="417">
        <v>0</v>
      </c>
      <c r="R216" s="399">
        <v>4.0370379999999981</v>
      </c>
      <c r="S216" s="25">
        <v>4.3404569999999989</v>
      </c>
      <c r="T216" s="417">
        <v>0.34625053196555994</v>
      </c>
      <c r="U216" s="399">
        <v>0</v>
      </c>
      <c r="V216" s="25">
        <v>9.3939999999999996E-2</v>
      </c>
      <c r="W216" s="417">
        <v>4.9791416305361449E-2</v>
      </c>
      <c r="X216" s="399">
        <v>0</v>
      </c>
      <c r="Y216" s="25">
        <v>0</v>
      </c>
      <c r="Z216" s="417">
        <v>6.7772428884000004E-3</v>
      </c>
      <c r="AA216" s="555"/>
      <c r="AB216" s="27"/>
      <c r="AC216" s="411"/>
    </row>
    <row r="217" spans="1:29" customFormat="1" ht="14.5">
      <c r="A217" s="2"/>
      <c r="B217" s="1223"/>
      <c r="C217" s="2"/>
      <c r="D217" s="1025"/>
      <c r="E217" s="1026" t="s">
        <v>458</v>
      </c>
      <c r="F217" s="601">
        <v>0.75934999999999997</v>
      </c>
      <c r="G217" s="49">
        <v>1.1001960000000002</v>
      </c>
      <c r="H217" s="559">
        <v>8.0598659384118448E-2</v>
      </c>
      <c r="I217" s="560">
        <v>1.5338459999999998</v>
      </c>
      <c r="J217" s="48">
        <v>1.821023042</v>
      </c>
      <c r="K217" s="561">
        <v>0.32220710059171598</v>
      </c>
      <c r="L217" s="561">
        <v>0</v>
      </c>
      <c r="M217" s="561">
        <v>0</v>
      </c>
      <c r="N217" s="561">
        <v>0</v>
      </c>
      <c r="O217" s="399">
        <v>0</v>
      </c>
      <c r="P217" s="25">
        <v>0</v>
      </c>
      <c r="Q217" s="417">
        <v>0</v>
      </c>
      <c r="R217" s="399">
        <v>0</v>
      </c>
      <c r="S217" s="25">
        <v>0</v>
      </c>
      <c r="T217" s="417">
        <v>5.0744527507615568E-4</v>
      </c>
      <c r="U217" s="399">
        <v>0</v>
      </c>
      <c r="V217" s="25">
        <v>0</v>
      </c>
      <c r="W217" s="417">
        <v>2.2608186032369783E-2</v>
      </c>
      <c r="X217" s="399">
        <v>0</v>
      </c>
      <c r="Y217" s="25">
        <v>0</v>
      </c>
      <c r="Z217" s="417">
        <v>7.9030342894999984E-3</v>
      </c>
      <c r="AA217" s="555"/>
      <c r="AB217" s="27"/>
      <c r="AC217" s="411"/>
    </row>
    <row r="218" spans="1:29" customFormat="1" ht="14.5">
      <c r="A218" s="2"/>
      <c r="B218" s="1223"/>
      <c r="C218" s="2"/>
      <c r="D218" s="1025"/>
      <c r="E218" s="1026" t="s">
        <v>459</v>
      </c>
      <c r="F218" s="601">
        <v>1.826298</v>
      </c>
      <c r="G218" s="49">
        <v>1.1178349999999999</v>
      </c>
      <c r="H218" s="559">
        <v>8.5036383189494025E-2</v>
      </c>
      <c r="I218" s="560">
        <v>0</v>
      </c>
      <c r="J218" s="48">
        <v>0.18185000000000001</v>
      </c>
      <c r="K218" s="561">
        <v>8.3252490641226917E-2</v>
      </c>
      <c r="L218" s="561">
        <v>0</v>
      </c>
      <c r="M218" s="561">
        <v>0</v>
      </c>
      <c r="N218" s="561">
        <v>0</v>
      </c>
      <c r="O218" s="399">
        <v>0</v>
      </c>
      <c r="P218" s="25">
        <v>0</v>
      </c>
      <c r="Q218" s="417">
        <v>0</v>
      </c>
      <c r="R218" s="399">
        <v>0</v>
      </c>
      <c r="S218" s="25">
        <v>0</v>
      </c>
      <c r="T218" s="417">
        <v>0</v>
      </c>
      <c r="U218" s="399">
        <v>0</v>
      </c>
      <c r="V218" s="25">
        <v>0</v>
      </c>
      <c r="W218" s="417">
        <v>0</v>
      </c>
      <c r="X218" s="399">
        <v>0</v>
      </c>
      <c r="Y218" s="25">
        <v>0</v>
      </c>
      <c r="Z218" s="417">
        <v>0</v>
      </c>
      <c r="AA218" s="555"/>
      <c r="AB218" s="27"/>
      <c r="AC218" s="411"/>
    </row>
    <row r="219" spans="1:29" customFormat="1" ht="24">
      <c r="A219" s="2"/>
      <c r="B219" s="1223"/>
      <c r="C219" s="2"/>
      <c r="D219" s="1025"/>
      <c r="E219" s="1026" t="s">
        <v>460</v>
      </c>
      <c r="F219" s="601">
        <v>0.64147799999999999</v>
      </c>
      <c r="G219" s="49">
        <v>0.82773499999999989</v>
      </c>
      <c r="H219" s="559">
        <v>0.32515322260468027</v>
      </c>
      <c r="I219" s="560">
        <v>0.41648499999999994</v>
      </c>
      <c r="J219" s="48">
        <v>0.45874100000000007</v>
      </c>
      <c r="K219" s="561">
        <v>0.31927154027291399</v>
      </c>
      <c r="L219" s="561">
        <v>0</v>
      </c>
      <c r="M219" s="561">
        <v>0</v>
      </c>
      <c r="N219" s="561">
        <v>0</v>
      </c>
      <c r="O219" s="399">
        <v>0</v>
      </c>
      <c r="P219" s="25">
        <v>0</v>
      </c>
      <c r="Q219" s="417">
        <v>0</v>
      </c>
      <c r="R219" s="399">
        <v>0</v>
      </c>
      <c r="S219" s="25">
        <v>0</v>
      </c>
      <c r="T219" s="417">
        <v>0</v>
      </c>
      <c r="U219" s="399">
        <v>0</v>
      </c>
      <c r="V219" s="25">
        <v>0</v>
      </c>
      <c r="W219" s="417">
        <v>0</v>
      </c>
      <c r="X219" s="399">
        <v>0</v>
      </c>
      <c r="Y219" s="25">
        <v>0</v>
      </c>
      <c r="Z219" s="417">
        <v>0</v>
      </c>
      <c r="AA219" s="555"/>
      <c r="AB219" s="27"/>
      <c r="AC219" s="411"/>
    </row>
    <row r="220" spans="1:29" customFormat="1" ht="14.5">
      <c r="A220" s="2"/>
      <c r="B220" s="1223"/>
      <c r="C220" s="2"/>
      <c r="D220" s="1025"/>
      <c r="E220" s="1026" t="s">
        <v>461</v>
      </c>
      <c r="F220" s="601">
        <v>0</v>
      </c>
      <c r="G220" s="49">
        <v>0</v>
      </c>
      <c r="H220" s="559">
        <v>0.37888566219409259</v>
      </c>
      <c r="I220" s="560">
        <v>0</v>
      </c>
      <c r="J220" s="48">
        <v>1.882215</v>
      </c>
      <c r="K220" s="561">
        <v>0.3676495743267722</v>
      </c>
      <c r="L220" s="561">
        <v>0</v>
      </c>
      <c r="M220" s="561">
        <v>0</v>
      </c>
      <c r="N220" s="561">
        <v>0</v>
      </c>
      <c r="O220" s="399">
        <v>0</v>
      </c>
      <c r="P220" s="25">
        <v>0</v>
      </c>
      <c r="Q220" s="417">
        <v>1.2081409631920033E-3</v>
      </c>
      <c r="R220" s="399">
        <v>0</v>
      </c>
      <c r="S220" s="25">
        <v>0</v>
      </c>
      <c r="T220" s="417">
        <v>0</v>
      </c>
      <c r="U220" s="399">
        <v>0</v>
      </c>
      <c r="V220" s="25">
        <v>0</v>
      </c>
      <c r="W220" s="417">
        <v>0</v>
      </c>
      <c r="X220" s="399">
        <v>0</v>
      </c>
      <c r="Y220" s="25">
        <v>0</v>
      </c>
      <c r="Z220" s="417">
        <v>0</v>
      </c>
      <c r="AA220" s="555"/>
      <c r="AB220" s="27"/>
      <c r="AC220" s="411"/>
    </row>
    <row r="221" spans="1:29" customFormat="1" ht="14.5">
      <c r="A221" s="2"/>
      <c r="B221" s="1223"/>
      <c r="C221" s="2"/>
      <c r="D221" s="1025"/>
      <c r="E221" s="1026" t="s">
        <v>462</v>
      </c>
      <c r="F221" s="601">
        <v>1.3760590000000001</v>
      </c>
      <c r="G221" s="49">
        <v>1.9676269999999998</v>
      </c>
      <c r="H221" s="559">
        <v>5.2892870220827733E-2</v>
      </c>
      <c r="I221" s="560">
        <v>1.3427049999999998</v>
      </c>
      <c r="J221" s="48">
        <v>2.0990090000000001</v>
      </c>
      <c r="K221" s="561">
        <v>0.34651354003139723</v>
      </c>
      <c r="L221" s="561">
        <v>0</v>
      </c>
      <c r="M221" s="561">
        <v>0</v>
      </c>
      <c r="N221" s="561">
        <v>0</v>
      </c>
      <c r="O221" s="399">
        <v>0.35079300000000002</v>
      </c>
      <c r="P221" s="25">
        <v>0</v>
      </c>
      <c r="Q221" s="417">
        <v>0</v>
      </c>
      <c r="R221" s="399">
        <v>1.6637419999999996</v>
      </c>
      <c r="S221" s="25">
        <v>1.6277630000000003</v>
      </c>
      <c r="T221" s="417">
        <v>0.18456427120221444</v>
      </c>
      <c r="U221" s="399">
        <v>0</v>
      </c>
      <c r="V221" s="25">
        <v>0</v>
      </c>
      <c r="W221" s="417">
        <v>3.0304818069701229E-3</v>
      </c>
      <c r="X221" s="399">
        <v>6.2429999999999999E-2</v>
      </c>
      <c r="Y221" s="25">
        <v>0</v>
      </c>
      <c r="Z221" s="417">
        <v>0</v>
      </c>
      <c r="AA221" s="555"/>
      <c r="AB221" s="27"/>
      <c r="AC221" s="411"/>
    </row>
    <row r="222" spans="1:29" customFormat="1" ht="14.5">
      <c r="A222" s="2"/>
      <c r="B222" s="1223"/>
      <c r="C222" s="2"/>
      <c r="D222" s="1025" t="s">
        <v>165</v>
      </c>
      <c r="E222" s="1026" t="s">
        <v>456</v>
      </c>
      <c r="F222" s="601">
        <v>0</v>
      </c>
      <c r="G222" s="49">
        <v>0</v>
      </c>
      <c r="H222" s="559">
        <v>-1.1753971160183941E-2</v>
      </c>
      <c r="I222" s="560">
        <v>0</v>
      </c>
      <c r="J222" s="48">
        <v>0.28911100000000001</v>
      </c>
      <c r="K222" s="561">
        <v>1.5264913657770803E-2</v>
      </c>
      <c r="L222" s="561">
        <v>1.092980523</v>
      </c>
      <c r="M222" s="561">
        <v>1.4685116000000002E-2</v>
      </c>
      <c r="N222" s="561">
        <v>0</v>
      </c>
      <c r="O222" s="399">
        <v>0</v>
      </c>
      <c r="P222" s="25">
        <v>0</v>
      </c>
      <c r="Q222" s="417">
        <v>0</v>
      </c>
      <c r="R222" s="399">
        <v>3.2819039999999999</v>
      </c>
      <c r="S222" s="25">
        <v>3.304386</v>
      </c>
      <c r="T222" s="417">
        <v>0.29025399714501321</v>
      </c>
      <c r="U222" s="399">
        <v>0</v>
      </c>
      <c r="V222" s="25">
        <v>2.7519999999999999E-2</v>
      </c>
      <c r="W222" s="417">
        <v>2.2560020964506691E-3</v>
      </c>
      <c r="X222" s="399">
        <v>0</v>
      </c>
      <c r="Y222" s="25">
        <v>1.2489999999999999E-2</v>
      </c>
      <c r="Z222" s="417">
        <v>6.5223531196999945E-3</v>
      </c>
      <c r="AA222" s="555"/>
      <c r="AB222" s="27"/>
      <c r="AC222" s="411"/>
    </row>
    <row r="223" spans="1:29" customFormat="1" ht="24">
      <c r="A223" s="2"/>
      <c r="B223" s="1223"/>
      <c r="C223" s="2"/>
      <c r="D223" s="1025"/>
      <c r="E223" s="1026" t="s">
        <v>463</v>
      </c>
      <c r="F223" s="601">
        <v>4.1606329999999989</v>
      </c>
      <c r="G223" s="49">
        <v>0</v>
      </c>
      <c r="H223" s="559">
        <v>3.190363600621355E-2</v>
      </c>
      <c r="I223" s="560">
        <v>0</v>
      </c>
      <c r="J223" s="48">
        <v>0</v>
      </c>
      <c r="K223" s="561">
        <v>3.1234361792054102E-2</v>
      </c>
      <c r="L223" s="561">
        <v>0</v>
      </c>
      <c r="M223" s="561">
        <v>0</v>
      </c>
      <c r="N223" s="561">
        <v>0</v>
      </c>
      <c r="O223" s="399">
        <v>0</v>
      </c>
      <c r="P223" s="25">
        <v>0</v>
      </c>
      <c r="Q223" s="417">
        <v>1.0214282688805117E-2</v>
      </c>
      <c r="R223" s="399">
        <v>0</v>
      </c>
      <c r="S223" s="25">
        <v>0</v>
      </c>
      <c r="T223" s="417">
        <v>0.12961336734049586</v>
      </c>
      <c r="U223" s="399">
        <v>0.37509000000000003</v>
      </c>
      <c r="V223" s="25">
        <v>0.29813999999999996</v>
      </c>
      <c r="W223" s="417">
        <v>0.27440281236414832</v>
      </c>
      <c r="X223" s="399">
        <v>0.81237000000000004</v>
      </c>
      <c r="Y223" s="25">
        <v>0</v>
      </c>
      <c r="Z223" s="417">
        <v>3.8911132874300002E-2</v>
      </c>
      <c r="AA223" s="555"/>
      <c r="AB223" s="27"/>
      <c r="AC223" s="411"/>
    </row>
    <row r="224" spans="1:29" customFormat="1" ht="14.5">
      <c r="A224" s="2"/>
      <c r="B224" s="1223"/>
      <c r="C224" s="2"/>
      <c r="D224" s="1025" t="s">
        <v>464</v>
      </c>
      <c r="E224" s="1026" t="s">
        <v>465</v>
      </c>
      <c r="F224" s="601">
        <v>0</v>
      </c>
      <c r="G224" s="49">
        <v>0</v>
      </c>
      <c r="H224" s="559">
        <v>0</v>
      </c>
      <c r="I224" s="560">
        <v>0</v>
      </c>
      <c r="J224" s="48">
        <v>0</v>
      </c>
      <c r="K224" s="561">
        <v>0</v>
      </c>
      <c r="L224" s="561">
        <v>0</v>
      </c>
      <c r="M224" s="561">
        <v>0</v>
      </c>
      <c r="N224" s="561">
        <v>0</v>
      </c>
      <c r="O224" s="399">
        <v>0</v>
      </c>
      <c r="P224" s="25">
        <v>0</v>
      </c>
      <c r="Q224" s="417">
        <v>0</v>
      </c>
      <c r="R224" s="399">
        <v>0</v>
      </c>
      <c r="S224" s="25">
        <v>0</v>
      </c>
      <c r="T224" s="417">
        <v>0</v>
      </c>
      <c r="U224" s="399">
        <v>0</v>
      </c>
      <c r="V224" s="25">
        <v>0</v>
      </c>
      <c r="W224" s="417">
        <v>0</v>
      </c>
      <c r="X224" s="399">
        <v>0.48260000000000003</v>
      </c>
      <c r="Y224" s="25">
        <v>1.0101499999999999</v>
      </c>
      <c r="Z224" s="417">
        <v>8.0000171587900001E-2</v>
      </c>
      <c r="AA224" s="555"/>
      <c r="AB224" s="27"/>
      <c r="AC224" s="411"/>
    </row>
    <row r="225" spans="1:29" customFormat="1" ht="14.5">
      <c r="A225" s="2"/>
      <c r="B225" s="1223"/>
      <c r="C225" s="2"/>
      <c r="D225" s="1025"/>
      <c r="E225" s="1026" t="s">
        <v>466</v>
      </c>
      <c r="F225" s="601">
        <v>0</v>
      </c>
      <c r="G225" s="49">
        <v>0</v>
      </c>
      <c r="H225" s="559">
        <v>0</v>
      </c>
      <c r="I225" s="560">
        <v>0</v>
      </c>
      <c r="J225" s="48">
        <v>0</v>
      </c>
      <c r="K225" s="561">
        <v>0</v>
      </c>
      <c r="L225" s="561">
        <v>0</v>
      </c>
      <c r="M225" s="561">
        <v>0</v>
      </c>
      <c r="N225" s="561">
        <v>0</v>
      </c>
      <c r="O225" s="399">
        <v>0</v>
      </c>
      <c r="P225" s="25">
        <v>0</v>
      </c>
      <c r="Q225" s="417">
        <v>0</v>
      </c>
      <c r="R225" s="399">
        <v>0</v>
      </c>
      <c r="S225" s="25">
        <v>0</v>
      </c>
      <c r="T225" s="417">
        <v>0</v>
      </c>
      <c r="U225" s="399">
        <v>0</v>
      </c>
      <c r="V225" s="25">
        <v>0</v>
      </c>
      <c r="W225" s="417">
        <v>0</v>
      </c>
      <c r="X225" s="399">
        <v>0</v>
      </c>
      <c r="Y225" s="25">
        <v>0</v>
      </c>
      <c r="Z225" s="417">
        <v>9.797325563119999E-2</v>
      </c>
      <c r="AA225" s="555"/>
      <c r="AB225" s="27"/>
      <c r="AC225" s="411"/>
    </row>
    <row r="226" spans="1:29" customFormat="1" ht="24">
      <c r="A226" s="2"/>
      <c r="B226" s="1223"/>
      <c r="C226" s="2"/>
      <c r="D226" s="1025"/>
      <c r="E226" s="1026" t="s">
        <v>467</v>
      </c>
      <c r="F226" s="601">
        <v>0</v>
      </c>
      <c r="G226" s="49">
        <v>0</v>
      </c>
      <c r="H226" s="559">
        <v>0</v>
      </c>
      <c r="I226" s="560">
        <v>1.171771696</v>
      </c>
      <c r="J226" s="48">
        <v>1.174857</v>
      </c>
      <c r="K226" s="561">
        <v>8.54835164835165E-2</v>
      </c>
      <c r="L226" s="561">
        <v>0.11323900000000001</v>
      </c>
      <c r="M226" s="561">
        <v>0</v>
      </c>
      <c r="N226" s="561">
        <v>0.20102003579379282</v>
      </c>
      <c r="O226" s="399">
        <v>0.11675199999999999</v>
      </c>
      <c r="P226" s="25">
        <v>0.12409298299999999</v>
      </c>
      <c r="Q226" s="417">
        <v>1.4937015544919314E-2</v>
      </c>
      <c r="R226" s="399">
        <v>0</v>
      </c>
      <c r="S226" s="25">
        <v>0</v>
      </c>
      <c r="T226" s="417">
        <v>1.945557974096518E-4</v>
      </c>
      <c r="U226" s="399">
        <v>0</v>
      </c>
      <c r="V226" s="25">
        <v>0</v>
      </c>
      <c r="W226" s="417">
        <v>0</v>
      </c>
      <c r="X226" s="399">
        <v>0.43913000000000002</v>
      </c>
      <c r="Y226" s="25">
        <v>0.45635000000000003</v>
      </c>
      <c r="Z226" s="417">
        <v>0.19023941725229998</v>
      </c>
      <c r="AA226" s="555"/>
      <c r="AB226" s="27"/>
      <c r="AC226" s="411"/>
    </row>
    <row r="227" spans="1:29" customFormat="1" ht="14.5">
      <c r="A227" s="2"/>
      <c r="B227" s="1223"/>
      <c r="C227" s="2"/>
      <c r="D227" s="1025"/>
      <c r="E227" s="1026" t="s">
        <v>468</v>
      </c>
      <c r="F227" s="601">
        <v>0</v>
      </c>
      <c r="G227" s="49">
        <v>0</v>
      </c>
      <c r="H227" s="559">
        <v>0</v>
      </c>
      <c r="I227" s="560">
        <v>0</v>
      </c>
      <c r="J227" s="48">
        <v>0</v>
      </c>
      <c r="K227" s="561">
        <v>0</v>
      </c>
      <c r="L227" s="561">
        <v>0</v>
      </c>
      <c r="M227" s="561">
        <v>0</v>
      </c>
      <c r="N227" s="561">
        <v>0</v>
      </c>
      <c r="O227" s="399">
        <v>0</v>
      </c>
      <c r="P227" s="25">
        <v>0</v>
      </c>
      <c r="Q227" s="417">
        <v>0</v>
      </c>
      <c r="R227" s="399">
        <v>0</v>
      </c>
      <c r="S227" s="25">
        <v>0</v>
      </c>
      <c r="T227" s="417">
        <v>0</v>
      </c>
      <c r="U227" s="399">
        <v>0</v>
      </c>
      <c r="V227" s="25">
        <v>0</v>
      </c>
      <c r="W227" s="417">
        <v>1.1262088549171052E-5</v>
      </c>
      <c r="X227" s="399">
        <v>0.53830999999999996</v>
      </c>
      <c r="Y227" s="25">
        <v>0.77652999999999994</v>
      </c>
      <c r="Z227" s="417">
        <v>7.720565648439999E-2</v>
      </c>
      <c r="AA227" s="555"/>
      <c r="AB227" s="27"/>
      <c r="AC227" s="411"/>
    </row>
    <row r="228" spans="1:29" customFormat="1" ht="14.5">
      <c r="A228" s="2"/>
      <c r="B228" s="1223"/>
      <c r="C228" s="2"/>
      <c r="D228" s="1025" t="s">
        <v>469</v>
      </c>
      <c r="E228" s="1026" t="s">
        <v>470</v>
      </c>
      <c r="F228" s="601">
        <v>0</v>
      </c>
      <c r="G228" s="49">
        <v>0</v>
      </c>
      <c r="H228" s="559">
        <v>0</v>
      </c>
      <c r="I228" s="560">
        <v>0</v>
      </c>
      <c r="J228" s="48">
        <v>0</v>
      </c>
      <c r="K228" s="561">
        <v>0</v>
      </c>
      <c r="L228" s="561">
        <v>0</v>
      </c>
      <c r="M228" s="561">
        <v>0</v>
      </c>
      <c r="N228" s="561">
        <v>0</v>
      </c>
      <c r="O228" s="399">
        <v>0</v>
      </c>
      <c r="P228" s="25">
        <v>0</v>
      </c>
      <c r="Q228" s="417">
        <v>0</v>
      </c>
      <c r="R228" s="399">
        <v>0</v>
      </c>
      <c r="S228" s="25">
        <v>0</v>
      </c>
      <c r="T228" s="417">
        <v>0</v>
      </c>
      <c r="U228" s="399">
        <v>0</v>
      </c>
      <c r="V228" s="25">
        <v>0</v>
      </c>
      <c r="W228" s="417">
        <v>0</v>
      </c>
      <c r="X228" s="399">
        <v>0</v>
      </c>
      <c r="Y228" s="25">
        <v>0</v>
      </c>
      <c r="Z228" s="417">
        <v>0</v>
      </c>
      <c r="AA228" s="555"/>
      <c r="AB228" s="27"/>
      <c r="AC228" s="411"/>
    </row>
    <row r="229" spans="1:29" customFormat="1" ht="14.5">
      <c r="A229" s="2"/>
      <c r="B229" s="1223"/>
      <c r="C229" s="2"/>
      <c r="D229" s="1025"/>
      <c r="E229" s="1026" t="s">
        <v>471</v>
      </c>
      <c r="F229" s="601">
        <v>0</v>
      </c>
      <c r="G229" s="49">
        <v>0</v>
      </c>
      <c r="H229" s="559">
        <v>0</v>
      </c>
      <c r="I229" s="560">
        <v>0</v>
      </c>
      <c r="J229" s="48">
        <v>0</v>
      </c>
      <c r="K229" s="561">
        <v>0</v>
      </c>
      <c r="L229" s="561">
        <v>0</v>
      </c>
      <c r="M229" s="561">
        <v>0</v>
      </c>
      <c r="N229" s="561">
        <v>0</v>
      </c>
      <c r="O229" s="399">
        <v>0</v>
      </c>
      <c r="P229" s="25">
        <v>0</v>
      </c>
      <c r="Q229" s="417">
        <v>0.14245080266000254</v>
      </c>
      <c r="R229" s="399">
        <v>0</v>
      </c>
      <c r="S229" s="25">
        <v>0</v>
      </c>
      <c r="T229" s="417">
        <v>0.24514771262292367</v>
      </c>
      <c r="U229" s="399">
        <v>3.1866500000000002</v>
      </c>
      <c r="V229" s="25">
        <v>3.1528439999999995</v>
      </c>
      <c r="W229" s="417">
        <v>0.1611548911242579</v>
      </c>
      <c r="X229" s="399">
        <v>0</v>
      </c>
      <c r="Y229" s="25">
        <v>2.768E-2</v>
      </c>
      <c r="Z229" s="417">
        <v>0.13021227012869999</v>
      </c>
      <c r="AA229" s="555"/>
      <c r="AB229" s="27"/>
      <c r="AC229" s="411"/>
    </row>
    <row r="230" spans="1:29" customFormat="1" ht="14.5">
      <c r="A230" s="2"/>
      <c r="B230" s="1223"/>
      <c r="C230" s="2"/>
      <c r="D230" s="1025"/>
      <c r="E230" s="1026" t="s">
        <v>472</v>
      </c>
      <c r="F230" s="601">
        <v>0</v>
      </c>
      <c r="G230" s="49">
        <v>0</v>
      </c>
      <c r="H230" s="559">
        <v>0</v>
      </c>
      <c r="I230" s="560">
        <v>0</v>
      </c>
      <c r="J230" s="48">
        <v>0</v>
      </c>
      <c r="K230" s="561">
        <v>0</v>
      </c>
      <c r="L230" s="561">
        <v>0</v>
      </c>
      <c r="M230" s="561">
        <v>0</v>
      </c>
      <c r="N230" s="561">
        <v>0</v>
      </c>
      <c r="O230" s="399">
        <v>0</v>
      </c>
      <c r="P230" s="25">
        <v>0</v>
      </c>
      <c r="Q230" s="417">
        <v>0</v>
      </c>
      <c r="R230" s="399">
        <v>0</v>
      </c>
      <c r="S230" s="25">
        <v>0</v>
      </c>
      <c r="T230" s="417">
        <v>0</v>
      </c>
      <c r="U230" s="399">
        <v>0</v>
      </c>
      <c r="V230" s="25">
        <v>0</v>
      </c>
      <c r="W230" s="417">
        <v>0</v>
      </c>
      <c r="X230" s="399">
        <v>0</v>
      </c>
      <c r="Y230" s="25">
        <v>0</v>
      </c>
      <c r="Z230" s="417">
        <v>0</v>
      </c>
      <c r="AA230" s="555"/>
      <c r="AB230" s="27"/>
      <c r="AC230" s="411"/>
    </row>
    <row r="231" spans="1:29" customFormat="1" ht="14.5">
      <c r="A231" s="2"/>
      <c r="B231" s="1223"/>
      <c r="C231" s="2"/>
      <c r="D231" s="1025"/>
      <c r="E231" s="1026" t="s">
        <v>473</v>
      </c>
      <c r="F231" s="601">
        <v>0</v>
      </c>
      <c r="G231" s="49">
        <v>0</v>
      </c>
      <c r="H231" s="559">
        <v>0</v>
      </c>
      <c r="I231" s="560">
        <v>0</v>
      </c>
      <c r="J231" s="48">
        <v>3.0783770000000002E-3</v>
      </c>
      <c r="K231" s="561">
        <v>2.700715493297911E-3</v>
      </c>
      <c r="L231" s="561">
        <v>1.2052929999999999</v>
      </c>
      <c r="M231" s="561">
        <v>1.2353832360000001</v>
      </c>
      <c r="N231" s="561">
        <v>0.11669575276092364</v>
      </c>
      <c r="O231" s="399">
        <v>0</v>
      </c>
      <c r="P231" s="25">
        <v>0.17892844100000002</v>
      </c>
      <c r="Q231" s="417">
        <v>1.4717353551611677E-2</v>
      </c>
      <c r="R231" s="399">
        <v>0</v>
      </c>
      <c r="S231" s="25">
        <v>0</v>
      </c>
      <c r="T231" s="417">
        <v>0</v>
      </c>
      <c r="U231" s="399">
        <v>0</v>
      </c>
      <c r="V231" s="25">
        <v>2.7199999999999998E-3</v>
      </c>
      <c r="W231" s="417">
        <v>0</v>
      </c>
      <c r="X231" s="399">
        <v>0.45227000000000001</v>
      </c>
      <c r="Y231" s="25">
        <v>0</v>
      </c>
      <c r="Z231" s="417">
        <v>0</v>
      </c>
      <c r="AA231" s="555"/>
      <c r="AB231" s="27"/>
      <c r="AC231" s="411"/>
    </row>
    <row r="232" spans="1:29" customFormat="1" ht="14.5">
      <c r="A232" s="2"/>
      <c r="B232" s="1223"/>
      <c r="C232" s="2"/>
      <c r="D232" s="1025"/>
      <c r="E232" s="1026" t="s">
        <v>474</v>
      </c>
      <c r="F232" s="601">
        <v>0</v>
      </c>
      <c r="G232" s="49">
        <v>0</v>
      </c>
      <c r="H232" s="559">
        <v>0</v>
      </c>
      <c r="I232" s="560">
        <v>0</v>
      </c>
      <c r="J232" s="48">
        <v>0</v>
      </c>
      <c r="K232" s="561">
        <v>0</v>
      </c>
      <c r="L232" s="561">
        <v>0</v>
      </c>
      <c r="M232" s="561">
        <v>0</v>
      </c>
      <c r="N232" s="561">
        <v>0</v>
      </c>
      <c r="O232" s="399">
        <v>0</v>
      </c>
      <c r="P232" s="25">
        <v>0</v>
      </c>
      <c r="Q232" s="417">
        <v>0</v>
      </c>
      <c r="R232" s="399">
        <v>0</v>
      </c>
      <c r="S232" s="25">
        <v>0</v>
      </c>
      <c r="T232" s="417">
        <v>0</v>
      </c>
      <c r="U232" s="399">
        <v>0</v>
      </c>
      <c r="V232" s="25">
        <v>0</v>
      </c>
      <c r="W232" s="417">
        <v>0</v>
      </c>
      <c r="X232" s="399">
        <v>0</v>
      </c>
      <c r="Y232" s="25">
        <v>0</v>
      </c>
      <c r="Z232" s="417">
        <v>0</v>
      </c>
      <c r="AA232" s="555"/>
      <c r="AB232" s="27"/>
      <c r="AC232" s="411"/>
    </row>
    <row r="233" spans="1:29" customFormat="1" ht="14.5">
      <c r="A233" s="2"/>
      <c r="B233" s="1223"/>
      <c r="C233" s="2"/>
      <c r="D233" s="1025"/>
      <c r="E233" s="1026" t="s">
        <v>475</v>
      </c>
      <c r="F233" s="601">
        <v>0</v>
      </c>
      <c r="G233" s="49">
        <v>0</v>
      </c>
      <c r="H233" s="559">
        <v>0</v>
      </c>
      <c r="I233" s="560">
        <v>0</v>
      </c>
      <c r="J233" s="48">
        <v>0</v>
      </c>
      <c r="K233" s="561">
        <v>6.4582327013645701E-3</v>
      </c>
      <c r="L233" s="561">
        <v>0</v>
      </c>
      <c r="M233" s="561">
        <v>0</v>
      </c>
      <c r="N233" s="561">
        <v>0</v>
      </c>
      <c r="O233" s="399">
        <v>0</v>
      </c>
      <c r="P233" s="25">
        <v>0</v>
      </c>
      <c r="Q233" s="417">
        <v>2.1966199330763697E-4</v>
      </c>
      <c r="R233" s="399">
        <v>0</v>
      </c>
      <c r="S233" s="25">
        <v>0</v>
      </c>
      <c r="T233" s="417">
        <v>0</v>
      </c>
      <c r="U233" s="399">
        <v>0</v>
      </c>
      <c r="V233" s="25">
        <v>0</v>
      </c>
      <c r="W233" s="417">
        <v>9.8157732405337113E-4</v>
      </c>
      <c r="X233" s="399">
        <v>0</v>
      </c>
      <c r="Y233" s="25">
        <v>0</v>
      </c>
      <c r="Z233" s="417">
        <v>9.9703839711000001E-3</v>
      </c>
      <c r="AA233" s="555"/>
      <c r="AB233" s="27"/>
      <c r="AC233" s="411"/>
    </row>
    <row r="234" spans="1:29" customFormat="1" ht="14.5">
      <c r="A234" s="2"/>
      <c r="B234" s="1223"/>
      <c r="C234" s="2"/>
      <c r="D234" s="1025"/>
      <c r="E234" s="1026" t="s">
        <v>476</v>
      </c>
      <c r="F234" s="601">
        <v>0</v>
      </c>
      <c r="G234" s="49">
        <v>0</v>
      </c>
      <c r="H234" s="559">
        <v>2.8065604606969819E-2</v>
      </c>
      <c r="I234" s="560">
        <v>0</v>
      </c>
      <c r="J234" s="48">
        <v>0</v>
      </c>
      <c r="K234" s="561">
        <v>2.7476844583987445E-2</v>
      </c>
      <c r="L234" s="561">
        <v>0</v>
      </c>
      <c r="M234" s="561">
        <v>0</v>
      </c>
      <c r="N234" s="561">
        <v>0</v>
      </c>
      <c r="O234" s="399">
        <v>0</v>
      </c>
      <c r="P234" s="25">
        <v>0</v>
      </c>
      <c r="Q234" s="417">
        <v>0</v>
      </c>
      <c r="R234" s="399">
        <v>0</v>
      </c>
      <c r="S234" s="25">
        <v>0</v>
      </c>
      <c r="T234" s="417">
        <v>0</v>
      </c>
      <c r="U234" s="399">
        <v>0</v>
      </c>
      <c r="V234" s="25">
        <v>0</v>
      </c>
      <c r="W234" s="417">
        <v>0</v>
      </c>
      <c r="X234" s="399">
        <v>0</v>
      </c>
      <c r="Y234" s="25">
        <v>0</v>
      </c>
      <c r="Z234" s="417">
        <v>0</v>
      </c>
      <c r="AA234" s="555"/>
      <c r="AB234" s="27"/>
      <c r="AC234" s="411"/>
    </row>
    <row r="235" spans="1:29" customFormat="1" ht="14.5">
      <c r="A235" s="2"/>
      <c r="B235" s="1223"/>
      <c r="C235" s="2"/>
      <c r="D235" s="1025"/>
      <c r="E235" s="1026" t="s">
        <v>477</v>
      </c>
      <c r="F235" s="601">
        <v>0</v>
      </c>
      <c r="G235" s="49">
        <v>0</v>
      </c>
      <c r="H235" s="559">
        <v>3.5501790443004555E-2</v>
      </c>
      <c r="I235" s="560">
        <v>0.30572799999999994</v>
      </c>
      <c r="J235" s="48">
        <v>0.68228600000000006</v>
      </c>
      <c r="K235" s="561">
        <v>6.9514068349233196E-2</v>
      </c>
      <c r="L235" s="561">
        <v>0.69302299999999994</v>
      </c>
      <c r="M235" s="561">
        <v>8.2030509999999985</v>
      </c>
      <c r="N235" s="561">
        <v>1.1151179012615129</v>
      </c>
      <c r="O235" s="399">
        <v>0.33694199999999996</v>
      </c>
      <c r="P235" s="25">
        <v>1.169597</v>
      </c>
      <c r="Q235" s="417">
        <v>0</v>
      </c>
      <c r="R235" s="399">
        <v>2.3323500000000004</v>
      </c>
      <c r="S235" s="25">
        <v>1.052E-3</v>
      </c>
      <c r="T235" s="417">
        <v>4.9665260088230558E-2</v>
      </c>
      <c r="U235" s="399">
        <v>0</v>
      </c>
      <c r="V235" s="25">
        <v>0</v>
      </c>
      <c r="W235" s="417">
        <v>5.8132494821374666E-3</v>
      </c>
      <c r="X235" s="399">
        <v>0</v>
      </c>
      <c r="Y235" s="25">
        <v>7.0550000000000002E-2</v>
      </c>
      <c r="Z235" s="417">
        <v>1.3765353360000001E-2</v>
      </c>
      <c r="AA235" s="555"/>
      <c r="AB235" s="27"/>
      <c r="AC235" s="411"/>
    </row>
    <row r="236" spans="1:29" customFormat="1" ht="14.5">
      <c r="A236" s="2"/>
      <c r="B236" s="1223"/>
      <c r="C236" s="2"/>
      <c r="D236" s="1025"/>
      <c r="E236" s="1026" t="s">
        <v>478</v>
      </c>
      <c r="F236" s="601">
        <v>0</v>
      </c>
      <c r="G236" s="49">
        <v>0</v>
      </c>
      <c r="H236" s="559">
        <v>0</v>
      </c>
      <c r="I236" s="560">
        <v>0</v>
      </c>
      <c r="J236" s="48">
        <v>0</v>
      </c>
      <c r="K236" s="561">
        <v>0</v>
      </c>
      <c r="L236" s="561">
        <v>0</v>
      </c>
      <c r="M236" s="561">
        <v>0</v>
      </c>
      <c r="N236" s="561">
        <v>0</v>
      </c>
      <c r="O236" s="399">
        <v>0</v>
      </c>
      <c r="P236" s="25">
        <v>0</v>
      </c>
      <c r="Q236" s="417">
        <v>0</v>
      </c>
      <c r="R236" s="399">
        <v>0</v>
      </c>
      <c r="S236" s="25">
        <v>0</v>
      </c>
      <c r="T236" s="417">
        <v>0</v>
      </c>
      <c r="U236" s="399">
        <v>0</v>
      </c>
      <c r="V236" s="25">
        <v>0</v>
      </c>
      <c r="W236" s="417">
        <v>0</v>
      </c>
      <c r="X236" s="399">
        <v>0</v>
      </c>
      <c r="Y236" s="25">
        <v>0</v>
      </c>
      <c r="Z236" s="417">
        <v>0</v>
      </c>
      <c r="AA236" s="555"/>
      <c r="AB236" s="27"/>
      <c r="AC236" s="411"/>
    </row>
    <row r="237" spans="1:29" customFormat="1" ht="14.5">
      <c r="A237" s="2"/>
      <c r="B237" s="1223"/>
      <c r="C237" s="2"/>
      <c r="D237" s="1025"/>
      <c r="E237" s="1026" t="s">
        <v>479</v>
      </c>
      <c r="F237" s="601">
        <v>0</v>
      </c>
      <c r="G237" s="49">
        <v>0</v>
      </c>
      <c r="H237" s="559">
        <v>0</v>
      </c>
      <c r="I237" s="560">
        <v>0</v>
      </c>
      <c r="J237" s="48">
        <v>0</v>
      </c>
      <c r="K237" s="561">
        <v>0</v>
      </c>
      <c r="L237" s="561">
        <v>0</v>
      </c>
      <c r="M237" s="561">
        <v>0</v>
      </c>
      <c r="N237" s="561">
        <v>0</v>
      </c>
      <c r="O237" s="399">
        <v>0</v>
      </c>
      <c r="P237" s="25">
        <v>0</v>
      </c>
      <c r="Q237" s="417">
        <v>0</v>
      </c>
      <c r="R237" s="399">
        <v>0</v>
      </c>
      <c r="S237" s="25">
        <v>0</v>
      </c>
      <c r="T237" s="417">
        <v>0</v>
      </c>
      <c r="U237" s="399">
        <v>0</v>
      </c>
      <c r="V237" s="25">
        <v>0</v>
      </c>
      <c r="W237" s="417">
        <v>0</v>
      </c>
      <c r="X237" s="399">
        <v>0</v>
      </c>
      <c r="Y237" s="25">
        <v>0</v>
      </c>
      <c r="Z237" s="417">
        <v>0</v>
      </c>
      <c r="AA237" s="555"/>
      <c r="AB237" s="27"/>
      <c r="AC237" s="411"/>
    </row>
    <row r="238" spans="1:29" customFormat="1" ht="14.5">
      <c r="A238" s="2"/>
      <c r="B238" s="1223"/>
      <c r="C238" s="2"/>
      <c r="D238" s="1025"/>
      <c r="E238" s="1026" t="s">
        <v>480</v>
      </c>
      <c r="F238" s="601">
        <v>0</v>
      </c>
      <c r="G238" s="49">
        <v>0</v>
      </c>
      <c r="H238" s="559">
        <v>0</v>
      </c>
      <c r="I238" s="560">
        <v>0</v>
      </c>
      <c r="J238" s="48">
        <v>0</v>
      </c>
      <c r="K238" s="561">
        <v>0</v>
      </c>
      <c r="L238" s="561">
        <v>0</v>
      </c>
      <c r="M238" s="561">
        <v>0</v>
      </c>
      <c r="N238" s="561">
        <v>0</v>
      </c>
      <c r="O238" s="399">
        <v>0</v>
      </c>
      <c r="P238" s="25">
        <v>0</v>
      </c>
      <c r="Q238" s="417">
        <v>0</v>
      </c>
      <c r="R238" s="399">
        <v>0</v>
      </c>
      <c r="S238" s="25">
        <v>0</v>
      </c>
      <c r="T238" s="417">
        <v>0</v>
      </c>
      <c r="U238" s="399">
        <v>0</v>
      </c>
      <c r="V238" s="25">
        <v>0</v>
      </c>
      <c r="W238" s="417">
        <v>0</v>
      </c>
      <c r="X238" s="399">
        <v>0</v>
      </c>
      <c r="Y238" s="25">
        <v>0</v>
      </c>
      <c r="Z238" s="417">
        <v>5.1176592559999993E-4</v>
      </c>
      <c r="AA238" s="555"/>
      <c r="AB238" s="27"/>
      <c r="AC238" s="411"/>
    </row>
    <row r="239" spans="1:29" customFormat="1" ht="14.5">
      <c r="A239" s="2"/>
      <c r="B239" s="1223"/>
      <c r="C239" s="2"/>
      <c r="D239" s="1025"/>
      <c r="E239" s="1026" t="s">
        <v>481</v>
      </c>
      <c r="F239" s="601">
        <v>0</v>
      </c>
      <c r="G239" s="49">
        <v>0</v>
      </c>
      <c r="H239" s="559">
        <v>0</v>
      </c>
      <c r="I239" s="560">
        <v>0</v>
      </c>
      <c r="J239" s="48">
        <v>0</v>
      </c>
      <c r="K239" s="561">
        <v>0</v>
      </c>
      <c r="L239" s="561">
        <v>0</v>
      </c>
      <c r="M239" s="561">
        <v>0</v>
      </c>
      <c r="N239" s="561">
        <v>0</v>
      </c>
      <c r="O239" s="399">
        <v>0</v>
      </c>
      <c r="P239" s="25">
        <v>0</v>
      </c>
      <c r="Q239" s="417">
        <v>0</v>
      </c>
      <c r="R239" s="399">
        <v>0</v>
      </c>
      <c r="S239" s="25">
        <v>0</v>
      </c>
      <c r="T239" s="417">
        <v>0</v>
      </c>
      <c r="U239" s="399">
        <v>0</v>
      </c>
      <c r="V239" s="25">
        <v>0</v>
      </c>
      <c r="W239" s="417">
        <v>0</v>
      </c>
      <c r="X239" s="399">
        <v>0</v>
      </c>
      <c r="Y239" s="25">
        <v>0</v>
      </c>
      <c r="Z239" s="417">
        <v>0</v>
      </c>
      <c r="AA239" s="555"/>
      <c r="AB239" s="27"/>
      <c r="AC239" s="411"/>
    </row>
    <row r="240" spans="1:29" customFormat="1" ht="14.5">
      <c r="A240" s="2"/>
      <c r="B240" s="1223"/>
      <c r="C240" s="2"/>
      <c r="D240" s="1025"/>
      <c r="E240" s="1026" t="s">
        <v>482</v>
      </c>
      <c r="F240" s="601">
        <v>0</v>
      </c>
      <c r="G240" s="49">
        <v>0</v>
      </c>
      <c r="H240" s="559">
        <v>0</v>
      </c>
      <c r="I240" s="560">
        <v>0</v>
      </c>
      <c r="J240" s="48">
        <v>0</v>
      </c>
      <c r="K240" s="561">
        <v>0</v>
      </c>
      <c r="L240" s="561">
        <v>0</v>
      </c>
      <c r="M240" s="561">
        <v>0</v>
      </c>
      <c r="N240" s="561">
        <v>0</v>
      </c>
      <c r="O240" s="399">
        <v>0</v>
      </c>
      <c r="P240" s="25">
        <v>0</v>
      </c>
      <c r="Q240" s="417">
        <v>0</v>
      </c>
      <c r="R240" s="399">
        <v>0.31192799999999998</v>
      </c>
      <c r="S240" s="25">
        <v>0.101546</v>
      </c>
      <c r="T240" s="417">
        <v>0</v>
      </c>
      <c r="U240" s="399">
        <v>0</v>
      </c>
      <c r="V240" s="25">
        <v>0</v>
      </c>
      <c r="W240" s="417">
        <v>0</v>
      </c>
      <c r="X240" s="399">
        <v>0</v>
      </c>
      <c r="Y240" s="25">
        <v>0</v>
      </c>
      <c r="Z240" s="417">
        <v>0</v>
      </c>
      <c r="AA240" s="555"/>
      <c r="AB240" s="27"/>
      <c r="AC240" s="411"/>
    </row>
    <row r="241" spans="1:29" customFormat="1" ht="14.5">
      <c r="A241" s="2"/>
      <c r="B241" s="1223"/>
      <c r="C241" s="2"/>
      <c r="D241" s="1025" t="s">
        <v>168</v>
      </c>
      <c r="E241" s="1026" t="s">
        <v>483</v>
      </c>
      <c r="F241" s="601" t="s">
        <v>428</v>
      </c>
      <c r="G241" s="49" t="s">
        <v>428</v>
      </c>
      <c r="H241" s="559" t="s">
        <v>428</v>
      </c>
      <c r="I241" s="560">
        <v>0</v>
      </c>
      <c r="J241" s="48">
        <v>0</v>
      </c>
      <c r="K241" s="561">
        <v>0</v>
      </c>
      <c r="L241" s="561">
        <v>0</v>
      </c>
      <c r="M241" s="561">
        <v>0</v>
      </c>
      <c r="N241" s="561">
        <v>0</v>
      </c>
      <c r="O241" s="399">
        <v>0</v>
      </c>
      <c r="P241" s="25">
        <v>0</v>
      </c>
      <c r="Q241" s="417">
        <v>0</v>
      </c>
      <c r="R241" s="399">
        <v>0</v>
      </c>
      <c r="S241" s="25">
        <v>0</v>
      </c>
      <c r="T241" s="417">
        <v>0</v>
      </c>
      <c r="U241" s="399">
        <v>0</v>
      </c>
      <c r="V241" s="25">
        <v>0</v>
      </c>
      <c r="W241" s="417">
        <v>0</v>
      </c>
      <c r="X241" s="399">
        <v>0</v>
      </c>
      <c r="Y241" s="25">
        <v>0</v>
      </c>
      <c r="Z241" s="417">
        <v>0</v>
      </c>
      <c r="AA241" s="555"/>
      <c r="AB241" s="27"/>
      <c r="AC241" s="411"/>
    </row>
    <row r="242" spans="1:29" customFormat="1" ht="24">
      <c r="A242" s="2"/>
      <c r="B242" s="1223"/>
      <c r="C242" s="2"/>
      <c r="D242" s="1025" t="s">
        <v>169</v>
      </c>
      <c r="E242" s="1026" t="s">
        <v>484</v>
      </c>
      <c r="F242" s="601">
        <v>0</v>
      </c>
      <c r="G242" s="49">
        <v>0</v>
      </c>
      <c r="H242" s="559">
        <v>1.3201628628586187E-3</v>
      </c>
      <c r="I242" s="560">
        <v>0</v>
      </c>
      <c r="J242" s="48">
        <v>0</v>
      </c>
      <c r="K242" s="561">
        <v>0.12536984346093469</v>
      </c>
      <c r="L242" s="561">
        <v>0</v>
      </c>
      <c r="M242" s="561">
        <v>0</v>
      </c>
      <c r="N242" s="561">
        <v>3.8924439161668788E-2</v>
      </c>
      <c r="O242" s="399">
        <v>0</v>
      </c>
      <c r="P242" s="25">
        <v>0</v>
      </c>
      <c r="Q242" s="417">
        <v>3.8475214947689448E-2</v>
      </c>
      <c r="R242" s="399">
        <v>0</v>
      </c>
      <c r="S242" s="25">
        <v>0</v>
      </c>
      <c r="T242" s="417">
        <v>2.658326541619559E-2</v>
      </c>
      <c r="U242" s="399">
        <v>0</v>
      </c>
      <c r="V242" s="25">
        <v>0</v>
      </c>
      <c r="W242" s="417">
        <v>1.7917255625949768E-2</v>
      </c>
      <c r="X242" s="399">
        <v>0</v>
      </c>
      <c r="Y242" s="25">
        <v>0</v>
      </c>
      <c r="Z242" s="417">
        <v>2.3667900000000001E-3</v>
      </c>
      <c r="AA242" s="555"/>
      <c r="AB242" s="27"/>
      <c r="AC242" s="411"/>
    </row>
    <row r="243" spans="1:29" customFormat="1" ht="14.5">
      <c r="A243" s="2"/>
      <c r="B243" s="1223"/>
      <c r="C243" s="2"/>
      <c r="D243" s="1025"/>
      <c r="E243" s="1026" t="s">
        <v>485</v>
      </c>
      <c r="F243" s="601">
        <v>0</v>
      </c>
      <c r="G243" s="49">
        <v>0</v>
      </c>
      <c r="H243" s="559">
        <v>0</v>
      </c>
      <c r="I243" s="560">
        <v>0</v>
      </c>
      <c r="J243" s="48">
        <v>0</v>
      </c>
      <c r="K243" s="561">
        <v>0</v>
      </c>
      <c r="L243" s="561">
        <v>0</v>
      </c>
      <c r="M243" s="561">
        <v>0</v>
      </c>
      <c r="N243" s="561">
        <v>0</v>
      </c>
      <c r="O243" s="399">
        <v>0</v>
      </c>
      <c r="P243" s="25">
        <v>0</v>
      </c>
      <c r="Q243" s="417">
        <v>0</v>
      </c>
      <c r="R243" s="399">
        <v>0</v>
      </c>
      <c r="S243" s="25">
        <v>0</v>
      </c>
      <c r="T243" s="417">
        <v>0</v>
      </c>
      <c r="U243" s="399">
        <v>0</v>
      </c>
      <c r="V243" s="25">
        <v>0</v>
      </c>
      <c r="W243" s="417">
        <v>9.3713926532903544E-2</v>
      </c>
      <c r="X243" s="399">
        <v>0</v>
      </c>
      <c r="Y243" s="25">
        <v>0</v>
      </c>
      <c r="Z243" s="417">
        <v>0</v>
      </c>
      <c r="AA243" s="555"/>
      <c r="AB243" s="27"/>
      <c r="AC243" s="411"/>
    </row>
    <row r="244" spans="1:29" customFormat="1" ht="14.5">
      <c r="A244" s="2"/>
      <c r="B244" s="1223"/>
      <c r="C244" s="2"/>
      <c r="D244" s="1025"/>
      <c r="E244" s="1026" t="s">
        <v>486</v>
      </c>
      <c r="F244" s="601">
        <v>3.4083299999999999</v>
      </c>
      <c r="G244" s="49">
        <v>3.2365400000000002</v>
      </c>
      <c r="H244" s="559">
        <v>-1.0035612539653786E-2</v>
      </c>
      <c r="I244" s="560">
        <v>0</v>
      </c>
      <c r="J244" s="48">
        <v>0</v>
      </c>
      <c r="K244" s="561">
        <v>0</v>
      </c>
      <c r="L244" s="561">
        <v>0</v>
      </c>
      <c r="M244" s="561">
        <v>0</v>
      </c>
      <c r="N244" s="561">
        <v>0</v>
      </c>
      <c r="O244" s="399">
        <v>0</v>
      </c>
      <c r="P244" s="25">
        <v>0</v>
      </c>
      <c r="Q244" s="417">
        <v>0</v>
      </c>
      <c r="R244" s="399">
        <v>0</v>
      </c>
      <c r="S244" s="25">
        <v>0</v>
      </c>
      <c r="T244" s="417">
        <v>0</v>
      </c>
      <c r="U244" s="399">
        <v>0</v>
      </c>
      <c r="V244" s="25">
        <v>0</v>
      </c>
      <c r="W244" s="417">
        <v>0</v>
      </c>
      <c r="X244" s="399">
        <v>0</v>
      </c>
      <c r="Y244" s="25">
        <v>0</v>
      </c>
      <c r="Z244" s="417">
        <v>0</v>
      </c>
      <c r="AA244" s="555"/>
      <c r="AB244" s="27"/>
      <c r="AC244" s="411"/>
    </row>
    <row r="245" spans="1:29" customFormat="1" ht="14.5">
      <c r="A245" s="2"/>
      <c r="B245" s="1223"/>
      <c r="C245" s="2"/>
      <c r="D245" s="1025"/>
      <c r="E245" s="1026" t="s">
        <v>487</v>
      </c>
      <c r="F245" s="601">
        <v>1.941308</v>
      </c>
      <c r="G245" s="49">
        <v>4.646585</v>
      </c>
      <c r="H245" s="559">
        <v>0.41458727014682029</v>
      </c>
      <c r="I245" s="560">
        <v>3.1821000000000002</v>
      </c>
      <c r="J245" s="48">
        <v>1.86</v>
      </c>
      <c r="K245" s="561">
        <v>0.27868759788471731</v>
      </c>
      <c r="L245" s="561">
        <v>0</v>
      </c>
      <c r="M245" s="561">
        <v>0</v>
      </c>
      <c r="N245" s="561">
        <v>1.5908540006111135E-2</v>
      </c>
      <c r="O245" s="399">
        <v>0</v>
      </c>
      <c r="P245" s="25">
        <v>0</v>
      </c>
      <c r="Q245" s="417">
        <v>6.3910656952856975E-3</v>
      </c>
      <c r="R245" s="399">
        <v>0</v>
      </c>
      <c r="S245" s="25">
        <v>0</v>
      </c>
      <c r="T245" s="417">
        <v>1.8128783435075017E-2</v>
      </c>
      <c r="U245" s="399">
        <v>0</v>
      </c>
      <c r="V245" s="25">
        <v>0</v>
      </c>
      <c r="W245" s="417">
        <v>3.6188722854778844E-2</v>
      </c>
      <c r="X245" s="399">
        <v>0</v>
      </c>
      <c r="Y245" s="25">
        <v>0</v>
      </c>
      <c r="Z245" s="417">
        <v>2.2297379999999999E-2</v>
      </c>
      <c r="AA245" s="555"/>
      <c r="AB245" s="27"/>
      <c r="AC245" s="411"/>
    </row>
    <row r="246" spans="1:29" customFormat="1" ht="24">
      <c r="A246" s="2"/>
      <c r="B246" s="1223"/>
      <c r="C246" s="2"/>
      <c r="D246" s="1025" t="s">
        <v>170</v>
      </c>
      <c r="E246" s="1026" t="s">
        <v>488</v>
      </c>
      <c r="F246" s="601">
        <v>0</v>
      </c>
      <c r="G246" s="49">
        <v>0.13500000000000001</v>
      </c>
      <c r="H246" s="559">
        <v>0.13402645523121579</v>
      </c>
      <c r="I246" s="560">
        <v>0</v>
      </c>
      <c r="J246" s="48">
        <v>0</v>
      </c>
      <c r="K246" s="561">
        <v>8.3171161788883632E-2</v>
      </c>
      <c r="L246" s="561">
        <v>1.3970499999999999</v>
      </c>
      <c r="M246" s="561">
        <v>1.6140699999999999</v>
      </c>
      <c r="N246" s="561">
        <v>0.10509006080199472</v>
      </c>
      <c r="O246" s="399">
        <v>0</v>
      </c>
      <c r="P246" s="25">
        <v>0.40562999999999999</v>
      </c>
      <c r="Q246" s="417">
        <v>0.53081422825617353</v>
      </c>
      <c r="R246" s="399">
        <v>4.7940899999999997</v>
      </c>
      <c r="S246" s="25">
        <v>5.5186599999999997</v>
      </c>
      <c r="T246" s="417">
        <v>0.4219969083761389</v>
      </c>
      <c r="U246" s="399">
        <v>0</v>
      </c>
      <c r="V246" s="25">
        <v>0</v>
      </c>
      <c r="W246" s="417">
        <v>2.0786949841148566E-2</v>
      </c>
      <c r="X246" s="399">
        <v>0</v>
      </c>
      <c r="Y246" s="25">
        <v>0</v>
      </c>
      <c r="Z246" s="25">
        <v>1.5298283567538491E-3</v>
      </c>
      <c r="AA246" s="555"/>
      <c r="AB246" s="27"/>
      <c r="AC246" s="411"/>
    </row>
    <row r="247" spans="1:29" customFormat="1" ht="24">
      <c r="A247" s="2"/>
      <c r="B247" s="1223"/>
      <c r="C247" s="2"/>
      <c r="D247" s="1025"/>
      <c r="E247" s="1026" t="s">
        <v>489</v>
      </c>
      <c r="F247" s="601">
        <v>0</v>
      </c>
      <c r="G247" s="49">
        <v>0</v>
      </c>
      <c r="H247" s="559">
        <v>0.41251641232996572</v>
      </c>
      <c r="I247" s="560">
        <v>0</v>
      </c>
      <c r="J247" s="48">
        <v>0</v>
      </c>
      <c r="K247" s="561">
        <v>4.9710720082671517E-3</v>
      </c>
      <c r="L247" s="561">
        <v>0</v>
      </c>
      <c r="M247" s="561">
        <v>0</v>
      </c>
      <c r="N247" s="561">
        <v>9.2108870746725382E-3</v>
      </c>
      <c r="O247" s="399">
        <v>0.53191999999999995</v>
      </c>
      <c r="P247" s="25">
        <v>2.26627</v>
      </c>
      <c r="Q247" s="417">
        <v>0.20647660642975141</v>
      </c>
      <c r="R247" s="399">
        <v>2.76803</v>
      </c>
      <c r="S247" s="25">
        <v>3.5778599999999998</v>
      </c>
      <c r="T247" s="417">
        <v>0.65958284371409615</v>
      </c>
      <c r="U247" s="399">
        <v>5.4224199999999998</v>
      </c>
      <c r="V247" s="25">
        <v>5.5922600000000005</v>
      </c>
      <c r="W247" s="417">
        <v>0.55437380438281336</v>
      </c>
      <c r="X247" s="399">
        <v>6.2481599999999995</v>
      </c>
      <c r="Y247" s="25">
        <v>6.3785000000000007</v>
      </c>
      <c r="Z247" s="25">
        <v>0.7640712853730649</v>
      </c>
      <c r="AA247" s="555"/>
      <c r="AB247" s="27"/>
      <c r="AC247" s="411"/>
    </row>
    <row r="248" spans="1:29" customFormat="1" ht="14.5">
      <c r="A248" s="2"/>
      <c r="B248" s="1223"/>
      <c r="C248" s="2"/>
      <c r="D248" s="1025"/>
      <c r="E248" s="1026" t="s">
        <v>490</v>
      </c>
      <c r="F248" s="601">
        <v>0</v>
      </c>
      <c r="G248" s="49">
        <v>0</v>
      </c>
      <c r="H248" s="559">
        <v>2.7080909676101345E-2</v>
      </c>
      <c r="I248" s="560">
        <v>0</v>
      </c>
      <c r="J248" s="48">
        <v>0</v>
      </c>
      <c r="K248" s="561">
        <v>0</v>
      </c>
      <c r="L248" s="561">
        <v>0.65643799999999997</v>
      </c>
      <c r="M248" s="561">
        <v>1.8352901669999999</v>
      </c>
      <c r="N248" s="561">
        <v>9.0056144256480813E-2</v>
      </c>
      <c r="O248" s="399">
        <v>0</v>
      </c>
      <c r="P248" s="25">
        <v>0</v>
      </c>
      <c r="Q248" s="417">
        <v>8.1424637172264835E-2</v>
      </c>
      <c r="R248" s="399">
        <v>0.88490000000000002</v>
      </c>
      <c r="S248" s="25">
        <v>0.81803000000000003</v>
      </c>
      <c r="T248" s="417">
        <v>0.1503379783276135</v>
      </c>
      <c r="U248" s="399">
        <v>0</v>
      </c>
      <c r="V248" s="25">
        <v>0</v>
      </c>
      <c r="W248" s="417">
        <v>1.616102647875331E-3</v>
      </c>
      <c r="X248" s="399">
        <v>0</v>
      </c>
      <c r="Y248" s="25">
        <v>0</v>
      </c>
      <c r="Z248" s="25">
        <v>0</v>
      </c>
      <c r="AA248" s="555"/>
      <c r="AB248" s="27"/>
      <c r="AC248" s="411"/>
    </row>
    <row r="249" spans="1:29" customFormat="1" ht="14.5">
      <c r="A249" s="2"/>
      <c r="B249" s="1223"/>
      <c r="C249" s="2"/>
      <c r="D249" s="1025"/>
      <c r="E249" s="1026" t="s">
        <v>491</v>
      </c>
      <c r="F249" s="601">
        <v>0</v>
      </c>
      <c r="G249" s="49">
        <v>0</v>
      </c>
      <c r="H249" s="559">
        <v>0</v>
      </c>
      <c r="I249" s="560">
        <v>1.46682782</v>
      </c>
      <c r="J249" s="48">
        <v>1.7854460649999999</v>
      </c>
      <c r="K249" s="561">
        <v>0.13377233491850643</v>
      </c>
      <c r="L249" s="561">
        <v>0</v>
      </c>
      <c r="M249" s="561">
        <v>0</v>
      </c>
      <c r="N249" s="561">
        <v>0</v>
      </c>
      <c r="O249" s="399">
        <v>0</v>
      </c>
      <c r="P249" s="25">
        <v>0</v>
      </c>
      <c r="Q249" s="417">
        <v>0</v>
      </c>
      <c r="R249" s="399">
        <v>0</v>
      </c>
      <c r="S249" s="25">
        <v>0</v>
      </c>
      <c r="T249" s="417">
        <v>0</v>
      </c>
      <c r="U249" s="399">
        <v>0</v>
      </c>
      <c r="V249" s="25">
        <v>0</v>
      </c>
      <c r="W249" s="417">
        <v>1.3765857096842263E-2</v>
      </c>
      <c r="X249" s="399">
        <v>0</v>
      </c>
      <c r="Y249" s="25">
        <v>0</v>
      </c>
      <c r="Z249" s="25">
        <v>2.179832375584639E-2</v>
      </c>
      <c r="AA249" s="555"/>
      <c r="AB249" s="27"/>
      <c r="AC249" s="411"/>
    </row>
    <row r="250" spans="1:29" customFormat="1" ht="14.5">
      <c r="A250" s="2"/>
      <c r="B250" s="1223"/>
      <c r="C250" s="2"/>
      <c r="D250" s="567"/>
      <c r="E250" s="603" t="s">
        <v>492</v>
      </c>
      <c r="F250" s="601">
        <v>0</v>
      </c>
      <c r="G250" s="49">
        <v>0</v>
      </c>
      <c r="H250" s="559">
        <v>0</v>
      </c>
      <c r="I250" s="560">
        <v>0</v>
      </c>
      <c r="J250" s="48">
        <v>0</v>
      </c>
      <c r="K250" s="561">
        <v>0</v>
      </c>
      <c r="L250" s="561">
        <v>0</v>
      </c>
      <c r="M250" s="561">
        <v>0</v>
      </c>
      <c r="N250" s="561">
        <v>0</v>
      </c>
      <c r="O250" s="399">
        <v>0</v>
      </c>
      <c r="P250" s="25">
        <v>0</v>
      </c>
      <c r="Q250" s="417">
        <v>0</v>
      </c>
      <c r="R250" s="399">
        <v>0</v>
      </c>
      <c r="S250" s="25">
        <v>0</v>
      </c>
      <c r="T250" s="417">
        <v>3.2118385516874174E-3</v>
      </c>
      <c r="U250" s="399">
        <v>0</v>
      </c>
      <c r="V250" s="25">
        <v>0</v>
      </c>
      <c r="W250" s="417">
        <v>5.12823561541123E-2</v>
      </c>
      <c r="X250" s="399">
        <v>8.0236699999999992</v>
      </c>
      <c r="Y250" s="25">
        <v>4.2771800000000004</v>
      </c>
      <c r="Z250" s="25">
        <v>1.4901504377312995</v>
      </c>
      <c r="AA250" s="555"/>
      <c r="AB250" s="27"/>
      <c r="AC250" s="411"/>
    </row>
    <row r="251" spans="1:29" customFormat="1" ht="24">
      <c r="A251" s="2"/>
      <c r="B251" s="1223"/>
      <c r="C251" s="2"/>
      <c r="D251" s="1025" t="s">
        <v>171</v>
      </c>
      <c r="E251" s="1026" t="s">
        <v>493</v>
      </c>
      <c r="F251" s="601">
        <v>0</v>
      </c>
      <c r="G251" s="49">
        <v>0</v>
      </c>
      <c r="H251" s="559">
        <v>0</v>
      </c>
      <c r="I251" s="560">
        <v>0</v>
      </c>
      <c r="J251" s="48">
        <v>0</v>
      </c>
      <c r="K251" s="561">
        <v>0</v>
      </c>
      <c r="L251" s="561">
        <v>0</v>
      </c>
      <c r="M251" s="561">
        <v>0</v>
      </c>
      <c r="N251" s="561">
        <v>0</v>
      </c>
      <c r="O251" s="399">
        <v>0</v>
      </c>
      <c r="P251" s="25">
        <v>0</v>
      </c>
      <c r="Q251" s="417">
        <v>0</v>
      </c>
      <c r="R251" s="399">
        <v>0</v>
      </c>
      <c r="S251" s="25">
        <v>0</v>
      </c>
      <c r="T251" s="417">
        <v>0</v>
      </c>
      <c r="U251" s="399">
        <v>0</v>
      </c>
      <c r="V251" s="25">
        <v>0</v>
      </c>
      <c r="W251" s="417">
        <v>0</v>
      </c>
      <c r="X251" s="399">
        <v>0</v>
      </c>
      <c r="Y251" s="25">
        <v>0</v>
      </c>
      <c r="Z251" s="417">
        <v>0</v>
      </c>
      <c r="AA251" s="555"/>
      <c r="AB251" s="27"/>
      <c r="AC251" s="411"/>
    </row>
    <row r="252" spans="1:29" customFormat="1" ht="14.5">
      <c r="A252" s="2"/>
      <c r="B252" s="1223"/>
      <c r="C252" s="2"/>
      <c r="D252" s="1025"/>
      <c r="E252" s="1026" t="s">
        <v>494</v>
      </c>
      <c r="F252" s="601">
        <v>0</v>
      </c>
      <c r="G252" s="49">
        <v>0</v>
      </c>
      <c r="H252" s="559">
        <v>0</v>
      </c>
      <c r="I252" s="560">
        <v>0</v>
      </c>
      <c r="J252" s="48">
        <v>0</v>
      </c>
      <c r="K252" s="561">
        <v>0</v>
      </c>
      <c r="L252" s="561">
        <v>0</v>
      </c>
      <c r="M252" s="561">
        <v>0</v>
      </c>
      <c r="N252" s="561">
        <v>0</v>
      </c>
      <c r="O252" s="399">
        <v>0.12712000000000001</v>
      </c>
      <c r="P252" s="25">
        <v>0</v>
      </c>
      <c r="Q252" s="417">
        <v>0.18854577364564362</v>
      </c>
      <c r="R252" s="399">
        <v>0</v>
      </c>
      <c r="S252" s="25">
        <v>0</v>
      </c>
      <c r="T252" s="417">
        <v>0</v>
      </c>
      <c r="U252" s="399">
        <v>0</v>
      </c>
      <c r="V252" s="25">
        <v>0</v>
      </c>
      <c r="W252" s="417">
        <v>0</v>
      </c>
      <c r="X252" s="399">
        <v>0</v>
      </c>
      <c r="Y252" s="25">
        <v>0</v>
      </c>
      <c r="Z252" s="417">
        <v>0</v>
      </c>
      <c r="AA252" s="555"/>
      <c r="AB252" s="27"/>
      <c r="AC252" s="411"/>
    </row>
    <row r="253" spans="1:29" customFormat="1" ht="14.5">
      <c r="A253" s="2"/>
      <c r="B253" s="1223"/>
      <c r="C253" s="2"/>
      <c r="D253" s="1025"/>
      <c r="E253" s="1026" t="s">
        <v>495</v>
      </c>
      <c r="F253" s="601">
        <v>0</v>
      </c>
      <c r="G253" s="49">
        <v>0</v>
      </c>
      <c r="H253" s="559">
        <v>0</v>
      </c>
      <c r="I253" s="560">
        <v>0</v>
      </c>
      <c r="J253" s="48">
        <v>0</v>
      </c>
      <c r="K253" s="561">
        <v>0</v>
      </c>
      <c r="L253" s="561">
        <v>0</v>
      </c>
      <c r="M253" s="561">
        <v>0</v>
      </c>
      <c r="N253" s="561">
        <v>0</v>
      </c>
      <c r="O253" s="399">
        <v>0</v>
      </c>
      <c r="P253" s="25">
        <v>0</v>
      </c>
      <c r="Q253" s="417">
        <v>5.4805667330255414E-3</v>
      </c>
      <c r="R253" s="399">
        <v>0</v>
      </c>
      <c r="S253" s="25">
        <v>0</v>
      </c>
      <c r="T253" s="417">
        <v>0</v>
      </c>
      <c r="U253" s="399">
        <v>0</v>
      </c>
      <c r="V253" s="25">
        <v>0</v>
      </c>
      <c r="W253" s="417">
        <v>0</v>
      </c>
      <c r="X253" s="399">
        <v>0.27040597453729143</v>
      </c>
      <c r="Y253" s="25">
        <v>0.2992382466356398</v>
      </c>
      <c r="Z253" s="417">
        <v>4.1147145234463063E-2</v>
      </c>
      <c r="AA253" s="555"/>
      <c r="AB253" s="27"/>
      <c r="AC253" s="411"/>
    </row>
    <row r="254" spans="1:29" customFormat="1" ht="14.5">
      <c r="A254" s="2"/>
      <c r="B254" s="1223"/>
      <c r="C254" s="2"/>
      <c r="D254" s="1025"/>
      <c r="E254" s="1026" t="s">
        <v>496</v>
      </c>
      <c r="F254" s="601">
        <v>0</v>
      </c>
      <c r="G254" s="49">
        <v>0</v>
      </c>
      <c r="H254" s="559">
        <v>0</v>
      </c>
      <c r="I254" s="560">
        <v>0</v>
      </c>
      <c r="J254" s="48">
        <v>1.0381454678324207</v>
      </c>
      <c r="K254" s="561">
        <v>0.16979182249124505</v>
      </c>
      <c r="L254" s="561">
        <v>1.0606368058079523</v>
      </c>
      <c r="M254" s="561">
        <v>1.3151947911220763E-3</v>
      </c>
      <c r="N254" s="561">
        <v>0</v>
      </c>
      <c r="O254" s="399">
        <v>0</v>
      </c>
      <c r="P254" s="25">
        <v>0</v>
      </c>
      <c r="Q254" s="417">
        <v>0</v>
      </c>
      <c r="R254" s="399">
        <v>0</v>
      </c>
      <c r="S254" s="25">
        <v>0</v>
      </c>
      <c r="T254" s="417">
        <v>0</v>
      </c>
      <c r="U254" s="399">
        <v>0</v>
      </c>
      <c r="V254" s="25">
        <v>0</v>
      </c>
      <c r="W254" s="417">
        <v>0</v>
      </c>
      <c r="X254" s="399">
        <v>0</v>
      </c>
      <c r="Y254" s="25">
        <v>0</v>
      </c>
      <c r="Z254" s="417">
        <v>0</v>
      </c>
      <c r="AA254" s="555"/>
      <c r="AB254" s="27"/>
      <c r="AC254" s="411"/>
    </row>
    <row r="255" spans="1:29" customFormat="1" ht="14.5">
      <c r="A255" s="2"/>
      <c r="B255" s="1223"/>
      <c r="C255" s="2"/>
      <c r="D255" s="1025"/>
      <c r="E255" s="1026" t="s">
        <v>497</v>
      </c>
      <c r="F255" s="601">
        <v>0</v>
      </c>
      <c r="G255" s="49">
        <v>0</v>
      </c>
      <c r="H255" s="559">
        <v>0</v>
      </c>
      <c r="I255" s="560">
        <v>0</v>
      </c>
      <c r="J255" s="48">
        <v>0</v>
      </c>
      <c r="K255" s="561">
        <v>0</v>
      </c>
      <c r="L255" s="561">
        <v>0</v>
      </c>
      <c r="M255" s="561">
        <v>0</v>
      </c>
      <c r="N255" s="561">
        <v>0</v>
      </c>
      <c r="O255" s="399">
        <v>0</v>
      </c>
      <c r="P255" s="25">
        <v>0</v>
      </c>
      <c r="Q255" s="417">
        <v>0</v>
      </c>
      <c r="R255" s="399">
        <v>0</v>
      </c>
      <c r="S255" s="25">
        <v>0</v>
      </c>
      <c r="T255" s="417">
        <v>0</v>
      </c>
      <c r="U255" s="399">
        <v>0.16355</v>
      </c>
      <c r="V255" s="25">
        <v>0</v>
      </c>
      <c r="W255" s="417">
        <v>0</v>
      </c>
      <c r="X255" s="399">
        <v>7.4713864475799987</v>
      </c>
      <c r="Y255" s="25">
        <v>8.1958982440859991</v>
      </c>
      <c r="Z255" s="417">
        <v>0.34456831125563425</v>
      </c>
      <c r="AA255" s="555"/>
      <c r="AB255" s="27"/>
      <c r="AC255" s="411"/>
    </row>
    <row r="256" spans="1:29" customFormat="1" ht="14.5">
      <c r="A256" s="2"/>
      <c r="B256" s="1223"/>
      <c r="C256" s="2"/>
      <c r="D256" s="1025"/>
      <c r="E256" s="1026" t="s">
        <v>498</v>
      </c>
      <c r="F256" s="601">
        <v>0</v>
      </c>
      <c r="G256" s="49">
        <v>0</v>
      </c>
      <c r="H256" s="559">
        <v>0</v>
      </c>
      <c r="I256" s="560">
        <v>0</v>
      </c>
      <c r="J256" s="48">
        <v>0</v>
      </c>
      <c r="K256" s="561">
        <v>0</v>
      </c>
      <c r="L256" s="561">
        <v>0</v>
      </c>
      <c r="M256" s="561">
        <v>0</v>
      </c>
      <c r="N256" s="561">
        <v>0</v>
      </c>
      <c r="O256" s="399">
        <v>0</v>
      </c>
      <c r="P256" s="25">
        <v>0</v>
      </c>
      <c r="Q256" s="417">
        <v>0</v>
      </c>
      <c r="R256" s="399">
        <v>0</v>
      </c>
      <c r="S256" s="25">
        <v>0</v>
      </c>
      <c r="T256" s="417">
        <v>0</v>
      </c>
      <c r="U256" s="399">
        <v>0</v>
      </c>
      <c r="V256" s="25">
        <v>0</v>
      </c>
      <c r="W256" s="417">
        <v>0</v>
      </c>
      <c r="X256" s="399">
        <v>0</v>
      </c>
      <c r="Y256" s="25">
        <v>0</v>
      </c>
      <c r="Z256" s="417">
        <v>0</v>
      </c>
      <c r="AA256" s="555"/>
      <c r="AB256" s="27"/>
      <c r="AC256" s="411"/>
    </row>
    <row r="257" spans="1:29" customFormat="1" ht="14.5">
      <c r="A257" s="2"/>
      <c r="B257" s="1223"/>
      <c r="C257" s="2"/>
      <c r="D257" s="1025"/>
      <c r="E257" s="1026" t="s">
        <v>451</v>
      </c>
      <c r="F257" s="601">
        <v>0</v>
      </c>
      <c r="G257" s="49">
        <v>0</v>
      </c>
      <c r="H257" s="559">
        <v>0</v>
      </c>
      <c r="I257" s="560">
        <v>0</v>
      </c>
      <c r="J257" s="48">
        <v>0</v>
      </c>
      <c r="K257" s="561">
        <v>0</v>
      </c>
      <c r="L257" s="561">
        <v>0</v>
      </c>
      <c r="M257" s="561">
        <v>0</v>
      </c>
      <c r="N257" s="561">
        <v>0</v>
      </c>
      <c r="O257" s="399">
        <v>0</v>
      </c>
      <c r="P257" s="25">
        <v>0</v>
      </c>
      <c r="Q257" s="417">
        <v>0</v>
      </c>
      <c r="R257" s="399">
        <v>0</v>
      </c>
      <c r="S257" s="25">
        <v>0</v>
      </c>
      <c r="T257" s="417">
        <v>0</v>
      </c>
      <c r="U257" s="399">
        <v>0</v>
      </c>
      <c r="V257" s="25">
        <v>0</v>
      </c>
      <c r="W257" s="417">
        <v>0</v>
      </c>
      <c r="X257" s="399">
        <v>0</v>
      </c>
      <c r="Y257" s="25">
        <v>0</v>
      </c>
      <c r="Z257" s="417">
        <v>1.5143536757809299E-4</v>
      </c>
      <c r="AA257" s="555"/>
      <c r="AB257" s="27"/>
      <c r="AC257" s="411"/>
    </row>
    <row r="258" spans="1:29" customFormat="1" ht="14.5">
      <c r="A258" s="2"/>
      <c r="B258" s="1223"/>
      <c r="C258" s="2"/>
      <c r="D258" s="1025" t="s">
        <v>172</v>
      </c>
      <c r="E258" s="1027" t="s">
        <v>499</v>
      </c>
      <c r="F258" s="601">
        <v>1.1000000000000001</v>
      </c>
      <c r="G258" s="49">
        <v>3.1172720800000001E-2</v>
      </c>
      <c r="H258" s="559">
        <v>5.7631999419751806E-2</v>
      </c>
      <c r="I258" s="560">
        <v>5.3022576024620405E-2</v>
      </c>
      <c r="J258" s="48">
        <v>0</v>
      </c>
      <c r="K258" s="561">
        <v>2.9674753219091715E-2</v>
      </c>
      <c r="L258" s="561">
        <v>2.1139999999999999</v>
      </c>
      <c r="M258" s="561">
        <v>2.8140000000000001</v>
      </c>
      <c r="N258" s="561">
        <v>0.39946901429793791</v>
      </c>
      <c r="O258" s="399">
        <v>0</v>
      </c>
      <c r="P258" s="25">
        <v>0</v>
      </c>
      <c r="Q258" s="417">
        <v>0.10171713018456538</v>
      </c>
      <c r="R258" s="399">
        <v>0.20172000000000001</v>
      </c>
      <c r="S258" s="25">
        <v>0.12922999999999998</v>
      </c>
      <c r="T258" s="417">
        <v>0.22207949413911876</v>
      </c>
      <c r="U258" s="399">
        <v>0.56396000000000002</v>
      </c>
      <c r="V258" s="25">
        <v>0.56794</v>
      </c>
      <c r="W258" s="417">
        <v>0.21941831794722641</v>
      </c>
      <c r="X258" s="399">
        <v>1.3363700000000001</v>
      </c>
      <c r="Y258" s="25">
        <v>0</v>
      </c>
      <c r="Z258" s="417">
        <v>7.6221327196819176E-3</v>
      </c>
      <c r="AA258" s="555"/>
      <c r="AB258" s="27"/>
      <c r="AC258" s="411"/>
    </row>
    <row r="259" spans="1:29" customFormat="1" ht="14.5">
      <c r="A259" s="2"/>
      <c r="B259" s="1223"/>
      <c r="C259" s="2"/>
      <c r="D259" s="1025"/>
      <c r="E259" s="1027" t="s">
        <v>462</v>
      </c>
      <c r="F259" s="601">
        <v>0</v>
      </c>
      <c r="G259" s="49">
        <v>0</v>
      </c>
      <c r="H259" s="559">
        <v>0</v>
      </c>
      <c r="I259" s="560">
        <v>0</v>
      </c>
      <c r="J259" s="48">
        <v>0</v>
      </c>
      <c r="K259" s="561">
        <v>0</v>
      </c>
      <c r="L259" s="561">
        <v>0</v>
      </c>
      <c r="M259" s="561">
        <v>0</v>
      </c>
      <c r="N259" s="561">
        <v>0</v>
      </c>
      <c r="O259" s="399">
        <v>0</v>
      </c>
      <c r="P259" s="25">
        <v>0</v>
      </c>
      <c r="Q259" s="417">
        <v>0</v>
      </c>
      <c r="R259" s="399">
        <v>0</v>
      </c>
      <c r="S259" s="25">
        <v>0</v>
      </c>
      <c r="T259" s="417">
        <v>0</v>
      </c>
      <c r="U259" s="399">
        <v>0</v>
      </c>
      <c r="V259" s="25">
        <v>0</v>
      </c>
      <c r="W259" s="417">
        <v>0</v>
      </c>
      <c r="X259" s="399">
        <v>0</v>
      </c>
      <c r="Y259" s="25">
        <v>0</v>
      </c>
      <c r="Z259" s="417">
        <v>0</v>
      </c>
      <c r="AA259" s="555"/>
      <c r="AB259" s="27"/>
      <c r="AC259" s="411"/>
    </row>
    <row r="260" spans="1:29" customFormat="1" ht="14.5">
      <c r="A260" s="2"/>
      <c r="B260" s="1223"/>
      <c r="C260" s="2"/>
      <c r="D260" s="1025"/>
      <c r="E260" s="1027" t="s">
        <v>500</v>
      </c>
      <c r="F260" s="601">
        <v>0</v>
      </c>
      <c r="G260" s="49">
        <v>0</v>
      </c>
      <c r="H260" s="559">
        <v>0</v>
      </c>
      <c r="I260" s="560">
        <v>0</v>
      </c>
      <c r="J260" s="48">
        <v>0</v>
      </c>
      <c r="K260" s="561">
        <v>0</v>
      </c>
      <c r="L260" s="561">
        <v>1.355</v>
      </c>
      <c r="M260" s="561">
        <v>1.827</v>
      </c>
      <c r="N260" s="561">
        <v>2.0631809088131298E-2</v>
      </c>
      <c r="O260" s="399">
        <v>0.08</v>
      </c>
      <c r="P260" s="25">
        <v>0.24199999999999999</v>
      </c>
      <c r="Q260" s="417">
        <v>0.1018274397302775</v>
      </c>
      <c r="R260" s="399">
        <v>1.1118800000000002</v>
      </c>
      <c r="S260" s="25">
        <v>1.0438799999999999</v>
      </c>
      <c r="T260" s="417">
        <v>0.12741224008496488</v>
      </c>
      <c r="U260" s="399">
        <v>0</v>
      </c>
      <c r="V260" s="25">
        <v>0</v>
      </c>
      <c r="W260" s="417">
        <v>0.12588546058114733</v>
      </c>
      <c r="X260" s="399">
        <v>0</v>
      </c>
      <c r="Y260" s="25">
        <v>0</v>
      </c>
      <c r="Z260" s="417">
        <v>6.4393000000000002E-3</v>
      </c>
      <c r="AA260" s="555"/>
      <c r="AB260" s="27"/>
      <c r="AC260" s="411"/>
    </row>
    <row r="261" spans="1:29" customFormat="1" ht="14.5">
      <c r="A261" s="2"/>
      <c r="B261" s="1223"/>
      <c r="C261" s="2"/>
      <c r="D261" s="1025"/>
      <c r="E261" s="1027" t="s">
        <v>501</v>
      </c>
      <c r="F261" s="601">
        <v>0.5</v>
      </c>
      <c r="G261" s="49">
        <v>6.2009249272869542E-2</v>
      </c>
      <c r="H261" s="559">
        <v>0</v>
      </c>
      <c r="I261" s="560">
        <v>0.94688454422829094</v>
      </c>
      <c r="J261" s="48">
        <v>0.82016687837293256</v>
      </c>
      <c r="K261" s="561">
        <v>6.3961517700339377E-3</v>
      </c>
      <c r="L261" s="561">
        <v>3.9480000000000004</v>
      </c>
      <c r="M261" s="561">
        <v>0.82</v>
      </c>
      <c r="N261" s="561">
        <v>8.7259603854904194E-2</v>
      </c>
      <c r="O261" s="399">
        <v>0</v>
      </c>
      <c r="P261" s="25">
        <v>0</v>
      </c>
      <c r="Q261" s="417">
        <v>1.5106627553051805E-2</v>
      </c>
      <c r="R261" s="399">
        <v>0</v>
      </c>
      <c r="S261" s="25">
        <v>0</v>
      </c>
      <c r="T261" s="417">
        <v>0.19348903164615769</v>
      </c>
      <c r="U261" s="399">
        <v>0</v>
      </c>
      <c r="V261" s="25">
        <v>0</v>
      </c>
      <c r="W261" s="417">
        <v>0.19117045465909693</v>
      </c>
      <c r="X261" s="399">
        <v>0</v>
      </c>
      <c r="Y261" s="25">
        <v>0</v>
      </c>
      <c r="Z261" s="417">
        <v>3.6366229999999999E-2</v>
      </c>
      <c r="AA261" s="555"/>
      <c r="AB261" s="27"/>
      <c r="AC261" s="411"/>
    </row>
    <row r="262" spans="1:29" customFormat="1" ht="14.5">
      <c r="A262" s="2"/>
      <c r="B262" s="1223"/>
      <c r="C262" s="2"/>
      <c r="D262" s="1025"/>
      <c r="E262" s="1027" t="s">
        <v>502</v>
      </c>
      <c r="F262" s="601">
        <v>0</v>
      </c>
      <c r="G262" s="49">
        <v>0</v>
      </c>
      <c r="H262" s="559">
        <v>0</v>
      </c>
      <c r="I262" s="560">
        <v>0.96903596704333073</v>
      </c>
      <c r="J262" s="48">
        <v>0.80359495563060157</v>
      </c>
      <c r="K262" s="561">
        <v>0.2098531932099845</v>
      </c>
      <c r="L262" s="561">
        <v>0.02</v>
      </c>
      <c r="M262" s="561">
        <v>0</v>
      </c>
      <c r="N262" s="561">
        <v>5.1411231203652819E-2</v>
      </c>
      <c r="O262" s="399">
        <v>0.62590000000000001</v>
      </c>
      <c r="P262" s="25">
        <v>0.45069999999999999</v>
      </c>
      <c r="Q262" s="417">
        <v>4.1852375314498716E-2</v>
      </c>
      <c r="R262" s="399">
        <v>0</v>
      </c>
      <c r="S262" s="25">
        <v>0</v>
      </c>
      <c r="T262" s="417">
        <v>6.9796003023651104E-2</v>
      </c>
      <c r="U262" s="399">
        <v>0.76868000000000003</v>
      </c>
      <c r="V262" s="25">
        <v>1.1946099999999999</v>
      </c>
      <c r="W262" s="417">
        <v>6.8959638269418408E-2</v>
      </c>
      <c r="X262" s="399">
        <v>1.0322500000000001</v>
      </c>
      <c r="Y262" s="25">
        <v>0.28968317562000001</v>
      </c>
      <c r="Z262" s="417">
        <v>0.19426499000000003</v>
      </c>
      <c r="AA262" s="555"/>
      <c r="AB262" s="27"/>
      <c r="AC262" s="411"/>
    </row>
    <row r="263" spans="1:29" customFormat="1" ht="24">
      <c r="A263" s="2"/>
      <c r="B263" s="1223"/>
      <c r="C263" s="2"/>
      <c r="D263" s="1025" t="str">
        <f>D188</f>
        <v>SSEH</v>
      </c>
      <c r="E263" s="1026" t="s">
        <v>503</v>
      </c>
      <c r="F263" s="601" t="s">
        <v>428</v>
      </c>
      <c r="G263" s="49" t="s">
        <v>428</v>
      </c>
      <c r="H263" s="559" t="s">
        <v>428</v>
      </c>
      <c r="I263" s="560">
        <v>0</v>
      </c>
      <c r="J263" s="48">
        <v>0</v>
      </c>
      <c r="K263" s="561">
        <v>6.3408102886124876E-2</v>
      </c>
      <c r="L263" s="561">
        <v>1.9219999999999999</v>
      </c>
      <c r="M263" s="561">
        <v>2.5089999999999999</v>
      </c>
      <c r="N263" s="561">
        <v>0.21979426581692785</v>
      </c>
      <c r="O263" s="399">
        <v>0</v>
      </c>
      <c r="P263" s="25">
        <v>0</v>
      </c>
      <c r="Q263" s="417">
        <v>0.17587290213054349</v>
      </c>
      <c r="R263" s="399">
        <v>0</v>
      </c>
      <c r="S263" s="25">
        <v>0</v>
      </c>
      <c r="T263" s="417">
        <v>0.13723096839273061</v>
      </c>
      <c r="U263" s="399">
        <v>2.3069999999999999</v>
      </c>
      <c r="V263" s="25">
        <v>2.2770000000000001</v>
      </c>
      <c r="W263" s="417">
        <v>0</v>
      </c>
      <c r="X263" s="399">
        <v>0</v>
      </c>
      <c r="Y263" s="25">
        <v>0</v>
      </c>
      <c r="Z263" s="417">
        <v>2.794307E-2</v>
      </c>
      <c r="AA263" s="555"/>
      <c r="AB263" s="27"/>
      <c r="AC263" s="411"/>
    </row>
    <row r="264" spans="1:29" customFormat="1" ht="35.5">
      <c r="A264" s="2"/>
      <c r="B264" s="1223"/>
      <c r="C264" s="2"/>
      <c r="D264" s="1025"/>
      <c r="E264" s="1026" t="s">
        <v>504</v>
      </c>
      <c r="F264" s="601"/>
      <c r="G264" s="49"/>
      <c r="H264" s="559" t="s">
        <v>428</v>
      </c>
      <c r="I264" s="560">
        <v>0</v>
      </c>
      <c r="J264" s="48">
        <v>0</v>
      </c>
      <c r="K264" s="561">
        <v>0.21331072922956165</v>
      </c>
      <c r="L264" s="561">
        <v>0</v>
      </c>
      <c r="M264" s="561">
        <v>0</v>
      </c>
      <c r="N264" s="561">
        <v>0.70568429917499664</v>
      </c>
      <c r="O264" s="399">
        <v>2.3289999999999997</v>
      </c>
      <c r="P264" s="25">
        <v>2.8440000000000003</v>
      </c>
      <c r="Q264" s="417">
        <v>2.8477540950484988E-2</v>
      </c>
      <c r="R264" s="399">
        <v>0</v>
      </c>
      <c r="S264" s="25">
        <v>0</v>
      </c>
      <c r="T264" s="417">
        <v>0.13723096839273061</v>
      </c>
      <c r="U264" s="399">
        <v>8.907</v>
      </c>
      <c r="V264" s="25">
        <v>8.4469999999999992</v>
      </c>
      <c r="W264" s="417">
        <v>0</v>
      </c>
      <c r="X264" s="399">
        <v>0</v>
      </c>
      <c r="Y264" s="25">
        <v>0</v>
      </c>
      <c r="Z264" s="417">
        <v>9.7516390000000008E-2</v>
      </c>
      <c r="AA264" s="555"/>
      <c r="AB264" s="27"/>
      <c r="AC264" s="411"/>
    </row>
    <row r="265" spans="1:29" customFormat="1" ht="14.5">
      <c r="A265" s="2"/>
      <c r="B265" s="1223"/>
      <c r="C265" s="2"/>
      <c r="D265" s="1025" t="str">
        <f>D189</f>
        <v>SSES</v>
      </c>
      <c r="E265" s="1026" t="s">
        <v>505</v>
      </c>
      <c r="F265" s="601">
        <v>0.4</v>
      </c>
      <c r="G265" s="49">
        <v>0</v>
      </c>
      <c r="H265" s="559">
        <v>0.43165088188935108</v>
      </c>
      <c r="I265" s="560">
        <v>0</v>
      </c>
      <c r="J265" s="48">
        <v>0</v>
      </c>
      <c r="K265" s="561">
        <v>4.753118361309018E-3</v>
      </c>
      <c r="L265" s="561">
        <v>0</v>
      </c>
      <c r="M265" s="561">
        <v>0</v>
      </c>
      <c r="N265" s="561">
        <v>8.0068804325810816E-2</v>
      </c>
      <c r="O265" s="399">
        <v>0</v>
      </c>
      <c r="P265" s="25">
        <v>0</v>
      </c>
      <c r="Q265" s="417">
        <v>0</v>
      </c>
      <c r="R265" s="399">
        <v>0</v>
      </c>
      <c r="S265" s="25">
        <v>0</v>
      </c>
      <c r="T265" s="417">
        <v>0.37684445617632695</v>
      </c>
      <c r="U265" s="399">
        <v>0.38629999999999998</v>
      </c>
      <c r="V265" s="25">
        <v>0.58508000000000004</v>
      </c>
      <c r="W265" s="417">
        <v>3.111203337559958E-2</v>
      </c>
      <c r="X265" s="399">
        <v>0</v>
      </c>
      <c r="Y265" s="25">
        <v>0</v>
      </c>
      <c r="Z265" s="417">
        <v>7.2285799999999997E-2</v>
      </c>
      <c r="AA265" s="555"/>
      <c r="AB265" s="27"/>
      <c r="AC265" s="411"/>
    </row>
    <row r="266" spans="1:29" customFormat="1" ht="14.5">
      <c r="A266" s="2"/>
      <c r="B266" s="1223"/>
      <c r="C266" s="2"/>
      <c r="D266" s="1028"/>
      <c r="E266" s="1026" t="s">
        <v>506</v>
      </c>
      <c r="F266" s="601">
        <v>0.8</v>
      </c>
      <c r="G266" s="49">
        <v>0.8</v>
      </c>
      <c r="H266" s="559">
        <v>0.11489247741960354</v>
      </c>
      <c r="I266" s="560">
        <v>0</v>
      </c>
      <c r="J266" s="48">
        <v>0</v>
      </c>
      <c r="K266" s="561">
        <v>2.7468437139234397E-2</v>
      </c>
      <c r="L266" s="561">
        <v>0</v>
      </c>
      <c r="M266" s="561">
        <v>0</v>
      </c>
      <c r="N266" s="561">
        <v>0.12121456092365444</v>
      </c>
      <c r="O266" s="399">
        <v>0</v>
      </c>
      <c r="P266" s="25">
        <v>0</v>
      </c>
      <c r="Q266" s="417">
        <v>0</v>
      </c>
      <c r="R266" s="399">
        <v>0</v>
      </c>
      <c r="S266" s="25">
        <v>0</v>
      </c>
      <c r="T266" s="417">
        <v>0</v>
      </c>
      <c r="U266" s="399">
        <v>0</v>
      </c>
      <c r="V266" s="25">
        <v>0</v>
      </c>
      <c r="W266" s="417">
        <v>0</v>
      </c>
      <c r="X266" s="399">
        <v>0</v>
      </c>
      <c r="Y266" s="25">
        <v>0</v>
      </c>
      <c r="Z266" s="417">
        <v>0</v>
      </c>
      <c r="AA266" s="555"/>
      <c r="AB266" s="27"/>
      <c r="AC266" s="411"/>
    </row>
    <row r="267" spans="1:29" customFormat="1" ht="14.5">
      <c r="A267" s="2"/>
      <c r="B267" s="1223"/>
      <c r="C267" s="1029"/>
      <c r="D267" s="1028"/>
      <c r="E267" s="603" t="s">
        <v>507</v>
      </c>
      <c r="F267" s="601">
        <v>0</v>
      </c>
      <c r="G267" s="49">
        <v>0</v>
      </c>
      <c r="H267" s="559">
        <v>0</v>
      </c>
      <c r="I267" s="560">
        <v>3.5270000000000001</v>
      </c>
      <c r="J267" s="48">
        <v>3.4969999999999999</v>
      </c>
      <c r="K267" s="561">
        <v>0.30440464162540759</v>
      </c>
      <c r="L267" s="561">
        <v>0</v>
      </c>
      <c r="M267" s="561">
        <v>0</v>
      </c>
      <c r="N267" s="561">
        <v>2.100365087956698E-2</v>
      </c>
      <c r="O267" s="399">
        <v>0</v>
      </c>
      <c r="P267" s="25">
        <v>0</v>
      </c>
      <c r="Q267" s="417">
        <v>4.7034355500021191E-3</v>
      </c>
      <c r="R267" s="399">
        <v>0</v>
      </c>
      <c r="S267" s="25">
        <v>0</v>
      </c>
      <c r="T267" s="417">
        <v>0</v>
      </c>
      <c r="U267" s="399">
        <v>0</v>
      </c>
      <c r="V267" s="25">
        <v>0</v>
      </c>
      <c r="W267" s="417">
        <v>0</v>
      </c>
      <c r="X267" s="399">
        <v>0</v>
      </c>
      <c r="Y267" s="25">
        <v>0</v>
      </c>
      <c r="Z267" s="417">
        <v>0.48090238000000002</v>
      </c>
      <c r="AA267" s="555"/>
      <c r="AB267" s="27"/>
      <c r="AC267" s="411"/>
    </row>
    <row r="268" spans="1:29" customFormat="1" ht="14.5">
      <c r="A268" s="2"/>
      <c r="B268" s="1223"/>
      <c r="C268" s="1029"/>
      <c r="D268" s="1028"/>
      <c r="E268" s="603" t="s">
        <v>508</v>
      </c>
      <c r="F268" s="601">
        <v>0</v>
      </c>
      <c r="G268" s="49">
        <v>0</v>
      </c>
      <c r="H268" s="559">
        <v>0</v>
      </c>
      <c r="I268" s="560">
        <v>2.5</v>
      </c>
      <c r="J268" s="48">
        <v>3.47</v>
      </c>
      <c r="K268" s="561">
        <v>0.19779626946021012</v>
      </c>
      <c r="L268" s="561">
        <v>0</v>
      </c>
      <c r="M268" s="561">
        <v>0</v>
      </c>
      <c r="N268" s="561">
        <v>7.8382533720371909E-3</v>
      </c>
      <c r="O268" s="399">
        <v>0</v>
      </c>
      <c r="P268" s="25">
        <v>0</v>
      </c>
      <c r="Q268" s="417">
        <v>0.12645758635266213</v>
      </c>
      <c r="R268" s="399">
        <v>1.0129999999999999</v>
      </c>
      <c r="S268" s="25">
        <v>1.3622100000000001</v>
      </c>
      <c r="T268" s="417">
        <v>1.1749784958815313E-3</v>
      </c>
      <c r="U268" s="399">
        <v>0</v>
      </c>
      <c r="V268" s="25">
        <v>0</v>
      </c>
      <c r="W268" s="417">
        <v>9.5992310490299743E-4</v>
      </c>
      <c r="X268" s="399">
        <v>1.2050000000000001</v>
      </c>
      <c r="Y268" s="25">
        <v>1.347</v>
      </c>
      <c r="Z268" s="417">
        <v>0.10125075</v>
      </c>
      <c r="AA268" s="555"/>
      <c r="AB268" s="27"/>
      <c r="AC268" s="411"/>
    </row>
    <row r="269" spans="1:29" customFormat="1" ht="14.5">
      <c r="A269" s="2"/>
      <c r="B269" s="1223"/>
      <c r="C269" s="2"/>
      <c r="D269" s="1028"/>
      <c r="E269" s="603" t="s">
        <v>509</v>
      </c>
      <c r="F269" s="601">
        <v>0</v>
      </c>
      <c r="G269" s="49">
        <v>0</v>
      </c>
      <c r="H269" s="559">
        <v>0</v>
      </c>
      <c r="I269" s="560">
        <v>0</v>
      </c>
      <c r="J269" s="48">
        <v>0</v>
      </c>
      <c r="K269" s="561">
        <v>6.5551061918850395E-4</v>
      </c>
      <c r="L269" s="561">
        <v>0</v>
      </c>
      <c r="M269" s="561">
        <v>0</v>
      </c>
      <c r="N269" s="561">
        <v>0</v>
      </c>
      <c r="O269" s="399">
        <v>0</v>
      </c>
      <c r="P269" s="25">
        <v>0</v>
      </c>
      <c r="Q269" s="417">
        <v>0</v>
      </c>
      <c r="R269" s="399">
        <v>0</v>
      </c>
      <c r="S269" s="25">
        <v>0</v>
      </c>
      <c r="T269" s="417">
        <v>0</v>
      </c>
      <c r="U269" s="399">
        <v>0</v>
      </c>
      <c r="V269" s="25">
        <v>0</v>
      </c>
      <c r="W269" s="417">
        <v>0</v>
      </c>
      <c r="X269" s="399">
        <v>0.16</v>
      </c>
      <c r="Y269" s="25">
        <v>0.15700000000000003</v>
      </c>
      <c r="Z269" s="417">
        <v>0</v>
      </c>
      <c r="AA269" s="555"/>
      <c r="AB269" s="27"/>
      <c r="AC269" s="411"/>
    </row>
    <row r="270" spans="1:29" customFormat="1" ht="14.5">
      <c r="A270" s="2"/>
      <c r="B270" s="1223"/>
      <c r="C270" s="2"/>
      <c r="D270" s="1028"/>
      <c r="E270" s="603" t="s">
        <v>510</v>
      </c>
      <c r="F270" s="601">
        <v>0</v>
      </c>
      <c r="G270" s="49">
        <v>0</v>
      </c>
      <c r="H270" s="559">
        <v>0</v>
      </c>
      <c r="I270" s="560">
        <v>0</v>
      </c>
      <c r="J270" s="48">
        <v>0</v>
      </c>
      <c r="K270" s="561">
        <v>0</v>
      </c>
      <c r="L270" s="561">
        <v>0</v>
      </c>
      <c r="M270" s="561">
        <v>0</v>
      </c>
      <c r="N270" s="561">
        <v>0</v>
      </c>
      <c r="O270" s="399">
        <v>0</v>
      </c>
      <c r="P270" s="25">
        <v>0</v>
      </c>
      <c r="Q270" s="417">
        <v>1.9772050595112039E-2</v>
      </c>
      <c r="R270" s="399">
        <v>0</v>
      </c>
      <c r="S270" s="25">
        <v>0</v>
      </c>
      <c r="T270" s="417">
        <v>0</v>
      </c>
      <c r="U270" s="399">
        <v>0.18570000000000003</v>
      </c>
      <c r="V270" s="25">
        <v>0.40392</v>
      </c>
      <c r="W270" s="417">
        <v>0</v>
      </c>
      <c r="X270" s="399">
        <v>2.5719999999999996</v>
      </c>
      <c r="Y270" s="25">
        <v>2.5109999999999997</v>
      </c>
      <c r="Z270" s="417">
        <v>0.18225527000000002</v>
      </c>
      <c r="AA270" s="555"/>
      <c r="AB270" s="27"/>
      <c r="AC270" s="411"/>
    </row>
    <row r="271" spans="1:29" customFormat="1" ht="24">
      <c r="A271" s="2"/>
      <c r="B271" s="1223"/>
      <c r="C271" s="2"/>
      <c r="D271" s="973"/>
      <c r="E271" s="983" t="s">
        <v>511</v>
      </c>
      <c r="F271" s="974"/>
      <c r="G271" s="975"/>
      <c r="H271" s="976"/>
      <c r="I271" s="977"/>
      <c r="J271" s="978"/>
      <c r="K271" s="979"/>
      <c r="L271" s="979"/>
      <c r="M271" s="979"/>
      <c r="N271" s="979"/>
      <c r="O271" s="980"/>
      <c r="P271" s="981"/>
      <c r="Q271" s="982"/>
      <c r="R271" s="980">
        <v>0</v>
      </c>
      <c r="S271" s="981">
        <v>0</v>
      </c>
      <c r="T271" s="417">
        <v>0</v>
      </c>
      <c r="U271" s="980">
        <v>0</v>
      </c>
      <c r="V271" s="981">
        <v>0</v>
      </c>
      <c r="W271" s="417">
        <v>0</v>
      </c>
      <c r="X271" s="980">
        <v>0</v>
      </c>
      <c r="Y271" s="981">
        <v>0</v>
      </c>
      <c r="Z271" s="982">
        <v>0</v>
      </c>
      <c r="AA271" s="555"/>
      <c r="AB271" s="27"/>
      <c r="AC271" s="411"/>
    </row>
    <row r="272" spans="1:29" customFormat="1" ht="35.5">
      <c r="A272" s="2"/>
      <c r="B272" s="1223"/>
      <c r="C272" s="2"/>
      <c r="D272" s="973"/>
      <c r="E272" s="983" t="s">
        <v>512</v>
      </c>
      <c r="F272" s="974"/>
      <c r="G272" s="975"/>
      <c r="H272" s="976"/>
      <c r="I272" s="977"/>
      <c r="J272" s="978"/>
      <c r="K272" s="979"/>
      <c r="L272" s="979"/>
      <c r="M272" s="979"/>
      <c r="N272" s="979"/>
      <c r="O272" s="980"/>
      <c r="P272" s="981"/>
      <c r="Q272" s="982"/>
      <c r="R272" s="980">
        <v>1.381</v>
      </c>
      <c r="S272" s="981">
        <v>1.4</v>
      </c>
      <c r="T272" s="417">
        <v>0</v>
      </c>
      <c r="U272" s="980">
        <v>0</v>
      </c>
      <c r="V272" s="981">
        <v>0</v>
      </c>
      <c r="W272" s="417">
        <v>0</v>
      </c>
      <c r="X272" s="980">
        <v>0</v>
      </c>
      <c r="Y272" s="981">
        <v>0</v>
      </c>
      <c r="Z272" s="982">
        <v>0</v>
      </c>
      <c r="AA272" s="555"/>
      <c r="AB272" s="27"/>
      <c r="AC272" s="411"/>
    </row>
    <row r="273" spans="1:29" customFormat="1" ht="14.5">
      <c r="A273" s="2"/>
      <c r="B273" s="1223"/>
      <c r="C273" s="2"/>
      <c r="D273" s="973"/>
      <c r="E273" s="983" t="s">
        <v>513</v>
      </c>
      <c r="F273" s="974"/>
      <c r="G273" s="975"/>
      <c r="H273" s="976"/>
      <c r="I273" s="977"/>
      <c r="J273" s="978"/>
      <c r="K273" s="979"/>
      <c r="L273" s="979"/>
      <c r="M273" s="979"/>
      <c r="N273" s="979"/>
      <c r="O273" s="980"/>
      <c r="P273" s="981"/>
      <c r="Q273" s="982"/>
      <c r="R273" s="980">
        <v>0</v>
      </c>
      <c r="S273" s="981">
        <v>0</v>
      </c>
      <c r="T273" s="417">
        <v>0</v>
      </c>
      <c r="U273" s="980">
        <v>0</v>
      </c>
      <c r="V273" s="981">
        <v>0</v>
      </c>
      <c r="W273" s="417">
        <v>0</v>
      </c>
      <c r="X273" s="980">
        <v>0</v>
      </c>
      <c r="Y273" s="981">
        <v>0</v>
      </c>
      <c r="Z273" s="982">
        <v>0</v>
      </c>
      <c r="AA273" s="555"/>
      <c r="AB273" s="27"/>
      <c r="AC273" s="411"/>
    </row>
    <row r="274" spans="1:29" customFormat="1" ht="14.5">
      <c r="A274" s="2"/>
      <c r="B274" s="1223"/>
      <c r="C274" s="2"/>
      <c r="D274" s="973"/>
      <c r="E274" s="983" t="s">
        <v>514</v>
      </c>
      <c r="F274" s="974"/>
      <c r="G274" s="975"/>
      <c r="H274" s="976"/>
      <c r="I274" s="977"/>
      <c r="J274" s="978"/>
      <c r="K274" s="979"/>
      <c r="L274" s="979"/>
      <c r="M274" s="979"/>
      <c r="N274" s="979"/>
      <c r="O274" s="980"/>
      <c r="P274" s="981"/>
      <c r="Q274" s="982"/>
      <c r="R274" s="980">
        <v>0</v>
      </c>
      <c r="S274" s="981">
        <v>0</v>
      </c>
      <c r="T274" s="417">
        <v>0</v>
      </c>
      <c r="U274" s="980">
        <v>0</v>
      </c>
      <c r="V274" s="981">
        <v>0</v>
      </c>
      <c r="W274" s="417">
        <v>0</v>
      </c>
      <c r="X274" s="980">
        <v>0</v>
      </c>
      <c r="Y274" s="981">
        <v>0</v>
      </c>
      <c r="Z274" s="982">
        <v>0</v>
      </c>
      <c r="AA274" s="555"/>
      <c r="AB274" s="27"/>
      <c r="AC274" s="411"/>
    </row>
    <row r="275" spans="1:29" customFormat="1" ht="14.5">
      <c r="A275" s="2"/>
      <c r="B275" s="1223"/>
      <c r="C275" s="2"/>
      <c r="D275" s="973"/>
      <c r="E275" s="983" t="s">
        <v>486</v>
      </c>
      <c r="F275" s="974"/>
      <c r="G275" s="975"/>
      <c r="H275" s="976"/>
      <c r="I275" s="977"/>
      <c r="J275" s="978"/>
      <c r="K275" s="979"/>
      <c r="L275" s="979"/>
      <c r="M275" s="979"/>
      <c r="N275" s="979"/>
      <c r="O275" s="980"/>
      <c r="P275" s="981"/>
      <c r="Q275" s="982"/>
      <c r="R275" s="980">
        <v>0</v>
      </c>
      <c r="S275" s="981">
        <v>0</v>
      </c>
      <c r="T275" s="417">
        <v>0</v>
      </c>
      <c r="U275" s="980">
        <v>0</v>
      </c>
      <c r="V275" s="981">
        <v>0</v>
      </c>
      <c r="W275" s="417">
        <v>0</v>
      </c>
      <c r="X275" s="980">
        <v>0</v>
      </c>
      <c r="Y275" s="981">
        <v>0</v>
      </c>
      <c r="Z275" s="982">
        <v>0</v>
      </c>
      <c r="AA275" s="555"/>
      <c r="AB275" s="27"/>
      <c r="AC275" s="411"/>
    </row>
    <row r="276" spans="1:29" customFormat="1" ht="14.5">
      <c r="A276" s="2"/>
      <c r="B276" s="1223"/>
      <c r="C276" s="2"/>
      <c r="D276" s="973"/>
      <c r="E276" s="983" t="s">
        <v>515</v>
      </c>
      <c r="F276" s="974"/>
      <c r="G276" s="975"/>
      <c r="H276" s="976"/>
      <c r="I276" s="977"/>
      <c r="J276" s="978"/>
      <c r="K276" s="979"/>
      <c r="L276" s="979"/>
      <c r="M276" s="979"/>
      <c r="N276" s="979"/>
      <c r="O276" s="980"/>
      <c r="P276" s="981"/>
      <c r="Q276" s="982"/>
      <c r="R276" s="980">
        <v>0</v>
      </c>
      <c r="S276" s="981">
        <v>0</v>
      </c>
      <c r="T276" s="417">
        <v>0</v>
      </c>
      <c r="U276" s="980">
        <v>0</v>
      </c>
      <c r="V276" s="981">
        <v>0</v>
      </c>
      <c r="W276" s="417">
        <v>0</v>
      </c>
      <c r="X276" s="980">
        <v>0</v>
      </c>
      <c r="Y276" s="981">
        <v>0</v>
      </c>
      <c r="Z276" s="982">
        <v>4.8064399999999995E-3</v>
      </c>
      <c r="AA276" s="555"/>
      <c r="AB276" s="27"/>
      <c r="AC276" s="411"/>
    </row>
    <row r="277" spans="1:29" customFormat="1" ht="15" thickBot="1">
      <c r="A277" s="2"/>
      <c r="B277" s="1223"/>
      <c r="C277" s="2"/>
      <c r="D277" s="1260" t="s">
        <v>516</v>
      </c>
      <c r="E277" s="1261"/>
      <c r="F277" s="602">
        <f>SUM(F198:F266)</f>
        <v>37.619127999999996</v>
      </c>
      <c r="G277" s="568">
        <f>SUM(G198:G266)</f>
        <v>34.262697970072864</v>
      </c>
      <c r="H277" s="569">
        <f>SUM(H198:H266)</f>
        <v>4.9902908538253108</v>
      </c>
      <c r="I277" s="572">
        <f t="shared" ref="I277:N277" si="41">SUM(I198:I270)</f>
        <v>41.65640660329624</v>
      </c>
      <c r="J277" s="569">
        <f t="shared" si="41"/>
        <v>46.593523785835949</v>
      </c>
      <c r="K277" s="573">
        <f t="shared" si="41"/>
        <v>7.8776508418863145</v>
      </c>
      <c r="L277" s="573">
        <f t="shared" si="41"/>
        <v>34.326660328807961</v>
      </c>
      <c r="M277" s="573">
        <f t="shared" si="41"/>
        <v>40.948794713791116</v>
      </c>
      <c r="N277" s="573">
        <f t="shared" si="41"/>
        <v>7.3573803869094245</v>
      </c>
      <c r="O277" s="401">
        <f>SUM(O198:O270)</f>
        <v>23.119427000000005</v>
      </c>
      <c r="P277" s="402">
        <f>SUM(P198:P270)</f>
        <v>29.973218423999999</v>
      </c>
      <c r="Q277" s="468">
        <f>SUM(Q198:Q270)</f>
        <v>5.3277871858781447</v>
      </c>
      <c r="R277" s="401">
        <f t="shared" ref="R277:T277" si="42">SUM(R198:R276)</f>
        <v>44.580582</v>
      </c>
      <c r="S277" s="402">
        <f t="shared" si="42"/>
        <v>47.836073999999996</v>
      </c>
      <c r="T277" s="468">
        <f t="shared" si="42"/>
        <v>7.6214284480717334</v>
      </c>
      <c r="U277" s="401">
        <f t="shared" ref="U277:Z277" si="43">SUM(U198:U276)</f>
        <v>39.713349999999998</v>
      </c>
      <c r="V277" s="402">
        <f t="shared" si="43"/>
        <v>45.331973999999995</v>
      </c>
      <c r="W277" s="468">
        <f>SUM(W198:W276)</f>
        <v>6.3107624139741461</v>
      </c>
      <c r="X277" s="401">
        <f t="shared" si="43"/>
        <v>50.773352422117277</v>
      </c>
      <c r="Y277" s="402">
        <f t="shared" si="43"/>
        <v>45.31024966634164</v>
      </c>
      <c r="Z277" s="468">
        <f t="shared" si="43"/>
        <v>9.1615847481971144</v>
      </c>
      <c r="AA277" s="555"/>
      <c r="AB277" s="27"/>
      <c r="AC277" s="411"/>
    </row>
    <row r="278" spans="1:29">
      <c r="B278" s="1223"/>
      <c r="D278" s="40" t="s">
        <v>435</v>
      </c>
    </row>
    <row r="279" spans="1:29">
      <c r="B279" s="1223"/>
      <c r="D279" s="43"/>
    </row>
    <row r="280" spans="1:29" ht="12" thickBot="1">
      <c r="B280" s="1223"/>
      <c r="D280" s="1" t="s">
        <v>517</v>
      </c>
      <c r="E280" s="233"/>
    </row>
    <row r="281" spans="1:29">
      <c r="B281" s="1223"/>
      <c r="D281" s="519"/>
      <c r="E281" s="596" t="s">
        <v>137</v>
      </c>
      <c r="F281" s="597"/>
      <c r="G281" s="574"/>
      <c r="H281" s="598" t="s">
        <v>138</v>
      </c>
      <c r="I281" s="1023"/>
      <c r="J281" s="599"/>
      <c r="K281" s="1023" t="s">
        <v>139</v>
      </c>
      <c r="L281" s="1023"/>
      <c r="M281" s="1023"/>
      <c r="N281" s="598" t="s">
        <v>140</v>
      </c>
      <c r="O281" s="1023"/>
      <c r="P281" s="599"/>
      <c r="Q281" s="1023" t="s">
        <v>141</v>
      </c>
      <c r="R281" s="1023"/>
      <c r="S281" s="1023"/>
      <c r="T281" s="598" t="s">
        <v>126</v>
      </c>
      <c r="U281" s="1023"/>
      <c r="V281" s="599"/>
      <c r="W281" s="1023" t="s">
        <v>142</v>
      </c>
      <c r="X281" s="1023"/>
      <c r="Y281" s="1023"/>
      <c r="Z281" s="598" t="s">
        <v>143</v>
      </c>
      <c r="AA281" s="1023"/>
      <c r="AB281" s="599"/>
    </row>
    <row r="282" spans="1:29" ht="69.5" thickBot="1">
      <c r="B282" s="1223"/>
      <c r="D282" s="519"/>
      <c r="E282" s="575" t="s">
        <v>518</v>
      </c>
      <c r="F282" s="521" t="s">
        <v>519</v>
      </c>
      <c r="G282" s="570" t="s">
        <v>441</v>
      </c>
      <c r="H282" s="571" t="s">
        <v>518</v>
      </c>
      <c r="I282" s="381" t="s">
        <v>519</v>
      </c>
      <c r="J282" s="566" t="s">
        <v>441</v>
      </c>
      <c r="K282" s="385" t="s">
        <v>518</v>
      </c>
      <c r="L282" s="381" t="s">
        <v>519</v>
      </c>
      <c r="M282" s="384" t="s">
        <v>441</v>
      </c>
      <c r="N282" s="571" t="s">
        <v>518</v>
      </c>
      <c r="O282" s="381" t="s">
        <v>519</v>
      </c>
      <c r="P282" s="566" t="s">
        <v>441</v>
      </c>
      <c r="Q282" s="385" t="s">
        <v>518</v>
      </c>
      <c r="R282" s="381" t="s">
        <v>519</v>
      </c>
      <c r="S282" s="384" t="s">
        <v>441</v>
      </c>
      <c r="T282" s="571" t="s">
        <v>518</v>
      </c>
      <c r="U282" s="381" t="s">
        <v>519</v>
      </c>
      <c r="V282" s="566" t="s">
        <v>441</v>
      </c>
      <c r="W282" s="385" t="s">
        <v>518</v>
      </c>
      <c r="X282" s="381" t="s">
        <v>519</v>
      </c>
      <c r="Y282" s="384" t="s">
        <v>441</v>
      </c>
      <c r="Z282" s="571" t="s">
        <v>518</v>
      </c>
      <c r="AA282" s="381" t="s">
        <v>519</v>
      </c>
      <c r="AB282" s="566" t="s">
        <v>441</v>
      </c>
    </row>
    <row r="283" spans="1:29">
      <c r="B283" s="1223"/>
      <c r="D283" s="562" t="s">
        <v>161</v>
      </c>
      <c r="E283" s="549">
        <f t="shared" ref="E283:J283" si="44">SUM(F198:F204)</f>
        <v>3.79</v>
      </c>
      <c r="F283" s="49">
        <f t="shared" si="44"/>
        <v>3.41</v>
      </c>
      <c r="G283" s="559">
        <f t="shared" si="44"/>
        <v>1.033670735207574</v>
      </c>
      <c r="H283" s="560">
        <f t="shared" si="44"/>
        <v>11.229999999999999</v>
      </c>
      <c r="I283" s="48">
        <f t="shared" si="44"/>
        <v>12.206</v>
      </c>
      <c r="J283" s="561">
        <f t="shared" si="44"/>
        <v>1.1113371724446905</v>
      </c>
      <c r="K283" s="561">
        <f t="shared" ref="K283:P283" si="45">SUM(L198:L204)</f>
        <v>4.8840000000000003</v>
      </c>
      <c r="L283" s="561">
        <f t="shared" si="45"/>
        <v>4.46</v>
      </c>
      <c r="M283" s="561">
        <f t="shared" si="45"/>
        <v>1.2177547020821509</v>
      </c>
      <c r="N283" s="560">
        <f t="shared" si="45"/>
        <v>7.3109999999999999</v>
      </c>
      <c r="O283" s="48">
        <f t="shared" si="45"/>
        <v>9.1999999999999993</v>
      </c>
      <c r="P283" s="48">
        <f t="shared" si="45"/>
        <v>1.1893984240174325</v>
      </c>
      <c r="Q283" s="560">
        <f t="shared" ref="Q283:V283" si="46">SUM(R198:R204)</f>
        <v>7.1759999999999993</v>
      </c>
      <c r="R283" s="48">
        <f t="shared" si="46"/>
        <v>8.613999999999999</v>
      </c>
      <c r="S283" s="48">
        <f>SUM(T198:T204)</f>
        <v>1.339703821559183</v>
      </c>
      <c r="T283" s="560">
        <f t="shared" si="46"/>
        <v>11.231000000000002</v>
      </c>
      <c r="U283" s="48">
        <f t="shared" si="46"/>
        <v>14.828999999999999</v>
      </c>
      <c r="V283" s="48">
        <f t="shared" si="46"/>
        <v>1.7998375966814621</v>
      </c>
      <c r="W283" s="560">
        <f t="shared" ref="W283" si="47">SUM(X198:X204)</f>
        <v>5.6769999999999996</v>
      </c>
      <c r="X283" s="48">
        <f t="shared" ref="X283" si="48">SUM(Y198:Y204)</f>
        <v>8.1059999999999999</v>
      </c>
      <c r="Y283" s="48">
        <f t="shared" ref="Y283" si="49">SUM(Z198:Z204)</f>
        <v>1.7091443208636479</v>
      </c>
      <c r="Z283" s="585"/>
      <c r="AA283" s="154"/>
      <c r="AB283" s="576"/>
    </row>
    <row r="284" spans="1:29">
      <c r="B284" s="1223"/>
      <c r="D284" s="563" t="s">
        <v>187</v>
      </c>
      <c r="E284" s="549">
        <f t="shared" ref="E284:J284" si="50">SUM(F205:F215)</f>
        <v>16.863</v>
      </c>
      <c r="F284" s="49">
        <f t="shared" si="50"/>
        <v>16.911999999999999</v>
      </c>
      <c r="G284" s="559">
        <f t="shared" si="50"/>
        <v>1.4593777506804868</v>
      </c>
      <c r="H284" s="560">
        <f t="shared" si="50"/>
        <v>13.010999999999999</v>
      </c>
      <c r="I284" s="48">
        <f t="shared" si="50"/>
        <v>12.521000000000001</v>
      </c>
      <c r="J284" s="561">
        <f t="shared" si="50"/>
        <v>3.3290354261688253</v>
      </c>
      <c r="K284" s="561">
        <f t="shared" ref="K284:P284" si="51">SUM(L205:L215)</f>
        <v>13.865000000000002</v>
      </c>
      <c r="L284" s="561">
        <f t="shared" si="51"/>
        <v>15.614999999999998</v>
      </c>
      <c r="M284" s="561">
        <f t="shared" si="51"/>
        <v>2.7332264307724947</v>
      </c>
      <c r="N284" s="560">
        <f t="shared" si="51"/>
        <v>11.31</v>
      </c>
      <c r="O284" s="48">
        <f t="shared" si="51"/>
        <v>13.092000000000001</v>
      </c>
      <c r="P284" s="48">
        <f t="shared" si="51"/>
        <v>2.2812463232178426</v>
      </c>
      <c r="Q284" s="560">
        <f t="shared" ref="Q284:V284" si="52">SUM(R205:R215)</f>
        <v>13.622999999999999</v>
      </c>
      <c r="R284" s="48">
        <f t="shared" si="52"/>
        <v>15.997</v>
      </c>
      <c r="S284" s="48">
        <f t="shared" si="52"/>
        <v>2.4904277269032611</v>
      </c>
      <c r="T284" s="560">
        <f t="shared" si="52"/>
        <v>6.2160000000000002</v>
      </c>
      <c r="U284" s="48">
        <f t="shared" si="52"/>
        <v>7.8600000000000012</v>
      </c>
      <c r="V284" s="48">
        <f t="shared" si="52"/>
        <v>2.5637241355945699</v>
      </c>
      <c r="W284" s="560">
        <f t="shared" ref="W284" si="53">SUM(X205:X215)</f>
        <v>13.990000000000002</v>
      </c>
      <c r="X284" s="48">
        <f t="shared" ref="X284" si="54">SUM(Y205:Y215)</f>
        <v>11.395</v>
      </c>
      <c r="Y284" s="48">
        <f t="shared" ref="Y284" si="55">SUM(Z205:Z215)</f>
        <v>2.8927147000260423</v>
      </c>
      <c r="Z284" s="585"/>
      <c r="AA284" s="154"/>
      <c r="AB284" s="576"/>
    </row>
    <row r="285" spans="1:29">
      <c r="B285" s="1223"/>
      <c r="D285" s="563" t="s">
        <v>1410</v>
      </c>
      <c r="E285" s="549">
        <f t="shared" ref="E285:J285" si="56">SUM(F216:F240)</f>
        <v>8.8164899999999999</v>
      </c>
      <c r="F285" s="49">
        <f t="shared" si="56"/>
        <v>5.0293910000000004</v>
      </c>
      <c r="G285" s="559">
        <f t="shared" si="56"/>
        <v>0.91357141150123566</v>
      </c>
      <c r="H285" s="560">
        <f t="shared" si="56"/>
        <v>4.7705356959999996</v>
      </c>
      <c r="I285" s="48">
        <f t="shared" si="56"/>
        <v>8.5921704190000003</v>
      </c>
      <c r="J285" s="561">
        <f t="shared" si="56"/>
        <v>1.5837935032000967</v>
      </c>
      <c r="K285" s="561">
        <f t="shared" ref="K285:P285" si="57">SUM(L216:L240)</f>
        <v>3.104535523</v>
      </c>
      <c r="L285" s="561">
        <f t="shared" si="57"/>
        <v>9.4531193519999981</v>
      </c>
      <c r="M285" s="561">
        <f t="shared" si="57"/>
        <v>1.4328336898162295</v>
      </c>
      <c r="N285" s="560">
        <f t="shared" si="57"/>
        <v>0.80448699999999995</v>
      </c>
      <c r="O285" s="48">
        <f t="shared" si="57"/>
        <v>1.472618424</v>
      </c>
      <c r="P285" s="48">
        <f t="shared" si="57"/>
        <v>0.18374725740183831</v>
      </c>
      <c r="Q285" s="560">
        <f t="shared" ref="Q285:V285" si="58">SUM(R216:R240)</f>
        <v>11.626961999999999</v>
      </c>
      <c r="R285" s="48">
        <f t="shared" si="58"/>
        <v>9.3752040000000001</v>
      </c>
      <c r="S285" s="48">
        <f t="shared" si="58"/>
        <v>1.2461971414369235</v>
      </c>
      <c r="T285" s="560">
        <f t="shared" si="58"/>
        <v>3.5617400000000004</v>
      </c>
      <c r="U285" s="48">
        <f t="shared" si="58"/>
        <v>3.5751639999999996</v>
      </c>
      <c r="V285" s="48">
        <f t="shared" si="58"/>
        <v>0.52004987862429819</v>
      </c>
      <c r="W285" s="560">
        <f t="shared" ref="W285" si="59">SUM(X216:X240)</f>
        <v>2.7871100000000002</v>
      </c>
      <c r="X285" s="48">
        <f t="shared" ref="X285" si="60">SUM(Y216:Y240)</f>
        <v>2.3537499999999998</v>
      </c>
      <c r="Y285" s="48">
        <f t="shared" ref="Y285" si="61">SUM(Z216:Z240)</f>
        <v>0.65999203751309987</v>
      </c>
      <c r="Z285" s="585"/>
      <c r="AA285" s="154"/>
      <c r="AB285" s="576"/>
    </row>
    <row r="286" spans="1:29">
      <c r="B286" s="1223"/>
      <c r="D286" s="563" t="s">
        <v>188</v>
      </c>
      <c r="E286" s="549">
        <f t="shared" ref="E286:J286" si="62">SUM(F241:F250)</f>
        <v>5.3496379999999997</v>
      </c>
      <c r="F286" s="49">
        <f t="shared" si="62"/>
        <v>8.0181249999999995</v>
      </c>
      <c r="G286" s="559">
        <f t="shared" si="62"/>
        <v>0.97949559770730799</v>
      </c>
      <c r="H286" s="560">
        <f t="shared" si="62"/>
        <v>4.6489278199999999</v>
      </c>
      <c r="I286" s="48">
        <f t="shared" si="62"/>
        <v>3.6454460649999998</v>
      </c>
      <c r="J286" s="561">
        <f t="shared" si="62"/>
        <v>0.6259720100613092</v>
      </c>
      <c r="K286" s="561">
        <f t="shared" ref="K286:P286" si="63">SUM(L241:L250)</f>
        <v>2.0534879999999998</v>
      </c>
      <c r="L286" s="561">
        <f t="shared" si="63"/>
        <v>3.449360167</v>
      </c>
      <c r="M286" s="561">
        <f t="shared" si="63"/>
        <v>0.25919007130092797</v>
      </c>
      <c r="N286" s="560">
        <f t="shared" si="63"/>
        <v>0.53191999999999995</v>
      </c>
      <c r="O286" s="48">
        <f t="shared" si="63"/>
        <v>2.6718999999999999</v>
      </c>
      <c r="P286" s="48">
        <f t="shared" si="63"/>
        <v>0.86358175250116487</v>
      </c>
      <c r="Q286" s="560">
        <f t="shared" ref="Q286:V286" si="64">SUM(R241:R250)</f>
        <v>8.4470200000000002</v>
      </c>
      <c r="R286" s="48">
        <f t="shared" si="64"/>
        <v>9.9145500000000002</v>
      </c>
      <c r="S286" s="48">
        <f t="shared" si="64"/>
        <v>1.2798416178208067</v>
      </c>
      <c r="T286" s="560">
        <f t="shared" si="64"/>
        <v>5.4224199999999998</v>
      </c>
      <c r="U286" s="48">
        <f t="shared" si="64"/>
        <v>5.5922600000000005</v>
      </c>
      <c r="V286" s="48">
        <f t="shared" si="64"/>
        <v>0.78964497513642395</v>
      </c>
      <c r="W286" s="560">
        <f t="shared" ref="W286" si="65">SUM(X241:X250)</f>
        <v>14.271829999999998</v>
      </c>
      <c r="X286" s="48">
        <f t="shared" ref="X286" si="66">SUM(Y241:Y250)</f>
        <v>10.65568</v>
      </c>
      <c r="Y286" s="48">
        <f t="shared" ref="Y286" si="67">SUM(Z241:Z250)</f>
        <v>2.3022140452169646</v>
      </c>
      <c r="Z286" s="585"/>
      <c r="AA286" s="154"/>
      <c r="AB286" s="576"/>
    </row>
    <row r="287" spans="1:29">
      <c r="B287" s="1223"/>
      <c r="D287" s="563" t="s">
        <v>189</v>
      </c>
      <c r="E287" s="549">
        <f t="shared" ref="E287:J287" si="68">SUM(F251:F262)</f>
        <v>1.6</v>
      </c>
      <c r="F287" s="49">
        <f t="shared" si="68"/>
        <v>9.3181970072869547E-2</v>
      </c>
      <c r="G287" s="559">
        <f t="shared" si="68"/>
        <v>5.7631999419751806E-2</v>
      </c>
      <c r="H287" s="560">
        <f t="shared" si="68"/>
        <v>1.9689430872962421</v>
      </c>
      <c r="I287" s="48">
        <f t="shared" si="68"/>
        <v>2.6619073018359547</v>
      </c>
      <c r="J287" s="561">
        <f t="shared" si="68"/>
        <v>0.41571592069035523</v>
      </c>
      <c r="K287" s="561">
        <f>SUM(L251:L262)</f>
        <v>8.4976368058079519</v>
      </c>
      <c r="L287" s="561">
        <f>SUM(M251:M262)</f>
        <v>5.4623151947911222</v>
      </c>
      <c r="M287" s="561">
        <f>SUM(N251:N262)</f>
        <v>0.55877165844462628</v>
      </c>
      <c r="N287" s="560">
        <f>SUM(O251:O262)</f>
        <v>0.83302000000000009</v>
      </c>
      <c r="O287" s="48">
        <f>SUM(P251:P262)</f>
        <v>0.69269999999999998</v>
      </c>
      <c r="P287" s="48">
        <f t="shared" ref="P287:V287" si="69">SUM(Q251:Q262)</f>
        <v>0.45452991316106262</v>
      </c>
      <c r="Q287" s="560">
        <f t="shared" si="69"/>
        <v>1.3136000000000001</v>
      </c>
      <c r="R287" s="48">
        <f t="shared" si="69"/>
        <v>1.1731099999999999</v>
      </c>
      <c r="S287" s="48">
        <f t="shared" si="69"/>
        <v>0.61277676889389243</v>
      </c>
      <c r="T287" s="560">
        <f t="shared" si="69"/>
        <v>1.4961899999999999</v>
      </c>
      <c r="U287" s="48">
        <f t="shared" si="69"/>
        <v>1.7625500000000001</v>
      </c>
      <c r="V287" s="48">
        <f t="shared" si="69"/>
        <v>0.60543387145688909</v>
      </c>
      <c r="W287" s="560">
        <f t="shared" ref="W287" si="70">SUM(X251:X262)</f>
        <v>10.110412422117289</v>
      </c>
      <c r="X287" s="48">
        <f t="shared" ref="X287" si="71">SUM(Y251:Y262)</f>
        <v>8.7848196663416385</v>
      </c>
      <c r="Y287" s="48">
        <f t="shared" ref="Y287" si="72">SUM(Z251:Z262)</f>
        <v>0.6305595445773573</v>
      </c>
      <c r="Z287" s="585"/>
      <c r="AA287" s="154"/>
      <c r="AB287" s="576"/>
    </row>
    <row r="288" spans="1:29">
      <c r="B288" s="1223"/>
      <c r="D288" s="563" t="s">
        <v>190</v>
      </c>
      <c r="E288" s="549">
        <f t="shared" ref="E288:J288" si="73">SUM(F263:F270)</f>
        <v>1.2000000000000002</v>
      </c>
      <c r="F288" s="49">
        <f t="shared" si="73"/>
        <v>0.8</v>
      </c>
      <c r="G288" s="559">
        <f t="shared" si="73"/>
        <v>0.54654335930895459</v>
      </c>
      <c r="H288" s="560">
        <f t="shared" si="73"/>
        <v>6.0270000000000001</v>
      </c>
      <c r="I288" s="48">
        <f t="shared" si="73"/>
        <v>6.9670000000000005</v>
      </c>
      <c r="J288" s="561">
        <f t="shared" si="73"/>
        <v>0.81179680932103615</v>
      </c>
      <c r="K288" s="561">
        <f t="shared" ref="K288:P288" si="74">SUM(L263:L270)</f>
        <v>1.9219999999999999</v>
      </c>
      <c r="L288" s="561">
        <f t="shared" si="74"/>
        <v>2.5089999999999999</v>
      </c>
      <c r="M288" s="561">
        <f t="shared" si="74"/>
        <v>1.1556038344929938</v>
      </c>
      <c r="N288" s="560">
        <f t="shared" si="74"/>
        <v>2.3289999999999997</v>
      </c>
      <c r="O288" s="48">
        <f t="shared" si="74"/>
        <v>2.8440000000000003</v>
      </c>
      <c r="P288" s="48">
        <f t="shared" si="74"/>
        <v>0.35528351557880478</v>
      </c>
      <c r="Q288" s="560">
        <f t="shared" ref="Q288:V288" si="75">SUM(R263:R276)</f>
        <v>2.3940000000000001</v>
      </c>
      <c r="R288" s="48">
        <f t="shared" si="75"/>
        <v>2.7622100000000001</v>
      </c>
      <c r="S288" s="48">
        <f t="shared" si="75"/>
        <v>0.65248137145766971</v>
      </c>
      <c r="T288" s="560">
        <f t="shared" si="75"/>
        <v>11.786000000000001</v>
      </c>
      <c r="U288" s="48">
        <f t="shared" si="75"/>
        <v>11.712999999999999</v>
      </c>
      <c r="V288" s="48">
        <f t="shared" si="75"/>
        <v>3.2071956480502581E-2</v>
      </c>
      <c r="W288" s="560">
        <f t="shared" ref="W288" si="76">SUM(X263:X276)</f>
        <v>3.9369999999999994</v>
      </c>
      <c r="X288" s="48">
        <f t="shared" ref="X288" si="77">SUM(Y263:Y276)</f>
        <v>4.0149999999999997</v>
      </c>
      <c r="Y288" s="48">
        <f t="shared" ref="Y288" si="78">SUM(Z263:Z276)</f>
        <v>0.96696009999999999</v>
      </c>
      <c r="Z288" s="585"/>
      <c r="AA288" s="154"/>
      <c r="AB288" s="576"/>
    </row>
    <row r="289" spans="2:28" s="1" customFormat="1" ht="12" thickBot="1">
      <c r="B289" s="1223"/>
      <c r="D289" s="564" t="s">
        <v>174</v>
      </c>
      <c r="E289" s="577">
        <f t="shared" ref="E289:M289" si="79">SUM(E283:E288)</f>
        <v>37.619128000000003</v>
      </c>
      <c r="F289" s="578">
        <f t="shared" si="79"/>
        <v>34.262697970072864</v>
      </c>
      <c r="G289" s="582">
        <f t="shared" si="79"/>
        <v>4.9902908538253108</v>
      </c>
      <c r="H289" s="583">
        <f t="shared" si="79"/>
        <v>41.65640660329624</v>
      </c>
      <c r="I289" s="579">
        <f t="shared" si="79"/>
        <v>46.593523785835956</v>
      </c>
      <c r="J289" s="584">
        <f t="shared" si="79"/>
        <v>7.8776508418863136</v>
      </c>
      <c r="K289" s="584">
        <f t="shared" si="79"/>
        <v>34.326660328807947</v>
      </c>
      <c r="L289" s="584">
        <f t="shared" si="79"/>
        <v>40.948794713791123</v>
      </c>
      <c r="M289" s="584">
        <f t="shared" si="79"/>
        <v>7.3573803869094228</v>
      </c>
      <c r="N289" s="583">
        <f t="shared" ref="N289:S289" si="80">SUM(N283:N288)</f>
        <v>23.119427000000005</v>
      </c>
      <c r="O289" s="579">
        <f t="shared" si="80"/>
        <v>29.973218424000002</v>
      </c>
      <c r="P289" s="584">
        <f t="shared" si="80"/>
        <v>5.3277871858781456</v>
      </c>
      <c r="Q289" s="583">
        <f t="shared" si="80"/>
        <v>44.580582</v>
      </c>
      <c r="R289" s="579">
        <f t="shared" si="80"/>
        <v>47.836074000000004</v>
      </c>
      <c r="S289" s="584">
        <f t="shared" si="80"/>
        <v>7.6214284480717378</v>
      </c>
      <c r="T289" s="583">
        <f t="shared" ref="T289:Y289" si="81">SUM(T283:T288)</f>
        <v>39.713350000000005</v>
      </c>
      <c r="U289" s="579">
        <f t="shared" si="81"/>
        <v>45.331974000000002</v>
      </c>
      <c r="V289" s="584">
        <f t="shared" si="81"/>
        <v>6.3107624139741469</v>
      </c>
      <c r="W289" s="583">
        <f t="shared" si="81"/>
        <v>50.773352422117284</v>
      </c>
      <c r="X289" s="579">
        <f t="shared" si="81"/>
        <v>45.31024966634164</v>
      </c>
      <c r="Y289" s="584">
        <f t="shared" si="81"/>
        <v>9.1615847481971127</v>
      </c>
      <c r="Z289" s="586"/>
      <c r="AA289" s="580"/>
      <c r="AB289" s="581"/>
    </row>
    <row r="291" spans="2:28" ht="12" thickBot="1">
      <c r="D291" s="1"/>
      <c r="I291" s="902"/>
    </row>
    <row r="292" spans="2:28" ht="12" thickBot="1">
      <c r="B292" s="1269" t="s">
        <v>520</v>
      </c>
      <c r="D292" s="1" t="s">
        <v>521</v>
      </c>
    </row>
    <row r="293" spans="2:28">
      <c r="B293" s="1270"/>
      <c r="D293" s="1"/>
      <c r="E293" s="1251" t="s">
        <v>137</v>
      </c>
      <c r="F293" s="1252"/>
      <c r="G293" s="1262" t="s">
        <v>138</v>
      </c>
      <c r="H293" s="1252"/>
      <c r="I293" s="1262" t="s">
        <v>139</v>
      </c>
      <c r="J293" s="1252"/>
      <c r="K293" s="1262" t="s">
        <v>140</v>
      </c>
      <c r="L293" s="1252"/>
      <c r="M293" s="1262" t="s">
        <v>141</v>
      </c>
      <c r="N293" s="1252"/>
      <c r="O293" s="1262" t="s">
        <v>126</v>
      </c>
      <c r="P293" s="1252"/>
      <c r="Q293" s="1262" t="s">
        <v>142</v>
      </c>
      <c r="R293" s="1252"/>
      <c r="S293" s="1262" t="s">
        <v>143</v>
      </c>
      <c r="T293" s="1267"/>
    </row>
    <row r="294" spans="2:28" ht="12" thickBot="1">
      <c r="B294" s="1270"/>
      <c r="E294" s="538" t="s">
        <v>522</v>
      </c>
      <c r="F294" s="513" t="s">
        <v>523</v>
      </c>
      <c r="G294" s="513" t="s">
        <v>522</v>
      </c>
      <c r="H294" s="513" t="s">
        <v>523</v>
      </c>
      <c r="I294" s="388" t="s">
        <v>522</v>
      </c>
      <c r="J294" s="388" t="s">
        <v>523</v>
      </c>
      <c r="K294" s="388" t="s">
        <v>522</v>
      </c>
      <c r="L294" s="388" t="s">
        <v>523</v>
      </c>
      <c r="M294" s="388" t="s">
        <v>522</v>
      </c>
      <c r="N294" s="388" t="s">
        <v>523</v>
      </c>
      <c r="O294" s="388" t="s">
        <v>522</v>
      </c>
      <c r="P294" s="388" t="s">
        <v>523</v>
      </c>
      <c r="Q294" s="388" t="s">
        <v>522</v>
      </c>
      <c r="R294" s="388" t="s">
        <v>523</v>
      </c>
      <c r="S294" s="388" t="s">
        <v>522</v>
      </c>
      <c r="T294" s="588" t="s">
        <v>523</v>
      </c>
    </row>
    <row r="295" spans="2:28">
      <c r="B295" s="1270"/>
      <c r="D295" s="406" t="s">
        <v>161</v>
      </c>
      <c r="E295" s="589">
        <v>0</v>
      </c>
      <c r="F295" s="518">
        <v>0</v>
      </c>
      <c r="G295" s="518">
        <v>0.63639999999999997</v>
      </c>
      <c r="H295" s="518">
        <v>3.024</v>
      </c>
      <c r="I295" s="25">
        <v>0.3478</v>
      </c>
      <c r="J295" s="25">
        <v>4.774</v>
      </c>
      <c r="K295" s="25">
        <v>1.4800000000000001E-2</v>
      </c>
      <c r="L295" s="25">
        <v>0.46899999999999997</v>
      </c>
      <c r="M295" s="25">
        <v>0.3</v>
      </c>
      <c r="N295" s="25">
        <v>6.6779999999999999</v>
      </c>
      <c r="O295" s="25">
        <v>3.6999999999999998E-2</v>
      </c>
      <c r="P295" s="25">
        <v>16.23</v>
      </c>
      <c r="Q295" s="25">
        <v>1.1039999999999999E-2</v>
      </c>
      <c r="R295" s="25">
        <v>76.159499999999994</v>
      </c>
      <c r="S295" s="132"/>
      <c r="T295" s="424"/>
    </row>
    <row r="296" spans="2:28">
      <c r="B296" s="1270"/>
      <c r="D296" s="407" t="s">
        <v>162</v>
      </c>
      <c r="E296" s="589">
        <v>0.75700000000000001</v>
      </c>
      <c r="F296" s="518">
        <v>2.347</v>
      </c>
      <c r="G296" s="518">
        <v>0.35</v>
      </c>
      <c r="H296" s="518">
        <v>2.27</v>
      </c>
      <c r="I296" s="518">
        <v>0.60680000000000001</v>
      </c>
      <c r="J296" s="518">
        <v>3.16811</v>
      </c>
      <c r="K296" s="25">
        <v>0.4069799999999994</v>
      </c>
      <c r="L296" s="25">
        <v>3.3569100000000125</v>
      </c>
      <c r="M296" s="25">
        <v>5.9100000000000021E-2</v>
      </c>
      <c r="N296" s="25">
        <v>6.2295999999998823</v>
      </c>
      <c r="O296" s="25">
        <v>0.05</v>
      </c>
      <c r="P296" s="25">
        <v>12.03</v>
      </c>
      <c r="Q296" s="25">
        <v>0.10630000000000001</v>
      </c>
      <c r="R296" s="25">
        <v>19.184719999999999</v>
      </c>
      <c r="S296" s="132"/>
      <c r="T296" s="424"/>
    </row>
    <row r="297" spans="2:28">
      <c r="B297" s="1270"/>
      <c r="D297" s="407" t="s">
        <v>163</v>
      </c>
      <c r="E297" s="589">
        <v>0.72299999999999998</v>
      </c>
      <c r="F297" s="518">
        <v>2.2229999999999999</v>
      </c>
      <c r="G297" s="518">
        <v>0.18</v>
      </c>
      <c r="H297" s="518">
        <v>2.76</v>
      </c>
      <c r="I297" s="518">
        <v>0.41070000000000001</v>
      </c>
      <c r="J297" s="518">
        <v>3.11972</v>
      </c>
      <c r="K297" s="25">
        <v>0.76446000000000158</v>
      </c>
      <c r="L297" s="25">
        <v>7.8285199999998252</v>
      </c>
      <c r="M297" s="25">
        <v>0.11459999999999995</v>
      </c>
      <c r="N297" s="25">
        <v>7.3555399999998459</v>
      </c>
      <c r="O297" s="25">
        <v>0.06</v>
      </c>
      <c r="P297" s="25">
        <v>20.190000000000001</v>
      </c>
      <c r="Q297" s="25">
        <v>0.101844</v>
      </c>
      <c r="R297" s="25">
        <v>32.974460000000001</v>
      </c>
      <c r="S297" s="132"/>
      <c r="T297" s="424"/>
    </row>
    <row r="298" spans="2:28">
      <c r="B298" s="1270"/>
      <c r="D298" s="407" t="s">
        <v>164</v>
      </c>
      <c r="E298" s="589">
        <v>0.93103999999999998</v>
      </c>
      <c r="F298" s="518">
        <v>3.0733060000000001</v>
      </c>
      <c r="G298" s="518">
        <v>0.28196000000000038</v>
      </c>
      <c r="H298" s="518">
        <v>3.2932500000000036</v>
      </c>
      <c r="I298" s="518">
        <v>0.87119999999999997</v>
      </c>
      <c r="J298" s="518">
        <v>6.36</v>
      </c>
      <c r="K298" s="25">
        <v>0.35</v>
      </c>
      <c r="L298" s="25">
        <v>5.55</v>
      </c>
      <c r="M298" s="25">
        <v>0.22</v>
      </c>
      <c r="N298" s="25">
        <v>10.94</v>
      </c>
      <c r="O298" s="25">
        <v>0.11181000000000001</v>
      </c>
      <c r="P298" s="25">
        <v>16.138169999999999</v>
      </c>
      <c r="Q298" s="25">
        <v>0.16</v>
      </c>
      <c r="R298" s="25">
        <v>62.15</v>
      </c>
      <c r="S298" s="132"/>
      <c r="T298" s="424"/>
    </row>
    <row r="299" spans="2:28">
      <c r="B299" s="1270"/>
      <c r="D299" s="407" t="s">
        <v>165</v>
      </c>
      <c r="E299" s="589">
        <v>2.10128</v>
      </c>
      <c r="F299" s="518">
        <v>3.99533</v>
      </c>
      <c r="G299" s="518">
        <v>0.35661000000000037</v>
      </c>
      <c r="H299" s="518">
        <v>4.766879999999988</v>
      </c>
      <c r="I299" s="518">
        <v>1.2529999999999999</v>
      </c>
      <c r="J299" s="518">
        <v>8.048</v>
      </c>
      <c r="K299" s="25">
        <v>0.56000000000000005</v>
      </c>
      <c r="L299" s="25">
        <v>7.17</v>
      </c>
      <c r="M299" s="25">
        <v>0.36</v>
      </c>
      <c r="N299" s="25">
        <v>15.21</v>
      </c>
      <c r="O299" s="25">
        <v>0.32501999999999998</v>
      </c>
      <c r="P299" s="25">
        <v>17.552060000000001</v>
      </c>
      <c r="Q299" s="25">
        <v>0.24</v>
      </c>
      <c r="R299" s="25">
        <v>67.73</v>
      </c>
      <c r="S299" s="132"/>
      <c r="T299" s="424"/>
    </row>
    <row r="300" spans="2:28">
      <c r="B300" s="1270"/>
      <c r="D300" s="407" t="s">
        <v>166</v>
      </c>
      <c r="E300" s="589">
        <v>0.26495999999999997</v>
      </c>
      <c r="F300" s="518">
        <v>0.38041999999999998</v>
      </c>
      <c r="G300" s="518">
        <v>8.7170000000000039E-2</v>
      </c>
      <c r="H300" s="518">
        <v>0.90556999999999999</v>
      </c>
      <c r="I300" s="518">
        <v>0.184</v>
      </c>
      <c r="J300" s="518">
        <v>1.653</v>
      </c>
      <c r="K300" s="25">
        <v>0.121</v>
      </c>
      <c r="L300" s="25">
        <v>1.31</v>
      </c>
      <c r="M300" s="25">
        <v>0.13</v>
      </c>
      <c r="N300" s="25">
        <v>2.73</v>
      </c>
      <c r="O300" s="25">
        <v>4.768E-2</v>
      </c>
      <c r="P300" s="25">
        <v>3.8443400000000003</v>
      </c>
      <c r="Q300" s="25">
        <v>0.21</v>
      </c>
      <c r="R300" s="25">
        <v>2</v>
      </c>
      <c r="S300" s="132"/>
      <c r="T300" s="424"/>
    </row>
    <row r="301" spans="2:28">
      <c r="B301" s="1270"/>
      <c r="D301" s="407" t="s">
        <v>167</v>
      </c>
      <c r="E301" s="589">
        <v>0.52624000000000004</v>
      </c>
      <c r="F301" s="518">
        <v>2.1286499999999999</v>
      </c>
      <c r="G301" s="518">
        <v>0.14448000000000014</v>
      </c>
      <c r="H301" s="518">
        <v>1.3137100000000002</v>
      </c>
      <c r="I301" s="518">
        <v>0.52600000000000002</v>
      </c>
      <c r="J301" s="518">
        <v>3.4394</v>
      </c>
      <c r="K301" s="25">
        <v>0.312</v>
      </c>
      <c r="L301" s="25">
        <v>2.52</v>
      </c>
      <c r="M301" s="25">
        <v>0.15</v>
      </c>
      <c r="N301" s="25">
        <v>7.9</v>
      </c>
      <c r="O301" s="25">
        <v>6.9760000000000003E-2</v>
      </c>
      <c r="P301" s="25">
        <v>7.1939500000000001</v>
      </c>
      <c r="Q301" s="25">
        <v>0.04</v>
      </c>
      <c r="R301" s="25">
        <v>27.69</v>
      </c>
      <c r="S301" s="132"/>
      <c r="T301" s="424"/>
    </row>
    <row r="302" spans="2:28">
      <c r="B302" s="1270"/>
      <c r="D302" s="407" t="s">
        <v>168</v>
      </c>
      <c r="E302" s="589">
        <v>0.73119999999999985</v>
      </c>
      <c r="F302" s="518">
        <v>6.3309800000000021</v>
      </c>
      <c r="G302" s="518">
        <v>0.92057999999999951</v>
      </c>
      <c r="H302" s="518">
        <v>5.3858800000000189</v>
      </c>
      <c r="I302" s="518">
        <v>1.3723000000000021</v>
      </c>
      <c r="J302" s="518">
        <v>14.10676000000004</v>
      </c>
      <c r="K302" s="25">
        <v>3.2997199999999696</v>
      </c>
      <c r="L302" s="25">
        <v>17.861779999999957</v>
      </c>
      <c r="M302" s="25">
        <v>4.7933599999999013</v>
      </c>
      <c r="N302" s="25">
        <v>28.176419999999911</v>
      </c>
      <c r="O302" s="25">
        <v>7.0772599999998027</v>
      </c>
      <c r="P302" s="25">
        <v>31.425059999999874</v>
      </c>
      <c r="Q302" s="25">
        <v>6.5035999999998095</v>
      </c>
      <c r="R302" s="25">
        <v>40.233679999999914</v>
      </c>
      <c r="S302" s="132"/>
      <c r="T302" s="424"/>
    </row>
    <row r="303" spans="2:28">
      <c r="B303" s="1270"/>
      <c r="D303" s="407" t="s">
        <v>169</v>
      </c>
      <c r="E303" s="589">
        <v>1.4690800000000079</v>
      </c>
      <c r="F303" s="518">
        <v>8.253359999999935</v>
      </c>
      <c r="G303" s="518">
        <v>1.2110600000000038</v>
      </c>
      <c r="H303" s="518">
        <v>7.9915599999998825</v>
      </c>
      <c r="I303" s="518">
        <v>1.4088600000000091</v>
      </c>
      <c r="J303" s="518">
        <v>14.757739999999814</v>
      </c>
      <c r="K303" s="25">
        <v>1.2015200000000028</v>
      </c>
      <c r="L303" s="25">
        <v>22.859179999999832</v>
      </c>
      <c r="M303" s="25">
        <v>2.1047600000000068</v>
      </c>
      <c r="N303" s="25">
        <v>33.116180000000433</v>
      </c>
      <c r="O303" s="25">
        <v>2.061840000000001</v>
      </c>
      <c r="P303" s="25">
        <v>55.532600000002091</v>
      </c>
      <c r="Q303" s="25">
        <v>1.6266800000000048</v>
      </c>
      <c r="R303" s="25">
        <v>77.982160000001855</v>
      </c>
      <c r="S303" s="132"/>
      <c r="T303" s="424"/>
    </row>
    <row r="304" spans="2:28">
      <c r="B304" s="1270"/>
      <c r="D304" s="407" t="s">
        <v>170</v>
      </c>
      <c r="E304" s="589">
        <v>2.2806000000000082</v>
      </c>
      <c r="F304" s="518">
        <v>12.880899999999874</v>
      </c>
      <c r="G304" s="518">
        <v>1.8348400000000102</v>
      </c>
      <c r="H304" s="518">
        <v>17.203359999999936</v>
      </c>
      <c r="I304" s="518">
        <v>2.1503000000000152</v>
      </c>
      <c r="J304" s="518">
        <v>24.562099999999759</v>
      </c>
      <c r="K304" s="25">
        <v>1.8868600000000069</v>
      </c>
      <c r="L304" s="25">
        <v>33.223160000000782</v>
      </c>
      <c r="M304" s="25">
        <v>2.3475999999999977</v>
      </c>
      <c r="N304" s="25">
        <v>51.050720000001633</v>
      </c>
      <c r="O304" s="25">
        <v>2.9894599999999785</v>
      </c>
      <c r="P304" s="25">
        <v>94.803000000003436</v>
      </c>
      <c r="Q304" s="25">
        <v>2.3458000000000045</v>
      </c>
      <c r="R304" s="25">
        <v>136.73669999999598</v>
      </c>
      <c r="S304" s="132"/>
      <c r="T304" s="424"/>
    </row>
    <row r="305" spans="2:20">
      <c r="B305" s="1270"/>
      <c r="D305" s="407" t="s">
        <v>171</v>
      </c>
      <c r="E305" s="589">
        <v>2.7073300000000007</v>
      </c>
      <c r="F305" s="518">
        <v>0</v>
      </c>
      <c r="G305" s="518">
        <v>1.4357634999999997</v>
      </c>
      <c r="H305" s="518">
        <v>0</v>
      </c>
      <c r="I305" s="518">
        <v>0.25191600000000025</v>
      </c>
      <c r="J305" s="518">
        <v>6.5550899999999928</v>
      </c>
      <c r="K305" s="25">
        <v>0.14720000000000016</v>
      </c>
      <c r="L305" s="25">
        <v>5.2007699999999897</v>
      </c>
      <c r="M305" s="25">
        <v>4.0480000000000002E-2</v>
      </c>
      <c r="N305" s="25">
        <v>10.068079999999897</v>
      </c>
      <c r="O305" s="25">
        <v>7.3600000000000002E-3</v>
      </c>
      <c r="P305" s="25">
        <v>10.22633799999987</v>
      </c>
      <c r="Q305" s="25">
        <v>0</v>
      </c>
      <c r="R305" s="25">
        <v>24.500937900000007</v>
      </c>
      <c r="S305" s="132"/>
      <c r="T305" s="424"/>
    </row>
    <row r="306" spans="2:20">
      <c r="B306" s="1270"/>
      <c r="D306" s="407" t="s">
        <v>172</v>
      </c>
      <c r="E306" s="589">
        <v>2.6960600000000081</v>
      </c>
      <c r="F306" s="518">
        <v>0</v>
      </c>
      <c r="G306" s="518">
        <v>1.4672160000000005</v>
      </c>
      <c r="H306" s="518">
        <v>0</v>
      </c>
      <c r="I306" s="518">
        <v>0.29716000000000004</v>
      </c>
      <c r="J306" s="518">
        <v>3.4699249999999906</v>
      </c>
      <c r="K306" s="25">
        <v>0.14421000000000014</v>
      </c>
      <c r="L306" s="25">
        <v>3.5098499999999957</v>
      </c>
      <c r="M306" s="25">
        <v>0.29207999999999967</v>
      </c>
      <c r="N306" s="25">
        <v>7.4832800000000042</v>
      </c>
      <c r="O306" s="25">
        <v>1.406E-2</v>
      </c>
      <c r="P306" s="25">
        <v>17.894250000000248</v>
      </c>
      <c r="Q306" s="25">
        <v>0.13931499999999999</v>
      </c>
      <c r="R306" s="25">
        <v>20.156578700000004</v>
      </c>
      <c r="S306" s="132"/>
      <c r="T306" s="424"/>
    </row>
    <row r="307" spans="2:20">
      <c r="B307" s="1270"/>
      <c r="D307" s="407" t="s">
        <v>28</v>
      </c>
      <c r="E307" s="589">
        <v>0</v>
      </c>
      <c r="F307" s="518">
        <v>0.4</v>
      </c>
      <c r="G307" s="518">
        <v>0</v>
      </c>
      <c r="H307" s="518">
        <v>0.37</v>
      </c>
      <c r="I307" s="518">
        <v>0</v>
      </c>
      <c r="J307" s="518">
        <v>2.9657695000000004</v>
      </c>
      <c r="K307" s="25">
        <v>0</v>
      </c>
      <c r="L307" s="25">
        <v>6.4189945999999978</v>
      </c>
      <c r="M307" s="25">
        <v>0</v>
      </c>
      <c r="N307" s="25">
        <v>7.5089438000000026</v>
      </c>
      <c r="O307" s="25">
        <v>7.3600000000000002E-3</v>
      </c>
      <c r="P307" s="25">
        <v>3.6419596000000158</v>
      </c>
      <c r="Q307" s="25">
        <v>0</v>
      </c>
      <c r="R307" s="25">
        <v>4.9195750999999914</v>
      </c>
      <c r="S307" s="132"/>
      <c r="T307" s="424"/>
    </row>
    <row r="308" spans="2:20">
      <c r="B308" s="1270"/>
      <c r="D308" s="407" t="s">
        <v>173</v>
      </c>
      <c r="E308" s="589">
        <v>0.4</v>
      </c>
      <c r="F308" s="518">
        <v>2.4</v>
      </c>
      <c r="G308" s="518">
        <v>0.1</v>
      </c>
      <c r="H308" s="518">
        <v>11.14</v>
      </c>
      <c r="I308" s="518">
        <v>0.1317900000000001</v>
      </c>
      <c r="J308" s="518">
        <v>29.392286899999991</v>
      </c>
      <c r="K308" s="25">
        <v>2.3E-2</v>
      </c>
      <c r="L308" s="25">
        <v>32.591622389499797</v>
      </c>
      <c r="M308" s="25">
        <v>2.3E-3</v>
      </c>
      <c r="N308" s="25">
        <v>77.437648979002333</v>
      </c>
      <c r="O308" s="25">
        <v>4.7840000000000001E-2</v>
      </c>
      <c r="P308" s="25">
        <v>20.518439270000655</v>
      </c>
      <c r="Q308" s="25">
        <v>0.11014700000000004</v>
      </c>
      <c r="R308" s="25">
        <v>38.807564400001887</v>
      </c>
      <c r="S308" s="132"/>
      <c r="T308" s="424"/>
    </row>
    <row r="309" spans="2:20" ht="12" thickBot="1">
      <c r="B309" s="1271"/>
      <c r="D309" s="408" t="s">
        <v>174</v>
      </c>
      <c r="E309" s="590">
        <f t="shared" ref="E309:J309" si="82">SUM(E295:E308)</f>
        <v>15.587790000000025</v>
      </c>
      <c r="F309" s="591">
        <f t="shared" si="82"/>
        <v>44.412945999999813</v>
      </c>
      <c r="G309" s="591">
        <f t="shared" si="82"/>
        <v>9.0060795000000144</v>
      </c>
      <c r="H309" s="591">
        <f t="shared" si="82"/>
        <v>60.424209999999825</v>
      </c>
      <c r="I309" s="591">
        <f t="shared" si="82"/>
        <v>9.8118260000000266</v>
      </c>
      <c r="J309" s="591">
        <f t="shared" si="82"/>
        <v>126.37190139999959</v>
      </c>
      <c r="K309" s="402">
        <f t="shared" ref="K309:P309" si="83">SUM(K295:K308)</f>
        <v>9.2317499999999786</v>
      </c>
      <c r="L309" s="402">
        <f t="shared" si="83"/>
        <v>149.8697869895002</v>
      </c>
      <c r="M309" s="402">
        <f t="shared" si="83"/>
        <v>10.914279999999906</v>
      </c>
      <c r="N309" s="402">
        <f t="shared" si="83"/>
        <v>271.88441277900392</v>
      </c>
      <c r="O309" s="402">
        <f t="shared" si="83"/>
        <v>12.906449999999785</v>
      </c>
      <c r="P309" s="402">
        <f t="shared" si="83"/>
        <v>327.22016687000621</v>
      </c>
      <c r="Q309" s="402">
        <f>SUM(Q295:Q308)</f>
        <v>11.594725999999818</v>
      </c>
      <c r="R309" s="402">
        <f>SUM(R295:R308)</f>
        <v>631.2258760999996</v>
      </c>
      <c r="S309" s="592"/>
      <c r="T309" s="593"/>
    </row>
    <row r="310" spans="2:20">
      <c r="B310" s="1"/>
    </row>
    <row r="312" spans="2:20" ht="12" thickBot="1">
      <c r="B312" s="1223" t="s">
        <v>91</v>
      </c>
      <c r="D312" s="1" t="s">
        <v>524</v>
      </c>
      <c r="E312" s="233"/>
      <c r="F312" s="233"/>
      <c r="G312" s="233"/>
      <c r="H312" s="233"/>
      <c r="I312" s="1"/>
      <c r="J312" s="1"/>
      <c r="K312" s="1"/>
      <c r="L312" s="1"/>
      <c r="M312" s="1"/>
      <c r="N312" s="1"/>
      <c r="O312" s="1"/>
      <c r="P312" s="1"/>
      <c r="Q312" s="1"/>
    </row>
    <row r="313" spans="2:20" ht="12" thickBot="1">
      <c r="B313" s="1223"/>
      <c r="E313" s="535" t="s">
        <v>132</v>
      </c>
      <c r="F313" s="536" t="s">
        <v>133</v>
      </c>
      <c r="G313" s="536" t="s">
        <v>134</v>
      </c>
      <c r="H313" s="536" t="s">
        <v>135</v>
      </c>
      <c r="I313" s="319" t="s">
        <v>136</v>
      </c>
      <c r="J313" s="537" t="s">
        <v>137</v>
      </c>
      <c r="K313" s="318" t="s">
        <v>138</v>
      </c>
      <c r="L313" s="318" t="s">
        <v>139</v>
      </c>
      <c r="M313" s="318" t="s">
        <v>140</v>
      </c>
      <c r="N313" s="318" t="s">
        <v>141</v>
      </c>
      <c r="O313" s="318" t="s">
        <v>126</v>
      </c>
      <c r="P313" s="318" t="s">
        <v>142</v>
      </c>
      <c r="Q313" s="319" t="s">
        <v>143</v>
      </c>
    </row>
    <row r="314" spans="2:20">
      <c r="B314" s="1223"/>
      <c r="D314" s="406" t="s">
        <v>161</v>
      </c>
      <c r="E314" s="431">
        <v>0</v>
      </c>
      <c r="F314" s="128">
        <v>0</v>
      </c>
      <c r="G314" s="128">
        <v>0</v>
      </c>
      <c r="H314" s="128">
        <v>0</v>
      </c>
      <c r="I314" s="52">
        <v>0</v>
      </c>
      <c r="J314" s="28">
        <v>38</v>
      </c>
      <c r="K314" s="28">
        <v>30</v>
      </c>
      <c r="L314" s="28">
        <v>19</v>
      </c>
      <c r="M314" s="28">
        <v>40</v>
      </c>
      <c r="N314" s="28">
        <v>16</v>
      </c>
      <c r="O314" s="28">
        <v>1</v>
      </c>
      <c r="P314" s="28">
        <v>18</v>
      </c>
      <c r="Q314" s="411"/>
    </row>
    <row r="315" spans="2:20">
      <c r="B315" s="1223"/>
      <c r="D315" s="407" t="s">
        <v>162</v>
      </c>
      <c r="E315" s="431">
        <v>0</v>
      </c>
      <c r="F315" s="128">
        <v>7</v>
      </c>
      <c r="G315" s="128">
        <v>18</v>
      </c>
      <c r="H315" s="128">
        <v>13</v>
      </c>
      <c r="I315" s="128">
        <v>17</v>
      </c>
      <c r="J315" s="28">
        <v>14</v>
      </c>
      <c r="K315" s="28">
        <v>16</v>
      </c>
      <c r="L315" s="28">
        <v>17</v>
      </c>
      <c r="M315" s="28">
        <v>23</v>
      </c>
      <c r="N315" s="28">
        <v>16</v>
      </c>
      <c r="O315" s="28">
        <v>28</v>
      </c>
      <c r="P315" s="28">
        <v>21</v>
      </c>
      <c r="Q315" s="411"/>
    </row>
    <row r="316" spans="2:20">
      <c r="B316" s="1223"/>
      <c r="D316" s="407" t="s">
        <v>163</v>
      </c>
      <c r="E316" s="431">
        <v>0</v>
      </c>
      <c r="F316" s="128">
        <v>7</v>
      </c>
      <c r="G316" s="128">
        <v>19</v>
      </c>
      <c r="H316" s="128">
        <v>17</v>
      </c>
      <c r="I316" s="128">
        <v>26</v>
      </c>
      <c r="J316" s="28">
        <v>11</v>
      </c>
      <c r="K316" s="28">
        <v>18</v>
      </c>
      <c r="L316" s="28">
        <v>27</v>
      </c>
      <c r="M316" s="28">
        <v>16</v>
      </c>
      <c r="N316" s="28">
        <v>19</v>
      </c>
      <c r="O316" s="28">
        <v>39</v>
      </c>
      <c r="P316" s="28">
        <v>26</v>
      </c>
      <c r="Q316" s="411"/>
    </row>
    <row r="317" spans="2:20">
      <c r="B317" s="1223"/>
      <c r="D317" s="407" t="s">
        <v>164</v>
      </c>
      <c r="E317" s="431">
        <v>0</v>
      </c>
      <c r="F317" s="128">
        <v>0</v>
      </c>
      <c r="G317" s="128">
        <v>0</v>
      </c>
      <c r="H317" s="128">
        <v>0</v>
      </c>
      <c r="I317" s="52">
        <v>0</v>
      </c>
      <c r="J317" s="28">
        <v>0</v>
      </c>
      <c r="K317" s="28">
        <v>6</v>
      </c>
      <c r="L317" s="28">
        <v>4</v>
      </c>
      <c r="M317" s="28">
        <v>2</v>
      </c>
      <c r="N317" s="28">
        <v>1</v>
      </c>
      <c r="O317" s="28">
        <v>6</v>
      </c>
      <c r="P317" s="28">
        <v>6</v>
      </c>
      <c r="Q317" s="411"/>
    </row>
    <row r="318" spans="2:20">
      <c r="B318" s="1223"/>
      <c r="D318" s="407" t="s">
        <v>165</v>
      </c>
      <c r="E318" s="431">
        <v>0</v>
      </c>
      <c r="F318" s="128">
        <v>0</v>
      </c>
      <c r="G318" s="128">
        <v>0</v>
      </c>
      <c r="H318" s="128">
        <v>0</v>
      </c>
      <c r="I318" s="52">
        <v>0</v>
      </c>
      <c r="J318" s="28">
        <v>0</v>
      </c>
      <c r="K318" s="28">
        <v>6</v>
      </c>
      <c r="L318" s="28">
        <v>7</v>
      </c>
      <c r="M318" s="28">
        <v>5</v>
      </c>
      <c r="N318" s="28">
        <v>3</v>
      </c>
      <c r="O318" s="28">
        <v>4</v>
      </c>
      <c r="P318" s="28">
        <v>2</v>
      </c>
      <c r="Q318" s="411"/>
    </row>
    <row r="319" spans="2:20">
      <c r="B319" s="1223"/>
      <c r="D319" s="407" t="s">
        <v>166</v>
      </c>
      <c r="E319" s="431">
        <v>0</v>
      </c>
      <c r="F319" s="128">
        <v>0</v>
      </c>
      <c r="G319" s="128">
        <v>0</v>
      </c>
      <c r="H319" s="128">
        <v>0</v>
      </c>
      <c r="I319" s="52">
        <v>0</v>
      </c>
      <c r="J319" s="28">
        <v>0</v>
      </c>
      <c r="K319" s="28">
        <v>5</v>
      </c>
      <c r="L319" s="28">
        <v>1</v>
      </c>
      <c r="M319" s="28">
        <v>6</v>
      </c>
      <c r="N319" s="28">
        <v>1</v>
      </c>
      <c r="O319" s="28">
        <v>5</v>
      </c>
      <c r="P319" s="28">
        <v>2</v>
      </c>
      <c r="Q319" s="411"/>
    </row>
    <row r="320" spans="2:20">
      <c r="B320" s="1223"/>
      <c r="D320" s="407" t="s">
        <v>167</v>
      </c>
      <c r="E320" s="431">
        <v>0</v>
      </c>
      <c r="F320" s="128">
        <v>0</v>
      </c>
      <c r="G320" s="128">
        <v>0</v>
      </c>
      <c r="H320" s="128">
        <v>0</v>
      </c>
      <c r="I320" s="52">
        <v>0</v>
      </c>
      <c r="J320" s="28">
        <v>0</v>
      </c>
      <c r="K320" s="28">
        <v>7</v>
      </c>
      <c r="L320" s="28">
        <v>6</v>
      </c>
      <c r="M320" s="28">
        <v>3</v>
      </c>
      <c r="N320" s="28">
        <v>11</v>
      </c>
      <c r="O320" s="28">
        <v>11</v>
      </c>
      <c r="P320" s="28">
        <v>10</v>
      </c>
      <c r="Q320" s="411"/>
    </row>
    <row r="321" spans="2:17">
      <c r="B321" s="1223"/>
      <c r="D321" s="407" t="s">
        <v>168</v>
      </c>
      <c r="E321" s="431">
        <v>0</v>
      </c>
      <c r="F321" s="128">
        <v>0</v>
      </c>
      <c r="G321" s="128">
        <v>0</v>
      </c>
      <c r="H321" s="128">
        <v>0</v>
      </c>
      <c r="I321" s="52">
        <v>0</v>
      </c>
      <c r="J321" s="28">
        <v>10</v>
      </c>
      <c r="K321" s="28">
        <v>9</v>
      </c>
      <c r="L321" s="28">
        <v>6</v>
      </c>
      <c r="M321" s="28">
        <v>7</v>
      </c>
      <c r="N321" s="28">
        <v>6</v>
      </c>
      <c r="O321" s="28">
        <v>20</v>
      </c>
      <c r="P321" s="28">
        <v>5</v>
      </c>
      <c r="Q321" s="411"/>
    </row>
    <row r="322" spans="2:17">
      <c r="B322" s="1223"/>
      <c r="D322" s="407" t="s">
        <v>169</v>
      </c>
      <c r="E322" s="431">
        <v>20</v>
      </c>
      <c r="F322" s="431">
        <v>3</v>
      </c>
      <c r="G322" s="431">
        <v>5</v>
      </c>
      <c r="H322" s="431">
        <v>9</v>
      </c>
      <c r="I322" s="431">
        <v>13</v>
      </c>
      <c r="J322" s="28">
        <v>13</v>
      </c>
      <c r="K322" s="28">
        <v>14</v>
      </c>
      <c r="L322" s="28">
        <v>15</v>
      </c>
      <c r="M322" s="28">
        <v>7</v>
      </c>
      <c r="N322" s="28">
        <v>22</v>
      </c>
      <c r="O322" s="28">
        <v>30</v>
      </c>
      <c r="P322" s="28">
        <v>15</v>
      </c>
      <c r="Q322" s="411"/>
    </row>
    <row r="323" spans="2:17">
      <c r="B323" s="1223"/>
      <c r="D323" s="407" t="s">
        <v>170</v>
      </c>
      <c r="E323" s="431">
        <v>13</v>
      </c>
      <c r="F323" s="431">
        <v>1</v>
      </c>
      <c r="G323" s="431">
        <v>2</v>
      </c>
      <c r="H323" s="431">
        <v>12</v>
      </c>
      <c r="I323" s="431">
        <v>0</v>
      </c>
      <c r="J323" s="28">
        <v>22</v>
      </c>
      <c r="K323" s="28">
        <v>19</v>
      </c>
      <c r="L323" s="28">
        <v>14</v>
      </c>
      <c r="M323" s="28">
        <v>12</v>
      </c>
      <c r="N323" s="28">
        <v>15</v>
      </c>
      <c r="O323" s="28">
        <v>30</v>
      </c>
      <c r="P323" s="28">
        <v>17</v>
      </c>
      <c r="Q323" s="411"/>
    </row>
    <row r="324" spans="2:17">
      <c r="B324" s="1223"/>
      <c r="D324" s="407" t="s">
        <v>171</v>
      </c>
      <c r="E324" s="431">
        <v>0</v>
      </c>
      <c r="F324" s="128">
        <v>0</v>
      </c>
      <c r="G324" s="128">
        <v>0</v>
      </c>
      <c r="H324" s="128">
        <v>0</v>
      </c>
      <c r="I324" s="52">
        <v>0</v>
      </c>
      <c r="J324" s="28">
        <v>0</v>
      </c>
      <c r="K324" s="28">
        <v>0</v>
      </c>
      <c r="L324" s="28">
        <v>4</v>
      </c>
      <c r="M324" s="28">
        <v>1</v>
      </c>
      <c r="N324" s="28">
        <v>2</v>
      </c>
      <c r="O324" s="28">
        <v>1</v>
      </c>
      <c r="P324" s="28">
        <v>2</v>
      </c>
      <c r="Q324" s="411"/>
    </row>
    <row r="325" spans="2:17">
      <c r="B325" s="1223"/>
      <c r="D325" s="407" t="s">
        <v>172</v>
      </c>
      <c r="E325" s="431">
        <v>0</v>
      </c>
      <c r="F325" s="128">
        <v>0</v>
      </c>
      <c r="G325" s="128">
        <v>0</v>
      </c>
      <c r="H325" s="128">
        <v>0</v>
      </c>
      <c r="I325" s="52">
        <v>0</v>
      </c>
      <c r="J325" s="28">
        <v>8</v>
      </c>
      <c r="K325" s="28">
        <v>2</v>
      </c>
      <c r="L325" s="28">
        <v>5</v>
      </c>
      <c r="M325" s="28">
        <v>0</v>
      </c>
      <c r="N325" s="28">
        <v>5</v>
      </c>
      <c r="O325" s="28">
        <v>4</v>
      </c>
      <c r="P325" s="28">
        <v>1</v>
      </c>
      <c r="Q325" s="411"/>
    </row>
    <row r="326" spans="2:17">
      <c r="B326" s="1223"/>
      <c r="D326" s="407" t="s">
        <v>28</v>
      </c>
      <c r="E326" s="431">
        <v>0</v>
      </c>
      <c r="F326" s="128">
        <v>0</v>
      </c>
      <c r="G326" s="128">
        <v>0</v>
      </c>
      <c r="H326" s="128">
        <v>0</v>
      </c>
      <c r="I326" s="52">
        <v>0</v>
      </c>
      <c r="J326" s="28">
        <v>0</v>
      </c>
      <c r="K326" s="28">
        <v>4</v>
      </c>
      <c r="L326" s="28">
        <v>4</v>
      </c>
      <c r="M326" s="28">
        <v>1</v>
      </c>
      <c r="N326" s="28">
        <v>2</v>
      </c>
      <c r="O326" s="28">
        <v>4</v>
      </c>
      <c r="P326" s="28">
        <v>6</v>
      </c>
      <c r="Q326" s="411"/>
    </row>
    <row r="327" spans="2:17" s="1" customFormat="1">
      <c r="B327" s="1223"/>
      <c r="D327" s="407" t="s">
        <v>173</v>
      </c>
      <c r="E327" s="431">
        <v>0</v>
      </c>
      <c r="F327" s="128">
        <v>0</v>
      </c>
      <c r="G327" s="128">
        <v>0</v>
      </c>
      <c r="H327" s="128">
        <v>0</v>
      </c>
      <c r="I327" s="52">
        <v>0</v>
      </c>
      <c r="J327" s="28">
        <v>0</v>
      </c>
      <c r="K327" s="28">
        <v>12</v>
      </c>
      <c r="L327" s="28">
        <v>10</v>
      </c>
      <c r="M327" s="28">
        <v>6</v>
      </c>
      <c r="N327" s="28">
        <v>6</v>
      </c>
      <c r="O327" s="28">
        <v>6</v>
      </c>
      <c r="P327" s="28">
        <v>10</v>
      </c>
      <c r="Q327" s="411"/>
    </row>
    <row r="328" spans="2:17" ht="12" thickBot="1">
      <c r="B328" s="1223"/>
      <c r="D328" s="408" t="s">
        <v>174</v>
      </c>
      <c r="E328" s="594">
        <f>SUM(E314:E327)</f>
        <v>33</v>
      </c>
      <c r="F328" s="594">
        <f t="shared" ref="F328:I328" si="84">SUM(F314:F327)</f>
        <v>18</v>
      </c>
      <c r="G328" s="594">
        <f t="shared" si="84"/>
        <v>44</v>
      </c>
      <c r="H328" s="594">
        <f t="shared" si="84"/>
        <v>51</v>
      </c>
      <c r="I328" s="594">
        <f t="shared" si="84"/>
        <v>56</v>
      </c>
      <c r="J328" s="594">
        <f t="shared" ref="J328:P328" si="85">SUM(J314:J327)</f>
        <v>116</v>
      </c>
      <c r="K328" s="594">
        <f t="shared" si="85"/>
        <v>148</v>
      </c>
      <c r="L328" s="594">
        <f t="shared" si="85"/>
        <v>139</v>
      </c>
      <c r="M328" s="594">
        <f t="shared" si="85"/>
        <v>129</v>
      </c>
      <c r="N328" s="594">
        <f t="shared" si="85"/>
        <v>125</v>
      </c>
      <c r="O328" s="594">
        <f t="shared" si="85"/>
        <v>189</v>
      </c>
      <c r="P328" s="594">
        <f t="shared" si="85"/>
        <v>141</v>
      </c>
      <c r="Q328" s="595"/>
    </row>
  </sheetData>
  <mergeCells count="43">
    <mergeCell ref="AA196:AC196"/>
    <mergeCell ref="S293:T293"/>
    <mergeCell ref="B4:I4"/>
    <mergeCell ref="F6:I6"/>
    <mergeCell ref="B7:E7"/>
    <mergeCell ref="B8:E8"/>
    <mergeCell ref="B9:E9"/>
    <mergeCell ref="F7:I7"/>
    <mergeCell ref="F8:I8"/>
    <mergeCell ref="F9:I9"/>
    <mergeCell ref="B292:B309"/>
    <mergeCell ref="B55:B90"/>
    <mergeCell ref="B5:E5"/>
    <mergeCell ref="B6:E6"/>
    <mergeCell ref="F5:I5"/>
    <mergeCell ref="E16:L16"/>
    <mergeCell ref="U196:W196"/>
    <mergeCell ref="X196:Z196"/>
    <mergeCell ref="Q293:R293"/>
    <mergeCell ref="K293:L293"/>
    <mergeCell ref="M293:N293"/>
    <mergeCell ref="O293:P293"/>
    <mergeCell ref="I196:K196"/>
    <mergeCell ref="L196:N196"/>
    <mergeCell ref="O196:Q196"/>
    <mergeCell ref="R196:T196"/>
    <mergeCell ref="I293:J293"/>
    <mergeCell ref="B312:B328"/>
    <mergeCell ref="B10:E10"/>
    <mergeCell ref="B12:E12"/>
    <mergeCell ref="B11:E11"/>
    <mergeCell ref="F10:I10"/>
    <mergeCell ref="F11:I11"/>
    <mergeCell ref="F12:I12"/>
    <mergeCell ref="E293:F293"/>
    <mergeCell ref="F196:H196"/>
    <mergeCell ref="D196:D197"/>
    <mergeCell ref="E196:E197"/>
    <mergeCell ref="D277:E277"/>
    <mergeCell ref="B172:B289"/>
    <mergeCell ref="B133:B170"/>
    <mergeCell ref="G293:H293"/>
    <mergeCell ref="E26:L26"/>
  </mergeCells>
  <conditionalFormatting sqref="Q116:W129">
    <cfRule type="colorScale" priority="13">
      <colorScale>
        <cfvo type="min"/>
        <cfvo type="percentile" val="50"/>
        <cfvo type="max"/>
        <color rgb="FF63BE7B"/>
        <color rgb="FFFFEB84"/>
        <color rgb="FFF8696B"/>
      </colorScale>
    </cfRule>
  </conditionalFormatting>
  <conditionalFormatting sqref="Q76:Q89">
    <cfRule type="colorScale" priority="12">
      <colorScale>
        <cfvo type="min"/>
        <cfvo type="percentile" val="50"/>
        <cfvo type="max"/>
        <color rgb="FF63BE7B"/>
        <color rgb="FFFFEB84"/>
        <color rgb="FFF8696B"/>
      </colorScale>
    </cfRule>
  </conditionalFormatting>
  <conditionalFormatting sqref="Q155:U167">
    <cfRule type="colorScale" priority="211">
      <colorScale>
        <cfvo type="min"/>
        <cfvo type="percentile" val="50"/>
        <cfvo type="max"/>
        <color rgb="FF63BE7B"/>
        <color rgb="FFFFEB84"/>
        <color rgb="FFF8696B"/>
      </colorScale>
    </cfRule>
  </conditionalFormatting>
  <conditionalFormatting sqref="V155:W167">
    <cfRule type="colorScale" priority="217">
      <colorScale>
        <cfvo type="min"/>
        <cfvo type="percentile" val="50"/>
        <cfvo type="max"/>
        <color rgb="FF63BE7B"/>
        <color rgb="FFFFEB84"/>
        <color rgb="FFF8696B"/>
      </colorScale>
    </cfRule>
  </conditionalFormatting>
  <conditionalFormatting sqref="R76:R89">
    <cfRule type="colorScale" priority="6">
      <colorScale>
        <cfvo type="min"/>
        <cfvo type="percentile" val="50"/>
        <cfvo type="max"/>
        <color rgb="FF63BE7B"/>
        <color rgb="FFFFEB84"/>
        <color rgb="FFF8696B"/>
      </colorScale>
    </cfRule>
  </conditionalFormatting>
  <conditionalFormatting sqref="S76:S89">
    <cfRule type="colorScale" priority="5">
      <colorScale>
        <cfvo type="min"/>
        <cfvo type="percentile" val="50"/>
        <cfvo type="max"/>
        <color rgb="FF63BE7B"/>
        <color rgb="FFFFEB84"/>
        <color rgb="FFF8696B"/>
      </colorScale>
    </cfRule>
  </conditionalFormatting>
  <conditionalFormatting sqref="T76:T89">
    <cfRule type="colorScale" priority="4">
      <colorScale>
        <cfvo type="min"/>
        <cfvo type="percentile" val="50"/>
        <cfvo type="max"/>
        <color rgb="FF63BE7B"/>
        <color rgb="FFFFEB84"/>
        <color rgb="FFF8696B"/>
      </colorScale>
    </cfRule>
  </conditionalFormatting>
  <conditionalFormatting sqref="U76:U89">
    <cfRule type="colorScale" priority="3">
      <colorScale>
        <cfvo type="min"/>
        <cfvo type="percentile" val="50"/>
        <cfvo type="max"/>
        <color rgb="FF63BE7B"/>
        <color rgb="FFFFEB84"/>
        <color rgb="FFF8696B"/>
      </colorScale>
    </cfRule>
  </conditionalFormatting>
  <conditionalFormatting sqref="V76:V89">
    <cfRule type="colorScale" priority="2">
      <colorScale>
        <cfvo type="min"/>
        <cfvo type="percentile" val="50"/>
        <cfvo type="max"/>
        <color rgb="FF63BE7B"/>
        <color rgb="FFFFEB84"/>
        <color rgb="FFF8696B"/>
      </colorScale>
    </cfRule>
  </conditionalFormatting>
  <conditionalFormatting sqref="W76:W89">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theme="4" tint="-0.249977111117893"/>
  </sheetPr>
  <dimension ref="A1:BH115"/>
  <sheetViews>
    <sheetView topLeftCell="AC88" zoomScaleNormal="100" workbookViewId="0">
      <selection activeCell="AL114" sqref="AL114"/>
    </sheetView>
  </sheetViews>
  <sheetFormatPr defaultColWidth="9.1796875" defaultRowHeight="11.5"/>
  <cols>
    <col min="1" max="1" width="11" style="2" bestFit="1" customWidth="1"/>
    <col min="2" max="2" width="39.1796875" style="2" customWidth="1"/>
    <col min="3" max="3" width="6.1796875" style="2" customWidth="1"/>
    <col min="4" max="4" width="14.81640625" style="2" customWidth="1"/>
    <col min="5" max="5" width="15.453125" style="2" customWidth="1"/>
    <col min="6" max="12" width="13.81640625" style="2" customWidth="1"/>
    <col min="13" max="13" width="15.81640625" style="2" bestFit="1" customWidth="1"/>
    <col min="14" max="14" width="15.7265625" style="2" bestFit="1" customWidth="1"/>
    <col min="15" max="15" width="15.81640625" style="2" bestFit="1" customWidth="1"/>
    <col min="16" max="16" width="15.1796875" style="2" bestFit="1" customWidth="1"/>
    <col min="17" max="17" width="11.1796875" style="2" bestFit="1" customWidth="1"/>
    <col min="18" max="18" width="9.1796875" style="2"/>
    <col min="19" max="21" width="15.81640625" style="2" bestFit="1" customWidth="1"/>
    <col min="22" max="22" width="15.453125" style="2" bestFit="1" customWidth="1"/>
    <col min="23" max="23" width="15.1796875" style="2" bestFit="1" customWidth="1"/>
    <col min="24" max="24" width="9.1796875" style="2"/>
    <col min="25" max="25" width="15.81640625" style="2" customWidth="1"/>
    <col min="26" max="26" width="16.1796875" style="2" customWidth="1"/>
    <col min="27" max="27" width="16.453125" style="2" customWidth="1"/>
    <col min="28" max="28" width="15.1796875" style="2" customWidth="1"/>
    <col min="29" max="29" width="13.1796875" style="2" bestFit="1" customWidth="1"/>
    <col min="30" max="30" width="11.1796875" style="2" bestFit="1" customWidth="1"/>
    <col min="31" max="31" width="13.1796875" style="2" bestFit="1" customWidth="1"/>
    <col min="32" max="32" width="12.54296875" style="2" bestFit="1" customWidth="1"/>
    <col min="33" max="33" width="14.453125" style="2" customWidth="1"/>
    <col min="34" max="34" width="16.1796875" style="2" customWidth="1"/>
    <col min="35" max="35" width="11.7265625" style="2" bestFit="1" customWidth="1"/>
    <col min="36" max="36" width="11" style="2" bestFit="1" customWidth="1"/>
    <col min="37" max="37" width="15.54296875" style="2" bestFit="1" customWidth="1"/>
    <col min="38" max="38" width="13.81640625" style="2" bestFit="1" customWidth="1"/>
    <col min="39" max="39" width="9.1796875" style="2"/>
    <col min="40" max="44" width="17.1796875" style="2" customWidth="1"/>
    <col min="45" max="46" width="9.1796875" style="2"/>
    <col min="47" max="53" width="17.453125" style="2" customWidth="1"/>
    <col min="54" max="16384" width="9.1796875" style="2"/>
  </cols>
  <sheetData>
    <row r="1" spans="1:32" ht="19.5">
      <c r="A1" s="885" t="s">
        <v>364</v>
      </c>
      <c r="B1" s="885"/>
      <c r="C1" s="885"/>
      <c r="D1" s="885"/>
      <c r="E1" s="885"/>
      <c r="F1" s="885"/>
    </row>
    <row r="2" spans="1:32">
      <c r="C2" s="107" t="s">
        <v>212</v>
      </c>
      <c r="D2" s="1"/>
    </row>
    <row r="3" spans="1:32">
      <c r="D3" s="1"/>
    </row>
    <row r="4" spans="1:32" ht="26.25" customHeight="1">
      <c r="B4" s="1191" t="s">
        <v>365</v>
      </c>
      <c r="C4" s="1191"/>
      <c r="D4" s="1191"/>
      <c r="E4" s="1191"/>
      <c r="F4" s="1191"/>
      <c r="G4" s="1191"/>
      <c r="H4" s="1191"/>
      <c r="I4" s="1191"/>
      <c r="J4" s="1191"/>
    </row>
    <row r="5" spans="1:32" ht="13.5">
      <c r="B5" s="1192" t="s">
        <v>214</v>
      </c>
      <c r="C5" s="1192"/>
      <c r="D5" s="1192"/>
      <c r="E5" s="1192"/>
      <c r="F5" s="1192" t="s">
        <v>215</v>
      </c>
      <c r="G5" s="1192"/>
      <c r="H5" s="1192"/>
      <c r="I5" s="1192"/>
      <c r="J5" s="1192"/>
    </row>
    <row r="6" spans="1:32" ht="42" customHeight="1">
      <c r="B6" s="1190" t="s">
        <v>366</v>
      </c>
      <c r="C6" s="1190"/>
      <c r="D6" s="1190"/>
      <c r="E6" s="1190"/>
      <c r="F6" s="1193" t="s">
        <v>367</v>
      </c>
      <c r="G6" s="1194"/>
      <c r="H6" s="1194"/>
      <c r="I6" s="1194"/>
      <c r="J6" s="1195"/>
    </row>
    <row r="7" spans="1:32" ht="39.75" customHeight="1">
      <c r="B7" s="1190" t="s">
        <v>368</v>
      </c>
      <c r="C7" s="1190"/>
      <c r="D7" s="1190"/>
      <c r="E7" s="1190"/>
      <c r="F7" s="1190" t="s">
        <v>369</v>
      </c>
      <c r="G7" s="1196"/>
      <c r="H7" s="1196"/>
      <c r="I7" s="1196"/>
      <c r="J7" s="1196"/>
    </row>
    <row r="8" spans="1:32" ht="39" customHeight="1">
      <c r="B8" s="1190" t="s">
        <v>370</v>
      </c>
      <c r="C8" s="1190"/>
      <c r="D8" s="1190"/>
      <c r="E8" s="1190"/>
      <c r="F8" s="1190" t="s">
        <v>371</v>
      </c>
      <c r="G8" s="1190"/>
      <c r="H8" s="1190"/>
      <c r="I8" s="1190"/>
      <c r="J8" s="1190"/>
    </row>
    <row r="9" spans="1:32">
      <c r="D9" s="1"/>
      <c r="AF9" s="9"/>
    </row>
    <row r="10" spans="1:32">
      <c r="D10" s="1"/>
      <c r="AF10" s="9"/>
    </row>
    <row r="11" spans="1:32">
      <c r="B11" s="1280" t="s">
        <v>372</v>
      </c>
      <c r="E11" s="1"/>
      <c r="AF11" s="9"/>
    </row>
    <row r="12" spans="1:32" ht="12" thickBot="1">
      <c r="B12" s="1281"/>
      <c r="D12" s="140" t="s">
        <v>373</v>
      </c>
      <c r="E12" s="1"/>
      <c r="AF12" s="9"/>
    </row>
    <row r="13" spans="1:32" ht="12" thickBot="1">
      <c r="B13" s="1281"/>
      <c r="E13" s="537" t="s">
        <v>136</v>
      </c>
      <c r="F13" s="537" t="s">
        <v>137</v>
      </c>
      <c r="G13" s="318" t="s">
        <v>138</v>
      </c>
      <c r="H13" s="318" t="s">
        <v>139</v>
      </c>
      <c r="I13" s="318" t="s">
        <v>140</v>
      </c>
      <c r="J13" s="318" t="s">
        <v>141</v>
      </c>
      <c r="K13" s="318" t="s">
        <v>126</v>
      </c>
      <c r="L13" s="318" t="s">
        <v>142</v>
      </c>
      <c r="M13" s="319" t="s">
        <v>143</v>
      </c>
      <c r="O13" s="683" t="s">
        <v>374</v>
      </c>
      <c r="AF13" s="9"/>
    </row>
    <row r="14" spans="1:32">
      <c r="B14" s="1281"/>
      <c r="C14" s="60"/>
      <c r="D14" s="406" t="s">
        <v>375</v>
      </c>
      <c r="E14" s="399">
        <v>8.6242857142857154</v>
      </c>
      <c r="F14" s="25">
        <f>AVERAGE(E23:E36)</f>
        <v>8.7449999999999992</v>
      </c>
      <c r="G14" s="25">
        <f>AVERAGE(K23:K36)</f>
        <v>8.7983357142857148</v>
      </c>
      <c r="H14" s="25">
        <f>AVERAGE(Q23:Q36)</f>
        <v>8.8390119013015696</v>
      </c>
      <c r="I14" s="25">
        <f>AVERAGE(W23:W36)</f>
        <v>8.950271428571428</v>
      </c>
      <c r="J14" s="25">
        <f>AVERAGE(AC23:AC36)</f>
        <v>9.0151223466691999</v>
      </c>
      <c r="K14" s="25">
        <f>AVERAGE(AI23:AI36)</f>
        <v>9.1008142857142857</v>
      </c>
      <c r="L14" s="25">
        <f>AVERAGE(AO23:AO36)</f>
        <v>8.9271214285714287</v>
      </c>
      <c r="M14" s="411"/>
      <c r="O14" s="684">
        <v>8.1999999999999993</v>
      </c>
      <c r="Q14" s="9"/>
      <c r="AF14" s="9"/>
    </row>
    <row r="15" spans="1:32">
      <c r="B15" s="1281"/>
      <c r="C15" s="60"/>
      <c r="D15" s="407" t="s">
        <v>61</v>
      </c>
      <c r="E15" s="399">
        <v>8.16</v>
      </c>
      <c r="F15" s="25">
        <f>AVERAGE(F23:F36)</f>
        <v>8.3207142857142848</v>
      </c>
      <c r="G15" s="25">
        <f>AVERAGE(L23:L36)</f>
        <v>8.4853428571428573</v>
      </c>
      <c r="H15" s="25">
        <f>AVERAGE(R23:R36)</f>
        <v>8.5507427904939259</v>
      </c>
      <c r="I15" s="25">
        <f>AVERAGE(X23:X36)</f>
        <v>8.692400000000001</v>
      </c>
      <c r="J15" s="25">
        <f>AVERAGE(AD23:AD36)</f>
        <v>8.9520980515351969</v>
      </c>
      <c r="K15" s="25">
        <f>AVERAGE(AJ23:AJ36)</f>
        <v>9.0652142857142852</v>
      </c>
      <c r="L15" s="25">
        <f>AVERAGE(AP23:AP36)</f>
        <v>8.9483499999999996</v>
      </c>
      <c r="M15" s="411"/>
      <c r="O15" s="684">
        <v>7.76</v>
      </c>
    </row>
    <row r="16" spans="1:32" ht="12" thickBot="1">
      <c r="B16" s="1281"/>
      <c r="C16" s="60"/>
      <c r="D16" s="413" t="s">
        <v>376</v>
      </c>
      <c r="E16" s="421">
        <v>8.7257142857142878</v>
      </c>
      <c r="F16" s="422">
        <f>AVERAGE(G23:G36)</f>
        <v>8.9742857142857151</v>
      </c>
      <c r="G16" s="422">
        <f>AVERAGE(M23:M36)</f>
        <v>9.0926500000000008</v>
      </c>
      <c r="H16" s="25">
        <f>AVERAGE(S23:S36)</f>
        <v>9.0546509615346817</v>
      </c>
      <c r="I16" s="25">
        <f>AVERAGE(Y23:Y36)</f>
        <v>9.1380999999999997</v>
      </c>
      <c r="J16" s="25">
        <f>AVERAGE(AE23:AE36)</f>
        <v>9.2747534500978155</v>
      </c>
      <c r="K16" s="25">
        <f>AVERAGE(AK23:AK36)</f>
        <v>9.390821428571428</v>
      </c>
      <c r="L16" s="25">
        <f>AVERAGE(AQ23:AQ36)</f>
        <v>9.3003214285714311</v>
      </c>
      <c r="M16" s="412"/>
      <c r="O16" s="685">
        <v>8.0500000000000007</v>
      </c>
    </row>
    <row r="17" spans="1:52">
      <c r="B17" s="1281"/>
      <c r="C17" s="60"/>
      <c r="E17" s="1"/>
      <c r="AR17" s="1138"/>
    </row>
    <row r="18" spans="1:52">
      <c r="B18" s="1281"/>
      <c r="C18" s="60"/>
      <c r="AR18" s="1138"/>
    </row>
    <row r="19" spans="1:52" ht="12" thickBot="1">
      <c r="B19" s="1281"/>
      <c r="C19" s="60"/>
      <c r="D19" s="140" t="s">
        <v>377</v>
      </c>
      <c r="AR19" s="1138"/>
    </row>
    <row r="20" spans="1:52" s="149" customFormat="1" ht="14.25" customHeight="1">
      <c r="B20" s="1281"/>
      <c r="C20" s="60"/>
      <c r="D20" s="210"/>
      <c r="E20" s="1273" t="s">
        <v>137</v>
      </c>
      <c r="F20" s="1274"/>
      <c r="G20" s="1274"/>
      <c r="H20" s="1274"/>
      <c r="I20" s="1274"/>
      <c r="J20" s="1275"/>
      <c r="K20" s="697" t="s">
        <v>138</v>
      </c>
      <c r="L20" s="1008"/>
      <c r="M20" s="1008"/>
      <c r="N20" s="1008"/>
      <c r="O20" s="1008"/>
      <c r="P20" s="698"/>
      <c r="Q20" s="1273" t="s">
        <v>139</v>
      </c>
      <c r="R20" s="1274"/>
      <c r="S20" s="1274"/>
      <c r="T20" s="1274"/>
      <c r="U20" s="1274"/>
      <c r="V20" s="1275"/>
      <c r="W20" s="1273" t="s">
        <v>140</v>
      </c>
      <c r="X20" s="1274"/>
      <c r="Y20" s="1274"/>
      <c r="Z20" s="1274"/>
      <c r="AA20" s="1274"/>
      <c r="AB20" s="1287"/>
      <c r="AC20" s="1293" t="s">
        <v>141</v>
      </c>
      <c r="AD20" s="1274"/>
      <c r="AE20" s="1274"/>
      <c r="AF20" s="1274"/>
      <c r="AG20" s="1274"/>
      <c r="AH20" s="1287"/>
      <c r="AI20" s="1291" t="s">
        <v>126</v>
      </c>
      <c r="AJ20" s="1291"/>
      <c r="AK20" s="1291"/>
      <c r="AL20" s="1291"/>
      <c r="AM20" s="1291"/>
      <c r="AN20" s="1291"/>
      <c r="AO20" s="1291" t="s">
        <v>142</v>
      </c>
      <c r="AP20" s="1291"/>
      <c r="AQ20" s="1291"/>
      <c r="AR20" s="1291"/>
      <c r="AS20" s="1291"/>
      <c r="AT20" s="1291"/>
      <c r="AU20" s="1296" t="s">
        <v>143</v>
      </c>
      <c r="AV20" s="1215"/>
      <c r="AW20" s="1215"/>
      <c r="AX20" s="1215"/>
      <c r="AY20" s="1215"/>
      <c r="AZ20" s="1215"/>
    </row>
    <row r="21" spans="1:52" ht="23">
      <c r="B21" s="1281"/>
      <c r="C21" s="60"/>
      <c r="D21" s="50"/>
      <c r="E21" s="690" t="s">
        <v>375</v>
      </c>
      <c r="F21" s="100" t="s">
        <v>61</v>
      </c>
      <c r="G21" s="100" t="s">
        <v>376</v>
      </c>
      <c r="H21" s="1278" t="s">
        <v>327</v>
      </c>
      <c r="I21" s="1278" t="s">
        <v>339</v>
      </c>
      <c r="J21" s="1276" t="s">
        <v>63</v>
      </c>
      <c r="K21" s="690" t="s">
        <v>375</v>
      </c>
      <c r="L21" s="100" t="s">
        <v>61</v>
      </c>
      <c r="M21" s="100" t="s">
        <v>376</v>
      </c>
      <c r="N21" s="1278" t="s">
        <v>327</v>
      </c>
      <c r="O21" s="1278" t="s">
        <v>339</v>
      </c>
      <c r="P21" s="1276" t="s">
        <v>63</v>
      </c>
      <c r="Q21" s="690" t="s">
        <v>375</v>
      </c>
      <c r="R21" s="100" t="s">
        <v>61</v>
      </c>
      <c r="S21" s="100" t="s">
        <v>376</v>
      </c>
      <c r="T21" s="1278" t="s">
        <v>327</v>
      </c>
      <c r="U21" s="1278" t="s">
        <v>339</v>
      </c>
      <c r="V21" s="1276" t="s">
        <v>63</v>
      </c>
      <c r="W21" s="690" t="s">
        <v>375</v>
      </c>
      <c r="X21" s="100" t="s">
        <v>61</v>
      </c>
      <c r="Y21" s="100" t="s">
        <v>376</v>
      </c>
      <c r="Z21" s="1278" t="s">
        <v>327</v>
      </c>
      <c r="AA21" s="1278" t="s">
        <v>339</v>
      </c>
      <c r="AB21" s="1288" t="s">
        <v>63</v>
      </c>
      <c r="AC21" s="690" t="s">
        <v>375</v>
      </c>
      <c r="AD21" s="100" t="s">
        <v>61</v>
      </c>
      <c r="AE21" s="100" t="s">
        <v>376</v>
      </c>
      <c r="AF21" s="1278" t="s">
        <v>327</v>
      </c>
      <c r="AG21" s="1278" t="s">
        <v>339</v>
      </c>
      <c r="AH21" s="1290" t="s">
        <v>63</v>
      </c>
      <c r="AI21" s="686" t="s">
        <v>375</v>
      </c>
      <c r="AJ21" s="100" t="s">
        <v>61</v>
      </c>
      <c r="AK21" s="100" t="s">
        <v>376</v>
      </c>
      <c r="AL21" s="1278" t="s">
        <v>327</v>
      </c>
      <c r="AM21" s="1278" t="s">
        <v>339</v>
      </c>
      <c r="AN21" s="1288" t="s">
        <v>63</v>
      </c>
      <c r="AO21" s="690" t="s">
        <v>375</v>
      </c>
      <c r="AP21" s="100" t="s">
        <v>61</v>
      </c>
      <c r="AQ21" s="100" t="s">
        <v>376</v>
      </c>
      <c r="AR21" s="1278" t="s">
        <v>327</v>
      </c>
      <c r="AS21" s="1276" t="s">
        <v>339</v>
      </c>
      <c r="AT21" s="1294" t="s">
        <v>63</v>
      </c>
      <c r="AU21" s="686" t="s">
        <v>375</v>
      </c>
      <c r="AV21" s="100" t="s">
        <v>61</v>
      </c>
      <c r="AW21" s="100" t="s">
        <v>376</v>
      </c>
      <c r="AX21" s="1278" t="s">
        <v>327</v>
      </c>
      <c r="AY21" s="1278" t="s">
        <v>339</v>
      </c>
      <c r="AZ21" s="1276" t="s">
        <v>63</v>
      </c>
    </row>
    <row r="22" spans="1:52" ht="12" customHeight="1" thickBot="1">
      <c r="B22" s="1281"/>
      <c r="C22" s="60"/>
      <c r="D22" s="50"/>
      <c r="E22" s="691">
        <v>0.3</v>
      </c>
      <c r="F22" s="169">
        <v>0.5</v>
      </c>
      <c r="G22" s="169">
        <v>0.2</v>
      </c>
      <c r="H22" s="1279"/>
      <c r="I22" s="1279"/>
      <c r="J22" s="1277"/>
      <c r="K22" s="691">
        <v>0.3</v>
      </c>
      <c r="L22" s="169">
        <v>0.5</v>
      </c>
      <c r="M22" s="169">
        <v>0.2</v>
      </c>
      <c r="N22" s="1279"/>
      <c r="O22" s="1279"/>
      <c r="P22" s="1277"/>
      <c r="Q22" s="691">
        <v>0.3</v>
      </c>
      <c r="R22" s="169">
        <v>0.5</v>
      </c>
      <c r="S22" s="169">
        <v>0.2</v>
      </c>
      <c r="T22" s="1279"/>
      <c r="U22" s="1279"/>
      <c r="V22" s="1277"/>
      <c r="W22" s="691">
        <v>0.3</v>
      </c>
      <c r="X22" s="169">
        <v>0.5</v>
      </c>
      <c r="Y22" s="169">
        <v>0.2</v>
      </c>
      <c r="Z22" s="1279"/>
      <c r="AA22" s="1279"/>
      <c r="AB22" s="1289"/>
      <c r="AC22" s="691">
        <v>0.3</v>
      </c>
      <c r="AD22" s="169">
        <v>0.5</v>
      </c>
      <c r="AE22" s="169">
        <v>0.2</v>
      </c>
      <c r="AF22" s="1279"/>
      <c r="AG22" s="1279"/>
      <c r="AH22" s="1290"/>
      <c r="AI22" s="687">
        <v>0.3</v>
      </c>
      <c r="AJ22" s="169">
        <v>0.5</v>
      </c>
      <c r="AK22" s="169">
        <v>0.2</v>
      </c>
      <c r="AL22" s="1279"/>
      <c r="AM22" s="1279"/>
      <c r="AN22" s="1289"/>
      <c r="AO22" s="691">
        <v>0.3</v>
      </c>
      <c r="AP22" s="169">
        <v>0.5</v>
      </c>
      <c r="AQ22" s="169">
        <v>0.2</v>
      </c>
      <c r="AR22" s="1279"/>
      <c r="AS22" s="1277"/>
      <c r="AT22" s="1295"/>
      <c r="AU22" s="687">
        <v>0.3</v>
      </c>
      <c r="AV22" s="169">
        <v>0.5</v>
      </c>
      <c r="AW22" s="169">
        <v>0.2</v>
      </c>
      <c r="AX22" s="1279"/>
      <c r="AY22" s="1279"/>
      <c r="AZ22" s="1277"/>
    </row>
    <row r="23" spans="1:52">
      <c r="A23" s="1286"/>
      <c r="B23" s="1281"/>
      <c r="C23" s="115">
        <f t="shared" ref="C23:C36" si="0">Z23-H23</f>
        <v>0.64409999999999989</v>
      </c>
      <c r="D23" s="406" t="s">
        <v>161</v>
      </c>
      <c r="E23" s="688">
        <v>8.08</v>
      </c>
      <c r="F23" s="23">
        <v>7.75</v>
      </c>
      <c r="G23" s="23">
        <v>8.52</v>
      </c>
      <c r="H23" s="25">
        <f>(E23*E$22)+(F23*F$22)+(G23*G$22)</f>
        <v>8.0030000000000001</v>
      </c>
      <c r="I23" s="211" t="str">
        <f>IF(H23&lt;7.79,"Red",IF(H23&gt;=8.2,"Green","Amber"))</f>
        <v>Amber</v>
      </c>
      <c r="J23" s="692">
        <f>RANK(H23,H$23:H$36,0)</f>
        <v>14</v>
      </c>
      <c r="K23" s="699">
        <v>8.1788000000000007</v>
      </c>
      <c r="L23" s="25">
        <v>8.2402999999999995</v>
      </c>
      <c r="M23" s="25">
        <v>8.7477999999999998</v>
      </c>
      <c r="N23" s="25">
        <f>(K23*K$22)+(L23*L$22)+(M23*M$22)</f>
        <v>8.3233499999999996</v>
      </c>
      <c r="O23" s="211" t="str">
        <f>IF(N23&lt;7.79,"Red",IF(N23&gt;=8.2,"Green","Amber"))</f>
        <v>Green</v>
      </c>
      <c r="P23" s="692">
        <f>RANK(N23,N$23:N$36,0)</f>
        <v>14</v>
      </c>
      <c r="Q23" s="25">
        <v>8.3228000000000009</v>
      </c>
      <c r="R23" s="25">
        <v>8.3475999999999999</v>
      </c>
      <c r="S23" s="25">
        <v>8.9806000000000008</v>
      </c>
      <c r="T23" s="25">
        <f>(Q23*Q$22)+(R23*R$22)+(S23*S$22)</f>
        <v>8.4667600000000007</v>
      </c>
      <c r="U23" s="211" t="str">
        <f>IF(T23&lt;7.79,"Red",IF(T23&gt;=8.2,"Green","Amber"))</f>
        <v>Green</v>
      </c>
      <c r="V23" s="702">
        <f>RANK(T23,T$23:T$36,0)</f>
        <v>13</v>
      </c>
      <c r="W23" s="25">
        <v>8.6774000000000004</v>
      </c>
      <c r="X23" s="25">
        <v>8.4407999999999994</v>
      </c>
      <c r="Y23" s="25">
        <v>9.1173999999999999</v>
      </c>
      <c r="Z23" s="25">
        <f>(W23*W$22)+(X23*X$22)+(Y23*Y$22)</f>
        <v>8.6471</v>
      </c>
      <c r="AA23" s="967" t="str">
        <f>IF(Z23&lt;7.79,"Red",IF(Z23&gt;=8.2,"Green","Amber"))</f>
        <v>Green</v>
      </c>
      <c r="AB23" s="707">
        <f>RANK(Z23,Z$23:Z$36,0)</f>
        <v>12</v>
      </c>
      <c r="AC23" s="25">
        <v>8.7385000000000002</v>
      </c>
      <c r="AD23" s="25">
        <v>8.7639999999999993</v>
      </c>
      <c r="AE23" s="25">
        <v>9.2296999999999993</v>
      </c>
      <c r="AF23" s="25">
        <f>(AC23*AC$22)+(AD23*AD$22)+(AE23*AE$22)</f>
        <v>8.8494899999999994</v>
      </c>
      <c r="AG23" s="967" t="str">
        <f>IF(AF23&lt;7.79,"Red",IF(AF23&gt;=8.2,"Green","Amber"))</f>
        <v>Green</v>
      </c>
      <c r="AH23" s="991">
        <f>RANK(AF23,AF$23:AF$36,0)</f>
        <v>12</v>
      </c>
      <c r="AI23" s="25">
        <v>8.9091000000000005</v>
      </c>
      <c r="AJ23" s="25">
        <v>9.0946999999999996</v>
      </c>
      <c r="AK23" s="25">
        <v>9.3010999999999999</v>
      </c>
      <c r="AL23" s="25">
        <f>(AI23*AI$22)+(AJ23*AJ$22)+(AK23*AK$22)</f>
        <v>9.0802999999999994</v>
      </c>
      <c r="AM23" s="967" t="str">
        <f t="shared" ref="AM23:AM30" si="1">IF(AL23&lt;7.79,"Red",IF(AL23&gt;=8.2,"Green","Amber"))</f>
        <v>Green</v>
      </c>
      <c r="AN23" s="991">
        <f>RANK(AL23,AL$23:AL$36,0)</f>
        <v>12</v>
      </c>
      <c r="AO23" s="1137">
        <v>8.7111999999999998</v>
      </c>
      <c r="AP23" s="1137">
        <v>8.8314000000000004</v>
      </c>
      <c r="AQ23" s="1137">
        <v>9.2164000000000001</v>
      </c>
      <c r="AR23" s="1139">
        <f>(AO23*AO$22)+(AP23*AP$22)+(AQ23*AQ$22)</f>
        <v>8.8723399999999994</v>
      </c>
      <c r="AS23" s="967" t="str">
        <f>IF(AR23&lt;7.79,"Red",IF(AR23&gt;=8.2,"Green","Amber"))</f>
        <v>Green</v>
      </c>
      <c r="AT23" s="915">
        <f t="shared" ref="AT23:AT30" si="2">RANK(AR23,AR$23:AR$36,0)</f>
        <v>12</v>
      </c>
      <c r="AU23" s="696"/>
      <c r="AV23" s="696"/>
      <c r="AW23" s="27"/>
      <c r="AX23" s="62"/>
      <c r="AY23" s="191"/>
      <c r="AZ23" s="702"/>
    </row>
    <row r="24" spans="1:52">
      <c r="A24" s="1286"/>
      <c r="B24" s="1281"/>
      <c r="C24" s="115">
        <f t="shared" si="0"/>
        <v>0.3360000000000003</v>
      </c>
      <c r="D24" s="407" t="s">
        <v>162</v>
      </c>
      <c r="E24" s="688">
        <v>8.68</v>
      </c>
      <c r="F24" s="23">
        <v>8.0299999999999994</v>
      </c>
      <c r="G24" s="23">
        <v>8.93</v>
      </c>
      <c r="H24" s="25">
        <f t="shared" ref="H24:H36" si="3">(E24*E$22)+(F24*F$22)+(G24*G$22)</f>
        <v>8.4049999999999994</v>
      </c>
      <c r="I24" s="211" t="str">
        <f>IF(H24&lt;7.79,"Red",IF(H24&gt;=8.2,"Green","Amber"))</f>
        <v>Green</v>
      </c>
      <c r="J24" s="692">
        <f>RANK(H24,H$23:H$36,0)</f>
        <v>10</v>
      </c>
      <c r="K24" s="399">
        <v>8.8097999999999992</v>
      </c>
      <c r="L24" s="25">
        <v>8.4809000000000001</v>
      </c>
      <c r="M24" s="25">
        <v>9.0074000000000005</v>
      </c>
      <c r="N24" s="25">
        <f t="shared" ref="N24:N36" si="4">(K24*K$22)+(L24*L$22)+(M24*M$22)</f>
        <v>8.6848700000000001</v>
      </c>
      <c r="O24" s="211" t="str">
        <f t="shared" ref="O24:O35" si="5">IF(N24&lt;7.79,"Red",IF(N24&gt;=8.2,"Green","Amber"))</f>
        <v>Green</v>
      </c>
      <c r="P24" s="692">
        <f t="shared" ref="P24:P36" si="6">RANK(N24,N$23:N$36,0)</f>
        <v>8</v>
      </c>
      <c r="Q24" s="25">
        <v>8.77</v>
      </c>
      <c r="R24" s="25">
        <v>8.5500000000000007</v>
      </c>
      <c r="S24" s="25">
        <v>9.0500000000000007</v>
      </c>
      <c r="T24" s="25">
        <f>(Q24*Q$22)+(R24*R$22)+(S24*S$22)</f>
        <v>8.7160000000000011</v>
      </c>
      <c r="U24" s="211" t="str">
        <f>IF(T24&lt;7.79,"Red",IF(T24&gt;=8.2,"Green","Amber"))</f>
        <v>Green</v>
      </c>
      <c r="V24" s="702">
        <f>RANK(T24,T$23:T$36,0)</f>
        <v>10</v>
      </c>
      <c r="W24" s="25">
        <v>8.84</v>
      </c>
      <c r="X24" s="25">
        <v>8.5500000000000007</v>
      </c>
      <c r="Y24" s="25">
        <v>9.07</v>
      </c>
      <c r="Z24" s="25">
        <f>(W24*W$22)+(X24*X$22)+(Y24*Y$22)</f>
        <v>8.7409999999999997</v>
      </c>
      <c r="AA24" s="967" t="str">
        <f>IF(Z24&lt;7.79,"Red",IF(Z24&gt;=8.2,"Green","Amber"))</f>
        <v>Green</v>
      </c>
      <c r="AB24" s="707">
        <f>RANK(Z24,Z$23:Z$36,0)</f>
        <v>10</v>
      </c>
      <c r="AC24" s="25">
        <v>8.9274000000000004</v>
      </c>
      <c r="AD24" s="25">
        <v>8.9742999999999995</v>
      </c>
      <c r="AE24" s="25">
        <v>9.2921999999999993</v>
      </c>
      <c r="AF24" s="25">
        <f>(AC24*AC$22)+(AD24*AD$22)+(AE24*AE$22)</f>
        <v>9.0238099999999992</v>
      </c>
      <c r="AG24" s="967" t="str">
        <f>IF(AF24&lt;7.79,"Red",IF(AF24&gt;=8.2,"Green","Amber"))</f>
        <v>Green</v>
      </c>
      <c r="AH24" s="991">
        <f>RANK(AF24,AF$23:AF$36,0)</f>
        <v>10</v>
      </c>
      <c r="AI24" s="25">
        <v>9.1300000000000008</v>
      </c>
      <c r="AJ24" s="25">
        <v>8.99</v>
      </c>
      <c r="AK24" s="25">
        <v>9.52</v>
      </c>
      <c r="AL24" s="25">
        <f>(AI24*AI$22)+(AJ24*AJ$22)+(AK24*AK$22)</f>
        <v>9.1379999999999999</v>
      </c>
      <c r="AM24" s="967" t="str">
        <f t="shared" si="1"/>
        <v>Green</v>
      </c>
      <c r="AN24" s="991">
        <f t="shared" ref="AN24:AN36" si="7">RANK(AL24,AL$23:AL$36,0)</f>
        <v>9</v>
      </c>
      <c r="AO24" s="1137">
        <v>8.7838999999999992</v>
      </c>
      <c r="AP24" s="1137">
        <v>8.7410999999999994</v>
      </c>
      <c r="AQ24" s="1137">
        <v>9.3520000000000003</v>
      </c>
      <c r="AR24" s="1139">
        <f>(AO24*AO$22)+(AP24*AP$22)+(AQ24*AQ$22)</f>
        <v>8.8761200000000002</v>
      </c>
      <c r="AS24" s="967" t="str">
        <f t="shared" ref="AS24" si="8">IF(AR24&lt;7.79,"Red",IF(AR24&gt;=8.2,"Green","Amber"))</f>
        <v>Green</v>
      </c>
      <c r="AT24" s="915">
        <f t="shared" si="2"/>
        <v>11</v>
      </c>
      <c r="AU24" s="696"/>
      <c r="AV24" s="696"/>
      <c r="AW24" s="27"/>
      <c r="AX24" s="62"/>
      <c r="AY24" s="191"/>
      <c r="AZ24" s="702"/>
    </row>
    <row r="25" spans="1:52">
      <c r="A25" s="1286"/>
      <c r="B25" s="1281"/>
      <c r="C25" s="115">
        <f t="shared" si="0"/>
        <v>0.28299999999999947</v>
      </c>
      <c r="D25" s="407" t="s">
        <v>163</v>
      </c>
      <c r="E25" s="688">
        <v>8.69</v>
      </c>
      <c r="F25" s="23">
        <v>7.95</v>
      </c>
      <c r="G25" s="23">
        <v>8.76</v>
      </c>
      <c r="H25" s="25">
        <f t="shared" si="3"/>
        <v>8.3339999999999996</v>
      </c>
      <c r="I25" s="211" t="str">
        <f t="shared" ref="I25:I35" si="9">IF(H25&lt;7.79,"Red",IF(H25&gt;=8.2,"Green","Amber"))</f>
        <v>Green</v>
      </c>
      <c r="J25" s="692">
        <f t="shared" ref="J25:J36" si="10">RANK(H25,H$23:H$36,0)</f>
        <v>12</v>
      </c>
      <c r="K25" s="399">
        <v>8.7253000000000007</v>
      </c>
      <c r="L25" s="25">
        <v>8.4331999999999994</v>
      </c>
      <c r="M25" s="25">
        <v>8.7674000000000003</v>
      </c>
      <c r="N25" s="25">
        <f t="shared" si="4"/>
        <v>8.5876699999999992</v>
      </c>
      <c r="O25" s="211" t="str">
        <f t="shared" si="5"/>
        <v>Green</v>
      </c>
      <c r="P25" s="692">
        <f t="shared" si="6"/>
        <v>12</v>
      </c>
      <c r="Q25" s="25">
        <v>8.73</v>
      </c>
      <c r="R25" s="25">
        <v>8.34</v>
      </c>
      <c r="S25" s="25">
        <v>8.84</v>
      </c>
      <c r="T25" s="25">
        <f t="shared" ref="T25:T36" si="11">(Q25*Q$22)+(R25*R$22)+(S25*S$22)</f>
        <v>8.5570000000000004</v>
      </c>
      <c r="U25" s="211" t="str">
        <f t="shared" ref="U25:U36" si="12">IF(T25&lt;7.79,"Red",IF(T25&gt;=8.2,"Green","Amber"))</f>
        <v>Green</v>
      </c>
      <c r="V25" s="702">
        <f t="shared" ref="V25:V36" si="13">RANK(T25,T$23:T$36,0)</f>
        <v>12</v>
      </c>
      <c r="W25" s="25">
        <v>8.7899999999999991</v>
      </c>
      <c r="X25" s="25">
        <v>8.44</v>
      </c>
      <c r="Y25" s="25">
        <v>8.8000000000000007</v>
      </c>
      <c r="Z25" s="25">
        <f t="shared" ref="Z25:Z36" si="14">(W25*W$22)+(X25*X$22)+(Y25*Y$22)</f>
        <v>8.6169999999999991</v>
      </c>
      <c r="AA25" s="967" t="str">
        <f t="shared" ref="AA25:AA36" si="15">IF(Z25&lt;7.79,"Red",IF(Z25&gt;=8.2,"Green","Amber"))</f>
        <v>Green</v>
      </c>
      <c r="AB25" s="707">
        <f t="shared" ref="AB25:AB36" si="16">RANK(Z25,Z$23:Z$36,0)</f>
        <v>13</v>
      </c>
      <c r="AC25" s="25">
        <v>8.8713999999999995</v>
      </c>
      <c r="AD25" s="25">
        <v>8.7422000000000004</v>
      </c>
      <c r="AE25" s="25">
        <v>8.8167000000000009</v>
      </c>
      <c r="AF25" s="25">
        <f t="shared" ref="AF25:AF36" si="17">(AC25*AC$22)+(AD25*AD$22)+(AE25*AE$22)</f>
        <v>8.7958600000000011</v>
      </c>
      <c r="AG25" s="967" t="str">
        <f t="shared" ref="AG25:AG36" si="18">IF(AF25&lt;7.79,"Red",IF(AF25&gt;=8.2,"Green","Amber"))</f>
        <v>Green</v>
      </c>
      <c r="AH25" s="991">
        <f t="shared" ref="AH25:AH36" si="19">RANK(AF25,AF$23:AF$36,0)</f>
        <v>13</v>
      </c>
      <c r="AI25" s="25">
        <v>9.01</v>
      </c>
      <c r="AJ25" s="25">
        <v>8.82</v>
      </c>
      <c r="AK25" s="25">
        <v>9.2799999999999994</v>
      </c>
      <c r="AL25" s="25">
        <f t="shared" ref="AL25:AL36" si="20">(AI25*AI$22)+(AJ25*AJ$22)+(AK25*AK$22)</f>
        <v>8.9689999999999994</v>
      </c>
      <c r="AM25" s="967" t="str">
        <f t="shared" si="1"/>
        <v>Green</v>
      </c>
      <c r="AN25" s="991">
        <f t="shared" si="7"/>
        <v>13</v>
      </c>
      <c r="AO25" s="1137">
        <v>8.7928999999999995</v>
      </c>
      <c r="AP25" s="1137">
        <v>8.5397999999999996</v>
      </c>
      <c r="AQ25" s="1137">
        <v>9.3308</v>
      </c>
      <c r="AR25" s="1139">
        <f t="shared" ref="AR25:AR36" si="21">(AO25*AO$22)+(AP25*AP$22)+(AQ25*AQ$22)</f>
        <v>8.77393</v>
      </c>
      <c r="AS25" s="967" t="str">
        <f t="shared" ref="AS25:AS33" si="22">IF(AR25&lt;7.79,"Red",IF(AR25&gt;=8.2,"Green","Amber"))</f>
        <v>Green</v>
      </c>
      <c r="AT25" s="915">
        <f t="shared" si="2"/>
        <v>13</v>
      </c>
      <c r="AU25" s="696"/>
      <c r="AV25" s="696"/>
      <c r="AW25" s="27"/>
      <c r="AX25" s="62"/>
      <c r="AY25" s="191"/>
      <c r="AZ25" s="702"/>
    </row>
    <row r="26" spans="1:52">
      <c r="A26" s="1286"/>
      <c r="B26" s="1281"/>
      <c r="C26" s="115">
        <f t="shared" si="0"/>
        <v>0.19066000000000116</v>
      </c>
      <c r="D26" s="407" t="s">
        <v>164</v>
      </c>
      <c r="E26" s="688">
        <v>8.8800000000000008</v>
      </c>
      <c r="F26" s="23">
        <v>8.6999999999999993</v>
      </c>
      <c r="G26" s="23">
        <v>9.14</v>
      </c>
      <c r="H26" s="25">
        <f t="shared" si="3"/>
        <v>8.8419999999999987</v>
      </c>
      <c r="I26" s="211" t="str">
        <f t="shared" si="9"/>
        <v>Green</v>
      </c>
      <c r="J26" s="692">
        <f t="shared" si="10"/>
        <v>4</v>
      </c>
      <c r="K26" s="399">
        <v>8.98</v>
      </c>
      <c r="L26" s="25">
        <v>8.66</v>
      </c>
      <c r="M26" s="25">
        <v>9.1999999999999993</v>
      </c>
      <c r="N26" s="25">
        <f t="shared" si="4"/>
        <v>8.8640000000000008</v>
      </c>
      <c r="O26" s="211" t="str">
        <f t="shared" si="5"/>
        <v>Green</v>
      </c>
      <c r="P26" s="692">
        <f t="shared" si="6"/>
        <v>4</v>
      </c>
      <c r="Q26" s="25">
        <v>8.9862000000000002</v>
      </c>
      <c r="R26" s="25">
        <v>8.7126999999999999</v>
      </c>
      <c r="S26" s="25">
        <v>9.2665000000000006</v>
      </c>
      <c r="T26" s="25">
        <f t="shared" si="11"/>
        <v>8.9055100000000014</v>
      </c>
      <c r="U26" s="211" t="str">
        <f t="shared" si="12"/>
        <v>Green</v>
      </c>
      <c r="V26" s="702">
        <f t="shared" si="13"/>
        <v>2</v>
      </c>
      <c r="W26" s="25">
        <v>9.0772999999999993</v>
      </c>
      <c r="X26" s="25">
        <v>8.8674999999999997</v>
      </c>
      <c r="Y26" s="25">
        <v>9.3786000000000005</v>
      </c>
      <c r="Z26" s="25">
        <f t="shared" si="14"/>
        <v>9.0326599999999999</v>
      </c>
      <c r="AA26" s="967" t="str">
        <f t="shared" si="15"/>
        <v>Green</v>
      </c>
      <c r="AB26" s="707">
        <f t="shared" si="16"/>
        <v>3</v>
      </c>
      <c r="AC26" s="25">
        <v>9.0828000000000007</v>
      </c>
      <c r="AD26" s="25">
        <v>8.9723000000000006</v>
      </c>
      <c r="AE26" s="25">
        <v>9.4833999999999996</v>
      </c>
      <c r="AF26" s="25">
        <f t="shared" si="17"/>
        <v>9.1076700000000006</v>
      </c>
      <c r="AG26" s="967" t="str">
        <f t="shared" si="18"/>
        <v>Green</v>
      </c>
      <c r="AH26" s="991">
        <f t="shared" si="19"/>
        <v>7</v>
      </c>
      <c r="AI26" s="25">
        <v>9.1259999999999994</v>
      </c>
      <c r="AJ26" s="25">
        <v>9.0374999999999996</v>
      </c>
      <c r="AK26" s="25">
        <v>9.3294999999999995</v>
      </c>
      <c r="AL26" s="25">
        <f t="shared" si="20"/>
        <v>9.1224499999999988</v>
      </c>
      <c r="AM26" s="967" t="str">
        <f t="shared" si="1"/>
        <v>Green</v>
      </c>
      <c r="AN26" s="991">
        <f t="shared" si="7"/>
        <v>11</v>
      </c>
      <c r="AO26" s="1137">
        <v>8.9253999999999998</v>
      </c>
      <c r="AP26" s="1137">
        <v>8.8796999999999997</v>
      </c>
      <c r="AQ26" s="1137">
        <v>9.1877999999999993</v>
      </c>
      <c r="AR26" s="1139">
        <f t="shared" si="21"/>
        <v>8.9550299999999989</v>
      </c>
      <c r="AS26" s="967" t="str">
        <f t="shared" si="22"/>
        <v>Green</v>
      </c>
      <c r="AT26" s="915">
        <f t="shared" si="2"/>
        <v>9</v>
      </c>
      <c r="AU26" s="696"/>
      <c r="AV26" s="696"/>
      <c r="AW26" s="27"/>
      <c r="AX26" s="62"/>
      <c r="AY26" s="191"/>
      <c r="AZ26" s="702"/>
    </row>
    <row r="27" spans="1:52">
      <c r="A27" s="1286"/>
      <c r="B27" s="1281"/>
      <c r="C27" s="115">
        <f t="shared" si="0"/>
        <v>3.1160000000001631E-2</v>
      </c>
      <c r="D27" s="407" t="s">
        <v>165</v>
      </c>
      <c r="E27" s="688">
        <v>8.9700000000000006</v>
      </c>
      <c r="F27" s="23">
        <v>8.7899999999999991</v>
      </c>
      <c r="G27" s="23">
        <v>9.35</v>
      </c>
      <c r="H27" s="25">
        <f t="shared" si="3"/>
        <v>8.9559999999999995</v>
      </c>
      <c r="I27" s="211" t="str">
        <f t="shared" si="9"/>
        <v>Green</v>
      </c>
      <c r="J27" s="692">
        <f t="shared" si="10"/>
        <v>2</v>
      </c>
      <c r="K27" s="399">
        <v>9.02</v>
      </c>
      <c r="L27" s="25">
        <v>8.7799999999999994</v>
      </c>
      <c r="M27" s="25">
        <v>9.32</v>
      </c>
      <c r="N27" s="25">
        <f t="shared" si="4"/>
        <v>8.9600000000000009</v>
      </c>
      <c r="O27" s="211" t="str">
        <f>IF(N27&lt;7.79,"Red",IF(N27&gt;=8.2,"Green","Amber"))</f>
        <v>Green</v>
      </c>
      <c r="P27" s="692">
        <f t="shared" si="6"/>
        <v>1</v>
      </c>
      <c r="Q27" s="25">
        <v>8.8674999999999997</v>
      </c>
      <c r="R27" s="25">
        <v>8.8072999999999997</v>
      </c>
      <c r="S27" s="25">
        <v>9.1943999999999999</v>
      </c>
      <c r="T27" s="25">
        <f t="shared" si="11"/>
        <v>8.9027799999999999</v>
      </c>
      <c r="U27" s="211" t="str">
        <f t="shared" si="12"/>
        <v>Green</v>
      </c>
      <c r="V27" s="702">
        <f t="shared" si="13"/>
        <v>3</v>
      </c>
      <c r="W27" s="25">
        <v>9.0310000000000006</v>
      </c>
      <c r="X27" s="25">
        <v>8.8719999999999999</v>
      </c>
      <c r="Y27" s="25">
        <v>9.2093000000000007</v>
      </c>
      <c r="Z27" s="25">
        <f t="shared" si="14"/>
        <v>8.9871600000000011</v>
      </c>
      <c r="AA27" s="967" t="str">
        <f t="shared" si="15"/>
        <v>Green</v>
      </c>
      <c r="AB27" s="707">
        <f t="shared" si="16"/>
        <v>5</v>
      </c>
      <c r="AC27" s="25">
        <v>9.0698000000000008</v>
      </c>
      <c r="AD27" s="25">
        <v>9.0132999999999992</v>
      </c>
      <c r="AE27" s="25">
        <v>9.4920000000000009</v>
      </c>
      <c r="AF27" s="25">
        <f t="shared" si="17"/>
        <v>9.1259899999999998</v>
      </c>
      <c r="AG27" s="967" t="str">
        <f t="shared" si="18"/>
        <v>Green</v>
      </c>
      <c r="AH27" s="991">
        <f t="shared" si="19"/>
        <v>6</v>
      </c>
      <c r="AI27" s="25">
        <v>9.0931999999999995</v>
      </c>
      <c r="AJ27" s="25">
        <v>9.1306999999999992</v>
      </c>
      <c r="AK27" s="25">
        <v>9.5006000000000004</v>
      </c>
      <c r="AL27" s="25">
        <f t="shared" si="20"/>
        <v>9.1934299999999993</v>
      </c>
      <c r="AM27" s="967" t="str">
        <f t="shared" si="1"/>
        <v>Green</v>
      </c>
      <c r="AN27" s="991">
        <f t="shared" si="7"/>
        <v>8</v>
      </c>
      <c r="AO27" s="1137">
        <v>9.0075000000000003</v>
      </c>
      <c r="AP27" s="1137">
        <v>9.0996000000000006</v>
      </c>
      <c r="AQ27" s="1137">
        <v>9.3442000000000007</v>
      </c>
      <c r="AR27" s="1139">
        <f t="shared" si="21"/>
        <v>9.1208900000000011</v>
      </c>
      <c r="AS27" s="967" t="str">
        <f t="shared" si="22"/>
        <v>Green</v>
      </c>
      <c r="AT27" s="915">
        <f t="shared" si="2"/>
        <v>6</v>
      </c>
      <c r="AU27" s="696"/>
      <c r="AV27" s="696"/>
      <c r="AW27" s="27"/>
      <c r="AX27" s="62"/>
      <c r="AY27" s="191"/>
      <c r="AZ27" s="702"/>
    </row>
    <row r="28" spans="1:52">
      <c r="A28" s="1286"/>
      <c r="B28" s="1281"/>
      <c r="C28" s="115">
        <f t="shared" si="0"/>
        <v>0.15618000000000087</v>
      </c>
      <c r="D28" s="407" t="s">
        <v>166</v>
      </c>
      <c r="E28" s="688">
        <v>9.14</v>
      </c>
      <c r="F28" s="23">
        <v>8.75</v>
      </c>
      <c r="G28" s="23">
        <v>9.2899999999999991</v>
      </c>
      <c r="H28" s="25">
        <f t="shared" si="3"/>
        <v>8.9749999999999996</v>
      </c>
      <c r="I28" s="211" t="str">
        <f t="shared" si="9"/>
        <v>Green</v>
      </c>
      <c r="J28" s="692">
        <f t="shared" si="10"/>
        <v>1</v>
      </c>
      <c r="K28" s="399">
        <v>9.07</v>
      </c>
      <c r="L28" s="25">
        <v>8.68</v>
      </c>
      <c r="M28" s="25">
        <v>9.15</v>
      </c>
      <c r="N28" s="25">
        <f t="shared" si="4"/>
        <v>8.891</v>
      </c>
      <c r="O28" s="211" t="str">
        <f t="shared" si="5"/>
        <v>Green</v>
      </c>
      <c r="P28" s="692">
        <f t="shared" si="6"/>
        <v>3</v>
      </c>
      <c r="Q28" s="25">
        <v>9.1036999999999999</v>
      </c>
      <c r="R28" s="25">
        <v>8.9076000000000004</v>
      </c>
      <c r="S28" s="25">
        <v>9.2066999999999997</v>
      </c>
      <c r="T28" s="25">
        <f t="shared" si="11"/>
        <v>9.026250000000001</v>
      </c>
      <c r="U28" s="211" t="str">
        <f t="shared" si="12"/>
        <v>Green</v>
      </c>
      <c r="V28" s="702">
        <f t="shared" si="13"/>
        <v>1</v>
      </c>
      <c r="W28" s="25">
        <v>9.234</v>
      </c>
      <c r="X28" s="25">
        <v>8.9811999999999994</v>
      </c>
      <c r="Y28" s="25">
        <v>9.3519000000000005</v>
      </c>
      <c r="Z28" s="25">
        <f t="shared" si="14"/>
        <v>9.1311800000000005</v>
      </c>
      <c r="AA28" s="967" t="str">
        <f t="shared" si="15"/>
        <v>Green</v>
      </c>
      <c r="AB28" s="707">
        <f t="shared" si="16"/>
        <v>1</v>
      </c>
      <c r="AC28" s="25">
        <v>9.1761999999999997</v>
      </c>
      <c r="AD28" s="25">
        <v>9.0532000000000004</v>
      </c>
      <c r="AE28" s="25">
        <v>9.4123999999999999</v>
      </c>
      <c r="AF28" s="25">
        <f t="shared" si="17"/>
        <v>9.1619400000000013</v>
      </c>
      <c r="AG28" s="967" t="str">
        <f t="shared" si="18"/>
        <v>Green</v>
      </c>
      <c r="AH28" s="991">
        <f t="shared" si="19"/>
        <v>3</v>
      </c>
      <c r="AI28" s="25">
        <v>9.2446999999999999</v>
      </c>
      <c r="AJ28" s="25">
        <v>9.1721000000000004</v>
      </c>
      <c r="AK28" s="25">
        <v>9.5983000000000001</v>
      </c>
      <c r="AL28" s="25">
        <f t="shared" si="20"/>
        <v>9.2791200000000007</v>
      </c>
      <c r="AM28" s="967" t="str">
        <f t="shared" si="1"/>
        <v>Green</v>
      </c>
      <c r="AN28" s="991">
        <f t="shared" si="7"/>
        <v>2</v>
      </c>
      <c r="AO28" s="1137">
        <v>9.1873000000000005</v>
      </c>
      <c r="AP28" s="1137">
        <v>9.0447000000000006</v>
      </c>
      <c r="AQ28" s="1137">
        <v>9.4076000000000004</v>
      </c>
      <c r="AR28" s="1139">
        <f t="shared" si="21"/>
        <v>9.1600600000000014</v>
      </c>
      <c r="AS28" s="967" t="str">
        <f t="shared" si="22"/>
        <v>Green</v>
      </c>
      <c r="AT28" s="915">
        <f t="shared" si="2"/>
        <v>4</v>
      </c>
      <c r="AU28" s="696"/>
      <c r="AV28" s="696"/>
      <c r="AW28" s="27"/>
      <c r="AX28" s="62"/>
      <c r="AY28" s="191"/>
      <c r="AZ28" s="702"/>
    </row>
    <row r="29" spans="1:52">
      <c r="B29" s="1281"/>
      <c r="C29" s="115">
        <f t="shared" si="0"/>
        <v>0.1179300000000012</v>
      </c>
      <c r="D29" s="407" t="s">
        <v>167</v>
      </c>
      <c r="E29" s="688">
        <v>8.86</v>
      </c>
      <c r="F29" s="23">
        <v>8.73</v>
      </c>
      <c r="G29" s="23">
        <v>9.18</v>
      </c>
      <c r="H29" s="25">
        <f t="shared" si="3"/>
        <v>8.859</v>
      </c>
      <c r="I29" s="211" t="str">
        <f t="shared" si="9"/>
        <v>Green</v>
      </c>
      <c r="J29" s="692">
        <f t="shared" si="10"/>
        <v>3</v>
      </c>
      <c r="K29" s="399">
        <v>8.92</v>
      </c>
      <c r="L29" s="25">
        <v>8.77</v>
      </c>
      <c r="M29" s="25">
        <v>9.24</v>
      </c>
      <c r="N29" s="25">
        <f t="shared" si="4"/>
        <v>8.9090000000000007</v>
      </c>
      <c r="O29" s="211" t="str">
        <f t="shared" si="5"/>
        <v>Green</v>
      </c>
      <c r="P29" s="692">
        <f t="shared" si="6"/>
        <v>2</v>
      </c>
      <c r="Q29" s="25">
        <v>8.8682999999999996</v>
      </c>
      <c r="R29" s="25">
        <v>8.7658000000000005</v>
      </c>
      <c r="S29" s="25">
        <v>9.2888000000000002</v>
      </c>
      <c r="T29" s="25">
        <f t="shared" si="11"/>
        <v>8.9011500000000012</v>
      </c>
      <c r="U29" s="211" t="str">
        <f t="shared" si="12"/>
        <v>Green</v>
      </c>
      <c r="V29" s="702">
        <f t="shared" si="13"/>
        <v>4</v>
      </c>
      <c r="W29" s="25">
        <v>9.0012000000000008</v>
      </c>
      <c r="X29" s="25">
        <v>8.8419000000000008</v>
      </c>
      <c r="Y29" s="25">
        <v>9.2781000000000002</v>
      </c>
      <c r="Z29" s="25">
        <f t="shared" si="14"/>
        <v>8.9769300000000012</v>
      </c>
      <c r="AA29" s="967" t="str">
        <f t="shared" si="15"/>
        <v>Green</v>
      </c>
      <c r="AB29" s="707">
        <f t="shared" si="16"/>
        <v>6</v>
      </c>
      <c r="AC29" s="25">
        <v>9.1016999999999992</v>
      </c>
      <c r="AD29" s="25">
        <v>8.9497999999999998</v>
      </c>
      <c r="AE29" s="25">
        <v>9.3491</v>
      </c>
      <c r="AF29" s="25">
        <f t="shared" si="17"/>
        <v>9.0752299999999995</v>
      </c>
      <c r="AG29" s="967" t="str">
        <f t="shared" si="18"/>
        <v>Green</v>
      </c>
      <c r="AH29" s="991">
        <f t="shared" si="19"/>
        <v>8</v>
      </c>
      <c r="AI29" s="25">
        <v>9.1472999999999995</v>
      </c>
      <c r="AJ29" s="25">
        <v>9.0114999999999998</v>
      </c>
      <c r="AK29" s="25">
        <v>9.4372000000000007</v>
      </c>
      <c r="AL29" s="25">
        <f t="shared" si="20"/>
        <v>9.1373800000000003</v>
      </c>
      <c r="AM29" s="967" t="str">
        <f t="shared" si="1"/>
        <v>Green</v>
      </c>
      <c r="AN29" s="991">
        <f t="shared" si="7"/>
        <v>10</v>
      </c>
      <c r="AO29" s="1137">
        <v>8.9425000000000008</v>
      </c>
      <c r="AP29" s="1137">
        <v>8.8229000000000006</v>
      </c>
      <c r="AQ29" s="1137">
        <v>9.0923999999999996</v>
      </c>
      <c r="AR29" s="1139">
        <f t="shared" si="21"/>
        <v>8.9126800000000017</v>
      </c>
      <c r="AS29" s="967" t="str">
        <f t="shared" si="22"/>
        <v>Green</v>
      </c>
      <c r="AT29" s="915">
        <f t="shared" si="2"/>
        <v>10</v>
      </c>
      <c r="AU29" s="696"/>
      <c r="AV29" s="696"/>
      <c r="AW29" s="27"/>
      <c r="AX29" s="62"/>
      <c r="AY29" s="191"/>
      <c r="AZ29" s="702"/>
    </row>
    <row r="30" spans="1:52">
      <c r="B30" s="1281"/>
      <c r="C30" s="115">
        <f t="shared" si="0"/>
        <v>0.3889800000000001</v>
      </c>
      <c r="D30" s="407" t="s">
        <v>168</v>
      </c>
      <c r="E30" s="688">
        <v>8.52</v>
      </c>
      <c r="F30" s="23">
        <v>8.1300000000000008</v>
      </c>
      <c r="G30" s="23">
        <v>8.86</v>
      </c>
      <c r="H30" s="25">
        <f t="shared" si="3"/>
        <v>8.3930000000000007</v>
      </c>
      <c r="I30" s="211" t="str">
        <f t="shared" si="9"/>
        <v>Green</v>
      </c>
      <c r="J30" s="692">
        <f t="shared" si="10"/>
        <v>11</v>
      </c>
      <c r="K30" s="399">
        <v>8.5501000000000005</v>
      </c>
      <c r="L30" s="25">
        <v>8.4166000000000007</v>
      </c>
      <c r="M30" s="25">
        <v>9.3042999999999996</v>
      </c>
      <c r="N30" s="25">
        <f t="shared" si="4"/>
        <v>8.6341900000000003</v>
      </c>
      <c r="O30" s="211" t="str">
        <f t="shared" si="5"/>
        <v>Green</v>
      </c>
      <c r="P30" s="692">
        <f t="shared" si="6"/>
        <v>10</v>
      </c>
      <c r="Q30" s="25">
        <v>8.77</v>
      </c>
      <c r="R30" s="25">
        <v>8.6999999999999993</v>
      </c>
      <c r="S30" s="25">
        <v>8.84</v>
      </c>
      <c r="T30" s="25">
        <f t="shared" si="11"/>
        <v>8.7490000000000006</v>
      </c>
      <c r="U30" s="211" t="str">
        <f t="shared" si="12"/>
        <v>Green</v>
      </c>
      <c r="V30" s="702">
        <f t="shared" si="13"/>
        <v>6</v>
      </c>
      <c r="W30" s="25">
        <v>8.7891999999999992</v>
      </c>
      <c r="X30" s="25">
        <v>8.6432000000000002</v>
      </c>
      <c r="Y30" s="25">
        <v>9.1181000000000001</v>
      </c>
      <c r="Z30" s="25">
        <f t="shared" si="14"/>
        <v>8.7819800000000008</v>
      </c>
      <c r="AA30" s="967" t="str">
        <f t="shared" si="15"/>
        <v>Green</v>
      </c>
      <c r="AB30" s="707">
        <f t="shared" si="16"/>
        <v>9</v>
      </c>
      <c r="AC30" s="25">
        <v>9.0342465753424666</v>
      </c>
      <c r="AD30" s="25">
        <v>8.9486725663716822</v>
      </c>
      <c r="AE30" s="25">
        <v>9.3333333333333339</v>
      </c>
      <c r="AF30" s="25">
        <f t="shared" si="17"/>
        <v>9.0512769224552478</v>
      </c>
      <c r="AG30" s="967" t="str">
        <f t="shared" si="18"/>
        <v>Green</v>
      </c>
      <c r="AH30" s="991">
        <f t="shared" si="19"/>
        <v>9</v>
      </c>
      <c r="AI30" s="25">
        <v>9.2423999999999999</v>
      </c>
      <c r="AJ30" s="25">
        <v>9.0660000000000007</v>
      </c>
      <c r="AK30" s="25">
        <v>9.5726999999999993</v>
      </c>
      <c r="AL30" s="25">
        <f t="shared" si="20"/>
        <v>9.2202600000000015</v>
      </c>
      <c r="AM30" s="967" t="str">
        <f t="shared" si="1"/>
        <v>Green</v>
      </c>
      <c r="AN30" s="991">
        <f t="shared" si="7"/>
        <v>6</v>
      </c>
      <c r="AO30" s="1137">
        <v>9.1649999999999991</v>
      </c>
      <c r="AP30" s="1137">
        <v>9.2820999999999998</v>
      </c>
      <c r="AQ30" s="1137">
        <v>9.7232000000000003</v>
      </c>
      <c r="AR30" s="1139">
        <f t="shared" si="21"/>
        <v>9.335189999999999</v>
      </c>
      <c r="AS30" s="967" t="str">
        <f t="shared" si="22"/>
        <v>Green</v>
      </c>
      <c r="AT30" s="915">
        <f t="shared" si="2"/>
        <v>1</v>
      </c>
      <c r="AU30" s="696"/>
      <c r="AV30" s="696"/>
      <c r="AW30" s="27"/>
      <c r="AX30" s="62"/>
      <c r="AY30" s="191"/>
      <c r="AZ30" s="702"/>
    </row>
    <row r="31" spans="1:52">
      <c r="B31" s="1281"/>
      <c r="C31" s="115">
        <f t="shared" si="0"/>
        <v>0.15676999999999985</v>
      </c>
      <c r="D31" s="407" t="s">
        <v>169</v>
      </c>
      <c r="E31" s="688">
        <v>8.6300000000000008</v>
      </c>
      <c r="F31" s="23">
        <v>8.34</v>
      </c>
      <c r="G31" s="23">
        <v>9.1199999999999992</v>
      </c>
      <c r="H31" s="25">
        <f t="shared" si="3"/>
        <v>8.5830000000000002</v>
      </c>
      <c r="I31" s="211" t="str">
        <f t="shared" si="9"/>
        <v>Green</v>
      </c>
      <c r="J31" s="692">
        <f t="shared" si="10"/>
        <v>8</v>
      </c>
      <c r="K31" s="399">
        <v>8.7692999999999994</v>
      </c>
      <c r="L31" s="25">
        <v>8.4118999999999993</v>
      </c>
      <c r="M31" s="25">
        <v>9.2622</v>
      </c>
      <c r="N31" s="25">
        <f t="shared" si="4"/>
        <v>8.6891799999999986</v>
      </c>
      <c r="O31" s="211" t="str">
        <f t="shared" si="5"/>
        <v>Green</v>
      </c>
      <c r="P31" s="692">
        <f t="shared" si="6"/>
        <v>7</v>
      </c>
      <c r="Q31" s="25">
        <v>8.7933734939759027</v>
      </c>
      <c r="R31" s="25">
        <v>8.5034482758620697</v>
      </c>
      <c r="S31" s="25">
        <v>9.2549019607843146</v>
      </c>
      <c r="T31" s="25">
        <f t="shared" si="11"/>
        <v>8.7407165782806686</v>
      </c>
      <c r="U31" s="211" t="str">
        <f t="shared" si="12"/>
        <v>Green</v>
      </c>
      <c r="V31" s="702">
        <f t="shared" si="13"/>
        <v>8</v>
      </c>
      <c r="W31" s="25">
        <v>8.9510000000000005</v>
      </c>
      <c r="X31" s="25">
        <v>8.4701000000000004</v>
      </c>
      <c r="Y31" s="25">
        <v>9.0970999999999993</v>
      </c>
      <c r="Z31" s="25">
        <f t="shared" si="14"/>
        <v>8.73977</v>
      </c>
      <c r="AA31" s="967" t="str">
        <f t="shared" si="15"/>
        <v>Green</v>
      </c>
      <c r="AB31" s="707">
        <f t="shared" si="16"/>
        <v>11</v>
      </c>
      <c r="AC31" s="25">
        <v>8.989037758830694</v>
      </c>
      <c r="AD31" s="25">
        <v>8.8473926380368102</v>
      </c>
      <c r="AE31" s="25">
        <v>9.2840722495894905</v>
      </c>
      <c r="AF31" s="25">
        <f t="shared" si="17"/>
        <v>8.9772220965855123</v>
      </c>
      <c r="AG31" s="967" t="str">
        <f t="shared" si="18"/>
        <v>Green</v>
      </c>
      <c r="AH31" s="991">
        <f t="shared" si="19"/>
        <v>11</v>
      </c>
      <c r="AI31" s="25">
        <v>9.1478000000000002</v>
      </c>
      <c r="AJ31" s="25">
        <v>9.1245999999999992</v>
      </c>
      <c r="AK31" s="25">
        <v>9.4941999999999993</v>
      </c>
      <c r="AL31" s="25">
        <f t="shared" si="20"/>
        <v>9.2054799999999997</v>
      </c>
      <c r="AM31" s="967" t="str">
        <f t="shared" ref="AM31" si="23">IF(AL31&lt;7.79,"Red",IF(AL31&gt;=8.2,"Green","Amber"))</f>
        <v>Green</v>
      </c>
      <c r="AN31" s="991">
        <f t="shared" si="7"/>
        <v>7</v>
      </c>
      <c r="AO31" s="1137">
        <v>9.0451999999999995</v>
      </c>
      <c r="AP31" s="1137">
        <v>9.1265000000000001</v>
      </c>
      <c r="AQ31" s="1137">
        <v>9.6233000000000004</v>
      </c>
      <c r="AR31" s="1139">
        <f>(AO31*AO$22)+(AP31*AP$22)+(AQ31*AQ$22)</f>
        <v>9.2014700000000005</v>
      </c>
      <c r="AS31" s="967" t="str">
        <f t="shared" si="22"/>
        <v>Green</v>
      </c>
      <c r="AT31" s="915">
        <f t="shared" ref="AT31" si="24">RANK(AR31,AR$23:AR$36,0)</f>
        <v>3</v>
      </c>
      <c r="AU31" s="696"/>
      <c r="AV31" s="696"/>
      <c r="AW31" s="27"/>
      <c r="AX31" s="62"/>
      <c r="AY31" s="191"/>
      <c r="AZ31" s="702"/>
    </row>
    <row r="32" spans="1:52">
      <c r="B32" s="1281"/>
      <c r="C32" s="115">
        <f t="shared" si="0"/>
        <v>0.26588999999999707</v>
      </c>
      <c r="D32" s="407" t="s">
        <v>170</v>
      </c>
      <c r="E32" s="688">
        <v>8.8800000000000008</v>
      </c>
      <c r="F32" s="23">
        <v>8.1</v>
      </c>
      <c r="G32" s="23">
        <v>9.16</v>
      </c>
      <c r="H32" s="25">
        <f t="shared" si="3"/>
        <v>8.5460000000000012</v>
      </c>
      <c r="I32" s="211" t="str">
        <f t="shared" si="9"/>
        <v>Green</v>
      </c>
      <c r="J32" s="692">
        <f t="shared" si="10"/>
        <v>9</v>
      </c>
      <c r="K32" s="399">
        <v>8.8178000000000001</v>
      </c>
      <c r="L32" s="227">
        <v>8.18</v>
      </c>
      <c r="M32" s="25">
        <v>9.3541000000000007</v>
      </c>
      <c r="N32" s="25">
        <f t="shared" si="4"/>
        <v>8.6061599999999991</v>
      </c>
      <c r="O32" s="211" t="str">
        <f t="shared" si="5"/>
        <v>Green</v>
      </c>
      <c r="P32" s="692">
        <f t="shared" si="6"/>
        <v>11</v>
      </c>
      <c r="Q32" s="25">
        <v>8.8832931242460802</v>
      </c>
      <c r="R32" s="25">
        <v>8.4293507910529186</v>
      </c>
      <c r="S32" s="25">
        <v>9.2286115007012626</v>
      </c>
      <c r="T32" s="25">
        <f t="shared" si="11"/>
        <v>8.7253856329405366</v>
      </c>
      <c r="U32" s="211" t="str">
        <f t="shared" si="12"/>
        <v>Green</v>
      </c>
      <c r="V32" s="702">
        <f t="shared" si="13"/>
        <v>9</v>
      </c>
      <c r="W32" s="25">
        <v>9.0434000000000001</v>
      </c>
      <c r="X32" s="25">
        <v>8.5070999999999994</v>
      </c>
      <c r="Y32" s="25">
        <v>9.2265999999999995</v>
      </c>
      <c r="Z32" s="25">
        <f t="shared" si="14"/>
        <v>8.8118899999999982</v>
      </c>
      <c r="AA32" s="967" t="str">
        <f t="shared" si="15"/>
        <v>Green</v>
      </c>
      <c r="AB32" s="707">
        <f t="shared" si="16"/>
        <v>8</v>
      </c>
      <c r="AC32" s="25">
        <v>9.1252285191956126</v>
      </c>
      <c r="AD32" s="25">
        <v>9.0353075170842825</v>
      </c>
      <c r="AE32" s="25">
        <v>9.4502427184466011</v>
      </c>
      <c r="AF32" s="25">
        <f t="shared" si="17"/>
        <v>9.1452708579901447</v>
      </c>
      <c r="AG32" s="967" t="str">
        <f t="shared" si="18"/>
        <v>Green</v>
      </c>
      <c r="AH32" s="991">
        <f t="shared" si="19"/>
        <v>5</v>
      </c>
      <c r="AI32" s="25">
        <v>9.1745000000000001</v>
      </c>
      <c r="AJ32" s="25">
        <v>9.3530999999999995</v>
      </c>
      <c r="AK32" s="25">
        <v>9.5418000000000003</v>
      </c>
      <c r="AL32" s="25">
        <f t="shared" si="20"/>
        <v>9.3372600000000006</v>
      </c>
      <c r="AM32" s="967" t="str">
        <f>IF(AL32&lt;7.79,"Red",IF(AL32&gt;=8.2,"Green","Amber"))</f>
        <v>Green</v>
      </c>
      <c r="AN32" s="991">
        <f>RANK(AL32,AL$23:AL$36,0)</f>
        <v>1</v>
      </c>
      <c r="AO32" s="1137">
        <v>9.1692999999999998</v>
      </c>
      <c r="AP32" s="1137">
        <v>9.3071000000000002</v>
      </c>
      <c r="AQ32" s="1137">
        <v>9.6340000000000003</v>
      </c>
      <c r="AR32" s="1139">
        <f t="shared" si="21"/>
        <v>9.3311399999999995</v>
      </c>
      <c r="AS32" s="967" t="str">
        <f t="shared" si="22"/>
        <v>Green</v>
      </c>
      <c r="AT32" s="915">
        <f>RANK(AR32,AR$23:AR$36,0)</f>
        <v>2</v>
      </c>
      <c r="AU32" s="696"/>
      <c r="AV32" s="696"/>
      <c r="AW32" s="27"/>
      <c r="AX32" s="62"/>
      <c r="AY32" s="191"/>
      <c r="AZ32" s="702"/>
    </row>
    <row r="33" spans="2:60">
      <c r="B33" s="1281"/>
      <c r="C33" s="115">
        <f t="shared" si="0"/>
        <v>0.35007000000000055</v>
      </c>
      <c r="D33" s="407" t="s">
        <v>171</v>
      </c>
      <c r="E33" s="688">
        <v>8.7899999999999991</v>
      </c>
      <c r="F33" s="23">
        <v>8.36</v>
      </c>
      <c r="G33" s="23">
        <v>8.84</v>
      </c>
      <c r="H33" s="25">
        <f t="shared" si="3"/>
        <v>8.5849999999999991</v>
      </c>
      <c r="I33" s="211" t="str">
        <f t="shared" si="9"/>
        <v>Green</v>
      </c>
      <c r="J33" s="692">
        <f t="shared" si="10"/>
        <v>7</v>
      </c>
      <c r="K33" s="399">
        <v>8.7406000000000006</v>
      </c>
      <c r="L33" s="25">
        <v>8.4311000000000007</v>
      </c>
      <c r="M33" s="25">
        <v>9.0449999999999999</v>
      </c>
      <c r="N33" s="25">
        <f t="shared" si="4"/>
        <v>8.6467300000000016</v>
      </c>
      <c r="O33" s="211" t="str">
        <f t="shared" si="5"/>
        <v>Green</v>
      </c>
      <c r="P33" s="692">
        <f t="shared" si="6"/>
        <v>9</v>
      </c>
      <c r="Q33" s="25">
        <v>8.8219999999999992</v>
      </c>
      <c r="R33" s="25">
        <v>8.5213000000000001</v>
      </c>
      <c r="S33" s="25">
        <v>8.9478000000000009</v>
      </c>
      <c r="T33" s="25">
        <f t="shared" si="11"/>
        <v>8.6968099999999993</v>
      </c>
      <c r="U33" s="211" t="str">
        <f t="shared" si="12"/>
        <v>Green</v>
      </c>
      <c r="V33" s="702">
        <f t="shared" si="13"/>
        <v>11</v>
      </c>
      <c r="W33" s="25">
        <v>8.8902000000000001</v>
      </c>
      <c r="X33" s="25">
        <v>8.8172999999999995</v>
      </c>
      <c r="Y33" s="25">
        <v>9.2967999999999993</v>
      </c>
      <c r="Z33" s="25">
        <f t="shared" si="14"/>
        <v>8.9350699999999996</v>
      </c>
      <c r="AA33" s="967" t="str">
        <f t="shared" si="15"/>
        <v>Green</v>
      </c>
      <c r="AB33" s="707">
        <f t="shared" si="16"/>
        <v>7</v>
      </c>
      <c r="AC33" s="25">
        <v>9.1327999999999996</v>
      </c>
      <c r="AD33" s="25">
        <v>9.1242000000000001</v>
      </c>
      <c r="AE33" s="25">
        <v>9.3217999999999996</v>
      </c>
      <c r="AF33" s="25">
        <f t="shared" si="17"/>
        <v>9.1662999999999997</v>
      </c>
      <c r="AG33" s="967" t="str">
        <f t="shared" si="18"/>
        <v>Green</v>
      </c>
      <c r="AH33" s="991">
        <f t="shared" si="19"/>
        <v>2</v>
      </c>
      <c r="AI33" s="25">
        <v>9.1793999999999993</v>
      </c>
      <c r="AJ33" s="25">
        <v>9.1582000000000008</v>
      </c>
      <c r="AK33" s="25">
        <v>9.4666999999999994</v>
      </c>
      <c r="AL33" s="25">
        <f t="shared" si="20"/>
        <v>9.2262599999999999</v>
      </c>
      <c r="AM33" s="967" t="str">
        <f>IF(AL33&lt;7.79,"Red",IF(AL33&gt;=8.2,"Green","Amber"))</f>
        <v>Green</v>
      </c>
      <c r="AN33" s="991">
        <f t="shared" si="7"/>
        <v>5</v>
      </c>
      <c r="AO33" s="1137">
        <v>9.0310000000000006</v>
      </c>
      <c r="AP33" s="1137">
        <v>9.1226000000000003</v>
      </c>
      <c r="AQ33" s="1137">
        <v>9.3794000000000004</v>
      </c>
      <c r="AR33" s="1139">
        <f t="shared" si="21"/>
        <v>9.1464800000000004</v>
      </c>
      <c r="AS33" s="967" t="str">
        <f t="shared" si="22"/>
        <v>Green</v>
      </c>
      <c r="AT33" s="915">
        <f>RANK(AR33,AR$23:AR$36,0)</f>
        <v>5</v>
      </c>
      <c r="AU33" s="696"/>
      <c r="AV33" s="696"/>
      <c r="AW33" s="27"/>
      <c r="AX33" s="62"/>
      <c r="AY33" s="191"/>
      <c r="AZ33" s="702"/>
    </row>
    <row r="34" spans="2:60">
      <c r="B34" s="1281"/>
      <c r="C34" s="115">
        <f t="shared" si="0"/>
        <v>0.28588000000000058</v>
      </c>
      <c r="D34" s="407" t="s">
        <v>172</v>
      </c>
      <c r="E34" s="688">
        <v>8.86</v>
      </c>
      <c r="F34" s="23">
        <v>8.43</v>
      </c>
      <c r="G34" s="23">
        <v>9.24</v>
      </c>
      <c r="H34" s="25">
        <f t="shared" si="3"/>
        <v>8.7210000000000001</v>
      </c>
      <c r="I34" s="211" t="str">
        <f t="shared" si="9"/>
        <v>Green</v>
      </c>
      <c r="J34" s="692">
        <f t="shared" si="10"/>
        <v>6</v>
      </c>
      <c r="K34" s="399">
        <v>8.7349999999999994</v>
      </c>
      <c r="L34" s="25">
        <v>8.6807999999999996</v>
      </c>
      <c r="M34" s="25">
        <v>9.2988999999999997</v>
      </c>
      <c r="N34" s="25">
        <f t="shared" si="4"/>
        <v>8.8206799999999994</v>
      </c>
      <c r="O34" s="211" t="str">
        <f>IF(N34&lt;7.79,"Red",IF(N34&gt;=8.2,"Green","Amber"))</f>
        <v>Green</v>
      </c>
      <c r="P34" s="692">
        <f t="shared" si="6"/>
        <v>6</v>
      </c>
      <c r="Q34" s="25">
        <v>8.859</v>
      </c>
      <c r="R34" s="25">
        <v>8.4253</v>
      </c>
      <c r="S34" s="25">
        <v>9.3867999999999991</v>
      </c>
      <c r="T34" s="25">
        <f t="shared" si="11"/>
        <v>8.7477099999999997</v>
      </c>
      <c r="U34" s="211" t="str">
        <f t="shared" si="12"/>
        <v>Green</v>
      </c>
      <c r="V34" s="702">
        <f t="shared" si="13"/>
        <v>7</v>
      </c>
      <c r="W34" s="25">
        <v>8.9991000000000003</v>
      </c>
      <c r="X34" s="25">
        <v>8.8825000000000003</v>
      </c>
      <c r="Y34" s="25">
        <v>9.3294999999999995</v>
      </c>
      <c r="Z34" s="25">
        <f t="shared" si="14"/>
        <v>9.0068800000000007</v>
      </c>
      <c r="AA34" s="967" t="str">
        <f t="shared" si="15"/>
        <v>Green</v>
      </c>
      <c r="AB34" s="707">
        <f t="shared" si="16"/>
        <v>4</v>
      </c>
      <c r="AC34" s="25">
        <v>9.0625999999999998</v>
      </c>
      <c r="AD34" s="25">
        <v>9.1046999999999993</v>
      </c>
      <c r="AE34" s="25">
        <v>9.4415999999999993</v>
      </c>
      <c r="AF34" s="25">
        <f t="shared" si="17"/>
        <v>9.1594499999999996</v>
      </c>
      <c r="AG34" s="967" t="str">
        <f t="shared" si="18"/>
        <v>Green</v>
      </c>
      <c r="AH34" s="991">
        <f t="shared" si="19"/>
        <v>4</v>
      </c>
      <c r="AI34" s="25">
        <v>9.1969999999999992</v>
      </c>
      <c r="AJ34" s="25">
        <v>9.1045999999999996</v>
      </c>
      <c r="AK34" s="25">
        <v>9.6294000000000004</v>
      </c>
      <c r="AL34" s="25">
        <f t="shared" si="20"/>
        <v>9.2372799999999984</v>
      </c>
      <c r="AM34" s="967" t="str">
        <f>IF(AL34&lt;7.79,"Red",IF(AL34&gt;=8.2,"Green","Amber"))</f>
        <v>Green</v>
      </c>
      <c r="AN34" s="991">
        <f t="shared" si="7"/>
        <v>4</v>
      </c>
      <c r="AO34" s="1137">
        <v>8.9585000000000008</v>
      </c>
      <c r="AP34" s="1137">
        <v>9.0093999999999994</v>
      </c>
      <c r="AQ34" s="1137">
        <v>9.4833999999999996</v>
      </c>
      <c r="AR34" s="1139">
        <f t="shared" si="21"/>
        <v>9.0889299999999995</v>
      </c>
      <c r="AS34" s="967" t="str">
        <f t="shared" ref="AS34:AS36" si="25">IF(AR34&lt;7.79,"Red",IF(AR34&gt;=8.2,"Green","Amber"))</f>
        <v>Green</v>
      </c>
      <c r="AT34" s="915">
        <f>RANK(AR34,AR$23:AR$36,0)</f>
        <v>8</v>
      </c>
      <c r="AU34" s="696"/>
      <c r="AV34" s="696"/>
      <c r="AW34" s="27"/>
      <c r="AX34" s="62"/>
      <c r="AY34" s="191"/>
      <c r="AZ34" s="702"/>
    </row>
    <row r="35" spans="2:60">
      <c r="B35" s="1281"/>
      <c r="C35" s="115">
        <f t="shared" si="0"/>
        <v>0.33200000000000074</v>
      </c>
      <c r="D35" s="407" t="s">
        <v>28</v>
      </c>
      <c r="E35" s="688">
        <v>9.06</v>
      </c>
      <c r="F35" s="23">
        <v>8.5500000000000007</v>
      </c>
      <c r="G35" s="23">
        <v>8.7200000000000006</v>
      </c>
      <c r="H35" s="25">
        <f t="shared" si="3"/>
        <v>8.7370000000000001</v>
      </c>
      <c r="I35" s="211" t="str">
        <f t="shared" si="9"/>
        <v>Green</v>
      </c>
      <c r="J35" s="692">
        <f t="shared" si="10"/>
        <v>5</v>
      </c>
      <c r="K35" s="399">
        <v>9.15</v>
      </c>
      <c r="L35" s="25">
        <v>8.5299999999999994</v>
      </c>
      <c r="M35" s="25">
        <v>9.06</v>
      </c>
      <c r="N35" s="25">
        <f t="shared" si="4"/>
        <v>8.8219999999999992</v>
      </c>
      <c r="O35" s="211" t="str">
        <f t="shared" si="5"/>
        <v>Green</v>
      </c>
      <c r="P35" s="692">
        <f t="shared" si="6"/>
        <v>5</v>
      </c>
      <c r="Q35" s="25">
        <v>9.2200000000000006</v>
      </c>
      <c r="R35" s="25">
        <v>8.59</v>
      </c>
      <c r="S35" s="25">
        <v>8.9600000000000009</v>
      </c>
      <c r="T35" s="25">
        <f t="shared" si="11"/>
        <v>8.8529999999999998</v>
      </c>
      <c r="U35" s="211" t="str">
        <f t="shared" si="12"/>
        <v>Green</v>
      </c>
      <c r="V35" s="702">
        <f t="shared" si="13"/>
        <v>5</v>
      </c>
      <c r="W35" s="25">
        <v>9.19</v>
      </c>
      <c r="X35" s="25">
        <v>8.9600000000000009</v>
      </c>
      <c r="Y35" s="25">
        <v>9.16</v>
      </c>
      <c r="Z35" s="25">
        <f t="shared" si="14"/>
        <v>9.0690000000000008</v>
      </c>
      <c r="AA35" s="967" t="str">
        <f t="shared" si="15"/>
        <v>Green</v>
      </c>
      <c r="AB35" s="707">
        <f t="shared" si="16"/>
        <v>2</v>
      </c>
      <c r="AC35" s="25">
        <v>9.23</v>
      </c>
      <c r="AD35" s="25">
        <v>9.16</v>
      </c>
      <c r="AE35" s="25">
        <v>9.2100000000000009</v>
      </c>
      <c r="AF35" s="25">
        <f t="shared" si="17"/>
        <v>9.1910000000000007</v>
      </c>
      <c r="AG35" s="967" t="str">
        <f t="shared" si="18"/>
        <v>Green</v>
      </c>
      <c r="AH35" s="991">
        <f t="shared" si="19"/>
        <v>1</v>
      </c>
      <c r="AI35" s="25">
        <v>9.25</v>
      </c>
      <c r="AJ35" s="25">
        <v>9.31</v>
      </c>
      <c r="AK35" s="25">
        <v>9.1300000000000008</v>
      </c>
      <c r="AL35" s="25">
        <f t="shared" si="20"/>
        <v>9.2560000000000002</v>
      </c>
      <c r="AM35" s="967" t="str">
        <f>IF(AL35&lt;7.79,"Red",IF(AL35&gt;=8.2,"Green","Amber"))</f>
        <v>Green</v>
      </c>
      <c r="AN35" s="991">
        <f t="shared" si="7"/>
        <v>3</v>
      </c>
      <c r="AO35" s="1137">
        <v>8.91</v>
      </c>
      <c r="AP35" s="1137">
        <v>9.14</v>
      </c>
      <c r="AQ35" s="1137">
        <v>9.23</v>
      </c>
      <c r="AR35" s="1139">
        <f>(AO35*AO$22)+(AP35*AP$22)+(AQ35*AQ$22)</f>
        <v>9.0890000000000004</v>
      </c>
      <c r="AS35" s="967" t="str">
        <f>IF(AR35&lt;7.79,"Red",IF(AR35&gt;=8.2,"Green","Amber"))</f>
        <v>Green</v>
      </c>
      <c r="AT35" s="915">
        <f>RANK(AR35,AR$23:AR$36,0)</f>
        <v>7</v>
      </c>
      <c r="AU35" s="696"/>
      <c r="AV35" s="696"/>
      <c r="AW35" s="27"/>
      <c r="AX35" s="62"/>
      <c r="AY35" s="191"/>
      <c r="AZ35" s="702"/>
    </row>
    <row r="36" spans="2:60" ht="12" thickBot="1">
      <c r="B36" s="1281"/>
      <c r="C36" s="115">
        <f t="shared" si="0"/>
        <v>0.38400000000000034</v>
      </c>
      <c r="D36" s="413" t="s">
        <v>173</v>
      </c>
      <c r="E36" s="710">
        <v>8.39</v>
      </c>
      <c r="F36" s="693">
        <v>7.88</v>
      </c>
      <c r="G36" s="693">
        <v>8.5299999999999994</v>
      </c>
      <c r="H36" s="422">
        <f t="shared" si="3"/>
        <v>8.1630000000000003</v>
      </c>
      <c r="I36" s="694" t="str">
        <f>IF(H36&lt;7.79,"Red",IF(H36&gt;=8.2,"Green","Amber"))</f>
        <v>Amber</v>
      </c>
      <c r="J36" s="695">
        <f t="shared" si="10"/>
        <v>13</v>
      </c>
      <c r="K36" s="421">
        <v>8.7100000000000009</v>
      </c>
      <c r="L36" s="700">
        <v>8.1</v>
      </c>
      <c r="M36" s="422">
        <v>8.5399999999999991</v>
      </c>
      <c r="N36" s="422">
        <f t="shared" si="4"/>
        <v>8.3710000000000004</v>
      </c>
      <c r="O36" s="694" t="str">
        <f>IF(N36&lt;7.79,"Red",IF(N36&gt;=8.2,"Green","Amber"))</f>
        <v>Green</v>
      </c>
      <c r="P36" s="695">
        <f t="shared" si="6"/>
        <v>13</v>
      </c>
      <c r="Q36" s="25">
        <v>8.75</v>
      </c>
      <c r="R36" s="25">
        <v>8.11</v>
      </c>
      <c r="S36" s="25">
        <v>8.32</v>
      </c>
      <c r="T36" s="25">
        <f t="shared" si="11"/>
        <v>8.3439999999999994</v>
      </c>
      <c r="U36" s="694" t="str">
        <f t="shared" si="12"/>
        <v>Green</v>
      </c>
      <c r="V36" s="702">
        <f t="shared" si="13"/>
        <v>14</v>
      </c>
      <c r="W36" s="25">
        <v>8.7899999999999991</v>
      </c>
      <c r="X36" s="25">
        <v>8.42</v>
      </c>
      <c r="Y36" s="25">
        <v>8.5</v>
      </c>
      <c r="Z36" s="422">
        <f t="shared" si="14"/>
        <v>8.5470000000000006</v>
      </c>
      <c r="AA36" s="968" t="str">
        <f t="shared" si="15"/>
        <v>Green</v>
      </c>
      <c r="AB36" s="708">
        <f t="shared" si="16"/>
        <v>14</v>
      </c>
      <c r="AC36" s="25">
        <v>8.67</v>
      </c>
      <c r="AD36" s="25">
        <v>8.64</v>
      </c>
      <c r="AE36" s="25">
        <v>8.73</v>
      </c>
      <c r="AF36" s="422">
        <f t="shared" si="17"/>
        <v>8.6669999999999998</v>
      </c>
      <c r="AG36" s="968" t="str">
        <f t="shared" si="18"/>
        <v>Green</v>
      </c>
      <c r="AH36" s="991">
        <f t="shared" si="19"/>
        <v>14</v>
      </c>
      <c r="AI36" s="1058">
        <v>8.56</v>
      </c>
      <c r="AJ36" s="1058">
        <v>8.5399999999999991</v>
      </c>
      <c r="AK36" s="1058">
        <v>8.67</v>
      </c>
      <c r="AL36" s="1059">
        <f t="shared" si="20"/>
        <v>8.5719999999999992</v>
      </c>
      <c r="AM36" s="968" t="str">
        <f>IF(AL36&lt;7.79,"Red",IF(AL36&gt;=8.2,"Green","Amber"))</f>
        <v>Green</v>
      </c>
      <c r="AN36" s="991">
        <f t="shared" si="7"/>
        <v>14</v>
      </c>
      <c r="AO36" s="1137">
        <v>8.35</v>
      </c>
      <c r="AP36" s="1137">
        <v>8.33</v>
      </c>
      <c r="AQ36" s="1137">
        <v>8.1999999999999993</v>
      </c>
      <c r="AR36" s="1140">
        <f t="shared" si="21"/>
        <v>8.31</v>
      </c>
      <c r="AS36" s="968" t="str">
        <f t="shared" si="25"/>
        <v>Green</v>
      </c>
      <c r="AT36" s="915">
        <f>RANK(AR36,AR$23:AR$36,0)</f>
        <v>14</v>
      </c>
      <c r="AU36" s="709"/>
      <c r="AV36" s="709"/>
      <c r="AW36" s="404"/>
      <c r="AX36" s="403"/>
      <c r="AY36" s="704"/>
      <c r="AZ36" s="705"/>
    </row>
    <row r="37" spans="2:60">
      <c r="B37" s="113"/>
      <c r="C37" s="60"/>
      <c r="D37" s="718" t="s">
        <v>240</v>
      </c>
      <c r="E37" s="711">
        <v>8.1999999999999993</v>
      </c>
      <c r="F37" s="689">
        <v>8.1999999999999993</v>
      </c>
      <c r="G37" s="689">
        <v>8.1999999999999993</v>
      </c>
      <c r="H37" s="689">
        <v>8.1999999999999993</v>
      </c>
      <c r="K37" s="689">
        <v>8.1999999999999993</v>
      </c>
      <c r="L37" s="689">
        <v>8.1999999999999993</v>
      </c>
      <c r="M37" s="689">
        <v>8.1999999999999993</v>
      </c>
      <c r="N37" s="689">
        <v>8.1999999999999993</v>
      </c>
      <c r="O37" s="171"/>
      <c r="P37" s="171"/>
      <c r="Q37" s="689">
        <v>8.1999999999999993</v>
      </c>
      <c r="R37" s="689">
        <v>8.1999999999999993</v>
      </c>
      <c r="S37" s="689">
        <v>8.1999999999999993</v>
      </c>
      <c r="T37" s="837">
        <v>8.1999999999999993</v>
      </c>
      <c r="W37" s="689">
        <v>8.1999999999999993</v>
      </c>
      <c r="X37" s="689">
        <v>8.1999999999999993</v>
      </c>
      <c r="Y37" s="689">
        <v>8.1999999999999993</v>
      </c>
      <c r="Z37" s="689">
        <v>8.1999999999999993</v>
      </c>
      <c r="AC37" s="689">
        <v>8.1999999999999993</v>
      </c>
      <c r="AD37" s="689">
        <v>8.1999999999999993</v>
      </c>
      <c r="AE37" s="689">
        <v>8.1999999999999993</v>
      </c>
      <c r="AF37" s="689">
        <v>8.1999999999999993</v>
      </c>
      <c r="AI37" s="689">
        <v>8.1999999999999993</v>
      </c>
      <c r="AJ37" s="689">
        <v>8.1999999999999993</v>
      </c>
      <c r="AK37" s="689">
        <v>8.1999999999999993</v>
      </c>
      <c r="AL37" s="689">
        <v>8.1999999999999993</v>
      </c>
      <c r="AO37" s="689">
        <v>8.1999999999999993</v>
      </c>
      <c r="AP37" s="689">
        <v>8.1999999999999993</v>
      </c>
      <c r="AQ37" s="689">
        <v>8.1999999999999993</v>
      </c>
      <c r="AR37" s="689">
        <v>8.1999999999999993</v>
      </c>
      <c r="AU37" s="689">
        <v>8.1999999999999993</v>
      </c>
      <c r="AV37" s="689">
        <v>8.1999999999999993</v>
      </c>
      <c r="AW37" s="689">
        <v>8.1999999999999993</v>
      </c>
      <c r="AX37" s="689">
        <v>8.1999999999999993</v>
      </c>
    </row>
    <row r="38" spans="2:60">
      <c r="C38" s="60"/>
      <c r="E38" s="9"/>
      <c r="F38" s="9"/>
      <c r="G38" s="9"/>
      <c r="H38" s="9"/>
      <c r="K38" s="9"/>
      <c r="L38" s="9"/>
      <c r="M38" s="9"/>
      <c r="N38" s="9"/>
      <c r="Q38" s="9"/>
      <c r="R38" s="9"/>
      <c r="S38" s="9"/>
      <c r="T38" s="9"/>
    </row>
    <row r="39" spans="2:60">
      <c r="C39" s="60"/>
    </row>
    <row r="40" spans="2:60">
      <c r="B40" s="1280" t="s">
        <v>378</v>
      </c>
      <c r="C40" s="60"/>
      <c r="D40" s="1" t="s">
        <v>379</v>
      </c>
    </row>
    <row r="41" spans="2:60" s="149" customFormat="1" ht="12" thickBot="1">
      <c r="B41" s="1281"/>
      <c r="C41" s="60"/>
      <c r="E41" s="1216" t="s">
        <v>137</v>
      </c>
      <c r="F41" s="1216"/>
      <c r="G41" s="1216"/>
      <c r="H41" s="1216"/>
      <c r="I41" s="1216"/>
      <c r="J41" s="1216"/>
      <c r="K41" s="1216"/>
      <c r="L41" s="1298" t="s">
        <v>138</v>
      </c>
      <c r="M41" s="1298"/>
      <c r="N41" s="1298"/>
      <c r="O41" s="1298"/>
      <c r="P41" s="1298"/>
      <c r="Q41" s="1298"/>
      <c r="R41" s="1298"/>
      <c r="S41" s="1292" t="s">
        <v>139</v>
      </c>
      <c r="T41" s="1292"/>
      <c r="U41" s="1292"/>
      <c r="V41" s="1292"/>
      <c r="W41" s="1292"/>
      <c r="X41" s="1292"/>
      <c r="Y41" s="1292"/>
      <c r="Z41" s="1292" t="s">
        <v>140</v>
      </c>
      <c r="AA41" s="1292"/>
      <c r="AB41" s="1292"/>
      <c r="AC41" s="1292"/>
      <c r="AD41" s="1292"/>
      <c r="AE41" s="1292"/>
      <c r="AF41" s="1292"/>
      <c r="AG41" s="1292" t="s">
        <v>141</v>
      </c>
      <c r="AH41" s="1292"/>
      <c r="AI41" s="1292"/>
      <c r="AJ41" s="1292"/>
      <c r="AK41" s="1292"/>
      <c r="AL41" s="1292"/>
      <c r="AM41" s="1292"/>
      <c r="AN41" s="1292" t="s">
        <v>126</v>
      </c>
      <c r="AO41" s="1292"/>
      <c r="AP41" s="1292"/>
      <c r="AQ41" s="1292"/>
      <c r="AR41" s="1292"/>
      <c r="AS41" s="1292"/>
      <c r="AT41" s="1292"/>
      <c r="AU41" s="1292" t="s">
        <v>142</v>
      </c>
      <c r="AV41" s="1292"/>
      <c r="AW41" s="1292"/>
      <c r="AX41" s="1292"/>
      <c r="AY41" s="1292"/>
      <c r="AZ41" s="1292"/>
      <c r="BA41" s="1292"/>
      <c r="BB41" s="1292" t="s">
        <v>143</v>
      </c>
      <c r="BC41" s="1292"/>
      <c r="BD41" s="1292"/>
      <c r="BE41" s="1292"/>
      <c r="BF41" s="1292"/>
      <c r="BG41" s="1292"/>
      <c r="BH41" s="1292"/>
    </row>
    <row r="42" spans="2:60" ht="173" thickBot="1">
      <c r="B42" s="1281"/>
      <c r="C42" s="60"/>
      <c r="D42" s="50"/>
      <c r="E42" s="414" t="s">
        <v>380</v>
      </c>
      <c r="F42" s="179" t="s">
        <v>381</v>
      </c>
      <c r="G42" s="179" t="s">
        <v>382</v>
      </c>
      <c r="H42" s="179" t="s">
        <v>383</v>
      </c>
      <c r="I42" s="179" t="s">
        <v>384</v>
      </c>
      <c r="J42" s="713" t="s">
        <v>339</v>
      </c>
      <c r="K42" s="714" t="s">
        <v>63</v>
      </c>
      <c r="L42" s="414" t="s">
        <v>380</v>
      </c>
      <c r="M42" s="179" t="s">
        <v>381</v>
      </c>
      <c r="N42" s="179" t="s">
        <v>382</v>
      </c>
      <c r="O42" s="179" t="s">
        <v>383</v>
      </c>
      <c r="P42" s="179" t="s">
        <v>384</v>
      </c>
      <c r="Q42" s="719" t="s">
        <v>339</v>
      </c>
      <c r="R42" s="720" t="s">
        <v>63</v>
      </c>
      <c r="S42" s="414" t="s">
        <v>380</v>
      </c>
      <c r="T42" s="179" t="s">
        <v>381</v>
      </c>
      <c r="U42" s="179" t="s">
        <v>382</v>
      </c>
      <c r="V42" s="179" t="s">
        <v>383</v>
      </c>
      <c r="W42" s="179" t="s">
        <v>384</v>
      </c>
      <c r="X42" s="713" t="s">
        <v>339</v>
      </c>
      <c r="Y42" s="714" t="s">
        <v>63</v>
      </c>
      <c r="Z42" s="414" t="s">
        <v>380</v>
      </c>
      <c r="AA42" s="179" t="s">
        <v>381</v>
      </c>
      <c r="AB42" s="179" t="s">
        <v>382</v>
      </c>
      <c r="AC42" s="179" t="s">
        <v>383</v>
      </c>
      <c r="AD42" s="179" t="s">
        <v>384</v>
      </c>
      <c r="AE42" s="713" t="s">
        <v>339</v>
      </c>
      <c r="AF42" s="725" t="s">
        <v>63</v>
      </c>
      <c r="AG42" s="414" t="s">
        <v>380</v>
      </c>
      <c r="AH42" s="179" t="s">
        <v>381</v>
      </c>
      <c r="AI42" s="179" t="s">
        <v>382</v>
      </c>
      <c r="AJ42" s="179" t="s">
        <v>383</v>
      </c>
      <c r="AK42" s="179" t="s">
        <v>384</v>
      </c>
      <c r="AL42" s="713" t="s">
        <v>339</v>
      </c>
      <c r="AM42" s="714" t="s">
        <v>63</v>
      </c>
      <c r="AN42" s="414" t="s">
        <v>380</v>
      </c>
      <c r="AO42" s="179" t="s">
        <v>381</v>
      </c>
      <c r="AP42" s="179" t="s">
        <v>382</v>
      </c>
      <c r="AQ42" s="179" t="s">
        <v>383</v>
      </c>
      <c r="AR42" s="179" t="s">
        <v>384</v>
      </c>
      <c r="AS42" s="713" t="s">
        <v>339</v>
      </c>
      <c r="AT42" s="714" t="s">
        <v>63</v>
      </c>
      <c r="AU42" s="414" t="s">
        <v>380</v>
      </c>
      <c r="AV42" s="179" t="s">
        <v>381</v>
      </c>
      <c r="AW42" s="179" t="s">
        <v>382</v>
      </c>
      <c r="AX42" s="179" t="s">
        <v>383</v>
      </c>
      <c r="AY42" s="179" t="s">
        <v>384</v>
      </c>
      <c r="AZ42" s="713" t="s">
        <v>339</v>
      </c>
      <c r="BA42" s="714" t="s">
        <v>63</v>
      </c>
      <c r="BB42" s="414" t="s">
        <v>380</v>
      </c>
      <c r="BC42" s="179" t="s">
        <v>381</v>
      </c>
      <c r="BD42" s="179" t="s">
        <v>382</v>
      </c>
      <c r="BE42" s="179" t="s">
        <v>383</v>
      </c>
      <c r="BF42" s="179" t="s">
        <v>384</v>
      </c>
      <c r="BG42" s="713" t="s">
        <v>339</v>
      </c>
      <c r="BH42" s="714" t="s">
        <v>63</v>
      </c>
    </row>
    <row r="43" spans="2:60">
      <c r="B43" s="1281"/>
      <c r="C43" s="115"/>
      <c r="D43" s="406" t="s">
        <v>161</v>
      </c>
      <c r="E43" s="485">
        <v>0.48796266836355923</v>
      </c>
      <c r="F43" s="51">
        <v>9.2480644819174881E-2</v>
      </c>
      <c r="G43" s="51">
        <v>0</v>
      </c>
      <c r="H43" s="23">
        <v>0</v>
      </c>
      <c r="I43" s="25">
        <v>7.6540460282108391</v>
      </c>
      <c r="J43" s="168" t="str">
        <f t="shared" ref="J43:J56" si="26">IF(I43&lt;=$I$57,"Green",IF(I43&lt;=$I$57*1.05,"Amber","Red"))</f>
        <v>Green</v>
      </c>
      <c r="K43" s="715">
        <f t="shared" ref="K43:K56" si="27">RANK(I43,I$43:I$56,1)</f>
        <v>13</v>
      </c>
      <c r="L43" s="485">
        <v>0.23305684806797491</v>
      </c>
      <c r="M43" s="51">
        <v>3.7224357677523773E-2</v>
      </c>
      <c r="N43" s="51">
        <v>0</v>
      </c>
      <c r="O43" s="23">
        <v>0</v>
      </c>
      <c r="P43" s="25">
        <v>3.4472992110054625</v>
      </c>
      <c r="Q43" s="212" t="str">
        <f>IF(P43&lt;=$P$57,"Green",IF(P43&lt;=$P$57*1.05,"Amber","Red"))</f>
        <v>Green</v>
      </c>
      <c r="R43" s="702">
        <f t="shared" ref="R43:R56" si="28">RANK(P43,P$43:P$56,1)</f>
        <v>9</v>
      </c>
      <c r="S43" s="51">
        <v>0.1792799412196914</v>
      </c>
      <c r="T43" s="51">
        <v>1.6531961792799411E-2</v>
      </c>
      <c r="U43" s="51">
        <v>0</v>
      </c>
      <c r="V43" s="23">
        <v>0</v>
      </c>
      <c r="W43" s="25">
        <v>2.2887582659808965</v>
      </c>
      <c r="X43" s="836" t="str">
        <f>IF(W43&lt;=$W$57,"Green",IF(W43&lt;=$W$57*1.05,"Amber","Red"))</f>
        <v>Green</v>
      </c>
      <c r="Y43" s="835">
        <f>RANK(W43,W$43:W$56,1)</f>
        <v>6</v>
      </c>
      <c r="Z43" s="913">
        <v>0.17900815217391305</v>
      </c>
      <c r="AA43" s="114">
        <v>8.8315217391304341E-3</v>
      </c>
      <c r="AB43" s="114">
        <v>0</v>
      </c>
      <c r="AC43" s="25">
        <v>0</v>
      </c>
      <c r="AD43" s="25">
        <v>2.0550271739130435</v>
      </c>
      <c r="AE43" s="915" t="str">
        <f>IF(AD43&lt;=$W$57,"Green",IF(AD43&lt;=$W$57*1.05,"Amber","Red"))</f>
        <v>Green</v>
      </c>
      <c r="AF43" s="707">
        <f>RANK(AD43,AD$43:AD$56,1)</f>
        <v>8</v>
      </c>
      <c r="AG43" s="913">
        <v>0.15584198192166052</v>
      </c>
      <c r="AH43" s="114">
        <v>1.1047874121191832E-2</v>
      </c>
      <c r="AI43" s="114">
        <v>0</v>
      </c>
      <c r="AJ43" s="25">
        <v>0</v>
      </c>
      <c r="AK43" s="25">
        <v>1.8898560428523603</v>
      </c>
      <c r="AL43" s="915" t="str">
        <f t="shared" ref="AL43:AL56" si="29">IF(AK43&lt;=$AK$57,"Green",IF(AK43&lt;=$AK$57*1.05,"Amber","Red"))</f>
        <v>Green</v>
      </c>
      <c r="AM43" s="707">
        <f>RANK(AK43,AK$43:AK$56,1)</f>
        <v>6</v>
      </c>
      <c r="AN43" s="913">
        <v>0.1424388563554943</v>
      </c>
      <c r="AO43" s="114">
        <v>1.0850843954529796E-2</v>
      </c>
      <c r="AP43" s="114">
        <v>0</v>
      </c>
      <c r="AQ43" s="25">
        <v>0</v>
      </c>
      <c r="AR43" s="25">
        <v>1.7499138821908371</v>
      </c>
      <c r="AS43" s="915" t="str">
        <f t="shared" ref="AS43:AS50" si="30">IF(AR43&lt;=$AR$57,"Green",IF(AR43&lt;=$AR$57*1.05,"Amber","Red"))</f>
        <v>Green</v>
      </c>
      <c r="AT43" s="707">
        <f t="shared" ref="AT43:AT56" si="31">RANK(AR43,AR$43:AR$56,1)</f>
        <v>7</v>
      </c>
      <c r="AU43" s="913">
        <v>0.19116360454943132</v>
      </c>
      <c r="AV43" s="913">
        <v>3.5433070866141732E-2</v>
      </c>
      <c r="AW43" s="913">
        <v>0</v>
      </c>
      <c r="AX43" s="913">
        <v>0</v>
      </c>
      <c r="AY43" s="25">
        <v>2.9746281714785652</v>
      </c>
      <c r="AZ43" s="915" t="str">
        <f t="shared" ref="AZ43:AZ56" si="32">IF(AY43&lt;=$AY$57,"Green",IF(AY43&lt;=$AK$57*1.05,"Amber","Red"))</f>
        <v>Green</v>
      </c>
      <c r="BA43" s="707">
        <f t="shared" ref="BA43:BA49" si="33">RANK(AY43,AY$43:AY$56,1)</f>
        <v>11</v>
      </c>
      <c r="BB43" s="701"/>
      <c r="BC43" s="150"/>
      <c r="BD43" s="150"/>
      <c r="BE43" s="150"/>
      <c r="BF43" s="150"/>
      <c r="BG43" s="191"/>
      <c r="BH43" s="723"/>
    </row>
    <row r="44" spans="2:60">
      <c r="B44" s="1281"/>
      <c r="C44" s="115"/>
      <c r="D44" s="407" t="s">
        <v>162</v>
      </c>
      <c r="E44" s="485">
        <v>0.49855491329479767</v>
      </c>
      <c r="F44" s="51">
        <v>9.9710982658959543E-2</v>
      </c>
      <c r="G44" s="51">
        <v>4.8169556840077071E-4</v>
      </c>
      <c r="H44" s="23">
        <v>0</v>
      </c>
      <c r="I44" s="25">
        <v>8.0009633911368017</v>
      </c>
      <c r="J44" s="168" t="str">
        <f t="shared" si="26"/>
        <v>Green</v>
      </c>
      <c r="K44" s="715">
        <f t="shared" si="27"/>
        <v>14</v>
      </c>
      <c r="L44" s="485">
        <v>0.38580931263858093</v>
      </c>
      <c r="M44" s="51">
        <v>0.10753880266075388</v>
      </c>
      <c r="N44" s="51">
        <v>0</v>
      </c>
      <c r="O44" s="23">
        <v>0</v>
      </c>
      <c r="P44" s="25">
        <v>7.0842572062084255</v>
      </c>
      <c r="Q44" s="212" t="str">
        <f t="shared" ref="Q44:Q56" si="34">IF(P44&lt;=$P$57,"Green",IF(P44&lt;=$P$57*1.05,"Amber","Red"))</f>
        <v>Green</v>
      </c>
      <c r="R44" s="702">
        <f t="shared" si="28"/>
        <v>14</v>
      </c>
      <c r="S44" s="51">
        <v>0.28203434610303829</v>
      </c>
      <c r="T44" s="51">
        <v>7.5297225891677672E-2</v>
      </c>
      <c r="U44" s="51">
        <v>0</v>
      </c>
      <c r="V44" s="23">
        <v>0</v>
      </c>
      <c r="W44" s="25">
        <v>5.079260237780713</v>
      </c>
      <c r="X44" s="836" t="str">
        <f t="shared" ref="X44:X56" si="35">IF(W44&lt;=$W$57,"Green",IF(W44&lt;=$W$57*1.05,"Amber","Red"))</f>
        <v>Green</v>
      </c>
      <c r="Y44" s="835">
        <f t="shared" ref="Y44:Y56" si="36">RANK(W44,W$43:W$56,1)</f>
        <v>14</v>
      </c>
      <c r="Z44" s="913">
        <v>0.21719457013574661</v>
      </c>
      <c r="AA44" s="114">
        <v>4.5248868778280542E-2</v>
      </c>
      <c r="AB44" s="114">
        <v>0</v>
      </c>
      <c r="AC44" s="25">
        <v>0</v>
      </c>
      <c r="AD44" s="25">
        <v>3.5294117647058827</v>
      </c>
      <c r="AE44" s="915" t="str">
        <f t="shared" ref="AE44:AE56" si="37">IF(AD44&lt;=$W$57,"Green",IF(AD44&lt;=$W$57*1.05,"Amber","Red"))</f>
        <v>Green</v>
      </c>
      <c r="AF44" s="707">
        <f t="shared" ref="AF44:AF56" si="38">RANK(AD44,AD$43:AD$56,1)</f>
        <v>14</v>
      </c>
      <c r="AG44" s="913">
        <v>0.16434540389972144</v>
      </c>
      <c r="AH44" s="114">
        <v>3.6211699164345405E-2</v>
      </c>
      <c r="AI44" s="114">
        <v>0</v>
      </c>
      <c r="AJ44" s="25">
        <v>0</v>
      </c>
      <c r="AK44" s="25">
        <v>2.7298050139275762</v>
      </c>
      <c r="AL44" s="915" t="str">
        <f t="shared" si="29"/>
        <v>Green</v>
      </c>
      <c r="AM44" s="707">
        <f t="shared" ref="AM44:AM56" si="39">RANK(AK44,AK$43:AK$56,1)</f>
        <v>14</v>
      </c>
      <c r="AN44" s="913">
        <v>0.17508055853920515</v>
      </c>
      <c r="AO44" s="114">
        <v>3.2223415682062301E-2</v>
      </c>
      <c r="AP44" s="114">
        <v>0</v>
      </c>
      <c r="AQ44" s="25">
        <v>0</v>
      </c>
      <c r="AR44" s="25">
        <v>2.7175080558539202</v>
      </c>
      <c r="AS44" s="915" t="str">
        <f t="shared" si="30"/>
        <v>Green</v>
      </c>
      <c r="AT44" s="707">
        <f t="shared" si="31"/>
        <v>12</v>
      </c>
      <c r="AU44" s="913">
        <v>0.39598044541010319</v>
      </c>
      <c r="AV44" s="913">
        <v>6.7354698533405755E-2</v>
      </c>
      <c r="AW44" s="913">
        <v>0</v>
      </c>
      <c r="AX44" s="913">
        <v>0</v>
      </c>
      <c r="AY44" s="25">
        <v>5.9804454101032043</v>
      </c>
      <c r="AZ44" s="915" t="str">
        <f t="shared" si="32"/>
        <v>Green</v>
      </c>
      <c r="BA44" s="707">
        <f t="shared" si="33"/>
        <v>14</v>
      </c>
      <c r="BB44" s="701"/>
      <c r="BC44" s="150"/>
      <c r="BD44" s="150"/>
      <c r="BE44" s="150"/>
      <c r="BF44" s="150"/>
      <c r="BG44" s="191"/>
      <c r="BH44" s="723"/>
    </row>
    <row r="45" spans="2:60">
      <c r="B45" s="1281"/>
      <c r="C45" s="115"/>
      <c r="D45" s="407" t="s">
        <v>163</v>
      </c>
      <c r="E45" s="485">
        <v>0.47331691297208539</v>
      </c>
      <c r="F45" s="51">
        <v>8.1280788177339899E-2</v>
      </c>
      <c r="G45" s="51">
        <v>4.1050903119868636E-4</v>
      </c>
      <c r="H45" s="23">
        <v>0</v>
      </c>
      <c r="I45" s="25">
        <v>7.1921182266009849</v>
      </c>
      <c r="J45" s="168" t="str">
        <f t="shared" si="26"/>
        <v>Green</v>
      </c>
      <c r="K45" s="715">
        <f t="shared" si="27"/>
        <v>12</v>
      </c>
      <c r="L45" s="485">
        <v>0.31706204379562042</v>
      </c>
      <c r="M45" s="51">
        <v>7.4361313868613138E-2</v>
      </c>
      <c r="N45" s="51">
        <v>0</v>
      </c>
      <c r="O45" s="23">
        <v>0</v>
      </c>
      <c r="P45" s="25">
        <v>5.4014598540145986</v>
      </c>
      <c r="Q45" s="212" t="str">
        <f t="shared" si="34"/>
        <v>Green</v>
      </c>
      <c r="R45" s="702">
        <f t="shared" si="28"/>
        <v>12</v>
      </c>
      <c r="S45" s="51">
        <v>0.28202424881391669</v>
      </c>
      <c r="T45" s="51">
        <v>6.062203479177649E-2</v>
      </c>
      <c r="U45" s="51">
        <v>0</v>
      </c>
      <c r="V45" s="23">
        <v>0</v>
      </c>
      <c r="W45" s="25">
        <v>4.6389035318924616</v>
      </c>
      <c r="X45" s="836" t="str">
        <f t="shared" si="35"/>
        <v>Green</v>
      </c>
      <c r="Y45" s="835">
        <f t="shared" si="36"/>
        <v>13</v>
      </c>
      <c r="Z45" s="913">
        <v>0.18111587982832619</v>
      </c>
      <c r="AA45" s="114">
        <v>2.8326180257510731E-2</v>
      </c>
      <c r="AB45" s="114">
        <v>0</v>
      </c>
      <c r="AC45" s="25">
        <v>0</v>
      </c>
      <c r="AD45" s="25">
        <v>2.6609442060085842</v>
      </c>
      <c r="AE45" s="915" t="str">
        <f t="shared" si="37"/>
        <v>Green</v>
      </c>
      <c r="AF45" s="707">
        <f t="shared" si="38"/>
        <v>11</v>
      </c>
      <c r="AG45" s="913">
        <v>0.14516129032258066</v>
      </c>
      <c r="AH45" s="114">
        <v>2.2849462365591398E-2</v>
      </c>
      <c r="AI45" s="114">
        <v>0</v>
      </c>
      <c r="AJ45" s="25">
        <v>0</v>
      </c>
      <c r="AK45" s="25">
        <v>2.1370967741935485</v>
      </c>
      <c r="AL45" s="915" t="str">
        <f t="shared" si="29"/>
        <v>Green</v>
      </c>
      <c r="AM45" s="707">
        <f t="shared" si="39"/>
        <v>11</v>
      </c>
      <c r="AN45" s="913">
        <v>0.162109375</v>
      </c>
      <c r="AO45" s="114">
        <v>3.90625E-2</v>
      </c>
      <c r="AP45" s="114">
        <v>0</v>
      </c>
      <c r="AQ45" s="25">
        <v>0</v>
      </c>
      <c r="AR45" s="25">
        <v>2.79296875</v>
      </c>
      <c r="AS45" s="915" t="str">
        <f t="shared" si="30"/>
        <v>Green</v>
      </c>
      <c r="AT45" s="707">
        <f t="shared" si="31"/>
        <v>13</v>
      </c>
      <c r="AU45" s="913">
        <v>0.26977475117862754</v>
      </c>
      <c r="AV45" s="913">
        <v>6.2336301728653745E-2</v>
      </c>
      <c r="AW45" s="913">
        <v>0</v>
      </c>
      <c r="AX45" s="913">
        <v>0</v>
      </c>
      <c r="AY45" s="25">
        <v>4.5678365636458871</v>
      </c>
      <c r="AZ45" s="915" t="str">
        <f t="shared" si="32"/>
        <v>Green</v>
      </c>
      <c r="BA45" s="707">
        <f t="shared" si="33"/>
        <v>13</v>
      </c>
      <c r="BB45" s="701"/>
      <c r="BC45" s="150"/>
      <c r="BD45" s="150"/>
      <c r="BE45" s="150"/>
      <c r="BF45" s="150"/>
      <c r="BG45" s="191"/>
      <c r="BH45" s="723"/>
    </row>
    <row r="46" spans="2:60">
      <c r="B46" s="1281"/>
      <c r="C46" s="115"/>
      <c r="D46" s="407" t="s">
        <v>164</v>
      </c>
      <c r="E46" s="485">
        <v>0.14805057955742887</v>
      </c>
      <c r="F46" s="51">
        <v>7.3761854583772393E-3</v>
      </c>
      <c r="G46" s="51">
        <v>0</v>
      </c>
      <c r="H46" s="23">
        <v>0</v>
      </c>
      <c r="I46" s="25">
        <v>1.7017913593256058</v>
      </c>
      <c r="J46" s="168" t="str">
        <f t="shared" si="26"/>
        <v>Green</v>
      </c>
      <c r="K46" s="715">
        <f t="shared" si="27"/>
        <v>1</v>
      </c>
      <c r="L46" s="485">
        <v>0.12523992322456814</v>
      </c>
      <c r="M46" s="51">
        <v>5.7581573896353169E-3</v>
      </c>
      <c r="N46" s="51">
        <v>0</v>
      </c>
      <c r="O46" s="23">
        <v>0</v>
      </c>
      <c r="P46" s="25">
        <v>1.4251439539347408</v>
      </c>
      <c r="Q46" s="212" t="str">
        <f t="shared" si="34"/>
        <v>Green</v>
      </c>
      <c r="R46" s="702">
        <f t="shared" si="28"/>
        <v>1</v>
      </c>
      <c r="S46" s="51">
        <v>0.11629098360655737</v>
      </c>
      <c r="T46" s="51">
        <v>6.1475409836065573E-3</v>
      </c>
      <c r="U46" s="51">
        <v>0</v>
      </c>
      <c r="V46" s="23">
        <v>0</v>
      </c>
      <c r="W46" s="25">
        <v>1.3473360655737703</v>
      </c>
      <c r="X46" s="836" t="str">
        <f t="shared" si="35"/>
        <v>Green</v>
      </c>
      <c r="Y46" s="835">
        <f t="shared" si="36"/>
        <v>1</v>
      </c>
      <c r="Z46" s="913">
        <v>0.11609249646059462</v>
      </c>
      <c r="AA46" s="114">
        <v>3.7753657385559227E-3</v>
      </c>
      <c r="AB46" s="114">
        <v>0</v>
      </c>
      <c r="AC46" s="25">
        <v>0</v>
      </c>
      <c r="AD46" s="25">
        <v>1.274185936762624</v>
      </c>
      <c r="AE46" s="915" t="str">
        <f t="shared" si="37"/>
        <v>Green</v>
      </c>
      <c r="AF46" s="707">
        <f t="shared" si="38"/>
        <v>3</v>
      </c>
      <c r="AG46" s="913">
        <v>8.5074626865671646E-2</v>
      </c>
      <c r="AH46" s="114">
        <v>8.4577114427860697E-3</v>
      </c>
      <c r="AI46" s="114">
        <v>0</v>
      </c>
      <c r="AJ46" s="25">
        <v>0</v>
      </c>
      <c r="AK46" s="25">
        <v>1.1044776119402986</v>
      </c>
      <c r="AL46" s="915" t="str">
        <f t="shared" si="29"/>
        <v>Green</v>
      </c>
      <c r="AM46" s="707">
        <f t="shared" si="39"/>
        <v>2</v>
      </c>
      <c r="AN46" s="913">
        <v>9.1089108910891087E-2</v>
      </c>
      <c r="AO46" s="114">
        <v>7.9207920792079209E-3</v>
      </c>
      <c r="AP46" s="114">
        <v>0</v>
      </c>
      <c r="AQ46" s="25">
        <v>0</v>
      </c>
      <c r="AR46" s="25">
        <v>1.1485148514851484</v>
      </c>
      <c r="AS46" s="915" t="str">
        <f t="shared" si="30"/>
        <v>Green</v>
      </c>
      <c r="AT46" s="707">
        <f t="shared" si="31"/>
        <v>2</v>
      </c>
      <c r="AU46" s="913">
        <v>0.11962310528471938</v>
      </c>
      <c r="AV46" s="913">
        <v>7.7836952068824255E-3</v>
      </c>
      <c r="AW46" s="913">
        <v>0</v>
      </c>
      <c r="AX46" s="913">
        <v>0</v>
      </c>
      <c r="AY46" s="25">
        <v>1.4297419090536665</v>
      </c>
      <c r="AZ46" s="915" t="str">
        <f t="shared" si="32"/>
        <v>Green</v>
      </c>
      <c r="BA46" s="707">
        <f t="shared" si="33"/>
        <v>2</v>
      </c>
      <c r="BB46" s="701"/>
      <c r="BC46" s="150"/>
      <c r="BD46" s="150"/>
      <c r="BE46" s="150"/>
      <c r="BF46" s="150"/>
      <c r="BG46" s="191"/>
      <c r="BH46" s="723"/>
    </row>
    <row r="47" spans="2:60">
      <c r="B47" s="1281"/>
      <c r="C47" s="115"/>
      <c r="D47" s="407" t="s">
        <v>165</v>
      </c>
      <c r="E47" s="485">
        <v>0.15886699507389163</v>
      </c>
      <c r="F47" s="51">
        <v>1.1083743842364532E-2</v>
      </c>
      <c r="G47" s="51">
        <v>0</v>
      </c>
      <c r="H47" s="23">
        <v>0</v>
      </c>
      <c r="I47" s="25">
        <v>1.9211822660098523</v>
      </c>
      <c r="J47" s="168" t="str">
        <f t="shared" si="26"/>
        <v>Green</v>
      </c>
      <c r="K47" s="715">
        <f t="shared" si="27"/>
        <v>2</v>
      </c>
      <c r="L47" s="485">
        <v>0.14310344827586208</v>
      </c>
      <c r="M47" s="51">
        <v>1.0344827586206896E-2</v>
      </c>
      <c r="N47" s="51">
        <v>0</v>
      </c>
      <c r="O47" s="23">
        <v>0</v>
      </c>
      <c r="P47" s="25">
        <v>1.7413793103448276</v>
      </c>
      <c r="Q47" s="212" t="str">
        <f t="shared" si="34"/>
        <v>Green</v>
      </c>
      <c r="R47" s="702">
        <f t="shared" si="28"/>
        <v>2</v>
      </c>
      <c r="S47" s="51">
        <v>0.12536443148688048</v>
      </c>
      <c r="T47" s="51">
        <v>8.1632653061224497E-3</v>
      </c>
      <c r="U47" s="51">
        <v>0</v>
      </c>
      <c r="V47" s="23">
        <v>0</v>
      </c>
      <c r="W47" s="25">
        <v>1.4985422740524783</v>
      </c>
      <c r="X47" s="836" t="str">
        <f t="shared" si="35"/>
        <v>Green</v>
      </c>
      <c r="Y47" s="835">
        <f t="shared" si="36"/>
        <v>2</v>
      </c>
      <c r="Z47" s="913">
        <v>0.10617662072485962</v>
      </c>
      <c r="AA47" s="114">
        <v>5.6151097498723839E-3</v>
      </c>
      <c r="AB47" s="114">
        <v>0</v>
      </c>
      <c r="AC47" s="25">
        <v>0</v>
      </c>
      <c r="AD47" s="25">
        <v>1.2302194997447675</v>
      </c>
      <c r="AE47" s="915" t="str">
        <f t="shared" si="37"/>
        <v>Green</v>
      </c>
      <c r="AF47" s="707">
        <f t="shared" si="38"/>
        <v>2</v>
      </c>
      <c r="AG47" s="913">
        <v>8.0246913580246909E-2</v>
      </c>
      <c r="AH47" s="114">
        <v>7.1225071225071226E-3</v>
      </c>
      <c r="AI47" s="114">
        <v>0</v>
      </c>
      <c r="AJ47" s="25">
        <v>0</v>
      </c>
      <c r="AK47" s="25">
        <v>1.016144349477683</v>
      </c>
      <c r="AL47" s="915" t="str">
        <f t="shared" si="29"/>
        <v>Green</v>
      </c>
      <c r="AM47" s="707">
        <f t="shared" si="39"/>
        <v>1</v>
      </c>
      <c r="AN47" s="913">
        <v>8.2468879668049791E-2</v>
      </c>
      <c r="AO47" s="114">
        <v>8.8174273858921161E-3</v>
      </c>
      <c r="AP47" s="114">
        <v>0</v>
      </c>
      <c r="AQ47" s="25">
        <v>0</v>
      </c>
      <c r="AR47" s="25">
        <v>1.0892116182572613</v>
      </c>
      <c r="AS47" s="915" t="str">
        <f t="shared" si="30"/>
        <v>Green</v>
      </c>
      <c r="AT47" s="707">
        <f t="shared" si="31"/>
        <v>1</v>
      </c>
      <c r="AU47" s="913">
        <v>0.12044534412955465</v>
      </c>
      <c r="AV47" s="913">
        <v>6.0728744939271256E-3</v>
      </c>
      <c r="AW47" s="913">
        <v>0</v>
      </c>
      <c r="AX47" s="913">
        <v>0</v>
      </c>
      <c r="AY47" s="25">
        <v>1.3866396761133604</v>
      </c>
      <c r="AZ47" s="915" t="str">
        <f t="shared" si="32"/>
        <v>Green</v>
      </c>
      <c r="BA47" s="707">
        <f t="shared" si="33"/>
        <v>1</v>
      </c>
      <c r="BB47" s="701"/>
      <c r="BC47" s="150"/>
      <c r="BD47" s="150"/>
      <c r="BE47" s="150"/>
      <c r="BF47" s="150"/>
      <c r="BG47" s="191"/>
      <c r="BH47" s="723"/>
    </row>
    <row r="48" spans="2:60">
      <c r="B48" s="1281"/>
      <c r="C48" s="115"/>
      <c r="D48" s="407" t="s">
        <v>166</v>
      </c>
      <c r="E48" s="485">
        <v>0.24392819429778248</v>
      </c>
      <c r="F48" s="51">
        <v>2.0063357972544878E-2</v>
      </c>
      <c r="G48" s="51">
        <v>0</v>
      </c>
      <c r="H48" s="23">
        <v>0</v>
      </c>
      <c r="I48" s="25">
        <v>3.0411826821541714</v>
      </c>
      <c r="J48" s="168" t="str">
        <f t="shared" si="26"/>
        <v>Green</v>
      </c>
      <c r="K48" s="715">
        <f t="shared" si="27"/>
        <v>4</v>
      </c>
      <c r="L48" s="485">
        <v>0.1983663943990665</v>
      </c>
      <c r="M48" s="51">
        <v>2.1003500583430573E-2</v>
      </c>
      <c r="N48" s="51">
        <v>0</v>
      </c>
      <c r="O48" s="23">
        <v>0</v>
      </c>
      <c r="P48" s="25">
        <v>2.6137689614935824</v>
      </c>
      <c r="Q48" s="212" t="str">
        <f t="shared" si="34"/>
        <v>Green</v>
      </c>
      <c r="R48" s="702">
        <f t="shared" si="28"/>
        <v>5</v>
      </c>
      <c r="S48" s="51">
        <v>0.20547945205479451</v>
      </c>
      <c r="T48" s="51">
        <v>1.5981735159817351E-2</v>
      </c>
      <c r="U48" s="51">
        <v>0</v>
      </c>
      <c r="V48" s="23">
        <v>0</v>
      </c>
      <c r="W48" s="25">
        <v>2.5342465753424657</v>
      </c>
      <c r="X48" s="836" t="str">
        <f t="shared" si="35"/>
        <v>Green</v>
      </c>
      <c r="Y48" s="835">
        <f t="shared" si="36"/>
        <v>7</v>
      </c>
      <c r="Z48" s="913">
        <v>0.15824175824175823</v>
      </c>
      <c r="AA48" s="114">
        <v>8.7912087912087912E-3</v>
      </c>
      <c r="AB48" s="114">
        <v>0</v>
      </c>
      <c r="AC48" s="25">
        <v>0</v>
      </c>
      <c r="AD48" s="25">
        <v>1.846153846153846</v>
      </c>
      <c r="AE48" s="915" t="str">
        <f t="shared" si="37"/>
        <v>Green</v>
      </c>
      <c r="AF48" s="707">
        <f t="shared" si="38"/>
        <v>6</v>
      </c>
      <c r="AG48" s="913">
        <v>0.16987542468856173</v>
      </c>
      <c r="AH48" s="114">
        <v>1.698754246885617E-2</v>
      </c>
      <c r="AI48" s="114">
        <v>0</v>
      </c>
      <c r="AJ48" s="25">
        <v>0</v>
      </c>
      <c r="AK48" s="25">
        <v>2.2083805209513026</v>
      </c>
      <c r="AL48" s="915" t="str">
        <f t="shared" si="29"/>
        <v>Green</v>
      </c>
      <c r="AM48" s="707">
        <f t="shared" si="39"/>
        <v>13</v>
      </c>
      <c r="AN48" s="913">
        <v>0.18988648090815274</v>
      </c>
      <c r="AO48" s="114">
        <v>2.2703818369453045E-2</v>
      </c>
      <c r="AP48" s="114">
        <v>0</v>
      </c>
      <c r="AQ48" s="25">
        <v>0</v>
      </c>
      <c r="AR48" s="25">
        <v>2.5799793601651189</v>
      </c>
      <c r="AS48" s="915" t="str">
        <f t="shared" si="30"/>
        <v>Green</v>
      </c>
      <c r="AT48" s="707">
        <f t="shared" si="31"/>
        <v>11</v>
      </c>
      <c r="AU48" s="913">
        <v>0.22717391304347825</v>
      </c>
      <c r="AV48" s="913">
        <v>2.717391304347826E-2</v>
      </c>
      <c r="AW48" s="913">
        <v>0</v>
      </c>
      <c r="AX48" s="913">
        <v>0</v>
      </c>
      <c r="AY48" s="25">
        <v>3.0869565217391304</v>
      </c>
      <c r="AZ48" s="915" t="str">
        <f t="shared" si="32"/>
        <v>Green</v>
      </c>
      <c r="BA48" s="707">
        <f t="shared" si="33"/>
        <v>12</v>
      </c>
      <c r="BB48" s="701"/>
      <c r="BC48" s="150"/>
      <c r="BD48" s="150"/>
      <c r="BE48" s="150"/>
      <c r="BF48" s="150"/>
      <c r="BG48" s="191"/>
      <c r="BH48" s="723"/>
    </row>
    <row r="49" spans="2:60">
      <c r="B49" s="1281"/>
      <c r="C49" s="115"/>
      <c r="D49" s="407" t="s">
        <v>167</v>
      </c>
      <c r="E49" s="485">
        <v>0.19540662650602408</v>
      </c>
      <c r="F49" s="51">
        <v>1.4683734939759037E-2</v>
      </c>
      <c r="G49" s="51">
        <v>3.7650602409638556E-4</v>
      </c>
      <c r="H49" s="23">
        <v>0</v>
      </c>
      <c r="I49" s="25">
        <v>2.4134036144578315</v>
      </c>
      <c r="J49" s="168" t="str">
        <f t="shared" si="26"/>
        <v>Green</v>
      </c>
      <c r="K49" s="715">
        <f t="shared" si="27"/>
        <v>3</v>
      </c>
      <c r="L49" s="485">
        <v>0.18145695364238409</v>
      </c>
      <c r="M49" s="51">
        <v>1.5894039735099338E-2</v>
      </c>
      <c r="N49" s="51">
        <v>0</v>
      </c>
      <c r="O49" s="23">
        <v>0</v>
      </c>
      <c r="P49" s="25">
        <v>2.2913907284768209</v>
      </c>
      <c r="Q49" s="212" t="str">
        <f t="shared" si="34"/>
        <v>Green</v>
      </c>
      <c r="R49" s="702">
        <f t="shared" si="28"/>
        <v>4</v>
      </c>
      <c r="S49" s="51">
        <v>0.16354208216992422</v>
      </c>
      <c r="T49" s="51">
        <v>9.9720781810929398E-3</v>
      </c>
      <c r="U49" s="51">
        <v>0</v>
      </c>
      <c r="V49" s="23">
        <v>0</v>
      </c>
      <c r="W49" s="25">
        <v>1.9345831671320304</v>
      </c>
      <c r="X49" s="836" t="str">
        <f t="shared" si="35"/>
        <v>Green</v>
      </c>
      <c r="Y49" s="835">
        <f t="shared" si="36"/>
        <v>4</v>
      </c>
      <c r="Z49" s="913">
        <v>0.16735537190082644</v>
      </c>
      <c r="AA49" s="114">
        <v>1.2396694214876033E-2</v>
      </c>
      <c r="AB49" s="114">
        <v>4.1322314049586776E-4</v>
      </c>
      <c r="AC49" s="25">
        <v>0</v>
      </c>
      <c r="AD49" s="25">
        <v>2.0661157024793386</v>
      </c>
      <c r="AE49" s="915" t="str">
        <f t="shared" si="37"/>
        <v>Green</v>
      </c>
      <c r="AF49" s="707">
        <f t="shared" si="38"/>
        <v>9</v>
      </c>
      <c r="AG49" s="913">
        <v>0.14548566538296961</v>
      </c>
      <c r="AH49" s="114">
        <v>2.2250748823277707E-2</v>
      </c>
      <c r="AI49" s="114">
        <v>0</v>
      </c>
      <c r="AJ49" s="25">
        <v>0</v>
      </c>
      <c r="AK49" s="25">
        <v>2.1223791185280274</v>
      </c>
      <c r="AL49" s="915" t="str">
        <f t="shared" si="29"/>
        <v>Green</v>
      </c>
      <c r="AM49" s="707">
        <f t="shared" si="39"/>
        <v>10</v>
      </c>
      <c r="AN49" s="913">
        <v>0.14245416078984485</v>
      </c>
      <c r="AO49" s="114">
        <v>1.8335684062059238E-2</v>
      </c>
      <c r="AP49" s="114">
        <v>0</v>
      </c>
      <c r="AQ49" s="25">
        <v>0</v>
      </c>
      <c r="AR49" s="25">
        <v>1.9746121297602257</v>
      </c>
      <c r="AS49" s="915" t="str">
        <f t="shared" si="30"/>
        <v>Green</v>
      </c>
      <c r="AT49" s="707">
        <f t="shared" si="31"/>
        <v>9</v>
      </c>
      <c r="AU49" s="913">
        <v>0.16276978417266186</v>
      </c>
      <c r="AV49" s="913">
        <v>2.1133093525179857E-2</v>
      </c>
      <c r="AW49" s="913">
        <v>0</v>
      </c>
      <c r="AX49" s="913">
        <v>0</v>
      </c>
      <c r="AY49" s="25">
        <v>2.2616906474820144</v>
      </c>
      <c r="AZ49" s="915" t="str">
        <f t="shared" si="32"/>
        <v>Green</v>
      </c>
      <c r="BA49" s="707">
        <f t="shared" si="33"/>
        <v>9</v>
      </c>
      <c r="BB49" s="701"/>
      <c r="BC49" s="150"/>
      <c r="BD49" s="150"/>
      <c r="BE49" s="150"/>
      <c r="BF49" s="150"/>
      <c r="BG49" s="191"/>
      <c r="BH49" s="723"/>
    </row>
    <row r="50" spans="2:60">
      <c r="B50" s="1281"/>
      <c r="C50" s="115"/>
      <c r="D50" s="407" t="s">
        <v>168</v>
      </c>
      <c r="E50" s="485">
        <v>0.35900962861072905</v>
      </c>
      <c r="F50" s="51">
        <v>5.2957359009628613E-2</v>
      </c>
      <c r="G50" s="51">
        <v>0</v>
      </c>
      <c r="H50" s="23">
        <v>0</v>
      </c>
      <c r="I50" s="25">
        <v>5.1788170563961486</v>
      </c>
      <c r="J50" s="168" t="str">
        <f t="shared" si="26"/>
        <v>Green</v>
      </c>
      <c r="K50" s="715">
        <f t="shared" si="27"/>
        <v>9</v>
      </c>
      <c r="L50" s="485">
        <v>0.34560906515580736</v>
      </c>
      <c r="M50" s="51">
        <v>7.5070821529745049E-2</v>
      </c>
      <c r="N50" s="51">
        <v>0</v>
      </c>
      <c r="O50" s="23">
        <v>0</v>
      </c>
      <c r="P50" s="25">
        <v>5.7082152974504252</v>
      </c>
      <c r="Q50" s="212" t="str">
        <f t="shared" si="34"/>
        <v>Green</v>
      </c>
      <c r="R50" s="702">
        <f t="shared" si="28"/>
        <v>13</v>
      </c>
      <c r="S50" s="51">
        <v>0.25651302605210419</v>
      </c>
      <c r="T50" s="51">
        <v>5.9118236472945888E-2</v>
      </c>
      <c r="U50" s="51">
        <v>0</v>
      </c>
      <c r="V50" s="23">
        <v>0</v>
      </c>
      <c r="W50" s="25">
        <v>4.3386773547094188</v>
      </c>
      <c r="X50" s="836" t="str">
        <f t="shared" si="35"/>
        <v>Green</v>
      </c>
      <c r="Y50" s="835">
        <f t="shared" si="36"/>
        <v>12</v>
      </c>
      <c r="Z50" s="913">
        <v>0.19315673289183222</v>
      </c>
      <c r="AA50" s="114">
        <v>2.8697571743929361E-2</v>
      </c>
      <c r="AB50" s="114">
        <v>0</v>
      </c>
      <c r="AC50" s="25">
        <v>0</v>
      </c>
      <c r="AD50" s="25">
        <v>2.7924944812362029</v>
      </c>
      <c r="AE50" s="915" t="str">
        <f t="shared" si="37"/>
        <v>Green</v>
      </c>
      <c r="AF50" s="707">
        <f t="shared" si="38"/>
        <v>12</v>
      </c>
      <c r="AG50" s="913">
        <v>0.1701534170153417</v>
      </c>
      <c r="AH50" s="114">
        <v>1.5341701534170154E-2</v>
      </c>
      <c r="AI50" s="114">
        <v>0</v>
      </c>
      <c r="AJ50" s="25">
        <v>0</v>
      </c>
      <c r="AK50" s="25">
        <v>2.1617852161785214</v>
      </c>
      <c r="AL50" s="915" t="str">
        <f t="shared" si="29"/>
        <v>Green</v>
      </c>
      <c r="AM50" s="707">
        <f t="shared" si="39"/>
        <v>12</v>
      </c>
      <c r="AN50" s="913">
        <v>0.13387096774193549</v>
      </c>
      <c r="AO50" s="114">
        <v>6.4516129032258064E-3</v>
      </c>
      <c r="AP50" s="114">
        <v>0</v>
      </c>
      <c r="AQ50" s="25">
        <v>0</v>
      </c>
      <c r="AR50" s="25">
        <v>1.5322580645161292</v>
      </c>
      <c r="AS50" s="915" t="str">
        <f t="shared" si="30"/>
        <v>Green</v>
      </c>
      <c r="AT50" s="707">
        <f t="shared" si="31"/>
        <v>6</v>
      </c>
      <c r="AU50" s="913">
        <v>0.12978369384359401</v>
      </c>
      <c r="AV50" s="913">
        <v>1.3311148086522463E-2</v>
      </c>
      <c r="AW50" s="913">
        <v>0</v>
      </c>
      <c r="AX50" s="913">
        <v>0</v>
      </c>
      <c r="AY50" s="25">
        <v>1.697171381031614</v>
      </c>
      <c r="AZ50" s="915" t="str">
        <f t="shared" si="32"/>
        <v>Green</v>
      </c>
      <c r="BA50" s="707">
        <f t="shared" ref="BA50:BA56" si="40">RANK(AY50,AY$43:AY$56,1)</f>
        <v>4</v>
      </c>
      <c r="BB50" s="701"/>
      <c r="BC50" s="150"/>
      <c r="BD50" s="150"/>
      <c r="BE50" s="150"/>
      <c r="BF50" s="150"/>
      <c r="BG50" s="191"/>
      <c r="BH50" s="723"/>
    </row>
    <row r="51" spans="2:60">
      <c r="B51" s="1281"/>
      <c r="C51" s="115"/>
      <c r="D51" s="407" t="s">
        <v>169</v>
      </c>
      <c r="E51" s="485">
        <v>0.40195341848234412</v>
      </c>
      <c r="F51" s="51">
        <v>6.9496619083395939E-2</v>
      </c>
      <c r="G51" s="51">
        <v>0</v>
      </c>
      <c r="H51" s="23">
        <v>0</v>
      </c>
      <c r="I51" s="25">
        <v>6.1044327573253199</v>
      </c>
      <c r="J51" s="168" t="str">
        <f t="shared" si="26"/>
        <v>Green</v>
      </c>
      <c r="K51" s="715">
        <f t="shared" si="27"/>
        <v>11</v>
      </c>
      <c r="L51" s="485">
        <v>0.33904619970193739</v>
      </c>
      <c r="M51" s="51">
        <v>6.3338301043219081E-2</v>
      </c>
      <c r="N51" s="51">
        <v>0</v>
      </c>
      <c r="O51" s="23">
        <v>0</v>
      </c>
      <c r="P51" s="25">
        <v>5.2906110283159462</v>
      </c>
      <c r="Q51" s="212" t="str">
        <f t="shared" si="34"/>
        <v>Green</v>
      </c>
      <c r="R51" s="702">
        <f t="shared" si="28"/>
        <v>11</v>
      </c>
      <c r="S51" s="51">
        <v>0.24314516129032257</v>
      </c>
      <c r="T51" s="51">
        <v>5.7258064516129033E-2</v>
      </c>
      <c r="U51" s="51">
        <v>0</v>
      </c>
      <c r="V51" s="23">
        <v>0</v>
      </c>
      <c r="W51" s="25">
        <v>4.1491935483870961</v>
      </c>
      <c r="X51" s="836" t="str">
        <f t="shared" si="35"/>
        <v>Green</v>
      </c>
      <c r="Y51" s="835">
        <f t="shared" si="36"/>
        <v>11</v>
      </c>
      <c r="Z51" s="913">
        <v>0.15764139590854392</v>
      </c>
      <c r="AA51" s="114">
        <v>3.04853590052146E-2</v>
      </c>
      <c r="AB51" s="114">
        <v>0</v>
      </c>
      <c r="AC51" s="25">
        <v>0</v>
      </c>
      <c r="AD51" s="25">
        <v>2.4909747292418771</v>
      </c>
      <c r="AE51" s="915" t="str">
        <f t="shared" si="37"/>
        <v>Green</v>
      </c>
      <c r="AF51" s="707">
        <f t="shared" si="38"/>
        <v>10</v>
      </c>
      <c r="AG51" s="913">
        <v>0.15016424213984045</v>
      </c>
      <c r="AH51" s="114">
        <v>1.642421398404505E-2</v>
      </c>
      <c r="AI51" s="114">
        <v>0</v>
      </c>
      <c r="AJ51" s="25">
        <v>0</v>
      </c>
      <c r="AK51" s="25">
        <v>1.994368840919756</v>
      </c>
      <c r="AL51" s="915" t="str">
        <f t="shared" si="29"/>
        <v>Green</v>
      </c>
      <c r="AM51" s="707">
        <f t="shared" si="39"/>
        <v>8</v>
      </c>
      <c r="AN51" s="913">
        <v>0.14674735249621784</v>
      </c>
      <c r="AO51" s="114">
        <v>1.5632879475542108E-2</v>
      </c>
      <c r="AP51" s="114">
        <v>0</v>
      </c>
      <c r="AQ51" s="25">
        <v>0</v>
      </c>
      <c r="AR51" s="25">
        <v>1.9364599092284416</v>
      </c>
      <c r="AS51" s="915" t="str">
        <f t="shared" ref="AS51" si="41">IF(AR51&lt;=$AR$57,"Green",IF(AR51&lt;=$AR$57*1.05,"Amber","Red"))</f>
        <v>Green</v>
      </c>
      <c r="AT51" s="707">
        <f t="shared" si="31"/>
        <v>8</v>
      </c>
      <c r="AU51" s="913">
        <v>0.16892464013547842</v>
      </c>
      <c r="AV51" s="913">
        <v>1.4817950889077053E-2</v>
      </c>
      <c r="AW51" s="913">
        <v>0</v>
      </c>
      <c r="AX51" s="913">
        <v>0</v>
      </c>
      <c r="AY51" s="25">
        <v>2.133784928027096</v>
      </c>
      <c r="AZ51" s="915" t="str">
        <f t="shared" si="32"/>
        <v>Green</v>
      </c>
      <c r="BA51" s="707">
        <f>RANK(AY51,AY$43:AY$56,1)</f>
        <v>7</v>
      </c>
      <c r="BB51" s="701"/>
      <c r="BC51" s="150"/>
      <c r="BD51" s="150"/>
      <c r="BE51" s="150"/>
      <c r="BF51" s="150"/>
      <c r="BG51" s="191"/>
      <c r="BH51" s="723"/>
    </row>
    <row r="52" spans="2:60">
      <c r="B52" s="1281"/>
      <c r="C52" s="115"/>
      <c r="D52" s="407" t="s">
        <v>170</v>
      </c>
      <c r="E52" s="485">
        <v>0.38535286284953396</v>
      </c>
      <c r="F52" s="51">
        <v>5.8322237017310256E-2</v>
      </c>
      <c r="G52" s="51">
        <v>0</v>
      </c>
      <c r="H52" s="23">
        <v>0</v>
      </c>
      <c r="I52" s="25">
        <v>5.6031957390146472</v>
      </c>
      <c r="J52" s="168" t="str">
        <f t="shared" si="26"/>
        <v>Green</v>
      </c>
      <c r="K52" s="715">
        <f t="shared" si="27"/>
        <v>10</v>
      </c>
      <c r="L52" s="485">
        <v>0.32334424578191889</v>
      </c>
      <c r="M52" s="51">
        <v>6.0941828254847646E-2</v>
      </c>
      <c r="N52" s="51">
        <v>0</v>
      </c>
      <c r="O52" s="23">
        <v>0</v>
      </c>
      <c r="P52" s="25">
        <v>5.0616973054646186</v>
      </c>
      <c r="Q52" s="212" t="str">
        <f t="shared" si="34"/>
        <v>Green</v>
      </c>
      <c r="R52" s="702">
        <f t="shared" si="28"/>
        <v>10</v>
      </c>
      <c r="S52" s="51">
        <v>0.2247032221594121</v>
      </c>
      <c r="T52" s="51">
        <v>4.6636517806670434E-2</v>
      </c>
      <c r="U52" s="51">
        <v>0</v>
      </c>
      <c r="V52" s="23">
        <v>0</v>
      </c>
      <c r="W52" s="25">
        <v>3.6461277557942342</v>
      </c>
      <c r="X52" s="836" t="str">
        <f t="shared" si="35"/>
        <v>Green</v>
      </c>
      <c r="Y52" s="835">
        <f t="shared" si="36"/>
        <v>10</v>
      </c>
      <c r="Z52" s="913">
        <v>0.19032663316582915</v>
      </c>
      <c r="AA52" s="114">
        <v>3.8630653266331659E-2</v>
      </c>
      <c r="AB52" s="114">
        <v>0</v>
      </c>
      <c r="AC52" s="25">
        <v>0</v>
      </c>
      <c r="AD52" s="25">
        <v>3.0621859296482414</v>
      </c>
      <c r="AE52" s="915" t="str">
        <f t="shared" si="37"/>
        <v>Green</v>
      </c>
      <c r="AF52" s="707">
        <f t="shared" si="38"/>
        <v>13</v>
      </c>
      <c r="AG52" s="913">
        <v>0.13378176382660686</v>
      </c>
      <c r="AH52" s="114">
        <v>1.3079222720478326E-2</v>
      </c>
      <c r="AI52" s="114">
        <v>0</v>
      </c>
      <c r="AJ52" s="25">
        <v>0</v>
      </c>
      <c r="AK52" s="25">
        <v>1.7301943198804186</v>
      </c>
      <c r="AL52" s="915" t="str">
        <f t="shared" si="29"/>
        <v>Green</v>
      </c>
      <c r="AM52" s="707">
        <f t="shared" si="39"/>
        <v>5</v>
      </c>
      <c r="AN52" s="913">
        <v>0.10855499640546369</v>
      </c>
      <c r="AO52" s="114">
        <v>6.8296189791516894E-3</v>
      </c>
      <c r="AP52" s="114">
        <v>0</v>
      </c>
      <c r="AQ52" s="25">
        <v>0</v>
      </c>
      <c r="AR52" s="25">
        <v>1.2904385334291875</v>
      </c>
      <c r="AS52" s="915" t="str">
        <f>IF(AR52&lt;=$AR$57,"Green",IF(AR52&lt;=$AR$57*1.05,"Amber","Red"))</f>
        <v>Green</v>
      </c>
      <c r="AT52" s="707">
        <f t="shared" si="31"/>
        <v>3</v>
      </c>
      <c r="AU52" s="913">
        <v>0.14523913997367266</v>
      </c>
      <c r="AV52" s="913">
        <v>8.7757788503729714E-3</v>
      </c>
      <c r="AW52" s="913">
        <v>0</v>
      </c>
      <c r="AX52" s="913">
        <v>0</v>
      </c>
      <c r="AY52" s="25">
        <v>1.7156647652479158</v>
      </c>
      <c r="AZ52" s="915" t="str">
        <f t="shared" si="32"/>
        <v>Green</v>
      </c>
      <c r="BA52" s="707">
        <f>RANK(AY52,AY$43:AY$56,1)</f>
        <v>5</v>
      </c>
      <c r="BB52" s="701"/>
      <c r="BC52" s="150"/>
      <c r="BD52" s="150"/>
      <c r="BE52" s="150"/>
      <c r="BF52" s="150"/>
      <c r="BG52" s="191"/>
      <c r="BH52" s="723"/>
    </row>
    <row r="53" spans="2:60">
      <c r="B53" s="1281"/>
      <c r="C53" s="115"/>
      <c r="D53" s="407" t="s">
        <v>171</v>
      </c>
      <c r="E53" s="485">
        <v>0.23314285714285715</v>
      </c>
      <c r="F53" s="51">
        <v>4.2285714285714288E-2</v>
      </c>
      <c r="G53" s="51">
        <v>0</v>
      </c>
      <c r="H53" s="23">
        <v>0</v>
      </c>
      <c r="I53" s="25">
        <v>3.6</v>
      </c>
      <c r="J53" s="168" t="str">
        <f t="shared" si="26"/>
        <v>Green</v>
      </c>
      <c r="K53" s="715">
        <f t="shared" si="27"/>
        <v>6</v>
      </c>
      <c r="L53" s="485">
        <v>0.18925759280089988</v>
      </c>
      <c r="M53" s="51">
        <v>3.2058492688413945E-2</v>
      </c>
      <c r="N53" s="51">
        <v>0</v>
      </c>
      <c r="O53" s="23">
        <v>0</v>
      </c>
      <c r="P53" s="25">
        <v>2.8543307086614171</v>
      </c>
      <c r="Q53" s="212" t="str">
        <f t="shared" si="34"/>
        <v>Green</v>
      </c>
      <c r="R53" s="702">
        <f t="shared" si="28"/>
        <v>7</v>
      </c>
      <c r="S53" s="51">
        <v>0.12915254237288135</v>
      </c>
      <c r="T53" s="51">
        <v>2.6779661016949154E-2</v>
      </c>
      <c r="U53" s="51">
        <v>0</v>
      </c>
      <c r="V53" s="23">
        <v>0</v>
      </c>
      <c r="W53" s="25">
        <v>2.094915254237288</v>
      </c>
      <c r="X53" s="836" t="str">
        <f t="shared" si="35"/>
        <v>Green</v>
      </c>
      <c r="Y53" s="835">
        <f t="shared" si="36"/>
        <v>5</v>
      </c>
      <c r="Z53" s="913">
        <v>0.10683012259194395</v>
      </c>
      <c r="AA53" s="114">
        <v>1.7513134851138354E-2</v>
      </c>
      <c r="AB53" s="114">
        <v>0</v>
      </c>
      <c r="AC53" s="25">
        <v>0</v>
      </c>
      <c r="AD53" s="25">
        <v>1.5936952714535901</v>
      </c>
      <c r="AE53" s="915" t="str">
        <f t="shared" si="37"/>
        <v>Green</v>
      </c>
      <c r="AF53" s="707">
        <f t="shared" si="38"/>
        <v>4</v>
      </c>
      <c r="AG53" s="913">
        <v>0.10706787963610917</v>
      </c>
      <c r="AH53" s="114">
        <v>1.2946116165150455E-2</v>
      </c>
      <c r="AI53" s="114">
        <v>0</v>
      </c>
      <c r="AJ53" s="25">
        <v>0</v>
      </c>
      <c r="AK53" s="25">
        <v>1.4590622813156053</v>
      </c>
      <c r="AL53" s="915" t="str">
        <f t="shared" si="29"/>
        <v>Green</v>
      </c>
      <c r="AM53" s="707">
        <f t="shared" si="39"/>
        <v>4</v>
      </c>
      <c r="AN53" s="913">
        <v>0.11716230741669652</v>
      </c>
      <c r="AO53" s="114">
        <v>8.9573629523468298E-3</v>
      </c>
      <c r="AP53" s="114">
        <v>0</v>
      </c>
      <c r="AQ53" s="25">
        <v>0</v>
      </c>
      <c r="AR53" s="25">
        <v>1.44034396273737</v>
      </c>
      <c r="AS53" s="915" t="str">
        <f>IF(AR53&lt;=$AR$57,"Green",IF(AR53&lt;=$AR$57*1.05,"Amber","Red"))</f>
        <v>Green</v>
      </c>
      <c r="AT53" s="707">
        <f t="shared" si="31"/>
        <v>5</v>
      </c>
      <c r="AU53" s="913">
        <v>0.11403258073735353</v>
      </c>
      <c r="AV53" s="913">
        <v>2.1434695627322094E-2</v>
      </c>
      <c r="AW53" s="913">
        <v>0</v>
      </c>
      <c r="AX53" s="913">
        <v>0</v>
      </c>
      <c r="AY53" s="25">
        <v>1.7833666761931983</v>
      </c>
      <c r="AZ53" s="915" t="str">
        <f t="shared" si="32"/>
        <v>Green</v>
      </c>
      <c r="BA53" s="707">
        <f>RANK(AY53,AY$43:AY$56,1)</f>
        <v>6</v>
      </c>
      <c r="BB53" s="701"/>
      <c r="BC53" s="150"/>
      <c r="BD53" s="150"/>
      <c r="BE53" s="150"/>
      <c r="BF53" s="150"/>
      <c r="BG53" s="191"/>
      <c r="BH53" s="723"/>
    </row>
    <row r="54" spans="2:60">
      <c r="B54" s="1281"/>
      <c r="C54" s="115"/>
      <c r="D54" s="407" t="s">
        <v>172</v>
      </c>
      <c r="E54" s="485">
        <v>0.21101256467110124</v>
      </c>
      <c r="F54" s="51">
        <v>4.2128603104212861E-2</v>
      </c>
      <c r="G54" s="51">
        <v>0</v>
      </c>
      <c r="H54" s="23">
        <v>0</v>
      </c>
      <c r="I54" s="25">
        <v>3.3739837398373984</v>
      </c>
      <c r="J54" s="168" t="str">
        <f t="shared" si="26"/>
        <v>Green</v>
      </c>
      <c r="K54" s="715">
        <f t="shared" si="27"/>
        <v>5</v>
      </c>
      <c r="L54" s="485">
        <v>0.19093539054966249</v>
      </c>
      <c r="M54" s="51">
        <v>3.0536804885888783E-2</v>
      </c>
      <c r="N54" s="51">
        <v>0</v>
      </c>
      <c r="O54" s="23">
        <v>0</v>
      </c>
      <c r="P54" s="25">
        <v>2.8254580520732882</v>
      </c>
      <c r="Q54" s="212" t="str">
        <f t="shared" si="34"/>
        <v>Green</v>
      </c>
      <c r="R54" s="702">
        <f t="shared" si="28"/>
        <v>6</v>
      </c>
      <c r="S54" s="51">
        <v>0.18560606060606061</v>
      </c>
      <c r="T54" s="51">
        <v>2.8409090909090908E-2</v>
      </c>
      <c r="U54" s="51">
        <v>0</v>
      </c>
      <c r="V54" s="23">
        <v>0</v>
      </c>
      <c r="W54" s="25">
        <v>2.708333333333333</v>
      </c>
      <c r="X54" s="836" t="str">
        <f t="shared" si="35"/>
        <v>Green</v>
      </c>
      <c r="Y54" s="835">
        <f t="shared" si="36"/>
        <v>8</v>
      </c>
      <c r="Z54" s="913">
        <v>0.12694483734087694</v>
      </c>
      <c r="AA54" s="114">
        <v>1.9448373408769447E-2</v>
      </c>
      <c r="AB54" s="114">
        <v>0</v>
      </c>
      <c r="AC54" s="25">
        <v>0</v>
      </c>
      <c r="AD54" s="25">
        <v>1.8528995756718527</v>
      </c>
      <c r="AE54" s="915" t="str">
        <f t="shared" si="37"/>
        <v>Green</v>
      </c>
      <c r="AF54" s="707">
        <f t="shared" si="38"/>
        <v>7</v>
      </c>
      <c r="AG54" s="913">
        <v>0.10225062517365935</v>
      </c>
      <c r="AH54" s="114">
        <v>1.2503473186996388E-2</v>
      </c>
      <c r="AI54" s="114">
        <v>0</v>
      </c>
      <c r="AJ54" s="25">
        <v>0</v>
      </c>
      <c r="AK54" s="25">
        <v>1.3976104473464852</v>
      </c>
      <c r="AL54" s="915" t="str">
        <f t="shared" si="29"/>
        <v>Green</v>
      </c>
      <c r="AM54" s="707">
        <f t="shared" si="39"/>
        <v>3</v>
      </c>
      <c r="AN54" s="913">
        <v>0.11131588647253962</v>
      </c>
      <c r="AO54" s="114">
        <v>1.0320678215997052E-2</v>
      </c>
      <c r="AP54" s="114">
        <v>0</v>
      </c>
      <c r="AQ54" s="25">
        <v>0</v>
      </c>
      <c r="AR54" s="25">
        <v>1.4227792112053077</v>
      </c>
      <c r="AS54" s="915" t="str">
        <f>IF(AR54&lt;=$AR$57,"Green",IF(AR54&lt;=$AR$57*1.05,"Amber","Red"))</f>
        <v>Green</v>
      </c>
      <c r="AT54" s="707">
        <f t="shared" si="31"/>
        <v>4</v>
      </c>
      <c r="AU54" s="913">
        <v>0.12291933418693982</v>
      </c>
      <c r="AV54" s="913">
        <v>1.1203585147247119E-2</v>
      </c>
      <c r="AW54" s="913">
        <v>0</v>
      </c>
      <c r="AX54" s="913">
        <v>0</v>
      </c>
      <c r="AY54" s="25">
        <v>1.5653008962868116</v>
      </c>
      <c r="AZ54" s="915" t="str">
        <f t="shared" si="32"/>
        <v>Green</v>
      </c>
      <c r="BA54" s="707">
        <f>RANK(AY54,AY$43:AY$56,1)</f>
        <v>3</v>
      </c>
      <c r="BB54" s="701"/>
      <c r="BC54" s="150"/>
      <c r="BD54" s="150"/>
      <c r="BE54" s="150"/>
      <c r="BF54" s="150"/>
      <c r="BG54" s="191"/>
      <c r="BH54" s="723"/>
    </row>
    <row r="55" spans="2:60">
      <c r="B55" s="1281"/>
      <c r="C55" s="115"/>
      <c r="D55" s="407" t="s">
        <v>28</v>
      </c>
      <c r="E55" s="485">
        <v>0.30415944540727902</v>
      </c>
      <c r="F55" s="51">
        <v>3.4662045060658578E-2</v>
      </c>
      <c r="G55" s="51">
        <v>0</v>
      </c>
      <c r="H55" s="23">
        <v>0</v>
      </c>
      <c r="I55" s="25">
        <v>4.0814558058925474</v>
      </c>
      <c r="J55" s="168" t="str">
        <f t="shared" si="26"/>
        <v>Green</v>
      </c>
      <c r="K55" s="715">
        <f t="shared" si="27"/>
        <v>7</v>
      </c>
      <c r="L55" s="485">
        <v>0.1479680444598819</v>
      </c>
      <c r="M55" s="51">
        <v>2.327196943383119E-2</v>
      </c>
      <c r="N55" s="51">
        <v>0</v>
      </c>
      <c r="O55" s="23">
        <v>0</v>
      </c>
      <c r="P55" s="25">
        <v>2.1778395276137545</v>
      </c>
      <c r="Q55" s="212" t="str">
        <f t="shared" si="34"/>
        <v>Green</v>
      </c>
      <c r="R55" s="702">
        <f t="shared" si="28"/>
        <v>3</v>
      </c>
      <c r="S55" s="51">
        <v>0.13212996389891696</v>
      </c>
      <c r="T55" s="51">
        <v>9.3862815884476532E-3</v>
      </c>
      <c r="U55" s="51">
        <v>0</v>
      </c>
      <c r="V55" s="23">
        <v>0</v>
      </c>
      <c r="W55" s="25">
        <v>1.6028880866425992</v>
      </c>
      <c r="X55" s="836" t="str">
        <f t="shared" si="35"/>
        <v>Green</v>
      </c>
      <c r="Y55" s="835">
        <f t="shared" si="36"/>
        <v>3</v>
      </c>
      <c r="Z55" s="913">
        <v>8.2552431950022306E-2</v>
      </c>
      <c r="AA55" s="114">
        <v>1.3386880856760375E-2</v>
      </c>
      <c r="AB55" s="114">
        <v>0</v>
      </c>
      <c r="AC55" s="25">
        <v>0</v>
      </c>
      <c r="AD55" s="25">
        <v>1.2271307452030342</v>
      </c>
      <c r="AE55" s="915" t="str">
        <f t="shared" si="37"/>
        <v>Green</v>
      </c>
      <c r="AF55" s="707">
        <f t="shared" si="38"/>
        <v>1</v>
      </c>
      <c r="AG55" s="913">
        <v>0.1011541072640869</v>
      </c>
      <c r="AH55" s="114">
        <v>2.9871011541072641E-2</v>
      </c>
      <c r="AI55" s="114">
        <v>0</v>
      </c>
      <c r="AJ55" s="25">
        <v>0</v>
      </c>
      <c r="AK55" s="25">
        <v>1.9076714188730481</v>
      </c>
      <c r="AL55" s="915" t="str">
        <f t="shared" si="29"/>
        <v>Green</v>
      </c>
      <c r="AM55" s="707">
        <f t="shared" si="39"/>
        <v>7</v>
      </c>
      <c r="AN55" s="913">
        <v>0.13933895009721323</v>
      </c>
      <c r="AO55" s="114">
        <v>3.1108230719377836E-2</v>
      </c>
      <c r="AP55" s="114">
        <v>0</v>
      </c>
      <c r="AQ55" s="25">
        <v>0</v>
      </c>
      <c r="AR55" s="25">
        <v>2.3266364225534675</v>
      </c>
      <c r="AS55" s="915" t="str">
        <f>IF(AR55&lt;=$AR$57,"Green",IF(AR55&lt;=$AR$57*1.05,"Amber","Red"))</f>
        <v>Green</v>
      </c>
      <c r="AT55" s="707">
        <f t="shared" si="31"/>
        <v>10</v>
      </c>
      <c r="AU55" s="913">
        <v>0.14505372360133384</v>
      </c>
      <c r="AV55" s="913">
        <v>2.426824749907373E-2</v>
      </c>
      <c r="AW55" s="913">
        <v>0</v>
      </c>
      <c r="AX55" s="913">
        <v>0</v>
      </c>
      <c r="AY55" s="25">
        <v>2.1785846609855501</v>
      </c>
      <c r="AZ55" s="915" t="str">
        <f t="shared" si="32"/>
        <v>Green</v>
      </c>
      <c r="BA55" s="707">
        <f>RANK(AY55,AY$43:AY$56,1)</f>
        <v>8</v>
      </c>
      <c r="BB55" s="701"/>
      <c r="BC55" s="150"/>
      <c r="BD55" s="150"/>
      <c r="BE55" s="150"/>
      <c r="BF55" s="150"/>
      <c r="BG55" s="191"/>
      <c r="BH55" s="723"/>
    </row>
    <row r="56" spans="2:60" ht="12" thickBot="1">
      <c r="B56" s="1282"/>
      <c r="C56" s="115"/>
      <c r="D56" s="413" t="s">
        <v>173</v>
      </c>
      <c r="E56" s="486">
        <v>0.32495069033530571</v>
      </c>
      <c r="F56" s="487">
        <v>4.6844181459566078E-2</v>
      </c>
      <c r="G56" s="487">
        <v>0</v>
      </c>
      <c r="H56" s="693">
        <v>0</v>
      </c>
      <c r="I56" s="422">
        <v>4.6548323471400392</v>
      </c>
      <c r="J56" s="716" t="str">
        <f t="shared" si="26"/>
        <v>Green</v>
      </c>
      <c r="K56" s="717">
        <f t="shared" si="27"/>
        <v>8</v>
      </c>
      <c r="L56" s="486">
        <v>0.23433303491495075</v>
      </c>
      <c r="M56" s="487">
        <v>3.3049835869889584E-2</v>
      </c>
      <c r="N56" s="487">
        <v>0</v>
      </c>
      <c r="O56" s="693">
        <v>0</v>
      </c>
      <c r="P56" s="422">
        <v>3.3348254252461951</v>
      </c>
      <c r="Q56" s="721" t="str">
        <f t="shared" si="34"/>
        <v>Green</v>
      </c>
      <c r="R56" s="705">
        <f t="shared" si="28"/>
        <v>8</v>
      </c>
      <c r="S56" s="51">
        <v>0.19577549788774895</v>
      </c>
      <c r="T56" s="51">
        <v>2.6976463488231746E-2</v>
      </c>
      <c r="U56" s="51">
        <v>0</v>
      </c>
      <c r="V56" s="23">
        <v>0</v>
      </c>
      <c r="W56" s="25">
        <v>2.767048883524442</v>
      </c>
      <c r="X56" s="836" t="str">
        <f t="shared" si="35"/>
        <v>Green</v>
      </c>
      <c r="Y56" s="835">
        <f t="shared" si="36"/>
        <v>9</v>
      </c>
      <c r="Z56" s="914">
        <v>0.1133586468760787</v>
      </c>
      <c r="AA56" s="679">
        <v>2.0918191232309286E-2</v>
      </c>
      <c r="AB56" s="679">
        <v>0</v>
      </c>
      <c r="AC56" s="422">
        <v>0</v>
      </c>
      <c r="AD56" s="422">
        <v>1.7611322057300656</v>
      </c>
      <c r="AE56" s="916" t="str">
        <f t="shared" si="37"/>
        <v>Green</v>
      </c>
      <c r="AF56" s="708">
        <f t="shared" si="38"/>
        <v>5</v>
      </c>
      <c r="AG56" s="914">
        <v>0.11760063141278611</v>
      </c>
      <c r="AH56" s="679">
        <v>3.1254932912391474E-2</v>
      </c>
      <c r="AI56" s="679">
        <v>0</v>
      </c>
      <c r="AJ56" s="422">
        <v>0</v>
      </c>
      <c r="AK56" s="422">
        <v>2.1136543014996052</v>
      </c>
      <c r="AL56" s="916" t="str">
        <f t="shared" si="29"/>
        <v>Green</v>
      </c>
      <c r="AM56" s="708">
        <f t="shared" si="39"/>
        <v>9</v>
      </c>
      <c r="AN56" s="914">
        <v>0.18123175120526924</v>
      </c>
      <c r="AO56" s="679">
        <v>4.739593943097712E-2</v>
      </c>
      <c r="AP56" s="679">
        <v>0</v>
      </c>
      <c r="AQ56" s="422">
        <v>0</v>
      </c>
      <c r="AR56" s="422">
        <v>3.2341956949820059</v>
      </c>
      <c r="AS56" s="915" t="str">
        <f>IF(AR56&lt;=$AR$57,"Green",IF(AR56&lt;=$AR$57*1.05,"Amber","Red"))</f>
        <v>Green</v>
      </c>
      <c r="AT56" s="708">
        <f t="shared" si="31"/>
        <v>14</v>
      </c>
      <c r="AU56" s="914">
        <v>0.16090225563909774</v>
      </c>
      <c r="AV56" s="914">
        <v>4.1269841269841269E-2</v>
      </c>
      <c r="AW56" s="914">
        <v>0</v>
      </c>
      <c r="AX56" s="914">
        <v>0</v>
      </c>
      <c r="AY56" s="422">
        <v>2.8471177944862154</v>
      </c>
      <c r="AZ56" s="915" t="str">
        <f t="shared" si="32"/>
        <v>Green</v>
      </c>
      <c r="BA56" s="708">
        <f t="shared" si="40"/>
        <v>10</v>
      </c>
      <c r="BB56" s="703"/>
      <c r="BC56" s="706"/>
      <c r="BD56" s="706"/>
      <c r="BE56" s="706"/>
      <c r="BF56" s="706"/>
      <c r="BG56" s="704"/>
      <c r="BH56" s="724"/>
    </row>
    <row r="57" spans="2:60">
      <c r="C57" s="60"/>
      <c r="D57" s="718" t="s">
        <v>240</v>
      </c>
      <c r="I57" s="712">
        <v>8.33</v>
      </c>
      <c r="P57" s="712">
        <v>8.33</v>
      </c>
      <c r="W57" s="722">
        <v>8.33</v>
      </c>
      <c r="AD57" s="722">
        <v>8.33</v>
      </c>
      <c r="AK57" s="722">
        <v>8.33</v>
      </c>
      <c r="AR57" s="722">
        <v>8.33</v>
      </c>
      <c r="AY57" s="722">
        <v>8.33</v>
      </c>
      <c r="BF57" s="722">
        <v>8.33</v>
      </c>
    </row>
    <row r="58" spans="2:60">
      <c r="C58" s="60"/>
    </row>
    <row r="59" spans="2:60" ht="12.75" customHeight="1" thickBot="1">
      <c r="B59" s="1283" t="s">
        <v>385</v>
      </c>
      <c r="C59" s="60"/>
      <c r="D59" s="108"/>
      <c r="AJ59"/>
      <c r="AK59"/>
      <c r="AL59"/>
      <c r="AM59"/>
      <c r="AN59"/>
      <c r="AO59"/>
      <c r="AP59"/>
      <c r="AQ59"/>
      <c r="AR59"/>
    </row>
    <row r="60" spans="2:60" ht="11.25" customHeight="1">
      <c r="B60" s="1284"/>
      <c r="C60" s="60"/>
      <c r="E60" s="1263" t="s">
        <v>386</v>
      </c>
      <c r="F60" s="1234"/>
      <c r="G60" s="1234"/>
      <c r="H60" s="1234"/>
      <c r="I60" s="1234"/>
      <c r="J60" s="1234"/>
      <c r="K60" s="1234"/>
      <c r="L60" s="1235"/>
      <c r="AJ60"/>
      <c r="AK60"/>
      <c r="AL60"/>
      <c r="AM60"/>
      <c r="AN60"/>
      <c r="AO60"/>
      <c r="AP60"/>
      <c r="AQ60"/>
      <c r="AR60"/>
    </row>
    <row r="61" spans="2:60" ht="15" thickBot="1">
      <c r="B61" s="1284"/>
      <c r="C61" s="60"/>
      <c r="D61" s="1"/>
      <c r="E61" s="196" t="s">
        <v>137</v>
      </c>
      <c r="F61" s="102" t="s">
        <v>138</v>
      </c>
      <c r="G61" s="102" t="s">
        <v>139</v>
      </c>
      <c r="H61" s="102" t="s">
        <v>140</v>
      </c>
      <c r="I61" s="102" t="s">
        <v>141</v>
      </c>
      <c r="J61" s="102" t="s">
        <v>126</v>
      </c>
      <c r="K61" s="102" t="s">
        <v>142</v>
      </c>
      <c r="L61" s="197" t="s">
        <v>143</v>
      </c>
      <c r="AJ61"/>
      <c r="AK61"/>
      <c r="AL61"/>
      <c r="AM61"/>
      <c r="AN61"/>
      <c r="AO61"/>
      <c r="AP61"/>
      <c r="AQ61"/>
      <c r="AR61"/>
    </row>
    <row r="62" spans="2:60" ht="14.5">
      <c r="B62" s="1284"/>
      <c r="C62" s="60"/>
      <c r="D62" s="406" t="s">
        <v>161</v>
      </c>
      <c r="E62" s="449">
        <v>6.9</v>
      </c>
      <c r="F62" s="30">
        <v>6.375</v>
      </c>
      <c r="G62" s="30">
        <v>5.75</v>
      </c>
      <c r="H62" s="30">
        <v>4.5374999999999996</v>
      </c>
      <c r="I62" s="30">
        <v>6.0250000000000004</v>
      </c>
      <c r="J62" s="30">
        <v>6.6124999999999998</v>
      </c>
      <c r="K62" s="30">
        <v>4.3125</v>
      </c>
      <c r="L62" s="411"/>
      <c r="M62" s="230"/>
      <c r="AJ62"/>
      <c r="AK62"/>
      <c r="AL62"/>
      <c r="AM62"/>
      <c r="AN62"/>
      <c r="AO62"/>
      <c r="AP62"/>
      <c r="AQ62"/>
      <c r="AR62"/>
    </row>
    <row r="63" spans="2:60" ht="14.5">
      <c r="B63" s="1284"/>
      <c r="C63" s="60"/>
      <c r="D63" s="407" t="s">
        <v>187</v>
      </c>
      <c r="E63" s="449">
        <v>6.5</v>
      </c>
      <c r="F63" s="30">
        <v>6.5</v>
      </c>
      <c r="G63" s="30">
        <v>7.5</v>
      </c>
      <c r="H63" s="30">
        <v>7.0125000000000002</v>
      </c>
      <c r="I63" s="30">
        <v>6.7125000000000004</v>
      </c>
      <c r="J63" s="30">
        <v>5.0125000000000002</v>
      </c>
      <c r="K63" s="30">
        <v>3.7</v>
      </c>
      <c r="L63" s="411"/>
      <c r="M63" s="231"/>
      <c r="AJ63"/>
      <c r="AK63"/>
      <c r="AL63"/>
      <c r="AM63"/>
      <c r="AN63"/>
      <c r="AO63"/>
      <c r="AP63"/>
      <c r="AQ63"/>
      <c r="AR63"/>
    </row>
    <row r="64" spans="2:60" ht="14.5">
      <c r="B64" s="1284"/>
      <c r="C64" s="60"/>
      <c r="D64" s="407" t="s">
        <v>1410</v>
      </c>
      <c r="E64" s="449">
        <v>8.75</v>
      </c>
      <c r="F64" s="30">
        <v>8.5249999999999986</v>
      </c>
      <c r="G64" s="30">
        <v>8.75</v>
      </c>
      <c r="H64" s="30">
        <v>8.35</v>
      </c>
      <c r="I64" s="30">
        <v>0</v>
      </c>
      <c r="J64" s="30">
        <v>0</v>
      </c>
      <c r="K64" s="30">
        <v>5.35</v>
      </c>
      <c r="L64" s="411"/>
      <c r="M64" s="232"/>
      <c r="AJ64"/>
      <c r="AK64"/>
      <c r="AL64"/>
      <c r="AM64"/>
      <c r="AN64"/>
      <c r="AO64"/>
      <c r="AP64"/>
      <c r="AQ64"/>
      <c r="AR64"/>
    </row>
    <row r="65" spans="2:44" ht="14.5">
      <c r="B65" s="1284"/>
      <c r="C65" s="60"/>
      <c r="D65" s="407" t="s">
        <v>188</v>
      </c>
      <c r="E65" s="449">
        <v>7.5250000000000004</v>
      </c>
      <c r="F65" s="30">
        <v>7.5250000000000004</v>
      </c>
      <c r="G65" s="30">
        <v>7.25</v>
      </c>
      <c r="H65" s="30">
        <v>7.95</v>
      </c>
      <c r="I65" s="30">
        <v>8.3000000000000007</v>
      </c>
      <c r="J65" s="30">
        <v>8.0500000000000007</v>
      </c>
      <c r="K65" s="30">
        <v>8.5374999999999996</v>
      </c>
      <c r="L65" s="411"/>
      <c r="AJ65"/>
      <c r="AK65"/>
      <c r="AL65"/>
      <c r="AM65"/>
      <c r="AN65"/>
      <c r="AO65"/>
      <c r="AP65"/>
      <c r="AQ65"/>
      <c r="AR65"/>
    </row>
    <row r="66" spans="2:44" ht="14.5">
      <c r="B66" s="1284"/>
      <c r="C66" s="60"/>
      <c r="D66" s="407" t="s">
        <v>189</v>
      </c>
      <c r="E66" s="449">
        <v>6.7750000000000004</v>
      </c>
      <c r="F66" s="30">
        <v>6.2750000000000004</v>
      </c>
      <c r="G66" s="30">
        <v>6.35</v>
      </c>
      <c r="H66" s="30">
        <v>6.7125000000000004</v>
      </c>
      <c r="I66" s="30">
        <v>6.85</v>
      </c>
      <c r="J66" s="30">
        <v>7.0750000000000002</v>
      </c>
      <c r="K66" s="30">
        <v>5.2874999999999996</v>
      </c>
      <c r="L66" s="411"/>
      <c r="AJ66"/>
      <c r="AK66"/>
      <c r="AL66"/>
      <c r="AM66"/>
      <c r="AN66"/>
      <c r="AO66"/>
      <c r="AP66"/>
      <c r="AQ66"/>
      <c r="AR66"/>
    </row>
    <row r="67" spans="2:44" ht="15" thickBot="1">
      <c r="B67" s="1284"/>
      <c r="C67" s="60"/>
      <c r="D67" s="413" t="s">
        <v>190</v>
      </c>
      <c r="E67" s="726">
        <v>5.7249999999999996</v>
      </c>
      <c r="F67" s="484">
        <v>5.2249999999999996</v>
      </c>
      <c r="G67" s="30">
        <v>5.5</v>
      </c>
      <c r="H67" s="30">
        <v>3.95</v>
      </c>
      <c r="I67" s="30">
        <v>5.5374999999999996</v>
      </c>
      <c r="J67" s="30">
        <v>6.2</v>
      </c>
      <c r="K67" s="30">
        <v>5.875</v>
      </c>
      <c r="L67" s="412"/>
      <c r="AJ67"/>
      <c r="AK67"/>
      <c r="AL67"/>
      <c r="AM67"/>
      <c r="AN67"/>
      <c r="AO67"/>
      <c r="AP67"/>
      <c r="AQ67"/>
      <c r="AR67"/>
    </row>
    <row r="68" spans="2:44" ht="15" thickBot="1">
      <c r="B68" s="1284"/>
      <c r="C68" s="60"/>
      <c r="AJ68"/>
      <c r="AK68"/>
      <c r="AL68"/>
      <c r="AM68"/>
      <c r="AN68"/>
      <c r="AO68"/>
      <c r="AP68"/>
      <c r="AQ68"/>
      <c r="AR68"/>
    </row>
    <row r="69" spans="2:44" ht="14.5">
      <c r="B69" s="1284"/>
      <c r="C69" s="60"/>
      <c r="E69" s="1263" t="s">
        <v>387</v>
      </c>
      <c r="F69" s="1234"/>
      <c r="G69" s="1234"/>
      <c r="H69" s="1234"/>
      <c r="I69" s="1234"/>
      <c r="J69" s="1234"/>
      <c r="K69" s="1234"/>
      <c r="L69" s="1235"/>
      <c r="AJ69"/>
      <c r="AK69"/>
      <c r="AL69"/>
      <c r="AM69"/>
      <c r="AN69"/>
      <c r="AO69"/>
      <c r="AP69"/>
      <c r="AQ69"/>
      <c r="AR69"/>
    </row>
    <row r="70" spans="2:44" ht="15" thickBot="1">
      <c r="B70" s="1284"/>
      <c r="C70" s="60"/>
      <c r="D70" s="1"/>
      <c r="E70" s="457" t="s">
        <v>137</v>
      </c>
      <c r="F70" s="78" t="s">
        <v>138</v>
      </c>
      <c r="G70" s="78" t="s">
        <v>139</v>
      </c>
      <c r="H70" s="78" t="s">
        <v>140</v>
      </c>
      <c r="I70" s="78" t="s">
        <v>141</v>
      </c>
      <c r="J70" s="78" t="s">
        <v>126</v>
      </c>
      <c r="K70" s="78" t="s">
        <v>142</v>
      </c>
      <c r="L70" s="458" t="s">
        <v>143</v>
      </c>
      <c r="AJ70"/>
      <c r="AK70"/>
      <c r="AL70"/>
      <c r="AM70"/>
      <c r="AN70"/>
      <c r="AO70"/>
      <c r="AP70"/>
      <c r="AQ70"/>
      <c r="AR70"/>
    </row>
    <row r="71" spans="2:44" ht="14.5">
      <c r="B71" s="1284"/>
      <c r="C71" s="60"/>
      <c r="D71" s="186" t="s">
        <v>161</v>
      </c>
      <c r="E71" s="449">
        <v>1.180163400429141</v>
      </c>
      <c r="F71" s="89">
        <v>0.96651312966179659</v>
      </c>
      <c r="G71" s="89">
        <v>0.71216756922448132</v>
      </c>
      <c r="H71" s="89">
        <v>0.2187371819760906</v>
      </c>
      <c r="I71" s="89">
        <v>0.82407961581690026</v>
      </c>
      <c r="J71" s="89">
        <v>1.063164442627976</v>
      </c>
      <c r="K71" s="89">
        <v>0.12717278021865741</v>
      </c>
      <c r="L71" s="411"/>
      <c r="AJ71"/>
      <c r="AK71"/>
      <c r="AL71"/>
      <c r="AM71"/>
      <c r="AN71"/>
      <c r="AO71"/>
      <c r="AP71"/>
      <c r="AQ71"/>
      <c r="AR71"/>
    </row>
    <row r="72" spans="2:44" ht="14.5">
      <c r="B72" s="1284"/>
      <c r="C72" s="60"/>
      <c r="D72" s="187" t="s">
        <v>187</v>
      </c>
      <c r="E72" s="449">
        <v>1.7168325329518752</v>
      </c>
      <c r="F72" s="89">
        <v>1.7168325329518754</v>
      </c>
      <c r="G72" s="89">
        <v>2.4035655461326249</v>
      </c>
      <c r="H72" s="89">
        <v>2.0687832022070096</v>
      </c>
      <c r="I72" s="89">
        <v>1.8627632982527849</v>
      </c>
      <c r="J72" s="89">
        <v>0.69531717584550956</v>
      </c>
      <c r="K72" s="89">
        <v>0</v>
      </c>
      <c r="L72" s="411"/>
      <c r="AJ72"/>
      <c r="AK72"/>
      <c r="AL72"/>
      <c r="AM72"/>
      <c r="AN72"/>
      <c r="AO72"/>
      <c r="AP72"/>
      <c r="AQ72"/>
      <c r="AR72"/>
    </row>
    <row r="73" spans="2:44">
      <c r="B73" s="1284"/>
      <c r="C73" s="60"/>
      <c r="D73" s="187" t="s">
        <v>1410</v>
      </c>
      <c r="E73" s="449">
        <v>7.6112908960866461</v>
      </c>
      <c r="F73" s="89">
        <v>7.2507560641667519</v>
      </c>
      <c r="G73" s="89">
        <v>7.6112908960866452</v>
      </c>
      <c r="H73" s="89">
        <v>6.9703400837846123</v>
      </c>
      <c r="I73" s="30">
        <v>0</v>
      </c>
      <c r="J73" s="89">
        <v>0</v>
      </c>
      <c r="K73" s="89">
        <v>2.1632089915193622</v>
      </c>
      <c r="L73" s="411"/>
      <c r="AK73" s="9"/>
      <c r="AR73" s="9"/>
    </row>
    <row r="74" spans="2:44">
      <c r="B74" s="1284"/>
      <c r="C74" s="60"/>
      <c r="D74" s="187" t="s">
        <v>188</v>
      </c>
      <c r="E74" s="449">
        <v>4.8414677429242881</v>
      </c>
      <c r="F74" s="89">
        <v>4.8414677429242889</v>
      </c>
      <c r="G74" s="89">
        <v>4.4637645856748742</v>
      </c>
      <c r="H74" s="89">
        <v>5.4251908041279258</v>
      </c>
      <c r="I74" s="89">
        <v>5.905903913354452</v>
      </c>
      <c r="J74" s="89">
        <v>5.5625374067640765</v>
      </c>
      <c r="K74" s="89">
        <v>6.2321020946153052</v>
      </c>
      <c r="L74" s="411"/>
      <c r="AD74" s="9"/>
      <c r="AR74" s="9"/>
    </row>
    <row r="75" spans="2:44">
      <c r="B75" s="1284"/>
      <c r="C75" s="60"/>
      <c r="D75" s="187" t="s">
        <v>189</v>
      </c>
      <c r="E75" s="449">
        <v>2.3291694697047105</v>
      </c>
      <c r="F75" s="89">
        <v>1.9094992949831417</v>
      </c>
      <c r="G75" s="89">
        <v>1.9724498211913761</v>
      </c>
      <c r="H75" s="89">
        <v>2.2767106978645151</v>
      </c>
      <c r="I75" s="89">
        <v>2.392119995912946</v>
      </c>
      <c r="J75" s="89">
        <v>2.5809715745376529</v>
      </c>
      <c r="K75" s="89">
        <v>1.080650699908041</v>
      </c>
      <c r="L75" s="411"/>
      <c r="AD75" s="9"/>
      <c r="AR75" s="9"/>
    </row>
    <row r="76" spans="2:44" ht="12" thickBot="1">
      <c r="B76" s="1284"/>
      <c r="C76" s="60"/>
      <c r="D76" s="727" t="s">
        <v>190</v>
      </c>
      <c r="E76" s="726">
        <v>1.3601128844385408</v>
      </c>
      <c r="F76" s="728">
        <v>0.96587726576070287</v>
      </c>
      <c r="G76" s="89">
        <v>1.1827068560335139</v>
      </c>
      <c r="H76" s="89">
        <v>0</v>
      </c>
      <c r="I76" s="89">
        <v>1.2122745274343518</v>
      </c>
      <c r="J76" s="89">
        <v>1.7346367221824874</v>
      </c>
      <c r="K76" s="89">
        <v>1.4783835700418926</v>
      </c>
      <c r="L76" s="412"/>
      <c r="AD76" s="9"/>
    </row>
    <row r="77" spans="2:44" ht="12" thickBot="1">
      <c r="B77" s="1284"/>
    </row>
    <row r="78" spans="2:44" ht="11.25" customHeight="1">
      <c r="B78" s="1284"/>
      <c r="C78" s="61"/>
      <c r="E78" s="1263" t="s">
        <v>339</v>
      </c>
      <c r="F78" s="1234"/>
      <c r="G78" s="1234"/>
      <c r="H78" s="1234"/>
      <c r="I78" s="1234"/>
      <c r="J78" s="1234"/>
      <c r="K78" s="1234"/>
      <c r="L78" s="1235"/>
    </row>
    <row r="79" spans="2:44" ht="12" thickBot="1">
      <c r="B79" s="1284"/>
      <c r="C79" s="61"/>
      <c r="D79" s="1"/>
      <c r="E79" s="196" t="s">
        <v>137</v>
      </c>
      <c r="F79" s="102" t="s">
        <v>138</v>
      </c>
      <c r="G79" s="102" t="s">
        <v>139</v>
      </c>
      <c r="H79" s="102" t="s">
        <v>140</v>
      </c>
      <c r="I79" s="102" t="s">
        <v>141</v>
      </c>
      <c r="J79" s="102" t="s">
        <v>126</v>
      </c>
      <c r="K79" s="102" t="s">
        <v>142</v>
      </c>
      <c r="L79" s="197" t="s">
        <v>143</v>
      </c>
    </row>
    <row r="80" spans="2:44">
      <c r="B80" s="1284"/>
      <c r="C80" s="61"/>
      <c r="D80" s="186" t="s">
        <v>161</v>
      </c>
      <c r="E80" s="729" t="str">
        <f t="shared" ref="E80:H85" si="42">IF(E62&lt;4,"Red","Green")</f>
        <v>Green</v>
      </c>
      <c r="F80" s="729" t="str">
        <f t="shared" si="42"/>
        <v>Green</v>
      </c>
      <c r="G80" s="729" t="str">
        <f t="shared" si="42"/>
        <v>Green</v>
      </c>
      <c r="H80" s="729" t="str">
        <f t="shared" si="42"/>
        <v>Green</v>
      </c>
      <c r="I80" s="729" t="str">
        <f t="shared" ref="I80:K81" si="43">IF(I62&lt;4,"Red","Green")</f>
        <v>Green</v>
      </c>
      <c r="J80" s="729" t="str">
        <f t="shared" si="43"/>
        <v>Green</v>
      </c>
      <c r="K80" s="729" t="str">
        <f t="shared" si="43"/>
        <v>Green</v>
      </c>
      <c r="L80" s="730"/>
    </row>
    <row r="81" spans="2:33">
      <c r="B81" s="1284"/>
      <c r="C81" s="61"/>
      <c r="D81" s="187" t="s">
        <v>187</v>
      </c>
      <c r="E81" s="729" t="str">
        <f t="shared" si="42"/>
        <v>Green</v>
      </c>
      <c r="F81" s="729" t="str">
        <f t="shared" si="42"/>
        <v>Green</v>
      </c>
      <c r="G81" s="729" t="str">
        <f t="shared" si="42"/>
        <v>Green</v>
      </c>
      <c r="H81" s="729" t="str">
        <f t="shared" si="42"/>
        <v>Green</v>
      </c>
      <c r="I81" s="729" t="str">
        <f t="shared" si="43"/>
        <v>Green</v>
      </c>
      <c r="J81" s="729" t="str">
        <f t="shared" si="43"/>
        <v>Green</v>
      </c>
      <c r="K81" s="729" t="str">
        <f t="shared" si="43"/>
        <v>Red</v>
      </c>
      <c r="L81" s="730"/>
    </row>
    <row r="82" spans="2:33">
      <c r="B82" s="1284"/>
      <c r="C82" s="61"/>
      <c r="D82" s="187" t="s">
        <v>1410</v>
      </c>
      <c r="E82" s="729" t="str">
        <f t="shared" si="42"/>
        <v>Green</v>
      </c>
      <c r="F82" s="729" t="str">
        <f t="shared" si="42"/>
        <v>Green</v>
      </c>
      <c r="G82" s="729" t="str">
        <f t="shared" si="42"/>
        <v>Green</v>
      </c>
      <c r="H82" s="729" t="str">
        <f t="shared" si="42"/>
        <v>Green</v>
      </c>
      <c r="I82" s="729" t="s">
        <v>210</v>
      </c>
      <c r="J82" s="729" t="s">
        <v>210</v>
      </c>
      <c r="K82" s="729" t="str">
        <f>IF(K64&lt;4,"Red","Green")</f>
        <v>Green</v>
      </c>
      <c r="L82" s="730"/>
    </row>
    <row r="83" spans="2:33">
      <c r="B83" s="1284"/>
      <c r="C83" s="61"/>
      <c r="D83" s="187" t="s">
        <v>188</v>
      </c>
      <c r="E83" s="729" t="str">
        <f t="shared" si="42"/>
        <v>Green</v>
      </c>
      <c r="F83" s="729" t="str">
        <f t="shared" si="42"/>
        <v>Green</v>
      </c>
      <c r="G83" s="729" t="str">
        <f t="shared" si="42"/>
        <v>Green</v>
      </c>
      <c r="H83" s="729" t="str">
        <f t="shared" si="42"/>
        <v>Green</v>
      </c>
      <c r="I83" s="729" t="str">
        <f t="shared" ref="I83:J85" si="44">IF(I65&lt;4,"Red","Green")</f>
        <v>Green</v>
      </c>
      <c r="J83" s="729" t="str">
        <f t="shared" si="44"/>
        <v>Green</v>
      </c>
      <c r="K83" s="729" t="str">
        <f>IF(K65&lt;4,"Red","Green")</f>
        <v>Green</v>
      </c>
      <c r="L83" s="730"/>
    </row>
    <row r="84" spans="2:33">
      <c r="B84" s="1284"/>
      <c r="C84" s="61"/>
      <c r="D84" s="187" t="s">
        <v>189</v>
      </c>
      <c r="E84" s="729" t="str">
        <f t="shared" si="42"/>
        <v>Green</v>
      </c>
      <c r="F84" s="729" t="str">
        <f t="shared" si="42"/>
        <v>Green</v>
      </c>
      <c r="G84" s="729" t="str">
        <f t="shared" si="42"/>
        <v>Green</v>
      </c>
      <c r="H84" s="729" t="str">
        <f t="shared" si="42"/>
        <v>Green</v>
      </c>
      <c r="I84" s="729" t="str">
        <f t="shared" si="44"/>
        <v>Green</v>
      </c>
      <c r="J84" s="729" t="str">
        <f t="shared" si="44"/>
        <v>Green</v>
      </c>
      <c r="K84" s="729" t="str">
        <f>IF(K66&lt;4,"Red","Green")</f>
        <v>Green</v>
      </c>
      <c r="L84" s="730"/>
    </row>
    <row r="85" spans="2:33" ht="12" thickBot="1">
      <c r="B85" s="1284"/>
      <c r="C85" s="61"/>
      <c r="D85" s="727" t="s">
        <v>190</v>
      </c>
      <c r="E85" s="729" t="str">
        <f t="shared" si="42"/>
        <v>Green</v>
      </c>
      <c r="F85" s="729" t="str">
        <f t="shared" si="42"/>
        <v>Green</v>
      </c>
      <c r="G85" s="729" t="str">
        <f t="shared" si="42"/>
        <v>Green</v>
      </c>
      <c r="H85" s="729" t="str">
        <f t="shared" si="42"/>
        <v>Red</v>
      </c>
      <c r="I85" s="729" t="str">
        <f t="shared" si="44"/>
        <v>Green</v>
      </c>
      <c r="J85" s="729" t="str">
        <f t="shared" si="44"/>
        <v>Green</v>
      </c>
      <c r="K85" s="729" t="str">
        <f>IF(K67&lt;4,"Red","Green")</f>
        <v>Green</v>
      </c>
      <c r="L85" s="731"/>
    </row>
    <row r="86" spans="2:33" ht="12" thickBot="1">
      <c r="B86" s="1284"/>
      <c r="C86" s="61"/>
    </row>
    <row r="87" spans="2:33" ht="11.25" customHeight="1">
      <c r="B87" s="1284"/>
      <c r="C87" s="61"/>
      <c r="E87" s="1263" t="s">
        <v>63</v>
      </c>
      <c r="F87" s="1234"/>
      <c r="G87" s="1234"/>
      <c r="H87" s="1234"/>
      <c r="I87" s="1234"/>
      <c r="J87" s="1234"/>
      <c r="K87" s="1234"/>
      <c r="L87" s="1235"/>
    </row>
    <row r="88" spans="2:33" ht="12" thickBot="1">
      <c r="B88" s="1284"/>
      <c r="C88" s="61"/>
      <c r="D88" s="1"/>
      <c r="E88" s="196" t="s">
        <v>137</v>
      </c>
      <c r="F88" s="102" t="s">
        <v>138</v>
      </c>
      <c r="G88" s="102" t="s">
        <v>139</v>
      </c>
      <c r="H88" s="102" t="s">
        <v>140</v>
      </c>
      <c r="I88" s="102" t="s">
        <v>141</v>
      </c>
      <c r="J88" s="102" t="s">
        <v>126</v>
      </c>
      <c r="K88" s="102" t="s">
        <v>142</v>
      </c>
      <c r="L88" s="197" t="s">
        <v>143</v>
      </c>
    </row>
    <row r="89" spans="2:33">
      <c r="B89" s="1284"/>
      <c r="C89" s="61"/>
      <c r="D89" s="186" t="s">
        <v>161</v>
      </c>
      <c r="E89" s="732">
        <f t="shared" ref="E89:E94" si="45">RANK(E62,$E$62:$E$67,0)</f>
        <v>3</v>
      </c>
      <c r="F89" s="184">
        <f t="shared" ref="F89:F94" si="46">RANK(F62,$F$62:$F$67,0)</f>
        <v>4</v>
      </c>
      <c r="G89" s="184">
        <f t="shared" ref="G89:G94" si="47">RANK(G62,$G$62:$G$67,0)</f>
        <v>5</v>
      </c>
      <c r="H89" s="184">
        <f t="shared" ref="H89:H94" si="48">RANK(H62,$H$62:$H$67,0)</f>
        <v>5</v>
      </c>
      <c r="I89" s="184">
        <f t="shared" ref="I89:I94" si="49">RANK(I62,$I$62:$I$67,0)</f>
        <v>4</v>
      </c>
      <c r="J89" s="184">
        <f>RANK(J62,$J$62:$J$67,0)</f>
        <v>3</v>
      </c>
      <c r="K89" s="184">
        <f t="shared" ref="K89:K94" si="50">RANK(K62,$K$62:$K$67,0)</f>
        <v>5</v>
      </c>
      <c r="L89" s="730"/>
    </row>
    <row r="90" spans="2:33">
      <c r="B90" s="1284"/>
      <c r="C90" s="61"/>
      <c r="D90" s="187" t="s">
        <v>187</v>
      </c>
      <c r="E90" s="732">
        <f t="shared" si="45"/>
        <v>5</v>
      </c>
      <c r="F90" s="184">
        <f t="shared" si="46"/>
        <v>3</v>
      </c>
      <c r="G90" s="184">
        <f t="shared" si="47"/>
        <v>2</v>
      </c>
      <c r="H90" s="184">
        <f t="shared" si="48"/>
        <v>3</v>
      </c>
      <c r="I90" s="184">
        <f t="shared" si="49"/>
        <v>3</v>
      </c>
      <c r="J90" s="184">
        <f>RANK(J63,$J$62:$J$67,0)</f>
        <v>5</v>
      </c>
      <c r="K90" s="184">
        <f t="shared" si="50"/>
        <v>6</v>
      </c>
      <c r="L90" s="730"/>
    </row>
    <row r="91" spans="2:33">
      <c r="B91" s="1284"/>
      <c r="C91" s="61"/>
      <c r="D91" s="187" t="s">
        <v>1410</v>
      </c>
      <c r="E91" s="732">
        <f t="shared" si="45"/>
        <v>1</v>
      </c>
      <c r="F91" s="184">
        <f t="shared" si="46"/>
        <v>1</v>
      </c>
      <c r="G91" s="184">
        <f t="shared" si="47"/>
        <v>1</v>
      </c>
      <c r="H91" s="184">
        <f t="shared" si="48"/>
        <v>1</v>
      </c>
      <c r="I91" s="184">
        <v>0</v>
      </c>
      <c r="J91" s="184">
        <v>0</v>
      </c>
      <c r="K91" s="184">
        <f t="shared" si="50"/>
        <v>3</v>
      </c>
      <c r="L91" s="730"/>
    </row>
    <row r="92" spans="2:33">
      <c r="B92" s="1284"/>
      <c r="C92" s="61"/>
      <c r="D92" s="187" t="s">
        <v>188</v>
      </c>
      <c r="E92" s="732">
        <f t="shared" si="45"/>
        <v>2</v>
      </c>
      <c r="F92" s="184">
        <f t="shared" si="46"/>
        <v>2</v>
      </c>
      <c r="G92" s="184">
        <f t="shared" si="47"/>
        <v>3</v>
      </c>
      <c r="H92" s="184">
        <f t="shared" si="48"/>
        <v>2</v>
      </c>
      <c r="I92" s="184">
        <f t="shared" si="49"/>
        <v>1</v>
      </c>
      <c r="J92" s="184">
        <f>RANK(J65,$J$62:$J$67,0)</f>
        <v>1</v>
      </c>
      <c r="K92" s="184">
        <f t="shared" si="50"/>
        <v>1</v>
      </c>
      <c r="L92" s="730"/>
    </row>
    <row r="93" spans="2:33">
      <c r="B93" s="1284"/>
      <c r="C93" s="61"/>
      <c r="D93" s="187" t="s">
        <v>189</v>
      </c>
      <c r="E93" s="732">
        <f t="shared" si="45"/>
        <v>4</v>
      </c>
      <c r="F93" s="184">
        <f t="shared" si="46"/>
        <v>5</v>
      </c>
      <c r="G93" s="184">
        <f t="shared" si="47"/>
        <v>4</v>
      </c>
      <c r="H93" s="184">
        <f t="shared" si="48"/>
        <v>4</v>
      </c>
      <c r="I93" s="184">
        <f t="shared" si="49"/>
        <v>2</v>
      </c>
      <c r="J93" s="184">
        <f>RANK(J66,$J$62:$J$67,0)</f>
        <v>2</v>
      </c>
      <c r="K93" s="184">
        <f t="shared" si="50"/>
        <v>4</v>
      </c>
      <c r="L93" s="730"/>
    </row>
    <row r="94" spans="2:33" ht="15" thickBot="1">
      <c r="B94" s="1285"/>
      <c r="C94" s="61"/>
      <c r="D94" s="727" t="s">
        <v>190</v>
      </c>
      <c r="E94" s="733">
        <f t="shared" si="45"/>
        <v>6</v>
      </c>
      <c r="F94" s="612">
        <f t="shared" si="46"/>
        <v>6</v>
      </c>
      <c r="G94" s="612">
        <f t="shared" si="47"/>
        <v>6</v>
      </c>
      <c r="H94" s="612">
        <f t="shared" si="48"/>
        <v>6</v>
      </c>
      <c r="I94" s="612">
        <f t="shared" si="49"/>
        <v>5</v>
      </c>
      <c r="J94" s="612">
        <f>RANK(J67,$J$62:$J$67,0)</f>
        <v>4</v>
      </c>
      <c r="K94" s="612">
        <f t="shared" si="50"/>
        <v>2</v>
      </c>
      <c r="L94" s="731"/>
      <c r="AD94"/>
      <c r="AE94"/>
      <c r="AF94"/>
      <c r="AG94"/>
    </row>
    <row r="95" spans="2:33" ht="14.5">
      <c r="C95" s="61"/>
      <c r="AD95"/>
      <c r="AE95"/>
      <c r="AF95"/>
      <c r="AG95"/>
    </row>
    <row r="96" spans="2:33">
      <c r="B96" s="1200" t="s">
        <v>388</v>
      </c>
      <c r="C96" s="61"/>
      <c r="D96" s="108"/>
      <c r="K96" s="108"/>
    </row>
    <row r="97" spans="2:44" s="734" customFormat="1" ht="12" thickBot="1">
      <c r="B97" s="1200"/>
      <c r="C97" s="61"/>
      <c r="E97" s="1297" t="s">
        <v>137</v>
      </c>
      <c r="F97" s="1297"/>
      <c r="G97" s="1297"/>
      <c r="H97" s="1297"/>
      <c r="J97" s="1297" t="s">
        <v>138</v>
      </c>
      <c r="K97" s="1297"/>
      <c r="L97" s="1297"/>
      <c r="M97" s="1297"/>
      <c r="O97" s="1297" t="s">
        <v>139</v>
      </c>
      <c r="P97" s="1297"/>
      <c r="Q97" s="1297"/>
      <c r="R97" s="1297"/>
      <c r="T97" s="954" t="s">
        <v>140</v>
      </c>
      <c r="U97" s="954"/>
      <c r="V97" s="954"/>
      <c r="W97" s="954"/>
      <c r="X97" s="2"/>
      <c r="Y97" s="1" t="s">
        <v>141</v>
      </c>
      <c r="Z97" s="1"/>
      <c r="AA97" s="2"/>
      <c r="AB97" s="2"/>
      <c r="AC97" s="2"/>
      <c r="AD97" s="1" t="s">
        <v>126</v>
      </c>
      <c r="AE97" s="1"/>
      <c r="AF97" s="2"/>
      <c r="AG97" s="2"/>
      <c r="AH97" s="2"/>
      <c r="AI97" s="1" t="s">
        <v>142</v>
      </c>
      <c r="AJ97" s="1"/>
      <c r="AK97" s="2"/>
      <c r="AL97" s="2"/>
      <c r="AM97" s="2"/>
      <c r="AN97" s="1" t="s">
        <v>143</v>
      </c>
      <c r="AO97" s="1"/>
      <c r="AP97" s="2"/>
      <c r="AQ97" s="2"/>
      <c r="AR97" s="2"/>
    </row>
    <row r="98" spans="2:44" ht="116.5" thickBot="1">
      <c r="B98" s="1200"/>
      <c r="C98" s="61"/>
      <c r="D98" s="739"/>
      <c r="E98" s="735" t="s">
        <v>389</v>
      </c>
      <c r="F98" s="736" t="s">
        <v>390</v>
      </c>
      <c r="G98" s="736" t="s">
        <v>391</v>
      </c>
      <c r="H98" s="737" t="s">
        <v>392</v>
      </c>
      <c r="I98" s="76"/>
      <c r="J98" s="735" t="s">
        <v>389</v>
      </c>
      <c r="K98" s="736" t="s">
        <v>390</v>
      </c>
      <c r="L98" s="736" t="s">
        <v>391</v>
      </c>
      <c r="M98" s="737" t="s">
        <v>392</v>
      </c>
      <c r="O98" s="735" t="s">
        <v>389</v>
      </c>
      <c r="P98" s="736" t="s">
        <v>390</v>
      </c>
      <c r="Q98" s="736" t="s">
        <v>391</v>
      </c>
      <c r="R98" s="737" t="s">
        <v>392</v>
      </c>
      <c r="T98" s="735" t="s">
        <v>389</v>
      </c>
      <c r="U98" s="736" t="s">
        <v>390</v>
      </c>
      <c r="V98" s="736" t="s">
        <v>391</v>
      </c>
      <c r="W98" s="737" t="s">
        <v>392</v>
      </c>
      <c r="Y98" s="735" t="s">
        <v>389</v>
      </c>
      <c r="Z98" s="736" t="s">
        <v>390</v>
      </c>
      <c r="AA98" s="736" t="s">
        <v>391</v>
      </c>
      <c r="AB98" s="737" t="s">
        <v>392</v>
      </c>
      <c r="AD98" s="735" t="s">
        <v>389</v>
      </c>
      <c r="AE98" s="736" t="s">
        <v>390</v>
      </c>
      <c r="AF98" s="736" t="s">
        <v>391</v>
      </c>
      <c r="AG98" s="737" t="s">
        <v>392</v>
      </c>
      <c r="AI98" s="735" t="s">
        <v>389</v>
      </c>
      <c r="AJ98" s="736" t="s">
        <v>390</v>
      </c>
      <c r="AK98" s="736" t="s">
        <v>391</v>
      </c>
      <c r="AL98" s="737" t="s">
        <v>392</v>
      </c>
      <c r="AN98" s="735" t="s">
        <v>389</v>
      </c>
      <c r="AO98" s="736" t="s">
        <v>390</v>
      </c>
      <c r="AP98" s="736" t="s">
        <v>391</v>
      </c>
      <c r="AQ98" s="737" t="s">
        <v>392</v>
      </c>
    </row>
    <row r="99" spans="2:44" ht="12" thickBot="1">
      <c r="B99" s="1200"/>
      <c r="C99" s="61"/>
      <c r="D99" s="740" t="s">
        <v>161</v>
      </c>
      <c r="E99" s="726">
        <v>-0.70668679909527909</v>
      </c>
      <c r="F99" s="955">
        <v>0</v>
      </c>
      <c r="G99" s="726">
        <v>1.180163400429141</v>
      </c>
      <c r="H99" s="726">
        <v>0.49892080497149283</v>
      </c>
      <c r="I99" s="112"/>
      <c r="J99" s="743">
        <v>0.46242837295434769</v>
      </c>
      <c r="K99" s="89">
        <v>0</v>
      </c>
      <c r="L99" s="89">
        <v>0.96651312966179659</v>
      </c>
      <c r="M99" s="744">
        <f>SUM(J99:L99)</f>
        <v>1.4289415026161443</v>
      </c>
      <c r="O99" s="744">
        <v>1.1568338365916635</v>
      </c>
      <c r="P99" s="744">
        <v>0</v>
      </c>
      <c r="Q99" s="744">
        <v>0.71216756922448132</v>
      </c>
      <c r="R99" s="744">
        <f>SUM(O99:Q99)</f>
        <v>1.8690014058161448</v>
      </c>
      <c r="T99" s="743">
        <v>2.1108119860322714</v>
      </c>
      <c r="U99" s="89">
        <v>0</v>
      </c>
      <c r="V99" s="89">
        <v>0.21873718197609066</v>
      </c>
      <c r="W99" s="744">
        <f>SUM(T99:V99)</f>
        <v>2.329549168008362</v>
      </c>
      <c r="Y99" s="743">
        <v>3.1469193114107554</v>
      </c>
      <c r="Z99" s="89">
        <v>0</v>
      </c>
      <c r="AA99" s="89">
        <v>0.82407961581690026</v>
      </c>
      <c r="AB99" s="744">
        <f>SUM(Y99:AA99)</f>
        <v>3.9709989272276558</v>
      </c>
      <c r="AD99" s="743">
        <v>3.8373409901833235</v>
      </c>
      <c r="AE99" s="743">
        <v>0</v>
      </c>
      <c r="AF99" s="743">
        <v>1.063164442627976</v>
      </c>
      <c r="AG99" s="744">
        <f>SUM(AD99:AF99)</f>
        <v>4.9005054328112996</v>
      </c>
      <c r="AI99" s="743">
        <v>3.0550332192847218</v>
      </c>
      <c r="AJ99" s="743">
        <v>0</v>
      </c>
      <c r="AK99" s="743">
        <v>0.12717278021865741</v>
      </c>
      <c r="AL99" s="744">
        <f>SUM(AI99:AK99)</f>
        <v>3.1822059995033793</v>
      </c>
      <c r="AN99" s="748"/>
      <c r="AO99" s="151"/>
      <c r="AP99" s="151"/>
      <c r="AQ99" s="749"/>
    </row>
    <row r="100" spans="2:44" ht="12" thickBot="1">
      <c r="B100" s="1200"/>
      <c r="C100" s="61"/>
      <c r="D100" s="741" t="s">
        <v>162</v>
      </c>
      <c r="E100" s="726">
        <v>0.83407436538086155</v>
      </c>
      <c r="F100" s="955">
        <v>0</v>
      </c>
      <c r="G100" s="726">
        <v>0.69945029120261581</v>
      </c>
      <c r="H100" s="726">
        <v>1.6316058757175844</v>
      </c>
      <c r="I100" s="112"/>
      <c r="J100" s="743">
        <v>1.8540268214240367</v>
      </c>
      <c r="K100" s="89">
        <v>0</v>
      </c>
      <c r="L100" s="89">
        <v>0.69945029120261593</v>
      </c>
      <c r="M100" s="744">
        <f t="shared" ref="M100:M112" si="51">SUM(J100:L100)</f>
        <v>2.5534771126266529</v>
      </c>
      <c r="O100" s="744">
        <v>1.9388227665480842</v>
      </c>
      <c r="P100" s="744">
        <v>0</v>
      </c>
      <c r="Q100" s="744">
        <v>0.9792304076836621</v>
      </c>
      <c r="R100" s="744">
        <f t="shared" ref="R100:R112" si="52">SUM(O100:Q100)</f>
        <v>2.9180531742317464</v>
      </c>
      <c r="T100" s="743">
        <v>1.9974956757185507</v>
      </c>
      <c r="U100" s="89">
        <v>0</v>
      </c>
      <c r="V100" s="89">
        <v>0.84283760089915216</v>
      </c>
      <c r="W100" s="744">
        <f t="shared" ref="W100:W112" si="53">SUM(T100:V100)</f>
        <v>2.8403332766177027</v>
      </c>
      <c r="Y100" s="743">
        <v>2.5517184497210881</v>
      </c>
      <c r="Z100" s="89">
        <v>0</v>
      </c>
      <c r="AA100" s="89">
        <v>0.75890356595483832</v>
      </c>
      <c r="AB100" s="744">
        <f t="shared" ref="AB100:AB112" si="54">SUM(Y100:AA100)</f>
        <v>3.3106220156759263</v>
      </c>
      <c r="AD100" s="743">
        <v>2.9249739450291203</v>
      </c>
      <c r="AE100" s="743">
        <v>0</v>
      </c>
      <c r="AF100" s="743">
        <v>0.28327736793705949</v>
      </c>
      <c r="AG100" s="744">
        <f t="shared" ref="AG100:AG112" si="55">SUM(AD100:AF100)</f>
        <v>3.2082513129661798</v>
      </c>
      <c r="AI100" s="743">
        <v>0.87419077813426005</v>
      </c>
      <c r="AJ100" s="743">
        <v>0</v>
      </c>
      <c r="AK100" s="743">
        <v>0</v>
      </c>
      <c r="AL100" s="744">
        <f t="shared" ref="AL100:AL112" si="56">SUM(AI100:AK100)</f>
        <v>0.87419077813426005</v>
      </c>
      <c r="AN100" s="748"/>
      <c r="AO100" s="151"/>
      <c r="AP100" s="151"/>
      <c r="AQ100" s="749"/>
    </row>
    <row r="101" spans="2:44" ht="12" thickBot="1">
      <c r="B101" s="1200"/>
      <c r="C101" s="61"/>
      <c r="D101" s="741" t="s">
        <v>163</v>
      </c>
      <c r="E101" s="726">
        <v>0.8839347806347434</v>
      </c>
      <c r="F101" s="955">
        <v>0</v>
      </c>
      <c r="G101" s="726">
        <v>1.0173822417492593</v>
      </c>
      <c r="H101" s="726">
        <v>2.0226519120465927</v>
      </c>
      <c r="I101" s="112"/>
      <c r="J101" s="743">
        <v>2.0861483421457088</v>
      </c>
      <c r="K101" s="89">
        <v>0</v>
      </c>
      <c r="L101" s="89">
        <v>1.0173822417492595</v>
      </c>
      <c r="M101" s="744">
        <f t="shared" si="51"/>
        <v>3.1035305838949681</v>
      </c>
      <c r="O101" s="744">
        <v>1.8331654498263055</v>
      </c>
      <c r="P101" s="744">
        <v>0</v>
      </c>
      <c r="Q101" s="744">
        <v>1.4243351384489626</v>
      </c>
      <c r="R101" s="744">
        <f t="shared" si="52"/>
        <v>3.2575005882752679</v>
      </c>
      <c r="T101" s="743">
        <v>2.2205170326465815</v>
      </c>
      <c r="U101" s="89">
        <v>0</v>
      </c>
      <c r="V101" s="89">
        <v>1.2259456013078578</v>
      </c>
      <c r="W101" s="744">
        <f t="shared" si="53"/>
        <v>3.4464626339544395</v>
      </c>
      <c r="Y101" s="743">
        <v>3.1346410809355265</v>
      </c>
      <c r="Z101" s="89">
        <v>0</v>
      </c>
      <c r="AA101" s="89">
        <v>1.1038597322979466</v>
      </c>
      <c r="AB101" s="744">
        <f t="shared" si="54"/>
        <v>4.2385008132334736</v>
      </c>
      <c r="AD101" s="743">
        <v>3.657997850209465</v>
      </c>
      <c r="AE101" s="743">
        <v>0</v>
      </c>
      <c r="AF101" s="743">
        <v>0.41203980790845013</v>
      </c>
      <c r="AG101" s="744">
        <f t="shared" si="55"/>
        <v>4.070037658117915</v>
      </c>
      <c r="AI101" s="743">
        <v>1.1961760061191802</v>
      </c>
      <c r="AJ101" s="743">
        <v>0</v>
      </c>
      <c r="AK101" s="743">
        <v>0</v>
      </c>
      <c r="AL101" s="744">
        <f t="shared" si="56"/>
        <v>1.1961760061191802</v>
      </c>
      <c r="AN101" s="748"/>
      <c r="AO101" s="151"/>
      <c r="AP101" s="151"/>
      <c r="AQ101" s="749"/>
    </row>
    <row r="102" spans="2:44" ht="12" thickBot="1">
      <c r="B102" s="1200"/>
      <c r="C102" s="61"/>
      <c r="D102" s="741" t="s">
        <v>164</v>
      </c>
      <c r="E102" s="726">
        <v>4.3213334838974857</v>
      </c>
      <c r="F102" s="955">
        <v>0</v>
      </c>
      <c r="G102" s="726">
        <v>2.4162828241544911</v>
      </c>
      <c r="H102" s="726">
        <v>7.1467034225646255</v>
      </c>
      <c r="I102" s="112"/>
      <c r="J102" s="743">
        <v>4.2399404924900406</v>
      </c>
      <c r="K102" s="89">
        <v>0</v>
      </c>
      <c r="L102" s="89">
        <v>2.301827321957699</v>
      </c>
      <c r="M102" s="744">
        <f t="shared" si="51"/>
        <v>6.5417678144477396</v>
      </c>
      <c r="O102" s="744">
        <v>4.4342986524982138</v>
      </c>
      <c r="P102" s="744">
        <v>0</v>
      </c>
      <c r="Q102" s="744">
        <v>2.4162828241544907</v>
      </c>
      <c r="R102" s="744">
        <f t="shared" si="52"/>
        <v>6.8505814766527049</v>
      </c>
      <c r="T102" s="743">
        <v>5.005202697455811</v>
      </c>
      <c r="U102" s="89">
        <v>0</v>
      </c>
      <c r="V102" s="89">
        <v>2.212806375804639</v>
      </c>
      <c r="W102" s="744">
        <f t="shared" si="53"/>
        <v>7.2180090732604505</v>
      </c>
      <c r="Y102" s="743">
        <v>5.0869112087462964</v>
      </c>
      <c r="Z102" s="89">
        <v>0</v>
      </c>
      <c r="AA102" s="89">
        <v>0</v>
      </c>
      <c r="AB102" s="744">
        <f t="shared" si="54"/>
        <v>5.0869112087462964</v>
      </c>
      <c r="AD102" s="743">
        <v>5.0869112087462964</v>
      </c>
      <c r="AE102" s="743">
        <v>0</v>
      </c>
      <c r="AF102" s="743">
        <v>0</v>
      </c>
      <c r="AG102" s="744">
        <f t="shared" si="55"/>
        <v>5.0869112087462964</v>
      </c>
      <c r="AI102" s="743">
        <v>4.4555074234479797</v>
      </c>
      <c r="AJ102" s="743">
        <v>0</v>
      </c>
      <c r="AK102" s="743">
        <v>0.68673301318074997</v>
      </c>
      <c r="AL102" s="744">
        <f t="shared" si="56"/>
        <v>5.1422404366287298</v>
      </c>
      <c r="AN102" s="748"/>
      <c r="AO102" s="151"/>
      <c r="AP102" s="151"/>
      <c r="AQ102" s="749"/>
    </row>
    <row r="103" spans="2:44" ht="12" thickBot="1">
      <c r="B103" s="1200"/>
      <c r="C103" s="61"/>
      <c r="D103" s="741" t="s">
        <v>165</v>
      </c>
      <c r="E103" s="726">
        <v>4.6518531276182689</v>
      </c>
      <c r="F103" s="955">
        <v>0</v>
      </c>
      <c r="G103" s="726">
        <v>2.4162828241544911</v>
      </c>
      <c r="H103" s="726">
        <v>7.4972964206527015</v>
      </c>
      <c r="I103" s="112"/>
      <c r="J103" s="743">
        <v>4.6161175763768272</v>
      </c>
      <c r="K103" s="89">
        <v>0</v>
      </c>
      <c r="L103" s="89">
        <v>2.301827321957699</v>
      </c>
      <c r="M103" s="744">
        <f t="shared" si="51"/>
        <v>6.9179448983345262</v>
      </c>
      <c r="O103" s="744">
        <v>4.5829663330156096</v>
      </c>
      <c r="P103" s="744">
        <v>0</v>
      </c>
      <c r="Q103" s="744">
        <v>1.0873272708695207</v>
      </c>
      <c r="R103" s="744">
        <f t="shared" si="52"/>
        <v>5.6702936038851304</v>
      </c>
      <c r="T103" s="743">
        <v>4.9448846477981023</v>
      </c>
      <c r="U103" s="89">
        <v>0</v>
      </c>
      <c r="V103" s="89">
        <v>2.212806375804639</v>
      </c>
      <c r="W103" s="744">
        <f t="shared" si="53"/>
        <v>7.1576910236027409</v>
      </c>
      <c r="Y103" s="743">
        <v>5.0869112087462964</v>
      </c>
      <c r="Z103" s="89">
        <v>0</v>
      </c>
      <c r="AA103" s="89">
        <v>0</v>
      </c>
      <c r="AB103" s="744">
        <f t="shared" si="54"/>
        <v>5.0869112087462964</v>
      </c>
      <c r="AD103" s="743">
        <v>5.0869112087462964</v>
      </c>
      <c r="AE103" s="743">
        <v>0</v>
      </c>
      <c r="AF103" s="743">
        <v>0</v>
      </c>
      <c r="AG103" s="744">
        <f t="shared" si="55"/>
        <v>5.0869112087462964</v>
      </c>
      <c r="AI103" s="743">
        <v>4.6802722094098153</v>
      </c>
      <c r="AJ103" s="743">
        <v>0</v>
      </c>
      <c r="AK103" s="743">
        <v>0.68673301318074997</v>
      </c>
      <c r="AL103" s="744">
        <f t="shared" si="56"/>
        <v>5.3670052225905653</v>
      </c>
      <c r="AN103" s="748"/>
      <c r="AO103" s="151"/>
      <c r="AP103" s="151"/>
      <c r="AQ103" s="749"/>
    </row>
    <row r="104" spans="2:44" ht="12" thickBot="1">
      <c r="B104" s="1200"/>
      <c r="D104" s="741" t="s">
        <v>166</v>
      </c>
      <c r="E104" s="726">
        <v>2.2089911923980803</v>
      </c>
      <c r="F104" s="955">
        <v>0</v>
      </c>
      <c r="G104" s="726">
        <v>1.087327270869521</v>
      </c>
      <c r="H104" s="726">
        <v>3.4924456348004491</v>
      </c>
      <c r="I104" s="112"/>
      <c r="J104" s="743">
        <v>2.0897031245529796</v>
      </c>
      <c r="K104" s="89">
        <v>0</v>
      </c>
      <c r="L104" s="89">
        <v>1.0358222948809646</v>
      </c>
      <c r="M104" s="744">
        <f t="shared" si="51"/>
        <v>3.1255254194339441</v>
      </c>
      <c r="O104" s="744">
        <v>2.4162828241544907</v>
      </c>
      <c r="P104" s="744">
        <v>0</v>
      </c>
      <c r="Q104" s="744">
        <v>1.0873272708695207</v>
      </c>
      <c r="R104" s="744">
        <f t="shared" si="52"/>
        <v>3.5036100950240114</v>
      </c>
      <c r="T104" s="743">
        <v>2.4162828241544907</v>
      </c>
      <c r="U104" s="89">
        <v>0</v>
      </c>
      <c r="V104" s="89">
        <v>0.99576286911208767</v>
      </c>
      <c r="W104" s="744">
        <f t="shared" si="53"/>
        <v>3.4120456932665784</v>
      </c>
      <c r="Y104" s="743">
        <v>2.4162828241544907</v>
      </c>
      <c r="Z104" s="89">
        <v>0</v>
      </c>
      <c r="AA104" s="89">
        <v>0</v>
      </c>
      <c r="AB104" s="744">
        <f t="shared" si="54"/>
        <v>2.4162828241544907</v>
      </c>
      <c r="AD104" s="743">
        <v>2.4162828241544907</v>
      </c>
      <c r="AE104" s="743">
        <v>0</v>
      </c>
      <c r="AF104" s="743">
        <v>0</v>
      </c>
      <c r="AG104" s="744">
        <f t="shared" si="55"/>
        <v>2.4162828241544907</v>
      </c>
      <c r="AI104" s="743">
        <v>2.2938088423978837</v>
      </c>
      <c r="AJ104" s="743">
        <v>0</v>
      </c>
      <c r="AK104" s="743">
        <v>0.30902985593133747</v>
      </c>
      <c r="AL104" s="744">
        <f t="shared" si="56"/>
        <v>2.6028386983292213</v>
      </c>
      <c r="AN104" s="748"/>
      <c r="AO104" s="151"/>
      <c r="AP104" s="151"/>
      <c r="AQ104" s="749"/>
    </row>
    <row r="105" spans="2:44" ht="12" thickBot="1">
      <c r="B105" s="1200"/>
      <c r="D105" s="741" t="s">
        <v>167</v>
      </c>
      <c r="E105" s="726">
        <v>3.0887222919549564</v>
      </c>
      <c r="F105" s="955">
        <v>0</v>
      </c>
      <c r="G105" s="726">
        <v>1.6913979769081438</v>
      </c>
      <c r="H105" s="726">
        <v>5.070114126196791</v>
      </c>
      <c r="I105" s="112"/>
      <c r="J105" s="743">
        <v>3.2301886175538987</v>
      </c>
      <c r="K105" s="89">
        <v>0</v>
      </c>
      <c r="L105" s="89">
        <v>1.6112791253703891</v>
      </c>
      <c r="M105" s="744">
        <f t="shared" si="51"/>
        <v>4.8414677429242881</v>
      </c>
      <c r="O105" s="744">
        <v>3.1942439913213954</v>
      </c>
      <c r="P105" s="744">
        <v>0</v>
      </c>
      <c r="Q105" s="744">
        <v>1.6913979769081433</v>
      </c>
      <c r="R105" s="744">
        <f t="shared" si="52"/>
        <v>4.8856419682295389</v>
      </c>
      <c r="T105" s="743">
        <v>3.4130630755083313</v>
      </c>
      <c r="U105" s="89">
        <v>0</v>
      </c>
      <c r="V105" s="89">
        <v>1.5489644630632473</v>
      </c>
      <c r="W105" s="744">
        <f t="shared" si="53"/>
        <v>4.9620275385715784</v>
      </c>
      <c r="Y105" s="743">
        <v>3.5608378461224079</v>
      </c>
      <c r="Z105" s="89">
        <v>0</v>
      </c>
      <c r="AA105" s="89">
        <v>0</v>
      </c>
      <c r="AB105" s="744">
        <f t="shared" si="54"/>
        <v>3.5608378461224079</v>
      </c>
      <c r="AD105" s="743">
        <v>3.5608378461224079</v>
      </c>
      <c r="AE105" s="743">
        <v>0</v>
      </c>
      <c r="AF105" s="743">
        <v>0</v>
      </c>
      <c r="AG105" s="744">
        <f t="shared" si="55"/>
        <v>3.5608378461224079</v>
      </c>
      <c r="AI105" s="743">
        <v>2.7688779191283475</v>
      </c>
      <c r="AJ105" s="743">
        <v>0</v>
      </c>
      <c r="AK105" s="743">
        <v>0.48071310922652494</v>
      </c>
      <c r="AL105" s="744">
        <f t="shared" si="56"/>
        <v>3.2495910283548723</v>
      </c>
      <c r="AN105" s="748"/>
      <c r="AO105" s="151"/>
      <c r="AP105" s="151"/>
      <c r="AQ105" s="749"/>
    </row>
    <row r="106" spans="2:44" ht="12" thickBot="1">
      <c r="B106" s="1200"/>
      <c r="D106" s="741" t="s">
        <v>168</v>
      </c>
      <c r="E106" s="726">
        <v>1.0792741993905672</v>
      </c>
      <c r="F106" s="955">
        <v>0</v>
      </c>
      <c r="G106" s="726">
        <v>1.3448521508123024</v>
      </c>
      <c r="H106" s="726">
        <v>2.5755101013393276</v>
      </c>
      <c r="I106" s="112"/>
      <c r="J106" s="743">
        <v>1.9086479862881318</v>
      </c>
      <c r="K106" s="89">
        <v>0</v>
      </c>
      <c r="L106" s="89">
        <v>1.3448521508123024</v>
      </c>
      <c r="M106" s="744">
        <f t="shared" si="51"/>
        <v>3.253500137100434</v>
      </c>
      <c r="O106" s="744">
        <v>2.9737776998847454</v>
      </c>
      <c r="P106" s="744">
        <v>0</v>
      </c>
      <c r="Q106" s="744">
        <v>1.2399346071319095</v>
      </c>
      <c r="R106" s="744">
        <f t="shared" si="52"/>
        <v>4.2137123070166549</v>
      </c>
      <c r="T106" s="743">
        <v>2.940851404537657</v>
      </c>
      <c r="U106" s="89">
        <v>0</v>
      </c>
      <c r="V106" s="89">
        <v>1.5069974455910906</v>
      </c>
      <c r="W106" s="744">
        <f t="shared" si="53"/>
        <v>4.4478488501287474</v>
      </c>
      <c r="Y106" s="743">
        <v>3.8151834065597221</v>
      </c>
      <c r="Z106" s="89">
        <v>0</v>
      </c>
      <c r="AA106" s="89">
        <v>1.6405288648206811</v>
      </c>
      <c r="AB106" s="744">
        <f t="shared" si="54"/>
        <v>5.4557122713804027</v>
      </c>
      <c r="AD106" s="743">
        <v>3.8151834065597221</v>
      </c>
      <c r="AE106" s="743">
        <v>0</v>
      </c>
      <c r="AF106" s="743">
        <v>1.5451492796566879</v>
      </c>
      <c r="AG106" s="744">
        <f t="shared" si="55"/>
        <v>5.3603326862164096</v>
      </c>
      <c r="AI106" s="743">
        <v>3.8151834065597221</v>
      </c>
      <c r="AJ106" s="743">
        <v>0</v>
      </c>
      <c r="AK106" s="743">
        <v>1.731139470726474</v>
      </c>
      <c r="AL106" s="744">
        <f t="shared" si="56"/>
        <v>5.5463228772861957</v>
      </c>
      <c r="AN106" s="748"/>
      <c r="AO106" s="151"/>
      <c r="AP106" s="151"/>
      <c r="AQ106" s="749"/>
    </row>
    <row r="107" spans="2:44" ht="12" thickBot="1">
      <c r="B107" s="1200"/>
      <c r="D107" s="741" t="s">
        <v>169</v>
      </c>
      <c r="E107" s="726">
        <v>1.82599864675749</v>
      </c>
      <c r="F107" s="955">
        <v>0</v>
      </c>
      <c r="G107" s="726">
        <v>1.4345089608664556</v>
      </c>
      <c r="H107" s="726">
        <v>3.451992596559518</v>
      </c>
      <c r="I107" s="112"/>
      <c r="J107" s="743">
        <v>2.2998349109634262</v>
      </c>
      <c r="K107" s="89">
        <v>0</v>
      </c>
      <c r="L107" s="89">
        <v>1.4345089608664559</v>
      </c>
      <c r="M107" s="744">
        <f t="shared" si="51"/>
        <v>3.734343871829882</v>
      </c>
      <c r="O107" s="744">
        <v>2.5864380160831191</v>
      </c>
      <c r="P107" s="744">
        <v>0</v>
      </c>
      <c r="Q107" s="744">
        <v>1.3225969142740368</v>
      </c>
      <c r="R107" s="744">
        <f t="shared" si="52"/>
        <v>3.9090349303571559</v>
      </c>
      <c r="T107" s="743">
        <v>2.6701476714825825</v>
      </c>
      <c r="U107" s="89">
        <v>0</v>
      </c>
      <c r="V107" s="89">
        <v>1.6074639419638299</v>
      </c>
      <c r="W107" s="744">
        <f t="shared" si="53"/>
        <v>4.2776116134464122</v>
      </c>
      <c r="Y107" s="743">
        <v>3.7353337244034162</v>
      </c>
      <c r="Z107" s="89">
        <v>0</v>
      </c>
      <c r="AA107" s="89">
        <v>1.7498974558087264</v>
      </c>
      <c r="AB107" s="744">
        <f t="shared" si="54"/>
        <v>5.4852311802121427</v>
      </c>
      <c r="AD107" s="743">
        <v>3.9423561867783801</v>
      </c>
      <c r="AE107" s="743">
        <v>0</v>
      </c>
      <c r="AF107" s="743">
        <v>1.6481592316338005</v>
      </c>
      <c r="AG107" s="744">
        <f t="shared" si="55"/>
        <v>5.5905154184121804</v>
      </c>
      <c r="AI107" s="743">
        <v>3.9423561867783801</v>
      </c>
      <c r="AJ107" s="743">
        <v>0</v>
      </c>
      <c r="AK107" s="743">
        <v>1.8465487687749056</v>
      </c>
      <c r="AL107" s="744">
        <f t="shared" si="56"/>
        <v>5.7889049555532859</v>
      </c>
      <c r="AN107" s="748"/>
      <c r="AO107" s="151"/>
      <c r="AP107" s="151"/>
      <c r="AQ107" s="749"/>
    </row>
    <row r="108" spans="2:44" ht="12" thickBot="1">
      <c r="B108" s="1200"/>
      <c r="D108" s="741" t="s">
        <v>170</v>
      </c>
      <c r="E108" s="726">
        <v>2.4898955989537992</v>
      </c>
      <c r="F108" s="955">
        <v>0</v>
      </c>
      <c r="G108" s="726">
        <v>2.0621066312455296</v>
      </c>
      <c r="H108" s="726">
        <v>4.8273958967512005</v>
      </c>
      <c r="I108" s="112"/>
      <c r="J108" s="743">
        <v>2.5935470270610477</v>
      </c>
      <c r="K108" s="89">
        <v>0</v>
      </c>
      <c r="L108" s="89">
        <v>2.0621066312455301</v>
      </c>
      <c r="M108" s="744">
        <f t="shared" si="51"/>
        <v>4.6556536583065782</v>
      </c>
      <c r="O108" s="744">
        <v>3.8002047195230197</v>
      </c>
      <c r="P108" s="744">
        <v>0</v>
      </c>
      <c r="Q108" s="744">
        <v>1.9012330642689277</v>
      </c>
      <c r="R108" s="744">
        <f t="shared" si="52"/>
        <v>5.7014377837919472</v>
      </c>
      <c r="T108" s="743">
        <v>4.2215920037600911</v>
      </c>
      <c r="U108" s="89">
        <v>0</v>
      </c>
      <c r="V108" s="89">
        <v>2.3107294165730052</v>
      </c>
      <c r="W108" s="744">
        <f t="shared" si="53"/>
        <v>6.5323214203330959</v>
      </c>
      <c r="Y108" s="743">
        <v>5.8499478900582407</v>
      </c>
      <c r="Z108" s="89">
        <v>0</v>
      </c>
      <c r="AA108" s="89">
        <v>2.5154775927250443</v>
      </c>
      <c r="AB108" s="744">
        <f t="shared" si="54"/>
        <v>8.3654254827832855</v>
      </c>
      <c r="AD108" s="743">
        <v>5.8499478900582407</v>
      </c>
      <c r="AE108" s="743">
        <v>0</v>
      </c>
      <c r="AF108" s="743">
        <v>2.3692288954735878</v>
      </c>
      <c r="AG108" s="744">
        <f t="shared" si="55"/>
        <v>8.219176785531829</v>
      </c>
      <c r="AI108" s="743">
        <v>5.8499478900582407</v>
      </c>
      <c r="AJ108" s="743">
        <v>0</v>
      </c>
      <c r="AK108" s="743">
        <v>2.6544138551139262</v>
      </c>
      <c r="AL108" s="744">
        <f>SUM(AI108:AK108)</f>
        <v>8.5043617451721669</v>
      </c>
      <c r="AN108" s="748"/>
      <c r="AO108" s="151"/>
      <c r="AP108" s="151"/>
      <c r="AQ108" s="749"/>
    </row>
    <row r="109" spans="2:44" ht="12" thickBot="1">
      <c r="B109" s="1200"/>
      <c r="D109" s="741" t="s">
        <v>171</v>
      </c>
      <c r="E109" s="726">
        <v>2.1363515909080242</v>
      </c>
      <c r="F109" s="955">
        <v>0</v>
      </c>
      <c r="G109" s="726">
        <v>1.1292942883416779</v>
      </c>
      <c r="H109" s="726">
        <v>3.4654769426398282</v>
      </c>
      <c r="I109" s="112"/>
      <c r="J109" s="743">
        <v>2.2870929235102677</v>
      </c>
      <c r="K109" s="89">
        <v>0</v>
      </c>
      <c r="L109" s="89">
        <v>0.92581783999182643</v>
      </c>
      <c r="M109" s="744">
        <f t="shared" si="51"/>
        <v>3.2129107635020944</v>
      </c>
      <c r="O109" s="744">
        <v>2.6485808366150909</v>
      </c>
      <c r="P109" s="744">
        <v>0</v>
      </c>
      <c r="Q109" s="744">
        <v>0.95633930724430349</v>
      </c>
      <c r="R109" s="744">
        <f t="shared" si="52"/>
        <v>3.6049201438593945</v>
      </c>
      <c r="T109" s="743">
        <v>3.5830742203155528</v>
      </c>
      <c r="U109" s="89">
        <v>0</v>
      </c>
      <c r="V109" s="89">
        <v>1.1038597322979469</v>
      </c>
      <c r="W109" s="744">
        <f t="shared" si="53"/>
        <v>4.6869339526134999</v>
      </c>
      <c r="Y109" s="743">
        <v>3.9423561867783801</v>
      </c>
      <c r="Z109" s="89">
        <v>0</v>
      </c>
      <c r="AA109" s="89">
        <v>1.1598157555941557</v>
      </c>
      <c r="AB109" s="744">
        <f t="shared" si="54"/>
        <v>5.1021719423725358</v>
      </c>
      <c r="AD109" s="743">
        <v>3.9423561867783801</v>
      </c>
      <c r="AE109" s="743">
        <v>0</v>
      </c>
      <c r="AF109" s="743">
        <v>1.2513801573515893</v>
      </c>
      <c r="AG109" s="744">
        <f t="shared" si="55"/>
        <v>5.1937363441299693</v>
      </c>
      <c r="AI109" s="743">
        <v>3.7869593874083405</v>
      </c>
      <c r="AJ109" s="743">
        <v>0</v>
      </c>
      <c r="AK109" s="743">
        <v>0.52395185450086845</v>
      </c>
      <c r="AL109" s="744">
        <f t="shared" si="56"/>
        <v>4.310911241909209</v>
      </c>
      <c r="AN109" s="748"/>
      <c r="AO109" s="151"/>
      <c r="AP109" s="151"/>
      <c r="AQ109" s="749"/>
    </row>
    <row r="110" spans="2:44" ht="12" thickBot="1">
      <c r="B110" s="1200"/>
      <c r="D110" s="741" t="s">
        <v>172</v>
      </c>
      <c r="E110" s="726">
        <v>2.7425860640962636</v>
      </c>
      <c r="F110" s="955">
        <v>0</v>
      </c>
      <c r="G110" s="726">
        <v>1.1998751813630326</v>
      </c>
      <c r="H110" s="726">
        <v>4.1801472848962913</v>
      </c>
      <c r="I110" s="112"/>
      <c r="J110" s="743">
        <v>3.1779254016493752</v>
      </c>
      <c r="K110" s="89">
        <v>0</v>
      </c>
      <c r="L110" s="89">
        <v>0.98368145499131532</v>
      </c>
      <c r="M110" s="744">
        <f t="shared" si="51"/>
        <v>4.1616068566406907</v>
      </c>
      <c r="O110" s="744">
        <v>2.6717131793643412</v>
      </c>
      <c r="P110" s="744">
        <v>0</v>
      </c>
      <c r="Q110" s="744">
        <v>1.0161105139470725</v>
      </c>
      <c r="R110" s="744">
        <f t="shared" si="52"/>
        <v>3.6878236933114135</v>
      </c>
      <c r="T110" s="743">
        <v>4.2189887769490175</v>
      </c>
      <c r="U110" s="89">
        <v>0</v>
      </c>
      <c r="V110" s="89">
        <v>1.1728509655665682</v>
      </c>
      <c r="W110" s="744">
        <f t="shared" si="53"/>
        <v>5.391839742515586</v>
      </c>
      <c r="Y110" s="743">
        <v>4.3238745274343522</v>
      </c>
      <c r="Z110" s="89">
        <v>0</v>
      </c>
      <c r="AA110" s="89">
        <v>1.2323042403187903</v>
      </c>
      <c r="AB110" s="744">
        <f t="shared" si="54"/>
        <v>5.556178767753142</v>
      </c>
      <c r="AD110" s="743">
        <v>4.3238745274343522</v>
      </c>
      <c r="AE110" s="743">
        <v>0</v>
      </c>
      <c r="AF110" s="743">
        <v>1.3295914171860634</v>
      </c>
      <c r="AG110" s="744">
        <f t="shared" si="55"/>
        <v>5.6534659446204154</v>
      </c>
      <c r="AI110" s="743">
        <v>3.7867793908542144</v>
      </c>
      <c r="AJ110" s="743">
        <v>0</v>
      </c>
      <c r="AK110" s="743">
        <v>0.55669884540717274</v>
      </c>
      <c r="AL110" s="744">
        <f t="shared" si="56"/>
        <v>4.3434782362613875</v>
      </c>
      <c r="AN110" s="748"/>
      <c r="AO110" s="151"/>
      <c r="AP110" s="151"/>
      <c r="AQ110" s="749"/>
    </row>
    <row r="111" spans="2:44" ht="12" thickBot="1">
      <c r="B111" s="1200"/>
      <c r="D111" s="741" t="s">
        <v>28</v>
      </c>
      <c r="E111" s="726">
        <v>1.7565104403800995</v>
      </c>
      <c r="F111" s="955">
        <v>0</v>
      </c>
      <c r="G111" s="726">
        <v>0.43874609175436807</v>
      </c>
      <c r="H111" s="726">
        <v>2.3327918718937366</v>
      </c>
      <c r="I111" s="112"/>
      <c r="J111" s="743">
        <v>1.8592660467967717</v>
      </c>
      <c r="K111" s="89">
        <v>0</v>
      </c>
      <c r="L111" s="89">
        <v>0.31157331153571066</v>
      </c>
      <c r="M111" s="744">
        <f t="shared" si="51"/>
        <v>2.1708393583324823</v>
      </c>
      <c r="O111" s="744">
        <v>1.9660911821804445</v>
      </c>
      <c r="P111" s="744">
        <v>0</v>
      </c>
      <c r="Q111" s="744">
        <v>0.38151834065597218</v>
      </c>
      <c r="R111" s="744">
        <f t="shared" si="52"/>
        <v>2.3476095228364167</v>
      </c>
      <c r="T111" s="743">
        <v>2.5434556043731482</v>
      </c>
      <c r="U111" s="89">
        <v>0</v>
      </c>
      <c r="V111" s="89">
        <v>0</v>
      </c>
      <c r="W111" s="744">
        <f t="shared" si="53"/>
        <v>2.5434556043731482</v>
      </c>
      <c r="Y111" s="743">
        <v>2.5434556043731482</v>
      </c>
      <c r="Z111" s="89">
        <v>0</v>
      </c>
      <c r="AA111" s="89">
        <v>0.3910562991723715</v>
      </c>
      <c r="AB111" s="744">
        <f t="shared" si="54"/>
        <v>2.9345119035455198</v>
      </c>
      <c r="AD111" s="743">
        <v>2.5434556043731482</v>
      </c>
      <c r="AE111" s="743">
        <v>0</v>
      </c>
      <c r="AF111" s="743">
        <v>0.55956023296209279</v>
      </c>
      <c r="AG111" s="744">
        <f t="shared" si="55"/>
        <v>3.1030158373352412</v>
      </c>
      <c r="AI111" s="743">
        <v>2.1677160512149798</v>
      </c>
      <c r="AJ111" s="743">
        <v>0</v>
      </c>
      <c r="AK111" s="743">
        <v>0.47689792581996526</v>
      </c>
      <c r="AL111" s="744">
        <f t="shared" si="56"/>
        <v>2.6446139770349451</v>
      </c>
      <c r="AN111" s="748"/>
      <c r="AO111" s="151"/>
      <c r="AP111" s="151"/>
      <c r="AQ111" s="749"/>
    </row>
    <row r="112" spans="2:44" ht="12" thickBot="1">
      <c r="B112" s="1200"/>
      <c r="D112" s="741" t="s">
        <v>173</v>
      </c>
      <c r="E112" s="726">
        <v>0.26138954021741517</v>
      </c>
      <c r="F112" s="955">
        <v>0</v>
      </c>
      <c r="G112" s="726">
        <v>0.92136679268417276</v>
      </c>
      <c r="H112" s="726">
        <v>1.2540441854688873</v>
      </c>
      <c r="I112" s="112"/>
      <c r="J112" s="743">
        <v>1.4113783237091313</v>
      </c>
      <c r="K112" s="89">
        <v>0</v>
      </c>
      <c r="L112" s="89">
        <v>0.65430395422499232</v>
      </c>
      <c r="M112" s="744">
        <f t="shared" si="51"/>
        <v>2.0656822779341235</v>
      </c>
      <c r="O112" s="744">
        <v>1.1646205705646835</v>
      </c>
      <c r="P112" s="744">
        <v>0</v>
      </c>
      <c r="Q112" s="744">
        <v>0.80118851537754165</v>
      </c>
      <c r="R112" s="744">
        <f t="shared" si="52"/>
        <v>1.965809085942225</v>
      </c>
      <c r="T112" s="743">
        <v>2.5681697681442004</v>
      </c>
      <c r="U112" s="89">
        <v>0</v>
      </c>
      <c r="V112" s="89">
        <v>0</v>
      </c>
      <c r="W112" s="744">
        <f t="shared" si="53"/>
        <v>2.5681697681442004</v>
      </c>
      <c r="Y112" s="743">
        <v>3.4784264535592522</v>
      </c>
      <c r="Z112" s="89">
        <v>0</v>
      </c>
      <c r="AA112" s="89">
        <v>0.82121822826198032</v>
      </c>
      <c r="AB112" s="744">
        <f t="shared" si="54"/>
        <v>4.2996446818212322</v>
      </c>
      <c r="AD112" s="743">
        <v>2.5899971293937032</v>
      </c>
      <c r="AE112" s="743">
        <v>0</v>
      </c>
      <c r="AF112" s="743">
        <v>1.1750764892203949</v>
      </c>
      <c r="AG112" s="744">
        <f t="shared" si="55"/>
        <v>3.7650736186140978</v>
      </c>
      <c r="AI112" s="743">
        <v>0.14292237479379208</v>
      </c>
      <c r="AJ112" s="743">
        <v>0</v>
      </c>
      <c r="AK112" s="743">
        <v>1.0014856442219273</v>
      </c>
      <c r="AL112" s="744">
        <f t="shared" si="56"/>
        <v>1.1444080190157193</v>
      </c>
      <c r="AN112" s="748"/>
      <c r="AO112" s="151"/>
      <c r="AP112" s="151"/>
      <c r="AQ112" s="749"/>
    </row>
    <row r="113" spans="2:44" s="67" customFormat="1" ht="11.25" customHeight="1" thickBot="1">
      <c r="B113" s="1200"/>
      <c r="D113" s="742" t="s">
        <v>174</v>
      </c>
      <c r="E113" s="451">
        <f>SUM(E99:E112)</f>
        <v>27.574228523492774</v>
      </c>
      <c r="F113" s="956">
        <f>SUM(F99:F112)</f>
        <v>0</v>
      </c>
      <c r="G113" s="451">
        <f>SUM(G99:G112)</f>
        <v>19.039036926535204</v>
      </c>
      <c r="H113" s="738">
        <f>SUM(H99:H112)</f>
        <v>49.447097076499027</v>
      </c>
      <c r="I113" s="112"/>
      <c r="J113" s="745">
        <f>SUM(J99:J112)</f>
        <v>34.11624596747599</v>
      </c>
      <c r="K113" s="746">
        <f>SUM(K99:K112)</f>
        <v>0</v>
      </c>
      <c r="L113" s="746">
        <f>SUM(L99:L112)</f>
        <v>17.650946030448559</v>
      </c>
      <c r="M113" s="747">
        <f>SUM(M99:M112)</f>
        <v>51.767191997924542</v>
      </c>
      <c r="O113" s="842">
        <f>SUM(O99:O112)</f>
        <v>37.368040058171204</v>
      </c>
      <c r="P113" s="842">
        <f>SUM(P99:P112)</f>
        <v>0</v>
      </c>
      <c r="Q113" s="842">
        <f>SUM(Q99:Q112)</f>
        <v>17.016989721058547</v>
      </c>
      <c r="R113" s="842">
        <f>SUM(R99:R112)</f>
        <v>54.385029779229754</v>
      </c>
      <c r="S113" s="2"/>
      <c r="T113" s="745">
        <f>SUM(T99:T112)</f>
        <v>44.854537388876388</v>
      </c>
      <c r="U113" s="745">
        <f>SUM(U99:U112)</f>
        <v>0</v>
      </c>
      <c r="V113" s="745">
        <f>SUM(V99:V112)</f>
        <v>16.959761969960159</v>
      </c>
      <c r="W113" s="745">
        <f>SUM(W99:W112)</f>
        <v>61.81429935883655</v>
      </c>
      <c r="X113" s="2"/>
      <c r="Y113" s="745">
        <f>SUM(Y99:Y112)</f>
        <v>52.672799723003379</v>
      </c>
      <c r="Z113" s="745">
        <f>SUM(Z99:Z112)</f>
        <v>0</v>
      </c>
      <c r="AA113" s="745">
        <f>SUM(AA99:AA112)</f>
        <v>12.197141350771435</v>
      </c>
      <c r="AB113" s="745">
        <f>SUM(AB99:AB112)</f>
        <v>64.869941073774811</v>
      </c>
      <c r="AC113" s="2"/>
      <c r="AD113" s="1002">
        <f>SUM(AD99:AD112)</f>
        <v>53.578426804567336</v>
      </c>
      <c r="AE113" s="1002">
        <f>SUM(AE99:AE112)</f>
        <v>0</v>
      </c>
      <c r="AF113" s="1002">
        <v>11.636627321957702</v>
      </c>
      <c r="AG113" s="745">
        <f>SUM(AG99:AG112)</f>
        <v>65.215054126525033</v>
      </c>
      <c r="AH113" s="2"/>
      <c r="AI113" s="1002">
        <f>SUM(AI99:AI112)</f>
        <v>42.815731085589853</v>
      </c>
      <c r="AJ113" s="1002">
        <f>SUM(AJ99:AJ112)</f>
        <v>0</v>
      </c>
      <c r="AK113" s="1002">
        <v>11.081518136303259</v>
      </c>
      <c r="AL113" s="745">
        <f>SUM(AL99:AL112)</f>
        <v>53.897249221893119</v>
      </c>
      <c r="AM113" s="2"/>
      <c r="AN113" s="750"/>
      <c r="AO113" s="751"/>
      <c r="AP113" s="751"/>
      <c r="AQ113" s="752"/>
      <c r="AR113" s="2"/>
    </row>
    <row r="114" spans="2:44" ht="11.25" customHeight="1">
      <c r="B114" s="1200"/>
      <c r="I114" s="112"/>
    </row>
    <row r="115" spans="2:44">
      <c r="I115" s="112"/>
    </row>
  </sheetData>
  <mergeCells count="60">
    <mergeCell ref="BB41:BH41"/>
    <mergeCell ref="AX21:AX22"/>
    <mergeCell ref="E97:H97"/>
    <mergeCell ref="J97:M97"/>
    <mergeCell ref="O97:R97"/>
    <mergeCell ref="AL21:AL22"/>
    <mergeCell ref="AN21:AN22"/>
    <mergeCell ref="E87:L87"/>
    <mergeCell ref="L41:R41"/>
    <mergeCell ref="E41:K41"/>
    <mergeCell ref="E78:L78"/>
    <mergeCell ref="E69:L69"/>
    <mergeCell ref="E60:L60"/>
    <mergeCell ref="S41:Y41"/>
    <mergeCell ref="Z41:AF41"/>
    <mergeCell ref="AG41:AM41"/>
    <mergeCell ref="AN41:AT41"/>
    <mergeCell ref="AU41:BA41"/>
    <mergeCell ref="AC20:AH20"/>
    <mergeCell ref="AT21:AT22"/>
    <mergeCell ref="AY21:AY22"/>
    <mergeCell ref="AZ21:AZ22"/>
    <mergeCell ref="AU20:AZ20"/>
    <mergeCell ref="W20:AB20"/>
    <mergeCell ref="AR21:AR22"/>
    <mergeCell ref="AS21:AS22"/>
    <mergeCell ref="AA21:AA22"/>
    <mergeCell ref="AB21:AB22"/>
    <mergeCell ref="AG21:AG22"/>
    <mergeCell ref="AH21:AH22"/>
    <mergeCell ref="Z21:Z22"/>
    <mergeCell ref="AF21:AF22"/>
    <mergeCell ref="AM21:AM22"/>
    <mergeCell ref="AI20:AN20"/>
    <mergeCell ref="AO20:AT20"/>
    <mergeCell ref="A23:A28"/>
    <mergeCell ref="O21:O22"/>
    <mergeCell ref="I21:I22"/>
    <mergeCell ref="J21:J22"/>
    <mergeCell ref="H21:H22"/>
    <mergeCell ref="N21:N22"/>
    <mergeCell ref="P21:P22"/>
    <mergeCell ref="Q20:V20"/>
    <mergeCell ref="U21:U22"/>
    <mergeCell ref="V21:V22"/>
    <mergeCell ref="B96:B114"/>
    <mergeCell ref="B11:B36"/>
    <mergeCell ref="B40:B56"/>
    <mergeCell ref="B59:B94"/>
    <mergeCell ref="T21:T22"/>
    <mergeCell ref="B7:E7"/>
    <mergeCell ref="E20:J20"/>
    <mergeCell ref="F7:J7"/>
    <mergeCell ref="B8:E8"/>
    <mergeCell ref="F8:J8"/>
    <mergeCell ref="B4:J4"/>
    <mergeCell ref="B5:E5"/>
    <mergeCell ref="F5:J5"/>
    <mergeCell ref="B6:E6"/>
    <mergeCell ref="F6:J6"/>
  </mergeCells>
  <conditionalFormatting sqref="I43:I56">
    <cfRule type="cellIs" dxfId="92" priority="188" operator="greaterThanOrEqual">
      <formula>8.33</formula>
    </cfRule>
  </conditionalFormatting>
  <conditionalFormatting sqref="I23:I36">
    <cfRule type="containsText" dxfId="91" priority="167" operator="containsText" text="Red">
      <formula>NOT(ISERROR(SEARCH("Red",I23)))</formula>
    </cfRule>
    <cfRule type="containsText" dxfId="90" priority="168" operator="containsText" text="Amber">
      <formula>NOT(ISERROR(SEARCH("Amber",I23)))</formula>
    </cfRule>
    <cfRule type="containsText" dxfId="89" priority="169" operator="containsText" text="Green">
      <formula>NOT(ISERROR(SEARCH("Green",I23)))</formula>
    </cfRule>
  </conditionalFormatting>
  <conditionalFormatting sqref="J43:J56">
    <cfRule type="cellIs" dxfId="88" priority="131" operator="greaterThanOrEqual">
      <formula>8.33</formula>
    </cfRule>
  </conditionalFormatting>
  <conditionalFormatting sqref="Q43:Q56">
    <cfRule type="cellIs" dxfId="87" priority="127" operator="greaterThanOrEqual">
      <formula>8.33</formula>
    </cfRule>
  </conditionalFormatting>
  <conditionalFormatting sqref="P43:P56">
    <cfRule type="cellIs" dxfId="86" priority="152" operator="greaterThanOrEqual">
      <formula>8.33</formula>
    </cfRule>
  </conditionalFormatting>
  <conditionalFormatting sqref="AA23:AA36">
    <cfRule type="containsText" dxfId="85" priority="142" operator="containsText" text="Red">
      <formula>NOT(ISERROR(SEARCH("Red",AA23)))</formula>
    </cfRule>
    <cfRule type="containsText" dxfId="84" priority="143" operator="containsText" text="Amber">
      <formula>NOT(ISERROR(SEARCH("Amber",AA23)))</formula>
    </cfRule>
    <cfRule type="containsText" dxfId="83" priority="144" operator="containsText" text="Green">
      <formula>NOT(ISERROR(SEARCH("Green",AA23)))</formula>
    </cfRule>
  </conditionalFormatting>
  <conditionalFormatting sqref="J43:J56">
    <cfRule type="cellIs" dxfId="82" priority="132" operator="greaterThanOrEqual">
      <formula>8.33</formula>
    </cfRule>
  </conditionalFormatting>
  <conditionalFormatting sqref="Q43:Q56">
    <cfRule type="cellIs" dxfId="81" priority="126" operator="greaterThanOrEqual">
      <formula>8.33</formula>
    </cfRule>
  </conditionalFormatting>
  <conditionalFormatting sqref="J43:J56">
    <cfRule type="containsText" dxfId="80" priority="128" operator="containsText" text="Red">
      <formula>NOT(ISERROR(SEARCH("Red",J43)))</formula>
    </cfRule>
    <cfRule type="containsText" dxfId="79" priority="129" operator="containsText" text="Amber">
      <formula>NOT(ISERROR(SEARCH("Amber",J43)))</formula>
    </cfRule>
    <cfRule type="containsText" dxfId="78" priority="130" operator="containsText" text="Green">
      <formula>NOT(ISERROR(SEARCH("Green",J43)))</formula>
    </cfRule>
  </conditionalFormatting>
  <conditionalFormatting sqref="Q43:Q56">
    <cfRule type="containsText" dxfId="77" priority="123" operator="containsText" text="Red">
      <formula>NOT(ISERROR(SEARCH("Red",Q43)))</formula>
    </cfRule>
    <cfRule type="containsText" dxfId="76" priority="124" operator="containsText" text="Amber">
      <formula>NOT(ISERROR(SEARCH("Amber",Q43)))</formula>
    </cfRule>
    <cfRule type="containsText" dxfId="75" priority="125" operator="containsText" text="Green">
      <formula>NOT(ISERROR(SEARCH("Green",Q43)))</formula>
    </cfRule>
  </conditionalFormatting>
  <conditionalFormatting sqref="X43:Y56">
    <cfRule type="containsText" dxfId="74" priority="114" operator="containsText" text="Red">
      <formula>NOT(ISERROR(SEARCH("Red",X43)))</formula>
    </cfRule>
    <cfRule type="containsText" dxfId="73" priority="115" operator="containsText" text="Amber">
      <formula>NOT(ISERROR(SEARCH("Amber",X43)))</formula>
    </cfRule>
    <cfRule type="containsText" dxfId="72" priority="116" operator="containsText" text="Green">
      <formula>NOT(ISERROR(SEARCH("Green",X43)))</formula>
    </cfRule>
  </conditionalFormatting>
  <conditionalFormatting sqref="AE43:AF56">
    <cfRule type="containsText" dxfId="71" priority="111" operator="containsText" text="Red">
      <formula>NOT(ISERROR(SEARCH("Red",AE43)))</formula>
    </cfRule>
    <cfRule type="containsText" dxfId="70" priority="112" operator="containsText" text="Amber">
      <formula>NOT(ISERROR(SEARCH("Amber",AE43)))</formula>
    </cfRule>
    <cfRule type="containsText" dxfId="69" priority="113" operator="containsText" text="Green">
      <formula>NOT(ISERROR(SEARCH("Green",AE43)))</formula>
    </cfRule>
  </conditionalFormatting>
  <conditionalFormatting sqref="E80:I85">
    <cfRule type="containsText" dxfId="68" priority="88" operator="containsText" text="Amber">
      <formula>NOT(ISERROR(SEARCH("Amber",E80)))</formula>
    </cfRule>
    <cfRule type="containsText" dxfId="67" priority="89" operator="containsText" text="Red">
      <formula>NOT(ISERROR(SEARCH("Red",E80)))</formula>
    </cfRule>
    <cfRule type="containsText" dxfId="66" priority="90" operator="containsText" text="Green">
      <formula>NOT(ISERROR(SEARCH("Green",E80)))</formula>
    </cfRule>
  </conditionalFormatting>
  <conditionalFormatting sqref="AY23:AY36">
    <cfRule type="containsText" dxfId="65" priority="85" operator="containsText" text="Red">
      <formula>NOT(ISERROR(SEARCH("Red",AY23)))</formula>
    </cfRule>
    <cfRule type="containsText" dxfId="64" priority="86" operator="containsText" text="Amber">
      <formula>NOT(ISERROR(SEARCH("Amber",AY23)))</formula>
    </cfRule>
    <cfRule type="containsText" dxfId="63" priority="87" operator="containsText" text="Green">
      <formula>NOT(ISERROR(SEARCH("Green",AY23)))</formula>
    </cfRule>
  </conditionalFormatting>
  <conditionalFormatting sqref="Q23:T36">
    <cfRule type="cellIs" dxfId="62" priority="76" operator="lessThan">
      <formula>8.2</formula>
    </cfRule>
  </conditionalFormatting>
  <conditionalFormatting sqref="W23:Y36">
    <cfRule type="cellIs" dxfId="61" priority="75" operator="lessThan">
      <formula>8.2</formula>
    </cfRule>
  </conditionalFormatting>
  <conditionalFormatting sqref="BG43:BH56">
    <cfRule type="containsText" dxfId="60" priority="72" operator="containsText" text="Red">
      <formula>NOT(ISERROR(SEARCH("Red",BG43)))</formula>
    </cfRule>
    <cfRule type="containsText" dxfId="59" priority="73" operator="containsText" text="Amber">
      <formula>NOT(ISERROR(SEARCH("Amber",BG43)))</formula>
    </cfRule>
    <cfRule type="containsText" dxfId="58" priority="74" operator="containsText" text="Green">
      <formula>NOT(ISERROR(SEARCH("Green",BG43)))</formula>
    </cfRule>
  </conditionalFormatting>
  <conditionalFormatting sqref="AC23:AE36">
    <cfRule type="cellIs" dxfId="57" priority="71" operator="lessThan">
      <formula>8.2</formula>
    </cfRule>
  </conditionalFormatting>
  <conditionalFormatting sqref="AG23:AG36">
    <cfRule type="containsText" dxfId="56" priority="68" operator="containsText" text="Red">
      <formula>NOT(ISERROR(SEARCH("Red",AG23)))</formula>
    </cfRule>
    <cfRule type="containsText" dxfId="55" priority="69" operator="containsText" text="Amber">
      <formula>NOT(ISERROR(SEARCH("Amber",AG23)))</formula>
    </cfRule>
    <cfRule type="containsText" dxfId="54" priority="70" operator="containsText" text="Green">
      <formula>NOT(ISERROR(SEARCH("Green",AG23)))</formula>
    </cfRule>
  </conditionalFormatting>
  <conditionalFormatting sqref="O23:O36">
    <cfRule type="containsText" dxfId="53" priority="65" operator="containsText" text="Red">
      <formula>NOT(ISERROR(SEARCH("Red",O23)))</formula>
    </cfRule>
    <cfRule type="containsText" dxfId="52" priority="66" operator="containsText" text="Amber">
      <formula>NOT(ISERROR(SEARCH("Amber",O23)))</formula>
    </cfRule>
    <cfRule type="containsText" dxfId="51" priority="67" operator="containsText" text="Green">
      <formula>NOT(ISERROR(SEARCH("Green",O23)))</formula>
    </cfRule>
  </conditionalFormatting>
  <conditionalFormatting sqref="U23:U36">
    <cfRule type="containsText" dxfId="50" priority="62" operator="containsText" text="Red">
      <formula>NOT(ISERROR(SEARCH("Red",U23)))</formula>
    </cfRule>
    <cfRule type="containsText" dxfId="49" priority="63" operator="containsText" text="Amber">
      <formula>NOT(ISERROR(SEARCH("Amber",U23)))</formula>
    </cfRule>
    <cfRule type="containsText" dxfId="48" priority="64" operator="containsText" text="Green">
      <formula>NOT(ISERROR(SEARCH("Green",U23)))</formula>
    </cfRule>
  </conditionalFormatting>
  <conditionalFormatting sqref="AL43:AM56">
    <cfRule type="containsText" dxfId="47" priority="59" operator="containsText" text="Red">
      <formula>NOT(ISERROR(SEARCH("Red",AL43)))</formula>
    </cfRule>
    <cfRule type="containsText" dxfId="46" priority="60" operator="containsText" text="Amber">
      <formula>NOT(ISERROR(SEARCH("Amber",AL43)))</formula>
    </cfRule>
    <cfRule type="containsText" dxfId="45" priority="61" operator="containsText" text="Green">
      <formula>NOT(ISERROR(SEARCH("Green",AL43)))</formula>
    </cfRule>
  </conditionalFormatting>
  <conditionalFormatting sqref="AM23:AM36">
    <cfRule type="containsText" dxfId="44" priority="50" operator="containsText" text="Red">
      <formula>NOT(ISERROR(SEARCH("Red",AM23)))</formula>
    </cfRule>
    <cfRule type="containsText" dxfId="43" priority="51" operator="containsText" text="Amber">
      <formula>NOT(ISERROR(SEARCH("Amber",AM23)))</formula>
    </cfRule>
    <cfRule type="containsText" dxfId="42" priority="52" operator="containsText" text="Green">
      <formula>NOT(ISERROR(SEARCH("Green",AM23)))</formula>
    </cfRule>
  </conditionalFormatting>
  <conditionalFormatting sqref="AI23">
    <cfRule type="cellIs" dxfId="41" priority="49" operator="lessThan">
      <formula>8.2</formula>
    </cfRule>
  </conditionalFormatting>
  <conditionalFormatting sqref="AI24:AI36">
    <cfRule type="cellIs" dxfId="40" priority="48" operator="lessThan">
      <formula>8.2</formula>
    </cfRule>
  </conditionalFormatting>
  <conditionalFormatting sqref="AJ23">
    <cfRule type="cellIs" dxfId="39" priority="45" operator="lessThan">
      <formula>8.2</formula>
    </cfRule>
  </conditionalFormatting>
  <conditionalFormatting sqref="AJ24:AJ36">
    <cfRule type="cellIs" dxfId="38" priority="44" operator="lessThan">
      <formula>8.2</formula>
    </cfRule>
  </conditionalFormatting>
  <conditionalFormatting sqref="AK23">
    <cfRule type="cellIs" dxfId="37" priority="43" operator="lessThan">
      <formula>8.2</formula>
    </cfRule>
  </conditionalFormatting>
  <conditionalFormatting sqref="AK24:AK36">
    <cfRule type="cellIs" dxfId="36" priority="42" operator="lessThan">
      <formula>8.2</formula>
    </cfRule>
  </conditionalFormatting>
  <conditionalFormatting sqref="AS43:AT56">
    <cfRule type="containsText" dxfId="35" priority="27" operator="containsText" text="Red">
      <formula>NOT(ISERROR(SEARCH("Red",AS43)))</formula>
    </cfRule>
    <cfRule type="containsText" dxfId="34" priority="28" operator="containsText" text="Amber">
      <formula>NOT(ISERROR(SEARCH("Amber",AS43)))</formula>
    </cfRule>
    <cfRule type="containsText" dxfId="33" priority="29" operator="containsText" text="Green">
      <formula>NOT(ISERROR(SEARCH("Green",AS43)))</formula>
    </cfRule>
  </conditionalFormatting>
  <conditionalFormatting sqref="J80:J81 J83:J85">
    <cfRule type="containsText" dxfId="32" priority="24" operator="containsText" text="Amber">
      <formula>NOT(ISERROR(SEARCH("Amber",J80)))</formula>
    </cfRule>
    <cfRule type="containsText" dxfId="31" priority="25" operator="containsText" text="Red">
      <formula>NOT(ISERROR(SEARCH("Red",J80)))</formula>
    </cfRule>
    <cfRule type="containsText" dxfId="30" priority="26" operator="containsText" text="Green">
      <formula>NOT(ISERROR(SEARCH("Green",J80)))</formula>
    </cfRule>
  </conditionalFormatting>
  <conditionalFormatting sqref="J82">
    <cfRule type="containsText" dxfId="29" priority="21" operator="containsText" text="Amber">
      <formula>NOT(ISERROR(SEARCH("Amber",J82)))</formula>
    </cfRule>
    <cfRule type="containsText" dxfId="28" priority="22" operator="containsText" text="Red">
      <formula>NOT(ISERROR(SEARCH("Red",J82)))</formula>
    </cfRule>
    <cfRule type="containsText" dxfId="27" priority="23" operator="containsText" text="Green">
      <formula>NOT(ISERROR(SEARCH("Green",J82)))</formula>
    </cfRule>
  </conditionalFormatting>
  <conditionalFormatting sqref="AO23">
    <cfRule type="cellIs" dxfId="26" priority="20" operator="lessThan">
      <formula>8.2</formula>
    </cfRule>
  </conditionalFormatting>
  <conditionalFormatting sqref="AO24:AO36">
    <cfRule type="cellIs" dxfId="25" priority="19" operator="lessThan">
      <formula>8.2</formula>
    </cfRule>
  </conditionalFormatting>
  <conditionalFormatting sqref="AP23">
    <cfRule type="cellIs" dxfId="24" priority="18" operator="lessThan">
      <formula>8.2</formula>
    </cfRule>
  </conditionalFormatting>
  <conditionalFormatting sqref="AP24:AP36">
    <cfRule type="cellIs" dxfId="23" priority="17" operator="lessThan">
      <formula>8.2</formula>
    </cfRule>
  </conditionalFormatting>
  <conditionalFormatting sqref="AQ23">
    <cfRule type="cellIs" dxfId="22" priority="16" operator="lessThan">
      <formula>8.2</formula>
    </cfRule>
  </conditionalFormatting>
  <conditionalFormatting sqref="AQ24:AQ36">
    <cfRule type="cellIs" dxfId="21" priority="15" operator="lessThan">
      <formula>8.2</formula>
    </cfRule>
  </conditionalFormatting>
  <conditionalFormatting sqref="AS23:AS36">
    <cfRule type="containsText" dxfId="20" priority="12" operator="containsText" text="Red">
      <formula>NOT(ISERROR(SEARCH("Red",AS23)))</formula>
    </cfRule>
    <cfRule type="containsText" dxfId="19" priority="13" operator="containsText" text="Amber">
      <formula>NOT(ISERROR(SEARCH("Amber",AS23)))</formula>
    </cfRule>
    <cfRule type="containsText" dxfId="18" priority="14" operator="containsText" text="Green">
      <formula>NOT(ISERROR(SEARCH("Green",AS23)))</formula>
    </cfRule>
  </conditionalFormatting>
  <conditionalFormatting sqref="AZ43:BA56">
    <cfRule type="containsText" dxfId="17" priority="7" operator="containsText" text="Red">
      <formula>NOT(ISERROR(SEARCH("Red",AZ43)))</formula>
    </cfRule>
    <cfRule type="containsText" dxfId="16" priority="8" operator="containsText" text="Amber">
      <formula>NOT(ISERROR(SEARCH("Amber",AZ43)))</formula>
    </cfRule>
    <cfRule type="containsText" dxfId="15" priority="9" operator="containsText" text="Green">
      <formula>NOT(ISERROR(SEARCH("Green",AZ43)))</formula>
    </cfRule>
  </conditionalFormatting>
  <conditionalFormatting sqref="K80:K85">
    <cfRule type="containsText" dxfId="14" priority="4" operator="containsText" text="Amber">
      <formula>NOT(ISERROR(SEARCH("Amber",K80)))</formula>
    </cfRule>
    <cfRule type="containsText" dxfId="13" priority="5" operator="containsText" text="Red">
      <formula>NOT(ISERROR(SEARCH("Red",K80)))</formula>
    </cfRule>
    <cfRule type="containsText" dxfId="12" priority="6" operator="containsText" text="Green">
      <formula>NOT(ISERROR(SEARCH("Green",K80)))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9" tint="-0.249977111117893"/>
  </sheetPr>
  <dimension ref="A1:BS953"/>
  <sheetViews>
    <sheetView topLeftCell="AL352" zoomScale="70" zoomScaleNormal="70" workbookViewId="0">
      <selection activeCell="V110" sqref="V110"/>
    </sheetView>
  </sheetViews>
  <sheetFormatPr defaultColWidth="9.1796875" defaultRowHeight="14.5"/>
  <cols>
    <col min="1" max="1" width="10.54296875" style="2" customWidth="1"/>
    <col min="2" max="2" width="34.1796875" style="2" customWidth="1"/>
    <col min="3" max="3" width="6.1796875" style="2" customWidth="1"/>
    <col min="4" max="4" width="28.1796875" style="2" customWidth="1"/>
    <col min="5" max="14" width="16.26953125" style="2" customWidth="1"/>
    <col min="15" max="15" width="32.1796875" style="2" customWidth="1"/>
    <col min="16" max="17" width="13.81640625" style="2" customWidth="1"/>
    <col min="18" max="21" width="13.54296875" style="2" customWidth="1"/>
    <col min="22" max="30" width="12.90625" style="2" customWidth="1"/>
    <col min="31" max="31" width="9.1796875" style="2" customWidth="1"/>
    <col min="32" max="32" width="12.26953125" style="2" bestFit="1" customWidth="1"/>
    <col min="33" max="33" width="12.1796875" style="2" bestFit="1" customWidth="1"/>
    <col min="34" max="34" width="10.1796875" style="2" bestFit="1" customWidth="1"/>
    <col min="35" max="35" width="10" style="2" bestFit="1" customWidth="1"/>
    <col min="36" max="36" width="19.81640625" style="2" bestFit="1" customWidth="1"/>
    <col min="37" max="37" width="12.81640625" style="2" customWidth="1"/>
    <col min="38" max="38" width="11.453125" style="2" customWidth="1"/>
    <col min="39" max="39" width="9.1796875" style="2"/>
    <col min="40" max="41" width="10.54296875" style="2" bestFit="1" customWidth="1"/>
    <col min="42" max="42" width="11.1796875" style="2" customWidth="1"/>
    <col min="43" max="43" width="13" style="2" customWidth="1"/>
    <col min="44" max="48" width="9.1796875" style="2" bestFit="1" customWidth="1"/>
    <col min="49" max="50" width="9.1796875" style="2"/>
    <col min="51" max="54" width="9.1796875" style="2" bestFit="1" customWidth="1"/>
    <col min="55" max="55" width="10.81640625" style="2" customWidth="1"/>
    <col min="56" max="56" width="9.1796875" bestFit="1" customWidth="1"/>
    <col min="57" max="59" width="9.1796875" style="2"/>
    <col min="60" max="60" width="11.81640625" style="2" customWidth="1"/>
    <col min="61" max="64" width="9.1796875" style="2"/>
    <col min="65" max="65" width="10.90625" style="2" bestFit="1" customWidth="1"/>
    <col min="66" max="16384" width="9.1796875" style="2"/>
  </cols>
  <sheetData>
    <row r="1" spans="1:57" ht="19.5">
      <c r="A1" s="885" t="s">
        <v>22</v>
      </c>
      <c r="B1" s="885"/>
      <c r="C1" s="885"/>
      <c r="D1" s="885"/>
      <c r="E1" s="885"/>
      <c r="F1" s="885"/>
    </row>
    <row r="2" spans="1:57">
      <c r="L2" s="1"/>
      <c r="O2" s="16" t="s">
        <v>672</v>
      </c>
      <c r="U2" s="1"/>
      <c r="BE2" s="9"/>
    </row>
    <row r="3" spans="1:57" ht="33.5" customHeight="1">
      <c r="B3" s="1200" t="s">
        <v>673</v>
      </c>
      <c r="D3" s="1" t="s">
        <v>332</v>
      </c>
      <c r="E3" s="100" t="s">
        <v>674</v>
      </c>
      <c r="F3" s="100" t="s">
        <v>675</v>
      </c>
      <c r="G3" s="251" t="s">
        <v>298</v>
      </c>
      <c r="H3" s="100" t="s">
        <v>676</v>
      </c>
      <c r="I3" s="1066" t="s">
        <v>147</v>
      </c>
      <c r="J3" s="1" t="s">
        <v>332</v>
      </c>
      <c r="K3" s="129" t="s">
        <v>677</v>
      </c>
      <c r="L3" s="100" t="s">
        <v>676</v>
      </c>
      <c r="M3" s="382" t="s">
        <v>675</v>
      </c>
      <c r="O3" s="1" t="s">
        <v>332</v>
      </c>
      <c r="P3" s="100" t="s">
        <v>678</v>
      </c>
      <c r="Q3" s="100" t="s">
        <v>679</v>
      </c>
      <c r="R3" s="100" t="s">
        <v>680</v>
      </c>
      <c r="S3" s="100" t="s">
        <v>681</v>
      </c>
    </row>
    <row r="4" spans="1:57">
      <c r="B4" s="1200"/>
      <c r="D4" s="5" t="s">
        <v>682</v>
      </c>
      <c r="E4" s="72">
        <f>$T$185</f>
        <v>459.35811369941882</v>
      </c>
      <c r="F4" s="33">
        <f t="shared" ref="F4:F9" si="0">E4/$E$22</f>
        <v>0.1242033708794148</v>
      </c>
      <c r="G4" s="252">
        <f>$AC$185</f>
        <v>384.15643862833571</v>
      </c>
      <c r="H4" s="33">
        <f t="shared" ref="H4:H9" si="1">G4/$G$22</f>
        <v>9.9388090466926468E-2</v>
      </c>
      <c r="J4" s="5" t="s">
        <v>683</v>
      </c>
      <c r="K4" s="5" t="s">
        <v>684</v>
      </c>
      <c r="L4" s="33">
        <f>H5</f>
        <v>0.18621726612706727</v>
      </c>
      <c r="M4" s="822">
        <f>F5</f>
        <v>0.24437761150247025</v>
      </c>
      <c r="O4" s="5" t="s">
        <v>683</v>
      </c>
      <c r="P4" s="83">
        <f>E5</f>
        <v>903.81475039941404</v>
      </c>
      <c r="Q4" s="52">
        <f>G5</f>
        <v>719.76995865801962</v>
      </c>
      <c r="R4" s="118">
        <f>Q4-P4</f>
        <v>-184.04479174139442</v>
      </c>
      <c r="S4" s="116">
        <f>R4/P4</f>
        <v>-0.2036310999129648</v>
      </c>
      <c r="T4" s="124"/>
    </row>
    <row r="5" spans="1:57">
      <c r="B5" s="1200"/>
      <c r="D5" s="5" t="s">
        <v>683</v>
      </c>
      <c r="E5" s="72">
        <f>$T$205</f>
        <v>903.81475039941404</v>
      </c>
      <c r="F5" s="33">
        <f t="shared" si="0"/>
        <v>0.24437761150247025</v>
      </c>
      <c r="G5" s="252">
        <f>$AC$205</f>
        <v>719.76995865801962</v>
      </c>
      <c r="H5" s="33">
        <f t="shared" si="1"/>
        <v>0.18621726612706727</v>
      </c>
      <c r="J5" s="5" t="s">
        <v>685</v>
      </c>
      <c r="K5" s="5" t="s">
        <v>686</v>
      </c>
      <c r="L5" s="33">
        <f>H7</f>
        <v>0.22460510609061288</v>
      </c>
      <c r="M5" s="822">
        <f>F7</f>
        <v>0.20392099348438694</v>
      </c>
      <c r="O5" s="5" t="s">
        <v>685</v>
      </c>
      <c r="P5" s="83">
        <f>E7</f>
        <v>754.1885719160025</v>
      </c>
      <c r="Q5" s="52">
        <f>G7</f>
        <v>868.14725233323657</v>
      </c>
      <c r="R5" s="118">
        <f t="shared" ref="R5:R18" si="2">Q5-P5</f>
        <v>113.95868041723406</v>
      </c>
      <c r="S5" s="116">
        <f t="shared" ref="S5:S18" si="3">R5/P5</f>
        <v>0.15110104377175074</v>
      </c>
      <c r="T5" s="123"/>
    </row>
    <row r="6" spans="1:57">
      <c r="B6" s="1200"/>
      <c r="D6" s="5" t="s">
        <v>687</v>
      </c>
      <c r="E6" s="72">
        <f>$T$225</f>
        <v>446.27413346220231</v>
      </c>
      <c r="F6" s="33">
        <f t="shared" si="0"/>
        <v>0.12066566380182674</v>
      </c>
      <c r="G6" s="252">
        <f>$AC$225</f>
        <v>622.05737647220849</v>
      </c>
      <c r="H6" s="33">
        <f t="shared" si="1"/>
        <v>0.16093728645858629</v>
      </c>
      <c r="J6" s="5" t="s">
        <v>53</v>
      </c>
      <c r="K6" s="5" t="s">
        <v>688</v>
      </c>
      <c r="L6" s="33">
        <f>H6</f>
        <v>0.16093728645858629</v>
      </c>
      <c r="M6" s="822">
        <f>F6</f>
        <v>0.12066566380182674</v>
      </c>
      <c r="O6" s="5" t="s">
        <v>53</v>
      </c>
      <c r="P6" s="83">
        <f>E6</f>
        <v>446.27413346220231</v>
      </c>
      <c r="Q6" s="52">
        <f>G6</f>
        <v>622.05737647220849</v>
      </c>
      <c r="R6" s="118">
        <f t="shared" si="2"/>
        <v>175.78324301000617</v>
      </c>
      <c r="S6" s="116">
        <f t="shared" si="3"/>
        <v>0.39389072731210473</v>
      </c>
      <c r="T6" s="123"/>
    </row>
    <row r="7" spans="1:57">
      <c r="B7" s="1200"/>
      <c r="D7" s="5" t="s">
        <v>689</v>
      </c>
      <c r="E7" s="72">
        <f>$T$245</f>
        <v>754.1885719160025</v>
      </c>
      <c r="F7" s="33">
        <f t="shared" si="0"/>
        <v>0.20392099348438694</v>
      </c>
      <c r="G7" s="252">
        <f>$AC$245</f>
        <v>868.14725233323657</v>
      </c>
      <c r="H7" s="33">
        <f t="shared" si="1"/>
        <v>0.22460510609061288</v>
      </c>
      <c r="J7" s="5" t="s">
        <v>682</v>
      </c>
      <c r="K7" s="5" t="s">
        <v>690</v>
      </c>
      <c r="L7" s="33">
        <f>H4</f>
        <v>9.9388090466926468E-2</v>
      </c>
      <c r="M7" s="822">
        <f>F4</f>
        <v>0.1242033708794148</v>
      </c>
      <c r="O7" s="5" t="s">
        <v>682</v>
      </c>
      <c r="P7" s="83">
        <f>E4</f>
        <v>459.35811369941882</v>
      </c>
      <c r="Q7" s="52">
        <f>G4</f>
        <v>384.15643862833571</v>
      </c>
      <c r="R7" s="118">
        <f t="shared" si="2"/>
        <v>-75.201675071083116</v>
      </c>
      <c r="S7" s="116">
        <f t="shared" si="3"/>
        <v>-0.16371034456200192</v>
      </c>
      <c r="T7" s="123"/>
    </row>
    <row r="8" spans="1:57">
      <c r="B8" s="1200"/>
      <c r="D8" s="5" t="s">
        <v>107</v>
      </c>
      <c r="E8" s="72">
        <f>$T$265</f>
        <v>408.75146400396022</v>
      </c>
      <c r="F8" s="33">
        <f t="shared" si="0"/>
        <v>0.11052011092680493</v>
      </c>
      <c r="G8" s="252">
        <f>$AC$265</f>
        <v>493.79405771337878</v>
      </c>
      <c r="H8" s="33">
        <f t="shared" si="1"/>
        <v>0.12775328888221327</v>
      </c>
      <c r="J8" s="5" t="s">
        <v>691</v>
      </c>
      <c r="K8" s="5" t="s">
        <v>57</v>
      </c>
      <c r="L8" s="33">
        <f>H8</f>
        <v>0.12775328888221327</v>
      </c>
      <c r="M8" s="822">
        <f>F8</f>
        <v>0.11052011092680493</v>
      </c>
      <c r="O8" s="5" t="s">
        <v>691</v>
      </c>
      <c r="P8" s="83">
        <f>E8</f>
        <v>408.75146400396022</v>
      </c>
      <c r="Q8" s="52">
        <f>G8</f>
        <v>493.79405771337878</v>
      </c>
      <c r="R8" s="118">
        <f t="shared" si="2"/>
        <v>85.042593709418554</v>
      </c>
      <c r="S8" s="116">
        <f t="shared" si="3"/>
        <v>0.20805452994926671</v>
      </c>
      <c r="T8" s="123"/>
    </row>
    <row r="9" spans="1:57">
      <c r="B9" s="1200"/>
      <c r="D9" s="4" t="s">
        <v>692</v>
      </c>
      <c r="E9" s="818">
        <f>$T$165</f>
        <v>2972.3870334809985</v>
      </c>
      <c r="F9" s="35">
        <f t="shared" si="0"/>
        <v>0.80368775059490383</v>
      </c>
      <c r="G9" s="253">
        <f>$AC$165</f>
        <v>3087.9250838051798</v>
      </c>
      <c r="H9" s="35">
        <f t="shared" si="1"/>
        <v>0.79890103802540635</v>
      </c>
      <c r="J9" s="5" t="s">
        <v>290</v>
      </c>
      <c r="K9" s="5" t="s">
        <v>59</v>
      </c>
      <c r="L9" s="33">
        <f>H11</f>
        <v>3.4496394273367162E-2</v>
      </c>
      <c r="M9" s="822">
        <f>F11</f>
        <v>4.0922164881007556E-2</v>
      </c>
      <c r="O9" s="5" t="s">
        <v>290</v>
      </c>
      <c r="P9" s="83">
        <f>E11</f>
        <v>151.34797336931024</v>
      </c>
      <c r="Q9" s="52">
        <f>G11</f>
        <v>133.33601548553281</v>
      </c>
      <c r="R9" s="118">
        <f t="shared" si="2"/>
        <v>-18.011957883777427</v>
      </c>
      <c r="S9" s="116">
        <f t="shared" si="3"/>
        <v>-0.11901023504177177</v>
      </c>
      <c r="T9" s="123"/>
    </row>
    <row r="10" spans="1:57">
      <c r="B10" s="1200"/>
      <c r="D10" s="5"/>
      <c r="E10" s="72"/>
      <c r="F10" s="79"/>
      <c r="G10" s="252"/>
      <c r="H10" s="79"/>
      <c r="J10" s="5" t="s">
        <v>693</v>
      </c>
      <c r="K10" s="5" t="s">
        <v>101</v>
      </c>
      <c r="L10" s="33">
        <f>H19</f>
        <v>3.7531280820662004E-2</v>
      </c>
      <c r="M10" s="822">
        <f>F19</f>
        <v>3.9226204576752376E-2</v>
      </c>
      <c r="O10" s="5" t="s">
        <v>693</v>
      </c>
      <c r="P10" s="83">
        <f>E19</f>
        <v>145.07557415215766</v>
      </c>
      <c r="Q10" s="52">
        <f>G19</f>
        <v>145.0665075613193</v>
      </c>
      <c r="R10" s="118">
        <f t="shared" si="2"/>
        <v>-9.0665908383584792E-3</v>
      </c>
      <c r="S10" s="116">
        <f t="shared" si="3"/>
        <v>-6.2495639885245529E-5</v>
      </c>
      <c r="T10" s="123"/>
    </row>
    <row r="11" spans="1:57">
      <c r="B11" s="1200"/>
      <c r="D11" s="5" t="s">
        <v>290</v>
      </c>
      <c r="E11" s="72">
        <f>$T$285</f>
        <v>151.34797336931024</v>
      </c>
      <c r="F11" s="33">
        <f t="shared" ref="F11:F21" si="4">E11/$E$22</f>
        <v>4.0922164881007556E-2</v>
      </c>
      <c r="G11" s="252">
        <f>$AC$285</f>
        <v>133.33601548553281</v>
      </c>
      <c r="H11" s="33">
        <f t="shared" ref="H11:H21" si="5">G11/$G$22</f>
        <v>3.4496394273367162E-2</v>
      </c>
      <c r="J11" s="5" t="s">
        <v>694</v>
      </c>
      <c r="K11" s="5" t="s">
        <v>695</v>
      </c>
      <c r="L11" s="33">
        <f>H16</f>
        <v>3.6705012824216017E-2</v>
      </c>
      <c r="M11" s="822">
        <f>F16</f>
        <v>3.9743423849347911E-2</v>
      </c>
      <c r="O11" s="5" t="s">
        <v>694</v>
      </c>
      <c r="P11" s="83">
        <f>E16</f>
        <v>146.98847609472361</v>
      </c>
      <c r="Q11" s="52">
        <f>G16</f>
        <v>141.87280327163998</v>
      </c>
      <c r="R11" s="118">
        <f t="shared" si="2"/>
        <v>-5.1156728230836279</v>
      </c>
      <c r="S11" s="116">
        <f t="shared" si="3"/>
        <v>-3.4803223756037456E-2</v>
      </c>
      <c r="T11" s="123"/>
    </row>
    <row r="12" spans="1:57">
      <c r="B12" s="1200"/>
      <c r="D12" s="5" t="s">
        <v>696</v>
      </c>
      <c r="E12" s="72">
        <f>$T$368+$T$388</f>
        <v>71.17602503275053</v>
      </c>
      <c r="F12" s="33">
        <f t="shared" si="4"/>
        <v>1.9244902770237955E-2</v>
      </c>
      <c r="G12" s="252">
        <f>$AC$368+$AC$388</f>
        <v>86.839045608338651</v>
      </c>
      <c r="H12" s="33">
        <f t="shared" si="5"/>
        <v>2.2466802721828709E-2</v>
      </c>
      <c r="J12" s="5" t="s">
        <v>696</v>
      </c>
      <c r="K12" s="5" t="s">
        <v>697</v>
      </c>
      <c r="L12" s="33">
        <f>H12</f>
        <v>2.2466802721828709E-2</v>
      </c>
      <c r="M12" s="822">
        <f>F12</f>
        <v>1.9244902770237955E-2</v>
      </c>
      <c r="O12" s="5" t="s">
        <v>696</v>
      </c>
      <c r="P12" s="83">
        <f>E12</f>
        <v>71.17602503275053</v>
      </c>
      <c r="Q12" s="52">
        <f>G12</f>
        <v>86.839045608338651</v>
      </c>
      <c r="R12" s="118">
        <f t="shared" si="2"/>
        <v>15.663020575588121</v>
      </c>
      <c r="S12" s="116">
        <f t="shared" si="3"/>
        <v>0.22006034431370713</v>
      </c>
      <c r="T12" s="123"/>
    </row>
    <row r="13" spans="1:57">
      <c r="B13" s="1200"/>
      <c r="D13" s="5" t="s">
        <v>698</v>
      </c>
      <c r="E13" s="72">
        <f>$T$468</f>
        <v>58.080440964482804</v>
      </c>
      <c r="F13" s="33">
        <f t="shared" si="4"/>
        <v>1.5704058195153504E-2</v>
      </c>
      <c r="G13" s="252">
        <f>$AC$468</f>
        <v>69.51649262738799</v>
      </c>
      <c r="H13" s="33">
        <f t="shared" si="5"/>
        <v>1.7985150744482776E-2</v>
      </c>
      <c r="J13" s="5" t="s">
        <v>699</v>
      </c>
      <c r="K13" s="5" t="s">
        <v>700</v>
      </c>
      <c r="L13" s="33">
        <f>H14</f>
        <v>1.6838627431013831E-2</v>
      </c>
      <c r="M13" s="822">
        <f>F14</f>
        <v>2.2281240241561962E-2</v>
      </c>
      <c r="O13" s="5" t="s">
        <v>699</v>
      </c>
      <c r="P13" s="83">
        <f>E14</f>
        <v>82.405722290616382</v>
      </c>
      <c r="Q13" s="52">
        <f>G14</f>
        <v>65.084932358573312</v>
      </c>
      <c r="R13" s="118">
        <f t="shared" si="2"/>
        <v>-17.32078993204307</v>
      </c>
      <c r="S13" s="116">
        <f t="shared" si="3"/>
        <v>-0.21018916466697124</v>
      </c>
      <c r="T13" s="123"/>
    </row>
    <row r="14" spans="1:57">
      <c r="B14" s="1200"/>
      <c r="D14" s="5" t="s">
        <v>699</v>
      </c>
      <c r="E14" s="72">
        <f>$T$528+$T$628</f>
        <v>82.405722290616382</v>
      </c>
      <c r="F14" s="33">
        <f t="shared" si="4"/>
        <v>2.2281240241561962E-2</v>
      </c>
      <c r="G14" s="252">
        <f>$AC$528+$AC$628</f>
        <v>65.084932358573312</v>
      </c>
      <c r="H14" s="33">
        <f t="shared" si="5"/>
        <v>1.6838627431013831E-2</v>
      </c>
      <c r="J14" s="5" t="s">
        <v>698</v>
      </c>
      <c r="K14" s="5" t="s">
        <v>74</v>
      </c>
      <c r="L14" s="33">
        <f>H13</f>
        <v>1.7985150744482776E-2</v>
      </c>
      <c r="M14" s="822">
        <f>F13</f>
        <v>1.5704058195153504E-2</v>
      </c>
      <c r="O14" s="5" t="s">
        <v>698</v>
      </c>
      <c r="P14" s="83">
        <f>E13</f>
        <v>58.080440964482804</v>
      </c>
      <c r="Q14" s="52">
        <f>G13</f>
        <v>69.51649262738799</v>
      </c>
      <c r="R14" s="118">
        <f t="shared" si="2"/>
        <v>11.436051662905186</v>
      </c>
      <c r="S14" s="116">
        <f t="shared" si="3"/>
        <v>0.19690022102102375</v>
      </c>
      <c r="T14" s="123"/>
    </row>
    <row r="15" spans="1:57">
      <c r="B15" s="1200"/>
      <c r="D15" s="5" t="s">
        <v>701</v>
      </c>
      <c r="E15" s="72">
        <f>$T$548</f>
        <v>2.5749957063264959</v>
      </c>
      <c r="F15" s="33">
        <f t="shared" si="4"/>
        <v>6.9623924599935736E-4</v>
      </c>
      <c r="G15" s="252">
        <f>$AC$548</f>
        <v>30.51882473775315</v>
      </c>
      <c r="H15" s="33">
        <f t="shared" si="5"/>
        <v>7.8957617495893553E-3</v>
      </c>
      <c r="J15" s="5" t="s">
        <v>702</v>
      </c>
      <c r="K15" s="5" t="s">
        <v>703</v>
      </c>
      <c r="L15" s="33">
        <f>H20</f>
        <v>3.7927264837144519E-3</v>
      </c>
      <c r="M15" s="822">
        <f>F20</f>
        <v>2.6198088269989359E-3</v>
      </c>
      <c r="O15" s="5" t="s">
        <v>702</v>
      </c>
      <c r="P15" s="83">
        <f>E20</f>
        <v>9.6891930750550355</v>
      </c>
      <c r="Q15" s="52">
        <f>G20</f>
        <v>14.659707132213819</v>
      </c>
      <c r="R15" s="118">
        <f t="shared" si="2"/>
        <v>4.970514057158784</v>
      </c>
      <c r="S15" s="116">
        <f t="shared" si="3"/>
        <v>0.51299566627023285</v>
      </c>
      <c r="T15" s="123"/>
    </row>
    <row r="16" spans="1:57">
      <c r="B16" s="1200"/>
      <c r="D16" s="5" t="s">
        <v>694</v>
      </c>
      <c r="E16" s="72">
        <f>$T$748</f>
        <v>146.98847609472361</v>
      </c>
      <c r="F16" s="33">
        <f t="shared" si="4"/>
        <v>3.9743423849347911E-2</v>
      </c>
      <c r="G16" s="252">
        <f>$AC$748</f>
        <v>141.87280327163998</v>
      </c>
      <c r="H16" s="33">
        <f t="shared" si="5"/>
        <v>3.6705012824216017E-2</v>
      </c>
      <c r="J16" s="5" t="s">
        <v>704</v>
      </c>
      <c r="K16" s="5" t="s">
        <v>99</v>
      </c>
      <c r="L16" s="33">
        <f>H18</f>
        <v>1.121592038305996E-2</v>
      </c>
      <c r="M16" s="822">
        <f>F18</f>
        <v>1.147410819280675E-2</v>
      </c>
      <c r="O16" s="5" t="s">
        <v>704</v>
      </c>
      <c r="P16" s="83">
        <f>E18</f>
        <v>42.436245155922052</v>
      </c>
      <c r="Q16" s="52">
        <f>G18</f>
        <v>43.351955048669289</v>
      </c>
      <c r="R16" s="118">
        <f t="shared" si="2"/>
        <v>0.91570989274723757</v>
      </c>
      <c r="S16" s="116">
        <f t="shared" si="3"/>
        <v>2.1578485310909952E-2</v>
      </c>
      <c r="T16" s="123"/>
    </row>
    <row r="17" spans="2:48">
      <c r="B17" s="1200"/>
      <c r="D17" s="5" t="s">
        <v>14</v>
      </c>
      <c r="E17" s="72">
        <f>$T$648</f>
        <v>16.273479457649497</v>
      </c>
      <c r="F17" s="33">
        <f t="shared" si="4"/>
        <v>4.4000986252298252E-3</v>
      </c>
      <c r="G17" s="252">
        <f>$AC$648</f>
        <v>18.284628193385334</v>
      </c>
      <c r="H17" s="33">
        <f t="shared" si="5"/>
        <v>4.7305579141847347E-3</v>
      </c>
      <c r="J17" s="5" t="s">
        <v>14</v>
      </c>
      <c r="K17" s="5" t="s">
        <v>90</v>
      </c>
      <c r="L17" s="33">
        <f>H17</f>
        <v>4.7305579141847347E-3</v>
      </c>
      <c r="M17" s="822">
        <f>F17</f>
        <v>4.4000986252298252E-3</v>
      </c>
      <c r="O17" s="5" t="s">
        <v>14</v>
      </c>
      <c r="P17" s="83">
        <f>E17</f>
        <v>16.273479457649497</v>
      </c>
      <c r="Q17" s="52">
        <f>G17</f>
        <v>18.284628193385334</v>
      </c>
      <c r="R17" s="118">
        <f t="shared" si="2"/>
        <v>2.0111487357358371</v>
      </c>
      <c r="S17" s="116">
        <f t="shared" si="3"/>
        <v>0.12358443324733964</v>
      </c>
      <c r="T17" s="123"/>
    </row>
    <row r="18" spans="2:48">
      <c r="B18" s="1200"/>
      <c r="D18" s="5" t="s">
        <v>704</v>
      </c>
      <c r="E18" s="72">
        <f>$T$768</f>
        <v>42.436245155922052</v>
      </c>
      <c r="F18" s="33">
        <f t="shared" si="4"/>
        <v>1.147410819280675E-2</v>
      </c>
      <c r="G18" s="252">
        <f>$AC$768</f>
        <v>43.351955048669289</v>
      </c>
      <c r="H18" s="33">
        <f t="shared" si="5"/>
        <v>1.121592038305996E-2</v>
      </c>
      <c r="J18" s="5" t="s">
        <v>701</v>
      </c>
      <c r="K18" s="5" t="s">
        <v>80</v>
      </c>
      <c r="L18" s="33">
        <f>H15</f>
        <v>7.8957617495893553E-3</v>
      </c>
      <c r="M18" s="822">
        <f>F15</f>
        <v>6.9623924599935736E-4</v>
      </c>
      <c r="O18" s="5" t="s">
        <v>701</v>
      </c>
      <c r="P18" s="83">
        <f>E15</f>
        <v>2.5749957063264959</v>
      </c>
      <c r="Q18" s="52">
        <f>G15</f>
        <v>30.51882473775315</v>
      </c>
      <c r="R18" s="118">
        <f t="shared" si="2"/>
        <v>27.943829031426652</v>
      </c>
      <c r="S18" s="116">
        <f t="shared" si="3"/>
        <v>10.851990534497428</v>
      </c>
      <c r="T18" s="125"/>
    </row>
    <row r="19" spans="2:48">
      <c r="B19" s="1200"/>
      <c r="D19" s="5" t="s">
        <v>693</v>
      </c>
      <c r="E19" s="72">
        <f>$T$788</f>
        <v>145.07557415215766</v>
      </c>
      <c r="F19" s="33">
        <f>E19/$E$22</f>
        <v>3.9226204576752376E-2</v>
      </c>
      <c r="G19" s="252">
        <f>$AC$788</f>
        <v>145.0665075613193</v>
      </c>
      <c r="H19" s="33">
        <f t="shared" si="5"/>
        <v>3.7531280820662004E-2</v>
      </c>
      <c r="J19" s="5" t="str">
        <f>D23</f>
        <v>Policy Adjustments</v>
      </c>
      <c r="K19" s="106" t="s">
        <v>705</v>
      </c>
      <c r="L19" s="33">
        <f>Q19/Q21</f>
        <v>-1.0374480361766379E-2</v>
      </c>
      <c r="M19" s="822">
        <f>P19/P21</f>
        <v>1.5418800644218304E-2</v>
      </c>
      <c r="O19" s="5" t="str">
        <f>D23</f>
        <v>Policy Adjustments</v>
      </c>
      <c r="P19" s="83">
        <f>E23</f>
        <v>57.918467716130166</v>
      </c>
      <c r="Q19" s="52">
        <f>G23</f>
        <v>-39.687866612846292</v>
      </c>
      <c r="R19" s="118">
        <f>Q19-P19</f>
        <v>-97.606334328976459</v>
      </c>
      <c r="S19" s="116">
        <f>R19/P19</f>
        <v>-1.685236819581698</v>
      </c>
      <c r="T19" s="123"/>
    </row>
    <row r="20" spans="2:48">
      <c r="B20" s="1200"/>
      <c r="D20" s="5" t="s">
        <v>702</v>
      </c>
      <c r="E20" s="72">
        <f>$T$868</f>
        <v>9.6891930750550355</v>
      </c>
      <c r="F20" s="33">
        <f t="shared" si="4"/>
        <v>2.6198088269989359E-3</v>
      </c>
      <c r="G20" s="252">
        <f>$AC$868+$AC$888</f>
        <v>14.659707132213819</v>
      </c>
      <c r="H20" s="33">
        <f t="shared" si="5"/>
        <v>3.7927264837144519E-3</v>
      </c>
      <c r="J20" s="823" t="s">
        <v>706</v>
      </c>
      <c r="K20" s="823" t="s">
        <v>706</v>
      </c>
      <c r="L20" s="824">
        <f>H21</f>
        <v>7.4407266284748242E-3</v>
      </c>
      <c r="M20" s="825">
        <f>F21</f>
        <v>0</v>
      </c>
      <c r="O20" s="5" t="s">
        <v>706</v>
      </c>
      <c r="P20" s="83">
        <f>E21</f>
        <v>0</v>
      </c>
      <c r="Q20" s="52">
        <f>G21</f>
        <v>28.760015701811952</v>
      </c>
      <c r="R20" s="118">
        <f>Q20-P20</f>
        <v>28.760015701811952</v>
      </c>
      <c r="S20" s="116" t="e">
        <f>R20/P20</f>
        <v>#DIV/0!</v>
      </c>
      <c r="AN20" s="9"/>
      <c r="AO20" s="9"/>
      <c r="AP20" s="13"/>
      <c r="AQ20" s="9"/>
      <c r="AR20" s="9"/>
      <c r="AS20" s="13"/>
      <c r="AT20" s="9"/>
      <c r="AU20" s="9"/>
      <c r="AV20" s="13"/>
    </row>
    <row r="21" spans="2:48">
      <c r="B21" s="1200"/>
      <c r="D21" s="5" t="s">
        <v>706</v>
      </c>
      <c r="E21" s="72">
        <f>$T$808</f>
        <v>0</v>
      </c>
      <c r="F21" s="33">
        <f t="shared" si="4"/>
        <v>0</v>
      </c>
      <c r="G21" s="252">
        <f>$AC$808</f>
        <v>28.760015701811952</v>
      </c>
      <c r="H21" s="33">
        <f t="shared" si="5"/>
        <v>7.4407266284748242E-3</v>
      </c>
      <c r="L21" s="819"/>
      <c r="M21" s="13"/>
      <c r="O21" s="4" t="s">
        <v>174</v>
      </c>
      <c r="P21" s="84">
        <f>SUM(P4:P20)</f>
        <v>3756.3536264961222</v>
      </c>
      <c r="Q21" s="59">
        <f>SUM(Q4:Q20)</f>
        <v>3825.5281449189579</v>
      </c>
      <c r="R21" s="119">
        <f>Q21-P21</f>
        <v>69.174518422835718</v>
      </c>
      <c r="S21" s="117">
        <f>R21/P21</f>
        <v>1.8415337133037928E-2</v>
      </c>
      <c r="AN21" s="9"/>
      <c r="AO21" s="9"/>
      <c r="AP21" s="13"/>
      <c r="AQ21" s="9"/>
      <c r="AR21" s="9"/>
      <c r="AS21" s="13"/>
      <c r="AT21" s="9"/>
      <c r="AU21" s="9"/>
      <c r="AV21" s="13"/>
    </row>
    <row r="22" spans="2:48">
      <c r="B22" s="1200"/>
      <c r="D22" s="66" t="s">
        <v>707</v>
      </c>
      <c r="E22" s="818">
        <f>$T$908</f>
        <v>3698.4351587799929</v>
      </c>
      <c r="F22" s="323">
        <f>SUM(F9:F21)</f>
        <v>1</v>
      </c>
      <c r="G22" s="253">
        <f>AC908</f>
        <v>3865.2160115318047</v>
      </c>
      <c r="H22" s="323">
        <f>SUM(H9:H21)</f>
        <v>1.0000000000000002</v>
      </c>
      <c r="L22" s="1"/>
      <c r="AN22" s="9"/>
      <c r="AO22" s="9"/>
      <c r="AP22" s="13"/>
      <c r="AQ22" s="9"/>
      <c r="AR22" s="9"/>
      <c r="AS22" s="13"/>
      <c r="AT22" s="9"/>
      <c r="AU22" s="9"/>
      <c r="AV22" s="13"/>
    </row>
    <row r="23" spans="2:48">
      <c r="B23" s="1200"/>
      <c r="D23" s="66" t="s">
        <v>708</v>
      </c>
      <c r="E23" s="72">
        <f>T928</f>
        <v>57.918467716130166</v>
      </c>
      <c r="F23" s="244"/>
      <c r="G23" s="252">
        <f>AC928</f>
        <v>-39.687866612846292</v>
      </c>
      <c r="P23" s="112"/>
      <c r="Q23" s="112"/>
      <c r="AN23" s="9"/>
      <c r="AO23" s="9"/>
      <c r="AP23" s="13"/>
      <c r="AQ23" s="9"/>
      <c r="AR23" s="9"/>
      <c r="AS23" s="13"/>
      <c r="AT23" s="9"/>
      <c r="AU23" s="9"/>
      <c r="AV23" s="13"/>
    </row>
    <row r="24" spans="2:48">
      <c r="B24" s="1200"/>
      <c r="D24" s="66" t="s">
        <v>709</v>
      </c>
      <c r="E24" s="258">
        <f>'Ch3 financial performance '!E142</f>
        <v>3832.2051402706834</v>
      </c>
      <c r="F24" s="244"/>
      <c r="G24" s="253">
        <f>'Ch3 financial performance '!F142</f>
        <v>3846.4306220342046</v>
      </c>
      <c r="AN24" s="9"/>
      <c r="AO24" s="9"/>
      <c r="AP24" s="13"/>
      <c r="AQ24" s="9"/>
      <c r="AR24" s="9"/>
      <c r="AS24" s="13"/>
      <c r="AT24" s="9"/>
      <c r="AU24" s="9"/>
      <c r="AV24" s="13"/>
    </row>
    <row r="25" spans="2:48">
      <c r="B25" s="1200"/>
      <c r="D25" s="37" t="s">
        <v>710</v>
      </c>
      <c r="E25" s="820">
        <f>E24-(E22+E23)</f>
        <v>75.851513774560317</v>
      </c>
      <c r="F25" s="244"/>
      <c r="G25" s="820">
        <f>G24-(G22+G23)</f>
        <v>20.902477115246256</v>
      </c>
    </row>
    <row r="26" spans="2:48">
      <c r="B26" s="1200"/>
      <c r="D26" s="2" t="s">
        <v>711</v>
      </c>
      <c r="G26" s="44"/>
    </row>
    <row r="27" spans="2:48" ht="23">
      <c r="B27" s="1200"/>
      <c r="D27" s="1" t="s">
        <v>631</v>
      </c>
      <c r="E27" s="100" t="s">
        <v>674</v>
      </c>
      <c r="F27" s="100" t="s">
        <v>675</v>
      </c>
      <c r="G27" s="251" t="s">
        <v>298</v>
      </c>
      <c r="H27" s="100" t="s">
        <v>676</v>
      </c>
      <c r="J27" s="1" t="s">
        <v>631</v>
      </c>
      <c r="K27" s="129" t="s">
        <v>677</v>
      </c>
      <c r="L27" s="100" t="s">
        <v>676</v>
      </c>
      <c r="M27" s="100" t="s">
        <v>675</v>
      </c>
      <c r="O27" s="1" t="s">
        <v>631</v>
      </c>
      <c r="P27" s="100" t="s">
        <v>678</v>
      </c>
      <c r="Q27" s="100" t="s">
        <v>679</v>
      </c>
      <c r="R27" s="100" t="s">
        <v>680</v>
      </c>
      <c r="S27" s="100" t="s">
        <v>681</v>
      </c>
      <c r="U27"/>
    </row>
    <row r="28" spans="2:48">
      <c r="B28" s="1200"/>
      <c r="D28" s="5" t="s">
        <v>682</v>
      </c>
      <c r="E28" s="72">
        <f>SUM(N185:T185)</f>
        <v>2898.5545143159875</v>
      </c>
      <c r="F28" s="33">
        <f t="shared" ref="F28:F33" si="6">E28/$E$46</f>
        <v>0.10540694381311301</v>
      </c>
      <c r="G28" s="252">
        <f>SUM(W185:AC185)</f>
        <v>1915.1273747896275</v>
      </c>
      <c r="H28" s="33">
        <f t="shared" ref="H28:H33" si="7">G28/$G$46</f>
        <v>7.1272927624516855E-2</v>
      </c>
      <c r="J28" s="5" t="s">
        <v>683</v>
      </c>
      <c r="K28" s="5" t="s">
        <v>684</v>
      </c>
      <c r="L28" s="33">
        <f>H29</f>
        <v>0.21060063909863044</v>
      </c>
      <c r="M28" s="33">
        <f>F29</f>
        <v>0.25264251233849</v>
      </c>
      <c r="N28" s="112"/>
      <c r="O28" s="5" t="str">
        <f>D29</f>
        <v>Replacing &amp; refurbishing equipment</v>
      </c>
      <c r="P28" s="83">
        <f>E29</f>
        <v>6947.3420645344831</v>
      </c>
      <c r="Q28" s="52">
        <f>G29</f>
        <v>5658.9095260798476</v>
      </c>
      <c r="R28" s="118">
        <f>Q28-P28</f>
        <v>-1288.4325384546355</v>
      </c>
      <c r="S28" s="116">
        <f>R28/P28</f>
        <v>-0.18545690229245518</v>
      </c>
      <c r="T28" s="124"/>
    </row>
    <row r="29" spans="2:48">
      <c r="B29" s="1200"/>
      <c r="D29" s="5" t="s">
        <v>683</v>
      </c>
      <c r="E29" s="72">
        <f>SUM(N205:T205)</f>
        <v>6947.3420645344831</v>
      </c>
      <c r="F29" s="33">
        <f t="shared" si="6"/>
        <v>0.25264251233849</v>
      </c>
      <c r="G29" s="252">
        <f>SUM(W205:AC205)</f>
        <v>5658.9095260798476</v>
      </c>
      <c r="H29" s="33">
        <f t="shared" si="7"/>
        <v>0.21060063909863044</v>
      </c>
      <c r="J29" s="5" t="s">
        <v>685</v>
      </c>
      <c r="K29" s="5" t="s">
        <v>686</v>
      </c>
      <c r="L29" s="33">
        <f>H31</f>
        <v>0.22512919559244657</v>
      </c>
      <c r="M29" s="33">
        <f>F31</f>
        <v>0.19564701109525301</v>
      </c>
      <c r="N29" s="112"/>
      <c r="O29" s="5" t="str">
        <f>D31</f>
        <v>Operational Support</v>
      </c>
      <c r="P29" s="83">
        <f>E31</f>
        <v>5380.0395562937019</v>
      </c>
      <c r="Q29" s="52">
        <f>G31</f>
        <v>6049.2966924955263</v>
      </c>
      <c r="R29" s="118">
        <f t="shared" ref="R29:R43" si="8">Q29-P29</f>
        <v>669.25713620182432</v>
      </c>
      <c r="S29" s="116">
        <f t="shared" ref="S29:S43" si="9">R29/P29</f>
        <v>0.12439632259188707</v>
      </c>
      <c r="T29" s="123"/>
      <c r="U29"/>
    </row>
    <row r="30" spans="2:48">
      <c r="B30" s="1200"/>
      <c r="D30" s="5" t="s">
        <v>687</v>
      </c>
      <c r="E30" s="72">
        <f>SUM(N225:T225)</f>
        <v>3207.4097427612787</v>
      </c>
      <c r="F30" s="33">
        <f t="shared" si="6"/>
        <v>0.11663857169878056</v>
      </c>
      <c r="G30" s="252">
        <f>SUM(W225:AC225)</f>
        <v>3898.3890841515367</v>
      </c>
      <c r="H30" s="33">
        <f t="shared" si="7"/>
        <v>0.14508152653682377</v>
      </c>
      <c r="J30" s="5" t="s">
        <v>53</v>
      </c>
      <c r="K30" s="5" t="s">
        <v>688</v>
      </c>
      <c r="L30" s="33">
        <f>H30</f>
        <v>0.14508152653682377</v>
      </c>
      <c r="M30" s="33">
        <f>F30</f>
        <v>0.11663857169878056</v>
      </c>
      <c r="N30" s="112"/>
      <c r="O30" s="5" t="str">
        <f>D30</f>
        <v>Network Faults</v>
      </c>
      <c r="P30" s="83">
        <f>E30</f>
        <v>3207.4097427612787</v>
      </c>
      <c r="Q30" s="52">
        <f>G30</f>
        <v>3898.3890841515367</v>
      </c>
      <c r="R30" s="118">
        <f t="shared" si="8"/>
        <v>690.97934139025801</v>
      </c>
      <c r="S30" s="116">
        <f t="shared" si="9"/>
        <v>0.21543220131126423</v>
      </c>
      <c r="T30" s="123"/>
    </row>
    <row r="31" spans="2:48">
      <c r="B31" s="1200"/>
      <c r="D31" s="5" t="s">
        <v>689</v>
      </c>
      <c r="E31" s="72">
        <f>SUM(N245:T245)</f>
        <v>5380.0395562937019</v>
      </c>
      <c r="F31" s="33">
        <f>E31/$E$46</f>
        <v>0.19564701109525301</v>
      </c>
      <c r="G31" s="252">
        <f>SUM(W245:AC245)</f>
        <v>6049.2966924955263</v>
      </c>
      <c r="H31" s="33">
        <f t="shared" si="7"/>
        <v>0.22512919559244657</v>
      </c>
      <c r="J31" s="5" t="s">
        <v>682</v>
      </c>
      <c r="K31" s="5" t="s">
        <v>690</v>
      </c>
      <c r="L31" s="33">
        <f>H28</f>
        <v>7.1272927624516855E-2</v>
      </c>
      <c r="M31" s="33">
        <f>F28</f>
        <v>0.10540694381311301</v>
      </c>
      <c r="O31" s="5" t="str">
        <f>D28</f>
        <v>Network Reinforcement</v>
      </c>
      <c r="P31" s="83">
        <f>E28</f>
        <v>2898.5545143159875</v>
      </c>
      <c r="Q31" s="52">
        <f>G28</f>
        <v>1915.1273747896275</v>
      </c>
      <c r="R31" s="118">
        <f t="shared" si="8"/>
        <v>-983.42713952635995</v>
      </c>
      <c r="S31" s="116">
        <f t="shared" si="9"/>
        <v>-0.33928191954617526</v>
      </c>
      <c r="T31" s="123"/>
    </row>
    <row r="32" spans="2:48">
      <c r="B32" s="1200"/>
      <c r="D32" s="5" t="s">
        <v>107</v>
      </c>
      <c r="E32" s="72">
        <f>SUM(N265:T265)</f>
        <v>2912.3545019292173</v>
      </c>
      <c r="F32" s="33">
        <f t="shared" si="6"/>
        <v>0.10590878516603047</v>
      </c>
      <c r="G32" s="252">
        <f>SUM(W265:AC265)</f>
        <v>3067.0765685292322</v>
      </c>
      <c r="H32" s="33">
        <f t="shared" si="7"/>
        <v>0.11414359648618574</v>
      </c>
      <c r="J32" s="5" t="s">
        <v>691</v>
      </c>
      <c r="K32" s="5" t="s">
        <v>57</v>
      </c>
      <c r="L32" s="33">
        <f>H32</f>
        <v>0.11414359648618574</v>
      </c>
      <c r="M32" s="33">
        <f>F32</f>
        <v>0.10590878516603047</v>
      </c>
      <c r="O32" s="5" t="str">
        <f>D32</f>
        <v>Business Support</v>
      </c>
      <c r="P32" s="83">
        <f>E32</f>
        <v>2912.3545019292173</v>
      </c>
      <c r="Q32" s="52">
        <f>G32</f>
        <v>3067.0765685292322</v>
      </c>
      <c r="R32" s="118">
        <f t="shared" si="8"/>
        <v>154.72206660001484</v>
      </c>
      <c r="S32" s="116">
        <f t="shared" si="9"/>
        <v>5.3126110333588522E-2</v>
      </c>
      <c r="T32" s="123"/>
    </row>
    <row r="33" spans="2:48">
      <c r="B33" s="1200"/>
      <c r="D33" s="4" t="s">
        <v>692</v>
      </c>
      <c r="E33" s="903">
        <f>SUM(N165:T165)</f>
        <v>21345.70037983467</v>
      </c>
      <c r="F33" s="35">
        <f t="shared" si="6"/>
        <v>0.77624382411166715</v>
      </c>
      <c r="G33" s="253">
        <f>SUM(W165:AC165)</f>
        <v>20588.799246045775</v>
      </c>
      <c r="H33" s="35">
        <f t="shared" si="7"/>
        <v>0.76622788533860353</v>
      </c>
      <c r="J33" s="5" t="s">
        <v>290</v>
      </c>
      <c r="K33" s="5" t="s">
        <v>59</v>
      </c>
      <c r="L33" s="33">
        <f>H35</f>
        <v>3.9586816214461355E-2</v>
      </c>
      <c r="M33" s="33">
        <f>F35</f>
        <v>4.2105253058201932E-2</v>
      </c>
      <c r="O33" s="5" t="str">
        <f>D35</f>
        <v>Resilience</v>
      </c>
      <c r="P33" s="83">
        <f>E35</f>
        <v>1157.8399573433555</v>
      </c>
      <c r="Q33" s="52">
        <f>G35</f>
        <v>1063.7109761014221</v>
      </c>
      <c r="R33" s="118">
        <f t="shared" si="8"/>
        <v>-94.128981241933388</v>
      </c>
      <c r="S33" s="116">
        <f t="shared" si="9"/>
        <v>-8.129705720116169E-2</v>
      </c>
      <c r="T33" s="123"/>
    </row>
    <row r="34" spans="2:48">
      <c r="B34" s="1200"/>
      <c r="D34" s="5"/>
      <c r="E34" s="72"/>
      <c r="F34" s="79"/>
      <c r="G34" s="252"/>
      <c r="H34" s="79"/>
      <c r="J34" s="5" t="s">
        <v>693</v>
      </c>
      <c r="K34" s="5" t="s">
        <v>101</v>
      </c>
      <c r="L34" s="33">
        <f>H43</f>
        <v>4.2270604146302279E-2</v>
      </c>
      <c r="M34" s="33">
        <f>F43</f>
        <v>3.8473197936016841E-2</v>
      </c>
      <c r="O34" s="5" t="str">
        <f>D43</f>
        <v>Property &amp; equipment</v>
      </c>
      <c r="P34" s="83">
        <f>E43</f>
        <v>1057.9631428773203</v>
      </c>
      <c r="Q34" s="52">
        <f>G43</f>
        <v>1135.8252543793722</v>
      </c>
      <c r="R34" s="118">
        <f t="shared" si="8"/>
        <v>77.862111502051903</v>
      </c>
      <c r="S34" s="116">
        <f t="shared" si="9"/>
        <v>7.3596242011127105E-2</v>
      </c>
      <c r="T34" s="123"/>
    </row>
    <row r="35" spans="2:48">
      <c r="B35" s="1200"/>
      <c r="D35" s="5" t="s">
        <v>290</v>
      </c>
      <c r="E35" s="72">
        <f>SUM(N285:T285)</f>
        <v>1157.8399573433555</v>
      </c>
      <c r="F35" s="33">
        <f t="shared" ref="F35:F45" si="10">E35/$E$46</f>
        <v>4.2105253058201932E-2</v>
      </c>
      <c r="G35" s="252">
        <f>SUM(W285:AC285)</f>
        <v>1063.7109761014221</v>
      </c>
      <c r="H35" s="33">
        <f t="shared" ref="H35:H45" si="11">G35/$G$46</f>
        <v>3.9586816214461355E-2</v>
      </c>
      <c r="J35" s="5" t="s">
        <v>694</v>
      </c>
      <c r="K35" s="5" t="s">
        <v>695</v>
      </c>
      <c r="L35" s="33">
        <f>H40</f>
        <v>4.1559878606628242E-2</v>
      </c>
      <c r="M35" s="33">
        <f>F40</f>
        <v>3.8191729905553397E-2</v>
      </c>
      <c r="O35" s="5" t="str">
        <f>D40</f>
        <v xml:space="preserve">Network inspection </v>
      </c>
      <c r="P35" s="83">
        <f>E40</f>
        <v>1050.2231363765916</v>
      </c>
      <c r="Q35" s="52">
        <f>G40</f>
        <v>1116.7278217025128</v>
      </c>
      <c r="R35" s="118">
        <f t="shared" si="8"/>
        <v>66.504685325921173</v>
      </c>
      <c r="S35" s="116">
        <f t="shared" si="9"/>
        <v>6.33243384404681E-2</v>
      </c>
      <c r="T35" s="123"/>
    </row>
    <row r="36" spans="2:48">
      <c r="B36" s="1200"/>
      <c r="D36" s="5" t="s">
        <v>696</v>
      </c>
      <c r="E36" s="72">
        <f>$N$368+$N$388+$O$368+$O$388+$P$368+$P$388+Q368+Q388+R368+R388+$S$368+$S$388+$T$368+$T$388</f>
        <v>752.7986742549125</v>
      </c>
      <c r="F36" s="33">
        <f t="shared" si="10"/>
        <v>2.7375785815951403E-2</v>
      </c>
      <c r="G36" s="252">
        <f>$W$368+$W$388+$X$368+$X$388+$Y$368+$Y$388+Z368+Z388+$AA$368+$AA$388+AB368+AB388+AC368+AC388</f>
        <v>765.79677983857516</v>
      </c>
      <c r="H36" s="33">
        <f t="shared" si="11"/>
        <v>2.8499711916299242E-2</v>
      </c>
      <c r="J36" s="5" t="s">
        <v>696</v>
      </c>
      <c r="K36" s="5" t="s">
        <v>697</v>
      </c>
      <c r="L36" s="33">
        <f>H36</f>
        <v>2.8499711916299242E-2</v>
      </c>
      <c r="M36" s="33">
        <f>F36</f>
        <v>2.7375785815951403E-2</v>
      </c>
      <c r="O36" s="5" t="str">
        <f>D36</f>
        <v>Re-routing</v>
      </c>
      <c r="P36" s="83">
        <f>E36</f>
        <v>752.7986742549125</v>
      </c>
      <c r="Q36" s="52">
        <f>G36</f>
        <v>765.79677983857516</v>
      </c>
      <c r="R36" s="118">
        <f t="shared" si="8"/>
        <v>12.998105583662664</v>
      </c>
      <c r="S36" s="116">
        <f t="shared" si="9"/>
        <v>1.72663768258195E-2</v>
      </c>
      <c r="T36" s="123"/>
    </row>
    <row r="37" spans="2:48">
      <c r="B37" s="1200"/>
      <c r="D37" s="5" t="s">
        <v>698</v>
      </c>
      <c r="E37" s="72">
        <f>SUM(N468:T468)</f>
        <v>497.34824129888841</v>
      </c>
      <c r="F37" s="33">
        <f>E37/$E$46</f>
        <v>1.8086241906860846E-2</v>
      </c>
      <c r="G37" s="252">
        <f>SUM(W468:AC468)</f>
        <v>415.78441774842463</v>
      </c>
      <c r="H37" s="33">
        <f t="shared" si="11"/>
        <v>1.5473734595246228E-2</v>
      </c>
      <c r="J37" s="5" t="s">
        <v>699</v>
      </c>
      <c r="K37" s="5" t="s">
        <v>700</v>
      </c>
      <c r="L37" s="33">
        <f>H38</f>
        <v>2.7550236776971614E-2</v>
      </c>
      <c r="M37" s="33">
        <f>F38</f>
        <v>2.6678930336117426E-2</v>
      </c>
      <c r="O37" s="5" t="str">
        <f>D38</f>
        <v>Legal &amp; safety compliance</v>
      </c>
      <c r="P37" s="83">
        <f>E38</f>
        <v>733.63605058108828</v>
      </c>
      <c r="Q37" s="52">
        <f>G38</f>
        <v>740.28406566204899</v>
      </c>
      <c r="R37" s="118">
        <f t="shared" si="8"/>
        <v>6.6480150809607039</v>
      </c>
      <c r="S37" s="116">
        <f t="shared" si="9"/>
        <v>9.0617344604249431E-3</v>
      </c>
      <c r="T37" s="123"/>
    </row>
    <row r="38" spans="2:48">
      <c r="B38" s="1200"/>
      <c r="D38" s="5" t="s">
        <v>699</v>
      </c>
      <c r="E38" s="72">
        <f>$O$528+$O$628+$N$528+$N$628+$P$528+$P$628+Q528+Q628+R528+R628+S528+S628+T528+T628</f>
        <v>733.63605058108828</v>
      </c>
      <c r="F38" s="33">
        <f t="shared" si="10"/>
        <v>2.6678930336117426E-2</v>
      </c>
      <c r="G38" s="252">
        <f>$W$528+$W$628+$X$528+$X$628+$Y$528+$Y$628+Z528+Z628+$AA$528+$AA$628+AB528+AB628+AC528+AC628</f>
        <v>740.28406566204899</v>
      </c>
      <c r="H38" s="33">
        <f t="shared" si="11"/>
        <v>2.7550236776971614E-2</v>
      </c>
      <c r="J38" s="5" t="s">
        <v>698</v>
      </c>
      <c r="K38" s="5" t="s">
        <v>74</v>
      </c>
      <c r="L38" s="33">
        <f>H37</f>
        <v>1.5473734595246228E-2</v>
      </c>
      <c r="M38" s="33">
        <f>F37</f>
        <v>1.8086241906860846E-2</v>
      </c>
      <c r="O38" s="5" t="str">
        <f>D37</f>
        <v>IT</v>
      </c>
      <c r="P38" s="83">
        <f>E37</f>
        <v>497.34824129888841</v>
      </c>
      <c r="Q38" s="52">
        <f>G37</f>
        <v>415.78441774842463</v>
      </c>
      <c r="R38" s="118">
        <f t="shared" si="8"/>
        <v>-81.563823550463781</v>
      </c>
      <c r="S38" s="116">
        <f t="shared" si="9"/>
        <v>-0.1639974102199486</v>
      </c>
      <c r="T38" s="123"/>
    </row>
    <row r="39" spans="2:48">
      <c r="B39" s="1200"/>
      <c r="D39" s="5" t="s">
        <v>701</v>
      </c>
      <c r="E39" s="72">
        <f>SUM(N548:T548)</f>
        <v>59.397668599597544</v>
      </c>
      <c r="F39" s="33">
        <f>E39/$E$46</f>
        <v>2.1600168931737909E-3</v>
      </c>
      <c r="G39" s="252">
        <f>SUM(W548:AC548)</f>
        <v>267.78086637503333</v>
      </c>
      <c r="H39" s="33">
        <f t="shared" si="11"/>
        <v>9.9656694168839145E-3</v>
      </c>
      <c r="J39" s="5" t="s">
        <v>702</v>
      </c>
      <c r="K39" s="5" t="s">
        <v>703</v>
      </c>
      <c r="L39" s="33">
        <f>H44</f>
        <v>8.4361524971177399E-3</v>
      </c>
      <c r="M39" s="33">
        <f>F44</f>
        <v>7.8417160685684897E-3</v>
      </c>
      <c r="O39" s="5" t="str">
        <f>D44</f>
        <v>High value projects</v>
      </c>
      <c r="P39" s="83">
        <f>E44</f>
        <v>215.63704143470065</v>
      </c>
      <c r="Q39" s="52">
        <f>G44</f>
        <v>226.68223578867725</v>
      </c>
      <c r="R39" s="118">
        <f t="shared" si="8"/>
        <v>11.045194353976598</v>
      </c>
      <c r="S39" s="116">
        <f t="shared" si="9"/>
        <v>5.1221229342090148E-2</v>
      </c>
      <c r="T39" s="123"/>
    </row>
    <row r="40" spans="2:48">
      <c r="B40" s="1200"/>
      <c r="D40" s="5" t="s">
        <v>694</v>
      </c>
      <c r="E40" s="72">
        <f>SUM(N748:T748)</f>
        <v>1050.2231363765916</v>
      </c>
      <c r="F40" s="33">
        <f t="shared" si="10"/>
        <v>3.8191729905553397E-2</v>
      </c>
      <c r="G40" s="252">
        <f>SUM(W748:AC748)</f>
        <v>1116.7278217025128</v>
      </c>
      <c r="H40" s="33">
        <f>G40/$G$46</f>
        <v>4.1559878606628242E-2</v>
      </c>
      <c r="J40" s="5" t="s">
        <v>704</v>
      </c>
      <c r="K40" s="5" t="s">
        <v>99</v>
      </c>
      <c r="L40" s="33">
        <f>H42</f>
        <v>9.4749175009002668E-3</v>
      </c>
      <c r="M40" s="33">
        <f>F42</f>
        <v>1.0955143429865003E-2</v>
      </c>
      <c r="O40" s="5" t="s">
        <v>704</v>
      </c>
      <c r="P40" s="83">
        <f>E42</f>
        <v>301.25226379691327</v>
      </c>
      <c r="Q40" s="52">
        <f>G42</f>
        <v>254.59419845138478</v>
      </c>
      <c r="R40" s="118">
        <f t="shared" si="8"/>
        <v>-46.658065345528485</v>
      </c>
      <c r="S40" s="116">
        <f t="shared" si="9"/>
        <v>-0.15488038083917149</v>
      </c>
      <c r="T40" s="123"/>
    </row>
    <row r="41" spans="2:48">
      <c r="B41" s="1200"/>
      <c r="D41" s="5" t="s">
        <v>14</v>
      </c>
      <c r="E41" s="72">
        <f>SUM(N648:T648)</f>
        <v>131.52631600675952</v>
      </c>
      <c r="F41" s="33">
        <f t="shared" si="10"/>
        <v>4.7830002619570801E-3</v>
      </c>
      <c r="G41" s="252">
        <f>SUM(W648:AC648)</f>
        <v>92.431800183491234</v>
      </c>
      <c r="H41" s="33">
        <f t="shared" si="11"/>
        <v>3.4399200238080449E-3</v>
      </c>
      <c r="J41" s="5" t="s">
        <v>14</v>
      </c>
      <c r="K41" s="5" t="s">
        <v>90</v>
      </c>
      <c r="L41" s="33">
        <f>H41</f>
        <v>3.4399200238080449E-3</v>
      </c>
      <c r="M41" s="33">
        <f>F41</f>
        <v>4.7830002619570801E-3</v>
      </c>
      <c r="O41" s="5" t="str">
        <f>D41</f>
        <v>Environment</v>
      </c>
      <c r="P41" s="83">
        <f>E41</f>
        <v>131.52631600675952</v>
      </c>
      <c r="Q41" s="52">
        <f>G41</f>
        <v>92.431800183491234</v>
      </c>
      <c r="R41" s="118">
        <f t="shared" si="8"/>
        <v>-39.094515823268281</v>
      </c>
      <c r="S41" s="116">
        <f t="shared" si="9"/>
        <v>-0.29723721465185038</v>
      </c>
      <c r="T41" s="123"/>
    </row>
    <row r="42" spans="2:48">
      <c r="B42" s="1200"/>
      <c r="D42" s="5" t="s">
        <v>704</v>
      </c>
      <c r="E42" s="72">
        <f>SUM(N768:T768)</f>
        <v>301.25226379691327</v>
      </c>
      <c r="F42" s="33">
        <f>E42/$E$46</f>
        <v>1.0955143429865003E-2</v>
      </c>
      <c r="G42" s="252">
        <f>SUM(W768:AC768)</f>
        <v>254.59419845138478</v>
      </c>
      <c r="H42" s="33">
        <f t="shared" si="11"/>
        <v>9.4749175009002668E-3</v>
      </c>
      <c r="J42" s="5" t="s">
        <v>701</v>
      </c>
      <c r="K42" s="5" t="s">
        <v>80</v>
      </c>
      <c r="L42" s="33">
        <f>H39</f>
        <v>9.9656694168839145E-3</v>
      </c>
      <c r="M42" s="33">
        <f>F39</f>
        <v>2.1600168931737909E-3</v>
      </c>
      <c r="O42" s="5" t="str">
        <f>D39</f>
        <v>Service quality</v>
      </c>
      <c r="P42" s="83">
        <f>E39</f>
        <v>59.397668599597544</v>
      </c>
      <c r="Q42" s="52">
        <f>G39</f>
        <v>267.78086637503333</v>
      </c>
      <c r="R42" s="118">
        <f t="shared" si="8"/>
        <v>208.38319777543578</v>
      </c>
      <c r="S42" s="116">
        <f t="shared" si="9"/>
        <v>3.5082723394441055</v>
      </c>
      <c r="T42" s="125"/>
    </row>
    <row r="43" spans="2:48">
      <c r="B43" s="1200"/>
      <c r="D43" s="5" t="s">
        <v>693</v>
      </c>
      <c r="E43" s="72">
        <f>SUM(N788:T788)</f>
        <v>1057.9631428773203</v>
      </c>
      <c r="F43" s="33">
        <f t="shared" si="10"/>
        <v>3.8473197936016841E-2</v>
      </c>
      <c r="G43" s="252">
        <f>SUM(W788:AC788)</f>
        <v>1135.8252543793722</v>
      </c>
      <c r="H43" s="33">
        <f t="shared" si="11"/>
        <v>4.2270604146302279E-2</v>
      </c>
      <c r="J43" s="5" t="str">
        <f>D47</f>
        <v>Policy Adjustments</v>
      </c>
      <c r="K43" s="106" t="s">
        <v>705</v>
      </c>
      <c r="L43" s="33">
        <f>Q43/Q45</f>
        <v>-1.6001705805584242E-3</v>
      </c>
      <c r="M43" s="33">
        <f>P43/P45</f>
        <v>1.2761613450500586E-2</v>
      </c>
      <c r="O43" s="5" t="str">
        <f>D47</f>
        <v>Policy Adjustments</v>
      </c>
      <c r="P43" s="83">
        <f>E47</f>
        <v>355.46414707934628</v>
      </c>
      <c r="Q43" s="52">
        <f>G47</f>
        <v>-42.928425251332797</v>
      </c>
      <c r="R43" s="118">
        <f t="shared" si="8"/>
        <v>-398.39257233067906</v>
      </c>
      <c r="S43" s="116">
        <f t="shared" si="9"/>
        <v>-1.1207672436279499</v>
      </c>
      <c r="T43" s="123"/>
    </row>
    <row r="44" spans="2:48">
      <c r="B44" s="1200"/>
      <c r="D44" s="5" t="s">
        <v>702</v>
      </c>
      <c r="E44" s="72">
        <f>SUM(N868:T868)</f>
        <v>215.63704143470065</v>
      </c>
      <c r="F44" s="33">
        <f t="shared" si="10"/>
        <v>7.8417160685684897E-3</v>
      </c>
      <c r="G44" s="252">
        <f>$W$868+$W$888+$X$868+$X$888+$Y$868+$Y$888+Z868+Z888+$AA$868+$AA$888+AB868+AB888+AC868+AC888</f>
        <v>226.68223578867725</v>
      </c>
      <c r="H44" s="33">
        <f t="shared" si="11"/>
        <v>8.4361524971177399E-3</v>
      </c>
      <c r="J44" s="5" t="s">
        <v>706</v>
      </c>
      <c r="K44" s="5" t="s">
        <v>706</v>
      </c>
      <c r="L44" s="33">
        <f>H45</f>
        <v>7.5144729667776912E-3</v>
      </c>
      <c r="M44" s="33">
        <f>F45</f>
        <v>7.1051602760666913E-3</v>
      </c>
      <c r="O44" s="5" t="s">
        <v>706</v>
      </c>
      <c r="P44" s="83">
        <f>E45</f>
        <v>195.38271055127282</v>
      </c>
      <c r="Q44" s="52">
        <f>G45</f>
        <v>201.9163989110815</v>
      </c>
      <c r="R44" s="118">
        <f>Q44-P44</f>
        <v>6.5336883598086786</v>
      </c>
      <c r="S44" s="116">
        <f>R44/P44</f>
        <v>3.3440463290604683E-2</v>
      </c>
      <c r="Z44" s="9"/>
      <c r="AA44" s="9"/>
      <c r="AH44" s="13"/>
    </row>
    <row r="45" spans="2:48">
      <c r="B45" s="1200"/>
      <c r="D45" s="5" t="s">
        <v>706</v>
      </c>
      <c r="E45" s="72">
        <f>SUM(N808:T808)</f>
        <v>195.38271055127282</v>
      </c>
      <c r="F45" s="33">
        <f t="shared" si="10"/>
        <v>7.1051602760666913E-3</v>
      </c>
      <c r="G45" s="252">
        <f>SUM(W808:AC808)</f>
        <v>201.9163989110815</v>
      </c>
      <c r="H45" s="33">
        <f t="shared" si="11"/>
        <v>7.5144729667776912E-3</v>
      </c>
      <c r="L45" s="1"/>
      <c r="O45" s="4" t="s">
        <v>174</v>
      </c>
      <c r="P45" s="84">
        <f>SUM(P28:P44)</f>
        <v>27854.169730035417</v>
      </c>
      <c r="Q45" s="59">
        <f>SUM(Q28:Q44)</f>
        <v>26827.405635936466</v>
      </c>
      <c r="R45" s="119">
        <f>Q45-P45</f>
        <v>-1026.7640940989513</v>
      </c>
      <c r="S45" s="117">
        <f>R45/P45</f>
        <v>-3.6862132458099509E-2</v>
      </c>
      <c r="Z45" s="9"/>
      <c r="AA45" s="9"/>
      <c r="AH45" s="13"/>
    </row>
    <row r="46" spans="2:48">
      <c r="B46" s="1200"/>
      <c r="D46" s="66" t="s">
        <v>707</v>
      </c>
      <c r="E46" s="84">
        <f>SUM(N908:T908)</f>
        <v>27498.70558295607</v>
      </c>
      <c r="F46" s="323">
        <f>SUM(F33:F45)</f>
        <v>1.0000000000000002</v>
      </c>
      <c r="G46" s="253">
        <f>SUM(W908:AC908)</f>
        <v>26870.334061187794</v>
      </c>
      <c r="H46" s="323">
        <f>SUM(H33:H45)</f>
        <v>1</v>
      </c>
      <c r="L46" s="1"/>
      <c r="Z46" s="9"/>
      <c r="AA46" s="9"/>
      <c r="AH46" s="13"/>
    </row>
    <row r="47" spans="2:48">
      <c r="B47" s="1200"/>
      <c r="D47" s="66" t="s">
        <v>708</v>
      </c>
      <c r="E47" s="72">
        <f>SUM(N928:T928)</f>
        <v>355.46414707934628</v>
      </c>
      <c r="F47" s="244"/>
      <c r="G47" s="252">
        <f>SUM(W928:AC928)</f>
        <v>-42.928425251332797</v>
      </c>
      <c r="AN47" s="9"/>
      <c r="AO47" s="9"/>
      <c r="AP47" s="13"/>
      <c r="AU47" s="9"/>
      <c r="AV47" s="13"/>
    </row>
    <row r="48" spans="2:48">
      <c r="B48" s="1200"/>
      <c r="D48" s="66" t="s">
        <v>709</v>
      </c>
      <c r="E48" s="84">
        <f>SUM('Ch3 financial performance '!I142)</f>
        <v>27956.596882260383</v>
      </c>
      <c r="F48" s="244"/>
      <c r="G48" s="253">
        <f>SUM('Ch3 financial performance '!J142)</f>
        <v>27023.401013276049</v>
      </c>
      <c r="H48" s="122"/>
      <c r="AN48" s="9"/>
      <c r="AO48" s="9"/>
      <c r="AP48" s="13"/>
      <c r="AU48" s="9"/>
      <c r="AV48" s="13"/>
    </row>
    <row r="49" spans="2:27">
      <c r="B49" s="1200"/>
      <c r="D49" s="37" t="s">
        <v>710</v>
      </c>
      <c r="E49" s="820">
        <f>E48-(E46+E47)</f>
        <v>102.42715222496554</v>
      </c>
      <c r="F49" s="244"/>
      <c r="G49" s="820">
        <f>G48-(G46+G47)</f>
        <v>195.99537733958641</v>
      </c>
      <c r="H49" s="122"/>
    </row>
    <row r="50" spans="2:27">
      <c r="B50" s="1200"/>
      <c r="E50" s="125"/>
      <c r="F50" s="125"/>
      <c r="G50" s="125"/>
      <c r="H50" s="122"/>
    </row>
    <row r="51" spans="2:27">
      <c r="B51" s="1200"/>
      <c r="D51" s="37"/>
    </row>
    <row r="52" spans="2:27">
      <c r="B52" s="1200"/>
      <c r="D52" s="16" t="s">
        <v>712</v>
      </c>
      <c r="E52" s="15"/>
      <c r="F52" s="65"/>
      <c r="G52" s="15"/>
      <c r="H52" s="12"/>
      <c r="R52" s="16" t="s">
        <v>713</v>
      </c>
    </row>
    <row r="53" spans="2:27">
      <c r="B53" s="1200"/>
      <c r="D53" s="67"/>
      <c r="E53" s="1308" t="str">
        <f>D188</f>
        <v>Replacing &amp; refurbishing equipment total</v>
      </c>
      <c r="F53" s="1308"/>
      <c r="G53" s="1308"/>
      <c r="H53" s="1308" t="str">
        <f>D168</f>
        <v>Network Reinforcement total</v>
      </c>
      <c r="I53" s="1308"/>
      <c r="J53" s="1308"/>
      <c r="K53" s="1308" t="str">
        <f>D208</f>
        <v>Network faults total</v>
      </c>
      <c r="L53" s="1308"/>
      <c r="M53" s="1308"/>
      <c r="N53" s="101" t="s">
        <v>174</v>
      </c>
      <c r="O53" s="101"/>
      <c r="P53" s="101"/>
      <c r="R53" s="67"/>
      <c r="S53" s="1305" t="str">
        <f>D228</f>
        <v xml:space="preserve">Operational support </v>
      </c>
      <c r="T53" s="1306"/>
      <c r="U53" s="1307"/>
      <c r="V53" s="1308" t="str">
        <f>D248</f>
        <v>Business support total</v>
      </c>
      <c r="W53" s="1308"/>
      <c r="X53" s="1308"/>
      <c r="Y53" s="1308" t="s">
        <v>174</v>
      </c>
      <c r="Z53" s="1308"/>
      <c r="AA53" s="1308"/>
    </row>
    <row r="54" spans="2:27">
      <c r="B54" s="1200"/>
      <c r="D54" s="67"/>
      <c r="E54" s="101" t="s">
        <v>297</v>
      </c>
      <c r="F54" s="101" t="s">
        <v>298</v>
      </c>
      <c r="G54" s="101" t="s">
        <v>714</v>
      </c>
      <c r="H54" s="101" t="s">
        <v>297</v>
      </c>
      <c r="I54" s="101" t="s">
        <v>298</v>
      </c>
      <c r="J54" s="101" t="s">
        <v>714</v>
      </c>
      <c r="K54" s="101" t="s">
        <v>297</v>
      </c>
      <c r="L54" s="101" t="s">
        <v>298</v>
      </c>
      <c r="M54" s="101" t="s">
        <v>714</v>
      </c>
      <c r="N54" s="101" t="s">
        <v>297</v>
      </c>
      <c r="O54" s="101" t="s">
        <v>298</v>
      </c>
      <c r="P54" s="101" t="s">
        <v>714</v>
      </c>
      <c r="R54" s="67"/>
      <c r="S54" s="101" t="s">
        <v>297</v>
      </c>
      <c r="T54" s="101" t="s">
        <v>298</v>
      </c>
      <c r="U54" s="101" t="s">
        <v>714</v>
      </c>
      <c r="V54" s="101" t="s">
        <v>297</v>
      </c>
      <c r="W54" s="101" t="s">
        <v>298</v>
      </c>
      <c r="X54" s="101" t="s">
        <v>714</v>
      </c>
      <c r="Y54" s="101" t="s">
        <v>297</v>
      </c>
      <c r="Z54" s="101" t="s">
        <v>298</v>
      </c>
      <c r="AA54" s="101" t="s">
        <v>714</v>
      </c>
    </row>
    <row r="55" spans="2:27">
      <c r="B55" s="1200"/>
      <c r="D55" s="68" t="str">
        <f t="shared" ref="D55:D69" si="12">D171</f>
        <v>ENWL</v>
      </c>
      <c r="E55" s="72">
        <f t="shared" ref="E55:E69" si="13">BJ191</f>
        <v>91.529860998096396</v>
      </c>
      <c r="F55" s="28">
        <f t="shared" ref="F55:F69" si="14">BK191</f>
        <v>39.095718580299781</v>
      </c>
      <c r="G55" s="70">
        <f t="shared" ref="G55:G69" si="15">BM191</f>
        <v>-0.57286378287941597</v>
      </c>
      <c r="H55" s="72">
        <f t="shared" ref="H55:H69" si="16">BJ171</f>
        <v>28.2503607646711</v>
      </c>
      <c r="I55" s="28">
        <f t="shared" ref="I55:I69" si="17">BK171</f>
        <v>26.966661558908939</v>
      </c>
      <c r="J55" s="70">
        <f t="shared" ref="J55:J69" si="18">BM171</f>
        <v>-4.5440099560339425E-2</v>
      </c>
      <c r="K55" s="72">
        <f t="shared" ref="K55:K63" si="19">BJ211</f>
        <v>29.449017901471372</v>
      </c>
      <c r="L55" s="28">
        <f t="shared" ref="L55:L63" si="20">BK211</f>
        <v>39.166024380590912</v>
      </c>
      <c r="M55" s="70">
        <f t="shared" ref="M55:M69" si="21">BM211</f>
        <v>0.32996028973292335</v>
      </c>
      <c r="N55" s="72">
        <f>SUM(K55,H55,E55)</f>
        <v>149.22923966423886</v>
      </c>
      <c r="O55" s="28">
        <f>SUM(L55,I55,F55)</f>
        <v>105.22840451979962</v>
      </c>
      <c r="P55" s="70">
        <f t="shared" ref="P55:P68" si="22">(O55-N55)/N55</f>
        <v>-0.29485397931021928</v>
      </c>
      <c r="R55" s="45" t="str">
        <f t="shared" ref="R55:R69" si="23">D55</f>
        <v>ENWL</v>
      </c>
      <c r="S55" s="72">
        <f t="shared" ref="S55:S69" si="24">BJ231</f>
        <v>56.130343699168655</v>
      </c>
      <c r="T55" s="28">
        <f t="shared" ref="T55:T69" si="25">BK231</f>
        <v>60.381610863676769</v>
      </c>
      <c r="U55" s="70">
        <f t="shared" ref="U55:U69" si="26">BM231</f>
        <v>7.5739197096188093E-2</v>
      </c>
      <c r="V55" s="72">
        <f t="shared" ref="V55:V69" si="27">BJ251</f>
        <v>36.824974419632703</v>
      </c>
      <c r="W55" s="28">
        <f t="shared" ref="W55:W69" si="28">BK251</f>
        <v>45.24783127590397</v>
      </c>
      <c r="X55" s="70">
        <f t="shared" ref="X55:X69" si="29">BM251</f>
        <v>0.22872675375928414</v>
      </c>
      <c r="Y55" s="72">
        <f>SUM(V55,S55)</f>
        <v>92.955318118801358</v>
      </c>
      <c r="Z55" s="28">
        <f>SUM(W55,T55)</f>
        <v>105.62944213958073</v>
      </c>
      <c r="AA55" s="70">
        <f>SUM(Z55-Y55)/Y55</f>
        <v>0.13634641112820717</v>
      </c>
    </row>
    <row r="56" spans="2:27">
      <c r="B56" s="1200"/>
      <c r="D56" s="68" t="str">
        <f t="shared" si="12"/>
        <v>NPgN</v>
      </c>
      <c r="E56" s="72">
        <f t="shared" si="13"/>
        <v>41.946277381478545</v>
      </c>
      <c r="F56" s="28">
        <f t="shared" si="14"/>
        <v>42.120735629999992</v>
      </c>
      <c r="G56" s="70">
        <f t="shared" si="15"/>
        <v>4.1590877525279251E-3</v>
      </c>
      <c r="H56" s="72">
        <f t="shared" si="16"/>
        <v>10.362960602837516</v>
      </c>
      <c r="I56" s="28">
        <f t="shared" si="17"/>
        <v>13.045304059160625</v>
      </c>
      <c r="J56" s="70">
        <f t="shared" si="18"/>
        <v>0.25883949183292732</v>
      </c>
      <c r="K56" s="72">
        <f t="shared" si="19"/>
        <v>27.997298224876818</v>
      </c>
      <c r="L56" s="28">
        <f t="shared" si="20"/>
        <v>47.884703543177451</v>
      </c>
      <c r="M56" s="70">
        <f t="shared" si="21"/>
        <v>0.71033301708483454</v>
      </c>
      <c r="N56" s="72">
        <f t="shared" ref="N56:N68" si="30">SUM(K56,H56,E56)</f>
        <v>80.306536209192871</v>
      </c>
      <c r="O56" s="28">
        <f t="shared" ref="O56:O68" si="31">SUM(L56,I56,F56)</f>
        <v>103.05074323233808</v>
      </c>
      <c r="P56" s="70">
        <f t="shared" si="22"/>
        <v>0.28321738300227706</v>
      </c>
      <c r="R56" s="45" t="str">
        <f t="shared" si="23"/>
        <v>NPgN</v>
      </c>
      <c r="S56" s="72">
        <f t="shared" si="24"/>
        <v>37.207862125471031</v>
      </c>
      <c r="T56" s="28">
        <f t="shared" si="25"/>
        <v>39.23129479657031</v>
      </c>
      <c r="U56" s="70">
        <f t="shared" si="26"/>
        <v>5.4381857906157877E-2</v>
      </c>
      <c r="V56" s="72">
        <f t="shared" si="27"/>
        <v>23.845713842511355</v>
      </c>
      <c r="W56" s="28">
        <f t="shared" si="28"/>
        <v>23.737596829928219</v>
      </c>
      <c r="X56" s="70">
        <f t="shared" si="29"/>
        <v>-4.5340228980853105E-3</v>
      </c>
      <c r="Y56" s="72">
        <f t="shared" ref="Y56:Y69" si="32">SUM(V56,S56)</f>
        <v>61.053575967982383</v>
      </c>
      <c r="Z56" s="28">
        <f t="shared" ref="Z56:Z69" si="33">SUM(W56,T56)</f>
        <v>62.968891626498532</v>
      </c>
      <c r="AA56" s="70">
        <f t="shared" ref="AA56:AA69" si="34">SUM(Z56-Y56)/Y56</f>
        <v>3.1371064317683481E-2</v>
      </c>
    </row>
    <row r="57" spans="2:27">
      <c r="B57" s="1200"/>
      <c r="D57" s="68" t="str">
        <f t="shared" si="12"/>
        <v>NPgY</v>
      </c>
      <c r="E57" s="72">
        <f t="shared" si="13"/>
        <v>53.52575823006503</v>
      </c>
      <c r="F57" s="28">
        <f t="shared" si="14"/>
        <v>81.258044149999975</v>
      </c>
      <c r="G57" s="70">
        <f t="shared" si="15"/>
        <v>0.51811103358378807</v>
      </c>
      <c r="H57" s="72">
        <f t="shared" si="16"/>
        <v>15.367799917816409</v>
      </c>
      <c r="I57" s="28">
        <f t="shared" si="17"/>
        <v>14.07212031330908</v>
      </c>
      <c r="J57" s="70">
        <f t="shared" si="18"/>
        <v>-8.4311327023798913E-2</v>
      </c>
      <c r="K57" s="72">
        <f t="shared" si="19"/>
        <v>47.139929711369014</v>
      </c>
      <c r="L57" s="28">
        <f t="shared" si="20"/>
        <v>60.834842181305788</v>
      </c>
      <c r="M57" s="70">
        <f t="shared" si="21"/>
        <v>0.29051618349430613</v>
      </c>
      <c r="N57" s="72">
        <f t="shared" si="30"/>
        <v>116.03348785925044</v>
      </c>
      <c r="O57" s="28">
        <f t="shared" si="31"/>
        <v>156.16500664461483</v>
      </c>
      <c r="P57" s="70">
        <f t="shared" si="22"/>
        <v>0.3458615226153009</v>
      </c>
      <c r="R57" s="45" t="str">
        <f t="shared" si="23"/>
        <v>NPgY</v>
      </c>
      <c r="S57" s="72">
        <f t="shared" si="24"/>
        <v>45.803192587360179</v>
      </c>
      <c r="T57" s="28">
        <f t="shared" si="25"/>
        <v>45.052037215005988</v>
      </c>
      <c r="U57" s="70">
        <f t="shared" si="26"/>
        <v>-1.6399629150774069E-2</v>
      </c>
      <c r="V57" s="72">
        <f t="shared" si="27"/>
        <v>27.089136501718805</v>
      </c>
      <c r="W57" s="28">
        <f t="shared" si="28"/>
        <v>26.289265328812863</v>
      </c>
      <c r="X57" s="70">
        <f t="shared" si="29"/>
        <v>-2.9527377989888668E-2</v>
      </c>
      <c r="Y57" s="72">
        <f t="shared" si="32"/>
        <v>72.892329089078984</v>
      </c>
      <c r="Z57" s="28">
        <f t="shared" si="33"/>
        <v>71.341302543818855</v>
      </c>
      <c r="AA57" s="70">
        <f t="shared" si="34"/>
        <v>-2.1278323311149483E-2</v>
      </c>
    </row>
    <row r="58" spans="2:27">
      <c r="B58" s="1200"/>
      <c r="D58" s="68" t="str">
        <f t="shared" si="12"/>
        <v>WMID</v>
      </c>
      <c r="E58" s="72">
        <f t="shared" si="13"/>
        <v>88.748942101539797</v>
      </c>
      <c r="F58" s="28">
        <f t="shared" si="14"/>
        <v>79.267300000000006</v>
      </c>
      <c r="G58" s="70">
        <f t="shared" si="15"/>
        <v>-0.10683667745235337</v>
      </c>
      <c r="H58" s="72">
        <f t="shared" si="16"/>
        <v>39.543791261602891</v>
      </c>
      <c r="I58" s="28">
        <f t="shared" si="17"/>
        <v>64.671000000000006</v>
      </c>
      <c r="J58" s="70">
        <f t="shared" si="18"/>
        <v>0.63542740685048305</v>
      </c>
      <c r="K58" s="72">
        <f t="shared" si="19"/>
        <v>37.462296947699699</v>
      </c>
      <c r="L58" s="28">
        <f t="shared" si="20"/>
        <v>42.063899999999997</v>
      </c>
      <c r="M58" s="70">
        <f t="shared" si="21"/>
        <v>0.12283291274756848</v>
      </c>
      <c r="N58" s="72">
        <f t="shared" si="30"/>
        <v>165.75503031084239</v>
      </c>
      <c r="O58" s="28">
        <f t="shared" si="31"/>
        <v>186.00220000000002</v>
      </c>
      <c r="P58" s="70">
        <f t="shared" si="22"/>
        <v>0.12215116278032631</v>
      </c>
      <c r="R58" s="45" t="str">
        <f t="shared" si="23"/>
        <v>WMID</v>
      </c>
      <c r="S58" s="72">
        <f t="shared" si="24"/>
        <v>69.292793895842266</v>
      </c>
      <c r="T58" s="28">
        <f t="shared" si="25"/>
        <v>69.809899999999985</v>
      </c>
      <c r="U58" s="70">
        <f t="shared" si="26"/>
        <v>7.4626245397899386E-3</v>
      </c>
      <c r="V58" s="72">
        <f t="shared" si="27"/>
        <v>35.590784908488686</v>
      </c>
      <c r="W58" s="28">
        <f t="shared" si="28"/>
        <v>35.716099999999997</v>
      </c>
      <c r="X58" s="70">
        <f t="shared" si="29"/>
        <v>3.5209982537199509E-3</v>
      </c>
      <c r="Y58" s="72">
        <f t="shared" si="32"/>
        <v>104.88357880433095</v>
      </c>
      <c r="Z58" s="28">
        <f t="shared" si="33"/>
        <v>105.52599999999998</v>
      </c>
      <c r="AA58" s="70">
        <f t="shared" si="34"/>
        <v>6.1250884360793999E-3</v>
      </c>
    </row>
    <row r="59" spans="2:27">
      <c r="B59" s="1200"/>
      <c r="D59" s="68" t="str">
        <f t="shared" si="12"/>
        <v>EMID</v>
      </c>
      <c r="E59" s="72">
        <f t="shared" si="13"/>
        <v>75.259729102703574</v>
      </c>
      <c r="F59" s="28">
        <f t="shared" si="14"/>
        <v>74.990199999999987</v>
      </c>
      <c r="G59" s="70">
        <f t="shared" si="15"/>
        <v>-3.5813190655492816E-3</v>
      </c>
      <c r="H59" s="72">
        <f t="shared" si="16"/>
        <v>60.769662900154941</v>
      </c>
      <c r="I59" s="28">
        <f t="shared" si="17"/>
        <v>54.716799999999992</v>
      </c>
      <c r="J59" s="70">
        <f t="shared" si="18"/>
        <v>-9.9603364759482921E-2</v>
      </c>
      <c r="K59" s="72">
        <f t="shared" si="19"/>
        <v>43.276939850885171</v>
      </c>
      <c r="L59" s="28">
        <f t="shared" si="20"/>
        <v>43.228499999999997</v>
      </c>
      <c r="M59" s="70">
        <f t="shared" si="21"/>
        <v>-1.119299355547738E-3</v>
      </c>
      <c r="N59" s="72">
        <f t="shared" si="30"/>
        <v>179.3063318537437</v>
      </c>
      <c r="O59" s="28">
        <f t="shared" si="31"/>
        <v>172.93549999999999</v>
      </c>
      <c r="P59" s="70">
        <f t="shared" si="22"/>
        <v>-3.5530434357110487E-2</v>
      </c>
      <c r="R59" s="45" t="str">
        <f t="shared" si="23"/>
        <v>EMID</v>
      </c>
      <c r="S59" s="72">
        <f t="shared" si="24"/>
        <v>68.942707837205461</v>
      </c>
      <c r="T59" s="28">
        <f t="shared" si="25"/>
        <v>68.353700000000003</v>
      </c>
      <c r="U59" s="70">
        <f t="shared" si="26"/>
        <v>-8.5434392654881314E-3</v>
      </c>
      <c r="V59" s="72">
        <f t="shared" si="27"/>
        <v>36.973048609638823</v>
      </c>
      <c r="W59" s="28">
        <f t="shared" si="28"/>
        <v>36.616300000000003</v>
      </c>
      <c r="X59" s="70">
        <f t="shared" si="29"/>
        <v>-9.6488827146868524E-3</v>
      </c>
      <c r="Y59" s="72">
        <f t="shared" si="32"/>
        <v>105.91575644684428</v>
      </c>
      <c r="Z59" s="28">
        <f t="shared" si="33"/>
        <v>104.97</v>
      </c>
      <c r="AA59" s="70">
        <f t="shared" si="34"/>
        <v>-8.9293272178906664E-3</v>
      </c>
    </row>
    <row r="60" spans="2:27">
      <c r="B60" s="1200"/>
      <c r="D60" s="68" t="str">
        <f t="shared" si="12"/>
        <v>SWALES</v>
      </c>
      <c r="E60" s="72">
        <f t="shared" si="13"/>
        <v>51.200743578975448</v>
      </c>
      <c r="F60" s="28">
        <f t="shared" si="14"/>
        <v>41.892500000000005</v>
      </c>
      <c r="G60" s="70">
        <f t="shared" si="15"/>
        <v>-0.18179899213021752</v>
      </c>
      <c r="H60" s="72">
        <f t="shared" si="16"/>
        <v>8.0792375861236145</v>
      </c>
      <c r="I60" s="28">
        <f t="shared" si="17"/>
        <v>19.392299999999999</v>
      </c>
      <c r="J60" s="70">
        <f t="shared" si="18"/>
        <v>1.4002636131541646</v>
      </c>
      <c r="K60" s="72">
        <f t="shared" si="19"/>
        <v>17.143532933570459</v>
      </c>
      <c r="L60" s="28">
        <f t="shared" si="20"/>
        <v>18.2791</v>
      </c>
      <c r="M60" s="70">
        <f t="shared" si="21"/>
        <v>6.6238801000339548E-2</v>
      </c>
      <c r="N60" s="72">
        <f t="shared" si="30"/>
        <v>76.423514098669528</v>
      </c>
      <c r="O60" s="28">
        <f t="shared" si="31"/>
        <v>79.563900000000004</v>
      </c>
      <c r="P60" s="70">
        <f t="shared" si="22"/>
        <v>4.1091880403143446E-2</v>
      </c>
      <c r="R60" s="45" t="str">
        <f t="shared" si="23"/>
        <v>SWALES</v>
      </c>
      <c r="S60" s="72">
        <f t="shared" si="24"/>
        <v>38.795444416662917</v>
      </c>
      <c r="T60" s="28">
        <f t="shared" si="25"/>
        <v>35.818800000000003</v>
      </c>
      <c r="U60" s="70">
        <f t="shared" si="26"/>
        <v>-7.6726648229461306E-2</v>
      </c>
      <c r="V60" s="72">
        <f t="shared" si="27"/>
        <v>18.948483655655281</v>
      </c>
      <c r="W60" s="28">
        <f t="shared" si="28"/>
        <v>21.807199999999998</v>
      </c>
      <c r="X60" s="70">
        <f t="shared" si="29"/>
        <v>0.15086781593162035</v>
      </c>
      <c r="Y60" s="72">
        <f t="shared" si="32"/>
        <v>57.743928072318198</v>
      </c>
      <c r="Z60" s="28">
        <f t="shared" si="33"/>
        <v>57.626000000000005</v>
      </c>
      <c r="AA60" s="70">
        <f t="shared" si="34"/>
        <v>-2.0422592687234704E-3</v>
      </c>
    </row>
    <row r="61" spans="2:27">
      <c r="B61" s="1200"/>
      <c r="D61" s="68" t="str">
        <f t="shared" si="12"/>
        <v>SWEST</v>
      </c>
      <c r="E61" s="72">
        <f t="shared" si="13"/>
        <v>76.913234085840571</v>
      </c>
      <c r="F61" s="28">
        <f t="shared" si="14"/>
        <v>65.137999999999991</v>
      </c>
      <c r="G61" s="70">
        <f t="shared" si="15"/>
        <v>-0.15309763301200666</v>
      </c>
      <c r="H61" s="72">
        <f t="shared" si="16"/>
        <v>19.654481611735847</v>
      </c>
      <c r="I61" s="28">
        <f t="shared" si="17"/>
        <v>19.029300000000003</v>
      </c>
      <c r="J61" s="70">
        <f t="shared" si="18"/>
        <v>-3.1808603456757817E-2</v>
      </c>
      <c r="K61" s="72">
        <f t="shared" si="19"/>
        <v>30.992786470236304</v>
      </c>
      <c r="L61" s="28">
        <f t="shared" si="20"/>
        <v>34.911099999999998</v>
      </c>
      <c r="M61" s="70">
        <f t="shared" si="21"/>
        <v>0.12642662941993349</v>
      </c>
      <c r="N61" s="72">
        <f t="shared" si="30"/>
        <v>127.56050216781273</v>
      </c>
      <c r="O61" s="28">
        <f t="shared" si="31"/>
        <v>119.07839999999999</v>
      </c>
      <c r="P61" s="70">
        <f t="shared" si="22"/>
        <v>-6.649473797660406E-2</v>
      </c>
      <c r="R61" s="45" t="str">
        <f t="shared" si="23"/>
        <v>SWEST</v>
      </c>
      <c r="S61" s="72">
        <f t="shared" si="24"/>
        <v>56.866664823281916</v>
      </c>
      <c r="T61" s="28">
        <f t="shared" si="25"/>
        <v>53.139599999999994</v>
      </c>
      <c r="U61" s="70">
        <f t="shared" si="26"/>
        <v>-6.5540415195160434E-2</v>
      </c>
      <c r="V61" s="72">
        <f t="shared" si="27"/>
        <v>30.438148111205805</v>
      </c>
      <c r="W61" s="28">
        <f t="shared" si="28"/>
        <v>31.001499999999997</v>
      </c>
      <c r="X61" s="70">
        <f t="shared" si="29"/>
        <v>1.850808684996158E-2</v>
      </c>
      <c r="Y61" s="72">
        <f t="shared" si="32"/>
        <v>87.304812934487728</v>
      </c>
      <c r="Z61" s="28">
        <f t="shared" si="33"/>
        <v>84.141099999999994</v>
      </c>
      <c r="AA61" s="70">
        <f t="shared" si="34"/>
        <v>-3.6237554702301902E-2</v>
      </c>
    </row>
    <row r="62" spans="2:27">
      <c r="B62" s="1200"/>
      <c r="D62" s="68" t="str">
        <f t="shared" si="12"/>
        <v>LPN</v>
      </c>
      <c r="E62" s="72">
        <f t="shared" si="13"/>
        <v>41.123579206596936</v>
      </c>
      <c r="F62" s="28">
        <f t="shared" si="14"/>
        <v>46.769522289167355</v>
      </c>
      <c r="G62" s="70">
        <f t="shared" si="15"/>
        <v>0.13729211297991084</v>
      </c>
      <c r="H62" s="72">
        <f t="shared" si="16"/>
        <v>52.147411033441713</v>
      </c>
      <c r="I62" s="28">
        <f t="shared" si="17"/>
        <v>32.974973746571685</v>
      </c>
      <c r="J62" s="70">
        <f t="shared" si="18"/>
        <v>-0.36765846869319935</v>
      </c>
      <c r="K62" s="72">
        <f t="shared" si="19"/>
        <v>27.265383531151809</v>
      </c>
      <c r="L62" s="28">
        <f t="shared" si="20"/>
        <v>36.705324293812509</v>
      </c>
      <c r="M62" s="70">
        <f t="shared" si="21"/>
        <v>0.34622438932044308</v>
      </c>
      <c r="N62" s="72">
        <f t="shared" si="30"/>
        <v>120.53637377119045</v>
      </c>
      <c r="O62" s="28">
        <f t="shared" si="31"/>
        <v>116.44982032955156</v>
      </c>
      <c r="P62" s="70">
        <f t="shared" si="22"/>
        <v>-3.3903072689047749E-2</v>
      </c>
      <c r="R62" s="45" t="str">
        <f t="shared" si="23"/>
        <v>LPN</v>
      </c>
      <c r="S62" s="72">
        <f t="shared" si="24"/>
        <v>47.771254269820709</v>
      </c>
      <c r="T62" s="28">
        <f t="shared" si="25"/>
        <v>63.725115674744757</v>
      </c>
      <c r="U62" s="70">
        <f t="shared" si="26"/>
        <v>0.33396362831115434</v>
      </c>
      <c r="V62" s="72">
        <f t="shared" si="27"/>
        <v>26.564064488805652</v>
      </c>
      <c r="W62" s="28">
        <f t="shared" si="28"/>
        <v>28.886573956422513</v>
      </c>
      <c r="X62" s="70">
        <f t="shared" si="29"/>
        <v>8.7430501028770966E-2</v>
      </c>
      <c r="Y62" s="72">
        <f t="shared" si="32"/>
        <v>74.335318758626357</v>
      </c>
      <c r="Z62" s="28">
        <f t="shared" si="33"/>
        <v>92.611689631167266</v>
      </c>
      <c r="AA62" s="70">
        <f t="shared" si="34"/>
        <v>0.24586389320379418</v>
      </c>
    </row>
    <row r="63" spans="2:27">
      <c r="B63" s="1200"/>
      <c r="D63" s="68" t="str">
        <f t="shared" si="12"/>
        <v>SPN</v>
      </c>
      <c r="E63" s="72">
        <f t="shared" si="13"/>
        <v>53.144964980782703</v>
      </c>
      <c r="F63" s="28">
        <f t="shared" si="14"/>
        <v>21.819525807423929</v>
      </c>
      <c r="G63" s="70">
        <f t="shared" si="15"/>
        <v>-0.58943380966919634</v>
      </c>
      <c r="H63" s="72">
        <f t="shared" si="16"/>
        <v>35.008168501754227</v>
      </c>
      <c r="I63" s="28">
        <f t="shared" si="17"/>
        <v>21.548686854603634</v>
      </c>
      <c r="J63" s="70">
        <f t="shared" si="18"/>
        <v>-0.38446688939114743</v>
      </c>
      <c r="K63" s="72">
        <f t="shared" si="19"/>
        <v>29.127693914548537</v>
      </c>
      <c r="L63" s="28">
        <f t="shared" si="20"/>
        <v>52.371715384156069</v>
      </c>
      <c r="M63" s="70">
        <f t="shared" si="21"/>
        <v>0.79800417903999388</v>
      </c>
      <c r="N63" s="72">
        <f t="shared" si="30"/>
        <v>117.28082739708546</v>
      </c>
      <c r="O63" s="28">
        <f t="shared" si="31"/>
        <v>95.739928046183636</v>
      </c>
      <c r="P63" s="70">
        <f t="shared" si="22"/>
        <v>-0.18366940129071033</v>
      </c>
      <c r="R63" s="45" t="str">
        <f t="shared" si="23"/>
        <v>SPN</v>
      </c>
      <c r="S63" s="72">
        <f t="shared" si="24"/>
        <v>52.419031479292926</v>
      </c>
      <c r="T63" s="28">
        <f t="shared" si="25"/>
        <v>57.000200434809699</v>
      </c>
      <c r="U63" s="70">
        <f t="shared" si="26"/>
        <v>8.7395146881461758E-2</v>
      </c>
      <c r="V63" s="72">
        <f t="shared" si="27"/>
        <v>28.00786174714878</v>
      </c>
      <c r="W63" s="28">
        <f t="shared" si="28"/>
        <v>27.270940122269508</v>
      </c>
      <c r="X63" s="70">
        <f t="shared" si="29"/>
        <v>-2.6311241876730972E-2</v>
      </c>
      <c r="Y63" s="72">
        <f t="shared" si="32"/>
        <v>80.426893226441706</v>
      </c>
      <c r="Z63" s="28">
        <f t="shared" si="33"/>
        <v>84.271140557079207</v>
      </c>
      <c r="AA63" s="70">
        <f t="shared" si="34"/>
        <v>4.7798033424143745E-2</v>
      </c>
    </row>
    <row r="64" spans="2:27">
      <c r="B64" s="1200"/>
      <c r="D64" s="68" t="str">
        <f t="shared" si="12"/>
        <v>EPN</v>
      </c>
      <c r="E64" s="72">
        <f t="shared" si="13"/>
        <v>74.763058068922703</v>
      </c>
      <c r="F64" s="28">
        <f t="shared" si="14"/>
        <v>39.945003939739252</v>
      </c>
      <c r="G64" s="70">
        <f t="shared" si="15"/>
        <v>-0.46571201109892163</v>
      </c>
      <c r="H64" s="72">
        <f t="shared" si="16"/>
        <v>63.344837200870835</v>
      </c>
      <c r="I64" s="28">
        <f t="shared" si="17"/>
        <v>20.242621654309215</v>
      </c>
      <c r="J64" s="70">
        <f t="shared" si="18"/>
        <v>-0.6804377033898048</v>
      </c>
      <c r="K64" s="72">
        <f t="shared" ref="K64:K69" si="35">BJ220</f>
        <v>45.324069160191108</v>
      </c>
      <c r="L64" s="28">
        <f t="shared" ref="L64:L66" si="36">BK220</f>
        <v>73.429853877090011</v>
      </c>
      <c r="M64" s="70">
        <f t="shared" si="21"/>
        <v>0.62010726833822516</v>
      </c>
      <c r="N64" s="72">
        <f t="shared" si="30"/>
        <v>183.43196442998465</v>
      </c>
      <c r="O64" s="28">
        <f t="shared" si="31"/>
        <v>133.61747947113849</v>
      </c>
      <c r="P64" s="70">
        <f t="shared" si="22"/>
        <v>-0.2715692715478723</v>
      </c>
      <c r="R64" s="45" t="str">
        <f t="shared" si="23"/>
        <v>EPN</v>
      </c>
      <c r="S64" s="72">
        <f t="shared" si="24"/>
        <v>75.330690155455613</v>
      </c>
      <c r="T64" s="28">
        <f t="shared" si="25"/>
        <v>101.1097913689681</v>
      </c>
      <c r="U64" s="70">
        <f t="shared" si="26"/>
        <v>0.34221246560085461</v>
      </c>
      <c r="V64" s="72">
        <f t="shared" si="27"/>
        <v>34.891593290141209</v>
      </c>
      <c r="W64" s="28">
        <f t="shared" si="28"/>
        <v>45.027105859842656</v>
      </c>
      <c r="X64" s="70">
        <f t="shared" si="29"/>
        <v>0.29048580514565625</v>
      </c>
      <c r="Y64" s="72">
        <f t="shared" si="32"/>
        <v>110.22228344559682</v>
      </c>
      <c r="Z64" s="28">
        <f t="shared" si="33"/>
        <v>146.13689722881077</v>
      </c>
      <c r="AA64" s="70">
        <f t="shared" si="34"/>
        <v>0.32583804889998108</v>
      </c>
    </row>
    <row r="65" spans="2:27">
      <c r="B65" s="1200"/>
      <c r="D65" s="68" t="str">
        <f t="shared" si="12"/>
        <v>SPD</v>
      </c>
      <c r="E65" s="72">
        <f t="shared" si="13"/>
        <v>58.354707920507337</v>
      </c>
      <c r="F65" s="28">
        <f t="shared" si="14"/>
        <v>40.579865433724983</v>
      </c>
      <c r="G65" s="70">
        <f t="shared" si="15"/>
        <v>-0.30459997351020618</v>
      </c>
      <c r="H65" s="72">
        <f t="shared" si="16"/>
        <v>18.75886471120188</v>
      </c>
      <c r="I65" s="28">
        <f t="shared" si="17"/>
        <v>26.517668720983153</v>
      </c>
      <c r="J65" s="70">
        <f t="shared" si="18"/>
        <v>0.41360733334507671</v>
      </c>
      <c r="K65" s="72">
        <f t="shared" si="35"/>
        <v>27.963612186652913</v>
      </c>
      <c r="L65" s="28">
        <f>BK221</f>
        <v>32.868784140913824</v>
      </c>
      <c r="M65" s="70">
        <f t="shared" si="21"/>
        <v>0.17541267278059877</v>
      </c>
      <c r="N65" s="72">
        <f t="shared" si="30"/>
        <v>105.07718481836213</v>
      </c>
      <c r="O65" s="28">
        <f t="shared" si="31"/>
        <v>99.96631829562196</v>
      </c>
      <c r="P65" s="70">
        <f t="shared" si="22"/>
        <v>-4.8639164929807376E-2</v>
      </c>
      <c r="R65" s="45" t="str">
        <f t="shared" si="23"/>
        <v>SPD</v>
      </c>
      <c r="S65" s="72">
        <f t="shared" si="24"/>
        <v>46.84105486222137</v>
      </c>
      <c r="T65" s="28">
        <f t="shared" si="25"/>
        <v>57.952652956293996</v>
      </c>
      <c r="U65" s="70">
        <f t="shared" si="26"/>
        <v>0.2372192113682402</v>
      </c>
      <c r="V65" s="72">
        <f t="shared" si="27"/>
        <v>26.00659934948132</v>
      </c>
      <c r="W65" s="28">
        <f t="shared" si="28"/>
        <v>42.882538442591823</v>
      </c>
      <c r="X65" s="70">
        <f t="shared" si="29"/>
        <v>0.64890987346437046</v>
      </c>
      <c r="Y65" s="72">
        <f t="shared" si="32"/>
        <v>72.84765421170269</v>
      </c>
      <c r="Z65" s="28">
        <f t="shared" si="33"/>
        <v>100.83519139888583</v>
      </c>
      <c r="AA65" s="70">
        <f t="shared" si="34"/>
        <v>0.38419270311503112</v>
      </c>
    </row>
    <row r="66" spans="2:27">
      <c r="B66" s="1200"/>
      <c r="D66" s="68" t="str">
        <f t="shared" si="12"/>
        <v>SPMW</v>
      </c>
      <c r="E66" s="72">
        <f t="shared" si="13"/>
        <v>74.135667881058438</v>
      </c>
      <c r="F66" s="28">
        <f t="shared" si="14"/>
        <v>49.637599207664401</v>
      </c>
      <c r="G66" s="70">
        <f t="shared" si="15"/>
        <v>-0.33044915320245277</v>
      </c>
      <c r="H66" s="72">
        <f t="shared" si="16"/>
        <v>30.117168013969163</v>
      </c>
      <c r="I66" s="28">
        <f t="shared" si="17"/>
        <v>28.747734777527398</v>
      </c>
      <c r="J66" s="70">
        <f t="shared" si="18"/>
        <v>-4.5470186167789223E-2</v>
      </c>
      <c r="K66" s="72">
        <f t="shared" si="35"/>
        <v>22.499689392124893</v>
      </c>
      <c r="L66" s="28">
        <f t="shared" si="36"/>
        <v>31.40030403116188</v>
      </c>
      <c r="M66" s="70">
        <f t="shared" si="21"/>
        <v>0.39558833386172382</v>
      </c>
      <c r="N66" s="72">
        <f t="shared" si="30"/>
        <v>126.75252528715249</v>
      </c>
      <c r="O66" s="28">
        <f t="shared" si="31"/>
        <v>109.78563801635369</v>
      </c>
      <c r="P66" s="70">
        <f t="shared" si="22"/>
        <v>-0.13385837664662728</v>
      </c>
      <c r="R66" s="45" t="str">
        <f t="shared" si="23"/>
        <v>SPMW</v>
      </c>
      <c r="S66" s="72">
        <f t="shared" si="24"/>
        <v>44.047448855713462</v>
      </c>
      <c r="T66" s="28">
        <f t="shared" si="25"/>
        <v>61.228443278367401</v>
      </c>
      <c r="U66" s="70">
        <f t="shared" si="26"/>
        <v>0.39005651562100324</v>
      </c>
      <c r="V66" s="72">
        <f t="shared" si="27"/>
        <v>20.003218763301934</v>
      </c>
      <c r="W66" s="28">
        <f t="shared" si="28"/>
        <v>39.559152887016189</v>
      </c>
      <c r="X66" s="70">
        <f t="shared" si="29"/>
        <v>0.97763936669990981</v>
      </c>
      <c r="Y66" s="72">
        <f t="shared" si="32"/>
        <v>64.0506676190154</v>
      </c>
      <c r="Z66" s="28">
        <f t="shared" si="33"/>
        <v>100.78759616538359</v>
      </c>
      <c r="AA66" s="70">
        <f t="shared" si="34"/>
        <v>0.57356043132736545</v>
      </c>
    </row>
    <row r="67" spans="2:27">
      <c r="B67" s="1200"/>
      <c r="D67" s="68" t="str">
        <f t="shared" si="12"/>
        <v>SSEH</v>
      </c>
      <c r="E67" s="72">
        <f t="shared" si="13"/>
        <v>37.034361140546956</v>
      </c>
      <c r="F67" s="28">
        <f t="shared" si="14"/>
        <v>35.033819080000001</v>
      </c>
      <c r="G67" s="70">
        <f t="shared" si="15"/>
        <v>-5.4018538431237252E-2</v>
      </c>
      <c r="H67" s="72">
        <f t="shared" si="16"/>
        <v>28.815034582671906</v>
      </c>
      <c r="I67" s="28">
        <f t="shared" si="17"/>
        <v>18.618369896136631</v>
      </c>
      <c r="J67" s="70">
        <f t="shared" si="18"/>
        <v>-0.35386612697897302</v>
      </c>
      <c r="K67" s="72">
        <f t="shared" si="35"/>
        <v>17.30791807886639</v>
      </c>
      <c r="L67" s="28">
        <f>BK223</f>
        <v>52.378860689999996</v>
      </c>
      <c r="M67" s="70">
        <f t="shared" si="21"/>
        <v>2.0262946965271649</v>
      </c>
      <c r="N67" s="72">
        <f t="shared" si="30"/>
        <v>83.157313802085241</v>
      </c>
      <c r="O67" s="28">
        <f t="shared" si="31"/>
        <v>106.03104966613662</v>
      </c>
      <c r="P67" s="70">
        <f t="shared" si="22"/>
        <v>0.27506583387831612</v>
      </c>
      <c r="R67" s="45" t="str">
        <f t="shared" si="23"/>
        <v>SSEH</v>
      </c>
      <c r="S67" s="72">
        <f t="shared" si="24"/>
        <v>37.883199500842586</v>
      </c>
      <c r="T67" s="28">
        <f t="shared" si="25"/>
        <v>55.870046854485771</v>
      </c>
      <c r="U67" s="70">
        <f t="shared" si="26"/>
        <v>0.47479747198340855</v>
      </c>
      <c r="V67" s="72">
        <f t="shared" si="27"/>
        <v>24.441628867003125</v>
      </c>
      <c r="W67" s="28">
        <f t="shared" si="28"/>
        <v>35.887961007984806</v>
      </c>
      <c r="X67" s="70">
        <f t="shared" si="29"/>
        <v>0.46831298369130164</v>
      </c>
      <c r="Y67" s="72">
        <f t="shared" si="32"/>
        <v>62.324828367845711</v>
      </c>
      <c r="Z67" s="28">
        <f t="shared" si="33"/>
        <v>91.758007862470578</v>
      </c>
      <c r="AA67" s="70">
        <f t="shared" si="34"/>
        <v>0.47225448132657633</v>
      </c>
    </row>
    <row r="68" spans="2:27">
      <c r="B68" s="1200"/>
      <c r="D68" s="68" t="str">
        <f t="shared" si="12"/>
        <v>SSES</v>
      </c>
      <c r="E68" s="72">
        <f t="shared" si="13"/>
        <v>86.133865722299703</v>
      </c>
      <c r="F68" s="28">
        <f t="shared" si="14"/>
        <v>62.222124539999996</v>
      </c>
      <c r="G68" s="70">
        <f t="shared" si="15"/>
        <v>-0.27761137830957766</v>
      </c>
      <c r="H68" s="72">
        <f t="shared" si="16"/>
        <v>49.138335010566884</v>
      </c>
      <c r="I68" s="28">
        <f t="shared" si="17"/>
        <v>23.612897046825257</v>
      </c>
      <c r="J68" s="70">
        <f t="shared" si="18"/>
        <v>-0.519460782671056</v>
      </c>
      <c r="K68" s="72">
        <f t="shared" si="35"/>
        <v>43.323965158557776</v>
      </c>
      <c r="L68" s="28">
        <f>BK224</f>
        <v>56.534363950000014</v>
      </c>
      <c r="M68" s="70">
        <f t="shared" si="21"/>
        <v>0.30492127724446733</v>
      </c>
      <c r="N68" s="72">
        <f t="shared" si="30"/>
        <v>178.59616589142436</v>
      </c>
      <c r="O68" s="28">
        <f t="shared" si="31"/>
        <v>142.36938553682526</v>
      </c>
      <c r="P68" s="70">
        <f t="shared" si="22"/>
        <v>-0.20284187050590316</v>
      </c>
      <c r="R68" s="45" t="str">
        <f t="shared" si="23"/>
        <v>SSES</v>
      </c>
      <c r="S68" s="72">
        <f t="shared" si="24"/>
        <v>76.856883407663474</v>
      </c>
      <c r="T68" s="28">
        <f t="shared" si="25"/>
        <v>99.474058890313856</v>
      </c>
      <c r="U68" s="70">
        <f t="shared" si="26"/>
        <v>0.29427651083227768</v>
      </c>
      <c r="V68" s="72">
        <f t="shared" si="27"/>
        <v>39.126207449226698</v>
      </c>
      <c r="W68" s="28">
        <f t="shared" si="28"/>
        <v>53.863992002606217</v>
      </c>
      <c r="X68" s="70">
        <f t="shared" si="29"/>
        <v>0.37667296459807537</v>
      </c>
      <c r="Y68" s="72">
        <f t="shared" si="32"/>
        <v>115.98309085689017</v>
      </c>
      <c r="Z68" s="28">
        <f t="shared" si="33"/>
        <v>153.33805089292008</v>
      </c>
      <c r="AA68" s="70">
        <f t="shared" si="34"/>
        <v>0.32207246556415403</v>
      </c>
    </row>
    <row r="69" spans="2:27">
      <c r="B69" s="1200"/>
      <c r="D69" s="69" t="str">
        <f t="shared" si="12"/>
        <v>Total</v>
      </c>
      <c r="E69" s="72">
        <f t="shared" si="13"/>
        <v>903.81475039941404</v>
      </c>
      <c r="F69" s="28">
        <f t="shared" si="14"/>
        <v>719.76995865801962</v>
      </c>
      <c r="G69" s="70">
        <f t="shared" si="15"/>
        <v>-0.2036310999129648</v>
      </c>
      <c r="H69" s="72">
        <f t="shared" si="16"/>
        <v>459.35811369941882</v>
      </c>
      <c r="I69" s="28">
        <f t="shared" si="17"/>
        <v>384.15643862833571</v>
      </c>
      <c r="J69" s="70">
        <f t="shared" si="18"/>
        <v>-0.16371034456200192</v>
      </c>
      <c r="K69" s="72">
        <f t="shared" si="35"/>
        <v>446.27413346220231</v>
      </c>
      <c r="L69" s="28">
        <f>BK225</f>
        <v>622.05737647220849</v>
      </c>
      <c r="M69" s="70">
        <f t="shared" si="21"/>
        <v>0.39389072731210473</v>
      </c>
      <c r="N69" s="72">
        <f>SUM(K69,H69,E69)</f>
        <v>1809.446997561035</v>
      </c>
      <c r="O69" s="28">
        <f>SUM(L69,I69,F69)</f>
        <v>1725.983773758564</v>
      </c>
      <c r="P69" s="70">
        <f>(O69-N69)/N69</f>
        <v>-4.6126371159239052E-2</v>
      </c>
      <c r="R69" s="66" t="str">
        <f t="shared" si="23"/>
        <v>Total</v>
      </c>
      <c r="S69" s="258">
        <f t="shared" si="24"/>
        <v>754.1885719160025</v>
      </c>
      <c r="T69" s="80">
        <f t="shared" si="25"/>
        <v>868.14725233323657</v>
      </c>
      <c r="U69" s="71">
        <f t="shared" si="26"/>
        <v>0.15110104377175074</v>
      </c>
      <c r="V69" s="258">
        <f t="shared" si="27"/>
        <v>408.75146400396022</v>
      </c>
      <c r="W69" s="80">
        <f t="shared" si="28"/>
        <v>493.79405771337878</v>
      </c>
      <c r="X69" s="71">
        <f t="shared" si="29"/>
        <v>0.20805452994926671</v>
      </c>
      <c r="Y69" s="84">
        <f t="shared" si="32"/>
        <v>1162.9400359199626</v>
      </c>
      <c r="Z69" s="59">
        <f t="shared" si="33"/>
        <v>1361.9413100466154</v>
      </c>
      <c r="AA69" s="71">
        <f t="shared" si="34"/>
        <v>0.17111911876800218</v>
      </c>
    </row>
    <row r="72" spans="2:27" ht="23.25" customHeight="1" thickBot="1">
      <c r="B72" s="192" t="s">
        <v>715</v>
      </c>
      <c r="D72" s="1" t="s">
        <v>716</v>
      </c>
    </row>
    <row r="73" spans="2:27" ht="14.25" customHeight="1">
      <c r="B73" s="193"/>
      <c r="E73" s="1251" t="s">
        <v>717</v>
      </c>
      <c r="F73" s="1299"/>
      <c r="G73" s="1299"/>
      <c r="H73" s="1299"/>
      <c r="I73" s="1267"/>
      <c r="J73" s="1251" t="s">
        <v>718</v>
      </c>
      <c r="K73" s="1299"/>
      <c r="L73" s="1299"/>
      <c r="M73" s="1299"/>
      <c r="N73" s="1267"/>
      <c r="O73" s="248" t="s">
        <v>719</v>
      </c>
      <c r="P73" s="249"/>
      <c r="Q73" s="249"/>
      <c r="R73" s="249"/>
      <c r="S73" s="249"/>
      <c r="T73" s="249"/>
      <c r="U73" s="249"/>
      <c r="V73" s="250"/>
    </row>
    <row r="74" spans="2:27">
      <c r="B74" s="193"/>
      <c r="E74" s="196" t="s">
        <v>720</v>
      </c>
      <c r="F74" s="196" t="s">
        <v>721</v>
      </c>
      <c r="G74" s="196" t="s">
        <v>722</v>
      </c>
      <c r="H74" s="196" t="s">
        <v>723</v>
      </c>
      <c r="I74" s="214" t="s">
        <v>131</v>
      </c>
      <c r="J74" s="196" t="s">
        <v>132</v>
      </c>
      <c r="K74" s="102" t="s">
        <v>133</v>
      </c>
      <c r="L74" s="102" t="s">
        <v>134</v>
      </c>
      <c r="M74" s="102" t="s">
        <v>135</v>
      </c>
      <c r="N74" s="197" t="s">
        <v>136</v>
      </c>
      <c r="O74" s="196" t="s">
        <v>137</v>
      </c>
      <c r="P74" s="102" t="s">
        <v>138</v>
      </c>
      <c r="Q74" s="102" t="s">
        <v>139</v>
      </c>
      <c r="R74" s="102" t="s">
        <v>140</v>
      </c>
      <c r="S74" s="102" t="s">
        <v>141</v>
      </c>
      <c r="T74" s="102" t="s">
        <v>126</v>
      </c>
      <c r="U74" s="102" t="s">
        <v>142</v>
      </c>
      <c r="V74" s="197" t="s">
        <v>143</v>
      </c>
    </row>
    <row r="75" spans="2:27">
      <c r="B75" s="193"/>
      <c r="C75" s="60"/>
      <c r="D75" s="159" t="s">
        <v>161</v>
      </c>
      <c r="E75" s="198">
        <v>298.99914546990897</v>
      </c>
      <c r="F75" s="198">
        <v>294.09119842268336</v>
      </c>
      <c r="G75" s="198">
        <v>290.58552196037931</v>
      </c>
      <c r="H75" s="198">
        <v>287.25512932119051</v>
      </c>
      <c r="I75" s="198">
        <v>283.92473668200176</v>
      </c>
      <c r="J75" s="198">
        <v>336.35155835280244</v>
      </c>
      <c r="K75" s="198">
        <v>356.93365079737669</v>
      </c>
      <c r="L75" s="198">
        <v>353.14033707490142</v>
      </c>
      <c r="M75" s="198">
        <v>307.30158946537529</v>
      </c>
      <c r="N75" s="198">
        <v>314.72700255764647</v>
      </c>
      <c r="O75" s="198">
        <v>301.88601380907079</v>
      </c>
      <c r="P75" s="198">
        <v>288.51658294990392</v>
      </c>
      <c r="Q75" s="198">
        <v>291.10831140305049</v>
      </c>
      <c r="R75" s="198">
        <v>294.06952713340007</v>
      </c>
      <c r="S75" s="198">
        <v>294.34130136111446</v>
      </c>
      <c r="T75" s="198">
        <v>300.81001952875249</v>
      </c>
      <c r="U75" s="198">
        <v>314.25606927441413</v>
      </c>
      <c r="V75" s="198">
        <v>295.86294183904386</v>
      </c>
      <c r="W75" s="112"/>
    </row>
    <row r="76" spans="2:27">
      <c r="B76" s="193"/>
      <c r="C76" s="60"/>
      <c r="D76" s="159" t="s">
        <v>162</v>
      </c>
      <c r="E76" s="198">
        <v>190.39328866773073</v>
      </c>
      <c r="F76" s="198">
        <v>192.4966945451132</v>
      </c>
      <c r="G76" s="198">
        <v>191.44499160642195</v>
      </c>
      <c r="H76" s="198">
        <v>190.39328866773073</v>
      </c>
      <c r="I76" s="198">
        <v>189.51686955215473</v>
      </c>
      <c r="J76" s="198">
        <v>218.73649069026268</v>
      </c>
      <c r="K76" s="198">
        <v>217.70199719484728</v>
      </c>
      <c r="L76" s="198">
        <v>228.28229489137161</v>
      </c>
      <c r="M76" s="198">
        <v>235.85558226610888</v>
      </c>
      <c r="N76" s="198">
        <v>231.02808821962205</v>
      </c>
      <c r="O76" s="198">
        <v>233.00177265685323</v>
      </c>
      <c r="P76" s="198">
        <v>228.86321811532517</v>
      </c>
      <c r="Q76" s="198">
        <v>213.62488976306801</v>
      </c>
      <c r="R76" s="198">
        <v>210.53287527134188</v>
      </c>
      <c r="S76" s="198">
        <v>209.46013354972644</v>
      </c>
      <c r="T76" s="198">
        <v>194.21926461923726</v>
      </c>
      <c r="U76" s="198">
        <v>181.79584768471167</v>
      </c>
      <c r="V76" s="198">
        <v>179.17295663649753</v>
      </c>
      <c r="W76" s="112"/>
    </row>
    <row r="77" spans="2:27">
      <c r="B77" s="193"/>
      <c r="C77" s="60"/>
      <c r="D77" s="159" t="s">
        <v>163</v>
      </c>
      <c r="E77" s="198">
        <v>254.44199763402494</v>
      </c>
      <c r="F77" s="198">
        <v>251.46217264106656</v>
      </c>
      <c r="G77" s="198">
        <v>248.30706382499298</v>
      </c>
      <c r="H77" s="198">
        <v>246.9047932400714</v>
      </c>
      <c r="I77" s="198">
        <v>245.67780647826496</v>
      </c>
      <c r="J77" s="198">
        <v>293.24646226790622</v>
      </c>
      <c r="K77" s="198">
        <v>296.05178103412118</v>
      </c>
      <c r="L77" s="198">
        <v>291.54483435871163</v>
      </c>
      <c r="M77" s="198">
        <v>296.83038383408586</v>
      </c>
      <c r="N77" s="198">
        <v>307.56909763401455</v>
      </c>
      <c r="O77" s="198">
        <v>307.36139767401318</v>
      </c>
      <c r="P77" s="198">
        <v>289.80276310816424</v>
      </c>
      <c r="Q77" s="198">
        <v>284.97058710949995</v>
      </c>
      <c r="R77" s="198">
        <v>287.6185623889163</v>
      </c>
      <c r="S77" s="198">
        <v>273.32585113967036</v>
      </c>
      <c r="T77" s="198">
        <v>260.05547196006773</v>
      </c>
      <c r="U77" s="198">
        <v>247.78035809320502</v>
      </c>
      <c r="V77" s="198">
        <v>254.21623068092791</v>
      </c>
      <c r="W77" s="112"/>
    </row>
    <row r="78" spans="2:27">
      <c r="B78" s="193"/>
      <c r="C78" s="60"/>
      <c r="D78" s="159" t="s">
        <v>164</v>
      </c>
      <c r="E78" s="198">
        <v>322.59234806121492</v>
      </c>
      <c r="F78" s="198">
        <v>317.33383336775893</v>
      </c>
      <c r="G78" s="198">
        <v>313.1270216129941</v>
      </c>
      <c r="H78" s="198">
        <v>309.97191279692044</v>
      </c>
      <c r="I78" s="198">
        <v>308.56964221199888</v>
      </c>
      <c r="J78" s="198">
        <v>322.09104359703224</v>
      </c>
      <c r="K78" s="198">
        <v>331.98174431634141</v>
      </c>
      <c r="L78" s="198">
        <v>350.20889556295913</v>
      </c>
      <c r="M78" s="198">
        <v>355.54447320681624</v>
      </c>
      <c r="N78" s="198">
        <v>359.74196300105166</v>
      </c>
      <c r="O78" s="198">
        <v>331.21096045064183</v>
      </c>
      <c r="P78" s="198">
        <v>332.3639492706414</v>
      </c>
      <c r="Q78" s="198">
        <v>321.77650538573533</v>
      </c>
      <c r="R78" s="198">
        <v>327.56823781053487</v>
      </c>
      <c r="S78" s="198">
        <v>336.78272656456994</v>
      </c>
      <c r="T78" s="198">
        <v>334.64337806346697</v>
      </c>
      <c r="U78" s="198">
        <v>333.71843367110824</v>
      </c>
      <c r="V78" s="198">
        <v>339.03842255087659</v>
      </c>
      <c r="W78" s="112"/>
    </row>
    <row r="79" spans="2:27">
      <c r="B79" s="193"/>
      <c r="C79" s="60"/>
      <c r="D79" s="159" t="s">
        <v>165</v>
      </c>
      <c r="E79" s="198">
        <v>325.15149187869685</v>
      </c>
      <c r="F79" s="198">
        <v>328.83245216411603</v>
      </c>
      <c r="G79" s="198">
        <v>328.83245216411603</v>
      </c>
      <c r="H79" s="198">
        <v>325.85262717115768</v>
      </c>
      <c r="I79" s="198">
        <v>324.27507276312082</v>
      </c>
      <c r="J79" s="198">
        <v>321.15092922659227</v>
      </c>
      <c r="K79" s="198">
        <v>335.30847847117377</v>
      </c>
      <c r="L79" s="198">
        <v>367.27954079887144</v>
      </c>
      <c r="M79" s="198">
        <v>360.88416766459318</v>
      </c>
      <c r="N79" s="198">
        <v>358.68244458366445</v>
      </c>
      <c r="O79" s="198">
        <v>362.5893268996</v>
      </c>
      <c r="P79" s="198">
        <v>355.09376556347485</v>
      </c>
      <c r="Q79" s="198">
        <v>316.03412320842483</v>
      </c>
      <c r="R79" s="198">
        <v>322.28806784565512</v>
      </c>
      <c r="S79" s="198">
        <v>317.77804500738569</v>
      </c>
      <c r="T79" s="198">
        <v>326.65416427153343</v>
      </c>
      <c r="U79" s="198">
        <v>345.31213598615403</v>
      </c>
      <c r="V79" s="198">
        <v>336.47941278217183</v>
      </c>
      <c r="W79" s="112"/>
    </row>
    <row r="80" spans="2:27">
      <c r="B80" s="193"/>
      <c r="C80" s="60"/>
      <c r="D80" s="159" t="s">
        <v>166</v>
      </c>
      <c r="E80" s="198">
        <v>152.60209640409352</v>
      </c>
      <c r="F80" s="198">
        <v>155.05606992770632</v>
      </c>
      <c r="G80" s="198">
        <v>155.93248904328235</v>
      </c>
      <c r="H80" s="198">
        <v>155.05606992770635</v>
      </c>
      <c r="I80" s="198">
        <v>154.17965081213035</v>
      </c>
      <c r="J80" s="198">
        <v>158.22009057865193</v>
      </c>
      <c r="K80" s="198">
        <v>163.81918737648601</v>
      </c>
      <c r="L80" s="198">
        <v>169.37035278439464</v>
      </c>
      <c r="M80" s="198">
        <v>168.32210347897256</v>
      </c>
      <c r="N80" s="198">
        <v>171.533168920501</v>
      </c>
      <c r="O80" s="198">
        <v>186.84444740452849</v>
      </c>
      <c r="P80" s="198">
        <v>188.52806218585917</v>
      </c>
      <c r="Q80" s="198">
        <v>178.46476266408246</v>
      </c>
      <c r="R80" s="198">
        <v>189.95214992316625</v>
      </c>
      <c r="S80" s="198">
        <v>173.42945563217114</v>
      </c>
      <c r="T80" s="198">
        <v>157.69949267253946</v>
      </c>
      <c r="U80" s="198">
        <v>153.42656264854818</v>
      </c>
      <c r="V80" s="198">
        <v>157.23752840661652</v>
      </c>
      <c r="W80" s="112"/>
    </row>
    <row r="81" spans="2:23">
      <c r="B81" s="193"/>
      <c r="C81" s="60"/>
      <c r="D81" s="159" t="s">
        <v>167</v>
      </c>
      <c r="E81" s="198">
        <v>205.15218657403068</v>
      </c>
      <c r="F81" s="198">
        <v>208.48257921321942</v>
      </c>
      <c r="G81" s="198">
        <v>209.53428215191067</v>
      </c>
      <c r="H81" s="198">
        <v>208.48257921321945</v>
      </c>
      <c r="I81" s="198">
        <v>207.43087627452826</v>
      </c>
      <c r="J81" s="198">
        <v>217.35504750287086</v>
      </c>
      <c r="K81" s="198">
        <v>236.37489591087356</v>
      </c>
      <c r="L81" s="198">
        <v>242.23914511255958</v>
      </c>
      <c r="M81" s="198">
        <v>246.14519178425061</v>
      </c>
      <c r="N81" s="198">
        <v>248.46729704623405</v>
      </c>
      <c r="O81" s="198">
        <v>273.00086274751908</v>
      </c>
      <c r="P81" s="198">
        <v>273.80532842777177</v>
      </c>
      <c r="Q81" s="198">
        <v>268.74440770410911</v>
      </c>
      <c r="R81" s="198">
        <v>272.53212590136781</v>
      </c>
      <c r="S81" s="198">
        <v>267.2388191438734</v>
      </c>
      <c r="T81" s="198">
        <v>266.66470090827983</v>
      </c>
      <c r="U81" s="198">
        <v>267.88499090331271</v>
      </c>
      <c r="V81" s="198">
        <v>282.28107112607546</v>
      </c>
      <c r="W81" s="112"/>
    </row>
    <row r="82" spans="2:23">
      <c r="B82" s="193"/>
      <c r="C82" s="60"/>
      <c r="D82" s="159" t="s">
        <v>168</v>
      </c>
      <c r="E82" s="198">
        <v>279.1570166932683</v>
      </c>
      <c r="F82" s="198">
        <v>283.18854462491794</v>
      </c>
      <c r="G82" s="198">
        <v>285.64251814853071</v>
      </c>
      <c r="H82" s="198">
        <v>284.24024756360905</v>
      </c>
      <c r="I82" s="198">
        <v>282.83797697868749</v>
      </c>
      <c r="J82" s="198">
        <v>308.84151773282093</v>
      </c>
      <c r="K82" s="198">
        <v>310.68355637390005</v>
      </c>
      <c r="L82" s="198">
        <v>303.06900594349179</v>
      </c>
      <c r="M82" s="198">
        <v>279.24726514655003</v>
      </c>
      <c r="N82" s="198">
        <v>278.75079839693637</v>
      </c>
      <c r="O82" s="198">
        <v>314.31612421155899</v>
      </c>
      <c r="P82" s="198">
        <v>308.45963593202862</v>
      </c>
      <c r="Q82" s="198">
        <v>292.26301957358493</v>
      </c>
      <c r="R82" s="198">
        <v>280.56830164226773</v>
      </c>
      <c r="S82" s="198">
        <v>285.2616586810318</v>
      </c>
      <c r="T82" s="198">
        <v>271.13526634308317</v>
      </c>
      <c r="U82" s="198">
        <v>255.39379269547783</v>
      </c>
      <c r="V82" s="198">
        <v>243.36364811516955</v>
      </c>
      <c r="W82" s="112"/>
    </row>
    <row r="83" spans="2:23">
      <c r="B83" s="193"/>
      <c r="C83" s="60"/>
      <c r="D83" s="159" t="s">
        <v>169</v>
      </c>
      <c r="E83" s="198">
        <v>290.37518137264107</v>
      </c>
      <c r="F83" s="198">
        <v>282.66269315557224</v>
      </c>
      <c r="G83" s="198">
        <v>275.30077258473381</v>
      </c>
      <c r="H83" s="198">
        <v>270.74339318373865</v>
      </c>
      <c r="I83" s="198">
        <v>262.68033732043938</v>
      </c>
      <c r="J83" s="198">
        <v>306.15419594690866</v>
      </c>
      <c r="K83" s="198">
        <v>312.30284332201563</v>
      </c>
      <c r="L83" s="198">
        <v>300.06615580713208</v>
      </c>
      <c r="M83" s="198">
        <v>297.49469330871869</v>
      </c>
      <c r="N83" s="198">
        <v>312.47277388827712</v>
      </c>
      <c r="O83" s="198">
        <v>283.44528168253356</v>
      </c>
      <c r="P83" s="198">
        <v>310.54959183344243</v>
      </c>
      <c r="Q83" s="198">
        <v>291.87876359120628</v>
      </c>
      <c r="R83" s="198">
        <v>276.63907788763214</v>
      </c>
      <c r="S83" s="198">
        <v>264.66117753843662</v>
      </c>
      <c r="T83" s="198">
        <v>256.04713759943581</v>
      </c>
      <c r="U83" s="198">
        <v>258.05591658448037</v>
      </c>
      <c r="V83" s="198">
        <v>252.84615687225977</v>
      </c>
      <c r="W83" s="112"/>
    </row>
    <row r="84" spans="2:23">
      <c r="B84" s="193"/>
      <c r="C84" s="60"/>
      <c r="D84" s="159" t="s">
        <v>170</v>
      </c>
      <c r="E84" s="198">
        <v>428.04309604731952</v>
      </c>
      <c r="F84" s="198">
        <v>428.56894751666516</v>
      </c>
      <c r="G84" s="198">
        <v>426.64082546239797</v>
      </c>
      <c r="H84" s="198">
        <v>424.71270340813061</v>
      </c>
      <c r="I84" s="198">
        <v>422.95986517697867</v>
      </c>
      <c r="J84" s="198">
        <v>454.83455250930126</v>
      </c>
      <c r="K84" s="198">
        <v>435.80319390107582</v>
      </c>
      <c r="L84" s="198">
        <v>425.74127899103178</v>
      </c>
      <c r="M84" s="198">
        <v>424.92529598441706</v>
      </c>
      <c r="N84" s="198">
        <v>441.52339145425702</v>
      </c>
      <c r="O84" s="198">
        <v>424.67304097533798</v>
      </c>
      <c r="P84" s="198">
        <v>438.62680559441645</v>
      </c>
      <c r="Q84" s="198">
        <v>417.09810551842361</v>
      </c>
      <c r="R84" s="198">
        <v>415.28833249284997</v>
      </c>
      <c r="S84" s="198">
        <v>409.99414835926825</v>
      </c>
      <c r="T84" s="198">
        <v>390.4625957834582</v>
      </c>
      <c r="U84" s="198">
        <v>393.19135711429618</v>
      </c>
      <c r="V84" s="198">
        <v>377.92314179754061</v>
      </c>
      <c r="W84" s="112"/>
    </row>
    <row r="85" spans="2:23">
      <c r="B85" s="193"/>
      <c r="D85" s="159" t="s">
        <v>171</v>
      </c>
      <c r="E85" s="198">
        <v>273.62681207398367</v>
      </c>
      <c r="F85" s="198">
        <v>280.97996845366634</v>
      </c>
      <c r="G85" s="198">
        <v>279.75298169185993</v>
      </c>
      <c r="H85" s="198">
        <v>278.35071110693838</v>
      </c>
      <c r="I85" s="198">
        <v>277.12372434513185</v>
      </c>
      <c r="J85" s="198">
        <v>231.45303604011428</v>
      </c>
      <c r="K85" s="198">
        <v>245.48654741226119</v>
      </c>
      <c r="L85" s="198">
        <v>264.67152454227789</v>
      </c>
      <c r="M85" s="198">
        <v>278.38773306947519</v>
      </c>
      <c r="N85" s="198">
        <v>272.20895125056563</v>
      </c>
      <c r="O85" s="198">
        <v>260.80363292337768</v>
      </c>
      <c r="P85" s="198">
        <v>259.30687439251801</v>
      </c>
      <c r="Q85" s="198">
        <v>265.30586436634763</v>
      </c>
      <c r="R85" s="198">
        <v>252.01987186796529</v>
      </c>
      <c r="S85" s="198">
        <v>243.23198975490428</v>
      </c>
      <c r="T85" s="198">
        <v>231.39160598089606</v>
      </c>
      <c r="U85" s="198">
        <v>235.03445780538499</v>
      </c>
      <c r="V85" s="198">
        <v>238.40071153253376</v>
      </c>
      <c r="W85" s="112"/>
    </row>
    <row r="86" spans="2:23">
      <c r="B86" s="193"/>
      <c r="C86" s="60"/>
      <c r="D86" s="159" t="s">
        <v>172</v>
      </c>
      <c r="E86" s="198">
        <v>246.32635662379121</v>
      </c>
      <c r="F86" s="198">
        <v>244.0257564454042</v>
      </c>
      <c r="G86" s="198">
        <v>241.61231730588682</v>
      </c>
      <c r="H86" s="198">
        <v>238.52622649516482</v>
      </c>
      <c r="I86" s="198">
        <v>237.4745235564736</v>
      </c>
      <c r="J86" s="198">
        <v>304.92362850783195</v>
      </c>
      <c r="K86" s="198">
        <v>297.83863233225776</v>
      </c>
      <c r="L86" s="198">
        <v>325.51500112668742</v>
      </c>
      <c r="M86" s="198">
        <v>314.93808170355476</v>
      </c>
      <c r="N86" s="198">
        <v>318.78437256322746</v>
      </c>
      <c r="O86" s="198">
        <v>300.51616552263738</v>
      </c>
      <c r="P86" s="198">
        <v>312.36542774722523</v>
      </c>
      <c r="Q86" s="198">
        <v>286.32303980841573</v>
      </c>
      <c r="R86" s="198">
        <v>263.68644346843428</v>
      </c>
      <c r="S86" s="198">
        <v>262.58246759894166</v>
      </c>
      <c r="T86" s="198">
        <v>266.78196541563</v>
      </c>
      <c r="U86" s="198">
        <v>259.63119134170535</v>
      </c>
      <c r="V86" s="198">
        <v>244.86640217500832</v>
      </c>
      <c r="W86" s="112"/>
    </row>
    <row r="87" spans="2:23">
      <c r="B87" s="193"/>
      <c r="C87" s="60"/>
      <c r="D87" s="159" t="s">
        <v>28</v>
      </c>
      <c r="E87" s="198">
        <v>165.68703379964322</v>
      </c>
      <c r="F87" s="198">
        <v>166.76919230260071</v>
      </c>
      <c r="G87" s="198">
        <v>169.24716327712187</v>
      </c>
      <c r="H87" s="198">
        <v>171.05597730166181</v>
      </c>
      <c r="I87" s="198">
        <v>170.17955818608584</v>
      </c>
      <c r="J87" s="198">
        <v>172.12451479149215</v>
      </c>
      <c r="K87" s="198">
        <v>167.22800347702344</v>
      </c>
      <c r="L87" s="198">
        <v>162.36410127897361</v>
      </c>
      <c r="M87" s="198">
        <v>161.1261167024376</v>
      </c>
      <c r="N87" s="198">
        <v>167.96542408254948</v>
      </c>
      <c r="O87" s="198">
        <v>205.1175413608012</v>
      </c>
      <c r="P87" s="198">
        <v>213.02007499490509</v>
      </c>
      <c r="Q87" s="198">
        <v>211.13425364045096</v>
      </c>
      <c r="R87" s="198">
        <v>215.83254152787904</v>
      </c>
      <c r="S87" s="198">
        <v>222.0238761280938</v>
      </c>
      <c r="T87" s="198">
        <v>206.18856493841639</v>
      </c>
      <c r="U87" s="198">
        <v>214.91525694149703</v>
      </c>
      <c r="V87" s="198">
        <v>209.50354763414174</v>
      </c>
      <c r="W87" s="112"/>
    </row>
    <row r="88" spans="2:23">
      <c r="B88" s="193"/>
      <c r="C88" s="60"/>
      <c r="D88" s="159" t="s">
        <v>173</v>
      </c>
      <c r="E88" s="198">
        <v>369.18278824523514</v>
      </c>
      <c r="F88" s="198">
        <v>376.71999263918883</v>
      </c>
      <c r="G88" s="198">
        <v>379.52453380903199</v>
      </c>
      <c r="H88" s="198">
        <v>377.94697940099519</v>
      </c>
      <c r="I88" s="198">
        <v>376.36942499295844</v>
      </c>
      <c r="J88" s="198">
        <v>405.16440916851155</v>
      </c>
      <c r="K88" s="198">
        <v>409.3825840817247</v>
      </c>
      <c r="L88" s="198">
        <v>414.291069694984</v>
      </c>
      <c r="M88" s="198">
        <v>408.51781385784381</v>
      </c>
      <c r="N88" s="198">
        <v>395.93272680925998</v>
      </c>
      <c r="O88" s="198">
        <v>391.09642872990474</v>
      </c>
      <c r="P88" s="198">
        <v>399.74627155084198</v>
      </c>
      <c r="Q88" s="198">
        <v>386.72442349586055</v>
      </c>
      <c r="R88" s="198">
        <v>390.44854232367049</v>
      </c>
      <c r="S88" s="198">
        <v>349.20591355258347</v>
      </c>
      <c r="T88" s="198">
        <v>358.28797987666235</v>
      </c>
      <c r="U88" s="198">
        <v>359.10706612265346</v>
      </c>
      <c r="V88" s="198">
        <v>351.66265125821042</v>
      </c>
      <c r="W88" s="112"/>
    </row>
    <row r="89" spans="2:23">
      <c r="B89" s="193"/>
      <c r="C89" s="60"/>
      <c r="D89" s="195" t="s">
        <v>174</v>
      </c>
      <c r="E89" s="198">
        <v>3801.7308395455834</v>
      </c>
      <c r="F89" s="198">
        <v>3810.6700954196795</v>
      </c>
      <c r="G89" s="198">
        <v>3795.4849346436608</v>
      </c>
      <c r="H89" s="198">
        <v>3769.4926387982346</v>
      </c>
      <c r="I89" s="198">
        <v>3743.2000653309551</v>
      </c>
      <c r="J89" s="198">
        <v>4050.6474769130996</v>
      </c>
      <c r="K89" s="198">
        <v>4116.8970960014785</v>
      </c>
      <c r="L89" s="198">
        <v>4197.7835379683474</v>
      </c>
      <c r="M89" s="198">
        <v>4135.5204914731994</v>
      </c>
      <c r="N89" s="198">
        <v>4179.3875004078072</v>
      </c>
      <c r="O89" s="198">
        <v>4175.862997048378</v>
      </c>
      <c r="P89" s="198">
        <v>4199.0483516665181</v>
      </c>
      <c r="Q89" s="198">
        <v>4025.4510572322597</v>
      </c>
      <c r="R89" s="198">
        <v>3999.0446574850816</v>
      </c>
      <c r="S89" s="198">
        <v>3909.3175640117706</v>
      </c>
      <c r="T89" s="198">
        <v>3821.0416079614597</v>
      </c>
      <c r="U89" s="198">
        <v>3819.5034368669494</v>
      </c>
      <c r="V89" s="198">
        <v>3762.854823407074</v>
      </c>
      <c r="W89" s="125"/>
    </row>
    <row r="90" spans="2:23" ht="15" thickBot="1">
      <c r="B90" s="193"/>
      <c r="C90" s="60"/>
      <c r="D90" s="215" t="s">
        <v>724</v>
      </c>
      <c r="E90" s="199">
        <f>SUM(E75:E77,E82:E88)</f>
        <v>2796.2327166275472</v>
      </c>
      <c r="F90" s="200">
        <f t="shared" ref="F90:V90" si="37">SUM(F75:F77,F82:F88)</f>
        <v>2800.9651607468786</v>
      </c>
      <c r="G90" s="200">
        <f t="shared" si="37"/>
        <v>2788.0586896713576</v>
      </c>
      <c r="H90" s="200">
        <f t="shared" si="37"/>
        <v>2770.129449689231</v>
      </c>
      <c r="I90" s="201">
        <f t="shared" si="37"/>
        <v>2748.7448232691768</v>
      </c>
      <c r="J90" s="199">
        <f t="shared" si="37"/>
        <v>3031.8303660079514</v>
      </c>
      <c r="K90" s="200">
        <f t="shared" si="37"/>
        <v>3049.4127899266041</v>
      </c>
      <c r="L90" s="200">
        <f t="shared" si="37"/>
        <v>3068.6856037095627</v>
      </c>
      <c r="M90" s="200">
        <f t="shared" si="37"/>
        <v>3004.6245553385675</v>
      </c>
      <c r="N90" s="201">
        <f t="shared" si="37"/>
        <v>3040.9626268563561</v>
      </c>
      <c r="O90" s="199">
        <f>SUM(O75:O77,O82:O88)</f>
        <v>3022.2173995460889</v>
      </c>
      <c r="P90" s="200">
        <f>SUM(P75:P77,P82:P88)</f>
        <v>3049.2572462187709</v>
      </c>
      <c r="Q90" s="200">
        <f t="shared" si="37"/>
        <v>2940.4312582699081</v>
      </c>
      <c r="R90" s="200">
        <f t="shared" si="37"/>
        <v>2886.7040760043574</v>
      </c>
      <c r="S90" s="200">
        <f t="shared" si="37"/>
        <v>2814.0885176637712</v>
      </c>
      <c r="T90" s="200">
        <f t="shared" si="37"/>
        <v>2735.3798720456389</v>
      </c>
      <c r="U90" s="200">
        <f t="shared" si="37"/>
        <v>2719.1613136578262</v>
      </c>
      <c r="V90" s="201">
        <f t="shared" si="37"/>
        <v>2647.8183885413337</v>
      </c>
    </row>
    <row r="91" spans="2:23">
      <c r="B91" s="193"/>
      <c r="C91" s="60"/>
    </row>
    <row r="92" spans="2:23" ht="15" thickBot="1">
      <c r="B92" s="193"/>
      <c r="C92" s="60"/>
      <c r="D92" s="1" t="s">
        <v>725</v>
      </c>
    </row>
    <row r="93" spans="2:23" ht="14.25" customHeight="1">
      <c r="B93" s="193"/>
      <c r="C93" s="60"/>
      <c r="E93" s="1251" t="s">
        <v>717</v>
      </c>
      <c r="F93" s="1299"/>
      <c r="G93" s="1299"/>
      <c r="H93" s="1299"/>
      <c r="I93" s="1267"/>
      <c r="J93" s="1251" t="s">
        <v>718</v>
      </c>
      <c r="K93" s="1299"/>
      <c r="L93" s="1299"/>
      <c r="M93" s="1299"/>
      <c r="N93" s="1267"/>
      <c r="O93" s="248" t="s">
        <v>719</v>
      </c>
      <c r="P93" s="249"/>
      <c r="Q93" s="249"/>
      <c r="R93" s="249"/>
      <c r="S93" s="249"/>
      <c r="T93" s="249"/>
      <c r="U93" s="249"/>
      <c r="V93" s="250"/>
    </row>
    <row r="94" spans="2:23">
      <c r="B94" s="193"/>
      <c r="C94" s="60"/>
      <c r="E94" s="196" t="s">
        <v>720</v>
      </c>
      <c r="F94" s="196" t="s">
        <v>721</v>
      </c>
      <c r="G94" s="196" t="s">
        <v>722</v>
      </c>
      <c r="H94" s="196" t="s">
        <v>723</v>
      </c>
      <c r="I94" s="214" t="s">
        <v>131</v>
      </c>
      <c r="J94" s="196" t="s">
        <v>726</v>
      </c>
      <c r="K94" s="102" t="s">
        <v>133</v>
      </c>
      <c r="L94" s="102" t="s">
        <v>134</v>
      </c>
      <c r="M94" s="102" t="s">
        <v>135</v>
      </c>
      <c r="N94" s="197" t="s">
        <v>136</v>
      </c>
      <c r="O94" s="196" t="s">
        <v>137</v>
      </c>
      <c r="P94" s="102" t="s">
        <v>138</v>
      </c>
      <c r="Q94" s="102" t="s">
        <v>139</v>
      </c>
      <c r="R94" s="102" t="s">
        <v>140</v>
      </c>
      <c r="S94" s="102" t="s">
        <v>141</v>
      </c>
      <c r="T94" s="102" t="s">
        <v>126</v>
      </c>
      <c r="U94" s="102" t="s">
        <v>142</v>
      </c>
      <c r="V94" s="197" t="s">
        <v>143</v>
      </c>
    </row>
    <row r="95" spans="2:23">
      <c r="B95" s="193"/>
      <c r="C95" s="60"/>
      <c r="D95" s="159" t="s">
        <v>161</v>
      </c>
      <c r="E95" s="202">
        <v>265.58386973043753</v>
      </c>
      <c r="F95" s="202">
        <v>251.69181918560309</v>
      </c>
      <c r="G95" s="202">
        <v>275.1235375881455</v>
      </c>
      <c r="H95" s="202">
        <v>287.32955658684608</v>
      </c>
      <c r="I95" s="202">
        <v>271.11538756390792</v>
      </c>
      <c r="J95" s="202">
        <v>275.83618042753625</v>
      </c>
      <c r="K95" s="202">
        <v>302.75363923059962</v>
      </c>
      <c r="L95" s="202">
        <v>300.96819304163159</v>
      </c>
      <c r="M95" s="202">
        <v>310.91169028089132</v>
      </c>
      <c r="N95" s="202">
        <v>328.49699361282978</v>
      </c>
      <c r="O95" s="202">
        <v>293.15141527205401</v>
      </c>
      <c r="P95" s="202">
        <v>248.47412178639323</v>
      </c>
      <c r="Q95" s="202">
        <v>288.19413832001067</v>
      </c>
      <c r="R95" s="202">
        <v>295.90136826950197</v>
      </c>
      <c r="S95" s="202">
        <v>270.47184557614565</v>
      </c>
      <c r="T95" s="202">
        <v>256.55740047971778</v>
      </c>
      <c r="U95" s="202">
        <v>264.2157086948414</v>
      </c>
      <c r="V95" s="938">
        <v>294.23611058907574</v>
      </c>
      <c r="W95" s="125"/>
    </row>
    <row r="96" spans="2:23">
      <c r="B96" s="193"/>
      <c r="C96" s="60"/>
      <c r="D96" s="159" t="s">
        <v>162</v>
      </c>
      <c r="E96" s="202">
        <v>168.40976810305841</v>
      </c>
      <c r="F96" s="202">
        <v>173.81515256413886</v>
      </c>
      <c r="G96" s="202">
        <v>188.0377511002321</v>
      </c>
      <c r="H96" s="202">
        <v>185.20829161210258</v>
      </c>
      <c r="I96" s="202">
        <v>177.20162988673144</v>
      </c>
      <c r="J96" s="202">
        <v>156.99297493576123</v>
      </c>
      <c r="K96" s="202">
        <v>158.66110132704645</v>
      </c>
      <c r="L96" s="202">
        <v>221.09457991070266</v>
      </c>
      <c r="M96" s="202">
        <v>252.90972215896375</v>
      </c>
      <c r="N96" s="202">
        <v>264.82926537636922</v>
      </c>
      <c r="O96" s="202">
        <v>226.15238928983541</v>
      </c>
      <c r="P96" s="202">
        <v>221.47358479840949</v>
      </c>
      <c r="Q96" s="202">
        <v>200.03702720418096</v>
      </c>
      <c r="R96" s="202">
        <v>205.38342691430461</v>
      </c>
      <c r="S96" s="202">
        <v>230.59991225873071</v>
      </c>
      <c r="T96" s="202">
        <v>225.71869044544928</v>
      </c>
      <c r="U96" s="202">
        <v>204.74443755041312</v>
      </c>
      <c r="V96" s="938">
        <v>142.67472672030672</v>
      </c>
      <c r="W96" s="125"/>
    </row>
    <row r="97" spans="2:23">
      <c r="B97" s="193"/>
      <c r="C97" s="60"/>
      <c r="D97" s="159" t="s">
        <v>163</v>
      </c>
      <c r="E97" s="202">
        <v>232.9150505077163</v>
      </c>
      <c r="F97" s="202">
        <v>206.12873269095979</v>
      </c>
      <c r="G97" s="202">
        <v>223.3498860896419</v>
      </c>
      <c r="H97" s="202">
        <v>237.56389254272278</v>
      </c>
      <c r="I97" s="202">
        <v>254.7687261098153</v>
      </c>
      <c r="J97" s="202">
        <v>217.84935106000279</v>
      </c>
      <c r="K97" s="202">
        <v>229.4689142805976</v>
      </c>
      <c r="L97" s="202">
        <v>291.0943699305617</v>
      </c>
      <c r="M97" s="202">
        <v>297.35735372069769</v>
      </c>
      <c r="N97" s="202">
        <v>344.42040126466389</v>
      </c>
      <c r="O97" s="202">
        <v>299.2844256351504</v>
      </c>
      <c r="P97" s="202">
        <v>258.10647031489032</v>
      </c>
      <c r="Q97" s="202">
        <v>250.16925848601696</v>
      </c>
      <c r="R97" s="202">
        <v>263.18008329283123</v>
      </c>
      <c r="S97" s="202">
        <v>288.35221241254862</v>
      </c>
      <c r="T97" s="202">
        <v>281.0707410696599</v>
      </c>
      <c r="U97" s="202">
        <v>278.47617745706378</v>
      </c>
      <c r="V97" s="938">
        <v>295.47755315648016</v>
      </c>
      <c r="W97" s="125"/>
    </row>
    <row r="98" spans="2:23">
      <c r="B98" s="193"/>
      <c r="C98" s="60"/>
      <c r="D98" s="159" t="s">
        <v>164</v>
      </c>
      <c r="E98" s="202">
        <v>240.64098072663103</v>
      </c>
      <c r="F98" s="202">
        <v>307.46617458368968</v>
      </c>
      <c r="G98" s="202">
        <v>324.28021828593643</v>
      </c>
      <c r="H98" s="202">
        <v>363.84807383120335</v>
      </c>
      <c r="I98" s="202">
        <v>336.52110934056486</v>
      </c>
      <c r="J98" s="202">
        <v>296.46851398095271</v>
      </c>
      <c r="K98" s="202">
        <v>361.13851856952539</v>
      </c>
      <c r="L98" s="202">
        <v>340.69002240794651</v>
      </c>
      <c r="M98" s="202">
        <v>406.21815119351879</v>
      </c>
      <c r="N98" s="202">
        <v>403.47392420453224</v>
      </c>
      <c r="O98" s="202">
        <v>374.02107204480541</v>
      </c>
      <c r="P98" s="202">
        <v>376.6741186179205</v>
      </c>
      <c r="Q98" s="202">
        <v>318.39139237344847</v>
      </c>
      <c r="R98" s="202">
        <v>287.81445035226687</v>
      </c>
      <c r="S98" s="202">
        <v>287.89198339516162</v>
      </c>
      <c r="T98" s="202">
        <v>334.58968982767607</v>
      </c>
      <c r="U98" s="202">
        <v>349.4748775023474</v>
      </c>
      <c r="V98" s="938">
        <v>347.26968230662237</v>
      </c>
      <c r="W98" s="125"/>
    </row>
    <row r="99" spans="2:23">
      <c r="B99" s="193"/>
      <c r="C99" s="60"/>
      <c r="D99" s="159" t="s">
        <v>165</v>
      </c>
      <c r="E99" s="202">
        <v>228.61121784635301</v>
      </c>
      <c r="F99" s="202">
        <v>280.6311047462379</v>
      </c>
      <c r="G99" s="202">
        <v>310.60263763386536</v>
      </c>
      <c r="H99" s="202">
        <v>347.10399001189887</v>
      </c>
      <c r="I99" s="202">
        <v>308.34955028703843</v>
      </c>
      <c r="J99" s="202">
        <v>277.25845428713552</v>
      </c>
      <c r="K99" s="202">
        <v>332.32736485803514</v>
      </c>
      <c r="L99" s="202">
        <v>381.56842213941655</v>
      </c>
      <c r="M99" s="202">
        <v>411.98448881738335</v>
      </c>
      <c r="N99" s="202">
        <v>448.36552815671678</v>
      </c>
      <c r="O99" s="202">
        <v>369.2946866944452</v>
      </c>
      <c r="P99" s="202">
        <v>372.67227109120256</v>
      </c>
      <c r="Q99" s="202">
        <v>323.91397488687119</v>
      </c>
      <c r="R99" s="202">
        <v>292.33737155392714</v>
      </c>
      <c r="S99" s="202">
        <v>312.79054049380341</v>
      </c>
      <c r="T99" s="202">
        <v>323.37142246751006</v>
      </c>
      <c r="U99" s="202">
        <v>317.80340000417578</v>
      </c>
      <c r="V99" s="938">
        <v>344.72161878944814</v>
      </c>
      <c r="W99" s="125"/>
    </row>
    <row r="100" spans="2:23">
      <c r="B100" s="193"/>
      <c r="C100" s="60"/>
      <c r="D100" s="159" t="s">
        <v>166</v>
      </c>
      <c r="E100" s="202">
        <v>125.70532729342848</v>
      </c>
      <c r="F100" s="202">
        <v>130.86244132184473</v>
      </c>
      <c r="G100" s="202">
        <v>136.91739425516425</v>
      </c>
      <c r="H100" s="202">
        <v>130.65915291948244</v>
      </c>
      <c r="I100" s="202">
        <v>135.22260880936537</v>
      </c>
      <c r="J100" s="202">
        <v>148.21568486805913</v>
      </c>
      <c r="K100" s="202">
        <v>146.46391527685677</v>
      </c>
      <c r="L100" s="202">
        <v>168.80852321498102</v>
      </c>
      <c r="M100" s="202">
        <v>164.72117365065367</v>
      </c>
      <c r="N100" s="202">
        <v>170.65325198876366</v>
      </c>
      <c r="O100" s="202">
        <v>170.30759070203095</v>
      </c>
      <c r="P100" s="202">
        <v>177.0454404095218</v>
      </c>
      <c r="Q100" s="202">
        <v>155.657551243325</v>
      </c>
      <c r="R100" s="202">
        <v>162.45492534979596</v>
      </c>
      <c r="S100" s="202">
        <v>153.57912442301975</v>
      </c>
      <c r="T100" s="202">
        <v>177.45824348966934</v>
      </c>
      <c r="U100" s="202">
        <v>166.79459154369209</v>
      </c>
      <c r="V100" s="938">
        <v>179.2264925397501</v>
      </c>
      <c r="W100" s="125"/>
    </row>
    <row r="101" spans="2:23">
      <c r="B101" s="193"/>
      <c r="C101" s="60"/>
      <c r="D101" s="159" t="s">
        <v>167</v>
      </c>
      <c r="E101" s="202">
        <v>183.10027053901484</v>
      </c>
      <c r="F101" s="202">
        <v>191.52145549717716</v>
      </c>
      <c r="G101" s="202">
        <v>190.99142175372188</v>
      </c>
      <c r="H101" s="202">
        <v>194.33043408799568</v>
      </c>
      <c r="I101" s="202">
        <v>208.75486869204386</v>
      </c>
      <c r="J101" s="202">
        <v>209.08116866359148</v>
      </c>
      <c r="K101" s="202">
        <v>210.97868303325382</v>
      </c>
      <c r="L101" s="202">
        <v>222.42971572278955</v>
      </c>
      <c r="M101" s="202">
        <v>244.02794019314817</v>
      </c>
      <c r="N101" s="202">
        <v>228.72350303934675</v>
      </c>
      <c r="O101" s="202">
        <v>267.63884168783466</v>
      </c>
      <c r="P101" s="202">
        <v>306.54274173182586</v>
      </c>
      <c r="Q101" s="202">
        <v>264.4095970884805</v>
      </c>
      <c r="R101" s="202">
        <v>243.91078011422192</v>
      </c>
      <c r="S101" s="202">
        <v>259.79524837008967</v>
      </c>
      <c r="T101" s="202">
        <v>249.82921185392854</v>
      </c>
      <c r="U101" s="202">
        <v>238.37711022269144</v>
      </c>
      <c r="V101" s="938">
        <v>303.81671922864359</v>
      </c>
      <c r="W101" s="125"/>
    </row>
    <row r="102" spans="2:23">
      <c r="B102" s="193"/>
      <c r="C102" s="60"/>
      <c r="D102" s="159" t="s">
        <v>168</v>
      </c>
      <c r="E102" s="202">
        <v>215.99941704286684</v>
      </c>
      <c r="F102" s="202">
        <v>241.65680636011345</v>
      </c>
      <c r="G102" s="202">
        <v>256.72306404058963</v>
      </c>
      <c r="H102" s="202">
        <v>273.31896770040993</v>
      </c>
      <c r="I102" s="202">
        <v>267.38433430392342</v>
      </c>
      <c r="J102" s="202">
        <v>258.25274269178641</v>
      </c>
      <c r="K102" s="202">
        <v>229.39777407847623</v>
      </c>
      <c r="L102" s="202">
        <v>258.42351969830548</v>
      </c>
      <c r="M102" s="202">
        <v>276.22279732416894</v>
      </c>
      <c r="N102" s="202">
        <v>265.45856657792933</v>
      </c>
      <c r="O102" s="202">
        <v>226.72122338777444</v>
      </c>
      <c r="P102" s="202">
        <v>244.24287500244972</v>
      </c>
      <c r="Q102" s="202">
        <v>266.1180894087567</v>
      </c>
      <c r="R102" s="202">
        <v>251.05159275631792</v>
      </c>
      <c r="S102" s="202">
        <v>251.27105200931155</v>
      </c>
      <c r="T102" s="202">
        <v>247.58180233726867</v>
      </c>
      <c r="U102" s="202">
        <v>253.58585868941918</v>
      </c>
      <c r="V102" s="938">
        <v>220.14775965423439</v>
      </c>
      <c r="W102" s="125"/>
    </row>
    <row r="103" spans="2:23">
      <c r="B103" s="193"/>
      <c r="C103" s="60"/>
      <c r="D103" s="159" t="s">
        <v>169</v>
      </c>
      <c r="E103" s="202">
        <v>241.06012288761937</v>
      </c>
      <c r="F103" s="202">
        <v>194.96632463744953</v>
      </c>
      <c r="G103" s="202">
        <v>239.27007247013699</v>
      </c>
      <c r="H103" s="202">
        <v>302.2910489378329</v>
      </c>
      <c r="I103" s="202">
        <v>350.07489851628679</v>
      </c>
      <c r="J103" s="202">
        <v>310.28149685258603</v>
      </c>
      <c r="K103" s="202">
        <v>277.97481438684247</v>
      </c>
      <c r="L103" s="202">
        <v>269.52023428929664</v>
      </c>
      <c r="M103" s="202">
        <v>285.9144756065981</v>
      </c>
      <c r="N103" s="202">
        <v>234.96308778554493</v>
      </c>
      <c r="O103" s="202">
        <v>207.45004016973718</v>
      </c>
      <c r="P103" s="202">
        <v>242.0128968306025</v>
      </c>
      <c r="Q103" s="202">
        <v>242.4371991794178</v>
      </c>
      <c r="R103" s="202">
        <v>249.9843488728965</v>
      </c>
      <c r="S103" s="202">
        <v>243.00691232756611</v>
      </c>
      <c r="T103" s="202">
        <v>233.65227919268472</v>
      </c>
      <c r="U103" s="202">
        <v>238.59250839622717</v>
      </c>
      <c r="V103" s="938">
        <v>232.52733106345406</v>
      </c>
      <c r="W103" s="125"/>
    </row>
    <row r="104" spans="2:23">
      <c r="B104" s="193"/>
      <c r="C104" s="60"/>
      <c r="D104" s="159" t="s">
        <v>170</v>
      </c>
      <c r="E104" s="202">
        <v>314.601360872518</v>
      </c>
      <c r="F104" s="202">
        <v>345.6289014422116</v>
      </c>
      <c r="G104" s="202">
        <v>428.26956238264535</v>
      </c>
      <c r="H104" s="202">
        <v>488.52734163635421</v>
      </c>
      <c r="I104" s="202">
        <v>537.59493217878787</v>
      </c>
      <c r="J104" s="202">
        <v>461.30278834998234</v>
      </c>
      <c r="K104" s="202">
        <v>403.0044506631549</v>
      </c>
      <c r="L104" s="202">
        <v>392.86785386003021</v>
      </c>
      <c r="M104" s="202">
        <v>451.57986182998934</v>
      </c>
      <c r="N104" s="202">
        <v>439.80465242448332</v>
      </c>
      <c r="O104" s="202">
        <v>336.88757074038131</v>
      </c>
      <c r="P104" s="202">
        <v>365.34277472478607</v>
      </c>
      <c r="Q104" s="202">
        <v>391.13391382207044</v>
      </c>
      <c r="R104" s="202">
        <v>374.47990408755402</v>
      </c>
      <c r="S104" s="202">
        <v>389.03268385463645</v>
      </c>
      <c r="T104" s="202">
        <v>382.11797715314435</v>
      </c>
      <c r="U104" s="202">
        <v>382.8101396446728</v>
      </c>
      <c r="V104" s="938">
        <v>389.2994247964275</v>
      </c>
      <c r="W104" s="125"/>
    </row>
    <row r="105" spans="2:23">
      <c r="B105" s="193"/>
      <c r="C105" s="60"/>
      <c r="D105" s="159" t="s">
        <v>171</v>
      </c>
      <c r="E105" s="202">
        <v>209.79092711381486</v>
      </c>
      <c r="F105" s="202">
        <v>236.74740738163905</v>
      </c>
      <c r="G105" s="202">
        <v>238.01610160892639</v>
      </c>
      <c r="H105" s="202">
        <v>235.05815174652977</v>
      </c>
      <c r="I105" s="202">
        <v>208.14038418452563</v>
      </c>
      <c r="J105" s="202">
        <v>216.58175530350388</v>
      </c>
      <c r="K105" s="202">
        <v>242.42040352390367</v>
      </c>
      <c r="L105" s="202">
        <v>227.73385897038926</v>
      </c>
      <c r="M105" s="202">
        <v>260.05079879542302</v>
      </c>
      <c r="N105" s="202">
        <v>266.40912511490393</v>
      </c>
      <c r="O105" s="202">
        <v>231.4446669321344</v>
      </c>
      <c r="P105" s="202">
        <v>249.56083905698566</v>
      </c>
      <c r="Q105" s="202">
        <v>254.08786346571719</v>
      </c>
      <c r="R105" s="202">
        <v>280.22737336517099</v>
      </c>
      <c r="S105" s="202">
        <v>269.49313894602204</v>
      </c>
      <c r="T105" s="202">
        <v>264.02621258900734</v>
      </c>
      <c r="U105" s="202">
        <v>242.90577148796288</v>
      </c>
      <c r="V105" s="938">
        <v>257.56573132147639</v>
      </c>
      <c r="W105" s="125"/>
    </row>
    <row r="106" spans="2:23">
      <c r="B106" s="193"/>
      <c r="C106" s="60"/>
      <c r="D106" s="159" t="s">
        <v>172</v>
      </c>
      <c r="E106" s="202">
        <v>235.29378899813474</v>
      </c>
      <c r="F106" s="202">
        <v>223.93955172328231</v>
      </c>
      <c r="G106" s="202">
        <v>245.69619133649871</v>
      </c>
      <c r="H106" s="202">
        <v>259.70359818053566</v>
      </c>
      <c r="I106" s="202">
        <v>225.24390148399269</v>
      </c>
      <c r="J106" s="202">
        <v>237.7557893749339</v>
      </c>
      <c r="K106" s="202">
        <v>270.51904928026079</v>
      </c>
      <c r="L106" s="202">
        <v>287.17788485161253</v>
      </c>
      <c r="M106" s="202">
        <v>319.00347103499809</v>
      </c>
      <c r="N106" s="202">
        <v>354.98584992677695</v>
      </c>
      <c r="O106" s="202">
        <v>287.99013787455635</v>
      </c>
      <c r="P106" s="202">
        <v>301.3202663174834</v>
      </c>
      <c r="Q106" s="202">
        <v>306.10397105291844</v>
      </c>
      <c r="R106" s="202">
        <v>319.48398921620293</v>
      </c>
      <c r="S106" s="202">
        <v>291.51071288244032</v>
      </c>
      <c r="T106" s="202">
        <v>264.13226618957009</v>
      </c>
      <c r="U106" s="202">
        <v>266.02569500649952</v>
      </c>
      <c r="V106" s="938">
        <v>279.52658168002745</v>
      </c>
      <c r="W106" s="125"/>
    </row>
    <row r="107" spans="2:23">
      <c r="B107" s="193"/>
      <c r="C107" s="60"/>
      <c r="D107" s="159" t="s">
        <v>28</v>
      </c>
      <c r="E107" s="202">
        <v>116.35337473304689</v>
      </c>
      <c r="F107" s="202">
        <v>122.59837211471186</v>
      </c>
      <c r="G107" s="202">
        <v>132.21306232148424</v>
      </c>
      <c r="H107" s="202">
        <v>152.27563743092449</v>
      </c>
      <c r="I107" s="202">
        <v>161.92954586435962</v>
      </c>
      <c r="J107" s="202">
        <v>125.47028163814993</v>
      </c>
      <c r="K107" s="202">
        <v>156.62933987991994</v>
      </c>
      <c r="L107" s="202">
        <v>153.46845410524165</v>
      </c>
      <c r="M107" s="202">
        <v>146.34730082010441</v>
      </c>
      <c r="N107" s="202">
        <v>156.83874456074216</v>
      </c>
      <c r="O107" s="202">
        <v>181.49509966876869</v>
      </c>
      <c r="P107" s="202">
        <v>204.24379206833942</v>
      </c>
      <c r="Q107" s="202">
        <v>193.47732494101973</v>
      </c>
      <c r="R107" s="202">
        <v>208.7896619284025</v>
      </c>
      <c r="S107" s="202">
        <v>216.268557396744</v>
      </c>
      <c r="T107" s="202">
        <v>239.73608010053192</v>
      </c>
      <c r="U107" s="202">
        <v>274.8996643528647</v>
      </c>
      <c r="V107" s="938">
        <v>252.81047946708466</v>
      </c>
      <c r="W107" s="125"/>
    </row>
    <row r="108" spans="2:23">
      <c r="B108" s="193"/>
      <c r="C108" s="60"/>
      <c r="D108" s="159" t="s">
        <v>173</v>
      </c>
      <c r="E108" s="202">
        <v>253.66753951779771</v>
      </c>
      <c r="F108" s="202">
        <v>285.03290448863879</v>
      </c>
      <c r="G108" s="202">
        <v>329.23680847825915</v>
      </c>
      <c r="H108" s="202">
        <v>362.6912789526242</v>
      </c>
      <c r="I108" s="202">
        <v>369.39785578248103</v>
      </c>
      <c r="J108" s="202">
        <v>285.88189958361852</v>
      </c>
      <c r="K108" s="202">
        <v>319.56989613005163</v>
      </c>
      <c r="L108" s="202">
        <v>353.27862580157358</v>
      </c>
      <c r="M108" s="202">
        <v>391.72211039463025</v>
      </c>
      <c r="N108" s="202">
        <v>368.48130794730923</v>
      </c>
      <c r="O108" s="202">
        <v>336.80004872259315</v>
      </c>
      <c r="P108" s="202">
        <v>361.8694195400434</v>
      </c>
      <c r="Q108" s="202">
        <v>407.08659053855689</v>
      </c>
      <c r="R108" s="202">
        <v>380.88083590800142</v>
      </c>
      <c r="S108" s="202">
        <v>415.00212925872523</v>
      </c>
      <c r="T108" s="202">
        <v>402.73731561488501</v>
      </c>
      <c r="U108" s="202">
        <v>365.26276604256975</v>
      </c>
      <c r="V108" s="938">
        <v>396.69397199351477</v>
      </c>
      <c r="W108" s="125"/>
    </row>
    <row r="109" spans="2:23">
      <c r="B109" s="193"/>
      <c r="C109" s="60"/>
      <c r="D109" s="195" t="s">
        <v>174</v>
      </c>
      <c r="E109" s="202">
        <v>3031.7330159124385</v>
      </c>
      <c r="F109" s="202">
        <v>3192.6871487376984</v>
      </c>
      <c r="G109" s="202">
        <v>3518.7277093452476</v>
      </c>
      <c r="H109" s="202">
        <v>3819.9094161774633</v>
      </c>
      <c r="I109" s="202">
        <v>3811.6997330038248</v>
      </c>
      <c r="J109" s="202">
        <v>3477.2290820175999</v>
      </c>
      <c r="K109" s="202">
        <v>3641.3078645185246</v>
      </c>
      <c r="L109" s="202">
        <v>3869.1242579444784</v>
      </c>
      <c r="M109" s="202">
        <v>4218.9713358211684</v>
      </c>
      <c r="N109" s="202">
        <v>4275.9042019809121</v>
      </c>
      <c r="O109" s="202">
        <v>3808.6392088221014</v>
      </c>
      <c r="P109" s="202">
        <v>3929.5816122908541</v>
      </c>
      <c r="Q109" s="202">
        <v>3861.2178920107908</v>
      </c>
      <c r="R109" s="202">
        <v>3815.8801119813961</v>
      </c>
      <c r="S109" s="202">
        <v>3879.0660536049459</v>
      </c>
      <c r="T109" s="202">
        <v>3882.5793328107025</v>
      </c>
      <c r="U109" s="202">
        <v>3843.9687065954408</v>
      </c>
      <c r="V109" s="938">
        <v>3935.9941833065463</v>
      </c>
      <c r="W109" s="125"/>
    </row>
    <row r="110" spans="2:23" ht="15" thickBot="1">
      <c r="B110" s="193"/>
      <c r="C110" s="60"/>
      <c r="D110" s="195" t="s">
        <v>724</v>
      </c>
      <c r="E110" s="204">
        <f>SUM(E95:E97,E102:E108)</f>
        <v>2253.6752195070108</v>
      </c>
      <c r="F110" s="205">
        <f t="shared" ref="F110:N110" si="38">SUM(F95:F97,F102:F108)</f>
        <v>2282.2059725887484</v>
      </c>
      <c r="G110" s="205">
        <f t="shared" si="38"/>
        <v>2555.9360374165599</v>
      </c>
      <c r="H110" s="205">
        <f t="shared" si="38"/>
        <v>2783.9677653268827</v>
      </c>
      <c r="I110" s="206">
        <f t="shared" si="38"/>
        <v>2822.8515958748121</v>
      </c>
      <c r="J110" s="204">
        <f t="shared" si="38"/>
        <v>2546.2052602178615</v>
      </c>
      <c r="K110" s="205">
        <f t="shared" si="38"/>
        <v>2590.3993827808531</v>
      </c>
      <c r="L110" s="205">
        <f t="shared" si="38"/>
        <v>2755.6275744593454</v>
      </c>
      <c r="M110" s="205">
        <f t="shared" si="38"/>
        <v>2992.0195819664655</v>
      </c>
      <c r="N110" s="206">
        <f t="shared" si="38"/>
        <v>3024.687994591553</v>
      </c>
      <c r="O110" s="204">
        <f>SUM(O95:O97,O102:O108)</f>
        <v>2627.3770176929852</v>
      </c>
      <c r="P110" s="205">
        <f>SUM(P95:P97,P102:P108)</f>
        <v>2696.647040440384</v>
      </c>
      <c r="Q110" s="203">
        <f t="shared" ref="Q110:V110" si="39">SUM(Q95:Q97,Q102:Q108)</f>
        <v>2798.8453764186652</v>
      </c>
      <c r="R110" s="205">
        <f t="shared" si="39"/>
        <v>2829.362584611184</v>
      </c>
      <c r="S110" s="205">
        <f t="shared" si="39"/>
        <v>2865.0091569228712</v>
      </c>
      <c r="T110" s="205">
        <f t="shared" si="39"/>
        <v>2797.3307651719192</v>
      </c>
      <c r="U110" s="205">
        <f t="shared" si="39"/>
        <v>2771.5187273225342</v>
      </c>
      <c r="V110" s="1083">
        <f t="shared" si="39"/>
        <v>2760.9596704420819</v>
      </c>
    </row>
    <row r="111" spans="2:23">
      <c r="B111" s="193"/>
    </row>
    <row r="112" spans="2:23">
      <c r="B112" s="193"/>
      <c r="C112" s="61"/>
      <c r="D112" s="14"/>
      <c r="E112" s="15"/>
      <c r="F112" s="65"/>
      <c r="G112" s="15"/>
      <c r="H112" s="12"/>
    </row>
    <row r="113" spans="2:21">
      <c r="B113" s="193"/>
      <c r="C113" s="61"/>
      <c r="D113" s="1" t="s">
        <v>727</v>
      </c>
      <c r="E113" s="7"/>
      <c r="F113" s="7"/>
      <c r="G113" s="13"/>
      <c r="H113" s="7"/>
      <c r="I113" s="7"/>
      <c r="J113" s="13"/>
      <c r="K113" s="7"/>
      <c r="L113" s="7"/>
    </row>
    <row r="114" spans="2:21">
      <c r="B114" s="193"/>
      <c r="C114" s="61"/>
      <c r="E114" s="1300" t="s">
        <v>631</v>
      </c>
      <c r="F114" s="1301"/>
      <c r="G114" s="1301"/>
      <c r="H114" s="1302"/>
      <c r="I114" s="1300" t="s">
        <v>728</v>
      </c>
      <c r="J114" s="1301"/>
      <c r="K114" s="1301"/>
      <c r="L114" s="1302"/>
    </row>
    <row r="115" spans="2:21">
      <c r="B115" s="193"/>
      <c r="C115" s="61"/>
      <c r="D115" s="1"/>
      <c r="E115" s="102" t="s">
        <v>297</v>
      </c>
      <c r="F115" s="102" t="s">
        <v>298</v>
      </c>
      <c r="G115" s="102" t="s">
        <v>602</v>
      </c>
      <c r="H115" s="102"/>
      <c r="I115" s="102" t="s">
        <v>297</v>
      </c>
      <c r="J115" s="102" t="s">
        <v>729</v>
      </c>
      <c r="K115" s="102" t="s">
        <v>602</v>
      </c>
      <c r="L115" s="102"/>
    </row>
    <row r="116" spans="2:21">
      <c r="B116" s="193"/>
      <c r="C116" s="61"/>
      <c r="E116" s="102"/>
      <c r="F116" s="102"/>
      <c r="G116" s="102" t="s">
        <v>633</v>
      </c>
      <c r="H116" s="102" t="s">
        <v>606</v>
      </c>
      <c r="I116" s="102"/>
      <c r="J116" s="102"/>
      <c r="K116" s="102" t="s">
        <v>633</v>
      </c>
      <c r="L116" s="102" t="s">
        <v>606</v>
      </c>
    </row>
    <row r="117" spans="2:21">
      <c r="B117" s="193"/>
      <c r="C117" s="61"/>
      <c r="D117" s="5" t="s">
        <v>161</v>
      </c>
      <c r="E117" s="83">
        <f>SUM(O75:U75)</f>
        <v>2084.9878254597065</v>
      </c>
      <c r="F117" s="52">
        <f>SUM(O95:U95)</f>
        <v>1916.9659983986649</v>
      </c>
      <c r="G117" s="28">
        <f>F117-E117</f>
        <v>-168.02182706104168</v>
      </c>
      <c r="H117" s="36">
        <f>G117/E117</f>
        <v>-8.0586478735910863E-2</v>
      </c>
      <c r="I117" s="83">
        <f t="shared" ref="I117:I131" si="40">SUM(O75:V75)</f>
        <v>2380.8507672987503</v>
      </c>
      <c r="J117" s="97">
        <f>SUM(O95:V95)</f>
        <v>2211.2021089877408</v>
      </c>
      <c r="K117" s="92">
        <f>J117-I117</f>
        <v>-169.64865831100951</v>
      </c>
      <c r="L117" s="93">
        <f>K117/I117</f>
        <v>-7.1255477512976742E-2</v>
      </c>
    </row>
    <row r="118" spans="2:21">
      <c r="B118" s="193"/>
      <c r="C118" s="61"/>
      <c r="D118" s="5" t="s">
        <v>162</v>
      </c>
      <c r="E118" s="83">
        <f t="shared" ref="E118:E131" si="41">SUM(O76:U76)</f>
        <v>1471.4980016602635</v>
      </c>
      <c r="F118" s="52">
        <f t="shared" ref="F118:F131" si="42">SUM(O96:U96)</f>
        <v>1514.1094684613236</v>
      </c>
      <c r="G118" s="28">
        <f t="shared" ref="G118:G130" si="43">F118-E118</f>
        <v>42.611466801060033</v>
      </c>
      <c r="H118" s="36">
        <f t="shared" ref="H118:H130" si="44">G118/E118</f>
        <v>2.8957882887358538E-2</v>
      </c>
      <c r="I118" s="83">
        <f t="shared" si="40"/>
        <v>1650.670958296761</v>
      </c>
      <c r="J118" s="97">
        <f>SUM(O96:V96)</f>
        <v>1656.7841951816304</v>
      </c>
      <c r="K118" s="92">
        <f t="shared" ref="K118:K130" si="45">J118-I118</f>
        <v>6.1132368848693659</v>
      </c>
      <c r="L118" s="93">
        <f t="shared" ref="L118:L130" si="46">K118/I118</f>
        <v>3.7034860607090877E-3</v>
      </c>
    </row>
    <row r="119" spans="2:21">
      <c r="B119" s="193"/>
      <c r="C119" s="61"/>
      <c r="D119" s="5" t="s">
        <v>163</v>
      </c>
      <c r="E119" s="83">
        <f t="shared" si="41"/>
        <v>1950.9149914735367</v>
      </c>
      <c r="F119" s="52">
        <f t="shared" si="42"/>
        <v>1918.6393686681613</v>
      </c>
      <c r="G119" s="28">
        <f t="shared" si="43"/>
        <v>-32.275622805375406</v>
      </c>
      <c r="H119" s="36">
        <f t="shared" si="44"/>
        <v>-1.6543838632865009E-2</v>
      </c>
      <c r="I119" s="83">
        <f t="shared" si="40"/>
        <v>2205.1312221544645</v>
      </c>
      <c r="J119" s="97">
        <f t="shared" ref="J119:J124" si="47">SUM(O97:V97)</f>
        <v>2214.1169218246414</v>
      </c>
      <c r="K119" s="92">
        <f t="shared" si="45"/>
        <v>8.9856996701769276</v>
      </c>
      <c r="L119" s="93">
        <f t="shared" si="46"/>
        <v>4.0749047403164018E-3</v>
      </c>
    </row>
    <row r="120" spans="2:21">
      <c r="B120" s="193"/>
      <c r="C120" s="61"/>
      <c r="D120" s="5" t="s">
        <v>164</v>
      </c>
      <c r="E120" s="83">
        <f t="shared" si="41"/>
        <v>2318.0641912166984</v>
      </c>
      <c r="F120" s="52">
        <f t="shared" si="42"/>
        <v>2328.8575841136262</v>
      </c>
      <c r="G120" s="28">
        <f t="shared" si="43"/>
        <v>10.793392896927799</v>
      </c>
      <c r="H120" s="36">
        <f t="shared" si="44"/>
        <v>4.6562096674564457E-3</v>
      </c>
      <c r="I120" s="83">
        <f t="shared" si="40"/>
        <v>2657.1026137675749</v>
      </c>
      <c r="J120" s="97">
        <f>SUM(O98:V98)</f>
        <v>2676.1272664202488</v>
      </c>
      <c r="K120" s="92">
        <f t="shared" si="45"/>
        <v>19.024652652673922</v>
      </c>
      <c r="L120" s="93">
        <f t="shared" si="46"/>
        <v>7.1599239540464611E-3</v>
      </c>
    </row>
    <row r="121" spans="2:21">
      <c r="B121" s="193"/>
      <c r="C121" s="61"/>
      <c r="D121" s="5" t="s">
        <v>165</v>
      </c>
      <c r="E121" s="83">
        <f t="shared" si="41"/>
        <v>2345.7496287822278</v>
      </c>
      <c r="F121" s="52">
        <f t="shared" si="42"/>
        <v>2312.1836671919355</v>
      </c>
      <c r="G121" s="28">
        <f t="shared" si="43"/>
        <v>-33.565961590292318</v>
      </c>
      <c r="H121" s="36">
        <f t="shared" si="44"/>
        <v>-1.4309268635680333E-2</v>
      </c>
      <c r="I121" s="83">
        <f t="shared" si="40"/>
        <v>2682.2290415643997</v>
      </c>
      <c r="J121" s="97">
        <f t="shared" si="47"/>
        <v>2656.9052859813837</v>
      </c>
      <c r="K121" s="92">
        <f t="shared" si="45"/>
        <v>-25.323755583016009</v>
      </c>
      <c r="L121" s="93">
        <f t="shared" si="46"/>
        <v>-9.4413098921060177E-3</v>
      </c>
    </row>
    <row r="122" spans="2:21">
      <c r="B122" s="193"/>
      <c r="C122" s="61"/>
      <c r="D122" s="5" t="s">
        <v>166</v>
      </c>
      <c r="E122" s="83">
        <f t="shared" si="41"/>
        <v>1228.3449331308952</v>
      </c>
      <c r="F122" s="52">
        <f t="shared" si="42"/>
        <v>1163.297467161055</v>
      </c>
      <c r="G122" s="28">
        <f t="shared" si="43"/>
        <v>-65.047465969840232</v>
      </c>
      <c r="H122" s="36">
        <f t="shared" si="44"/>
        <v>-5.2955374516865147E-2</v>
      </c>
      <c r="I122" s="83">
        <f t="shared" si="40"/>
        <v>1385.5824615375118</v>
      </c>
      <c r="J122" s="97">
        <f>SUM(O100:V100)</f>
        <v>1342.5239597008051</v>
      </c>
      <c r="K122" s="92">
        <f t="shared" si="45"/>
        <v>-43.058501836706682</v>
      </c>
      <c r="L122" s="93">
        <f t="shared" si="46"/>
        <v>-3.1076101951324361E-2</v>
      </c>
      <c r="P122" s="7"/>
    </row>
    <row r="123" spans="2:21">
      <c r="B123" s="193"/>
      <c r="C123" s="61"/>
      <c r="D123" s="5" t="s">
        <v>167</v>
      </c>
      <c r="E123" s="83">
        <f t="shared" si="41"/>
        <v>1889.8712357362338</v>
      </c>
      <c r="F123" s="52">
        <f t="shared" si="42"/>
        <v>1830.5035310690728</v>
      </c>
      <c r="G123" s="28">
        <f t="shared" si="43"/>
        <v>-59.367704667160979</v>
      </c>
      <c r="H123" s="36">
        <f t="shared" si="44"/>
        <v>-3.1413624137219702E-2</v>
      </c>
      <c r="I123" s="83">
        <f t="shared" si="40"/>
        <v>2172.1523068623092</v>
      </c>
      <c r="J123" s="97">
        <f t="shared" si="47"/>
        <v>2134.3202502977165</v>
      </c>
      <c r="K123" s="92">
        <f t="shared" si="45"/>
        <v>-37.832056564592676</v>
      </c>
      <c r="L123" s="93">
        <f t="shared" si="46"/>
        <v>-1.7416852605166244E-2</v>
      </c>
    </row>
    <row r="124" spans="2:21">
      <c r="B124" s="193"/>
      <c r="C124" s="61"/>
      <c r="D124" s="5" t="s">
        <v>168</v>
      </c>
      <c r="E124" s="83">
        <f t="shared" si="41"/>
        <v>2007.3977990790331</v>
      </c>
      <c r="F124" s="52">
        <f t="shared" si="42"/>
        <v>1740.5724935912981</v>
      </c>
      <c r="G124" s="28">
        <f t="shared" si="43"/>
        <v>-266.82530548773502</v>
      </c>
      <c r="H124" s="36">
        <f t="shared" si="44"/>
        <v>-0.13292099135017027</v>
      </c>
      <c r="I124" s="83">
        <f t="shared" si="40"/>
        <v>2250.7614471942024</v>
      </c>
      <c r="J124" s="97">
        <f t="shared" si="47"/>
        <v>1960.7202532455326</v>
      </c>
      <c r="K124" s="92">
        <f t="shared" si="45"/>
        <v>-290.04119394866984</v>
      </c>
      <c r="L124" s="93">
        <f t="shared" si="46"/>
        <v>-0.12886358716968205</v>
      </c>
    </row>
    <row r="125" spans="2:21">
      <c r="B125" s="193"/>
      <c r="D125" s="5" t="s">
        <v>169</v>
      </c>
      <c r="E125" s="83">
        <f t="shared" si="41"/>
        <v>1941.2769467171672</v>
      </c>
      <c r="F125" s="52">
        <f t="shared" si="42"/>
        <v>1657.136184969132</v>
      </c>
      <c r="G125" s="28">
        <f t="shared" si="43"/>
        <v>-284.14076174803517</v>
      </c>
      <c r="H125" s="36">
        <f t="shared" si="44"/>
        <v>-0.14636796786184306</v>
      </c>
      <c r="I125" s="83">
        <f t="shared" si="40"/>
        <v>2194.123103589427</v>
      </c>
      <c r="J125" s="97">
        <f t="shared" ref="J125:J130" si="48">SUM(O103:V103)</f>
        <v>1889.6635160325861</v>
      </c>
      <c r="K125" s="92">
        <f t="shared" si="45"/>
        <v>-304.45958755684092</v>
      </c>
      <c r="L125" s="93">
        <f t="shared" si="46"/>
        <v>-0.13876139723371356</v>
      </c>
      <c r="M125" s="13"/>
      <c r="Q125" s="7"/>
      <c r="R125" s="8"/>
      <c r="S125" s="7"/>
      <c r="T125" s="7"/>
      <c r="U125" s="8"/>
    </row>
    <row r="126" spans="2:21">
      <c r="B126" s="193"/>
      <c r="D126" s="5" t="s">
        <v>170</v>
      </c>
      <c r="E126" s="83">
        <f t="shared" si="41"/>
        <v>2889.3343858380508</v>
      </c>
      <c r="F126" s="52">
        <f t="shared" si="42"/>
        <v>2621.8049640272457</v>
      </c>
      <c r="G126" s="28">
        <f t="shared" si="43"/>
        <v>-267.52942181080516</v>
      </c>
      <c r="H126" s="36">
        <f t="shared" si="44"/>
        <v>-9.2592059652939165E-2</v>
      </c>
      <c r="I126" s="83">
        <f t="shared" si="40"/>
        <v>3267.2575276355915</v>
      </c>
      <c r="J126" s="97">
        <f t="shared" si="48"/>
        <v>3011.1043888236732</v>
      </c>
      <c r="K126" s="92">
        <f t="shared" si="45"/>
        <v>-256.15313881191832</v>
      </c>
      <c r="L126" s="93">
        <f t="shared" si="46"/>
        <v>-7.8400045495430559E-2</v>
      </c>
    </row>
    <row r="127" spans="2:21">
      <c r="B127" s="193"/>
      <c r="D127" s="5" t="s">
        <v>171</v>
      </c>
      <c r="E127" s="83">
        <f t="shared" si="41"/>
        <v>1747.0942970913941</v>
      </c>
      <c r="F127" s="52">
        <f t="shared" si="42"/>
        <v>1791.7458658430007</v>
      </c>
      <c r="G127" s="28">
        <f t="shared" si="43"/>
        <v>44.651568751606646</v>
      </c>
      <c r="H127" s="36">
        <f t="shared" si="44"/>
        <v>2.5557618055272509E-2</v>
      </c>
      <c r="I127" s="83">
        <f t="shared" si="40"/>
        <v>1985.4950086239278</v>
      </c>
      <c r="J127" s="97">
        <f t="shared" si="48"/>
        <v>2049.311597164477</v>
      </c>
      <c r="K127" s="92">
        <f t="shared" si="45"/>
        <v>63.816588540549219</v>
      </c>
      <c r="L127" s="93">
        <f t="shared" si="46"/>
        <v>3.214139963251688E-2</v>
      </c>
    </row>
    <row r="128" spans="2:21">
      <c r="B128" s="193"/>
      <c r="D128" s="5" t="s">
        <v>172</v>
      </c>
      <c r="E128" s="83">
        <f t="shared" si="41"/>
        <v>1951.8867009029896</v>
      </c>
      <c r="F128" s="52">
        <f t="shared" si="42"/>
        <v>2036.5670385396711</v>
      </c>
      <c r="G128" s="28">
        <f t="shared" si="43"/>
        <v>84.680337636681543</v>
      </c>
      <c r="H128" s="36">
        <f t="shared" si="44"/>
        <v>4.3383838620093262E-2</v>
      </c>
      <c r="I128" s="83">
        <f t="shared" si="40"/>
        <v>2196.7531030779978</v>
      </c>
      <c r="J128" s="97">
        <f t="shared" si="48"/>
        <v>2316.0936202196986</v>
      </c>
      <c r="K128" s="92">
        <f t="shared" si="45"/>
        <v>119.34051714170073</v>
      </c>
      <c r="L128" s="93">
        <f t="shared" si="46"/>
        <v>5.4325867105632322E-2</v>
      </c>
    </row>
    <row r="129" spans="2:21">
      <c r="B129" s="193"/>
      <c r="D129" s="5" t="s">
        <v>28</v>
      </c>
      <c r="E129" s="83">
        <f t="shared" si="41"/>
        <v>1488.2321095320438</v>
      </c>
      <c r="F129" s="52">
        <f t="shared" si="42"/>
        <v>1518.910180456671</v>
      </c>
      <c r="G129" s="28">
        <f t="shared" si="43"/>
        <v>30.678070924627264</v>
      </c>
      <c r="H129" s="36">
        <f t="shared" si="44"/>
        <v>2.0613767656359468E-2</v>
      </c>
      <c r="I129" s="83">
        <f t="shared" si="40"/>
        <v>1697.7356571661855</v>
      </c>
      <c r="J129" s="97">
        <f t="shared" si="48"/>
        <v>1771.7206599237556</v>
      </c>
      <c r="K129" s="92">
        <f t="shared" si="45"/>
        <v>73.985002757570101</v>
      </c>
      <c r="L129" s="93">
        <f t="shared" si="46"/>
        <v>4.3578635133966537E-2</v>
      </c>
    </row>
    <row r="130" spans="2:21">
      <c r="B130" s="193"/>
      <c r="D130" s="5" t="s">
        <v>173</v>
      </c>
      <c r="E130" s="83">
        <f t="shared" si="41"/>
        <v>2634.6166256521774</v>
      </c>
      <c r="F130" s="52">
        <f t="shared" si="42"/>
        <v>2669.6391056253747</v>
      </c>
      <c r="G130" s="28">
        <f t="shared" si="43"/>
        <v>35.022479973197278</v>
      </c>
      <c r="H130" s="36">
        <f t="shared" si="44"/>
        <v>1.3293197815650979E-2</v>
      </c>
      <c r="I130" s="83">
        <f t="shared" si="40"/>
        <v>2986.279276910388</v>
      </c>
      <c r="J130" s="97">
        <f t="shared" si="48"/>
        <v>3066.3330776188895</v>
      </c>
      <c r="K130" s="92">
        <f t="shared" si="45"/>
        <v>80.053800708501512</v>
      </c>
      <c r="L130" s="93">
        <f t="shared" si="46"/>
        <v>2.6807204981620262E-2</v>
      </c>
    </row>
    <row r="131" spans="2:21">
      <c r="B131" s="193"/>
      <c r="D131" s="4" t="s">
        <v>174</v>
      </c>
      <c r="E131" s="83">
        <f t="shared" si="41"/>
        <v>27949.269672272414</v>
      </c>
      <c r="F131" s="52">
        <f t="shared" si="42"/>
        <v>27020.932918116232</v>
      </c>
      <c r="G131" s="80">
        <f>F131-E131</f>
        <v>-928.336754156182</v>
      </c>
      <c r="H131" s="96">
        <f>G131/E131</f>
        <v>-3.3215063042493574E-2</v>
      </c>
      <c r="I131" s="84">
        <f t="shared" si="40"/>
        <v>31712.124495679487</v>
      </c>
      <c r="J131" s="98">
        <f>SUM(J117:J130)</f>
        <v>30956.927101422778</v>
      </c>
      <c r="K131" s="94">
        <f>J131-I131</f>
        <v>-755.19739425670923</v>
      </c>
      <c r="L131" s="95">
        <f>K131/I131</f>
        <v>-2.3814153301510866E-2</v>
      </c>
    </row>
    <row r="132" spans="2:21">
      <c r="B132" s="193"/>
    </row>
    <row r="133" spans="2:21">
      <c r="B133" s="193"/>
    </row>
    <row r="134" spans="2:21">
      <c r="B134" s="193"/>
      <c r="E134" s="1300" t="s">
        <v>631</v>
      </c>
      <c r="F134" s="1301"/>
      <c r="G134" s="1301"/>
      <c r="H134" s="1302"/>
      <c r="I134" s="1300" t="s">
        <v>728</v>
      </c>
      <c r="J134" s="1301"/>
      <c r="K134" s="1301"/>
      <c r="L134" s="1302"/>
    </row>
    <row r="135" spans="2:21">
      <c r="B135" s="193"/>
      <c r="D135" s="1"/>
      <c r="E135" s="102" t="s">
        <v>297</v>
      </c>
      <c r="F135" s="102" t="s">
        <v>298</v>
      </c>
      <c r="G135" s="102" t="s">
        <v>602</v>
      </c>
      <c r="H135" s="102"/>
      <c r="I135" s="102" t="s">
        <v>297</v>
      </c>
      <c r="J135" s="102" t="s">
        <v>298</v>
      </c>
      <c r="K135" s="102" t="s">
        <v>602</v>
      </c>
      <c r="L135" s="102"/>
    </row>
    <row r="136" spans="2:21">
      <c r="B136" s="193"/>
      <c r="E136" s="102"/>
      <c r="F136" s="102"/>
      <c r="G136" s="102" t="s">
        <v>633</v>
      </c>
      <c r="H136" s="102" t="s">
        <v>606</v>
      </c>
      <c r="I136" s="102"/>
      <c r="J136" s="102"/>
      <c r="K136" s="102" t="s">
        <v>633</v>
      </c>
      <c r="L136" s="102" t="s">
        <v>606</v>
      </c>
    </row>
    <row r="137" spans="2:21">
      <c r="B137" s="193"/>
      <c r="D137" s="5" t="s">
        <v>161</v>
      </c>
      <c r="E137" s="72">
        <f>E117</f>
        <v>2084.9878254597065</v>
      </c>
      <c r="F137" s="28">
        <f>F117</f>
        <v>1916.9659983986649</v>
      </c>
      <c r="G137" s="28">
        <f>F137-E137</f>
        <v>-168.02182706104168</v>
      </c>
      <c r="H137" s="36">
        <f>G137/E137</f>
        <v>-8.0586478735910863E-2</v>
      </c>
      <c r="I137" s="83">
        <f>I117</f>
        <v>2380.8507672987503</v>
      </c>
      <c r="J137" s="97">
        <f>J117</f>
        <v>2211.2021089877408</v>
      </c>
      <c r="K137" s="92">
        <f t="shared" ref="K137:K143" si="49">J137-I137</f>
        <v>-169.64865831100951</v>
      </c>
      <c r="L137" s="93">
        <f>K137/I137</f>
        <v>-7.1255477512976742E-2</v>
      </c>
    </row>
    <row r="138" spans="2:21">
      <c r="B138" s="193"/>
      <c r="D138" s="5" t="s">
        <v>187</v>
      </c>
      <c r="E138" s="72">
        <f>SUM(E118:E119)</f>
        <v>3422.4129931338002</v>
      </c>
      <c r="F138" s="28">
        <f>SUM(F118:F119)</f>
        <v>3432.7488371294849</v>
      </c>
      <c r="G138" s="28">
        <f t="shared" ref="G138:G143" si="50">F138-E138</f>
        <v>10.335843995684627</v>
      </c>
      <c r="H138" s="36">
        <f t="shared" ref="H138:H143" si="51">G138/E138</f>
        <v>3.0200458028942926E-3</v>
      </c>
      <c r="I138" s="83">
        <f>SUM(I118:I119)</f>
        <v>3855.8021804512255</v>
      </c>
      <c r="J138" s="97">
        <f>SUM(J118:J119)</f>
        <v>3870.9011170062718</v>
      </c>
      <c r="K138" s="92">
        <f t="shared" si="49"/>
        <v>15.098936555046294</v>
      </c>
      <c r="L138" s="93">
        <f t="shared" ref="L138:L143" si="52">K138/I138</f>
        <v>3.9159002066022327E-3</v>
      </c>
    </row>
    <row r="139" spans="2:21">
      <c r="B139" s="193"/>
      <c r="D139" s="5" t="s">
        <v>1410</v>
      </c>
      <c r="E139" s="72">
        <f>SUM(E120:E123)</f>
        <v>7782.0299888660547</v>
      </c>
      <c r="F139" s="28">
        <f>SUM(F120:F123)</f>
        <v>7634.8422495356899</v>
      </c>
      <c r="G139" s="28">
        <f t="shared" si="50"/>
        <v>-147.18773933036482</v>
      </c>
      <c r="H139" s="36">
        <f t="shared" si="51"/>
        <v>-1.8913797497690191E-2</v>
      </c>
      <c r="I139" s="83">
        <f>SUM(I120:I123)</f>
        <v>8897.0664237317942</v>
      </c>
      <c r="J139" s="97">
        <f>SUM(J120:J123)</f>
        <v>8809.8767624001539</v>
      </c>
      <c r="K139" s="92">
        <f t="shared" si="49"/>
        <v>-87.189661331640309</v>
      </c>
      <c r="L139" s="93">
        <f t="shared" si="52"/>
        <v>-9.799821332014895E-3</v>
      </c>
    </row>
    <row r="140" spans="2:21">
      <c r="B140" s="193"/>
      <c r="D140" s="5" t="s">
        <v>188</v>
      </c>
      <c r="E140" s="72">
        <f>SUM(E124:E126)</f>
        <v>6838.0091316342514</v>
      </c>
      <c r="F140" s="28">
        <f>SUM(F124:F126)</f>
        <v>6019.5136425876753</v>
      </c>
      <c r="G140" s="28">
        <f t="shared" si="50"/>
        <v>-818.49548904657604</v>
      </c>
      <c r="H140" s="36">
        <f t="shared" si="51"/>
        <v>-0.11969792278574502</v>
      </c>
      <c r="I140" s="83">
        <f>SUM(I124:I126)</f>
        <v>7712.1420784192214</v>
      </c>
      <c r="J140" s="97">
        <f>SUM(J124:J126)</f>
        <v>6861.4881581017926</v>
      </c>
      <c r="K140" s="92">
        <f t="shared" si="49"/>
        <v>-850.65392031742886</v>
      </c>
      <c r="L140" s="93">
        <f t="shared" si="52"/>
        <v>-0.11030060282444766</v>
      </c>
    </row>
    <row r="141" spans="2:21">
      <c r="B141" s="193"/>
      <c r="D141" s="5" t="s">
        <v>189</v>
      </c>
      <c r="E141" s="72">
        <f>SUM(E127:E128)</f>
        <v>3698.9809979943839</v>
      </c>
      <c r="F141" s="28">
        <f>SUM(F127:F128)</f>
        <v>3828.3129043826721</v>
      </c>
      <c r="G141" s="28">
        <f t="shared" si="50"/>
        <v>129.33190638828819</v>
      </c>
      <c r="H141" s="36">
        <f t="shared" si="51"/>
        <v>3.4964198642386361E-2</v>
      </c>
      <c r="I141" s="83">
        <f>SUM(I127:I128)</f>
        <v>4182.2481117019252</v>
      </c>
      <c r="J141" s="97">
        <f>SUM(J127:J128)</f>
        <v>4365.4052173841756</v>
      </c>
      <c r="K141" s="92">
        <f t="shared" si="49"/>
        <v>183.1571056822504</v>
      </c>
      <c r="L141" s="93">
        <f t="shared" si="52"/>
        <v>4.3793935890550598E-2</v>
      </c>
      <c r="P141" s="7"/>
    </row>
    <row r="142" spans="2:21">
      <c r="B142" s="193"/>
      <c r="D142" s="5" t="s">
        <v>190</v>
      </c>
      <c r="E142" s="72">
        <f>SUM(E129:E130)</f>
        <v>4122.8487351842214</v>
      </c>
      <c r="F142" s="28">
        <f>SUM(F129:F130)</f>
        <v>4188.5492860820459</v>
      </c>
      <c r="G142" s="28">
        <f t="shared" si="50"/>
        <v>65.700550897824542</v>
      </c>
      <c r="H142" s="36">
        <f t="shared" si="51"/>
        <v>1.5935717053390475E-2</v>
      </c>
      <c r="I142" s="83">
        <f>SUM(I129:I130)</f>
        <v>4684.0149340765738</v>
      </c>
      <c r="J142" s="97">
        <f>SUM(J129:J130)</f>
        <v>4838.0537375426447</v>
      </c>
      <c r="K142" s="92">
        <f t="shared" si="49"/>
        <v>154.03880346607093</v>
      </c>
      <c r="L142" s="93">
        <f t="shared" si="52"/>
        <v>3.2886061559160844E-2</v>
      </c>
    </row>
    <row r="143" spans="2:21">
      <c r="B143" s="225"/>
      <c r="D143" s="4" t="s">
        <v>174</v>
      </c>
      <c r="E143" s="84">
        <f>SUM(E137:E142)</f>
        <v>27949.269672272414</v>
      </c>
      <c r="F143" s="59">
        <f>SUM(F137:F142)</f>
        <v>27020.932918116232</v>
      </c>
      <c r="G143" s="80">
        <f t="shared" si="50"/>
        <v>-928.336754156182</v>
      </c>
      <c r="H143" s="96">
        <f t="shared" si="51"/>
        <v>-3.3215063042493574E-2</v>
      </c>
      <c r="I143" s="84">
        <f>SUM(I137:I142)</f>
        <v>31712.124495679494</v>
      </c>
      <c r="J143" s="98">
        <f>SUM(J137:J142)</f>
        <v>30956.927101422778</v>
      </c>
      <c r="K143" s="94">
        <f t="shared" si="49"/>
        <v>-755.19739425671651</v>
      </c>
      <c r="L143" s="95">
        <f t="shared" si="52"/>
        <v>-2.3814153301511088E-2</v>
      </c>
    </row>
    <row r="144" spans="2:21">
      <c r="E144" s="7"/>
      <c r="F144" s="7"/>
      <c r="G144" s="13"/>
      <c r="H144" s="7"/>
      <c r="I144" s="7"/>
      <c r="J144" s="13"/>
      <c r="K144" s="7"/>
      <c r="L144" s="7"/>
      <c r="M144" s="13"/>
      <c r="Q144" s="7"/>
      <c r="R144" s="8"/>
      <c r="S144" s="7"/>
      <c r="T144" s="7"/>
      <c r="U144" s="8"/>
    </row>
    <row r="145" spans="1:70">
      <c r="L145" s="1"/>
    </row>
    <row r="146" spans="1:70">
      <c r="B146" s="1283" t="s">
        <v>730</v>
      </c>
      <c r="L146" s="1"/>
    </row>
    <row r="147" spans="1:70">
      <c r="B147" s="1284"/>
      <c r="D147" s="1"/>
      <c r="L147" s="1"/>
      <c r="AF147" s="1" t="s">
        <v>137</v>
      </c>
      <c r="AG147" s="1"/>
      <c r="AH147" s="1"/>
      <c r="AI147" s="1"/>
      <c r="AJ147" s="1"/>
      <c r="AK147" s="1" t="s">
        <v>138</v>
      </c>
      <c r="AL147" s="1"/>
      <c r="AM147" s="1"/>
      <c r="AN147" s="1"/>
      <c r="AO147" s="1"/>
      <c r="AP147" s="1" t="s">
        <v>139</v>
      </c>
      <c r="AQ147" s="1"/>
      <c r="AR147" s="1"/>
      <c r="AS147" s="1"/>
      <c r="AT147" s="1"/>
      <c r="AU147" s="1" t="s">
        <v>140</v>
      </c>
      <c r="AV147" s="1"/>
      <c r="AW147" s="1"/>
      <c r="AX147" s="1"/>
      <c r="AY147" s="1"/>
      <c r="AZ147" s="1" t="s">
        <v>141</v>
      </c>
      <c r="BE147" s="1" t="s">
        <v>126</v>
      </c>
      <c r="BJ147" s="1" t="s">
        <v>142</v>
      </c>
      <c r="BO147" s="2" t="s">
        <v>143</v>
      </c>
    </row>
    <row r="148" spans="1:70">
      <c r="A148" s="1"/>
      <c r="B148" s="1284"/>
      <c r="D148" s="1" t="s">
        <v>731</v>
      </c>
      <c r="E148" s="1"/>
      <c r="N148" s="1"/>
      <c r="W148" s="1"/>
      <c r="AF148" s="1" t="s">
        <v>732</v>
      </c>
      <c r="AK148" s="1" t="s">
        <v>732</v>
      </c>
      <c r="AP148" s="1" t="s">
        <v>732</v>
      </c>
      <c r="AU148" s="1" t="s">
        <v>732</v>
      </c>
      <c r="AZ148" s="1" t="s">
        <v>732</v>
      </c>
      <c r="BE148" s="1" t="s">
        <v>732</v>
      </c>
      <c r="BJ148" s="1" t="s">
        <v>732</v>
      </c>
      <c r="BO148" s="1" t="s">
        <v>732</v>
      </c>
    </row>
    <row r="149" spans="1:70">
      <c r="A149" s="1"/>
      <c r="B149" s="1284"/>
      <c r="E149" s="1300" t="s">
        <v>733</v>
      </c>
      <c r="F149" s="1301"/>
      <c r="G149" s="1301"/>
      <c r="H149" s="1301"/>
      <c r="I149" s="1301"/>
      <c r="J149" s="1301"/>
      <c r="K149" s="1301"/>
      <c r="L149" s="1302"/>
      <c r="N149" s="245" t="s">
        <v>291</v>
      </c>
      <c r="O149" s="246"/>
      <c r="P149" s="246"/>
      <c r="Q149" s="246"/>
      <c r="R149" s="246"/>
      <c r="S149" s="246"/>
      <c r="T149" s="246"/>
      <c r="U149" s="247"/>
      <c r="W149" s="1300" t="s">
        <v>292</v>
      </c>
      <c r="X149" s="1301"/>
      <c r="Y149" s="1301"/>
      <c r="Z149" s="1301"/>
      <c r="AA149" s="1301"/>
      <c r="AB149" s="1301"/>
      <c r="AC149" s="1301"/>
      <c r="AD149" s="1302"/>
      <c r="AF149" s="102" t="s">
        <v>297</v>
      </c>
      <c r="AG149" s="102" t="s">
        <v>298</v>
      </c>
      <c r="AH149" s="1304" t="s">
        <v>602</v>
      </c>
      <c r="AI149" s="1304"/>
      <c r="AK149" s="102" t="s">
        <v>297</v>
      </c>
      <c r="AL149" s="102" t="s">
        <v>298</v>
      </c>
      <c r="AM149" s="1304" t="s">
        <v>602</v>
      </c>
      <c r="AN149" s="1304"/>
      <c r="AP149" s="6" t="s">
        <v>297</v>
      </c>
      <c r="AQ149" s="5" t="s">
        <v>298</v>
      </c>
      <c r="AR149" s="1303" t="s">
        <v>602</v>
      </c>
      <c r="AS149" s="1303"/>
      <c r="AU149" s="6" t="s">
        <v>297</v>
      </c>
      <c r="AV149" s="5" t="s">
        <v>298</v>
      </c>
      <c r="AW149" s="1303" t="s">
        <v>602</v>
      </c>
      <c r="AX149" s="1303"/>
      <c r="AZ149" s="6" t="s">
        <v>297</v>
      </c>
      <c r="BA149" s="5" t="s">
        <v>298</v>
      </c>
      <c r="BB149" s="1303" t="s">
        <v>602</v>
      </c>
      <c r="BC149" s="1303"/>
      <c r="BE149" s="6" t="s">
        <v>297</v>
      </c>
      <c r="BF149" s="5" t="s">
        <v>298</v>
      </c>
      <c r="BG149" s="1082" t="s">
        <v>602</v>
      </c>
      <c r="BH149" s="1082"/>
      <c r="BJ149" s="6" t="s">
        <v>297</v>
      </c>
      <c r="BK149" s="5" t="s">
        <v>298</v>
      </c>
      <c r="BL149" s="1303" t="s">
        <v>602</v>
      </c>
      <c r="BM149" s="1303"/>
      <c r="BO149" s="6" t="s">
        <v>297</v>
      </c>
      <c r="BP149" s="5" t="s">
        <v>298</v>
      </c>
      <c r="BQ149" s="1303" t="s">
        <v>602</v>
      </c>
      <c r="BR149" s="1303"/>
    </row>
    <row r="150" spans="1:70">
      <c r="A150" s="1"/>
      <c r="B150" s="1284"/>
      <c r="E150" s="196" t="s">
        <v>137</v>
      </c>
      <c r="F150" s="102" t="s">
        <v>138</v>
      </c>
      <c r="G150" s="102" t="s">
        <v>139</v>
      </c>
      <c r="H150" s="102" t="s">
        <v>140</v>
      </c>
      <c r="I150" s="102" t="s">
        <v>141</v>
      </c>
      <c r="J150" s="102" t="s">
        <v>126</v>
      </c>
      <c r="K150" s="102" t="s">
        <v>142</v>
      </c>
      <c r="L150" s="197" t="s">
        <v>143</v>
      </c>
      <c r="N150" s="196" t="s">
        <v>137</v>
      </c>
      <c r="O150" s="102" t="s">
        <v>138</v>
      </c>
      <c r="P150" s="102" t="s">
        <v>139</v>
      </c>
      <c r="Q150" s="102" t="s">
        <v>140</v>
      </c>
      <c r="R150" s="102" t="s">
        <v>141</v>
      </c>
      <c r="S150" s="102" t="s">
        <v>126</v>
      </c>
      <c r="T150" s="102" t="s">
        <v>142</v>
      </c>
      <c r="U150" s="197" t="s">
        <v>143</v>
      </c>
      <c r="W150" s="196" t="s">
        <v>137</v>
      </c>
      <c r="X150" s="102" t="s">
        <v>138</v>
      </c>
      <c r="Y150" s="102" t="s">
        <v>139</v>
      </c>
      <c r="Z150" s="102" t="s">
        <v>140</v>
      </c>
      <c r="AA150" s="102" t="s">
        <v>141</v>
      </c>
      <c r="AB150" s="102" t="s">
        <v>126</v>
      </c>
      <c r="AC150" s="102" t="s">
        <v>142</v>
      </c>
      <c r="AD150" s="197" t="s">
        <v>143</v>
      </c>
      <c r="AF150" s="102" t="s">
        <v>734</v>
      </c>
      <c r="AG150" s="102" t="s">
        <v>734</v>
      </c>
      <c r="AH150" s="102" t="s">
        <v>734</v>
      </c>
      <c r="AI150" s="102" t="s">
        <v>606</v>
      </c>
      <c r="AK150" s="102" t="s">
        <v>734</v>
      </c>
      <c r="AL150" s="102" t="s">
        <v>734</v>
      </c>
      <c r="AM150" s="102" t="s">
        <v>734</v>
      </c>
      <c r="AN150" s="102" t="s">
        <v>606</v>
      </c>
      <c r="AP150" s="5" t="s">
        <v>734</v>
      </c>
      <c r="AQ150" s="5" t="s">
        <v>734</v>
      </c>
      <c r="AR150" s="5" t="s">
        <v>734</v>
      </c>
      <c r="AS150" s="5" t="s">
        <v>606</v>
      </c>
      <c r="AU150" s="5" t="s">
        <v>734</v>
      </c>
      <c r="AV150" s="5" t="s">
        <v>734</v>
      </c>
      <c r="AW150" s="5" t="s">
        <v>734</v>
      </c>
      <c r="AX150" s="5" t="s">
        <v>606</v>
      </c>
      <c r="AZ150" s="5" t="s">
        <v>734</v>
      </c>
      <c r="BA150" s="5" t="s">
        <v>734</v>
      </c>
      <c r="BB150" s="5" t="s">
        <v>734</v>
      </c>
      <c r="BC150" s="5" t="s">
        <v>606</v>
      </c>
      <c r="BE150" s="5" t="s">
        <v>734</v>
      </c>
      <c r="BF150" s="5" t="s">
        <v>734</v>
      </c>
      <c r="BG150" s="5" t="s">
        <v>734</v>
      </c>
      <c r="BH150" s="5" t="s">
        <v>606</v>
      </c>
      <c r="BJ150" s="5" t="s">
        <v>734</v>
      </c>
      <c r="BK150" s="5" t="s">
        <v>734</v>
      </c>
      <c r="BL150" s="5" t="s">
        <v>734</v>
      </c>
      <c r="BM150" s="5" t="s">
        <v>606</v>
      </c>
      <c r="BO150" s="5" t="s">
        <v>734</v>
      </c>
      <c r="BP150" s="5" t="s">
        <v>734</v>
      </c>
      <c r="BQ150" s="5" t="s">
        <v>734</v>
      </c>
      <c r="BR150" s="5" t="s">
        <v>606</v>
      </c>
    </row>
    <row r="151" spans="1:70">
      <c r="A151" s="1"/>
      <c r="B151" s="1284"/>
      <c r="D151" s="5" t="s">
        <v>161</v>
      </c>
      <c r="E151" s="87">
        <f>SUM(E171,E191,E211,E231,E251)</f>
        <v>242.93425292236017</v>
      </c>
      <c r="F151" s="87">
        <f t="shared" ref="F151:L151" si="53">SUM(F171,F191,F211,F231,F251)</f>
        <v>237.14157864458795</v>
      </c>
      <c r="G151" s="87">
        <f t="shared" si="53"/>
        <v>237.88026218495551</v>
      </c>
      <c r="H151" s="87">
        <f t="shared" si="53"/>
        <v>235.37727749310841</v>
      </c>
      <c r="I151" s="87">
        <f t="shared" si="53"/>
        <v>246.72575321614841</v>
      </c>
      <c r="J151" s="87">
        <f t="shared" si="53"/>
        <v>247.74413032935792</v>
      </c>
      <c r="K151" s="87">
        <f t="shared" si="53"/>
        <v>255.58785418313295</v>
      </c>
      <c r="L151" s="87">
        <f t="shared" si="53"/>
        <v>247.97809270325223</v>
      </c>
      <c r="N151" s="29">
        <f>SUM(N171,N191,N211,N231,N251)</f>
        <v>246.85257262748897</v>
      </c>
      <c r="O151" s="29">
        <f t="shared" ref="O151:U151" si="54">SUM(O171,O191,O211,O231,O251)</f>
        <v>236.99604045107208</v>
      </c>
      <c r="P151" s="29">
        <f t="shared" si="54"/>
        <v>234.89536316590147</v>
      </c>
      <c r="Q151" s="29">
        <f t="shared" si="54"/>
        <v>233.57024126229277</v>
      </c>
      <c r="R151" s="29">
        <f t="shared" si="54"/>
        <v>236.3537893966018</v>
      </c>
      <c r="S151" s="29">
        <f t="shared" si="54"/>
        <v>237.35955360657152</v>
      </c>
      <c r="T151" s="29">
        <f t="shared" si="54"/>
        <v>242.18455778304022</v>
      </c>
      <c r="U151" s="29">
        <f t="shared" si="54"/>
        <v>233.04907603262117</v>
      </c>
      <c r="W151" s="30">
        <f>SUM(W171,W191,W211,W231,W251)</f>
        <v>216.83445658143341</v>
      </c>
      <c r="X151" s="30">
        <f t="shared" ref="X151:AD151" si="55">SUM(X171,X191,X211,X231,X251)</f>
        <v>180.60222323365733</v>
      </c>
      <c r="Y151" s="30">
        <f t="shared" ref="Y151:Z164" si="56">SUM(Y171,Y191,Y211,Y231,Y251)</f>
        <v>211.33625877071489</v>
      </c>
      <c r="Z151" s="30">
        <f t="shared" si="56"/>
        <v>210.14910752599218</v>
      </c>
      <c r="AA151" s="30">
        <f t="shared" ref="AA151:AA164" si="57">SUM(AA171,AA191,AA211,AA231,AA251)</f>
        <v>201.34529070366085</v>
      </c>
      <c r="AB151" s="30">
        <f t="shared" si="55"/>
        <v>197.16310303915242</v>
      </c>
      <c r="AC151" s="30">
        <f t="shared" ref="AC151" si="58">SUM(AC171,AC191,AC211,AC231,AC251)</f>
        <v>210.85784665938039</v>
      </c>
      <c r="AD151" s="90">
        <f t="shared" si="55"/>
        <v>0</v>
      </c>
      <c r="AF151" s="29">
        <f>N151</f>
        <v>246.85257262748897</v>
      </c>
      <c r="AG151" s="30">
        <f>W151</f>
        <v>216.83445658143341</v>
      </c>
      <c r="AH151" s="32">
        <f>AG151-AF151</f>
        <v>-30.018116046055553</v>
      </c>
      <c r="AI151" s="33">
        <f>AH151/AF151</f>
        <v>-0.12160341586293356</v>
      </c>
      <c r="AK151" s="29">
        <f t="shared" ref="AK151:AK166" si="59">O151</f>
        <v>236.99604045107208</v>
      </c>
      <c r="AL151" s="30">
        <f t="shared" ref="AL151:AL166" si="60">X151</f>
        <v>180.60222323365733</v>
      </c>
      <c r="AM151" s="32">
        <f>AL151-AK151</f>
        <v>-56.39381721741475</v>
      </c>
      <c r="AN151" s="33">
        <f>AM151/AK151</f>
        <v>-0.23795257131756711</v>
      </c>
      <c r="AP151" s="29">
        <f>P151</f>
        <v>234.89536316590147</v>
      </c>
      <c r="AQ151" s="30">
        <f>Y151</f>
        <v>211.33625877071489</v>
      </c>
      <c r="AR151" s="32">
        <f>AQ151-AP151</f>
        <v>-23.55910439518658</v>
      </c>
      <c r="AS151" s="33">
        <f>AR151/AP151</f>
        <v>-0.10029616624891526</v>
      </c>
      <c r="AU151" s="31">
        <f>Q151</f>
        <v>233.57024126229277</v>
      </c>
      <c r="AV151" s="25">
        <f>Z151</f>
        <v>210.14910752599218</v>
      </c>
      <c r="AW151" s="32">
        <f>AV151-AU151</f>
        <v>-23.42113373630059</v>
      </c>
      <c r="AX151" s="33">
        <f>AW151/AU151</f>
        <v>-0.1002744767900433</v>
      </c>
      <c r="AZ151" s="31">
        <f t="shared" ref="AZ151:AZ166" si="61">R151</f>
        <v>236.3537893966018</v>
      </c>
      <c r="BA151" s="25">
        <f t="shared" ref="BA151:BA166" si="62">AA151</f>
        <v>201.34529070366085</v>
      </c>
      <c r="BB151" s="32">
        <f>BA151-AZ151</f>
        <v>-35.008498692940947</v>
      </c>
      <c r="BC151" s="33">
        <f>BB151/AZ151</f>
        <v>-0.14811904976144327</v>
      </c>
      <c r="BE151" s="31">
        <f>S151</f>
        <v>237.35955360657152</v>
      </c>
      <c r="BF151" s="25">
        <f>AB151</f>
        <v>197.16310303915242</v>
      </c>
      <c r="BG151" s="32">
        <f>BF151-BE151</f>
        <v>-40.196450567419106</v>
      </c>
      <c r="BH151" s="33">
        <f>BG151/BE151</f>
        <v>-0.16934835761464892</v>
      </c>
      <c r="BJ151" s="31">
        <f>T151</f>
        <v>242.18455778304022</v>
      </c>
      <c r="BK151" s="25">
        <f>AC151</f>
        <v>210.85784665938039</v>
      </c>
      <c r="BL151" s="32">
        <f>BK151-BJ151</f>
        <v>-31.326711123659834</v>
      </c>
      <c r="BM151" s="33">
        <f>BL151/BJ151</f>
        <v>-0.12935057218521631</v>
      </c>
      <c r="BO151" s="62"/>
      <c r="BP151" s="62"/>
      <c r="BQ151" s="62"/>
      <c r="BR151" s="63"/>
    </row>
    <row r="152" spans="1:70">
      <c r="A152" s="1"/>
      <c r="B152" s="1284"/>
      <c r="D152" s="5" t="s">
        <v>162</v>
      </c>
      <c r="E152" s="87">
        <f t="shared" ref="E152:L152" si="63">SUM(E172,E192,E212,E232,E252)</f>
        <v>189.83891332066284</v>
      </c>
      <c r="F152" s="87">
        <f t="shared" si="63"/>
        <v>189.43806888570728</v>
      </c>
      <c r="G152" s="87">
        <f t="shared" si="63"/>
        <v>181.37186146364309</v>
      </c>
      <c r="H152" s="87">
        <f t="shared" si="63"/>
        <v>181.11172938346382</v>
      </c>
      <c r="I152" s="87">
        <f t="shared" si="63"/>
        <v>184.21058335608035</v>
      </c>
      <c r="J152" s="87">
        <f t="shared" si="63"/>
        <v>170.53693776742597</v>
      </c>
      <c r="K152" s="87">
        <f t="shared" si="63"/>
        <v>155.83487674017499</v>
      </c>
      <c r="L152" s="87">
        <f t="shared" si="63"/>
        <v>156.09229905487959</v>
      </c>
      <c r="N152" s="29">
        <f t="shared" ref="N152:N164" si="64">SUM(N172,N192,N212,N232,N252)</f>
        <v>186.46137647800228</v>
      </c>
      <c r="O152" s="29">
        <f t="shared" ref="O152:U152" si="65">SUM(O172,O192,O212,O232,O252)</f>
        <v>181.72034623745307</v>
      </c>
      <c r="P152" s="29">
        <f t="shared" si="65"/>
        <v>169.88588754076957</v>
      </c>
      <c r="Q152" s="29">
        <f t="shared" si="65"/>
        <v>168.01423586630676</v>
      </c>
      <c r="R152" s="29">
        <f t="shared" si="65"/>
        <v>167.77549423670894</v>
      </c>
      <c r="S152" s="29">
        <f t="shared" si="65"/>
        <v>154.74914153576896</v>
      </c>
      <c r="T152" s="29">
        <f t="shared" si="65"/>
        <v>141.36011217717527</v>
      </c>
      <c r="U152" s="29">
        <f t="shared" si="65"/>
        <v>140.09948494951649</v>
      </c>
      <c r="W152" s="30">
        <f t="shared" ref="W152:AD152" si="66">SUM(W172,W192,W212,W232,W252)</f>
        <v>180.34894810257208</v>
      </c>
      <c r="X152" s="30">
        <f t="shared" si="66"/>
        <v>179.4910592991674</v>
      </c>
      <c r="Y152" s="30">
        <f t="shared" si="56"/>
        <v>162.53537926785447</v>
      </c>
      <c r="Z152" s="30">
        <f t="shared" si="56"/>
        <v>165.59665801908906</v>
      </c>
      <c r="AA152" s="30">
        <f t="shared" si="57"/>
        <v>182.26093305187865</v>
      </c>
      <c r="AB152" s="30">
        <f t="shared" si="66"/>
        <v>185.70061751356494</v>
      </c>
      <c r="AC152" s="30">
        <f t="shared" ref="AC152" si="67">SUM(AC172,AC192,AC212,AC232,AC252)</f>
        <v>166.01963485883658</v>
      </c>
      <c r="AD152" s="90">
        <f t="shared" si="66"/>
        <v>0</v>
      </c>
      <c r="AF152" s="29">
        <f t="shared" ref="AF152:AF166" si="68">N152</f>
        <v>186.46137647800228</v>
      </c>
      <c r="AG152" s="30">
        <f t="shared" ref="AG152:AG166" si="69">W152</f>
        <v>180.34894810257208</v>
      </c>
      <c r="AH152" s="32">
        <f t="shared" ref="AH152:AH166" si="70">AG152-AF152</f>
        <v>-6.1124283754301985</v>
      </c>
      <c r="AI152" s="33">
        <f t="shared" ref="AI152:AI166" si="71">AH152/AF152</f>
        <v>-3.2781203758577369E-2</v>
      </c>
      <c r="AK152" s="29">
        <f t="shared" si="59"/>
        <v>181.72034623745307</v>
      </c>
      <c r="AL152" s="30">
        <f t="shared" si="60"/>
        <v>179.4910592991674</v>
      </c>
      <c r="AM152" s="32">
        <f t="shared" ref="AM152:AM166" si="72">AL152-AK152</f>
        <v>-2.2292869382856679</v>
      </c>
      <c r="AN152" s="33">
        <f t="shared" ref="AN152:AN166" si="73">AM152/AK152</f>
        <v>-1.226767934600273E-2</v>
      </c>
      <c r="AP152" s="29">
        <f t="shared" ref="AP152:AP166" si="74">P152</f>
        <v>169.88588754076957</v>
      </c>
      <c r="AQ152" s="30">
        <f t="shared" ref="AQ152:AQ165" si="75">Y152</f>
        <v>162.53537926785447</v>
      </c>
      <c r="AR152" s="32">
        <f t="shared" ref="AR152:AR166" si="76">AQ152-AP152</f>
        <v>-7.350508272915107</v>
      </c>
      <c r="AS152" s="33">
        <f t="shared" ref="AS152:AS166" si="77">AR152/AP152</f>
        <v>-4.3267327141291334E-2</v>
      </c>
      <c r="AU152" s="31">
        <f t="shared" ref="AU152:AU166" si="78">Q152</f>
        <v>168.01423586630676</v>
      </c>
      <c r="AV152" s="25">
        <f t="shared" ref="AV152:AV166" si="79">Z152</f>
        <v>165.59665801908906</v>
      </c>
      <c r="AW152" s="32">
        <f t="shared" ref="AW152:AW166" si="80">AV152-AU152</f>
        <v>-2.4175778472177001</v>
      </c>
      <c r="AX152" s="33">
        <f t="shared" ref="AX152:AX166" si="81">AW152/AU152</f>
        <v>-1.4389125033080106E-2</v>
      </c>
      <c r="AZ152" s="31">
        <f t="shared" si="61"/>
        <v>167.77549423670894</v>
      </c>
      <c r="BA152" s="25">
        <f t="shared" si="62"/>
        <v>182.26093305187865</v>
      </c>
      <c r="BB152" s="32">
        <f t="shared" ref="BB152:BB166" si="82">BA152-AZ152</f>
        <v>14.485438815169715</v>
      </c>
      <c r="BC152" s="33">
        <f t="shared" ref="BC152:BC166" si="83">BB152/AZ152</f>
        <v>8.6338227648029967E-2</v>
      </c>
      <c r="BE152" s="31">
        <f t="shared" ref="BE152:BE166" si="84">S152</f>
        <v>154.74914153576896</v>
      </c>
      <c r="BF152" s="25">
        <f t="shared" ref="BF152:BF166" si="85">AB152</f>
        <v>185.70061751356494</v>
      </c>
      <c r="BG152" s="32">
        <f t="shared" ref="BG152:BG166" si="86">BF152-BE152</f>
        <v>30.95147597779598</v>
      </c>
      <c r="BH152" s="33">
        <f t="shared" ref="BH152:BH166" si="87">BG152/BE152</f>
        <v>0.20001064736531549</v>
      </c>
      <c r="BJ152" s="31">
        <f t="shared" ref="BJ152:BJ166" si="88">T152</f>
        <v>141.36011217717527</v>
      </c>
      <c r="BK152" s="25">
        <f t="shared" ref="BK152:BK166" si="89">AC152</f>
        <v>166.01963485883658</v>
      </c>
      <c r="BL152" s="32">
        <f t="shared" ref="BL152:BL166" si="90">BK152-BJ152</f>
        <v>24.659522681661315</v>
      </c>
      <c r="BM152" s="33">
        <f t="shared" ref="BM152:BM166" si="91">BL152/BJ152</f>
        <v>0.17444470227042569</v>
      </c>
      <c r="BO152" s="62"/>
      <c r="BP152" s="62"/>
      <c r="BQ152" s="62"/>
      <c r="BR152" s="63"/>
    </row>
    <row r="153" spans="1:70">
      <c r="A153" s="1"/>
      <c r="B153" s="1284"/>
      <c r="D153" s="5" t="s">
        <v>163</v>
      </c>
      <c r="E153" s="87">
        <f t="shared" ref="E153:L153" si="92">SUM(E173,E193,E213,E233,E253)</f>
        <v>226.09540995345037</v>
      </c>
      <c r="F153" s="87">
        <f t="shared" si="92"/>
        <v>227.70429076789964</v>
      </c>
      <c r="G153" s="87">
        <f t="shared" si="92"/>
        <v>228.3190394920714</v>
      </c>
      <c r="H153" s="87">
        <f t="shared" si="92"/>
        <v>235.88449724638545</v>
      </c>
      <c r="I153" s="87">
        <f t="shared" si="92"/>
        <v>228.91959982187672</v>
      </c>
      <c r="J153" s="87">
        <f t="shared" si="92"/>
        <v>222.08763445726612</v>
      </c>
      <c r="K153" s="87">
        <f t="shared" si="92"/>
        <v>204.30720931070559</v>
      </c>
      <c r="L153" s="87">
        <f t="shared" si="92"/>
        <v>217.61416794223305</v>
      </c>
      <c r="N153" s="29">
        <f t="shared" si="64"/>
        <v>224.77096476628836</v>
      </c>
      <c r="O153" s="29">
        <f t="shared" ref="O153:U153" si="93">SUM(O173,O193,O213,O233,O253)</f>
        <v>223.47440125093044</v>
      </c>
      <c r="P153" s="29">
        <f t="shared" si="93"/>
        <v>219.46575105615852</v>
      </c>
      <c r="Q153" s="29">
        <f t="shared" si="93"/>
        <v>222.75484308711066</v>
      </c>
      <c r="R153" s="29">
        <f t="shared" si="93"/>
        <v>213.31026503997973</v>
      </c>
      <c r="S153" s="29">
        <f t="shared" si="93"/>
        <v>205.10430091200993</v>
      </c>
      <c r="T153" s="29">
        <f t="shared" si="93"/>
        <v>188.92581694832941</v>
      </c>
      <c r="U153" s="29">
        <f t="shared" si="93"/>
        <v>196.90246671829038</v>
      </c>
      <c r="W153" s="30">
        <f t="shared" ref="W153:AD153" si="94">SUM(W173,W193,W213,W233,W253)</f>
        <v>218.39519699718113</v>
      </c>
      <c r="X153" s="30">
        <f t="shared" si="94"/>
        <v>201.99697376373425</v>
      </c>
      <c r="Y153" s="30">
        <f t="shared" si="56"/>
        <v>192.45326654486786</v>
      </c>
      <c r="Z153" s="30">
        <f t="shared" si="56"/>
        <v>212.05695242079108</v>
      </c>
      <c r="AA153" s="30">
        <f t="shared" si="57"/>
        <v>235.0062488704138</v>
      </c>
      <c r="AB153" s="30">
        <f t="shared" si="94"/>
        <v>232.13601041897624</v>
      </c>
      <c r="AC153" s="30">
        <f t="shared" ref="AC153" si="95">SUM(AC173,AC193,AC213,AC233,AC253)</f>
        <v>227.50630918843368</v>
      </c>
      <c r="AD153" s="90">
        <f t="shared" si="94"/>
        <v>0</v>
      </c>
      <c r="AF153" s="29">
        <f t="shared" si="68"/>
        <v>224.77096476628836</v>
      </c>
      <c r="AG153" s="30">
        <f t="shared" si="69"/>
        <v>218.39519699718113</v>
      </c>
      <c r="AH153" s="32">
        <f t="shared" si="70"/>
        <v>-6.3757677691072274</v>
      </c>
      <c r="AI153" s="33">
        <f t="shared" si="71"/>
        <v>-2.8365619980038805E-2</v>
      </c>
      <c r="AK153" s="29">
        <f t="shared" si="59"/>
        <v>223.47440125093044</v>
      </c>
      <c r="AL153" s="30">
        <f t="shared" si="60"/>
        <v>201.99697376373425</v>
      </c>
      <c r="AM153" s="32">
        <f t="shared" si="72"/>
        <v>-21.477427487196195</v>
      </c>
      <c r="AN153" s="33">
        <f t="shared" si="73"/>
        <v>-9.6106880103372788E-2</v>
      </c>
      <c r="AP153" s="29">
        <f t="shared" si="74"/>
        <v>219.46575105615852</v>
      </c>
      <c r="AQ153" s="30">
        <f t="shared" si="75"/>
        <v>192.45326654486786</v>
      </c>
      <c r="AR153" s="32">
        <f t="shared" si="76"/>
        <v>-27.012484511290666</v>
      </c>
      <c r="AS153" s="33">
        <f t="shared" si="77"/>
        <v>-0.12308291558612491</v>
      </c>
      <c r="AU153" s="31">
        <f t="shared" si="78"/>
        <v>222.75484308711066</v>
      </c>
      <c r="AV153" s="25">
        <f t="shared" si="79"/>
        <v>212.05695242079108</v>
      </c>
      <c r="AW153" s="32">
        <f t="shared" si="80"/>
        <v>-10.69789066631958</v>
      </c>
      <c r="AX153" s="33">
        <f t="shared" si="81"/>
        <v>-4.8025401010635065E-2</v>
      </c>
      <c r="AZ153" s="31">
        <f t="shared" si="61"/>
        <v>213.31026503997973</v>
      </c>
      <c r="BA153" s="25">
        <f t="shared" si="62"/>
        <v>235.0062488704138</v>
      </c>
      <c r="BB153" s="32">
        <f t="shared" si="82"/>
        <v>21.695983830434074</v>
      </c>
      <c r="BC153" s="33">
        <f t="shared" si="83"/>
        <v>0.1017109224742077</v>
      </c>
      <c r="BE153" s="31">
        <f t="shared" si="84"/>
        <v>205.10430091200993</v>
      </c>
      <c r="BF153" s="25">
        <f t="shared" si="85"/>
        <v>232.13601041897624</v>
      </c>
      <c r="BG153" s="32">
        <f t="shared" si="86"/>
        <v>27.031709506966308</v>
      </c>
      <c r="BH153" s="33">
        <f t="shared" si="87"/>
        <v>0.13179494231358393</v>
      </c>
      <c r="BJ153" s="31">
        <f t="shared" si="88"/>
        <v>188.92581694832941</v>
      </c>
      <c r="BK153" s="25">
        <f t="shared" si="89"/>
        <v>227.50630918843368</v>
      </c>
      <c r="BL153" s="32">
        <f t="shared" si="90"/>
        <v>38.580492240104263</v>
      </c>
      <c r="BM153" s="33">
        <f t="shared" si="91"/>
        <v>0.20420974149158186</v>
      </c>
      <c r="BO153" s="62"/>
      <c r="BP153" s="62"/>
      <c r="BQ153" s="62"/>
      <c r="BR153" s="63"/>
    </row>
    <row r="154" spans="1:70">
      <c r="A154" s="1"/>
      <c r="B154" s="1284"/>
      <c r="D154" s="5" t="s">
        <v>164</v>
      </c>
      <c r="E154" s="87">
        <f t="shared" ref="E154:L154" si="96">SUM(E174,E194,E214,E234,E254)</f>
        <v>259.16948969646671</v>
      </c>
      <c r="F154" s="87">
        <f t="shared" si="96"/>
        <v>261.52286839209978</v>
      </c>
      <c r="G154" s="87">
        <f t="shared" si="96"/>
        <v>254.56121478672338</v>
      </c>
      <c r="H154" s="87">
        <f t="shared" si="96"/>
        <v>261.8449478569753</v>
      </c>
      <c r="I154" s="87">
        <f t="shared" si="96"/>
        <v>266.31019540748287</v>
      </c>
      <c r="J154" s="87">
        <f t="shared" si="96"/>
        <v>264.15234906444141</v>
      </c>
      <c r="K154" s="87">
        <f t="shared" si="96"/>
        <v>270.63860911517338</v>
      </c>
      <c r="L154" s="87">
        <f t="shared" si="96"/>
        <v>276.76945141655835</v>
      </c>
      <c r="N154" s="29">
        <f t="shared" si="64"/>
        <v>259.16948969646671</v>
      </c>
      <c r="O154" s="29">
        <f t="shared" ref="O154:U154" si="97">SUM(O174,O194,O214,O234,O254)</f>
        <v>261.52286839209978</v>
      </c>
      <c r="P154" s="29">
        <f t="shared" si="97"/>
        <v>254.56121478672338</v>
      </c>
      <c r="Q154" s="29">
        <f t="shared" si="97"/>
        <v>261.8449478569753</v>
      </c>
      <c r="R154" s="29">
        <f t="shared" si="97"/>
        <v>266.31019540748287</v>
      </c>
      <c r="S154" s="29">
        <f t="shared" si="97"/>
        <v>264.15234906444141</v>
      </c>
      <c r="T154" s="29">
        <f t="shared" si="97"/>
        <v>270.63860911517338</v>
      </c>
      <c r="U154" s="29">
        <f t="shared" si="97"/>
        <v>276.76945141655835</v>
      </c>
      <c r="W154" s="30">
        <f t="shared" ref="W154:AD154" si="98">SUM(W174,W194,W214,W234,W254)</f>
        <v>297.47166800060131</v>
      </c>
      <c r="X154" s="30">
        <f t="shared" si="98"/>
        <v>274.73251004634102</v>
      </c>
      <c r="Y154" s="30">
        <f t="shared" si="56"/>
        <v>249.14190658111076</v>
      </c>
      <c r="Z154" s="30">
        <f t="shared" si="56"/>
        <v>214.7880703997063</v>
      </c>
      <c r="AA154" s="30">
        <f t="shared" si="57"/>
        <v>224.4002866991006</v>
      </c>
      <c r="AB154" s="30">
        <f t="shared" si="98"/>
        <v>262.54525301729285</v>
      </c>
      <c r="AC154" s="30">
        <f t="shared" ref="AC154" si="99">SUM(AC174,AC194,AC214,AC234,AC254)</f>
        <v>291.52819999999997</v>
      </c>
      <c r="AD154" s="90">
        <f t="shared" si="98"/>
        <v>0</v>
      </c>
      <c r="AF154" s="29">
        <f t="shared" si="68"/>
        <v>259.16948969646671</v>
      </c>
      <c r="AG154" s="30">
        <f t="shared" si="69"/>
        <v>297.47166800060131</v>
      </c>
      <c r="AH154" s="32">
        <f t="shared" si="70"/>
        <v>38.3021783041346</v>
      </c>
      <c r="AI154" s="33">
        <f t="shared" si="71"/>
        <v>0.1477881456995313</v>
      </c>
      <c r="AK154" s="29">
        <f t="shared" si="59"/>
        <v>261.52286839209978</v>
      </c>
      <c r="AL154" s="30">
        <f t="shared" si="60"/>
        <v>274.73251004634102</v>
      </c>
      <c r="AM154" s="32">
        <f t="shared" si="72"/>
        <v>13.209641654241238</v>
      </c>
      <c r="AN154" s="33">
        <f t="shared" si="73"/>
        <v>5.0510464860901175E-2</v>
      </c>
      <c r="AP154" s="29">
        <f t="shared" si="74"/>
        <v>254.56121478672338</v>
      </c>
      <c r="AQ154" s="30">
        <f t="shared" si="75"/>
        <v>249.14190658111076</v>
      </c>
      <c r="AR154" s="32">
        <f t="shared" si="76"/>
        <v>-5.4193082056126229</v>
      </c>
      <c r="AS154" s="33">
        <f t="shared" si="77"/>
        <v>-2.1288821276850955E-2</v>
      </c>
      <c r="AU154" s="31">
        <f t="shared" si="78"/>
        <v>261.8449478569753</v>
      </c>
      <c r="AV154" s="25">
        <f t="shared" si="79"/>
        <v>214.7880703997063</v>
      </c>
      <c r="AW154" s="32">
        <f t="shared" si="80"/>
        <v>-47.056877457268996</v>
      </c>
      <c r="AX154" s="33">
        <f t="shared" si="81"/>
        <v>-0.17971275689066324</v>
      </c>
      <c r="AZ154" s="31">
        <f t="shared" si="61"/>
        <v>266.31019540748287</v>
      </c>
      <c r="BA154" s="25">
        <f t="shared" si="62"/>
        <v>224.4002866991006</v>
      </c>
      <c r="BB154" s="32">
        <f t="shared" si="82"/>
        <v>-41.909908708382261</v>
      </c>
      <c r="BC154" s="33">
        <f t="shared" si="83"/>
        <v>-0.15737252809362276</v>
      </c>
      <c r="BE154" s="31">
        <f t="shared" si="84"/>
        <v>264.15234906444141</v>
      </c>
      <c r="BF154" s="25">
        <f t="shared" si="85"/>
        <v>262.54525301729285</v>
      </c>
      <c r="BG154" s="32">
        <f t="shared" si="86"/>
        <v>-1.6070960471485591</v>
      </c>
      <c r="BH154" s="33">
        <f t="shared" si="87"/>
        <v>-6.0839740885911984E-3</v>
      </c>
      <c r="BJ154" s="31">
        <f t="shared" si="88"/>
        <v>270.63860911517338</v>
      </c>
      <c r="BK154" s="25">
        <f t="shared" si="89"/>
        <v>291.52819999999997</v>
      </c>
      <c r="BL154" s="32">
        <f t="shared" si="90"/>
        <v>20.889590884826589</v>
      </c>
      <c r="BM154" s="33">
        <f t="shared" si="91"/>
        <v>7.718629264731694E-2</v>
      </c>
      <c r="BO154" s="62"/>
      <c r="BP154" s="62"/>
      <c r="BQ154" s="62"/>
      <c r="BR154" s="63"/>
    </row>
    <row r="155" spans="1:70">
      <c r="A155" s="1"/>
      <c r="B155" s="1284"/>
      <c r="D155" s="5" t="s">
        <v>165</v>
      </c>
      <c r="E155" s="87">
        <f t="shared" ref="E155:L155" si="100">SUM(E175,E195,E215,E235,E255)</f>
        <v>290.52453629448263</v>
      </c>
      <c r="F155" s="87">
        <f t="shared" si="100"/>
        <v>282.64538881598378</v>
      </c>
      <c r="G155" s="87">
        <f t="shared" si="100"/>
        <v>243.97405866168702</v>
      </c>
      <c r="H155" s="87">
        <f t="shared" si="100"/>
        <v>253.44823041287066</v>
      </c>
      <c r="I155" s="87">
        <f t="shared" si="100"/>
        <v>252.51421555384144</v>
      </c>
      <c r="J155" s="87">
        <f t="shared" si="100"/>
        <v>265.57540777640759</v>
      </c>
      <c r="K155" s="87">
        <f t="shared" si="100"/>
        <v>285.22208830058798</v>
      </c>
      <c r="L155" s="87">
        <f t="shared" si="100"/>
        <v>278.86327671913472</v>
      </c>
      <c r="N155" s="29">
        <f t="shared" si="64"/>
        <v>290.52453629448263</v>
      </c>
      <c r="O155" s="29">
        <f t="shared" ref="O155:U155" si="101">SUM(O175,O195,O215,O235,O255)</f>
        <v>282.64538881598378</v>
      </c>
      <c r="P155" s="29">
        <f t="shared" si="101"/>
        <v>243.97405866168702</v>
      </c>
      <c r="Q155" s="29">
        <f t="shared" si="101"/>
        <v>253.44823041287066</v>
      </c>
      <c r="R155" s="29">
        <f t="shared" si="101"/>
        <v>252.51421555384144</v>
      </c>
      <c r="S155" s="29">
        <f t="shared" si="101"/>
        <v>265.57540777640759</v>
      </c>
      <c r="T155" s="29">
        <f t="shared" si="101"/>
        <v>285.22208830058798</v>
      </c>
      <c r="U155" s="29">
        <f t="shared" si="101"/>
        <v>278.86327671913472</v>
      </c>
      <c r="W155" s="30">
        <f t="shared" ref="W155:AD155" si="102">SUM(W175,W195,W215,W235,W255)</f>
        <v>295.74408522123247</v>
      </c>
      <c r="X155" s="30">
        <f t="shared" si="102"/>
        <v>286.6815728089905</v>
      </c>
      <c r="Y155" s="30">
        <f t="shared" si="56"/>
        <v>259.22147988345188</v>
      </c>
      <c r="Z155" s="30">
        <f t="shared" si="56"/>
        <v>228.68577572535898</v>
      </c>
      <c r="AA155" s="30">
        <f t="shared" si="57"/>
        <v>243.00058526641027</v>
      </c>
      <c r="AB155" s="30">
        <f t="shared" si="102"/>
        <v>259.51996925079976</v>
      </c>
      <c r="AC155" s="30">
        <f t="shared" ref="AC155" si="103">SUM(AC175,AC195,AC215,AC235,AC255)</f>
        <v>277.90550000000002</v>
      </c>
      <c r="AD155" s="90">
        <f t="shared" si="102"/>
        <v>0</v>
      </c>
      <c r="AF155" s="29">
        <f t="shared" si="68"/>
        <v>290.52453629448263</v>
      </c>
      <c r="AG155" s="30">
        <f t="shared" si="69"/>
        <v>295.74408522123247</v>
      </c>
      <c r="AH155" s="32">
        <f t="shared" si="70"/>
        <v>5.2195489267498374</v>
      </c>
      <c r="AI155" s="33">
        <f t="shared" si="71"/>
        <v>1.7965948739899811E-2</v>
      </c>
      <c r="AK155" s="29">
        <f t="shared" si="59"/>
        <v>282.64538881598378</v>
      </c>
      <c r="AL155" s="30">
        <f t="shared" si="60"/>
        <v>286.6815728089905</v>
      </c>
      <c r="AM155" s="32">
        <f t="shared" si="72"/>
        <v>4.0361839930067163</v>
      </c>
      <c r="AN155" s="33">
        <f t="shared" si="73"/>
        <v>1.4280027740464831E-2</v>
      </c>
      <c r="AP155" s="29">
        <f t="shared" si="74"/>
        <v>243.97405866168702</v>
      </c>
      <c r="AQ155" s="30">
        <f t="shared" si="75"/>
        <v>259.22147988345188</v>
      </c>
      <c r="AR155" s="32">
        <f t="shared" si="76"/>
        <v>15.247421221764853</v>
      </c>
      <c r="AS155" s="33">
        <f t="shared" si="77"/>
        <v>6.249607562953275E-2</v>
      </c>
      <c r="AU155" s="31">
        <f t="shared" si="78"/>
        <v>253.44823041287066</v>
      </c>
      <c r="AV155" s="25">
        <f t="shared" si="79"/>
        <v>228.68577572535898</v>
      </c>
      <c r="AW155" s="32">
        <f t="shared" si="80"/>
        <v>-24.762454687511678</v>
      </c>
      <c r="AX155" s="33">
        <f t="shared" si="81"/>
        <v>-9.7702219688704461E-2</v>
      </c>
      <c r="AZ155" s="31">
        <f t="shared" si="61"/>
        <v>252.51421555384144</v>
      </c>
      <c r="BA155" s="25">
        <f t="shared" si="62"/>
        <v>243.00058526641027</v>
      </c>
      <c r="BB155" s="32">
        <f t="shared" si="82"/>
        <v>-9.5136302874311696</v>
      </c>
      <c r="BC155" s="33">
        <f t="shared" si="83"/>
        <v>-3.7675622604314965E-2</v>
      </c>
      <c r="BE155" s="31">
        <f t="shared" si="84"/>
        <v>265.57540777640759</v>
      </c>
      <c r="BF155" s="25">
        <f t="shared" si="85"/>
        <v>259.51996925079976</v>
      </c>
      <c r="BG155" s="32">
        <f t="shared" si="86"/>
        <v>-6.0554385256078263</v>
      </c>
      <c r="BH155" s="33">
        <f t="shared" si="87"/>
        <v>-2.2801202025098655E-2</v>
      </c>
      <c r="BJ155" s="31">
        <f t="shared" si="88"/>
        <v>285.22208830058798</v>
      </c>
      <c r="BK155" s="25">
        <f t="shared" si="89"/>
        <v>277.90550000000002</v>
      </c>
      <c r="BL155" s="32">
        <f t="shared" si="90"/>
        <v>-7.3165883005879664</v>
      </c>
      <c r="BM155" s="33">
        <f t="shared" si="91"/>
        <v>-2.5652249950842546E-2</v>
      </c>
      <c r="BO155" s="62"/>
      <c r="BP155" s="62"/>
      <c r="BQ155" s="62"/>
      <c r="BR155" s="63"/>
    </row>
    <row r="156" spans="1:70">
      <c r="A156" s="1"/>
      <c r="B156" s="1284"/>
      <c r="D156" s="5" t="s">
        <v>166</v>
      </c>
      <c r="E156" s="87">
        <f t="shared" ref="E156:L156" si="104">SUM(E176,E196,E216,E236,E256)</f>
        <v>124.9288928290616</v>
      </c>
      <c r="F156" s="87">
        <f t="shared" si="104"/>
        <v>127.19163585047514</v>
      </c>
      <c r="G156" s="87">
        <f t="shared" si="104"/>
        <v>127.54071281758222</v>
      </c>
      <c r="H156" s="87">
        <f t="shared" si="104"/>
        <v>137.34641607111718</v>
      </c>
      <c r="I156" s="87">
        <f t="shared" si="104"/>
        <v>136.30267135524781</v>
      </c>
      <c r="J156" s="87">
        <f t="shared" si="104"/>
        <v>136.57525244798802</v>
      </c>
      <c r="K156" s="87">
        <f t="shared" si="104"/>
        <v>134.16744217098773</v>
      </c>
      <c r="L156" s="87">
        <f t="shared" si="104"/>
        <v>134.60000334176675</v>
      </c>
      <c r="N156" s="29">
        <f t="shared" si="64"/>
        <v>124.9288928290616</v>
      </c>
      <c r="O156" s="29">
        <f t="shared" ref="O156:U156" si="105">SUM(O176,O196,O216,O236,O256)</f>
        <v>127.19163585047514</v>
      </c>
      <c r="P156" s="29">
        <f t="shared" si="105"/>
        <v>127.54071281758222</v>
      </c>
      <c r="Q156" s="29">
        <f t="shared" si="105"/>
        <v>137.34641607111718</v>
      </c>
      <c r="R156" s="29">
        <f t="shared" si="105"/>
        <v>136.30267135524781</v>
      </c>
      <c r="S156" s="29">
        <f t="shared" si="105"/>
        <v>136.57525244798802</v>
      </c>
      <c r="T156" s="29">
        <f t="shared" si="105"/>
        <v>134.16744217098773</v>
      </c>
      <c r="U156" s="29">
        <f t="shared" si="105"/>
        <v>134.60000334176675</v>
      </c>
      <c r="W156" s="30">
        <f t="shared" ref="W156:AD156" si="106">SUM(W176,W196,W216,W236,W256)</f>
        <v>124.61791964630561</v>
      </c>
      <c r="X156" s="30">
        <f t="shared" si="106"/>
        <v>119.57493637694725</v>
      </c>
      <c r="Y156" s="30">
        <f t="shared" si="56"/>
        <v>120.1954000276456</v>
      </c>
      <c r="Z156" s="30">
        <f t="shared" si="56"/>
        <v>114.56408606816609</v>
      </c>
      <c r="AA156" s="30">
        <f t="shared" si="57"/>
        <v>108.36593748391493</v>
      </c>
      <c r="AB156" s="30">
        <f t="shared" si="106"/>
        <v>123.27279722470573</v>
      </c>
      <c r="AC156" s="30">
        <f t="shared" ref="AC156" si="107">SUM(AC176,AC196,AC216,AC236,AC256)</f>
        <v>137.18989999999999</v>
      </c>
      <c r="AD156" s="90">
        <f t="shared" si="106"/>
        <v>0</v>
      </c>
      <c r="AF156" s="29">
        <f t="shared" si="68"/>
        <v>124.9288928290616</v>
      </c>
      <c r="AG156" s="30">
        <f t="shared" si="69"/>
        <v>124.61791964630561</v>
      </c>
      <c r="AH156" s="32">
        <f t="shared" si="70"/>
        <v>-0.31097318275598695</v>
      </c>
      <c r="AI156" s="33">
        <f t="shared" si="71"/>
        <v>-2.4892014626391279E-3</v>
      </c>
      <c r="AK156" s="29">
        <f t="shared" si="59"/>
        <v>127.19163585047514</v>
      </c>
      <c r="AL156" s="30">
        <f t="shared" si="60"/>
        <v>119.57493637694725</v>
      </c>
      <c r="AM156" s="32">
        <f t="shared" si="72"/>
        <v>-7.6166994735278877</v>
      </c>
      <c r="AN156" s="33">
        <f t="shared" si="73"/>
        <v>-5.988365054508759E-2</v>
      </c>
      <c r="AP156" s="29">
        <f t="shared" si="74"/>
        <v>127.54071281758222</v>
      </c>
      <c r="AQ156" s="30">
        <f t="shared" si="75"/>
        <v>120.1954000276456</v>
      </c>
      <c r="AR156" s="32">
        <f t="shared" si="76"/>
        <v>-7.3453127899366137</v>
      </c>
      <c r="AS156" s="33">
        <f t="shared" si="77"/>
        <v>-5.7591906362028898E-2</v>
      </c>
      <c r="AU156" s="31">
        <f t="shared" si="78"/>
        <v>137.34641607111718</v>
      </c>
      <c r="AV156" s="25">
        <f t="shared" si="79"/>
        <v>114.56408606816609</v>
      </c>
      <c r="AW156" s="32">
        <f t="shared" si="80"/>
        <v>-22.782330002951085</v>
      </c>
      <c r="AX156" s="33">
        <f t="shared" si="81"/>
        <v>-0.16587495076067021</v>
      </c>
      <c r="AZ156" s="31">
        <f t="shared" si="61"/>
        <v>136.30267135524781</v>
      </c>
      <c r="BA156" s="25">
        <f t="shared" si="62"/>
        <v>108.36593748391493</v>
      </c>
      <c r="BB156" s="32">
        <f t="shared" si="82"/>
        <v>-27.936733871332876</v>
      </c>
      <c r="BC156" s="33">
        <f t="shared" si="83"/>
        <v>-0.20496101502310929</v>
      </c>
      <c r="BE156" s="31">
        <f t="shared" si="84"/>
        <v>136.57525244798802</v>
      </c>
      <c r="BF156" s="25">
        <f t="shared" si="85"/>
        <v>123.27279722470573</v>
      </c>
      <c r="BG156" s="32">
        <f t="shared" si="86"/>
        <v>-13.302455223282294</v>
      </c>
      <c r="BH156" s="33">
        <f t="shared" si="87"/>
        <v>-9.740018769760847E-2</v>
      </c>
      <c r="BJ156" s="31">
        <f t="shared" si="88"/>
        <v>134.16744217098773</v>
      </c>
      <c r="BK156" s="25">
        <f t="shared" si="89"/>
        <v>137.18989999999999</v>
      </c>
      <c r="BL156" s="32">
        <f t="shared" si="90"/>
        <v>3.0224578290122679</v>
      </c>
      <c r="BM156" s="33">
        <f t="shared" si="91"/>
        <v>2.252750578013063E-2</v>
      </c>
      <c r="BO156" s="62"/>
      <c r="BP156" s="62"/>
      <c r="BQ156" s="62"/>
      <c r="BR156" s="63"/>
    </row>
    <row r="157" spans="1:70">
      <c r="A157" s="1"/>
      <c r="B157" s="1284"/>
      <c r="D157" s="5" t="s">
        <v>167</v>
      </c>
      <c r="E157" s="87">
        <f t="shared" ref="E157:L157" si="108">SUM(E177,E197,E217,E237,E257)</f>
        <v>196.19345244979672</v>
      </c>
      <c r="F157" s="87">
        <f t="shared" si="108"/>
        <v>197.91508586478068</v>
      </c>
      <c r="G157" s="87">
        <f t="shared" si="108"/>
        <v>200.53488598140189</v>
      </c>
      <c r="H157" s="87">
        <f t="shared" si="108"/>
        <v>208.13583285555723</v>
      </c>
      <c r="I157" s="87">
        <f t="shared" si="108"/>
        <v>211.08516405210381</v>
      </c>
      <c r="J157" s="87">
        <f t="shared" si="108"/>
        <v>213.18224877784968</v>
      </c>
      <c r="K157" s="87">
        <f t="shared" si="108"/>
        <v>214.86531510230046</v>
      </c>
      <c r="L157" s="87">
        <f t="shared" si="108"/>
        <v>218.5345117621639</v>
      </c>
      <c r="N157" s="29">
        <f t="shared" si="64"/>
        <v>196.19345244979672</v>
      </c>
      <c r="O157" s="29">
        <f t="shared" ref="O157:U157" si="109">SUM(O177,O197,O217,O237,O257)</f>
        <v>197.91508586478068</v>
      </c>
      <c r="P157" s="29">
        <f t="shared" si="109"/>
        <v>200.53488598140189</v>
      </c>
      <c r="Q157" s="29">
        <f t="shared" si="109"/>
        <v>208.13583285555723</v>
      </c>
      <c r="R157" s="29">
        <f t="shared" si="109"/>
        <v>211.08516405210381</v>
      </c>
      <c r="S157" s="29">
        <f t="shared" si="109"/>
        <v>213.18224877784968</v>
      </c>
      <c r="T157" s="29">
        <f t="shared" si="109"/>
        <v>214.86531510230046</v>
      </c>
      <c r="U157" s="29">
        <f t="shared" si="109"/>
        <v>218.5345117621639</v>
      </c>
      <c r="W157" s="30">
        <f t="shared" ref="W157:AD157" si="110">SUM(W177,W197,W217,W237,W257)</f>
        <v>196.54912215485308</v>
      </c>
      <c r="X157" s="30">
        <f t="shared" si="110"/>
        <v>207.28738843059412</v>
      </c>
      <c r="Y157" s="30">
        <f t="shared" si="56"/>
        <v>207.09061901072363</v>
      </c>
      <c r="Z157" s="30">
        <f t="shared" si="56"/>
        <v>185.14652239188445</v>
      </c>
      <c r="AA157" s="30">
        <f t="shared" si="57"/>
        <v>185.52518199916051</v>
      </c>
      <c r="AB157" s="30">
        <f t="shared" si="110"/>
        <v>188.66540633585686</v>
      </c>
      <c r="AC157" s="30">
        <f t="shared" ref="AC157" si="111">SUM(AC177,AC197,AC217,AC237,AC257)</f>
        <v>203.21949999999998</v>
      </c>
      <c r="AD157" s="90">
        <f t="shared" si="110"/>
        <v>0</v>
      </c>
      <c r="AF157" s="29">
        <f t="shared" si="68"/>
        <v>196.19345244979672</v>
      </c>
      <c r="AG157" s="30">
        <f t="shared" si="69"/>
        <v>196.54912215485308</v>
      </c>
      <c r="AH157" s="32">
        <f t="shared" si="70"/>
        <v>0.35566970505635709</v>
      </c>
      <c r="AI157" s="33">
        <f t="shared" si="71"/>
        <v>1.812852063181712E-3</v>
      </c>
      <c r="AK157" s="29">
        <f t="shared" si="59"/>
        <v>197.91508586478068</v>
      </c>
      <c r="AL157" s="30">
        <f t="shared" si="60"/>
        <v>207.28738843059412</v>
      </c>
      <c r="AM157" s="32">
        <f t="shared" si="72"/>
        <v>9.3723025658134418</v>
      </c>
      <c r="AN157" s="33">
        <f t="shared" si="73"/>
        <v>4.7355170147144701E-2</v>
      </c>
      <c r="AP157" s="29">
        <f t="shared" si="74"/>
        <v>200.53488598140189</v>
      </c>
      <c r="AQ157" s="30">
        <f t="shared" si="75"/>
        <v>207.09061901072363</v>
      </c>
      <c r="AR157" s="32">
        <f t="shared" si="76"/>
        <v>6.5557330293217433</v>
      </c>
      <c r="AS157" s="33">
        <f t="shared" si="77"/>
        <v>3.269123473074774E-2</v>
      </c>
      <c r="AU157" s="31">
        <f t="shared" si="78"/>
        <v>208.13583285555723</v>
      </c>
      <c r="AV157" s="25">
        <f t="shared" si="79"/>
        <v>185.14652239188445</v>
      </c>
      <c r="AW157" s="32">
        <f t="shared" si="80"/>
        <v>-22.98931046367278</v>
      </c>
      <c r="AX157" s="33">
        <f t="shared" si="81"/>
        <v>-0.11045340030242162</v>
      </c>
      <c r="AZ157" s="31">
        <f t="shared" si="61"/>
        <v>211.08516405210381</v>
      </c>
      <c r="BA157" s="25">
        <f t="shared" si="62"/>
        <v>185.52518199916051</v>
      </c>
      <c r="BB157" s="32">
        <f t="shared" si="82"/>
        <v>-25.559982052943298</v>
      </c>
      <c r="BC157" s="33">
        <f t="shared" si="83"/>
        <v>-0.12108848183491534</v>
      </c>
      <c r="BE157" s="31">
        <f t="shared" si="84"/>
        <v>213.18224877784968</v>
      </c>
      <c r="BF157" s="25">
        <f t="shared" si="85"/>
        <v>188.66540633585686</v>
      </c>
      <c r="BG157" s="32">
        <f t="shared" si="86"/>
        <v>-24.516842441992821</v>
      </c>
      <c r="BH157" s="33">
        <f t="shared" si="87"/>
        <v>-0.11500414590119569</v>
      </c>
      <c r="BJ157" s="31">
        <f t="shared" si="88"/>
        <v>214.86531510230046</v>
      </c>
      <c r="BK157" s="25">
        <f t="shared" si="89"/>
        <v>203.21949999999998</v>
      </c>
      <c r="BL157" s="32">
        <f t="shared" si="90"/>
        <v>-11.645815102300475</v>
      </c>
      <c r="BM157" s="33">
        <f t="shared" si="91"/>
        <v>-5.420053532956557E-2</v>
      </c>
      <c r="BO157" s="62"/>
      <c r="BP157" s="62"/>
      <c r="BQ157" s="62"/>
      <c r="BR157" s="63"/>
    </row>
    <row r="158" spans="1:70">
      <c r="A158" s="1"/>
      <c r="B158" s="1284"/>
      <c r="D158" s="5" t="s">
        <v>168</v>
      </c>
      <c r="E158" s="87">
        <f t="shared" ref="E158:L158" si="112">SUM(E178,E198,E218,E238,E258)</f>
        <v>260.57354505145315</v>
      </c>
      <c r="F158" s="87">
        <f t="shared" si="112"/>
        <v>256.1387654713098</v>
      </c>
      <c r="G158" s="87">
        <f t="shared" si="112"/>
        <v>242.67956994612334</v>
      </c>
      <c r="H158" s="87">
        <f t="shared" si="112"/>
        <v>230.42141695053505</v>
      </c>
      <c r="I158" s="87">
        <f t="shared" si="112"/>
        <v>242.16666359081813</v>
      </c>
      <c r="J158" s="87">
        <f t="shared" si="112"/>
        <v>239.8898831315602</v>
      </c>
      <c r="K158" s="87">
        <f t="shared" si="112"/>
        <v>229.376598034626</v>
      </c>
      <c r="L158" s="87">
        <f t="shared" si="112"/>
        <v>224.84942755784749</v>
      </c>
      <c r="N158" s="29">
        <f t="shared" si="64"/>
        <v>239.41276644223518</v>
      </c>
      <c r="O158" s="29">
        <f t="shared" ref="O158:U158" si="113">SUM(O178,O198,O218,O238,O258)</f>
        <v>232.04311115534279</v>
      </c>
      <c r="P158" s="29">
        <f t="shared" si="113"/>
        <v>217.9966788904913</v>
      </c>
      <c r="Q158" s="29">
        <f t="shared" si="113"/>
        <v>206.27616967446636</v>
      </c>
      <c r="R158" s="29">
        <f t="shared" si="113"/>
        <v>213.53491284185452</v>
      </c>
      <c r="S158" s="29">
        <f t="shared" si="113"/>
        <v>209.02489814212933</v>
      </c>
      <c r="T158" s="29">
        <f t="shared" si="113"/>
        <v>194.87169252981684</v>
      </c>
      <c r="U158" s="29">
        <f t="shared" si="113"/>
        <v>188.95313910895305</v>
      </c>
      <c r="W158" s="30">
        <f t="shared" ref="W158:AD158" si="114">SUM(W178,W198,W218,W238,W258)</f>
        <v>165.46669169765073</v>
      </c>
      <c r="X158" s="30">
        <f t="shared" si="114"/>
        <v>181.20782217698437</v>
      </c>
      <c r="Y158" s="30">
        <f t="shared" si="56"/>
        <v>203.28349247707104</v>
      </c>
      <c r="Z158" s="30">
        <f t="shared" si="56"/>
        <v>186.06852674422711</v>
      </c>
      <c r="AA158" s="30">
        <f t="shared" si="57"/>
        <v>191.00749606717952</v>
      </c>
      <c r="AB158" s="30">
        <f t="shared" si="114"/>
        <v>192.60841656308884</v>
      </c>
      <c r="AC158" s="30">
        <f t="shared" ref="AC158" si="115">SUM(AC178,AC198,AC218,AC238,AC258)</f>
        <v>209.06150996071884</v>
      </c>
      <c r="AD158" s="90">
        <f t="shared" si="114"/>
        <v>0</v>
      </c>
      <c r="AF158" s="29">
        <f t="shared" si="68"/>
        <v>239.41276644223518</v>
      </c>
      <c r="AG158" s="30">
        <f t="shared" si="69"/>
        <v>165.46669169765073</v>
      </c>
      <c r="AH158" s="32">
        <f t="shared" si="70"/>
        <v>-73.94607474458445</v>
      </c>
      <c r="AI158" s="33">
        <f t="shared" si="71"/>
        <v>-0.30886437612935708</v>
      </c>
      <c r="AK158" s="29">
        <f t="shared" si="59"/>
        <v>232.04311115534279</v>
      </c>
      <c r="AL158" s="30">
        <f t="shared" si="60"/>
        <v>181.20782217698437</v>
      </c>
      <c r="AM158" s="32">
        <f t="shared" si="72"/>
        <v>-50.83528897835842</v>
      </c>
      <c r="AN158" s="33">
        <f t="shared" si="73"/>
        <v>-0.21907691516998495</v>
      </c>
      <c r="AP158" s="29">
        <f t="shared" si="74"/>
        <v>217.9966788904913</v>
      </c>
      <c r="AQ158" s="30">
        <f t="shared" si="75"/>
        <v>203.28349247707104</v>
      </c>
      <c r="AR158" s="32">
        <f t="shared" si="76"/>
        <v>-14.71318641342026</v>
      </c>
      <c r="AS158" s="33">
        <f t="shared" si="77"/>
        <v>-6.7492709009623481E-2</v>
      </c>
      <c r="AU158" s="31">
        <f t="shared" si="78"/>
        <v>206.27616967446636</v>
      </c>
      <c r="AV158" s="25">
        <f t="shared" si="79"/>
        <v>186.06852674422711</v>
      </c>
      <c r="AW158" s="32">
        <f t="shared" si="80"/>
        <v>-20.207642930239246</v>
      </c>
      <c r="AX158" s="33">
        <f t="shared" si="81"/>
        <v>-9.7964020575570271E-2</v>
      </c>
      <c r="AZ158" s="31">
        <f t="shared" si="61"/>
        <v>213.53491284185452</v>
      </c>
      <c r="BA158" s="25">
        <f t="shared" si="62"/>
        <v>191.00749606717952</v>
      </c>
      <c r="BB158" s="32">
        <f t="shared" si="82"/>
        <v>-22.527416774675004</v>
      </c>
      <c r="BC158" s="33">
        <f t="shared" si="83"/>
        <v>-0.10549758105064051</v>
      </c>
      <c r="BE158" s="31">
        <f t="shared" si="84"/>
        <v>209.02489814212933</v>
      </c>
      <c r="BF158" s="25">
        <f t="shared" si="85"/>
        <v>192.60841656308884</v>
      </c>
      <c r="BG158" s="32">
        <f t="shared" si="86"/>
        <v>-16.416481579040493</v>
      </c>
      <c r="BH158" s="33">
        <f t="shared" si="87"/>
        <v>-7.8538402481975536E-2</v>
      </c>
      <c r="BJ158" s="31">
        <f t="shared" si="88"/>
        <v>194.87169252981684</v>
      </c>
      <c r="BK158" s="25">
        <f t="shared" si="89"/>
        <v>209.06150996071884</v>
      </c>
      <c r="BL158" s="32">
        <f t="shared" si="90"/>
        <v>14.189817430901996</v>
      </c>
      <c r="BM158" s="33">
        <f t="shared" si="91"/>
        <v>7.2816206636737893E-2</v>
      </c>
      <c r="BO158" s="62"/>
      <c r="BP158" s="62"/>
      <c r="BQ158" s="62"/>
      <c r="BR158" s="63"/>
    </row>
    <row r="159" spans="1:70">
      <c r="A159" s="1"/>
      <c r="B159" s="1284"/>
      <c r="D159" s="5" t="s">
        <v>169</v>
      </c>
      <c r="E159" s="87">
        <f t="shared" ref="E159:L159" si="116">SUM(E179,E199,E219,E239,E259)</f>
        <v>226.15805695136402</v>
      </c>
      <c r="F159" s="87">
        <f t="shared" si="116"/>
        <v>247.63843338820243</v>
      </c>
      <c r="G159" s="87">
        <f t="shared" si="116"/>
        <v>240.18252508964991</v>
      </c>
      <c r="H159" s="87">
        <f t="shared" si="116"/>
        <v>224.18078751786723</v>
      </c>
      <c r="I159" s="87">
        <f t="shared" si="116"/>
        <v>215.4979788583548</v>
      </c>
      <c r="J159" s="87">
        <f t="shared" si="116"/>
        <v>212.03404508522104</v>
      </c>
      <c r="K159" s="87">
        <f t="shared" si="116"/>
        <v>215.81899955532219</v>
      </c>
      <c r="L159" s="87">
        <f t="shared" si="116"/>
        <v>214.39276362064189</v>
      </c>
      <c r="N159" s="29">
        <f t="shared" si="64"/>
        <v>216.05701547860605</v>
      </c>
      <c r="O159" s="29">
        <f t="shared" ref="O159:U159" si="117">SUM(O179,O199,O219,O239,O259)</f>
        <v>233.13583405674646</v>
      </c>
      <c r="P159" s="29">
        <f t="shared" si="117"/>
        <v>222.50618210457074</v>
      </c>
      <c r="Q159" s="29">
        <f t="shared" si="117"/>
        <v>207.7474272389629</v>
      </c>
      <c r="R159" s="29">
        <f t="shared" si="117"/>
        <v>197.61161576301686</v>
      </c>
      <c r="S159" s="29">
        <f t="shared" si="117"/>
        <v>193.85716061385818</v>
      </c>
      <c r="T159" s="29">
        <f t="shared" si="117"/>
        <v>197.70772062352717</v>
      </c>
      <c r="U159" s="29">
        <f t="shared" si="117"/>
        <v>192.01844779976591</v>
      </c>
      <c r="W159" s="30">
        <f t="shared" ref="W159:AD159" si="118">SUM(W179,W199,W219,W239,W259)</f>
        <v>153.46290857796706</v>
      </c>
      <c r="X159" s="30">
        <f t="shared" si="118"/>
        <v>184.87403014483928</v>
      </c>
      <c r="Y159" s="30">
        <f t="shared" si="56"/>
        <v>181.41330568969141</v>
      </c>
      <c r="Z159" s="30">
        <f t="shared" si="56"/>
        <v>180.55892341594057</v>
      </c>
      <c r="AA159" s="30">
        <f t="shared" si="57"/>
        <v>181.17669437560278</v>
      </c>
      <c r="AB159" s="30">
        <f t="shared" si="118"/>
        <v>176.75647680702713</v>
      </c>
      <c r="AC159" s="30">
        <f t="shared" ref="AC159" si="119">SUM(AC179,AC199,AC219,AC239,AC259)</f>
        <v>180.01106860326283</v>
      </c>
      <c r="AD159" s="90">
        <f t="shared" si="118"/>
        <v>0</v>
      </c>
      <c r="AF159" s="29">
        <f t="shared" si="68"/>
        <v>216.05701547860605</v>
      </c>
      <c r="AG159" s="30">
        <f t="shared" si="69"/>
        <v>153.46290857796706</v>
      </c>
      <c r="AH159" s="32">
        <f t="shared" si="70"/>
        <v>-62.594106900638991</v>
      </c>
      <c r="AI159" s="33">
        <f t="shared" si="71"/>
        <v>-0.28971105965701471</v>
      </c>
      <c r="AK159" s="29">
        <f t="shared" si="59"/>
        <v>233.13583405674646</v>
      </c>
      <c r="AL159" s="30">
        <f t="shared" si="60"/>
        <v>184.87403014483928</v>
      </c>
      <c r="AM159" s="32">
        <f t="shared" si="72"/>
        <v>-48.26180391190718</v>
      </c>
      <c r="AN159" s="33">
        <f t="shared" si="73"/>
        <v>-0.20701152230488948</v>
      </c>
      <c r="AP159" s="29">
        <f t="shared" si="74"/>
        <v>222.50618210457074</v>
      </c>
      <c r="AQ159" s="30">
        <f t="shared" si="75"/>
        <v>181.41330568969141</v>
      </c>
      <c r="AR159" s="32">
        <f t="shared" si="76"/>
        <v>-41.092876414879328</v>
      </c>
      <c r="AS159" s="33">
        <f t="shared" si="77"/>
        <v>-0.18468195367069395</v>
      </c>
      <c r="AU159" s="31">
        <f t="shared" si="78"/>
        <v>207.7474272389629</v>
      </c>
      <c r="AV159" s="25">
        <f t="shared" si="79"/>
        <v>180.55892341594057</v>
      </c>
      <c r="AW159" s="32">
        <f t="shared" si="80"/>
        <v>-27.18850382302233</v>
      </c>
      <c r="AX159" s="33">
        <f t="shared" si="81"/>
        <v>-0.13087287859285288</v>
      </c>
      <c r="AZ159" s="31">
        <f t="shared" si="61"/>
        <v>197.61161576301686</v>
      </c>
      <c r="BA159" s="25">
        <f t="shared" si="62"/>
        <v>181.17669437560278</v>
      </c>
      <c r="BB159" s="32">
        <f t="shared" si="82"/>
        <v>-16.434921387414079</v>
      </c>
      <c r="BC159" s="33">
        <f t="shared" si="83"/>
        <v>-8.3167790131949748E-2</v>
      </c>
      <c r="BE159" s="31">
        <f t="shared" si="84"/>
        <v>193.85716061385818</v>
      </c>
      <c r="BF159" s="25">
        <f t="shared" si="85"/>
        <v>176.75647680702713</v>
      </c>
      <c r="BG159" s="32">
        <f t="shared" si="86"/>
        <v>-17.100683806831057</v>
      </c>
      <c r="BH159" s="33">
        <f t="shared" si="87"/>
        <v>-8.8212804482851737E-2</v>
      </c>
      <c r="BJ159" s="31">
        <f t="shared" si="88"/>
        <v>197.70772062352717</v>
      </c>
      <c r="BK159" s="25">
        <f t="shared" si="89"/>
        <v>180.01106860326283</v>
      </c>
      <c r="BL159" s="32">
        <f t="shared" si="90"/>
        <v>-17.696652020264338</v>
      </c>
      <c r="BM159" s="33">
        <f t="shared" si="91"/>
        <v>-8.9509160109948888E-2</v>
      </c>
      <c r="BO159" s="62"/>
      <c r="BP159" s="62"/>
      <c r="BQ159" s="62"/>
      <c r="BR159" s="63"/>
    </row>
    <row r="160" spans="1:70">
      <c r="A160" s="1"/>
      <c r="B160" s="1284"/>
      <c r="D160" s="5" t="s">
        <v>170</v>
      </c>
      <c r="E160" s="87">
        <f t="shared" ref="E160:L160" si="120">SUM(E180,E200,E220,E240,E260)</f>
        <v>319.63951607701472</v>
      </c>
      <c r="F160" s="87">
        <f t="shared" si="120"/>
        <v>324.16200712483106</v>
      </c>
      <c r="G160" s="87">
        <f t="shared" si="120"/>
        <v>330.33411712357582</v>
      </c>
      <c r="H160" s="87">
        <f t="shared" si="120"/>
        <v>328.91850569018106</v>
      </c>
      <c r="I160" s="87">
        <f t="shared" si="120"/>
        <v>329.57365902493501</v>
      </c>
      <c r="J160" s="87">
        <f t="shared" si="120"/>
        <v>326.97280376903473</v>
      </c>
      <c r="K160" s="87">
        <f t="shared" si="120"/>
        <v>329.92173225512636</v>
      </c>
      <c r="L160" s="87">
        <f t="shared" si="120"/>
        <v>315.58234917479126</v>
      </c>
      <c r="N160" s="29">
        <f t="shared" si="64"/>
        <v>305.09110265074406</v>
      </c>
      <c r="O160" s="29">
        <f t="shared" ref="O160:U160" si="121">SUM(O180,O200,O220,O240,O260)</f>
        <v>308.2344920633447</v>
      </c>
      <c r="P160" s="29">
        <f t="shared" si="121"/>
        <v>306.71810151426359</v>
      </c>
      <c r="Q160" s="29">
        <f t="shared" si="121"/>
        <v>301.4479110482132</v>
      </c>
      <c r="R160" s="29">
        <f t="shared" si="121"/>
        <v>299.0249430629944</v>
      </c>
      <c r="S160" s="29">
        <f t="shared" si="121"/>
        <v>293.73015577410877</v>
      </c>
      <c r="T160" s="29">
        <f t="shared" si="121"/>
        <v>293.65424787558146</v>
      </c>
      <c r="U160" s="29">
        <f t="shared" si="121"/>
        <v>278.35801027792286</v>
      </c>
      <c r="W160" s="30">
        <f t="shared" ref="W160:AD160" si="122">SUM(W180,W200,W220,W240,W260)</f>
        <v>241.84575987657212</v>
      </c>
      <c r="X160" s="30">
        <f t="shared" si="122"/>
        <v>250.79800603656298</v>
      </c>
      <c r="Y160" s="30">
        <f t="shared" si="56"/>
        <v>288.18667958502812</v>
      </c>
      <c r="Z160" s="30">
        <f t="shared" si="56"/>
        <v>260.59842112143087</v>
      </c>
      <c r="AA160" s="30">
        <f t="shared" si="57"/>
        <v>274.72643630796665</v>
      </c>
      <c r="AB160" s="30">
        <f t="shared" si="122"/>
        <v>287.85454244067876</v>
      </c>
      <c r="AC160" s="30">
        <f t="shared" ref="AC160" si="123">SUM(AC180,AC200,AC220,AC240,AC260)</f>
        <v>279.75437669994926</v>
      </c>
      <c r="AD160" s="90">
        <f t="shared" si="122"/>
        <v>0</v>
      </c>
      <c r="AF160" s="29">
        <f t="shared" si="68"/>
        <v>305.09110265074406</v>
      </c>
      <c r="AG160" s="30">
        <f t="shared" si="69"/>
        <v>241.84575987657212</v>
      </c>
      <c r="AH160" s="32">
        <f t="shared" si="70"/>
        <v>-63.245342774171945</v>
      </c>
      <c r="AI160" s="33">
        <f t="shared" si="71"/>
        <v>-0.20729985969657283</v>
      </c>
      <c r="AK160" s="29">
        <f t="shared" si="59"/>
        <v>308.2344920633447</v>
      </c>
      <c r="AL160" s="30">
        <f t="shared" si="60"/>
        <v>250.79800603656298</v>
      </c>
      <c r="AM160" s="32">
        <f t="shared" si="72"/>
        <v>-57.436486026781722</v>
      </c>
      <c r="AN160" s="33">
        <f t="shared" si="73"/>
        <v>-0.18634022961641183</v>
      </c>
      <c r="AP160" s="29">
        <f t="shared" si="74"/>
        <v>306.71810151426359</v>
      </c>
      <c r="AQ160" s="30">
        <f t="shared" si="75"/>
        <v>288.18667958502812</v>
      </c>
      <c r="AR160" s="32">
        <f t="shared" si="76"/>
        <v>-18.531421929235478</v>
      </c>
      <c r="AS160" s="33">
        <f t="shared" si="77"/>
        <v>-6.0418416251750616E-2</v>
      </c>
      <c r="AU160" s="31">
        <f t="shared" si="78"/>
        <v>301.4479110482132</v>
      </c>
      <c r="AV160" s="25">
        <f t="shared" si="79"/>
        <v>260.59842112143087</v>
      </c>
      <c r="AW160" s="32">
        <f t="shared" si="80"/>
        <v>-40.849489926782326</v>
      </c>
      <c r="AX160" s="33">
        <f t="shared" si="81"/>
        <v>-0.13551094046310677</v>
      </c>
      <c r="AZ160" s="31">
        <f t="shared" si="61"/>
        <v>299.0249430629944</v>
      </c>
      <c r="BA160" s="25">
        <f t="shared" si="62"/>
        <v>274.72643630796665</v>
      </c>
      <c r="BB160" s="32">
        <f t="shared" si="82"/>
        <v>-24.298506755027745</v>
      </c>
      <c r="BC160" s="33">
        <f t="shared" si="83"/>
        <v>-8.1259130111794309E-2</v>
      </c>
      <c r="BE160" s="31">
        <f t="shared" si="84"/>
        <v>293.73015577410877</v>
      </c>
      <c r="BF160" s="25">
        <f t="shared" si="85"/>
        <v>287.85454244067876</v>
      </c>
      <c r="BG160" s="32">
        <f t="shared" si="86"/>
        <v>-5.8756133334300102</v>
      </c>
      <c r="BH160" s="33">
        <f t="shared" si="87"/>
        <v>-2.0003439272161798E-2</v>
      </c>
      <c r="BJ160" s="31">
        <f t="shared" si="88"/>
        <v>293.65424787558146</v>
      </c>
      <c r="BK160" s="25">
        <f t="shared" si="89"/>
        <v>279.75437669994926</v>
      </c>
      <c r="BL160" s="32">
        <f t="shared" si="90"/>
        <v>-13.8998711756322</v>
      </c>
      <c r="BM160" s="33">
        <f t="shared" si="91"/>
        <v>-4.7334139642759211E-2</v>
      </c>
      <c r="BO160" s="62"/>
      <c r="BP160" s="62"/>
      <c r="BQ160" s="62"/>
      <c r="BR160" s="63"/>
    </row>
    <row r="161" spans="1:70">
      <c r="A161" s="1"/>
      <c r="B161" s="1284"/>
      <c r="D161" s="5" t="s">
        <v>171</v>
      </c>
      <c r="E161" s="87">
        <f t="shared" ref="E161:L161" si="124">SUM(E181,E201,E221,E241,E261)</f>
        <v>194.21304983373207</v>
      </c>
      <c r="F161" s="87">
        <f t="shared" si="124"/>
        <v>200.18780125727591</v>
      </c>
      <c r="G161" s="87">
        <f t="shared" si="124"/>
        <v>207.12466300403781</v>
      </c>
      <c r="H161" s="87">
        <f t="shared" si="124"/>
        <v>196.8441991640876</v>
      </c>
      <c r="I161" s="87">
        <f t="shared" si="124"/>
        <v>190.83241744944019</v>
      </c>
      <c r="J161" s="87">
        <f t="shared" si="124"/>
        <v>189.99451625253849</v>
      </c>
      <c r="K161" s="87">
        <f t="shared" si="124"/>
        <v>194.03946281796058</v>
      </c>
      <c r="L161" s="87">
        <f t="shared" si="124"/>
        <v>191.25133173134469</v>
      </c>
      <c r="N161" s="29">
        <f t="shared" si="64"/>
        <v>201.43843672663252</v>
      </c>
      <c r="O161" s="29">
        <f t="shared" ref="O161:U161" si="125">SUM(O181,O201,O221,O241,O261)</f>
        <v>202.82469334575046</v>
      </c>
      <c r="P161" s="29">
        <f t="shared" si="125"/>
        <v>207.1182356696433</v>
      </c>
      <c r="Q161" s="29">
        <f t="shared" si="125"/>
        <v>195.37599902347711</v>
      </c>
      <c r="R161" s="29">
        <f t="shared" si="125"/>
        <v>186.56045702561889</v>
      </c>
      <c r="S161" s="29">
        <f t="shared" si="125"/>
        <v>182.82118585538453</v>
      </c>
      <c r="T161" s="29">
        <f t="shared" si="125"/>
        <v>177.92483903006482</v>
      </c>
      <c r="U161" s="29">
        <f t="shared" si="125"/>
        <v>172.19907488666857</v>
      </c>
      <c r="W161" s="30">
        <f t="shared" ref="W161:AD161" si="126">SUM(W181,W201,W221,W241,W261)</f>
        <v>192.88656114951675</v>
      </c>
      <c r="X161" s="30">
        <f t="shared" si="126"/>
        <v>202.50442209946735</v>
      </c>
      <c r="Y161" s="30">
        <f t="shared" si="56"/>
        <v>216.5470371840596</v>
      </c>
      <c r="Z161" s="30">
        <f t="shared" si="56"/>
        <v>237.20958008081587</v>
      </c>
      <c r="AA161" s="30">
        <f t="shared" si="57"/>
        <v>222.38634651634899</v>
      </c>
      <c r="AB161" s="30">
        <f t="shared" si="126"/>
        <v>212.16621905495165</v>
      </c>
      <c r="AC161" s="30">
        <f t="shared" ref="AC161" si="127">SUM(AC181,AC201,AC221,AC241,AC261)</f>
        <v>200.80150969450779</v>
      </c>
      <c r="AD161" s="90">
        <f t="shared" si="126"/>
        <v>0</v>
      </c>
      <c r="AF161" s="29">
        <f t="shared" si="68"/>
        <v>201.43843672663252</v>
      </c>
      <c r="AG161" s="30">
        <f t="shared" si="69"/>
        <v>192.88656114951675</v>
      </c>
      <c r="AH161" s="32">
        <f t="shared" si="70"/>
        <v>-8.5518755771157657</v>
      </c>
      <c r="AI161" s="33">
        <f t="shared" si="71"/>
        <v>-4.2454040629402424E-2</v>
      </c>
      <c r="AK161" s="29">
        <f t="shared" si="59"/>
        <v>202.82469334575046</v>
      </c>
      <c r="AL161" s="30">
        <f t="shared" si="60"/>
        <v>202.50442209946735</v>
      </c>
      <c r="AM161" s="32">
        <f t="shared" si="72"/>
        <v>-0.32027124628311299</v>
      </c>
      <c r="AN161" s="33">
        <f t="shared" si="73"/>
        <v>-1.5790545076143868E-3</v>
      </c>
      <c r="AP161" s="29">
        <f t="shared" si="74"/>
        <v>207.1182356696433</v>
      </c>
      <c r="AQ161" s="30">
        <f t="shared" si="75"/>
        <v>216.5470371840596</v>
      </c>
      <c r="AR161" s="32">
        <f t="shared" si="76"/>
        <v>9.4288015144163069</v>
      </c>
      <c r="AS161" s="33">
        <f t="shared" si="77"/>
        <v>4.5523763197053237E-2</v>
      </c>
      <c r="AU161" s="31">
        <f t="shared" si="78"/>
        <v>195.37599902347711</v>
      </c>
      <c r="AV161" s="25">
        <f t="shared" si="79"/>
        <v>237.20958008081587</v>
      </c>
      <c r="AW161" s="32">
        <f t="shared" si="80"/>
        <v>41.833581057338762</v>
      </c>
      <c r="AX161" s="33">
        <f t="shared" si="81"/>
        <v>0.21411832193529504</v>
      </c>
      <c r="AZ161" s="31">
        <f t="shared" si="61"/>
        <v>186.56045702561889</v>
      </c>
      <c r="BA161" s="25">
        <f t="shared" si="62"/>
        <v>222.38634651634899</v>
      </c>
      <c r="BB161" s="32">
        <f t="shared" si="82"/>
        <v>35.825889490730106</v>
      </c>
      <c r="BC161" s="33">
        <f t="shared" si="83"/>
        <v>0.1920336713466049</v>
      </c>
      <c r="BE161" s="31">
        <f t="shared" si="84"/>
        <v>182.82118585538453</v>
      </c>
      <c r="BF161" s="25">
        <f t="shared" si="85"/>
        <v>212.16621905495165</v>
      </c>
      <c r="BG161" s="32">
        <f t="shared" si="86"/>
        <v>29.345033199567126</v>
      </c>
      <c r="BH161" s="33">
        <f t="shared" si="87"/>
        <v>0.16051221340824076</v>
      </c>
      <c r="BJ161" s="31">
        <f t="shared" si="88"/>
        <v>177.92483903006482</v>
      </c>
      <c r="BK161" s="25">
        <f t="shared" si="89"/>
        <v>200.80150969450779</v>
      </c>
      <c r="BL161" s="32">
        <f t="shared" si="90"/>
        <v>22.876670664442969</v>
      </c>
      <c r="BM161" s="33">
        <f t="shared" si="91"/>
        <v>0.12857491280673514</v>
      </c>
      <c r="BO161" s="62"/>
      <c r="BP161" s="62"/>
      <c r="BQ161" s="62"/>
      <c r="BR161" s="63"/>
    </row>
    <row r="162" spans="1:70">
      <c r="A162" s="1"/>
      <c r="B162" s="1284"/>
      <c r="D162" s="5" t="s">
        <v>172</v>
      </c>
      <c r="E162" s="87">
        <f t="shared" ref="E162:L162" si="128">SUM(E182,E202,E222,E242,E262)</f>
        <v>254.008864332299</v>
      </c>
      <c r="F162" s="87">
        <f t="shared" si="128"/>
        <v>274.55656170168572</v>
      </c>
      <c r="G162" s="87">
        <f t="shared" si="128"/>
        <v>246.89500372080522</v>
      </c>
      <c r="H162" s="87">
        <f t="shared" si="128"/>
        <v>223.51488977389937</v>
      </c>
      <c r="I162" s="87">
        <f t="shared" si="128"/>
        <v>221.9917958074906</v>
      </c>
      <c r="J162" s="87">
        <f t="shared" si="128"/>
        <v>237.42166132101596</v>
      </c>
      <c r="K162" s="87">
        <f t="shared" si="128"/>
        <v>233.86901949433204</v>
      </c>
      <c r="L162" s="87">
        <f t="shared" si="128"/>
        <v>210.53121622292079</v>
      </c>
      <c r="N162" s="29">
        <f t="shared" si="64"/>
        <v>229.08952039822162</v>
      </c>
      <c r="O162" s="29">
        <f t="shared" ref="O162:U162" si="129">SUM(O182,O202,O222,O242,O262)</f>
        <v>237.05373697988378</v>
      </c>
      <c r="P162" s="29">
        <f t="shared" si="129"/>
        <v>216.19496913466085</v>
      </c>
      <c r="Q162" s="29">
        <f t="shared" si="129"/>
        <v>196.8025685861723</v>
      </c>
      <c r="R162" s="29">
        <f t="shared" si="129"/>
        <v>192.75962519316815</v>
      </c>
      <c r="S162" s="29">
        <f t="shared" si="129"/>
        <v>202.24881001022197</v>
      </c>
      <c r="T162" s="29">
        <f t="shared" si="129"/>
        <v>190.80319290616788</v>
      </c>
      <c r="U162" s="29">
        <f t="shared" si="129"/>
        <v>169.65116720493342</v>
      </c>
      <c r="W162" s="30">
        <f t="shared" ref="W162:AD162" si="130">SUM(W182,W202,W222,W242,W262)</f>
        <v>238.84488834471205</v>
      </c>
      <c r="X162" s="30">
        <f t="shared" si="130"/>
        <v>231.93639189368005</v>
      </c>
      <c r="Y162" s="30">
        <f t="shared" si="56"/>
        <v>249.92330552828932</v>
      </c>
      <c r="Z162" s="30">
        <f t="shared" si="56"/>
        <v>252.90803898805234</v>
      </c>
      <c r="AA162" s="30">
        <f t="shared" si="57"/>
        <v>220.83083321410686</v>
      </c>
      <c r="AB162" s="30">
        <f t="shared" si="130"/>
        <v>188.30958399795767</v>
      </c>
      <c r="AC162" s="30">
        <f t="shared" ref="AC162" si="131">SUM(AC182,AC202,AC222,AC242,AC262)</f>
        <v>210.57323418173726</v>
      </c>
      <c r="AD162" s="90">
        <f t="shared" si="130"/>
        <v>0</v>
      </c>
      <c r="AF162" s="29">
        <f t="shared" si="68"/>
        <v>229.08952039822162</v>
      </c>
      <c r="AG162" s="30">
        <f t="shared" si="69"/>
        <v>238.84488834471205</v>
      </c>
      <c r="AH162" s="32">
        <f t="shared" si="70"/>
        <v>9.7553679464904235</v>
      </c>
      <c r="AI162" s="33">
        <f t="shared" si="71"/>
        <v>4.2583213450937726E-2</v>
      </c>
      <c r="AK162" s="29">
        <f t="shared" si="59"/>
        <v>237.05373697988378</v>
      </c>
      <c r="AL162" s="30">
        <f t="shared" si="60"/>
        <v>231.93639189368005</v>
      </c>
      <c r="AM162" s="32">
        <f t="shared" si="72"/>
        <v>-5.1173450862037271</v>
      </c>
      <c r="AN162" s="33">
        <f t="shared" si="73"/>
        <v>-2.1587278696382592E-2</v>
      </c>
      <c r="AP162" s="29">
        <f t="shared" si="74"/>
        <v>216.19496913466085</v>
      </c>
      <c r="AQ162" s="30">
        <f t="shared" si="75"/>
        <v>249.92330552828932</v>
      </c>
      <c r="AR162" s="32">
        <f t="shared" si="76"/>
        <v>33.728336393628467</v>
      </c>
      <c r="AS162" s="33">
        <f t="shared" si="77"/>
        <v>0.15600888646312661</v>
      </c>
      <c r="AU162" s="31">
        <f t="shared" si="78"/>
        <v>196.8025685861723</v>
      </c>
      <c r="AV162" s="25">
        <f t="shared" si="79"/>
        <v>252.90803898805234</v>
      </c>
      <c r="AW162" s="32">
        <f t="shared" si="80"/>
        <v>56.105470401880041</v>
      </c>
      <c r="AX162" s="33">
        <f t="shared" si="81"/>
        <v>0.28508505150588825</v>
      </c>
      <c r="AZ162" s="31">
        <f t="shared" si="61"/>
        <v>192.75962519316815</v>
      </c>
      <c r="BA162" s="25">
        <f t="shared" si="62"/>
        <v>220.83083321410686</v>
      </c>
      <c r="BB162" s="32">
        <f t="shared" si="82"/>
        <v>28.071208020938712</v>
      </c>
      <c r="BC162" s="33">
        <f t="shared" si="83"/>
        <v>0.14562804836753554</v>
      </c>
      <c r="BE162" s="31">
        <f t="shared" si="84"/>
        <v>202.24881001022197</v>
      </c>
      <c r="BF162" s="25">
        <f t="shared" si="85"/>
        <v>188.30958399795767</v>
      </c>
      <c r="BG162" s="32">
        <f t="shared" si="86"/>
        <v>-13.939226012264299</v>
      </c>
      <c r="BH162" s="33">
        <f t="shared" si="87"/>
        <v>-6.8921176898691219E-2</v>
      </c>
      <c r="BJ162" s="31">
        <f t="shared" si="88"/>
        <v>190.80319290616788</v>
      </c>
      <c r="BK162" s="25">
        <f t="shared" si="89"/>
        <v>210.57323418173726</v>
      </c>
      <c r="BL162" s="32">
        <f t="shared" si="90"/>
        <v>19.770041275569383</v>
      </c>
      <c r="BM162" s="33">
        <f t="shared" si="91"/>
        <v>0.10361483460757274</v>
      </c>
      <c r="BO162" s="62"/>
      <c r="BP162" s="62"/>
      <c r="BQ162" s="62"/>
      <c r="BR162" s="63"/>
    </row>
    <row r="163" spans="1:70">
      <c r="A163" s="1"/>
      <c r="B163" s="1284"/>
      <c r="D163" s="5" t="s">
        <v>28</v>
      </c>
      <c r="E163" s="87">
        <f t="shared" ref="E163:L163" si="132">SUM(E183,E203,E223,E243,E263)</f>
        <v>136.76576512280866</v>
      </c>
      <c r="F163" s="87">
        <f t="shared" si="132"/>
        <v>139.81819922094115</v>
      </c>
      <c r="G163" s="87">
        <f t="shared" si="132"/>
        <v>145.11866343510786</v>
      </c>
      <c r="H163" s="87">
        <f t="shared" si="132"/>
        <v>145.79506542783702</v>
      </c>
      <c r="I163" s="87">
        <f t="shared" si="132"/>
        <v>152.27819519142193</v>
      </c>
      <c r="J163" s="87">
        <f t="shared" si="132"/>
        <v>152.94497921006158</v>
      </c>
      <c r="K163" s="87">
        <f t="shared" si="132"/>
        <v>160.04801538264155</v>
      </c>
      <c r="L163" s="87">
        <f t="shared" si="132"/>
        <v>156.81609030511788</v>
      </c>
      <c r="N163" s="29">
        <f t="shared" si="64"/>
        <v>133.61467611769001</v>
      </c>
      <c r="O163" s="29">
        <f t="shared" ref="O163:U163" si="133">SUM(O183,O203,O223,O243,O263)</f>
        <v>135.50028344880218</v>
      </c>
      <c r="P163" s="29">
        <f t="shared" si="133"/>
        <v>137.80943246447271</v>
      </c>
      <c r="Q163" s="29">
        <f t="shared" si="133"/>
        <v>137.86044353638059</v>
      </c>
      <c r="R163" s="29">
        <f t="shared" si="133"/>
        <v>141.19318146562318</v>
      </c>
      <c r="S163" s="29">
        <f t="shared" si="133"/>
        <v>140.44235881845282</v>
      </c>
      <c r="T163" s="29">
        <f t="shared" si="133"/>
        <v>145.48214216993097</v>
      </c>
      <c r="U163" s="29">
        <f t="shared" si="133"/>
        <v>141.12319992152425</v>
      </c>
      <c r="W163" s="30">
        <f t="shared" ref="W163:AD163" si="134">SUM(W183,W203,W223,W243,W263)</f>
        <v>114.19914369226333</v>
      </c>
      <c r="X163" s="30">
        <f t="shared" si="134"/>
        <v>130.51569579967884</v>
      </c>
      <c r="Y163" s="30">
        <f t="shared" si="56"/>
        <v>128.89647981449014</v>
      </c>
      <c r="Z163" s="30">
        <f t="shared" si="56"/>
        <v>140.48417298238974</v>
      </c>
      <c r="AA163" s="30">
        <f t="shared" si="57"/>
        <v>142.28445776924951</v>
      </c>
      <c r="AB163" s="30">
        <f t="shared" si="134"/>
        <v>155.62503251427091</v>
      </c>
      <c r="AC163" s="30">
        <f t="shared" ref="AC163" si="135">SUM(AC183,AC203,AC223,AC243,AC263)</f>
        <v>197.7890575286072</v>
      </c>
      <c r="AD163" s="90">
        <f t="shared" si="134"/>
        <v>0</v>
      </c>
      <c r="AF163" s="29">
        <f t="shared" si="68"/>
        <v>133.61467611769001</v>
      </c>
      <c r="AG163" s="30">
        <f t="shared" si="69"/>
        <v>114.19914369226333</v>
      </c>
      <c r="AH163" s="32">
        <f t="shared" si="70"/>
        <v>-19.415532425426676</v>
      </c>
      <c r="AI163" s="33">
        <f t="shared" si="71"/>
        <v>-0.14530987904596016</v>
      </c>
      <c r="AK163" s="29">
        <f t="shared" si="59"/>
        <v>135.50028344880218</v>
      </c>
      <c r="AL163" s="30">
        <f t="shared" si="60"/>
        <v>130.51569579967884</v>
      </c>
      <c r="AM163" s="32">
        <f t="shared" si="72"/>
        <v>-4.9845876491233412</v>
      </c>
      <c r="AN163" s="33">
        <f t="shared" si="73"/>
        <v>-3.6786547763988493E-2</v>
      </c>
      <c r="AP163" s="29">
        <f t="shared" si="74"/>
        <v>137.80943246447271</v>
      </c>
      <c r="AQ163" s="30">
        <f t="shared" si="75"/>
        <v>128.89647981449014</v>
      </c>
      <c r="AR163" s="32">
        <f t="shared" si="76"/>
        <v>-8.9129526499825715</v>
      </c>
      <c r="AS163" s="33">
        <f t="shared" si="77"/>
        <v>-6.4675925955070837E-2</v>
      </c>
      <c r="AU163" s="31">
        <f t="shared" si="78"/>
        <v>137.86044353638059</v>
      </c>
      <c r="AV163" s="25">
        <f t="shared" si="79"/>
        <v>140.48417298238974</v>
      </c>
      <c r="AW163" s="32">
        <f t="shared" si="80"/>
        <v>2.6237294460091505</v>
      </c>
      <c r="AX163" s="33">
        <f t="shared" si="81"/>
        <v>1.9031778650246134E-2</v>
      </c>
      <c r="AZ163" s="31">
        <f t="shared" si="61"/>
        <v>141.19318146562318</v>
      </c>
      <c r="BA163" s="25">
        <f t="shared" si="62"/>
        <v>142.28445776924951</v>
      </c>
      <c r="BB163" s="32">
        <f t="shared" si="82"/>
        <v>1.09127630362633</v>
      </c>
      <c r="BC163" s="33">
        <f t="shared" si="83"/>
        <v>7.7289589504152293E-3</v>
      </c>
      <c r="BE163" s="31">
        <f t="shared" si="84"/>
        <v>140.44235881845282</v>
      </c>
      <c r="BF163" s="25">
        <f t="shared" si="85"/>
        <v>155.62503251427091</v>
      </c>
      <c r="BG163" s="32">
        <f t="shared" si="86"/>
        <v>15.182673695818096</v>
      </c>
      <c r="BH163" s="33">
        <f t="shared" si="87"/>
        <v>0.1081060858244659</v>
      </c>
      <c r="BJ163" s="31">
        <f t="shared" si="88"/>
        <v>145.48214216993097</v>
      </c>
      <c r="BK163" s="25">
        <f t="shared" si="89"/>
        <v>197.7890575286072</v>
      </c>
      <c r="BL163" s="32">
        <f t="shared" si="90"/>
        <v>52.306915358676235</v>
      </c>
      <c r="BM163" s="33">
        <f t="shared" si="91"/>
        <v>0.35954182814808255</v>
      </c>
      <c r="BO163" s="62"/>
      <c r="BP163" s="62"/>
      <c r="BQ163" s="62"/>
      <c r="BR163" s="63"/>
    </row>
    <row r="164" spans="1:70">
      <c r="A164" s="1"/>
      <c r="B164" s="1284"/>
      <c r="D164" s="5" t="s">
        <v>173</v>
      </c>
      <c r="E164" s="87">
        <f t="shared" ref="E164:L164" si="136">SUM(E184,E204,E224,E244,E264)</f>
        <v>289.50878134839479</v>
      </c>
      <c r="F164" s="87">
        <f t="shared" si="136"/>
        <v>303.82393155335012</v>
      </c>
      <c r="G164" s="87">
        <f t="shared" si="136"/>
        <v>298.0168201671645</v>
      </c>
      <c r="H164" s="87">
        <f t="shared" si="136"/>
        <v>297.95477537088379</v>
      </c>
      <c r="I164" s="87">
        <f t="shared" si="136"/>
        <v>282.26481020870239</v>
      </c>
      <c r="J164" s="87">
        <f t="shared" si="136"/>
        <v>291.1149778749886</v>
      </c>
      <c r="K164" s="87">
        <f t="shared" si="136"/>
        <v>311.36877139795405</v>
      </c>
      <c r="L164" s="87">
        <f t="shared" si="136"/>
        <v>305.55401371345539</v>
      </c>
      <c r="N164" s="29">
        <f t="shared" si="64"/>
        <v>299.71474754714188</v>
      </c>
      <c r="O164" s="29">
        <f t="shared" ref="O164:U164" si="137">SUM(O184,O204,O224,O244,O264)</f>
        <v>307.44233745393421</v>
      </c>
      <c r="P164" s="29">
        <f t="shared" si="137"/>
        <v>296.55022625353564</v>
      </c>
      <c r="Q164" s="29">
        <f t="shared" si="137"/>
        <v>296.00092507189464</v>
      </c>
      <c r="R164" s="29">
        <f t="shared" si="137"/>
        <v>276.42965437060457</v>
      </c>
      <c r="S164" s="29">
        <f t="shared" si="137"/>
        <v>280.32664075051326</v>
      </c>
      <c r="T164" s="29">
        <f t="shared" si="137"/>
        <v>294.57925674831455</v>
      </c>
      <c r="U164" s="29">
        <f t="shared" si="137"/>
        <v>286.27075826277201</v>
      </c>
      <c r="W164" s="30">
        <f t="shared" ref="W164:AD164" si="138">SUM(W184,W204,W224,W244,W264)</f>
        <v>236.64888340812004</v>
      </c>
      <c r="X164" s="30">
        <f t="shared" si="138"/>
        <v>253.37906675650214</v>
      </c>
      <c r="Y164" s="30">
        <f t="shared" si="56"/>
        <v>303.78878529372895</v>
      </c>
      <c r="Z164" s="30">
        <f t="shared" si="56"/>
        <v>282.76395167907003</v>
      </c>
      <c r="AA164" s="30">
        <f t="shared" si="57"/>
        <v>299.65227851139917</v>
      </c>
      <c r="AB164" s="30">
        <f t="shared" si="138"/>
        <v>322.0912116861038</v>
      </c>
      <c r="AC164" s="30">
        <f t="shared" ref="AC164" si="139">SUM(AC184,AC204,AC224,AC244,AC264)</f>
        <v>295.70743642974531</v>
      </c>
      <c r="AD164" s="90">
        <f t="shared" si="138"/>
        <v>0</v>
      </c>
      <c r="AF164" s="29">
        <f t="shared" si="68"/>
        <v>299.71474754714188</v>
      </c>
      <c r="AG164" s="30">
        <f t="shared" si="69"/>
        <v>236.64888340812004</v>
      </c>
      <c r="AH164" s="32">
        <f t="shared" si="70"/>
        <v>-63.065864139021841</v>
      </c>
      <c r="AI164" s="33">
        <f t="shared" si="71"/>
        <v>-0.21041962284188989</v>
      </c>
      <c r="AK164" s="29">
        <f t="shared" si="59"/>
        <v>307.44233745393421</v>
      </c>
      <c r="AL164" s="30">
        <f t="shared" si="60"/>
        <v>253.37906675650214</v>
      </c>
      <c r="AM164" s="32">
        <f t="shared" si="72"/>
        <v>-54.063270697432074</v>
      </c>
      <c r="AN164" s="33">
        <f t="shared" si="73"/>
        <v>-0.17584848965550384</v>
      </c>
      <c r="AP164" s="29">
        <f t="shared" si="74"/>
        <v>296.55022625353564</v>
      </c>
      <c r="AQ164" s="30">
        <f t="shared" si="75"/>
        <v>303.78878529372895</v>
      </c>
      <c r="AR164" s="32">
        <f t="shared" si="76"/>
        <v>7.2385590401933086</v>
      </c>
      <c r="AS164" s="33">
        <f t="shared" si="77"/>
        <v>2.440921772895463E-2</v>
      </c>
      <c r="AU164" s="31">
        <f t="shared" si="78"/>
        <v>296.00092507189464</v>
      </c>
      <c r="AV164" s="25">
        <f t="shared" si="79"/>
        <v>282.76395167907003</v>
      </c>
      <c r="AW164" s="32">
        <f t="shared" si="80"/>
        <v>-13.236973392824609</v>
      </c>
      <c r="AX164" s="33">
        <f t="shared" si="81"/>
        <v>-4.4719364946611322E-2</v>
      </c>
      <c r="AZ164" s="31">
        <f t="shared" si="61"/>
        <v>276.42965437060457</v>
      </c>
      <c r="BA164" s="25">
        <f t="shared" si="62"/>
        <v>299.65227851139917</v>
      </c>
      <c r="BB164" s="32">
        <f t="shared" si="82"/>
        <v>23.222624140794608</v>
      </c>
      <c r="BC164" s="33">
        <f t="shared" si="83"/>
        <v>8.4009163899834094E-2</v>
      </c>
      <c r="BE164" s="31">
        <f t="shared" si="84"/>
        <v>280.32664075051326</v>
      </c>
      <c r="BF164" s="25">
        <f t="shared" si="85"/>
        <v>322.0912116861038</v>
      </c>
      <c r="BG164" s="32">
        <f t="shared" si="86"/>
        <v>41.764570935590541</v>
      </c>
      <c r="BH164" s="33">
        <f t="shared" si="87"/>
        <v>0.14898537942656837</v>
      </c>
      <c r="BJ164" s="31">
        <f t="shared" si="88"/>
        <v>294.57925674831455</v>
      </c>
      <c r="BK164" s="25">
        <f t="shared" si="89"/>
        <v>295.70743642974531</v>
      </c>
      <c r="BL164" s="32">
        <f t="shared" si="90"/>
        <v>1.1281796814307654</v>
      </c>
      <c r="BM164" s="33">
        <f t="shared" si="91"/>
        <v>3.8298001491485546E-3</v>
      </c>
      <c r="BO164" s="62"/>
      <c r="BP164" s="62"/>
      <c r="BQ164" s="62"/>
      <c r="BR164" s="63"/>
    </row>
    <row r="165" spans="1:70">
      <c r="A165" s="1"/>
      <c r="B165" s="1284"/>
      <c r="D165" s="4" t="s">
        <v>174</v>
      </c>
      <c r="E165" s="88">
        <f t="shared" ref="E165:L165" si="140">SUM(E151:E164)</f>
        <v>3210.5525261833473</v>
      </c>
      <c r="F165" s="88">
        <f t="shared" si="140"/>
        <v>3269.8846169391309</v>
      </c>
      <c r="G165" s="88">
        <f t="shared" si="140"/>
        <v>3184.5333978745289</v>
      </c>
      <c r="H165" s="88">
        <f t="shared" si="140"/>
        <v>3160.7785712147693</v>
      </c>
      <c r="I165" s="88">
        <f t="shared" si="140"/>
        <v>3160.6737028939447</v>
      </c>
      <c r="J165" s="88">
        <f t="shared" si="140"/>
        <v>3170.2268272651581</v>
      </c>
      <c r="K165" s="88">
        <f t="shared" si="140"/>
        <v>3195.0659938610252</v>
      </c>
      <c r="L165" s="88">
        <f t="shared" si="140"/>
        <v>3149.4289952661079</v>
      </c>
      <c r="M165" s="1"/>
      <c r="N165" s="81">
        <f t="shared" ref="N165:U165" si="141">SUM(N151:N164)</f>
        <v>3153.3195505028589</v>
      </c>
      <c r="O165" s="81">
        <f t="shared" si="141"/>
        <v>3167.7002553665998</v>
      </c>
      <c r="P165" s="81">
        <f t="shared" si="141"/>
        <v>3055.751700041862</v>
      </c>
      <c r="Q165" s="81">
        <f t="shared" si="141"/>
        <v>3026.6261915917971</v>
      </c>
      <c r="R165" s="81">
        <f t="shared" si="141"/>
        <v>2990.7661847648469</v>
      </c>
      <c r="S165" s="81">
        <f t="shared" si="141"/>
        <v>2979.1494640857063</v>
      </c>
      <c r="T165" s="81">
        <f t="shared" si="141"/>
        <v>2972.3870334809985</v>
      </c>
      <c r="U165" s="81">
        <f t="shared" si="141"/>
        <v>2907.3920684025916</v>
      </c>
      <c r="V165" s="1"/>
      <c r="W165" s="85">
        <f t="shared" ref="W165:AD165" si="142">SUM(W151:W164)</f>
        <v>2873.3162334509816</v>
      </c>
      <c r="X165" s="85">
        <f t="shared" si="142"/>
        <v>2885.5820988671467</v>
      </c>
      <c r="Y165" s="85">
        <f>SUM(Y151:Y164)</f>
        <v>2974.0133956587279</v>
      </c>
      <c r="Z165" s="85">
        <f>SUM(Z151:Z164)</f>
        <v>2871.5787875629144</v>
      </c>
      <c r="AA165" s="85">
        <f>SUM(AA151:AA164)</f>
        <v>2911.9690068363934</v>
      </c>
      <c r="AB165" s="85">
        <f t="shared" si="142"/>
        <v>2984.414639864428</v>
      </c>
      <c r="AC165" s="85">
        <f t="shared" ref="AC165" si="143">SUM(AC151:AC164)</f>
        <v>3087.9250838051798</v>
      </c>
      <c r="AD165" s="91">
        <f t="shared" si="142"/>
        <v>0</v>
      </c>
      <c r="AE165" s="1"/>
      <c r="AF165" s="81">
        <f t="shared" si="68"/>
        <v>3153.3195505028589</v>
      </c>
      <c r="AG165" s="85">
        <f t="shared" si="69"/>
        <v>2873.3162334509816</v>
      </c>
      <c r="AH165" s="34">
        <f t="shared" si="70"/>
        <v>-280.00331705187727</v>
      </c>
      <c r="AI165" s="35">
        <f t="shared" si="71"/>
        <v>-8.8796366041375419E-2</v>
      </c>
      <c r="AK165" s="81">
        <f t="shared" si="59"/>
        <v>3167.7002553665998</v>
      </c>
      <c r="AL165" s="85">
        <f t="shared" si="60"/>
        <v>2885.5820988671467</v>
      </c>
      <c r="AM165" s="34">
        <f t="shared" si="72"/>
        <v>-282.11815649945311</v>
      </c>
      <c r="AN165" s="35">
        <f t="shared" si="73"/>
        <v>-8.9060875005928686E-2</v>
      </c>
      <c r="AP165" s="81">
        <f t="shared" si="74"/>
        <v>3055.751700041862</v>
      </c>
      <c r="AQ165" s="85">
        <f t="shared" si="75"/>
        <v>2974.0133956587279</v>
      </c>
      <c r="AR165" s="34">
        <f t="shared" si="76"/>
        <v>-81.738304383134164</v>
      </c>
      <c r="AS165" s="35">
        <f t="shared" si="77"/>
        <v>-2.6749000706443E-2</v>
      </c>
      <c r="AU165" s="949">
        <f t="shared" si="78"/>
        <v>3026.6261915917971</v>
      </c>
      <c r="AV165" s="843">
        <f t="shared" si="79"/>
        <v>2871.5787875629144</v>
      </c>
      <c r="AW165" s="34">
        <f t="shared" si="80"/>
        <v>-155.04740402888274</v>
      </c>
      <c r="AX165" s="35">
        <f t="shared" si="81"/>
        <v>-5.1227800928841653E-2</v>
      </c>
      <c r="AZ165" s="949">
        <f t="shared" si="61"/>
        <v>2990.7661847648469</v>
      </c>
      <c r="BA165" s="843">
        <f t="shared" si="62"/>
        <v>2911.9690068363934</v>
      </c>
      <c r="BB165" s="34">
        <f t="shared" si="82"/>
        <v>-78.797177928453493</v>
      </c>
      <c r="BC165" s="35">
        <f t="shared" si="83"/>
        <v>-2.634681986504038E-2</v>
      </c>
      <c r="BE165" s="31">
        <f t="shared" si="84"/>
        <v>2979.1494640857063</v>
      </c>
      <c r="BF165" s="25">
        <f t="shared" si="85"/>
        <v>2984.414639864428</v>
      </c>
      <c r="BG165" s="32">
        <f t="shared" si="86"/>
        <v>5.2651757787216411</v>
      </c>
      <c r="BH165" s="33">
        <f t="shared" si="87"/>
        <v>1.7673419350705557E-3</v>
      </c>
      <c r="BJ165" s="31">
        <f t="shared" si="88"/>
        <v>2972.3870334809985</v>
      </c>
      <c r="BK165" s="25">
        <f t="shared" si="89"/>
        <v>3087.9250838051798</v>
      </c>
      <c r="BL165" s="32">
        <f t="shared" si="90"/>
        <v>115.53805032418131</v>
      </c>
      <c r="BM165" s="33">
        <f t="shared" si="91"/>
        <v>3.8870459675257464E-2</v>
      </c>
      <c r="BO165" s="62"/>
      <c r="BP165" s="62"/>
      <c r="BQ165" s="62"/>
      <c r="BR165" s="63"/>
    </row>
    <row r="166" spans="1:70">
      <c r="A166" s="1"/>
      <c r="B166" s="1284"/>
      <c r="D166" s="4" t="s">
        <v>724</v>
      </c>
      <c r="E166" s="88">
        <f t="shared" ref="E166:L166" si="144">E165-SUM(E154:E157)</f>
        <v>2339.7361549135394</v>
      </c>
      <c r="F166" s="88">
        <f t="shared" si="144"/>
        <v>2400.6096380157915</v>
      </c>
      <c r="G166" s="88">
        <f t="shared" si="144"/>
        <v>2357.9225256271343</v>
      </c>
      <c r="H166" s="88">
        <f t="shared" si="144"/>
        <v>2300.0031440182488</v>
      </c>
      <c r="I166" s="88">
        <f t="shared" si="144"/>
        <v>2294.4614565252687</v>
      </c>
      <c r="J166" s="88">
        <f t="shared" si="144"/>
        <v>2290.7415691984716</v>
      </c>
      <c r="K166" s="88">
        <f t="shared" si="144"/>
        <v>2290.1725391719756</v>
      </c>
      <c r="L166" s="88">
        <f t="shared" si="144"/>
        <v>2240.6617520264845</v>
      </c>
      <c r="M166" s="1"/>
      <c r="N166" s="81">
        <f t="shared" ref="N166:U166" si="145">N165-SUM(N154:N157)</f>
        <v>2282.503179233051</v>
      </c>
      <c r="O166" s="81">
        <f t="shared" si="145"/>
        <v>2298.4252764432604</v>
      </c>
      <c r="P166" s="81">
        <f t="shared" si="145"/>
        <v>2229.1408277944674</v>
      </c>
      <c r="Q166" s="81">
        <f t="shared" si="145"/>
        <v>2165.8507643952767</v>
      </c>
      <c r="R166" s="81">
        <f t="shared" si="145"/>
        <v>2124.5539383961709</v>
      </c>
      <c r="S166" s="81">
        <f t="shared" si="145"/>
        <v>2099.6642060190197</v>
      </c>
      <c r="T166" s="81">
        <f t="shared" si="145"/>
        <v>2067.4935787919489</v>
      </c>
      <c r="U166" s="81">
        <f t="shared" si="145"/>
        <v>1998.6248251629679</v>
      </c>
      <c r="V166" s="1"/>
      <c r="W166" s="85">
        <f t="shared" ref="W166:AD166" si="146">W165-SUM(W154:W157)</f>
        <v>1958.9334384279891</v>
      </c>
      <c r="X166" s="85">
        <f t="shared" si="146"/>
        <v>1997.3056912042739</v>
      </c>
      <c r="Y166" s="85">
        <f>Y165-SUM(Y154:Y157)</f>
        <v>2138.3639901557963</v>
      </c>
      <c r="Z166" s="85">
        <f>Z165-SUM(Z154:Z157)</f>
        <v>2128.3943329777985</v>
      </c>
      <c r="AA166" s="85">
        <f>AA165-SUM(AA154:AA157)</f>
        <v>2150.6770153878069</v>
      </c>
      <c r="AB166" s="85">
        <f t="shared" si="146"/>
        <v>2150.4112140357729</v>
      </c>
      <c r="AC166" s="85">
        <f t="shared" ref="AC166" si="147">AC165-SUM(AC154:AC157)</f>
        <v>2178.0819838051798</v>
      </c>
      <c r="AD166" s="91">
        <f t="shared" si="146"/>
        <v>0</v>
      </c>
      <c r="AE166" s="1"/>
      <c r="AF166" s="81">
        <f t="shared" si="68"/>
        <v>2282.503179233051</v>
      </c>
      <c r="AG166" s="85">
        <f t="shared" si="69"/>
        <v>1958.9334384279891</v>
      </c>
      <c r="AH166" s="34">
        <f t="shared" si="70"/>
        <v>-323.56974080506188</v>
      </c>
      <c r="AI166" s="35">
        <f t="shared" si="71"/>
        <v>-0.14176091571262794</v>
      </c>
      <c r="AK166" s="81">
        <f t="shared" si="59"/>
        <v>2298.4252764432604</v>
      </c>
      <c r="AL166" s="85">
        <f t="shared" si="60"/>
        <v>1997.3056912042739</v>
      </c>
      <c r="AM166" s="34">
        <f t="shared" si="72"/>
        <v>-301.11958523898647</v>
      </c>
      <c r="AN166" s="35">
        <f t="shared" si="73"/>
        <v>-0.13101125728349081</v>
      </c>
      <c r="AP166" s="81">
        <f t="shared" si="74"/>
        <v>2229.1408277944674</v>
      </c>
      <c r="AQ166" s="85">
        <f>Y166</f>
        <v>2138.3639901557963</v>
      </c>
      <c r="AR166" s="34">
        <f t="shared" si="76"/>
        <v>-90.776837638671168</v>
      </c>
      <c r="AS166" s="35">
        <f t="shared" si="77"/>
        <v>-4.0722791717240497E-2</v>
      </c>
      <c r="AU166" s="949">
        <f t="shared" si="78"/>
        <v>2165.8507643952767</v>
      </c>
      <c r="AV166" s="843">
        <f t="shared" si="79"/>
        <v>2128.3943329777985</v>
      </c>
      <c r="AW166" s="34">
        <f t="shared" si="80"/>
        <v>-37.456431417478143</v>
      </c>
      <c r="AX166" s="35">
        <f t="shared" si="81"/>
        <v>-1.7294096173766749E-2</v>
      </c>
      <c r="AZ166" s="949">
        <f t="shared" si="61"/>
        <v>2124.5539383961709</v>
      </c>
      <c r="BA166" s="843">
        <f t="shared" si="62"/>
        <v>2150.6770153878069</v>
      </c>
      <c r="BB166" s="34">
        <f t="shared" si="82"/>
        <v>26.123076991636026</v>
      </c>
      <c r="BC166" s="35">
        <f t="shared" si="83"/>
        <v>1.2295793728520904E-2</v>
      </c>
      <c r="BE166" s="31">
        <f t="shared" si="84"/>
        <v>2099.6642060190197</v>
      </c>
      <c r="BF166" s="25">
        <f t="shared" si="85"/>
        <v>2150.4112140357729</v>
      </c>
      <c r="BG166" s="32">
        <f t="shared" si="86"/>
        <v>50.747008016753171</v>
      </c>
      <c r="BH166" s="33">
        <f t="shared" si="87"/>
        <v>2.4169106598702229E-2</v>
      </c>
      <c r="BJ166" s="31">
        <f t="shared" si="88"/>
        <v>2067.4935787919489</v>
      </c>
      <c r="BK166" s="25">
        <f t="shared" si="89"/>
        <v>2178.0819838051798</v>
      </c>
      <c r="BL166" s="32">
        <f t="shared" si="90"/>
        <v>110.58840501323084</v>
      </c>
      <c r="BM166" s="33">
        <f t="shared" si="91"/>
        <v>5.3489116555248711E-2</v>
      </c>
      <c r="BO166" s="62"/>
      <c r="BP166" s="62"/>
      <c r="BQ166" s="62"/>
      <c r="BR166" s="63"/>
    </row>
    <row r="167" spans="1:70">
      <c r="A167" s="1"/>
      <c r="B167" s="1284"/>
    </row>
    <row r="168" spans="1:70">
      <c r="A168" s="1"/>
      <c r="B168" s="1284"/>
      <c r="D168" s="1" t="s">
        <v>735</v>
      </c>
      <c r="E168" s="1"/>
      <c r="N168" s="1"/>
      <c r="W168" s="1"/>
      <c r="AF168" s="1" t="s">
        <v>732</v>
      </c>
      <c r="AK168" s="1" t="s">
        <v>732</v>
      </c>
      <c r="AP168" s="1" t="s">
        <v>732</v>
      </c>
      <c r="AU168" s="1" t="s">
        <v>732</v>
      </c>
      <c r="AZ168" s="1" t="s">
        <v>736</v>
      </c>
      <c r="BE168" s="1" t="s">
        <v>732</v>
      </c>
      <c r="BJ168" s="1" t="s">
        <v>732</v>
      </c>
      <c r="BO168" s="1" t="s">
        <v>732</v>
      </c>
    </row>
    <row r="169" spans="1:70">
      <c r="A169" s="1"/>
      <c r="B169" s="1284"/>
      <c r="E169" s="1300" t="s">
        <v>733</v>
      </c>
      <c r="F169" s="1301"/>
      <c r="G169" s="1301"/>
      <c r="H169" s="1301"/>
      <c r="I169" s="1301"/>
      <c r="J169" s="1301"/>
      <c r="K169" s="1301"/>
      <c r="L169" s="1302"/>
      <c r="N169" s="245" t="s">
        <v>291</v>
      </c>
      <c r="O169" s="246"/>
      <c r="P169" s="246"/>
      <c r="Q169" s="246"/>
      <c r="R169" s="246"/>
      <c r="S169" s="246"/>
      <c r="T169" s="246"/>
      <c r="U169" s="247"/>
      <c r="W169" s="1300" t="s">
        <v>292</v>
      </c>
      <c r="X169" s="1301"/>
      <c r="Y169" s="1301"/>
      <c r="Z169" s="1301"/>
      <c r="AA169" s="1301"/>
      <c r="AB169" s="1301"/>
      <c r="AC169" s="1301"/>
      <c r="AD169" s="1302"/>
      <c r="AF169" s="102" t="s">
        <v>297</v>
      </c>
      <c r="AG169" s="102" t="s">
        <v>298</v>
      </c>
      <c r="AH169" s="1304" t="s">
        <v>602</v>
      </c>
      <c r="AI169" s="1304"/>
      <c r="AK169" s="102" t="s">
        <v>297</v>
      </c>
      <c r="AL169" s="102" t="s">
        <v>298</v>
      </c>
      <c r="AM169" s="1304" t="s">
        <v>602</v>
      </c>
      <c r="AN169" s="1304"/>
      <c r="AP169" s="6" t="s">
        <v>297</v>
      </c>
      <c r="AQ169" s="5" t="s">
        <v>298</v>
      </c>
      <c r="AR169" s="1303" t="s">
        <v>602</v>
      </c>
      <c r="AS169" s="1303"/>
      <c r="AU169" s="6" t="s">
        <v>297</v>
      </c>
      <c r="AV169" s="5" t="s">
        <v>298</v>
      </c>
      <c r="AW169" s="1303" t="s">
        <v>602</v>
      </c>
      <c r="AX169" s="1303"/>
      <c r="AZ169" s="6" t="s">
        <v>297</v>
      </c>
      <c r="BA169" s="5" t="s">
        <v>298</v>
      </c>
      <c r="BB169" s="1303" t="s">
        <v>602</v>
      </c>
      <c r="BC169" s="1303"/>
      <c r="BE169" s="6" t="s">
        <v>297</v>
      </c>
      <c r="BF169" s="5" t="s">
        <v>298</v>
      </c>
      <c r="BG169" s="1082" t="s">
        <v>602</v>
      </c>
      <c r="BH169" s="1082"/>
      <c r="BJ169" s="6" t="s">
        <v>297</v>
      </c>
      <c r="BK169" s="5" t="s">
        <v>298</v>
      </c>
      <c r="BL169" s="1082" t="s">
        <v>602</v>
      </c>
      <c r="BM169" s="1082"/>
      <c r="BO169" s="6" t="s">
        <v>297</v>
      </c>
      <c r="BP169" s="5" t="s">
        <v>298</v>
      </c>
      <c r="BQ169" s="1303" t="s">
        <v>602</v>
      </c>
      <c r="BR169" s="1303"/>
    </row>
    <row r="170" spans="1:70">
      <c r="A170" s="1"/>
      <c r="B170" s="1284"/>
      <c r="E170" s="196" t="s">
        <v>137</v>
      </c>
      <c r="F170" s="102" t="s">
        <v>138</v>
      </c>
      <c r="G170" s="102" t="s">
        <v>139</v>
      </c>
      <c r="H170" s="102" t="s">
        <v>140</v>
      </c>
      <c r="I170" s="102" t="s">
        <v>141</v>
      </c>
      <c r="J170" s="102" t="s">
        <v>126</v>
      </c>
      <c r="K170" s="102" t="s">
        <v>142</v>
      </c>
      <c r="L170" s="197" t="s">
        <v>143</v>
      </c>
      <c r="N170" s="196" t="s">
        <v>137</v>
      </c>
      <c r="O170" s="102" t="s">
        <v>138</v>
      </c>
      <c r="P170" s="102" t="s">
        <v>139</v>
      </c>
      <c r="Q170" s="102" t="s">
        <v>140</v>
      </c>
      <c r="R170" s="102" t="s">
        <v>141</v>
      </c>
      <c r="S170" s="102" t="s">
        <v>126</v>
      </c>
      <c r="T170" s="102" t="s">
        <v>142</v>
      </c>
      <c r="U170" s="197" t="s">
        <v>143</v>
      </c>
      <c r="W170" s="196" t="s">
        <v>137</v>
      </c>
      <c r="X170" s="102" t="s">
        <v>138</v>
      </c>
      <c r="Y170" s="102" t="s">
        <v>139</v>
      </c>
      <c r="Z170" s="102" t="s">
        <v>140</v>
      </c>
      <c r="AA170" s="102" t="s">
        <v>141</v>
      </c>
      <c r="AB170" s="102" t="s">
        <v>126</v>
      </c>
      <c r="AC170" s="102" t="s">
        <v>142</v>
      </c>
      <c r="AD170" s="197" t="s">
        <v>143</v>
      </c>
      <c r="AF170" s="102" t="s">
        <v>734</v>
      </c>
      <c r="AG170" s="102" t="s">
        <v>734</v>
      </c>
      <c r="AH170" s="102" t="s">
        <v>734</v>
      </c>
      <c r="AI170" s="102" t="s">
        <v>606</v>
      </c>
      <c r="AK170" s="102" t="s">
        <v>734</v>
      </c>
      <c r="AL170" s="102" t="s">
        <v>734</v>
      </c>
      <c r="AM170" s="102" t="s">
        <v>734</v>
      </c>
      <c r="AN170" s="102" t="s">
        <v>606</v>
      </c>
      <c r="AP170" s="5" t="s">
        <v>734</v>
      </c>
      <c r="AQ170" s="5" t="s">
        <v>734</v>
      </c>
      <c r="AR170" s="5" t="s">
        <v>734</v>
      </c>
      <c r="AS170" s="5" t="s">
        <v>606</v>
      </c>
      <c r="AU170" s="5" t="s">
        <v>734</v>
      </c>
      <c r="AV170" s="5" t="s">
        <v>734</v>
      </c>
      <c r="AW170" s="5" t="s">
        <v>734</v>
      </c>
      <c r="AX170" s="5" t="s">
        <v>606</v>
      </c>
      <c r="AZ170" s="5" t="s">
        <v>734</v>
      </c>
      <c r="BA170" s="5" t="s">
        <v>734</v>
      </c>
      <c r="BB170" s="5" t="s">
        <v>734</v>
      </c>
      <c r="BC170" s="5" t="s">
        <v>606</v>
      </c>
      <c r="BE170" s="5" t="s">
        <v>734</v>
      </c>
      <c r="BF170" s="5" t="s">
        <v>734</v>
      </c>
      <c r="BG170" s="5" t="s">
        <v>734</v>
      </c>
      <c r="BH170" s="5" t="s">
        <v>606</v>
      </c>
      <c r="BJ170" s="5" t="s">
        <v>734</v>
      </c>
      <c r="BK170" s="5" t="s">
        <v>734</v>
      </c>
      <c r="BL170" s="5" t="s">
        <v>734</v>
      </c>
      <c r="BM170" s="5" t="s">
        <v>606</v>
      </c>
      <c r="BO170" s="5" t="s">
        <v>734</v>
      </c>
      <c r="BP170" s="5" t="s">
        <v>734</v>
      </c>
      <c r="BQ170" s="5" t="s">
        <v>734</v>
      </c>
      <c r="BR170" s="5" t="s">
        <v>606</v>
      </c>
    </row>
    <row r="171" spans="1:70">
      <c r="A171" s="1"/>
      <c r="B171" s="1284"/>
      <c r="D171" s="5" t="s">
        <v>161</v>
      </c>
      <c r="E171" s="87">
        <f>SUM(E294,E314,E334)</f>
        <v>19.149140669864664</v>
      </c>
      <c r="F171" s="87">
        <f t="shared" ref="F171:L171" si="148">SUM(F294,F314,F334)</f>
        <v>24.426874087401082</v>
      </c>
      <c r="G171" s="87">
        <f t="shared" si="148"/>
        <v>16.70142247514924</v>
      </c>
      <c r="H171" s="87">
        <f t="shared" si="148"/>
        <v>21.931227378767169</v>
      </c>
      <c r="I171" s="87">
        <f t="shared" si="148"/>
        <v>21.099598692702948</v>
      </c>
      <c r="J171" s="87">
        <f t="shared" si="148"/>
        <v>23.450908584800743</v>
      </c>
      <c r="K171" s="87">
        <f t="shared" si="148"/>
        <v>31.792584953214774</v>
      </c>
      <c r="L171" s="87">
        <f t="shared" si="148"/>
        <v>28.439745185014679</v>
      </c>
      <c r="N171" s="29">
        <f>SUM(N294,N314,N334)</f>
        <v>18.907768256472789</v>
      </c>
      <c r="O171" s="29">
        <f t="shared" ref="O171:U171" si="149">SUM(O294,O314,O334)</f>
        <v>23.656020231078646</v>
      </c>
      <c r="P171" s="29">
        <f t="shared" si="149"/>
        <v>15.815201826564616</v>
      </c>
      <c r="Q171" s="29">
        <f t="shared" si="149"/>
        <v>20.471311905524374</v>
      </c>
      <c r="R171" s="29">
        <f t="shared" si="149"/>
        <v>19.294219605170674</v>
      </c>
      <c r="S171" s="29">
        <f t="shared" si="149"/>
        <v>20.949276826893804</v>
      </c>
      <c r="T171" s="29">
        <f t="shared" si="149"/>
        <v>28.2503607646711</v>
      </c>
      <c r="U171" s="29">
        <f t="shared" si="149"/>
        <v>24.656138647713092</v>
      </c>
      <c r="W171" s="30">
        <f>SUM(W294,W314,W334)</f>
        <v>12.741511752970393</v>
      </c>
      <c r="X171" s="30">
        <f t="shared" ref="X171:AD171" si="150">SUM(X294,X314,X334)</f>
        <v>3.3105205398564461</v>
      </c>
      <c r="Y171" s="30">
        <f t="shared" ref="Y171:Z184" si="151">SUM(Y294,Y314,Y334)</f>
        <v>4.4338886261789732</v>
      </c>
      <c r="Z171" s="30">
        <f t="shared" si="151"/>
        <v>7.9958287760851254</v>
      </c>
      <c r="AA171" s="30">
        <f t="shared" ref="AA171:AA184" si="152">SUM(AA294,AA314,AA334)</f>
        <v>14.917299167771645</v>
      </c>
      <c r="AB171" s="30">
        <f t="shared" si="150"/>
        <v>17.784778971018106</v>
      </c>
      <c r="AC171" s="30">
        <f t="shared" ref="AC171" si="153">SUM(AC294,AC314,AC334)</f>
        <v>26.966661558908939</v>
      </c>
      <c r="AD171" s="90">
        <f t="shared" si="150"/>
        <v>0</v>
      </c>
      <c r="AF171" s="29">
        <f>N171</f>
        <v>18.907768256472789</v>
      </c>
      <c r="AG171" s="30">
        <f>W171</f>
        <v>12.741511752970393</v>
      </c>
      <c r="AH171" s="32">
        <f>AG171-AF171</f>
        <v>-6.166256503502396</v>
      </c>
      <c r="AI171" s="33">
        <f>AH171/AF171</f>
        <v>-0.32612291518812492</v>
      </c>
      <c r="AK171" s="29">
        <f t="shared" ref="AK171:AK186" si="154">O171</f>
        <v>23.656020231078646</v>
      </c>
      <c r="AL171" s="30">
        <f t="shared" ref="AL171:AL186" si="155">X171</f>
        <v>3.3105205398564461</v>
      </c>
      <c r="AM171" s="32">
        <f>AL171-AK171</f>
        <v>-20.345499691222201</v>
      </c>
      <c r="AN171" s="33">
        <f>AM171/AK171</f>
        <v>-0.86005589665893289</v>
      </c>
      <c r="AP171" s="29">
        <f>P171</f>
        <v>15.815201826564616</v>
      </c>
      <c r="AQ171" s="30">
        <f>Y171</f>
        <v>4.4338886261789732</v>
      </c>
      <c r="AR171" s="32">
        <f>AQ171-AP171</f>
        <v>-11.381313200385643</v>
      </c>
      <c r="AS171" s="33">
        <f>AR171/AP171</f>
        <v>-0.71964387967964971</v>
      </c>
      <c r="AU171" s="31">
        <f>Q171</f>
        <v>20.471311905524374</v>
      </c>
      <c r="AV171" s="25">
        <f>Z171</f>
        <v>7.9958287760851254</v>
      </c>
      <c r="AW171" s="32">
        <f>AV171-AU171</f>
        <v>-12.475483129439247</v>
      </c>
      <c r="AX171" s="33">
        <f>AW171/AU171</f>
        <v>-0.6094129769022093</v>
      </c>
      <c r="AZ171" s="31">
        <f t="shared" ref="AZ171:AZ186" si="156">R171</f>
        <v>19.294219605170674</v>
      </c>
      <c r="BA171" s="25">
        <f t="shared" ref="BA171:BA186" si="157">AA171</f>
        <v>14.917299167771645</v>
      </c>
      <c r="BB171" s="32">
        <f>BA171-AZ171</f>
        <v>-4.3769204373990291</v>
      </c>
      <c r="BC171" s="33">
        <f>BB171/AZ171</f>
        <v>-0.22685138486897155</v>
      </c>
      <c r="BE171" s="31">
        <f>S171</f>
        <v>20.949276826893804</v>
      </c>
      <c r="BF171" s="25">
        <f>AB171</f>
        <v>17.784778971018106</v>
      </c>
      <c r="BG171" s="32">
        <f>BF171-BE171</f>
        <v>-3.1644978558756982</v>
      </c>
      <c r="BH171" s="33">
        <f>BG171/BE171</f>
        <v>-0.15105523126283998</v>
      </c>
      <c r="BJ171" s="31">
        <f t="shared" ref="BJ171" si="158">T171</f>
        <v>28.2503607646711</v>
      </c>
      <c r="BK171" s="25">
        <f>AC171</f>
        <v>26.966661558908939</v>
      </c>
      <c r="BL171" s="32">
        <f>BK171-BJ171</f>
        <v>-1.2836992057621615</v>
      </c>
      <c r="BM171" s="33">
        <f>BL171/BJ171</f>
        <v>-4.5440099560339425E-2</v>
      </c>
      <c r="BO171" s="62"/>
      <c r="BP171" s="62"/>
      <c r="BQ171" s="62"/>
      <c r="BR171" s="63"/>
    </row>
    <row r="172" spans="1:70">
      <c r="A172" s="1"/>
      <c r="B172" s="1284"/>
      <c r="D172" s="5" t="s">
        <v>162</v>
      </c>
      <c r="E172" s="87">
        <f t="shared" ref="E172:L172" si="159">SUM(E295,E315,E335)</f>
        <v>26.346402944582387</v>
      </c>
      <c r="F172" s="87">
        <f t="shared" si="159"/>
        <v>23.082545359572222</v>
      </c>
      <c r="G172" s="87">
        <f t="shared" si="159"/>
        <v>19.41001305715972</v>
      </c>
      <c r="H172" s="87">
        <f t="shared" si="159"/>
        <v>18.509358461487203</v>
      </c>
      <c r="I172" s="87">
        <f t="shared" si="159"/>
        <v>22.976883206246406</v>
      </c>
      <c r="J172" s="87">
        <f t="shared" si="159"/>
        <v>19.214036175891756</v>
      </c>
      <c r="K172" s="87">
        <f t="shared" si="159"/>
        <v>11.87346634856922</v>
      </c>
      <c r="L172" s="87">
        <f t="shared" si="159"/>
        <v>11.583197750625363</v>
      </c>
      <c r="N172" s="29">
        <f t="shared" ref="N172:N184" si="160">SUM(N295,N315,N335)</f>
        <v>23.992841666447948</v>
      </c>
      <c r="O172" s="29">
        <f t="shared" ref="O172:U184" si="161">SUM(O295,O315,O335)</f>
        <v>20.873078057855277</v>
      </c>
      <c r="P172" s="29">
        <f t="shared" si="161"/>
        <v>17.416685712852502</v>
      </c>
      <c r="Q172" s="29">
        <f t="shared" si="161"/>
        <v>16.490148723831258</v>
      </c>
      <c r="R172" s="29">
        <f t="shared" si="161"/>
        <v>20.306493929939727</v>
      </c>
      <c r="S172" s="29">
        <f t="shared" si="161"/>
        <v>16.865956479636296</v>
      </c>
      <c r="T172" s="29">
        <f t="shared" si="161"/>
        <v>10.362960602837516</v>
      </c>
      <c r="U172" s="29">
        <f t="shared" si="161"/>
        <v>10.037100401997725</v>
      </c>
      <c r="W172" s="30">
        <f t="shared" ref="W172:AD172" si="162">SUM(W295,W315,W335)</f>
        <v>19.759211601816251</v>
      </c>
      <c r="X172" s="30">
        <f t="shared" si="162"/>
        <v>14.438675886028397</v>
      </c>
      <c r="Y172" s="30">
        <f t="shared" si="151"/>
        <v>11.175936075183852</v>
      </c>
      <c r="Z172" s="30">
        <f t="shared" si="151"/>
        <v>10.344485757329593</v>
      </c>
      <c r="AA172" s="30">
        <f t="shared" si="152"/>
        <v>10.859672966078012</v>
      </c>
      <c r="AB172" s="30">
        <f t="shared" si="162"/>
        <v>11.98446649114884</v>
      </c>
      <c r="AC172" s="30">
        <f t="shared" ref="AC172" si="163">SUM(AC295,AC315,AC335)</f>
        <v>13.045304059160625</v>
      </c>
      <c r="AD172" s="90">
        <f t="shared" si="162"/>
        <v>0</v>
      </c>
      <c r="AF172" s="29">
        <f t="shared" ref="AF172:AF186" si="164">N172</f>
        <v>23.992841666447948</v>
      </c>
      <c r="AG172" s="30">
        <f t="shared" ref="AG172:AG186" si="165">W172</f>
        <v>19.759211601816251</v>
      </c>
      <c r="AH172" s="32">
        <f t="shared" ref="AH172:AH186" si="166">AG172-AF172</f>
        <v>-4.2336300646316971</v>
      </c>
      <c r="AI172" s="33">
        <f t="shared" ref="AI172:AI186" si="167">AH172/AF172</f>
        <v>-0.17645388251580416</v>
      </c>
      <c r="AK172" s="29">
        <f t="shared" si="154"/>
        <v>20.873078057855277</v>
      </c>
      <c r="AL172" s="30">
        <f t="shared" si="155"/>
        <v>14.438675886028397</v>
      </c>
      <c r="AM172" s="32">
        <f t="shared" ref="AM172:AM186" si="168">AL172-AK172</f>
        <v>-6.4344021718268802</v>
      </c>
      <c r="AN172" s="33">
        <f t="shared" ref="AN172:AN186" si="169">AM172/AK172</f>
        <v>-0.30826321609070911</v>
      </c>
      <c r="AP172" s="29">
        <f t="shared" ref="AP172:AP186" si="170">P172</f>
        <v>17.416685712852502</v>
      </c>
      <c r="AQ172" s="30">
        <f t="shared" ref="AQ172:AQ185" si="171">Y172</f>
        <v>11.175936075183852</v>
      </c>
      <c r="AR172" s="32">
        <f t="shared" ref="AR172:AR186" si="172">AQ172-AP172</f>
        <v>-6.2407496376686495</v>
      </c>
      <c r="AS172" s="33">
        <f t="shared" ref="AS172:AS186" si="173">AR172/AP172</f>
        <v>-0.35832016151404394</v>
      </c>
      <c r="AU172" s="31">
        <f t="shared" ref="AU172:AU186" si="174">Q172</f>
        <v>16.490148723831258</v>
      </c>
      <c r="AV172" s="25">
        <f t="shared" ref="AV172:AV186" si="175">Z172</f>
        <v>10.344485757329593</v>
      </c>
      <c r="AW172" s="32">
        <f t="shared" ref="AW172:AW186" si="176">AV172-AU172</f>
        <v>-6.1456629665016642</v>
      </c>
      <c r="AX172" s="33">
        <f t="shared" ref="AX172:AX186" si="177">AW172/AU172</f>
        <v>-0.37268693384311724</v>
      </c>
      <c r="AZ172" s="31">
        <f t="shared" si="156"/>
        <v>20.306493929939727</v>
      </c>
      <c r="BA172" s="25">
        <f t="shared" si="157"/>
        <v>10.859672966078012</v>
      </c>
      <c r="BB172" s="32">
        <f t="shared" ref="BB172:BB186" si="178">BA172-AZ172</f>
        <v>-9.4468209638617147</v>
      </c>
      <c r="BC172" s="33">
        <f t="shared" ref="BC172:BC186" si="179">BB172/AZ172</f>
        <v>-0.4652118182712674</v>
      </c>
      <c r="BE172" s="31">
        <f t="shared" ref="BE172:BE186" si="180">S172</f>
        <v>16.865956479636296</v>
      </c>
      <c r="BF172" s="25">
        <f t="shared" ref="BF172:BF186" si="181">AB172</f>
        <v>11.98446649114884</v>
      </c>
      <c r="BG172" s="32">
        <f t="shared" ref="BG172:BG186" si="182">BF172-BE172</f>
        <v>-4.8814899884874556</v>
      </c>
      <c r="BH172" s="33">
        <f t="shared" ref="BH172:BH186" si="183">BG172/BE172</f>
        <v>-0.28942858914531733</v>
      </c>
      <c r="BJ172" s="31">
        <f>T172</f>
        <v>10.362960602837516</v>
      </c>
      <c r="BK172" s="25">
        <f>AC172</f>
        <v>13.045304059160625</v>
      </c>
      <c r="BL172" s="32">
        <f>BK172-BJ172</f>
        <v>2.6823434563231086</v>
      </c>
      <c r="BM172" s="33">
        <f>BL172/BJ172</f>
        <v>0.25883949183292732</v>
      </c>
      <c r="BO172" s="62"/>
      <c r="BP172" s="62"/>
      <c r="BQ172" s="62"/>
      <c r="BR172" s="63"/>
    </row>
    <row r="173" spans="1:70">
      <c r="A173" s="1"/>
      <c r="B173" s="1284"/>
      <c r="D173" s="5" t="s">
        <v>163</v>
      </c>
      <c r="E173" s="87">
        <f t="shared" ref="E173:L173" si="184">SUM(E296,E316,E336)</f>
        <v>10.65462557260277</v>
      </c>
      <c r="F173" s="87">
        <f t="shared" si="184"/>
        <v>13.831804273973974</v>
      </c>
      <c r="G173" s="87">
        <f t="shared" si="184"/>
        <v>14.415180594959699</v>
      </c>
      <c r="H173" s="87">
        <f t="shared" si="184"/>
        <v>19.677542136043151</v>
      </c>
      <c r="I173" s="87">
        <f t="shared" si="184"/>
        <v>25.961540141862596</v>
      </c>
      <c r="J173" s="87">
        <f t="shared" si="184"/>
        <v>21.30828288259287</v>
      </c>
      <c r="K173" s="87">
        <f t="shared" si="184"/>
        <v>16.760419726749081</v>
      </c>
      <c r="L173" s="87">
        <f t="shared" si="184"/>
        <v>20.024470498538157</v>
      </c>
      <c r="N173" s="29">
        <f t="shared" si="160"/>
        <v>10.252294913106656</v>
      </c>
      <c r="O173" s="29">
        <f t="shared" si="161"/>
        <v>13.195094792287104</v>
      </c>
      <c r="P173" s="29">
        <f t="shared" si="161"/>
        <v>13.645119900903419</v>
      </c>
      <c r="Q173" s="29">
        <f t="shared" si="161"/>
        <v>18.449660145435352</v>
      </c>
      <c r="R173" s="29">
        <f t="shared" si="161"/>
        <v>24.123992575760212</v>
      </c>
      <c r="S173" s="29">
        <f t="shared" si="161"/>
        <v>19.668049360032903</v>
      </c>
      <c r="T173" s="29">
        <f t="shared" si="161"/>
        <v>15.367799917816409</v>
      </c>
      <c r="U173" s="29">
        <f t="shared" si="161"/>
        <v>18.201060207646538</v>
      </c>
      <c r="W173" s="30">
        <f t="shared" ref="W173:AD173" si="185">SUM(W296,W316,W336)</f>
        <v>17.537693801634909</v>
      </c>
      <c r="X173" s="30">
        <f t="shared" si="185"/>
        <v>11.460269469474282</v>
      </c>
      <c r="Y173" s="30">
        <f t="shared" si="151"/>
        <v>10.11837936803896</v>
      </c>
      <c r="Z173" s="30">
        <f t="shared" si="151"/>
        <v>8.7512618809738161</v>
      </c>
      <c r="AA173" s="30">
        <f t="shared" si="152"/>
        <v>8.4479790661391654</v>
      </c>
      <c r="AB173" s="30">
        <f t="shared" si="185"/>
        <v>9.6871765547208355</v>
      </c>
      <c r="AC173" s="30">
        <f t="shared" ref="AC173" si="186">SUM(AC296,AC316,AC336)</f>
        <v>14.07212031330908</v>
      </c>
      <c r="AD173" s="90">
        <f t="shared" si="185"/>
        <v>0</v>
      </c>
      <c r="AF173" s="29">
        <f t="shared" si="164"/>
        <v>10.252294913106656</v>
      </c>
      <c r="AG173" s="30">
        <f t="shared" si="165"/>
        <v>17.537693801634909</v>
      </c>
      <c r="AH173" s="32">
        <f t="shared" si="166"/>
        <v>7.2853988885282526</v>
      </c>
      <c r="AI173" s="33">
        <f t="shared" si="167"/>
        <v>0.71061152164229213</v>
      </c>
      <c r="AK173" s="29">
        <f t="shared" si="154"/>
        <v>13.195094792287104</v>
      </c>
      <c r="AL173" s="30">
        <f t="shared" si="155"/>
        <v>11.460269469474282</v>
      </c>
      <c r="AM173" s="32">
        <f t="shared" si="168"/>
        <v>-1.7348253228128225</v>
      </c>
      <c r="AN173" s="33">
        <f t="shared" si="169"/>
        <v>-0.1314750178094117</v>
      </c>
      <c r="AP173" s="29">
        <f t="shared" si="170"/>
        <v>13.645119900903419</v>
      </c>
      <c r="AQ173" s="30">
        <f t="shared" si="171"/>
        <v>10.11837936803896</v>
      </c>
      <c r="AR173" s="32">
        <f t="shared" si="172"/>
        <v>-3.5267405328644585</v>
      </c>
      <c r="AS173" s="33">
        <f t="shared" si="173"/>
        <v>-0.25846167409866139</v>
      </c>
      <c r="AU173" s="31">
        <f t="shared" si="174"/>
        <v>18.449660145435352</v>
      </c>
      <c r="AV173" s="25">
        <f t="shared" si="175"/>
        <v>8.7512618809738161</v>
      </c>
      <c r="AW173" s="32">
        <f t="shared" si="176"/>
        <v>-9.6983982644615363</v>
      </c>
      <c r="AX173" s="33">
        <f t="shared" si="177"/>
        <v>-0.52566812548365704</v>
      </c>
      <c r="AZ173" s="31">
        <f t="shared" si="156"/>
        <v>24.123992575760212</v>
      </c>
      <c r="BA173" s="25">
        <f t="shared" si="157"/>
        <v>8.4479790661391654</v>
      </c>
      <c r="BB173" s="32">
        <f t="shared" si="178"/>
        <v>-15.676013509621047</v>
      </c>
      <c r="BC173" s="33">
        <f t="shared" si="179"/>
        <v>-0.64981007850965367</v>
      </c>
      <c r="BE173" s="31">
        <f t="shared" si="180"/>
        <v>19.668049360032903</v>
      </c>
      <c r="BF173" s="25">
        <f t="shared" si="181"/>
        <v>9.6871765547208355</v>
      </c>
      <c r="BG173" s="32">
        <f t="shared" si="182"/>
        <v>-9.9808728053120674</v>
      </c>
      <c r="BH173" s="33">
        <f t="shared" si="183"/>
        <v>-0.50746632889756849</v>
      </c>
      <c r="BJ173" s="31">
        <f t="shared" ref="BJ173:BJ186" si="187">T173</f>
        <v>15.367799917816409</v>
      </c>
      <c r="BK173" s="25">
        <f t="shared" ref="BK173:BK186" si="188">AC173</f>
        <v>14.07212031330908</v>
      </c>
      <c r="BL173" s="32">
        <f t="shared" ref="BL173:BL186" si="189">BK173-BJ173</f>
        <v>-1.2956796045073293</v>
      </c>
      <c r="BM173" s="33">
        <f t="shared" ref="BM173:BM186" si="190">BL173/BJ173</f>
        <v>-8.4311327023798913E-2</v>
      </c>
      <c r="BO173" s="62"/>
      <c r="BP173" s="62"/>
      <c r="BQ173" s="62"/>
      <c r="BR173" s="63"/>
    </row>
    <row r="174" spans="1:70">
      <c r="A174" s="1"/>
      <c r="B174" s="1284"/>
      <c r="D174" s="5" t="s">
        <v>164</v>
      </c>
      <c r="E174" s="87">
        <f t="shared" ref="E174:L174" si="191">SUM(E297,E317,E337)</f>
        <v>30.155882005311611</v>
      </c>
      <c r="F174" s="87">
        <f t="shared" si="191"/>
        <v>31.276003808205296</v>
      </c>
      <c r="G174" s="87">
        <f t="shared" si="191"/>
        <v>29.785853574324811</v>
      </c>
      <c r="H174" s="87">
        <f t="shared" si="191"/>
        <v>35.362717761892775</v>
      </c>
      <c r="I174" s="87">
        <f t="shared" si="191"/>
        <v>38.320863016977597</v>
      </c>
      <c r="J174" s="87">
        <f t="shared" si="191"/>
        <v>34.611003320287111</v>
      </c>
      <c r="K174" s="87">
        <f t="shared" si="191"/>
        <v>39.543791261602891</v>
      </c>
      <c r="L174" s="87">
        <f t="shared" si="191"/>
        <v>44.836324036815199</v>
      </c>
      <c r="N174" s="29">
        <f t="shared" si="160"/>
        <v>30.155882005311611</v>
      </c>
      <c r="O174" s="29">
        <f t="shared" si="161"/>
        <v>31.276003808205296</v>
      </c>
      <c r="P174" s="29">
        <f t="shared" si="161"/>
        <v>29.785853574324811</v>
      </c>
      <c r="Q174" s="29">
        <f t="shared" si="161"/>
        <v>35.362717761892775</v>
      </c>
      <c r="R174" s="29">
        <f t="shared" si="161"/>
        <v>38.320863016977597</v>
      </c>
      <c r="S174" s="29">
        <f t="shared" si="161"/>
        <v>34.611003320287111</v>
      </c>
      <c r="T174" s="29">
        <f t="shared" si="161"/>
        <v>39.543791261602891</v>
      </c>
      <c r="U174" s="29">
        <f t="shared" si="161"/>
        <v>44.836324036815199</v>
      </c>
      <c r="W174" s="30">
        <f t="shared" ref="W174:AD174" si="192">SUM(W297,W317,W337)</f>
        <v>41.044363597537711</v>
      </c>
      <c r="X174" s="30">
        <f t="shared" si="192"/>
        <v>21.481705225063401</v>
      </c>
      <c r="Y174" s="30">
        <f t="shared" si="151"/>
        <v>19.889537005834679</v>
      </c>
      <c r="Z174" s="30">
        <f t="shared" si="151"/>
        <v>12.862554835726488</v>
      </c>
      <c r="AA174" s="30">
        <f t="shared" si="152"/>
        <v>13.594761759140113</v>
      </c>
      <c r="AB174" s="30">
        <f t="shared" si="192"/>
        <v>43.449369196197992</v>
      </c>
      <c r="AC174" s="30">
        <f t="shared" ref="AC174" si="193">SUM(AC297,AC317,AC337)</f>
        <v>64.671000000000006</v>
      </c>
      <c r="AD174" s="90">
        <f t="shared" si="192"/>
        <v>0</v>
      </c>
      <c r="AF174" s="29">
        <f t="shared" si="164"/>
        <v>30.155882005311611</v>
      </c>
      <c r="AG174" s="30">
        <f t="shared" si="165"/>
        <v>41.044363597537711</v>
      </c>
      <c r="AH174" s="32">
        <f t="shared" si="166"/>
        <v>10.8884815922261</v>
      </c>
      <c r="AI174" s="33">
        <f t="shared" si="167"/>
        <v>0.36107322579084966</v>
      </c>
      <c r="AK174" s="29">
        <f t="shared" si="154"/>
        <v>31.276003808205296</v>
      </c>
      <c r="AL174" s="30">
        <f t="shared" si="155"/>
        <v>21.481705225063401</v>
      </c>
      <c r="AM174" s="32">
        <f t="shared" si="168"/>
        <v>-9.7942985831418952</v>
      </c>
      <c r="AN174" s="33">
        <f t="shared" si="169"/>
        <v>-0.31315696989947128</v>
      </c>
      <c r="AP174" s="29">
        <f t="shared" si="170"/>
        <v>29.785853574324811</v>
      </c>
      <c r="AQ174" s="30">
        <f t="shared" si="171"/>
        <v>19.889537005834679</v>
      </c>
      <c r="AR174" s="32">
        <f t="shared" si="172"/>
        <v>-9.896316568490132</v>
      </c>
      <c r="AS174" s="33">
        <f t="shared" si="173"/>
        <v>-0.33224888263805491</v>
      </c>
      <c r="AU174" s="31">
        <f t="shared" si="174"/>
        <v>35.362717761892775</v>
      </c>
      <c r="AV174" s="25">
        <f t="shared" si="175"/>
        <v>12.862554835726488</v>
      </c>
      <c r="AW174" s="32">
        <f t="shared" si="176"/>
        <v>-22.500162926166286</v>
      </c>
      <c r="AX174" s="33">
        <f t="shared" si="177"/>
        <v>-0.63626792142126276</v>
      </c>
      <c r="AZ174" s="31">
        <f t="shared" si="156"/>
        <v>38.320863016977597</v>
      </c>
      <c r="BA174" s="25">
        <f t="shared" si="157"/>
        <v>13.594761759140113</v>
      </c>
      <c r="BB174" s="32">
        <f t="shared" si="178"/>
        <v>-24.726101257837485</v>
      </c>
      <c r="BC174" s="33">
        <f t="shared" si="179"/>
        <v>-0.64523863272293436</v>
      </c>
      <c r="BE174" s="31">
        <f t="shared" si="180"/>
        <v>34.611003320287111</v>
      </c>
      <c r="BF174" s="25">
        <f t="shared" si="181"/>
        <v>43.449369196197992</v>
      </c>
      <c r="BG174" s="32">
        <f t="shared" si="182"/>
        <v>8.8383658759108812</v>
      </c>
      <c r="BH174" s="33">
        <f t="shared" si="183"/>
        <v>0.25536289122050115</v>
      </c>
      <c r="BJ174" s="31">
        <f t="shared" si="187"/>
        <v>39.543791261602891</v>
      </c>
      <c r="BK174" s="25">
        <f t="shared" si="188"/>
        <v>64.671000000000006</v>
      </c>
      <c r="BL174" s="32">
        <f t="shared" si="189"/>
        <v>25.127208738397115</v>
      </c>
      <c r="BM174" s="33">
        <f t="shared" si="190"/>
        <v>0.63542740685048305</v>
      </c>
      <c r="BO174" s="62"/>
      <c r="BP174" s="62"/>
      <c r="BQ174" s="62"/>
      <c r="BR174" s="63"/>
    </row>
    <row r="175" spans="1:70">
      <c r="A175" s="1"/>
      <c r="B175" s="1284"/>
      <c r="D175" s="5" t="s">
        <v>165</v>
      </c>
      <c r="E175" s="87">
        <f t="shared" ref="E175:L175" si="194">SUM(E298,E318,E338)</f>
        <v>66.956961303622819</v>
      </c>
      <c r="F175" s="87">
        <f t="shared" si="194"/>
        <v>58.913972867422736</v>
      </c>
      <c r="G175" s="87">
        <f t="shared" si="194"/>
        <v>26.70454937075375</v>
      </c>
      <c r="H175" s="87">
        <f t="shared" si="194"/>
        <v>35.13111817722514</v>
      </c>
      <c r="I175" s="87">
        <f t="shared" si="194"/>
        <v>32.737819718045579</v>
      </c>
      <c r="J175" s="87">
        <f t="shared" si="194"/>
        <v>43.408522309968589</v>
      </c>
      <c r="K175" s="87">
        <f t="shared" si="194"/>
        <v>60.769662900154941</v>
      </c>
      <c r="L175" s="87">
        <f t="shared" si="194"/>
        <v>53.283504349545147</v>
      </c>
      <c r="N175" s="29">
        <f t="shared" si="160"/>
        <v>66.956961303622819</v>
      </c>
      <c r="O175" s="29">
        <f t="shared" si="161"/>
        <v>58.913972867422736</v>
      </c>
      <c r="P175" s="29">
        <f t="shared" si="161"/>
        <v>26.70454937075375</v>
      </c>
      <c r="Q175" s="29">
        <f t="shared" si="161"/>
        <v>35.13111817722514</v>
      </c>
      <c r="R175" s="29">
        <f t="shared" si="161"/>
        <v>32.737819718045579</v>
      </c>
      <c r="S175" s="29">
        <f t="shared" si="161"/>
        <v>43.408522309968589</v>
      </c>
      <c r="T175" s="29">
        <f t="shared" si="161"/>
        <v>60.769662900154941</v>
      </c>
      <c r="U175" s="29">
        <f t="shared" si="161"/>
        <v>53.283504349545147</v>
      </c>
      <c r="W175" s="30">
        <f t="shared" ref="W175:AD175" si="195">SUM(W298,W318,W338)</f>
        <v>57.213526138155139</v>
      </c>
      <c r="X175" s="30">
        <f t="shared" si="195"/>
        <v>41.243183160246346</v>
      </c>
      <c r="Y175" s="30">
        <f t="shared" si="151"/>
        <v>40.916142873979652</v>
      </c>
      <c r="Z175" s="30">
        <f t="shared" si="151"/>
        <v>30.915579380038682</v>
      </c>
      <c r="AA175" s="30">
        <f t="shared" si="152"/>
        <v>33.312754782171886</v>
      </c>
      <c r="AB175" s="30">
        <f t="shared" si="195"/>
        <v>45.870172837877817</v>
      </c>
      <c r="AC175" s="30">
        <f t="shared" ref="AC175" si="196">SUM(AC298,AC318,AC338)</f>
        <v>54.716799999999992</v>
      </c>
      <c r="AD175" s="90">
        <f t="shared" si="195"/>
        <v>0</v>
      </c>
      <c r="AF175" s="29">
        <f t="shared" si="164"/>
        <v>66.956961303622819</v>
      </c>
      <c r="AG175" s="30">
        <f t="shared" si="165"/>
        <v>57.213526138155139</v>
      </c>
      <c r="AH175" s="32">
        <f t="shared" si="166"/>
        <v>-9.7434351654676803</v>
      </c>
      <c r="AI175" s="33">
        <f t="shared" si="167"/>
        <v>-0.14551788157298731</v>
      </c>
      <c r="AK175" s="29">
        <f t="shared" si="154"/>
        <v>58.913972867422736</v>
      </c>
      <c r="AL175" s="30">
        <f t="shared" si="155"/>
        <v>41.243183160246346</v>
      </c>
      <c r="AM175" s="32">
        <f t="shared" si="168"/>
        <v>-17.67078970717639</v>
      </c>
      <c r="AN175" s="33">
        <f t="shared" si="169"/>
        <v>-0.2999422521876417</v>
      </c>
      <c r="AP175" s="29">
        <f t="shared" si="170"/>
        <v>26.70454937075375</v>
      </c>
      <c r="AQ175" s="30">
        <f t="shared" si="171"/>
        <v>40.916142873979652</v>
      </c>
      <c r="AR175" s="32">
        <f t="shared" si="172"/>
        <v>14.211593503225902</v>
      </c>
      <c r="AS175" s="33">
        <f t="shared" si="173"/>
        <v>0.53217874250258401</v>
      </c>
      <c r="AU175" s="31">
        <f t="shared" si="174"/>
        <v>35.13111817722514</v>
      </c>
      <c r="AV175" s="25">
        <f t="shared" si="175"/>
        <v>30.915579380038682</v>
      </c>
      <c r="AW175" s="32">
        <f t="shared" si="176"/>
        <v>-4.2155387971864577</v>
      </c>
      <c r="AX175" s="33">
        <f t="shared" si="177"/>
        <v>-0.11999443843262907</v>
      </c>
      <c r="AZ175" s="31">
        <f t="shared" si="156"/>
        <v>32.737819718045579</v>
      </c>
      <c r="BA175" s="25">
        <f t="shared" si="157"/>
        <v>33.312754782171886</v>
      </c>
      <c r="BB175" s="32">
        <f t="shared" si="178"/>
        <v>0.57493506412630779</v>
      </c>
      <c r="BC175" s="33">
        <f t="shared" si="179"/>
        <v>1.7561800665955616E-2</v>
      </c>
      <c r="BE175" s="31">
        <f t="shared" si="180"/>
        <v>43.408522309968589</v>
      </c>
      <c r="BF175" s="25">
        <f t="shared" si="181"/>
        <v>45.870172837877817</v>
      </c>
      <c r="BG175" s="32">
        <f t="shared" si="182"/>
        <v>2.461650527909228</v>
      </c>
      <c r="BH175" s="33">
        <f t="shared" si="183"/>
        <v>5.6708922509069608E-2</v>
      </c>
      <c r="BJ175" s="31">
        <f t="shared" si="187"/>
        <v>60.769662900154941</v>
      </c>
      <c r="BK175" s="25">
        <f t="shared" si="188"/>
        <v>54.716799999999992</v>
      </c>
      <c r="BL175" s="32">
        <f t="shared" si="189"/>
        <v>-6.052862900154949</v>
      </c>
      <c r="BM175" s="33">
        <f t="shared" si="190"/>
        <v>-9.9603364759482921E-2</v>
      </c>
      <c r="BO175" s="62"/>
      <c r="BP175" s="62"/>
      <c r="BQ175" s="62"/>
      <c r="BR175" s="63"/>
    </row>
    <row r="176" spans="1:70">
      <c r="A176" s="1"/>
      <c r="B176" s="1284"/>
      <c r="D176" s="5" t="s">
        <v>166</v>
      </c>
      <c r="E176" s="87">
        <f t="shared" ref="E176:L176" si="197">SUM(E299,E319,E339)</f>
        <v>5.1320659581916237</v>
      </c>
      <c r="F176" s="87">
        <f t="shared" si="197"/>
        <v>5.0976850739915944</v>
      </c>
      <c r="G176" s="87">
        <f t="shared" si="197"/>
        <v>6.1945899449743029</v>
      </c>
      <c r="H176" s="87">
        <f t="shared" si="197"/>
        <v>13.051297607664161</v>
      </c>
      <c r="I176" s="87">
        <f t="shared" si="197"/>
        <v>12.175732868865509</v>
      </c>
      <c r="J176" s="87">
        <f t="shared" si="197"/>
        <v>11.968583425932191</v>
      </c>
      <c r="K176" s="87">
        <f t="shared" si="197"/>
        <v>8.0792375861236145</v>
      </c>
      <c r="L176" s="87">
        <f t="shared" si="197"/>
        <v>8.2282507834562963</v>
      </c>
      <c r="N176" s="29">
        <f t="shared" si="160"/>
        <v>5.1320659581916237</v>
      </c>
      <c r="O176" s="29">
        <f t="shared" si="161"/>
        <v>5.0976850739915944</v>
      </c>
      <c r="P176" s="29">
        <f t="shared" si="161"/>
        <v>6.1945899449743029</v>
      </c>
      <c r="Q176" s="29">
        <f t="shared" si="161"/>
        <v>13.051297607664161</v>
      </c>
      <c r="R176" s="29">
        <f t="shared" si="161"/>
        <v>12.175732868865509</v>
      </c>
      <c r="S176" s="29">
        <f t="shared" si="161"/>
        <v>11.968583425932191</v>
      </c>
      <c r="T176" s="29">
        <f t="shared" si="161"/>
        <v>8.0792375861236145</v>
      </c>
      <c r="U176" s="29">
        <f t="shared" si="161"/>
        <v>8.2282507834562963</v>
      </c>
      <c r="W176" s="30">
        <f t="shared" ref="W176:AD176" si="198">SUM(W299,W319,W339)</f>
        <v>7.5362860276063586</v>
      </c>
      <c r="X176" s="30">
        <f t="shared" si="198"/>
        <v>4.5188550869460222</v>
      </c>
      <c r="Y176" s="30">
        <f t="shared" si="151"/>
        <v>5.7513318833937159</v>
      </c>
      <c r="Z176" s="30">
        <f t="shared" si="151"/>
        <v>4.325226678385361</v>
      </c>
      <c r="AA176" s="30">
        <f t="shared" si="152"/>
        <v>3.729288186841544</v>
      </c>
      <c r="AB176" s="30">
        <f t="shared" si="198"/>
        <v>14.162556281296</v>
      </c>
      <c r="AC176" s="30">
        <f t="shared" ref="AC176" si="199">SUM(AC299,AC319,AC339)</f>
        <v>19.392299999999999</v>
      </c>
      <c r="AD176" s="90">
        <f t="shared" si="198"/>
        <v>0</v>
      </c>
      <c r="AF176" s="29">
        <f t="shared" si="164"/>
        <v>5.1320659581916237</v>
      </c>
      <c r="AG176" s="30">
        <f t="shared" si="165"/>
        <v>7.5362860276063586</v>
      </c>
      <c r="AH176" s="32">
        <f t="shared" si="166"/>
        <v>2.4042200694147349</v>
      </c>
      <c r="AI176" s="33">
        <f t="shared" si="167"/>
        <v>0.46847022018047196</v>
      </c>
      <c r="AK176" s="29">
        <f t="shared" si="154"/>
        <v>5.0976850739915944</v>
      </c>
      <c r="AL176" s="30">
        <f t="shared" si="155"/>
        <v>4.5188550869460222</v>
      </c>
      <c r="AM176" s="32">
        <f t="shared" si="168"/>
        <v>-0.5788299870455722</v>
      </c>
      <c r="AN176" s="33">
        <f t="shared" si="169"/>
        <v>-0.11354761595587076</v>
      </c>
      <c r="AP176" s="29">
        <f t="shared" si="170"/>
        <v>6.1945899449743029</v>
      </c>
      <c r="AQ176" s="30">
        <f t="shared" si="171"/>
        <v>5.7513318833937159</v>
      </c>
      <c r="AR176" s="32">
        <f t="shared" si="172"/>
        <v>-0.443258061580587</v>
      </c>
      <c r="AS176" s="33">
        <f t="shared" si="173"/>
        <v>-7.1555674470463404E-2</v>
      </c>
      <c r="AU176" s="31">
        <f t="shared" si="174"/>
        <v>13.051297607664161</v>
      </c>
      <c r="AV176" s="25">
        <f t="shared" si="175"/>
        <v>4.325226678385361</v>
      </c>
      <c r="AW176" s="32">
        <f t="shared" si="176"/>
        <v>-8.7260709292787997</v>
      </c>
      <c r="AX176" s="33">
        <f t="shared" si="177"/>
        <v>-0.66859795796508059</v>
      </c>
      <c r="AZ176" s="31">
        <f t="shared" si="156"/>
        <v>12.175732868865509</v>
      </c>
      <c r="BA176" s="25">
        <f t="shared" si="157"/>
        <v>3.729288186841544</v>
      </c>
      <c r="BB176" s="32">
        <f t="shared" si="178"/>
        <v>-8.4464446820239658</v>
      </c>
      <c r="BC176" s="33">
        <f t="shared" si="179"/>
        <v>-0.69371139897642764</v>
      </c>
      <c r="BE176" s="31">
        <f t="shared" si="180"/>
        <v>11.968583425932191</v>
      </c>
      <c r="BF176" s="25">
        <f t="shared" si="181"/>
        <v>14.162556281296</v>
      </c>
      <c r="BG176" s="32">
        <f t="shared" si="182"/>
        <v>2.1939728553638087</v>
      </c>
      <c r="BH176" s="33">
        <f t="shared" si="183"/>
        <v>0.18331098821688063</v>
      </c>
      <c r="BJ176" s="31">
        <f t="shared" si="187"/>
        <v>8.0792375861236145</v>
      </c>
      <c r="BK176" s="25">
        <f t="shared" si="188"/>
        <v>19.392299999999999</v>
      </c>
      <c r="BL176" s="32">
        <f t="shared" si="189"/>
        <v>11.313062413876384</v>
      </c>
      <c r="BM176" s="33">
        <f t="shared" si="190"/>
        <v>1.4002636131541646</v>
      </c>
      <c r="BO176" s="62"/>
      <c r="BP176" s="62"/>
      <c r="BQ176" s="62"/>
      <c r="BR176" s="63"/>
    </row>
    <row r="177" spans="1:70">
      <c r="A177" s="1"/>
      <c r="B177" s="1284"/>
      <c r="D177" s="5" t="s">
        <v>167</v>
      </c>
      <c r="E177" s="87">
        <f t="shared" ref="E177:L177" si="200">SUM(E300,E320,E340)</f>
        <v>7.3283563204137634</v>
      </c>
      <c r="F177" s="87">
        <f t="shared" si="200"/>
        <v>8.279127940008987</v>
      </c>
      <c r="G177" s="87">
        <f t="shared" si="200"/>
        <v>10.331904978972497</v>
      </c>
      <c r="H177" s="87">
        <f t="shared" si="200"/>
        <v>17.448364751114443</v>
      </c>
      <c r="I177" s="87">
        <f>SUM(I300,I320,I340)</f>
        <v>18.640550083134656</v>
      </c>
      <c r="J177" s="87">
        <f t="shared" si="200"/>
        <v>18.567992561670344</v>
      </c>
      <c r="K177" s="87">
        <f t="shared" si="200"/>
        <v>19.654481611735847</v>
      </c>
      <c r="L177" s="87">
        <f t="shared" si="200"/>
        <v>21.759449185998822</v>
      </c>
      <c r="N177" s="29">
        <f t="shared" si="160"/>
        <v>7.3283563204137634</v>
      </c>
      <c r="O177" s="29">
        <f t="shared" si="161"/>
        <v>8.279127940008987</v>
      </c>
      <c r="P177" s="29">
        <f t="shared" si="161"/>
        <v>10.331904978972497</v>
      </c>
      <c r="Q177" s="29">
        <f t="shared" si="161"/>
        <v>17.448364751114443</v>
      </c>
      <c r="R177" s="29">
        <f t="shared" si="161"/>
        <v>18.640550083134656</v>
      </c>
      <c r="S177" s="29">
        <f t="shared" si="161"/>
        <v>18.567992561670344</v>
      </c>
      <c r="T177" s="29">
        <f t="shared" si="161"/>
        <v>19.654481611735847</v>
      </c>
      <c r="U177" s="29">
        <f t="shared" si="161"/>
        <v>21.759449185998822</v>
      </c>
      <c r="W177" s="30">
        <f t="shared" ref="W177:AD177" si="201">SUM(W300,W320,W340)</f>
        <v>10.700722576541921</v>
      </c>
      <c r="X177" s="30">
        <f t="shared" si="201"/>
        <v>12.921196669333415</v>
      </c>
      <c r="Y177" s="30">
        <f t="shared" si="151"/>
        <v>18.774879016980222</v>
      </c>
      <c r="Z177" s="30">
        <f t="shared" si="151"/>
        <v>10.553592634164939</v>
      </c>
      <c r="AA177" s="30">
        <f t="shared" si="152"/>
        <v>8.6537814410855969</v>
      </c>
      <c r="AB177" s="30">
        <f t="shared" si="201"/>
        <v>16.436633877355384</v>
      </c>
      <c r="AC177" s="30">
        <f t="shared" ref="AC177" si="202">SUM(AC300,AC320,AC340)</f>
        <v>19.029300000000003</v>
      </c>
      <c r="AD177" s="90">
        <f t="shared" si="201"/>
        <v>0</v>
      </c>
      <c r="AF177" s="29">
        <f t="shared" si="164"/>
        <v>7.3283563204137634</v>
      </c>
      <c r="AG177" s="30">
        <f t="shared" si="165"/>
        <v>10.700722576541921</v>
      </c>
      <c r="AH177" s="32">
        <f t="shared" si="166"/>
        <v>3.3723662561281573</v>
      </c>
      <c r="AI177" s="33">
        <f t="shared" si="167"/>
        <v>0.46018044274595965</v>
      </c>
      <c r="AK177" s="29">
        <f t="shared" si="154"/>
        <v>8.279127940008987</v>
      </c>
      <c r="AL177" s="30">
        <f t="shared" si="155"/>
        <v>12.921196669333415</v>
      </c>
      <c r="AM177" s="32">
        <f t="shared" si="168"/>
        <v>4.6420687293244285</v>
      </c>
      <c r="AN177" s="33">
        <f t="shared" si="169"/>
        <v>0.56069537310706052</v>
      </c>
      <c r="AP177" s="29">
        <f t="shared" si="170"/>
        <v>10.331904978972497</v>
      </c>
      <c r="AQ177" s="30">
        <f t="shared" si="171"/>
        <v>18.774879016980222</v>
      </c>
      <c r="AR177" s="32">
        <f t="shared" si="172"/>
        <v>8.4429740380077245</v>
      </c>
      <c r="AS177" s="33">
        <f t="shared" si="173"/>
        <v>0.81717496000891154</v>
      </c>
      <c r="AU177" s="31">
        <f t="shared" si="174"/>
        <v>17.448364751114443</v>
      </c>
      <c r="AV177" s="25">
        <f t="shared" si="175"/>
        <v>10.553592634164939</v>
      </c>
      <c r="AW177" s="32">
        <f t="shared" si="176"/>
        <v>-6.894772116949504</v>
      </c>
      <c r="AX177" s="33">
        <f t="shared" si="177"/>
        <v>-0.39515291061926755</v>
      </c>
      <c r="AZ177" s="31">
        <f t="shared" si="156"/>
        <v>18.640550083134656</v>
      </c>
      <c r="BA177" s="25">
        <f t="shared" si="157"/>
        <v>8.6537814410855969</v>
      </c>
      <c r="BB177" s="32">
        <f t="shared" si="178"/>
        <v>-9.9867686420490589</v>
      </c>
      <c r="BC177" s="33">
        <f t="shared" si="179"/>
        <v>-0.53575503928313528</v>
      </c>
      <c r="BE177" s="31">
        <f t="shared" si="180"/>
        <v>18.567992561670344</v>
      </c>
      <c r="BF177" s="25">
        <f t="shared" si="181"/>
        <v>16.436633877355384</v>
      </c>
      <c r="BG177" s="32">
        <f t="shared" si="182"/>
        <v>-2.1313586843149608</v>
      </c>
      <c r="BH177" s="33">
        <f t="shared" si="183"/>
        <v>-0.11478670498364459</v>
      </c>
      <c r="BJ177" s="31">
        <f t="shared" si="187"/>
        <v>19.654481611735847</v>
      </c>
      <c r="BK177" s="25">
        <f t="shared" si="188"/>
        <v>19.029300000000003</v>
      </c>
      <c r="BL177" s="32">
        <f t="shared" si="189"/>
        <v>-0.62518161173584375</v>
      </c>
      <c r="BM177" s="33">
        <f t="shared" si="190"/>
        <v>-3.1808603456757817E-2</v>
      </c>
      <c r="BO177" s="62"/>
      <c r="BP177" s="62"/>
      <c r="BQ177" s="62"/>
      <c r="BR177" s="63"/>
    </row>
    <row r="178" spans="1:70">
      <c r="A178" s="1"/>
      <c r="B178" s="1284"/>
      <c r="D178" s="5" t="s">
        <v>168</v>
      </c>
      <c r="E178" s="87">
        <f t="shared" ref="E178:L178" si="203">SUM(E301,E321,E341)</f>
        <v>64.624301578949272</v>
      </c>
      <c r="F178" s="87">
        <f t="shared" si="203"/>
        <v>60.78226470004703</v>
      </c>
      <c r="G178" s="87">
        <f t="shared" si="203"/>
        <v>66.476508434928988</v>
      </c>
      <c r="H178" s="87">
        <f t="shared" si="203"/>
        <v>61.302226496040348</v>
      </c>
      <c r="I178" s="87">
        <f t="shared" si="203"/>
        <v>70.879855999984812</v>
      </c>
      <c r="J178" s="87">
        <f t="shared" si="203"/>
        <v>69.854379109004839</v>
      </c>
      <c r="K178" s="87">
        <f t="shared" si="203"/>
        <v>62.164921125973926</v>
      </c>
      <c r="L178" s="87">
        <f t="shared" si="203"/>
        <v>61.738937072360763</v>
      </c>
      <c r="N178" s="29">
        <f t="shared" si="160"/>
        <v>58.156252517913018</v>
      </c>
      <c r="O178" s="29">
        <f t="shared" si="161"/>
        <v>54.110873752583082</v>
      </c>
      <c r="P178" s="29">
        <f t="shared" si="161"/>
        <v>58.481466845935344</v>
      </c>
      <c r="Q178" s="29">
        <f t="shared" si="161"/>
        <v>53.278043453702296</v>
      </c>
      <c r="R178" s="29">
        <f t="shared" si="161"/>
        <v>61.00257218470874</v>
      </c>
      <c r="S178" s="29">
        <f t="shared" si="161"/>
        <v>59.436301724847979</v>
      </c>
      <c r="T178" s="29">
        <f t="shared" si="161"/>
        <v>52.147411033441713</v>
      </c>
      <c r="U178" s="29">
        <f t="shared" si="161"/>
        <v>51.152121729962182</v>
      </c>
      <c r="W178" s="30">
        <f t="shared" ref="W178:AD178" si="204">SUM(W301,W321,W341)</f>
        <v>18.407989919831824</v>
      </c>
      <c r="X178" s="30">
        <f t="shared" si="204"/>
        <v>32.431139176760254</v>
      </c>
      <c r="Y178" s="30">
        <f t="shared" si="151"/>
        <v>34.499603031389725</v>
      </c>
      <c r="Z178" s="30">
        <f t="shared" si="151"/>
        <v>17.949537525875627</v>
      </c>
      <c r="AA178" s="30">
        <f t="shared" si="152"/>
        <v>31.259451457448542</v>
      </c>
      <c r="AB178" s="30">
        <f t="shared" si="204"/>
        <v>27.879245189338182</v>
      </c>
      <c r="AC178" s="30">
        <f t="shared" ref="AC178" si="205">SUM(AC301,AC321,AC341)</f>
        <v>32.974973746571685</v>
      </c>
      <c r="AD178" s="90">
        <f t="shared" si="204"/>
        <v>0</v>
      </c>
      <c r="AF178" s="29">
        <f t="shared" si="164"/>
        <v>58.156252517913018</v>
      </c>
      <c r="AG178" s="30">
        <f t="shared" si="165"/>
        <v>18.407989919831824</v>
      </c>
      <c r="AH178" s="32">
        <f t="shared" si="166"/>
        <v>-39.748262598081197</v>
      </c>
      <c r="AI178" s="33">
        <f t="shared" si="167"/>
        <v>-0.68347358843037764</v>
      </c>
      <c r="AK178" s="29">
        <f t="shared" si="154"/>
        <v>54.110873752583082</v>
      </c>
      <c r="AL178" s="30">
        <f t="shared" si="155"/>
        <v>32.431139176760254</v>
      </c>
      <c r="AM178" s="32">
        <f t="shared" si="168"/>
        <v>-21.679734575822827</v>
      </c>
      <c r="AN178" s="33">
        <f t="shared" si="169"/>
        <v>-0.40065393648883568</v>
      </c>
      <c r="AP178" s="29">
        <f t="shared" si="170"/>
        <v>58.481466845935344</v>
      </c>
      <c r="AQ178" s="30">
        <f t="shared" si="171"/>
        <v>34.499603031389725</v>
      </c>
      <c r="AR178" s="32">
        <f t="shared" si="172"/>
        <v>-23.981863814545619</v>
      </c>
      <c r="AS178" s="33">
        <f t="shared" si="173"/>
        <v>-0.41007630464748573</v>
      </c>
      <c r="AU178" s="31">
        <f t="shared" si="174"/>
        <v>53.278043453702296</v>
      </c>
      <c r="AV178" s="25">
        <f t="shared" si="175"/>
        <v>17.949537525875627</v>
      </c>
      <c r="AW178" s="32">
        <f t="shared" si="176"/>
        <v>-35.328505927826669</v>
      </c>
      <c r="AX178" s="33">
        <f t="shared" si="177"/>
        <v>-0.66309690892696793</v>
      </c>
      <c r="AZ178" s="31">
        <f t="shared" si="156"/>
        <v>61.00257218470874</v>
      </c>
      <c r="BA178" s="25">
        <f t="shared" si="157"/>
        <v>31.259451457448542</v>
      </c>
      <c r="BB178" s="32">
        <f t="shared" si="178"/>
        <v>-29.743120727260198</v>
      </c>
      <c r="BC178" s="33">
        <f t="shared" si="179"/>
        <v>-0.48757158365718523</v>
      </c>
      <c r="BE178" s="31">
        <f t="shared" si="180"/>
        <v>59.436301724847979</v>
      </c>
      <c r="BF178" s="25">
        <f t="shared" si="181"/>
        <v>27.879245189338182</v>
      </c>
      <c r="BG178" s="32">
        <f t="shared" si="182"/>
        <v>-31.557056535509798</v>
      </c>
      <c r="BH178" s="33">
        <f t="shared" si="183"/>
        <v>-0.53093909983832377</v>
      </c>
      <c r="BJ178" s="31">
        <f t="shared" si="187"/>
        <v>52.147411033441713</v>
      </c>
      <c r="BK178" s="25">
        <f t="shared" si="188"/>
        <v>32.974973746571685</v>
      </c>
      <c r="BL178" s="32">
        <f t="shared" si="189"/>
        <v>-19.172437286870029</v>
      </c>
      <c r="BM178" s="33">
        <f t="shared" si="190"/>
        <v>-0.36765846869319935</v>
      </c>
      <c r="BO178" s="62"/>
      <c r="BP178" s="62"/>
      <c r="BQ178" s="62"/>
      <c r="BR178" s="63"/>
    </row>
    <row r="179" spans="1:70">
      <c r="A179" s="1"/>
      <c r="B179" s="1284"/>
      <c r="D179" s="5" t="s">
        <v>169</v>
      </c>
      <c r="E179" s="87">
        <f t="shared" ref="E179:L179" si="206">SUM(E302,E322,E342)</f>
        <v>34.34271762671473</v>
      </c>
      <c r="F179" s="87">
        <f t="shared" si="206"/>
        <v>45.224301292744556</v>
      </c>
      <c r="G179" s="87">
        <f t="shared" si="206"/>
        <v>47.027234637368892</v>
      </c>
      <c r="H179" s="87">
        <f t="shared" si="206"/>
        <v>34.858028983376116</v>
      </c>
      <c r="I179" s="87">
        <f t="shared" si="206"/>
        <v>28.686570473105938</v>
      </c>
      <c r="J179" s="87">
        <f t="shared" si="206"/>
        <v>28.60975255079931</v>
      </c>
      <c r="K179" s="87">
        <f t="shared" si="206"/>
        <v>37.999263627417285</v>
      </c>
      <c r="L179" s="87">
        <f t="shared" si="206"/>
        <v>35.662619588478449</v>
      </c>
      <c r="N179" s="29">
        <f t="shared" si="160"/>
        <v>33.211089070524068</v>
      </c>
      <c r="O179" s="29">
        <f t="shared" si="161"/>
        <v>43.344017432808158</v>
      </c>
      <c r="P179" s="29">
        <f t="shared" si="161"/>
        <v>44.704591561819853</v>
      </c>
      <c r="Q179" s="29">
        <f t="shared" si="161"/>
        <v>32.905104989748388</v>
      </c>
      <c r="R179" s="29">
        <f t="shared" si="161"/>
        <v>26.869306665756767</v>
      </c>
      <c r="S179" s="29">
        <f t="shared" si="161"/>
        <v>26.572369167907876</v>
      </c>
      <c r="T179" s="29">
        <f t="shared" si="161"/>
        <v>35.008168501754227</v>
      </c>
      <c r="U179" s="29">
        <f t="shared" si="161"/>
        <v>32.584401818128804</v>
      </c>
      <c r="W179" s="30">
        <f t="shared" ref="W179:AD179" si="207">SUM(W302,W322,W342)</f>
        <v>8.4956261838342169</v>
      </c>
      <c r="X179" s="30">
        <f t="shared" si="207"/>
        <v>17.155142448212285</v>
      </c>
      <c r="Y179" s="30">
        <f t="shared" si="151"/>
        <v>15.074220395189675</v>
      </c>
      <c r="Z179" s="30">
        <f t="shared" si="151"/>
        <v>15.482411782501313</v>
      </c>
      <c r="AA179" s="30">
        <f t="shared" si="152"/>
        <v>13.953227647006841</v>
      </c>
      <c r="AB179" s="30">
        <f t="shared" si="207"/>
        <v>11.873214247326448</v>
      </c>
      <c r="AC179" s="30">
        <f t="shared" ref="AC179" si="208">SUM(AC302,AC322,AC342)</f>
        <v>21.548686854603634</v>
      </c>
      <c r="AD179" s="90">
        <f t="shared" si="207"/>
        <v>0</v>
      </c>
      <c r="AF179" s="29">
        <f t="shared" si="164"/>
        <v>33.211089070524068</v>
      </c>
      <c r="AG179" s="30">
        <f t="shared" si="165"/>
        <v>8.4956261838342169</v>
      </c>
      <c r="AH179" s="32">
        <f t="shared" si="166"/>
        <v>-24.715462886689849</v>
      </c>
      <c r="AI179" s="33">
        <f t="shared" si="167"/>
        <v>-0.74419308665868578</v>
      </c>
      <c r="AK179" s="29">
        <f t="shared" si="154"/>
        <v>43.344017432808158</v>
      </c>
      <c r="AL179" s="30">
        <f t="shared" si="155"/>
        <v>17.155142448212285</v>
      </c>
      <c r="AM179" s="32">
        <f t="shared" si="168"/>
        <v>-26.188874984595873</v>
      </c>
      <c r="AN179" s="33">
        <f t="shared" si="169"/>
        <v>-0.60420968188271507</v>
      </c>
      <c r="AP179" s="29">
        <f t="shared" si="170"/>
        <v>44.704591561819853</v>
      </c>
      <c r="AQ179" s="30">
        <f t="shared" si="171"/>
        <v>15.074220395189675</v>
      </c>
      <c r="AR179" s="32">
        <f t="shared" si="172"/>
        <v>-29.630371166630177</v>
      </c>
      <c r="AS179" s="33">
        <f t="shared" si="173"/>
        <v>-0.66280375530678426</v>
      </c>
      <c r="AU179" s="31">
        <f t="shared" si="174"/>
        <v>32.905104989748388</v>
      </c>
      <c r="AV179" s="25">
        <f t="shared" si="175"/>
        <v>15.482411782501313</v>
      </c>
      <c r="AW179" s="32">
        <f t="shared" si="176"/>
        <v>-17.422693207247075</v>
      </c>
      <c r="AX179" s="33">
        <f t="shared" si="177"/>
        <v>-0.52948298486435852</v>
      </c>
      <c r="AZ179" s="31">
        <f t="shared" si="156"/>
        <v>26.869306665756767</v>
      </c>
      <c r="BA179" s="25">
        <f t="shared" si="157"/>
        <v>13.953227647006841</v>
      </c>
      <c r="BB179" s="32">
        <f t="shared" si="178"/>
        <v>-12.916079018749926</v>
      </c>
      <c r="BC179" s="33">
        <f t="shared" si="179"/>
        <v>-0.48070012298496156</v>
      </c>
      <c r="BE179" s="31">
        <f t="shared" si="180"/>
        <v>26.572369167907876</v>
      </c>
      <c r="BF179" s="25">
        <f t="shared" si="181"/>
        <v>11.873214247326448</v>
      </c>
      <c r="BG179" s="32">
        <f t="shared" si="182"/>
        <v>-14.699154920581428</v>
      </c>
      <c r="BH179" s="33">
        <f t="shared" si="183"/>
        <v>-0.55317442068108735</v>
      </c>
      <c r="BJ179" s="31">
        <f t="shared" si="187"/>
        <v>35.008168501754227</v>
      </c>
      <c r="BK179" s="25">
        <f t="shared" si="188"/>
        <v>21.548686854603634</v>
      </c>
      <c r="BL179" s="32">
        <f t="shared" si="189"/>
        <v>-13.459481647150593</v>
      </c>
      <c r="BM179" s="33">
        <f t="shared" si="190"/>
        <v>-0.38446688939114743</v>
      </c>
      <c r="BO179" s="62"/>
      <c r="BP179" s="62"/>
      <c r="BQ179" s="62"/>
      <c r="BR179" s="63"/>
    </row>
    <row r="180" spans="1:70">
      <c r="A180" s="1"/>
      <c r="B180" s="1284"/>
      <c r="D180" s="5" t="s">
        <v>170</v>
      </c>
      <c r="E180" s="87">
        <f t="shared" ref="E180:L180" si="209">SUM(E303,E323,E343)</f>
        <v>51.492170491277655</v>
      </c>
      <c r="F180" s="87">
        <f t="shared" si="209"/>
        <v>56.59009918534052</v>
      </c>
      <c r="G180" s="87">
        <f t="shared" si="209"/>
        <v>56.977305422150572</v>
      </c>
      <c r="H180" s="87">
        <f t="shared" si="209"/>
        <v>50.493657374197227</v>
      </c>
      <c r="I180" s="87">
        <f t="shared" si="209"/>
        <v>54.806208422481667</v>
      </c>
      <c r="J180" s="87">
        <f t="shared" si="209"/>
        <v>61.328434975619771</v>
      </c>
      <c r="K180" s="87">
        <f t="shared" si="209"/>
        <v>65.310417617565705</v>
      </c>
      <c r="L180" s="87">
        <f t="shared" si="209"/>
        <v>59.426483035206573</v>
      </c>
      <c r="N180" s="29">
        <f t="shared" si="160"/>
        <v>54.842052934375886</v>
      </c>
      <c r="O180" s="29">
        <f t="shared" si="161"/>
        <v>59.290561760091236</v>
      </c>
      <c r="P180" s="29">
        <f t="shared" si="161"/>
        <v>58.726475673388784</v>
      </c>
      <c r="Q180" s="29">
        <f t="shared" si="161"/>
        <v>51.030385201772951</v>
      </c>
      <c r="R180" s="29">
        <f t="shared" si="161"/>
        <v>54.560719568097355</v>
      </c>
      <c r="S180" s="29">
        <f t="shared" si="161"/>
        <v>60.285388972125347</v>
      </c>
      <c r="T180" s="29">
        <f t="shared" si="161"/>
        <v>63.344837200870835</v>
      </c>
      <c r="U180" s="29">
        <f t="shared" si="161"/>
        <v>56.383258120453434</v>
      </c>
      <c r="W180" s="30">
        <f t="shared" ref="W180:AD180" si="210">SUM(W303,W323,W343)</f>
        <v>22.2101452237671</v>
      </c>
      <c r="X180" s="30">
        <f t="shared" si="210"/>
        <v>22.19723466623903</v>
      </c>
      <c r="Y180" s="30">
        <f t="shared" si="151"/>
        <v>30.824918335410924</v>
      </c>
      <c r="Z180" s="30">
        <f t="shared" si="151"/>
        <v>10.989717334069681</v>
      </c>
      <c r="AA180" s="30">
        <f t="shared" si="152"/>
        <v>13.803302426077446</v>
      </c>
      <c r="AB180" s="30">
        <f t="shared" si="210"/>
        <v>19.277663043738251</v>
      </c>
      <c r="AC180" s="30">
        <f t="shared" ref="AC180" si="211">SUM(AC303,AC323,AC343)</f>
        <v>20.242621654309215</v>
      </c>
      <c r="AD180" s="90">
        <f t="shared" si="210"/>
        <v>0</v>
      </c>
      <c r="AF180" s="29">
        <f t="shared" si="164"/>
        <v>54.842052934375886</v>
      </c>
      <c r="AG180" s="30">
        <f t="shared" si="165"/>
        <v>22.2101452237671</v>
      </c>
      <c r="AH180" s="32">
        <f t="shared" si="166"/>
        <v>-32.631907710608786</v>
      </c>
      <c r="AI180" s="33">
        <f t="shared" si="167"/>
        <v>-0.59501615939972552</v>
      </c>
      <c r="AK180" s="29">
        <f t="shared" si="154"/>
        <v>59.290561760091236</v>
      </c>
      <c r="AL180" s="30">
        <f t="shared" si="155"/>
        <v>22.19723466623903</v>
      </c>
      <c r="AM180" s="32">
        <f t="shared" si="168"/>
        <v>-37.09332709385221</v>
      </c>
      <c r="AN180" s="33">
        <f t="shared" si="169"/>
        <v>-0.62561942394716707</v>
      </c>
      <c r="AP180" s="29">
        <f t="shared" si="170"/>
        <v>58.726475673388784</v>
      </c>
      <c r="AQ180" s="30">
        <f t="shared" si="171"/>
        <v>30.824918335410924</v>
      </c>
      <c r="AR180" s="32">
        <f t="shared" si="172"/>
        <v>-27.901557337977859</v>
      </c>
      <c r="AS180" s="33">
        <f t="shared" si="173"/>
        <v>-0.47511036577700039</v>
      </c>
      <c r="AU180" s="31">
        <f t="shared" si="174"/>
        <v>51.030385201772951</v>
      </c>
      <c r="AV180" s="25">
        <f t="shared" si="175"/>
        <v>10.989717334069681</v>
      </c>
      <c r="AW180" s="32">
        <f t="shared" si="176"/>
        <v>-40.04066786770327</v>
      </c>
      <c r="AX180" s="33">
        <f t="shared" si="177"/>
        <v>-0.78464365317611073</v>
      </c>
      <c r="AZ180" s="31">
        <f t="shared" si="156"/>
        <v>54.560719568097355</v>
      </c>
      <c r="BA180" s="25">
        <f t="shared" si="157"/>
        <v>13.803302426077446</v>
      </c>
      <c r="BB180" s="32">
        <f t="shared" si="178"/>
        <v>-40.757417142019911</v>
      </c>
      <c r="BC180" s="33">
        <f t="shared" si="179"/>
        <v>-0.7470102569147844</v>
      </c>
      <c r="BE180" s="31">
        <f t="shared" si="180"/>
        <v>60.285388972125347</v>
      </c>
      <c r="BF180" s="25">
        <f t="shared" si="181"/>
        <v>19.277663043738251</v>
      </c>
      <c r="BG180" s="32">
        <f t="shared" si="182"/>
        <v>-41.007725928387096</v>
      </c>
      <c r="BH180" s="33">
        <f t="shared" si="183"/>
        <v>-0.68022661257685801</v>
      </c>
      <c r="BJ180" s="31">
        <f t="shared" si="187"/>
        <v>63.344837200870835</v>
      </c>
      <c r="BK180" s="25">
        <f t="shared" si="188"/>
        <v>20.242621654309215</v>
      </c>
      <c r="BL180" s="32">
        <f t="shared" si="189"/>
        <v>-43.102215546561624</v>
      </c>
      <c r="BM180" s="33">
        <f t="shared" si="190"/>
        <v>-0.6804377033898048</v>
      </c>
      <c r="BO180" s="62"/>
      <c r="BP180" s="62"/>
      <c r="BQ180" s="62"/>
      <c r="BR180" s="63"/>
    </row>
    <row r="181" spans="1:70">
      <c r="A181" s="1"/>
      <c r="B181" s="1284"/>
      <c r="D181" s="5" t="s">
        <v>171</v>
      </c>
      <c r="E181" s="87">
        <f t="shared" ref="E181:L181" si="212">SUM(E304,E324,E344)</f>
        <v>22.384412727713105</v>
      </c>
      <c r="F181" s="87">
        <f t="shared" si="212"/>
        <v>25.78846869437038</v>
      </c>
      <c r="G181" s="87">
        <f t="shared" si="212"/>
        <v>32.513038552849117</v>
      </c>
      <c r="H181" s="87">
        <f t="shared" si="212"/>
        <v>26.53678145924253</v>
      </c>
      <c r="I181" s="87">
        <f t="shared" si="212"/>
        <v>21.273280230348838</v>
      </c>
      <c r="J181" s="87">
        <f t="shared" si="212"/>
        <v>21.122442664095423</v>
      </c>
      <c r="K181" s="87">
        <f t="shared" si="212"/>
        <v>23.000635218846234</v>
      </c>
      <c r="L181" s="87">
        <f t="shared" si="212"/>
        <v>21.966638134381402</v>
      </c>
      <c r="N181" s="29">
        <f t="shared" si="160"/>
        <v>23.428180481715923</v>
      </c>
      <c r="O181" s="29">
        <f t="shared" si="161"/>
        <v>26.013465772622581</v>
      </c>
      <c r="P181" s="29">
        <f t="shared" si="161"/>
        <v>31.933965161483542</v>
      </c>
      <c r="Q181" s="29">
        <f t="shared" si="161"/>
        <v>25.041230439695898</v>
      </c>
      <c r="R181" s="29">
        <f t="shared" si="161"/>
        <v>18.862966231981883</v>
      </c>
      <c r="S181" s="29">
        <f t="shared" si="161"/>
        <v>17.819484751041834</v>
      </c>
      <c r="T181" s="29">
        <f t="shared" si="161"/>
        <v>18.75886471120188</v>
      </c>
      <c r="U181" s="29">
        <f t="shared" si="161"/>
        <v>16.855244190307936</v>
      </c>
      <c r="W181" s="30">
        <f t="shared" ref="W181:AD181" si="213">SUM(W304,W324,W344)</f>
        <v>12.59451443604628</v>
      </c>
      <c r="X181" s="30">
        <f t="shared" si="213"/>
        <v>12.686746765891138</v>
      </c>
      <c r="Y181" s="30">
        <f t="shared" si="151"/>
        <v>21.773600469047725</v>
      </c>
      <c r="Z181" s="30">
        <f t="shared" si="151"/>
        <v>29.103886619535619</v>
      </c>
      <c r="AA181" s="30">
        <f t="shared" si="152"/>
        <v>26.038243949100931</v>
      </c>
      <c r="AB181" s="30">
        <f t="shared" si="213"/>
        <v>31.423988300415594</v>
      </c>
      <c r="AC181" s="30">
        <f t="shared" ref="AC181" si="214">SUM(AC304,AC324,AC344)</f>
        <v>26.517668720983153</v>
      </c>
      <c r="AD181" s="90">
        <f t="shared" si="213"/>
        <v>0</v>
      </c>
      <c r="AF181" s="29">
        <f t="shared" si="164"/>
        <v>23.428180481715923</v>
      </c>
      <c r="AG181" s="30">
        <f t="shared" si="165"/>
        <v>12.59451443604628</v>
      </c>
      <c r="AH181" s="32">
        <f t="shared" si="166"/>
        <v>-10.833666045669643</v>
      </c>
      <c r="AI181" s="33">
        <f t="shared" si="167"/>
        <v>-0.46242029141463081</v>
      </c>
      <c r="AK181" s="29">
        <f t="shared" si="154"/>
        <v>26.013465772622581</v>
      </c>
      <c r="AL181" s="30">
        <f t="shared" si="155"/>
        <v>12.686746765891138</v>
      </c>
      <c r="AM181" s="32">
        <f t="shared" si="168"/>
        <v>-13.326719006731443</v>
      </c>
      <c r="AN181" s="33">
        <f t="shared" si="169"/>
        <v>-0.51230078772344578</v>
      </c>
      <c r="AP181" s="29">
        <f t="shared" si="170"/>
        <v>31.933965161483542</v>
      </c>
      <c r="AQ181" s="30">
        <f t="shared" si="171"/>
        <v>21.773600469047725</v>
      </c>
      <c r="AR181" s="32">
        <f t="shared" si="172"/>
        <v>-10.160364692435817</v>
      </c>
      <c r="AS181" s="33">
        <f t="shared" si="173"/>
        <v>-0.31816796445593043</v>
      </c>
      <c r="AU181" s="31">
        <f t="shared" si="174"/>
        <v>25.041230439695898</v>
      </c>
      <c r="AV181" s="25">
        <f t="shared" si="175"/>
        <v>29.103886619535619</v>
      </c>
      <c r="AW181" s="32">
        <f t="shared" si="176"/>
        <v>4.0626561798397205</v>
      </c>
      <c r="AX181" s="33">
        <f t="shared" si="177"/>
        <v>0.16223868030859659</v>
      </c>
      <c r="AZ181" s="31">
        <f t="shared" si="156"/>
        <v>18.862966231981883</v>
      </c>
      <c r="BA181" s="25">
        <f t="shared" si="157"/>
        <v>26.038243949100931</v>
      </c>
      <c r="BB181" s="32">
        <f t="shared" si="178"/>
        <v>7.175277717119048</v>
      </c>
      <c r="BC181" s="33">
        <f t="shared" si="179"/>
        <v>0.38038968149948071</v>
      </c>
      <c r="BE181" s="31">
        <f t="shared" si="180"/>
        <v>17.819484751041834</v>
      </c>
      <c r="BF181" s="25">
        <f t="shared" si="181"/>
        <v>31.423988300415594</v>
      </c>
      <c r="BG181" s="32">
        <f t="shared" si="182"/>
        <v>13.60450354937376</v>
      </c>
      <c r="BH181" s="33">
        <f t="shared" si="183"/>
        <v>0.76346222909606631</v>
      </c>
      <c r="BJ181" s="31">
        <f t="shared" si="187"/>
        <v>18.75886471120188</v>
      </c>
      <c r="BK181" s="25">
        <f t="shared" si="188"/>
        <v>26.517668720983153</v>
      </c>
      <c r="BL181" s="32">
        <f t="shared" si="189"/>
        <v>7.7588040097812723</v>
      </c>
      <c r="BM181" s="33">
        <f t="shared" si="190"/>
        <v>0.41360733334507671</v>
      </c>
      <c r="BO181" s="62"/>
      <c r="BP181" s="62"/>
      <c r="BQ181" s="62"/>
      <c r="BR181" s="63"/>
    </row>
    <row r="182" spans="1:70">
      <c r="A182" s="1"/>
      <c r="B182" s="1284"/>
      <c r="D182" s="5" t="s">
        <v>172</v>
      </c>
      <c r="E182" s="87">
        <f t="shared" ref="E182:L182" si="215">SUM(E305,E325,E345)</f>
        <v>36.432669488721665</v>
      </c>
      <c r="F182" s="87">
        <f t="shared" si="215"/>
        <v>31.582012859187678</v>
      </c>
      <c r="G182" s="87">
        <f t="shared" si="215"/>
        <v>27.374142917428049</v>
      </c>
      <c r="H182" s="87">
        <f t="shared" si="215"/>
        <v>22.579275444828305</v>
      </c>
      <c r="I182" s="87">
        <f t="shared" si="215"/>
        <v>21.641440395685784</v>
      </c>
      <c r="J182" s="87">
        <f t="shared" si="215"/>
        <v>34.193272573908864</v>
      </c>
      <c r="K182" s="87">
        <f t="shared" si="215"/>
        <v>36.237417038832291</v>
      </c>
      <c r="L182" s="87">
        <f t="shared" si="215"/>
        <v>29.297721822330089</v>
      </c>
      <c r="N182" s="29">
        <f t="shared" si="160"/>
        <v>35.570088182488021</v>
      </c>
      <c r="O182" s="29">
        <f t="shared" si="161"/>
        <v>30.07736729788428</v>
      </c>
      <c r="P182" s="29">
        <f t="shared" si="161"/>
        <v>25.23347868771398</v>
      </c>
      <c r="Q182" s="29">
        <f t="shared" si="161"/>
        <v>19.934593750784579</v>
      </c>
      <c r="R182" s="29">
        <f t="shared" si="161"/>
        <v>18.269804657105482</v>
      </c>
      <c r="S182" s="29">
        <f t="shared" si="161"/>
        <v>29.142261549470323</v>
      </c>
      <c r="T182" s="29">
        <f t="shared" si="161"/>
        <v>30.117168013969163</v>
      </c>
      <c r="U182" s="29">
        <f t="shared" si="161"/>
        <v>22.871625120084342</v>
      </c>
      <c r="W182" s="30">
        <f t="shared" ref="W182:AD182" si="216">SUM(W305,W325,W345)</f>
        <v>29.372349312177846</v>
      </c>
      <c r="X182" s="30">
        <f t="shared" si="216"/>
        <v>24.817683264883918</v>
      </c>
      <c r="Y182" s="30">
        <f t="shared" si="151"/>
        <v>22.591450697129037</v>
      </c>
      <c r="Z182" s="30">
        <f t="shared" si="151"/>
        <v>20.91548307832231</v>
      </c>
      <c r="AA182" s="30">
        <f t="shared" si="152"/>
        <v>14.521646945887055</v>
      </c>
      <c r="AB182" s="30">
        <f t="shared" si="216"/>
        <v>11.375142700624846</v>
      </c>
      <c r="AC182" s="30">
        <f t="shared" ref="AC182" si="217">SUM(AC305,AC325,AC345)</f>
        <v>28.747734777527398</v>
      </c>
      <c r="AD182" s="90">
        <f t="shared" si="216"/>
        <v>0</v>
      </c>
      <c r="AF182" s="29">
        <f t="shared" si="164"/>
        <v>35.570088182488021</v>
      </c>
      <c r="AG182" s="30">
        <f t="shared" si="165"/>
        <v>29.372349312177846</v>
      </c>
      <c r="AH182" s="32">
        <f t="shared" si="166"/>
        <v>-6.1977388703101752</v>
      </c>
      <c r="AI182" s="33">
        <f t="shared" si="167"/>
        <v>-0.17424018851214054</v>
      </c>
      <c r="AK182" s="29">
        <f t="shared" si="154"/>
        <v>30.07736729788428</v>
      </c>
      <c r="AL182" s="30">
        <f t="shared" si="155"/>
        <v>24.817683264883918</v>
      </c>
      <c r="AM182" s="32">
        <f t="shared" si="168"/>
        <v>-5.2596840330003616</v>
      </c>
      <c r="AN182" s="33">
        <f t="shared" si="169"/>
        <v>-0.17487182242078553</v>
      </c>
      <c r="AP182" s="29">
        <f t="shared" si="170"/>
        <v>25.23347868771398</v>
      </c>
      <c r="AQ182" s="30">
        <f t="shared" si="171"/>
        <v>22.591450697129037</v>
      </c>
      <c r="AR182" s="32">
        <f t="shared" si="172"/>
        <v>-2.6420279905849426</v>
      </c>
      <c r="AS182" s="33">
        <f t="shared" si="173"/>
        <v>-0.10470328024456371</v>
      </c>
      <c r="AU182" s="31">
        <f t="shared" si="174"/>
        <v>19.934593750784579</v>
      </c>
      <c r="AV182" s="25">
        <f t="shared" si="175"/>
        <v>20.91548307832231</v>
      </c>
      <c r="AW182" s="32">
        <f t="shared" si="176"/>
        <v>0.9808893275377315</v>
      </c>
      <c r="AX182" s="33">
        <f t="shared" si="177"/>
        <v>4.9205383355210137E-2</v>
      </c>
      <c r="AZ182" s="31">
        <f t="shared" si="156"/>
        <v>18.269804657105482</v>
      </c>
      <c r="BA182" s="25">
        <f t="shared" si="157"/>
        <v>14.521646945887055</v>
      </c>
      <c r="BB182" s="32">
        <f t="shared" si="178"/>
        <v>-3.7481577112184272</v>
      </c>
      <c r="BC182" s="33">
        <f t="shared" si="179"/>
        <v>-0.20515587230215382</v>
      </c>
      <c r="BE182" s="31">
        <f t="shared" si="180"/>
        <v>29.142261549470323</v>
      </c>
      <c r="BF182" s="25">
        <f t="shared" si="181"/>
        <v>11.375142700624846</v>
      </c>
      <c r="BG182" s="32">
        <f t="shared" si="182"/>
        <v>-17.767118848845477</v>
      </c>
      <c r="BH182" s="33">
        <f t="shared" si="183"/>
        <v>-0.60966849874313911</v>
      </c>
      <c r="BJ182" s="31">
        <f t="shared" si="187"/>
        <v>30.117168013969163</v>
      </c>
      <c r="BK182" s="25">
        <f t="shared" si="188"/>
        <v>28.747734777527398</v>
      </c>
      <c r="BL182" s="32">
        <f t="shared" si="189"/>
        <v>-1.3694332364417647</v>
      </c>
      <c r="BM182" s="33">
        <f t="shared" si="190"/>
        <v>-4.5470186167789223E-2</v>
      </c>
      <c r="BO182" s="62"/>
      <c r="BP182" s="62"/>
      <c r="BQ182" s="62"/>
      <c r="BR182" s="63"/>
    </row>
    <row r="183" spans="1:70">
      <c r="A183" s="1"/>
      <c r="B183" s="1284"/>
      <c r="D183" s="5" t="s">
        <v>28</v>
      </c>
      <c r="E183" s="87">
        <f t="shared" ref="E183:L183" si="218">SUM(E306,E326,E346)</f>
        <v>12.383952453511403</v>
      </c>
      <c r="F183" s="87">
        <f t="shared" si="218"/>
        <v>14.875887304076041</v>
      </c>
      <c r="G183" s="87">
        <f t="shared" si="218"/>
        <v>20.138025706923418</v>
      </c>
      <c r="H183" s="87">
        <f t="shared" si="218"/>
        <v>21.610972454270602</v>
      </c>
      <c r="I183" s="87">
        <f t="shared" si="218"/>
        <v>27.706106036330439</v>
      </c>
      <c r="J183" s="87">
        <f t="shared" si="218"/>
        <v>27.138030663119466</v>
      </c>
      <c r="K183" s="87">
        <f t="shared" si="218"/>
        <v>32.840778701839092</v>
      </c>
      <c r="L183" s="87">
        <f t="shared" si="218"/>
        <v>31.063892411946174</v>
      </c>
      <c r="N183" s="29">
        <f t="shared" si="160"/>
        <v>11.203564556244485</v>
      </c>
      <c r="O183" s="29">
        <f t="shared" si="161"/>
        <v>13.41743542678433</v>
      </c>
      <c r="P183" s="29">
        <f t="shared" si="161"/>
        <v>18.070967147058745</v>
      </c>
      <c r="Q183" s="29">
        <f t="shared" si="161"/>
        <v>19.364345767357964</v>
      </c>
      <c r="R183" s="29">
        <f t="shared" si="161"/>
        <v>24.621798372117969</v>
      </c>
      <c r="S183" s="29">
        <f t="shared" si="161"/>
        <v>24.008179950152083</v>
      </c>
      <c r="T183" s="29">
        <f t="shared" si="161"/>
        <v>28.815034582671906</v>
      </c>
      <c r="U183" s="29">
        <f t="shared" si="161"/>
        <v>27.140883273420211</v>
      </c>
      <c r="W183" s="30">
        <f t="shared" ref="W183:AD183" si="219">SUM(W306,W326,W346)</f>
        <v>5.1823774858508145</v>
      </c>
      <c r="X183" s="30">
        <f t="shared" si="219"/>
        <v>10.734165792538365</v>
      </c>
      <c r="Y183" s="30">
        <f t="shared" si="151"/>
        <v>8.9848337784217804</v>
      </c>
      <c r="Z183" s="30">
        <f t="shared" si="151"/>
        <v>6.3166751009892881</v>
      </c>
      <c r="AA183" s="30">
        <f t="shared" si="152"/>
        <v>12.231917685649858</v>
      </c>
      <c r="AB183" s="30">
        <f t="shared" si="219"/>
        <v>9.6661342153334306</v>
      </c>
      <c r="AC183" s="30">
        <f t="shared" ref="AC183" si="220">SUM(AC306,AC326,AC346)</f>
        <v>18.618369896136631</v>
      </c>
      <c r="AD183" s="90">
        <f t="shared" si="219"/>
        <v>0</v>
      </c>
      <c r="AF183" s="29">
        <f t="shared" si="164"/>
        <v>11.203564556244485</v>
      </c>
      <c r="AG183" s="30">
        <f t="shared" si="165"/>
        <v>5.1823774858508145</v>
      </c>
      <c r="AH183" s="32">
        <f t="shared" si="166"/>
        <v>-6.0211870703936707</v>
      </c>
      <c r="AI183" s="33">
        <f t="shared" si="167"/>
        <v>-0.53743494226019939</v>
      </c>
      <c r="AK183" s="29">
        <f t="shared" si="154"/>
        <v>13.41743542678433</v>
      </c>
      <c r="AL183" s="30">
        <f t="shared" si="155"/>
        <v>10.734165792538365</v>
      </c>
      <c r="AM183" s="32">
        <f t="shared" si="168"/>
        <v>-2.6832696342459652</v>
      </c>
      <c r="AN183" s="33">
        <f t="shared" si="169"/>
        <v>-0.19998379339240444</v>
      </c>
      <c r="AP183" s="29">
        <f t="shared" si="170"/>
        <v>18.070967147058745</v>
      </c>
      <c r="AQ183" s="30">
        <f t="shared" si="171"/>
        <v>8.9848337784217804</v>
      </c>
      <c r="AR183" s="32">
        <f t="shared" si="172"/>
        <v>-9.0861333686369647</v>
      </c>
      <c r="AS183" s="33">
        <f t="shared" si="173"/>
        <v>-0.50280282702610279</v>
      </c>
      <c r="AU183" s="31">
        <f t="shared" si="174"/>
        <v>19.364345767357964</v>
      </c>
      <c r="AV183" s="25">
        <f t="shared" si="175"/>
        <v>6.3166751009892881</v>
      </c>
      <c r="AW183" s="32">
        <f t="shared" si="176"/>
        <v>-13.047670666368676</v>
      </c>
      <c r="AX183" s="33">
        <f t="shared" si="177"/>
        <v>-0.67379868254381392</v>
      </c>
      <c r="AZ183" s="31">
        <f t="shared" si="156"/>
        <v>24.621798372117969</v>
      </c>
      <c r="BA183" s="25">
        <f t="shared" si="157"/>
        <v>12.231917685649858</v>
      </c>
      <c r="BB183" s="32">
        <f t="shared" si="178"/>
        <v>-12.389880686468111</v>
      </c>
      <c r="BC183" s="33">
        <f t="shared" si="179"/>
        <v>-0.50320778763660767</v>
      </c>
      <c r="BE183" s="31">
        <f t="shared" si="180"/>
        <v>24.008179950152083</v>
      </c>
      <c r="BF183" s="25">
        <f t="shared" si="181"/>
        <v>9.6661342153334306</v>
      </c>
      <c r="BG183" s="32">
        <f t="shared" si="182"/>
        <v>-14.342045734818653</v>
      </c>
      <c r="BH183" s="33">
        <f t="shared" si="183"/>
        <v>-0.59738163261841937</v>
      </c>
      <c r="BJ183" s="31">
        <f t="shared" si="187"/>
        <v>28.815034582671906</v>
      </c>
      <c r="BK183" s="25">
        <f t="shared" si="188"/>
        <v>18.618369896136631</v>
      </c>
      <c r="BL183" s="32">
        <f t="shared" si="189"/>
        <v>-10.196664686535275</v>
      </c>
      <c r="BM183" s="33">
        <f t="shared" si="190"/>
        <v>-0.35386612697897302</v>
      </c>
      <c r="BO183" s="62"/>
      <c r="BP183" s="62"/>
      <c r="BQ183" s="62"/>
      <c r="BR183" s="63"/>
    </row>
    <row r="184" spans="1:70">
      <c r="A184" s="1"/>
      <c r="B184" s="1284"/>
      <c r="D184" s="5" t="s">
        <v>173</v>
      </c>
      <c r="E184" s="87">
        <f t="shared" ref="E184:L184" si="221">SUM(E307,E327,E347)</f>
        <v>37.084971361459552</v>
      </c>
      <c r="F184" s="87">
        <f t="shared" si="221"/>
        <v>47.757840446054992</v>
      </c>
      <c r="G184" s="87">
        <f t="shared" si="221"/>
        <v>38.813012309018752</v>
      </c>
      <c r="H184" s="87">
        <f t="shared" si="221"/>
        <v>44.734232450087617</v>
      </c>
      <c r="I184" s="87">
        <f t="shared" si="221"/>
        <v>28.243221349246198</v>
      </c>
      <c r="J184" s="87">
        <f t="shared" si="221"/>
        <v>42.452874670986979</v>
      </c>
      <c r="K184" s="87">
        <f t="shared" si="221"/>
        <v>59.951319479082677</v>
      </c>
      <c r="L184" s="87">
        <f t="shared" si="221"/>
        <v>53.35119019093856</v>
      </c>
      <c r="N184" s="29">
        <f t="shared" si="160"/>
        <v>32.910269041134825</v>
      </c>
      <c r="O184" s="29">
        <f t="shared" si="161"/>
        <v>41.711838247096914</v>
      </c>
      <c r="P184" s="29">
        <f t="shared" si="161"/>
        <v>33.417177673267652</v>
      </c>
      <c r="Q184" s="29">
        <f t="shared" si="161"/>
        <v>38.087351331560981</v>
      </c>
      <c r="R184" s="29">
        <f t="shared" si="161"/>
        <v>23.350904333733208</v>
      </c>
      <c r="S184" s="29">
        <f t="shared" si="161"/>
        <v>34.943374669198271</v>
      </c>
      <c r="T184" s="29">
        <f t="shared" si="161"/>
        <v>49.138335010566884</v>
      </c>
      <c r="U184" s="29">
        <f t="shared" si="161"/>
        <v>42.923793754127239</v>
      </c>
      <c r="W184" s="30">
        <f t="shared" ref="W184:AD184" si="222">SUM(W307,W327,W347)</f>
        <v>18.414809663956447</v>
      </c>
      <c r="X184" s="30">
        <f t="shared" si="222"/>
        <v>17.917671606902999</v>
      </c>
      <c r="Y184" s="30">
        <f t="shared" si="151"/>
        <v>25.622642211685719</v>
      </c>
      <c r="Z184" s="30">
        <f t="shared" si="151"/>
        <v>14.179447402189396</v>
      </c>
      <c r="AA184" s="30">
        <f t="shared" si="152"/>
        <v>23.796752699080219</v>
      </c>
      <c r="AB184" s="30">
        <f t="shared" si="222"/>
        <v>31.337944041265892</v>
      </c>
      <c r="AC184" s="30">
        <f t="shared" ref="AC184" si="223">SUM(AC307,AC327,AC347)</f>
        <v>23.612897046825257</v>
      </c>
      <c r="AD184" s="90">
        <f t="shared" si="222"/>
        <v>0</v>
      </c>
      <c r="AF184" s="29">
        <f t="shared" si="164"/>
        <v>32.910269041134825</v>
      </c>
      <c r="AG184" s="30">
        <f t="shared" si="165"/>
        <v>18.414809663956447</v>
      </c>
      <c r="AH184" s="32">
        <f t="shared" si="166"/>
        <v>-14.495459377178378</v>
      </c>
      <c r="AI184" s="33">
        <f t="shared" si="167"/>
        <v>-0.44045399200657948</v>
      </c>
      <c r="AK184" s="29">
        <f t="shared" si="154"/>
        <v>41.711838247096914</v>
      </c>
      <c r="AL184" s="30">
        <f t="shared" si="155"/>
        <v>17.917671606902999</v>
      </c>
      <c r="AM184" s="32">
        <f t="shared" si="168"/>
        <v>-23.794166640193914</v>
      </c>
      <c r="AN184" s="33">
        <f t="shared" si="169"/>
        <v>-0.57044157342669877</v>
      </c>
      <c r="AP184" s="29">
        <f t="shared" si="170"/>
        <v>33.417177673267652</v>
      </c>
      <c r="AQ184" s="30">
        <f t="shared" si="171"/>
        <v>25.622642211685719</v>
      </c>
      <c r="AR184" s="32">
        <f t="shared" si="172"/>
        <v>-7.7945354615819333</v>
      </c>
      <c r="AS184" s="33">
        <f t="shared" si="173"/>
        <v>-0.2332493646768152</v>
      </c>
      <c r="AU184" s="31">
        <f t="shared" si="174"/>
        <v>38.087351331560981</v>
      </c>
      <c r="AV184" s="25">
        <f t="shared" si="175"/>
        <v>14.179447402189396</v>
      </c>
      <c r="AW184" s="32">
        <f t="shared" si="176"/>
        <v>-23.907903929371585</v>
      </c>
      <c r="AX184" s="33">
        <f t="shared" si="177"/>
        <v>-0.62771243191070536</v>
      </c>
      <c r="AZ184" s="31">
        <f t="shared" si="156"/>
        <v>23.350904333733208</v>
      </c>
      <c r="BA184" s="25">
        <f t="shared" si="157"/>
        <v>23.796752699080219</v>
      </c>
      <c r="BB184" s="32">
        <f t="shared" si="178"/>
        <v>0.44584836534701111</v>
      </c>
      <c r="BC184" s="33">
        <f t="shared" si="179"/>
        <v>1.9093408930759448E-2</v>
      </c>
      <c r="BE184" s="31">
        <f t="shared" si="180"/>
        <v>34.943374669198271</v>
      </c>
      <c r="BF184" s="25">
        <f t="shared" si="181"/>
        <v>31.337944041265892</v>
      </c>
      <c r="BG184" s="32">
        <f t="shared" si="182"/>
        <v>-3.6054306279323782</v>
      </c>
      <c r="BH184" s="33">
        <f t="shared" si="183"/>
        <v>-0.10317923389095207</v>
      </c>
      <c r="BJ184" s="31">
        <f t="shared" si="187"/>
        <v>49.138335010566884</v>
      </c>
      <c r="BK184" s="25">
        <f t="shared" si="188"/>
        <v>23.612897046825257</v>
      </c>
      <c r="BL184" s="32">
        <f t="shared" si="189"/>
        <v>-25.525437963741627</v>
      </c>
      <c r="BM184" s="33">
        <f t="shared" si="190"/>
        <v>-0.519460782671056</v>
      </c>
      <c r="BO184" s="62"/>
      <c r="BP184" s="62"/>
      <c r="BQ184" s="62"/>
      <c r="BR184" s="63"/>
    </row>
    <row r="185" spans="1:70">
      <c r="A185" s="1"/>
      <c r="B185" s="1284"/>
      <c r="D185" s="4" t="s">
        <v>174</v>
      </c>
      <c r="E185" s="88">
        <f t="shared" ref="E185:L185" si="224">SUM(E171:E184)</f>
        <v>424.468630502937</v>
      </c>
      <c r="F185" s="88">
        <f t="shared" si="224"/>
        <v>447.50888789239713</v>
      </c>
      <c r="G185" s="88">
        <f t="shared" si="224"/>
        <v>412.86278197696186</v>
      </c>
      <c r="H185" s="88">
        <f t="shared" si="224"/>
        <v>423.22680093623683</v>
      </c>
      <c r="I185" s="88">
        <f t="shared" si="224"/>
        <v>425.14967063501899</v>
      </c>
      <c r="J185" s="88">
        <f t="shared" si="224"/>
        <v>457.22851646867832</v>
      </c>
      <c r="K185" s="88">
        <f t="shared" si="224"/>
        <v>505.97839719770758</v>
      </c>
      <c r="L185" s="88">
        <f t="shared" si="224"/>
        <v>480.66242404563565</v>
      </c>
      <c r="M185" s="1"/>
      <c r="N185" s="81">
        <f t="shared" ref="N185:U185" si="225">SUM(N171:N184)</f>
        <v>412.0476672079634</v>
      </c>
      <c r="O185" s="81">
        <f t="shared" si="225"/>
        <v>429.2565424607202</v>
      </c>
      <c r="P185" s="81">
        <f t="shared" si="225"/>
        <v>390.46202806001372</v>
      </c>
      <c r="Q185" s="81">
        <f t="shared" si="225"/>
        <v>396.04567400731054</v>
      </c>
      <c r="R185" s="81">
        <f t="shared" si="225"/>
        <v>393.13774381139535</v>
      </c>
      <c r="S185" s="81">
        <f t="shared" si="225"/>
        <v>418.246745069165</v>
      </c>
      <c r="T185" s="81">
        <f t="shared" si="225"/>
        <v>459.35811369941882</v>
      </c>
      <c r="U185" s="81">
        <f t="shared" si="225"/>
        <v>430.91315561965695</v>
      </c>
      <c r="V185" s="1"/>
      <c r="W185" s="85">
        <f t="shared" ref="W185:AD185" si="226">SUM(W171:W184)</f>
        <v>281.21112772172717</v>
      </c>
      <c r="X185" s="85">
        <f t="shared" si="226"/>
        <v>247.3141897583763</v>
      </c>
      <c r="Y185" s="85">
        <f>SUM(Y171:Y184)</f>
        <v>270.43136376786464</v>
      </c>
      <c r="Z185" s="85">
        <f>SUM(Z171:Z184)</f>
        <v>200.68568878618726</v>
      </c>
      <c r="AA185" s="85">
        <f>SUM(AA171:AA184)</f>
        <v>229.12008017947886</v>
      </c>
      <c r="AB185" s="85">
        <f t="shared" si="226"/>
        <v>302.20848594765755</v>
      </c>
      <c r="AC185" s="85">
        <f t="shared" ref="AC185" si="227">SUM(AC171:AC184)</f>
        <v>384.15643862833571</v>
      </c>
      <c r="AD185" s="91">
        <f t="shared" si="226"/>
        <v>0</v>
      </c>
      <c r="AE185" s="1"/>
      <c r="AF185" s="81">
        <f t="shared" si="164"/>
        <v>412.0476672079634</v>
      </c>
      <c r="AG185" s="85">
        <f t="shared" si="165"/>
        <v>281.21112772172717</v>
      </c>
      <c r="AH185" s="34">
        <f t="shared" si="166"/>
        <v>-130.83653948623623</v>
      </c>
      <c r="AI185" s="35">
        <f t="shared" si="167"/>
        <v>-0.3175276791949464</v>
      </c>
      <c r="AK185" s="81">
        <f t="shared" si="154"/>
        <v>429.2565424607202</v>
      </c>
      <c r="AL185" s="85">
        <f t="shared" si="155"/>
        <v>247.3141897583763</v>
      </c>
      <c r="AM185" s="34">
        <f t="shared" si="168"/>
        <v>-181.9423527023439</v>
      </c>
      <c r="AN185" s="35">
        <f t="shared" si="169"/>
        <v>-0.42385458276152616</v>
      </c>
      <c r="AP185" s="81">
        <f t="shared" si="170"/>
        <v>390.46202806001372</v>
      </c>
      <c r="AQ185" s="85">
        <f t="shared" si="171"/>
        <v>270.43136376786464</v>
      </c>
      <c r="AR185" s="34">
        <f t="shared" si="172"/>
        <v>-120.03066429214908</v>
      </c>
      <c r="AS185" s="35">
        <f t="shared" si="173"/>
        <v>-0.30740675319573063</v>
      </c>
      <c r="AU185" s="949">
        <f t="shared" si="174"/>
        <v>396.04567400731054</v>
      </c>
      <c r="AV185" s="843">
        <f t="shared" si="175"/>
        <v>200.68568878618726</v>
      </c>
      <c r="AW185" s="34">
        <f t="shared" si="176"/>
        <v>-195.35998522112328</v>
      </c>
      <c r="AX185" s="35">
        <f t="shared" si="177"/>
        <v>-0.49327640230080422</v>
      </c>
      <c r="AZ185" s="949">
        <f t="shared" si="156"/>
        <v>393.13774381139535</v>
      </c>
      <c r="BA185" s="843">
        <f t="shared" si="157"/>
        <v>229.12008017947886</v>
      </c>
      <c r="BB185" s="34">
        <f t="shared" si="178"/>
        <v>-164.01766363191649</v>
      </c>
      <c r="BC185" s="35">
        <f t="shared" si="179"/>
        <v>-0.41720151833247188</v>
      </c>
      <c r="BE185" s="31">
        <f t="shared" si="180"/>
        <v>418.246745069165</v>
      </c>
      <c r="BF185" s="25">
        <f t="shared" si="181"/>
        <v>302.20848594765755</v>
      </c>
      <c r="BG185" s="32">
        <f t="shared" si="182"/>
        <v>-116.03825912150745</v>
      </c>
      <c r="BH185" s="33">
        <f t="shared" si="183"/>
        <v>-0.27743971827519742</v>
      </c>
      <c r="BJ185" s="31">
        <f t="shared" si="187"/>
        <v>459.35811369941882</v>
      </c>
      <c r="BK185" s="25">
        <f t="shared" si="188"/>
        <v>384.15643862833571</v>
      </c>
      <c r="BL185" s="32">
        <f t="shared" si="189"/>
        <v>-75.201675071083116</v>
      </c>
      <c r="BM185" s="33">
        <f t="shared" si="190"/>
        <v>-0.16371034456200192</v>
      </c>
      <c r="BO185" s="62"/>
      <c r="BP185" s="62"/>
      <c r="BQ185" s="62"/>
      <c r="BR185" s="63"/>
    </row>
    <row r="186" spans="1:70">
      <c r="A186" s="1"/>
      <c r="B186" s="1284"/>
      <c r="D186" s="4" t="s">
        <v>724</v>
      </c>
      <c r="E186" s="88">
        <f t="shared" ref="E186:L186" si="228">E185-SUM(E174:E177)</f>
        <v>314.89536491539718</v>
      </c>
      <c r="F186" s="88">
        <f t="shared" si="228"/>
        <v>343.94209820276853</v>
      </c>
      <c r="G186" s="88">
        <f t="shared" si="228"/>
        <v>339.84588410793651</v>
      </c>
      <c r="H186" s="88">
        <f t="shared" si="228"/>
        <v>322.23330263834032</v>
      </c>
      <c r="I186" s="88">
        <f t="shared" si="228"/>
        <v>323.27470494799564</v>
      </c>
      <c r="J186" s="88">
        <f t="shared" si="228"/>
        <v>348.67241485082008</v>
      </c>
      <c r="K186" s="88">
        <f t="shared" si="228"/>
        <v>377.93122383809032</v>
      </c>
      <c r="L186" s="88">
        <f t="shared" si="228"/>
        <v>352.55489568982017</v>
      </c>
      <c r="M186" s="1"/>
      <c r="N186" s="81">
        <f t="shared" ref="N186:U186" si="229">N185-SUM(N174:N177)</f>
        <v>302.47440162042358</v>
      </c>
      <c r="O186" s="81">
        <f t="shared" si="229"/>
        <v>325.68975277109155</v>
      </c>
      <c r="P186" s="81">
        <f t="shared" si="229"/>
        <v>317.44513019098838</v>
      </c>
      <c r="Q186" s="81">
        <f t="shared" si="229"/>
        <v>295.05217570941403</v>
      </c>
      <c r="R186" s="81">
        <f t="shared" si="229"/>
        <v>291.26277812437201</v>
      </c>
      <c r="S186" s="81">
        <f t="shared" si="229"/>
        <v>309.69064345130676</v>
      </c>
      <c r="T186" s="81">
        <f t="shared" si="229"/>
        <v>331.3109403398015</v>
      </c>
      <c r="U186" s="81">
        <f t="shared" si="229"/>
        <v>302.80562726384147</v>
      </c>
      <c r="V186" s="1"/>
      <c r="W186" s="85">
        <f t="shared" ref="W186:AD186" si="230">W185-SUM(W174:W177)</f>
        <v>164.71622938188602</v>
      </c>
      <c r="X186" s="85">
        <f t="shared" si="230"/>
        <v>167.14924961678713</v>
      </c>
      <c r="Y186" s="85">
        <f>Y185-SUM(Y174:Y177)</f>
        <v>185.09947298767636</v>
      </c>
      <c r="Z186" s="85">
        <f>Z185-SUM(Z174:Z177)</f>
        <v>142.0287352578718</v>
      </c>
      <c r="AA186" s="85">
        <f>AA185-SUM(AA174:AA177)</f>
        <v>169.82949401023973</v>
      </c>
      <c r="AB186" s="85">
        <f t="shared" si="230"/>
        <v>182.28975375493036</v>
      </c>
      <c r="AC186" s="85">
        <f t="shared" ref="AC186" si="231">AC185-SUM(AC174:AC177)</f>
        <v>226.3470386283357</v>
      </c>
      <c r="AD186" s="91">
        <f t="shared" si="230"/>
        <v>0</v>
      </c>
      <c r="AE186" s="1"/>
      <c r="AF186" s="81">
        <f t="shared" si="164"/>
        <v>302.47440162042358</v>
      </c>
      <c r="AG186" s="85">
        <f t="shared" si="165"/>
        <v>164.71622938188602</v>
      </c>
      <c r="AH186" s="34">
        <f t="shared" si="166"/>
        <v>-137.75817223853755</v>
      </c>
      <c r="AI186" s="35">
        <f t="shared" si="167"/>
        <v>-0.45543745685762482</v>
      </c>
      <c r="AK186" s="81">
        <f t="shared" si="154"/>
        <v>325.68975277109155</v>
      </c>
      <c r="AL186" s="85">
        <f t="shared" si="155"/>
        <v>167.14924961678713</v>
      </c>
      <c r="AM186" s="34">
        <f t="shared" si="168"/>
        <v>-158.54050315430442</v>
      </c>
      <c r="AN186" s="35">
        <f t="shared" si="169"/>
        <v>-0.48678382357867228</v>
      </c>
      <c r="AP186" s="81">
        <f t="shared" si="170"/>
        <v>317.44513019098838</v>
      </c>
      <c r="AQ186" s="85">
        <f>Y186</f>
        <v>185.09947298767636</v>
      </c>
      <c r="AR186" s="34">
        <f t="shared" si="172"/>
        <v>-132.34565720331202</v>
      </c>
      <c r="AS186" s="35">
        <f t="shared" si="173"/>
        <v>-0.41690876506338997</v>
      </c>
      <c r="AU186" s="949">
        <f t="shared" si="174"/>
        <v>295.05217570941403</v>
      </c>
      <c r="AV186" s="843">
        <f t="shared" si="175"/>
        <v>142.0287352578718</v>
      </c>
      <c r="AW186" s="34">
        <f t="shared" si="176"/>
        <v>-153.02344045154223</v>
      </c>
      <c r="AX186" s="35">
        <f t="shared" si="177"/>
        <v>-0.51863179820185212</v>
      </c>
      <c r="AZ186" s="949">
        <f t="shared" si="156"/>
        <v>291.26277812437201</v>
      </c>
      <c r="BA186" s="843">
        <f t="shared" si="157"/>
        <v>169.82949401023973</v>
      </c>
      <c r="BB186" s="34">
        <f t="shared" si="178"/>
        <v>-121.43328411413228</v>
      </c>
      <c r="BC186" s="35">
        <f t="shared" si="179"/>
        <v>-0.41692002286086516</v>
      </c>
      <c r="BE186" s="31">
        <f t="shared" si="180"/>
        <v>309.69064345130676</v>
      </c>
      <c r="BF186" s="25">
        <f t="shared" si="181"/>
        <v>182.28975375493036</v>
      </c>
      <c r="BG186" s="32">
        <f t="shared" si="182"/>
        <v>-127.4008896963764</v>
      </c>
      <c r="BH186" s="33">
        <f t="shared" si="183"/>
        <v>-0.41138113917996971</v>
      </c>
      <c r="BJ186" s="31">
        <f t="shared" si="187"/>
        <v>331.3109403398015</v>
      </c>
      <c r="BK186" s="25">
        <f t="shared" si="188"/>
        <v>226.3470386283357</v>
      </c>
      <c r="BL186" s="32">
        <f t="shared" si="189"/>
        <v>-104.96390171146581</v>
      </c>
      <c r="BM186" s="33">
        <f t="shared" si="190"/>
        <v>-0.31681387159691127</v>
      </c>
      <c r="BO186" s="62"/>
      <c r="BP186" s="62"/>
      <c r="BQ186" s="62"/>
      <c r="BR186" s="63"/>
    </row>
    <row r="187" spans="1:70">
      <c r="A187" s="1"/>
      <c r="B187" s="1284"/>
      <c r="L187" s="122"/>
      <c r="U187" s="122"/>
      <c r="AB187" s="122"/>
    </row>
    <row r="188" spans="1:70">
      <c r="B188" s="1284"/>
      <c r="D188" s="1" t="s">
        <v>737</v>
      </c>
    </row>
    <row r="189" spans="1:70">
      <c r="B189" s="1284"/>
      <c r="E189" s="1300" t="s">
        <v>733</v>
      </c>
      <c r="F189" s="1301"/>
      <c r="G189" s="1301"/>
      <c r="H189" s="1301"/>
      <c r="I189" s="1301"/>
      <c r="J189" s="1301"/>
      <c r="K189" s="1301"/>
      <c r="L189" s="1302"/>
      <c r="N189" s="245" t="s">
        <v>291</v>
      </c>
      <c r="O189" s="246"/>
      <c r="P189" s="246"/>
      <c r="Q189" s="246"/>
      <c r="R189" s="246"/>
      <c r="S189" s="246"/>
      <c r="T189" s="246"/>
      <c r="U189" s="247"/>
      <c r="W189" s="1300" t="s">
        <v>292</v>
      </c>
      <c r="X189" s="1301"/>
      <c r="Y189" s="1301"/>
      <c r="Z189" s="1301"/>
      <c r="AA189" s="1301"/>
      <c r="AB189" s="1301"/>
      <c r="AC189" s="1301"/>
      <c r="AD189" s="1302"/>
      <c r="AF189" s="102" t="s">
        <v>297</v>
      </c>
      <c r="AG189" s="102" t="s">
        <v>298</v>
      </c>
      <c r="AH189" s="1304" t="s">
        <v>602</v>
      </c>
      <c r="AI189" s="1304"/>
      <c r="AK189" s="102" t="s">
        <v>297</v>
      </c>
      <c r="AL189" s="102" t="s">
        <v>298</v>
      </c>
      <c r="AM189" s="1304" t="s">
        <v>602</v>
      </c>
      <c r="AN189" s="1304"/>
      <c r="AP189" s="6" t="s">
        <v>297</v>
      </c>
      <c r="AQ189" s="5" t="s">
        <v>298</v>
      </c>
      <c r="AR189" s="1303" t="s">
        <v>602</v>
      </c>
      <c r="AS189" s="1303"/>
      <c r="AU189" s="6" t="s">
        <v>297</v>
      </c>
      <c r="AV189" s="5" t="s">
        <v>298</v>
      </c>
      <c r="AW189" s="1303" t="s">
        <v>602</v>
      </c>
      <c r="AX189" s="1303"/>
      <c r="AZ189" s="6" t="s">
        <v>297</v>
      </c>
      <c r="BA189" s="5" t="s">
        <v>298</v>
      </c>
      <c r="BB189" s="1303" t="s">
        <v>602</v>
      </c>
      <c r="BC189" s="1303"/>
      <c r="BE189" s="6" t="s">
        <v>297</v>
      </c>
      <c r="BF189" s="5" t="s">
        <v>298</v>
      </c>
      <c r="BG189" s="1082" t="s">
        <v>602</v>
      </c>
      <c r="BH189" s="1082"/>
      <c r="BJ189" s="6" t="s">
        <v>297</v>
      </c>
      <c r="BK189" s="5" t="s">
        <v>298</v>
      </c>
      <c r="BL189" s="1082" t="s">
        <v>602</v>
      </c>
      <c r="BM189" s="1082"/>
      <c r="BO189" s="6" t="s">
        <v>297</v>
      </c>
      <c r="BP189" s="5" t="s">
        <v>298</v>
      </c>
      <c r="BQ189" s="1303" t="s">
        <v>602</v>
      </c>
      <c r="BR189" s="1303"/>
    </row>
    <row r="190" spans="1:70">
      <c r="A190" s="1"/>
      <c r="B190" s="1284"/>
      <c r="E190" s="196" t="s">
        <v>137</v>
      </c>
      <c r="F190" s="102" t="s">
        <v>138</v>
      </c>
      <c r="G190" s="102" t="s">
        <v>139</v>
      </c>
      <c r="H190" s="102" t="s">
        <v>140</v>
      </c>
      <c r="I190" s="102" t="s">
        <v>141</v>
      </c>
      <c r="J190" s="102" t="s">
        <v>126</v>
      </c>
      <c r="K190" s="102" t="s">
        <v>142</v>
      </c>
      <c r="L190" s="197" t="s">
        <v>143</v>
      </c>
      <c r="N190" s="196" t="s">
        <v>137</v>
      </c>
      <c r="O190" s="102" t="s">
        <v>138</v>
      </c>
      <c r="P190" s="102" t="s">
        <v>139</v>
      </c>
      <c r="Q190" s="102" t="s">
        <v>140</v>
      </c>
      <c r="R190" s="102" t="s">
        <v>141</v>
      </c>
      <c r="S190" s="102" t="s">
        <v>126</v>
      </c>
      <c r="T190" s="102" t="s">
        <v>142</v>
      </c>
      <c r="U190" s="197" t="s">
        <v>143</v>
      </c>
      <c r="W190" s="196" t="s">
        <v>137</v>
      </c>
      <c r="X190" s="102" t="s">
        <v>138</v>
      </c>
      <c r="Y190" s="102" t="s">
        <v>139</v>
      </c>
      <c r="Z190" s="102" t="s">
        <v>140</v>
      </c>
      <c r="AA190" s="102" t="s">
        <v>141</v>
      </c>
      <c r="AB190" s="102" t="s">
        <v>126</v>
      </c>
      <c r="AC190" s="102" t="s">
        <v>142</v>
      </c>
      <c r="AD190" s="197" t="s">
        <v>143</v>
      </c>
      <c r="AF190" s="102" t="s">
        <v>734</v>
      </c>
      <c r="AG190" s="102" t="s">
        <v>734</v>
      </c>
      <c r="AH190" s="102" t="s">
        <v>734</v>
      </c>
      <c r="AI190" s="102" t="s">
        <v>606</v>
      </c>
      <c r="AK190" s="102" t="s">
        <v>734</v>
      </c>
      <c r="AL190" s="102" t="s">
        <v>734</v>
      </c>
      <c r="AM190" s="102" t="s">
        <v>734</v>
      </c>
      <c r="AN190" s="102" t="s">
        <v>606</v>
      </c>
      <c r="AP190" s="5" t="s">
        <v>734</v>
      </c>
      <c r="AQ190" s="5" t="s">
        <v>734</v>
      </c>
      <c r="AR190" s="5" t="s">
        <v>734</v>
      </c>
      <c r="AS190" s="5" t="s">
        <v>606</v>
      </c>
      <c r="AU190" s="5" t="s">
        <v>734</v>
      </c>
      <c r="AV190" s="5" t="s">
        <v>734</v>
      </c>
      <c r="AW190" s="5" t="s">
        <v>734</v>
      </c>
      <c r="AX190" s="5" t="s">
        <v>606</v>
      </c>
      <c r="AZ190" s="5" t="s">
        <v>734</v>
      </c>
      <c r="BA190" s="5" t="s">
        <v>734</v>
      </c>
      <c r="BB190" s="5" t="s">
        <v>734</v>
      </c>
      <c r="BC190" s="5" t="s">
        <v>606</v>
      </c>
      <c r="BE190" s="5" t="s">
        <v>734</v>
      </c>
      <c r="BF190" s="5" t="s">
        <v>734</v>
      </c>
      <c r="BG190" s="5" t="s">
        <v>734</v>
      </c>
      <c r="BH190" s="5" t="s">
        <v>606</v>
      </c>
      <c r="BJ190" s="5" t="s">
        <v>734</v>
      </c>
      <c r="BK190" s="5" t="s">
        <v>734</v>
      </c>
      <c r="BL190" s="5" t="s">
        <v>734</v>
      </c>
      <c r="BM190" s="5" t="s">
        <v>606</v>
      </c>
      <c r="BO190" s="5" t="s">
        <v>734</v>
      </c>
      <c r="BP190" s="5" t="s">
        <v>734</v>
      </c>
      <c r="BQ190" s="5" t="s">
        <v>734</v>
      </c>
      <c r="BR190" s="5" t="s">
        <v>606</v>
      </c>
    </row>
    <row r="191" spans="1:70">
      <c r="B191" s="1284"/>
      <c r="D191" s="5" t="s">
        <v>161</v>
      </c>
      <c r="E191" s="87">
        <f>SUM(E394,E414,E434,E494,E594)</f>
        <v>93.914422881307843</v>
      </c>
      <c r="F191" s="87">
        <f t="shared" ref="F191:L191" si="232">SUM(F394,F414,F434,F494,F594)</f>
        <v>85.115369360380356</v>
      </c>
      <c r="G191" s="87">
        <f t="shared" si="232"/>
        <v>94.912014569569109</v>
      </c>
      <c r="H191" s="87">
        <f t="shared" si="232"/>
        <v>87.362967514975949</v>
      </c>
      <c r="I191" s="87">
        <f t="shared" si="232"/>
        <v>100.27465464794203</v>
      </c>
      <c r="J191" s="87">
        <f t="shared" si="232"/>
        <v>98.116775730075489</v>
      </c>
      <c r="K191" s="87">
        <f t="shared" si="232"/>
        <v>98.489915729290431</v>
      </c>
      <c r="L191" s="87">
        <f t="shared" si="232"/>
        <v>95.32056699255152</v>
      </c>
      <c r="N191" s="29">
        <f>SUM(N394,N414,N434,N494,N594)</f>
        <v>94.062820296691214</v>
      </c>
      <c r="O191" s="29">
        <f t="shared" ref="O191:U191" si="233">SUM(O394,O414,O434,O494,O594)</f>
        <v>83.887177346843657</v>
      </c>
      <c r="P191" s="29">
        <f t="shared" si="233"/>
        <v>91.840104541394737</v>
      </c>
      <c r="Q191" s="29">
        <f t="shared" si="233"/>
        <v>86.84007232747561</v>
      </c>
      <c r="R191" s="29">
        <f t="shared" si="233"/>
        <v>92.913383245531605</v>
      </c>
      <c r="S191" s="29">
        <f t="shared" si="233"/>
        <v>92.203130689658124</v>
      </c>
      <c r="T191" s="29">
        <f t="shared" si="233"/>
        <v>91.529860998096396</v>
      </c>
      <c r="U191" s="29">
        <f t="shared" si="233"/>
        <v>88.71508447099059</v>
      </c>
      <c r="W191" s="30">
        <f t="shared" ref="W191:AD191" si="234">SUM(W394,W414,W434,W494,W594)</f>
        <v>67.518617954720398</v>
      </c>
      <c r="X191" s="30">
        <f t="shared" si="234"/>
        <v>68.156218972946235</v>
      </c>
      <c r="Y191" s="30">
        <f t="shared" ref="Y191:Z204" si="235">SUM(Y394,Y414,Y434,Y494,Y594)</f>
        <v>78.804881533847478</v>
      </c>
      <c r="Z191" s="30">
        <f t="shared" si="235"/>
        <v>70.058809408157373</v>
      </c>
      <c r="AA191" s="30">
        <f t="shared" ref="AA191:AA204" si="236">SUM(AA394,AA414,AA434,AA494,AA594)</f>
        <v>52.921769341941818</v>
      </c>
      <c r="AB191" s="30">
        <f t="shared" si="234"/>
        <v>46.005458208171611</v>
      </c>
      <c r="AC191" s="30">
        <f t="shared" ref="AC191" si="237">SUM(AC394,AC414,AC434,AC494,AC594)</f>
        <v>39.095718580299781</v>
      </c>
      <c r="AD191" s="90">
        <f t="shared" si="234"/>
        <v>0</v>
      </c>
      <c r="AF191" s="29">
        <f>N191</f>
        <v>94.062820296691214</v>
      </c>
      <c r="AG191" s="30">
        <f>W191</f>
        <v>67.518617954720398</v>
      </c>
      <c r="AH191" s="32">
        <f>AG191-AF191</f>
        <v>-26.544202341970816</v>
      </c>
      <c r="AI191" s="33">
        <f>AH191/AF191</f>
        <v>-0.28219653906023212</v>
      </c>
      <c r="AK191" s="29">
        <f t="shared" ref="AK191:AK206" si="238">O191</f>
        <v>83.887177346843657</v>
      </c>
      <c r="AL191" s="30">
        <f t="shared" ref="AL191:AL206" si="239">X191</f>
        <v>68.156218972946235</v>
      </c>
      <c r="AM191" s="32">
        <f>AL191-AK191</f>
        <v>-15.730958373897423</v>
      </c>
      <c r="AN191" s="33">
        <f>AM191/AK191</f>
        <v>-0.18752518407974919</v>
      </c>
      <c r="AP191" s="29">
        <f>P191</f>
        <v>91.840104541394737</v>
      </c>
      <c r="AQ191" s="30">
        <f>Y191</f>
        <v>78.804881533847478</v>
      </c>
      <c r="AR191" s="32">
        <f>AQ191-AP191</f>
        <v>-13.035223007547259</v>
      </c>
      <c r="AS191" s="33">
        <f>AR191/AP191</f>
        <v>-0.14193388686390207</v>
      </c>
      <c r="AT191" s="122"/>
      <c r="AU191" s="31">
        <f>Q191</f>
        <v>86.84007232747561</v>
      </c>
      <c r="AV191" s="25">
        <f>Z191</f>
        <v>70.058809408157373</v>
      </c>
      <c r="AW191" s="32">
        <f>AV191-AU191</f>
        <v>-16.781262919318237</v>
      </c>
      <c r="AX191" s="33">
        <f>AW191/AU191</f>
        <v>-0.19324330887284119</v>
      </c>
      <c r="AZ191" s="31">
        <f t="shared" ref="AZ191:AZ206" si="240">R191</f>
        <v>92.913383245531605</v>
      </c>
      <c r="BA191" s="25">
        <f t="shared" ref="BA191:BA206" si="241">AA191</f>
        <v>52.921769341941818</v>
      </c>
      <c r="BB191" s="32">
        <f>BA191-AZ191</f>
        <v>-39.991613903589787</v>
      </c>
      <c r="BC191" s="33">
        <f>BB191/AZ191</f>
        <v>-0.43041822939445123</v>
      </c>
      <c r="BE191" s="31">
        <f>S191</f>
        <v>92.203130689658124</v>
      </c>
      <c r="BF191" s="25">
        <f>AB191</f>
        <v>46.005458208171611</v>
      </c>
      <c r="BG191" s="32">
        <f>BF191-BE191</f>
        <v>-46.197672481486514</v>
      </c>
      <c r="BH191" s="33">
        <f>BG191/BE191</f>
        <v>-0.50104234136019665</v>
      </c>
      <c r="BJ191" s="31">
        <f t="shared" ref="BJ191:BJ206" si="242">T191</f>
        <v>91.529860998096396</v>
      </c>
      <c r="BK191" s="25">
        <f t="shared" ref="BK191:BK206" si="243">AC191</f>
        <v>39.095718580299781</v>
      </c>
      <c r="BL191" s="32">
        <f t="shared" ref="BL191:BL206" si="244">BK191-BJ191</f>
        <v>-52.434142417796615</v>
      </c>
      <c r="BM191" s="33">
        <f t="shared" ref="BM191:BM206" si="245">BL191/BJ191</f>
        <v>-0.57286378287941597</v>
      </c>
      <c r="BO191" s="62"/>
      <c r="BP191" s="62"/>
      <c r="BQ191" s="62"/>
      <c r="BR191" s="63"/>
    </row>
    <row r="192" spans="1:70">
      <c r="B192" s="1284"/>
      <c r="D192" s="5" t="s">
        <v>162</v>
      </c>
      <c r="E192" s="87">
        <f t="shared" ref="E192:L192" si="246">SUM(E395,E415,E435,E495,E595)</f>
        <v>69.695882813869289</v>
      </c>
      <c r="F192" s="87">
        <f t="shared" si="246"/>
        <v>72.372752717382312</v>
      </c>
      <c r="G192" s="87">
        <f t="shared" si="246"/>
        <v>67.30996726613904</v>
      </c>
      <c r="H192" s="87">
        <f t="shared" si="246"/>
        <v>67.254558588291033</v>
      </c>
      <c r="I192" s="87">
        <f t="shared" si="246"/>
        <v>65.841624706686687</v>
      </c>
      <c r="J192" s="87">
        <f t="shared" si="246"/>
        <v>55.919116292865489</v>
      </c>
      <c r="K192" s="87">
        <f t="shared" si="246"/>
        <v>48.463236443565108</v>
      </c>
      <c r="L192" s="87">
        <f t="shared" si="246"/>
        <v>49.042061982393626</v>
      </c>
      <c r="N192" s="29">
        <f t="shared" ref="N192:N204" si="247">SUM(N395,N415,N435,N495,N595)</f>
        <v>69.585232305447391</v>
      </c>
      <c r="O192" s="29">
        <f t="shared" ref="O192:U204" si="248">SUM(O395,O415,O435,O495,O595)</f>
        <v>68.250606776678595</v>
      </c>
      <c r="P192" s="29">
        <f t="shared" si="248"/>
        <v>60.253480401181413</v>
      </c>
      <c r="Q192" s="29">
        <f t="shared" si="248"/>
        <v>59.368771330944888</v>
      </c>
      <c r="R192" s="29">
        <f t="shared" si="248"/>
        <v>56.255252592459932</v>
      </c>
      <c r="S192" s="29">
        <f t="shared" si="248"/>
        <v>48.035409703198987</v>
      </c>
      <c r="T192" s="29">
        <f t="shared" si="248"/>
        <v>41.946277381478545</v>
      </c>
      <c r="U192" s="29">
        <f t="shared" si="248"/>
        <v>42.109476069137415</v>
      </c>
      <c r="W192" s="30">
        <f t="shared" ref="W192:AD192" si="249">SUM(W395,W415,W435,W495,W595)</f>
        <v>61.085554845106358</v>
      </c>
      <c r="X192" s="30">
        <f t="shared" si="249"/>
        <v>66.080802415013196</v>
      </c>
      <c r="Y192" s="30">
        <f t="shared" si="235"/>
        <v>51.240500361396485</v>
      </c>
      <c r="Z192" s="30">
        <f t="shared" si="235"/>
        <v>54.392273626861339</v>
      </c>
      <c r="AA192" s="30">
        <f t="shared" si="236"/>
        <v>65.613849076206222</v>
      </c>
      <c r="AB192" s="30">
        <f t="shared" si="249"/>
        <v>69.029422575418806</v>
      </c>
      <c r="AC192" s="30">
        <f t="shared" ref="AC192" si="250">SUM(AC395,AC415,AC435,AC495,AC595)</f>
        <v>42.120735629999992</v>
      </c>
      <c r="AD192" s="90">
        <f t="shared" si="249"/>
        <v>0</v>
      </c>
      <c r="AF192" s="29">
        <f t="shared" ref="AF192:AF206" si="251">N192</f>
        <v>69.585232305447391</v>
      </c>
      <c r="AG192" s="30">
        <f t="shared" ref="AG192:AG206" si="252">W192</f>
        <v>61.085554845106358</v>
      </c>
      <c r="AH192" s="32">
        <f t="shared" ref="AH192:AH206" si="253">AG192-AF192</f>
        <v>-8.499677460341033</v>
      </c>
      <c r="AI192" s="33">
        <f t="shared" ref="AI192:AI206" si="254">AH192/AF192</f>
        <v>-0.12214771983560148</v>
      </c>
      <c r="AK192" s="29">
        <f t="shared" si="238"/>
        <v>68.250606776678595</v>
      </c>
      <c r="AL192" s="30">
        <f t="shared" si="239"/>
        <v>66.080802415013196</v>
      </c>
      <c r="AM192" s="32">
        <f t="shared" ref="AM192:AM206" si="255">AL192-AK192</f>
        <v>-2.169804361665399</v>
      </c>
      <c r="AN192" s="33">
        <f t="shared" ref="AN192:AN206" si="256">AM192/AK192</f>
        <v>-3.17917226547915E-2</v>
      </c>
      <c r="AP192" s="29">
        <f t="shared" ref="AP192:AP206" si="257">P192</f>
        <v>60.253480401181413</v>
      </c>
      <c r="AQ192" s="30">
        <f t="shared" ref="AQ192:AQ205" si="258">Y192</f>
        <v>51.240500361396485</v>
      </c>
      <c r="AR192" s="32">
        <f t="shared" ref="AR192:AR206" si="259">AQ192-AP192</f>
        <v>-9.012980039784928</v>
      </c>
      <c r="AS192" s="33">
        <f t="shared" ref="AS192:AS206" si="260">AR192/AP192</f>
        <v>-0.14958438881496058</v>
      </c>
      <c r="AT192" s="122"/>
      <c r="AU192" s="31">
        <f t="shared" ref="AU192:AU206" si="261">Q192</f>
        <v>59.368771330944888</v>
      </c>
      <c r="AV192" s="25">
        <f t="shared" ref="AV192:AV206" si="262">Z192</f>
        <v>54.392273626861339</v>
      </c>
      <c r="AW192" s="32">
        <f t="shared" ref="AW192:AW206" si="263">AV192-AU192</f>
        <v>-4.976497704083549</v>
      </c>
      <c r="AX192" s="33">
        <f t="shared" ref="AX192:AX206" si="264">AW192/AU192</f>
        <v>-8.3823491585207188E-2</v>
      </c>
      <c r="AZ192" s="31">
        <f t="shared" si="240"/>
        <v>56.255252592459932</v>
      </c>
      <c r="BA192" s="25">
        <f t="shared" si="241"/>
        <v>65.613849076206222</v>
      </c>
      <c r="BB192" s="32">
        <f t="shared" ref="BB192:BB206" si="265">BA192-AZ192</f>
        <v>9.3585964837462896</v>
      </c>
      <c r="BC192" s="33">
        <f t="shared" ref="BC192:BC206" si="266">BB192/AZ192</f>
        <v>0.16635951404474986</v>
      </c>
      <c r="BE192" s="31">
        <f t="shared" ref="BE192:BE206" si="267">S192</f>
        <v>48.035409703198987</v>
      </c>
      <c r="BF192" s="25">
        <f t="shared" ref="BF192:BF206" si="268">AB192</f>
        <v>69.029422575418806</v>
      </c>
      <c r="BG192" s="32">
        <f t="shared" ref="BG192:BG206" si="269">BF192-BE192</f>
        <v>20.99401287221982</v>
      </c>
      <c r="BH192" s="33">
        <f t="shared" ref="BH192:BH206" si="270">BG192/BE192</f>
        <v>0.4370528533416817</v>
      </c>
      <c r="BJ192" s="31">
        <f t="shared" si="242"/>
        <v>41.946277381478545</v>
      </c>
      <c r="BK192" s="25">
        <f t="shared" si="243"/>
        <v>42.120735629999992</v>
      </c>
      <c r="BL192" s="32">
        <f t="shared" si="244"/>
        <v>0.17445824852144654</v>
      </c>
      <c r="BM192" s="33">
        <f t="shared" si="245"/>
        <v>4.1590877525279251E-3</v>
      </c>
      <c r="BO192" s="62"/>
      <c r="BP192" s="62"/>
      <c r="BQ192" s="62"/>
      <c r="BR192" s="63"/>
    </row>
    <row r="193" spans="1:70">
      <c r="B193" s="1284"/>
      <c r="D193" s="5" t="s">
        <v>163</v>
      </c>
      <c r="E193" s="87">
        <f t="shared" ref="E193:L193" si="271">SUM(E396,E416,E436,E496,E596)</f>
        <v>92.336714007909336</v>
      </c>
      <c r="F193" s="87">
        <f t="shared" si="271"/>
        <v>90.687438695068096</v>
      </c>
      <c r="G193" s="87">
        <f t="shared" si="271"/>
        <v>90.848819922705857</v>
      </c>
      <c r="H193" s="87">
        <f t="shared" si="271"/>
        <v>92.259000684635183</v>
      </c>
      <c r="I193" s="87">
        <f t="shared" si="271"/>
        <v>79.356189331110599</v>
      </c>
      <c r="J193" s="87">
        <f t="shared" si="271"/>
        <v>77.050534129547032</v>
      </c>
      <c r="K193" s="87">
        <f t="shared" si="271"/>
        <v>63.758619568195023</v>
      </c>
      <c r="L193" s="87">
        <f t="shared" si="271"/>
        <v>74.132040821117087</v>
      </c>
      <c r="N193" s="29">
        <f t="shared" si="247"/>
        <v>87.784509726593768</v>
      </c>
      <c r="O193" s="29">
        <f t="shared" si="248"/>
        <v>84.684702069321247</v>
      </c>
      <c r="P193" s="29">
        <f t="shared" si="248"/>
        <v>81.339920569558913</v>
      </c>
      <c r="Q193" s="29">
        <f t="shared" si="248"/>
        <v>79.708813799619321</v>
      </c>
      <c r="R193" s="29">
        <f t="shared" si="248"/>
        <v>66.638238010841476</v>
      </c>
      <c r="S193" s="29">
        <f t="shared" si="248"/>
        <v>64.272844535184433</v>
      </c>
      <c r="T193" s="29">
        <f t="shared" si="248"/>
        <v>53.52575823006503</v>
      </c>
      <c r="U193" s="29">
        <f t="shared" si="248"/>
        <v>60.133399148365321</v>
      </c>
      <c r="W193" s="30">
        <f t="shared" ref="W193:AD193" si="272">SUM(W396,W416,W436,W496,W596)</f>
        <v>68.314869463748622</v>
      </c>
      <c r="X193" s="30">
        <f t="shared" si="272"/>
        <v>60.755315350637233</v>
      </c>
      <c r="Y193" s="30">
        <f t="shared" si="235"/>
        <v>56.922914856926347</v>
      </c>
      <c r="Z193" s="30">
        <f t="shared" si="235"/>
        <v>74.607218055954448</v>
      </c>
      <c r="AA193" s="30">
        <f t="shared" si="236"/>
        <v>94.765950068498597</v>
      </c>
      <c r="AB193" s="30">
        <f t="shared" si="272"/>
        <v>92.745505289913737</v>
      </c>
      <c r="AC193" s="30">
        <f t="shared" ref="AC193" si="273">SUM(AC396,AC416,AC436,AC496,AC596)</f>
        <v>81.258044149999975</v>
      </c>
      <c r="AD193" s="90">
        <f t="shared" si="272"/>
        <v>0</v>
      </c>
      <c r="AF193" s="29">
        <f t="shared" si="251"/>
        <v>87.784509726593768</v>
      </c>
      <c r="AG193" s="30">
        <f t="shared" si="252"/>
        <v>68.314869463748622</v>
      </c>
      <c r="AH193" s="32">
        <f t="shared" si="253"/>
        <v>-19.469640262845147</v>
      </c>
      <c r="AI193" s="33">
        <f t="shared" si="254"/>
        <v>-0.22178901862622058</v>
      </c>
      <c r="AK193" s="29">
        <f t="shared" si="238"/>
        <v>84.684702069321247</v>
      </c>
      <c r="AL193" s="30">
        <f t="shared" si="239"/>
        <v>60.755315350637233</v>
      </c>
      <c r="AM193" s="32">
        <f t="shared" si="255"/>
        <v>-23.929386718684015</v>
      </c>
      <c r="AN193" s="33">
        <f t="shared" si="256"/>
        <v>-0.28257035962759702</v>
      </c>
      <c r="AP193" s="29">
        <f t="shared" si="257"/>
        <v>81.339920569558913</v>
      </c>
      <c r="AQ193" s="30">
        <f t="shared" si="258"/>
        <v>56.922914856926347</v>
      </c>
      <c r="AR193" s="32">
        <f t="shared" si="259"/>
        <v>-24.417005712632566</v>
      </c>
      <c r="AS193" s="33">
        <f t="shared" si="260"/>
        <v>-0.30018477448293102</v>
      </c>
      <c r="AT193" s="122"/>
      <c r="AU193" s="31">
        <f t="shared" si="261"/>
        <v>79.708813799619321</v>
      </c>
      <c r="AV193" s="25">
        <f t="shared" si="262"/>
        <v>74.607218055954448</v>
      </c>
      <c r="AW193" s="32">
        <f t="shared" si="263"/>
        <v>-5.1015957436648733</v>
      </c>
      <c r="AX193" s="33">
        <f t="shared" si="264"/>
        <v>-6.4002906334672344E-2</v>
      </c>
      <c r="AZ193" s="31">
        <f t="shared" si="240"/>
        <v>66.638238010841476</v>
      </c>
      <c r="BA193" s="25">
        <f t="shared" si="241"/>
        <v>94.765950068498597</v>
      </c>
      <c r="BB193" s="32">
        <f t="shared" si="265"/>
        <v>28.127712057657121</v>
      </c>
      <c r="BC193" s="33">
        <f t="shared" si="266"/>
        <v>0.4220956750549284</v>
      </c>
      <c r="BE193" s="31">
        <f t="shared" si="267"/>
        <v>64.272844535184433</v>
      </c>
      <c r="BF193" s="25">
        <f t="shared" si="268"/>
        <v>92.745505289913737</v>
      </c>
      <c r="BG193" s="32">
        <f t="shared" si="269"/>
        <v>28.472660754729304</v>
      </c>
      <c r="BH193" s="33">
        <f t="shared" si="270"/>
        <v>0.44299674241339537</v>
      </c>
      <c r="BJ193" s="31">
        <f t="shared" si="242"/>
        <v>53.52575823006503</v>
      </c>
      <c r="BK193" s="25">
        <f t="shared" si="243"/>
        <v>81.258044149999975</v>
      </c>
      <c r="BL193" s="32">
        <f t="shared" si="244"/>
        <v>27.732285919934945</v>
      </c>
      <c r="BM193" s="33">
        <f t="shared" si="245"/>
        <v>0.51811103358378807</v>
      </c>
      <c r="BO193" s="62"/>
      <c r="BP193" s="62"/>
      <c r="BQ193" s="62"/>
      <c r="BR193" s="63"/>
    </row>
    <row r="194" spans="1:70">
      <c r="B194" s="1284"/>
      <c r="D194" s="5" t="s">
        <v>164</v>
      </c>
      <c r="E194" s="87">
        <f t="shared" ref="E194:L194" si="274">SUM(E397,E417,E437,E497,E597)</f>
        <v>88.53651592238873</v>
      </c>
      <c r="F194" s="87">
        <f t="shared" si="274"/>
        <v>90.261965990586589</v>
      </c>
      <c r="G194" s="87">
        <f t="shared" si="274"/>
        <v>85.506687429093489</v>
      </c>
      <c r="H194" s="87">
        <f t="shared" si="274"/>
        <v>86.926786170508677</v>
      </c>
      <c r="I194" s="87">
        <f t="shared" si="274"/>
        <v>87.360411827867935</v>
      </c>
      <c r="J194" s="87">
        <f t="shared" si="274"/>
        <v>88.022352213140493</v>
      </c>
      <c r="K194" s="87">
        <f t="shared" si="274"/>
        <v>88.748942101539797</v>
      </c>
      <c r="L194" s="87">
        <f t="shared" si="274"/>
        <v>88.8696819583447</v>
      </c>
      <c r="N194" s="29">
        <f t="shared" si="247"/>
        <v>88.53651592238873</v>
      </c>
      <c r="O194" s="29">
        <f t="shared" si="248"/>
        <v>90.261965990586589</v>
      </c>
      <c r="P194" s="29">
        <f t="shared" si="248"/>
        <v>85.506687429093489</v>
      </c>
      <c r="Q194" s="29">
        <f t="shared" si="248"/>
        <v>86.926786170508677</v>
      </c>
      <c r="R194" s="29">
        <f t="shared" si="248"/>
        <v>87.360411827867935</v>
      </c>
      <c r="S194" s="29">
        <f t="shared" si="248"/>
        <v>88.022352213140493</v>
      </c>
      <c r="T194" s="29">
        <f t="shared" si="248"/>
        <v>88.748942101539797</v>
      </c>
      <c r="U194" s="29">
        <f t="shared" si="248"/>
        <v>88.8696819583447</v>
      </c>
      <c r="W194" s="30">
        <f t="shared" ref="W194:AD194" si="275">SUM(W397,W417,W437,W497,W597)</f>
        <v>86.190956700959404</v>
      </c>
      <c r="X194" s="30">
        <f t="shared" si="275"/>
        <v>93.360903490671404</v>
      </c>
      <c r="Y194" s="30">
        <f t="shared" si="235"/>
        <v>77.454242387998903</v>
      </c>
      <c r="Z194" s="30">
        <f t="shared" si="235"/>
        <v>55.246064020077085</v>
      </c>
      <c r="AA194" s="30">
        <f t="shared" si="236"/>
        <v>67.641069871525801</v>
      </c>
      <c r="AB194" s="30">
        <f t="shared" si="275"/>
        <v>78.553890052929134</v>
      </c>
      <c r="AC194" s="30">
        <f t="shared" ref="AC194" si="276">SUM(AC397,AC417,AC437,AC497,AC597)</f>
        <v>79.267300000000006</v>
      </c>
      <c r="AD194" s="90">
        <f t="shared" si="275"/>
        <v>0</v>
      </c>
      <c r="AF194" s="29">
        <f t="shared" si="251"/>
        <v>88.53651592238873</v>
      </c>
      <c r="AG194" s="30">
        <f t="shared" si="252"/>
        <v>86.190956700959404</v>
      </c>
      <c r="AH194" s="32">
        <f t="shared" si="253"/>
        <v>-2.3455592214293262</v>
      </c>
      <c r="AI194" s="33">
        <f t="shared" si="254"/>
        <v>-2.6492562949794043E-2</v>
      </c>
      <c r="AK194" s="29">
        <f t="shared" si="238"/>
        <v>90.261965990586589</v>
      </c>
      <c r="AL194" s="30">
        <f t="shared" si="239"/>
        <v>93.360903490671404</v>
      </c>
      <c r="AM194" s="32">
        <f t="shared" si="255"/>
        <v>3.0989375000848156</v>
      </c>
      <c r="AN194" s="33">
        <f t="shared" si="256"/>
        <v>3.4332705542974809E-2</v>
      </c>
      <c r="AP194" s="29">
        <f t="shared" si="257"/>
        <v>85.506687429093489</v>
      </c>
      <c r="AQ194" s="30">
        <f t="shared" si="258"/>
        <v>77.454242387998903</v>
      </c>
      <c r="AR194" s="32">
        <f t="shared" si="259"/>
        <v>-8.052445041094586</v>
      </c>
      <c r="AS194" s="33">
        <f t="shared" si="260"/>
        <v>-9.4173277941238046E-2</v>
      </c>
      <c r="AT194" s="122"/>
      <c r="AU194" s="31">
        <f t="shared" si="261"/>
        <v>86.926786170508677</v>
      </c>
      <c r="AV194" s="25">
        <f t="shared" si="262"/>
        <v>55.246064020077085</v>
      </c>
      <c r="AW194" s="32">
        <f t="shared" si="263"/>
        <v>-31.680722150431592</v>
      </c>
      <c r="AX194" s="33">
        <f t="shared" si="264"/>
        <v>-0.36445293270464646</v>
      </c>
      <c r="AZ194" s="31">
        <f t="shared" si="240"/>
        <v>87.360411827867935</v>
      </c>
      <c r="BA194" s="25">
        <f t="shared" si="241"/>
        <v>67.641069871525801</v>
      </c>
      <c r="BB194" s="32">
        <f t="shared" si="265"/>
        <v>-19.719341956342134</v>
      </c>
      <c r="BC194" s="33">
        <f t="shared" si="266"/>
        <v>-0.2257240040854715</v>
      </c>
      <c r="BE194" s="31">
        <f t="shared" si="267"/>
        <v>88.022352213140493</v>
      </c>
      <c r="BF194" s="25">
        <f t="shared" si="268"/>
        <v>78.553890052929134</v>
      </c>
      <c r="BG194" s="32">
        <f t="shared" si="269"/>
        <v>-9.4684621602113594</v>
      </c>
      <c r="BH194" s="33">
        <f t="shared" si="270"/>
        <v>-0.10756883816606132</v>
      </c>
      <c r="BJ194" s="31">
        <f t="shared" si="242"/>
        <v>88.748942101539797</v>
      </c>
      <c r="BK194" s="25">
        <f t="shared" si="243"/>
        <v>79.267300000000006</v>
      </c>
      <c r="BL194" s="32">
        <f t="shared" si="244"/>
        <v>-9.4816421015397907</v>
      </c>
      <c r="BM194" s="33">
        <f t="shared" si="245"/>
        <v>-0.10683667745235337</v>
      </c>
      <c r="BO194" s="62"/>
      <c r="BP194" s="62"/>
      <c r="BQ194" s="62"/>
      <c r="BR194" s="63"/>
    </row>
    <row r="195" spans="1:70">
      <c r="B195" s="1284"/>
      <c r="D195" s="5" t="s">
        <v>165</v>
      </c>
      <c r="E195" s="87">
        <f t="shared" ref="E195:L195" si="277">SUM(E398,E418,E438,E498,E598)</f>
        <v>76.614681914321309</v>
      </c>
      <c r="F195" s="87">
        <f t="shared" si="277"/>
        <v>77.162909931590136</v>
      </c>
      <c r="G195" s="87">
        <f t="shared" si="277"/>
        <v>71.53471461229779</v>
      </c>
      <c r="H195" s="87">
        <f t="shared" si="277"/>
        <v>72.300307711399441</v>
      </c>
      <c r="I195" s="87">
        <f t="shared" si="277"/>
        <v>72.7629608372647</v>
      </c>
      <c r="J195" s="87">
        <f t="shared" si="277"/>
        <v>74.505125166866122</v>
      </c>
      <c r="K195" s="87">
        <f t="shared" si="277"/>
        <v>75.259729102703574</v>
      </c>
      <c r="L195" s="87">
        <f t="shared" si="277"/>
        <v>75.840901499050531</v>
      </c>
      <c r="N195" s="29">
        <f t="shared" si="247"/>
        <v>76.614681914321309</v>
      </c>
      <c r="O195" s="29">
        <f t="shared" si="248"/>
        <v>77.162909931590136</v>
      </c>
      <c r="P195" s="29">
        <f t="shared" si="248"/>
        <v>71.53471461229779</v>
      </c>
      <c r="Q195" s="29">
        <f t="shared" si="248"/>
        <v>72.300307711399441</v>
      </c>
      <c r="R195" s="29">
        <f t="shared" si="248"/>
        <v>72.7629608372647</v>
      </c>
      <c r="S195" s="29">
        <f t="shared" si="248"/>
        <v>74.505125166866122</v>
      </c>
      <c r="T195" s="29">
        <f t="shared" si="248"/>
        <v>75.259729102703574</v>
      </c>
      <c r="U195" s="29">
        <f t="shared" si="248"/>
        <v>75.840901499050531</v>
      </c>
      <c r="W195" s="30">
        <f t="shared" ref="W195:AD195" si="278">SUM(W398,W418,W438,W498,W598)</f>
        <v>75.403039409018902</v>
      </c>
      <c r="X195" s="30">
        <f t="shared" si="278"/>
        <v>88.912618820190801</v>
      </c>
      <c r="Y195" s="30">
        <f t="shared" si="235"/>
        <v>68.473820561060421</v>
      </c>
      <c r="Z195" s="30">
        <f t="shared" si="235"/>
        <v>48.387052535050195</v>
      </c>
      <c r="AA195" s="30">
        <f t="shared" si="236"/>
        <v>59.800186323380665</v>
      </c>
      <c r="AB195" s="30">
        <f t="shared" si="278"/>
        <v>69.806640372305537</v>
      </c>
      <c r="AC195" s="30">
        <f t="shared" ref="AC195" si="279">SUM(AC398,AC418,AC438,AC498,AC598)</f>
        <v>74.990199999999987</v>
      </c>
      <c r="AD195" s="90">
        <f t="shared" si="278"/>
        <v>0</v>
      </c>
      <c r="AF195" s="29">
        <f t="shared" si="251"/>
        <v>76.614681914321309</v>
      </c>
      <c r="AG195" s="30">
        <f t="shared" si="252"/>
        <v>75.403039409018902</v>
      </c>
      <c r="AH195" s="32">
        <f t="shared" si="253"/>
        <v>-1.2116425053024074</v>
      </c>
      <c r="AI195" s="33">
        <f t="shared" si="254"/>
        <v>-1.5814756062779128E-2</v>
      </c>
      <c r="AK195" s="29">
        <f t="shared" si="238"/>
        <v>77.162909931590136</v>
      </c>
      <c r="AL195" s="30">
        <f t="shared" si="239"/>
        <v>88.912618820190801</v>
      </c>
      <c r="AM195" s="32">
        <f t="shared" si="255"/>
        <v>11.749708888600665</v>
      </c>
      <c r="AN195" s="33">
        <f t="shared" si="256"/>
        <v>0.15227145916370358</v>
      </c>
      <c r="AP195" s="29">
        <f t="shared" si="257"/>
        <v>71.53471461229779</v>
      </c>
      <c r="AQ195" s="30">
        <f t="shared" si="258"/>
        <v>68.473820561060421</v>
      </c>
      <c r="AR195" s="32">
        <f t="shared" si="259"/>
        <v>-3.0608940512373692</v>
      </c>
      <c r="AS195" s="33">
        <f t="shared" si="260"/>
        <v>-4.278893216848257E-2</v>
      </c>
      <c r="AT195" s="122"/>
      <c r="AU195" s="31">
        <f t="shared" si="261"/>
        <v>72.300307711399441</v>
      </c>
      <c r="AV195" s="25">
        <f t="shared" si="262"/>
        <v>48.387052535050195</v>
      </c>
      <c r="AW195" s="32">
        <f t="shared" si="263"/>
        <v>-23.913255176349246</v>
      </c>
      <c r="AX195" s="33">
        <f t="shared" si="264"/>
        <v>-0.33074900969721449</v>
      </c>
      <c r="AZ195" s="31">
        <f t="shared" si="240"/>
        <v>72.7629608372647</v>
      </c>
      <c r="BA195" s="25">
        <f t="shared" si="241"/>
        <v>59.800186323380665</v>
      </c>
      <c r="BB195" s="32">
        <f t="shared" si="265"/>
        <v>-12.962774513884035</v>
      </c>
      <c r="BC195" s="33">
        <f t="shared" si="266"/>
        <v>-0.17815072895226799</v>
      </c>
      <c r="BE195" s="31">
        <f t="shared" si="267"/>
        <v>74.505125166866122</v>
      </c>
      <c r="BF195" s="25">
        <f t="shared" si="268"/>
        <v>69.806640372305537</v>
      </c>
      <c r="BG195" s="32">
        <f t="shared" si="269"/>
        <v>-4.698484794560585</v>
      </c>
      <c r="BH195" s="33">
        <f t="shared" si="270"/>
        <v>-6.306257165580996E-2</v>
      </c>
      <c r="BJ195" s="31">
        <f t="shared" si="242"/>
        <v>75.259729102703574</v>
      </c>
      <c r="BK195" s="25">
        <f t="shared" si="243"/>
        <v>74.990199999999987</v>
      </c>
      <c r="BL195" s="32">
        <f t="shared" si="244"/>
        <v>-0.26952910270358643</v>
      </c>
      <c r="BM195" s="33">
        <f t="shared" si="245"/>
        <v>-3.5813190655492816E-3</v>
      </c>
      <c r="BO195" s="62"/>
      <c r="BP195" s="62"/>
      <c r="BQ195" s="62"/>
      <c r="BR195" s="63"/>
    </row>
    <row r="196" spans="1:70">
      <c r="B196" s="1284"/>
      <c r="D196" s="5" t="s">
        <v>166</v>
      </c>
      <c r="E196" s="87">
        <f t="shared" ref="E196:L196" si="280">SUM(E399,E419,E439,E499,E599)</f>
        <v>46.526107352578101</v>
      </c>
      <c r="F196" s="87">
        <f t="shared" si="280"/>
        <v>48.150416299224716</v>
      </c>
      <c r="G196" s="87">
        <f t="shared" si="280"/>
        <v>48.054956758438053</v>
      </c>
      <c r="H196" s="87">
        <f t="shared" si="280"/>
        <v>50.341171148307588</v>
      </c>
      <c r="I196" s="87">
        <f t="shared" si="280"/>
        <v>50.405700454574102</v>
      </c>
      <c r="J196" s="87">
        <f t="shared" si="280"/>
        <v>50.091261779024101</v>
      </c>
      <c r="K196" s="87">
        <f t="shared" si="280"/>
        <v>51.200743578975448</v>
      </c>
      <c r="L196" s="87">
        <f t="shared" si="280"/>
        <v>51.341931865536857</v>
      </c>
      <c r="N196" s="29">
        <f t="shared" si="247"/>
        <v>46.526107352578101</v>
      </c>
      <c r="O196" s="29">
        <f t="shared" si="248"/>
        <v>48.150416299224716</v>
      </c>
      <c r="P196" s="29">
        <f t="shared" si="248"/>
        <v>48.054956758438053</v>
      </c>
      <c r="Q196" s="29">
        <f t="shared" si="248"/>
        <v>50.341171148307588</v>
      </c>
      <c r="R196" s="29">
        <f t="shared" si="248"/>
        <v>50.405700454574102</v>
      </c>
      <c r="S196" s="29">
        <f t="shared" si="248"/>
        <v>50.091261779024101</v>
      </c>
      <c r="T196" s="29">
        <f t="shared" si="248"/>
        <v>51.200743578975448</v>
      </c>
      <c r="U196" s="29">
        <f t="shared" si="248"/>
        <v>51.341931865536857</v>
      </c>
      <c r="W196" s="30">
        <f t="shared" ref="W196:AD196" si="281">SUM(W399,W419,W439,W499,W599)</f>
        <v>43.455231512567799</v>
      </c>
      <c r="X196" s="30">
        <f t="shared" si="281"/>
        <v>44.899928434065941</v>
      </c>
      <c r="Y196" s="30">
        <f t="shared" si="235"/>
        <v>44.445742257045993</v>
      </c>
      <c r="Z196" s="30">
        <f t="shared" si="235"/>
        <v>40.291681467519446</v>
      </c>
      <c r="AA196" s="30">
        <f t="shared" si="236"/>
        <v>36.569592237873401</v>
      </c>
      <c r="AB196" s="30">
        <f t="shared" si="281"/>
        <v>40.280653213310813</v>
      </c>
      <c r="AC196" s="30">
        <f t="shared" ref="AC196" si="282">SUM(AC399,AC419,AC439,AC499,AC599)</f>
        <v>41.892500000000005</v>
      </c>
      <c r="AD196" s="90">
        <f t="shared" si="281"/>
        <v>0</v>
      </c>
      <c r="AF196" s="29">
        <f t="shared" si="251"/>
        <v>46.526107352578101</v>
      </c>
      <c r="AG196" s="30">
        <f t="shared" si="252"/>
        <v>43.455231512567799</v>
      </c>
      <c r="AH196" s="32">
        <f t="shared" si="253"/>
        <v>-3.0708758400103022</v>
      </c>
      <c r="AI196" s="33">
        <f t="shared" si="254"/>
        <v>-6.6003283204824986E-2</v>
      </c>
      <c r="AK196" s="29">
        <f t="shared" si="238"/>
        <v>48.150416299224716</v>
      </c>
      <c r="AL196" s="30">
        <f t="shared" si="239"/>
        <v>44.899928434065941</v>
      </c>
      <c r="AM196" s="32">
        <f t="shared" si="255"/>
        <v>-3.2504878651587745</v>
      </c>
      <c r="AN196" s="33">
        <f t="shared" si="256"/>
        <v>-6.750695248321481E-2</v>
      </c>
      <c r="AP196" s="29">
        <f t="shared" si="257"/>
        <v>48.054956758438053</v>
      </c>
      <c r="AQ196" s="30">
        <f t="shared" si="258"/>
        <v>44.445742257045993</v>
      </c>
      <c r="AR196" s="32">
        <f t="shared" si="259"/>
        <v>-3.60921450139206</v>
      </c>
      <c r="AS196" s="33">
        <f t="shared" si="260"/>
        <v>-7.5105977506853383E-2</v>
      </c>
      <c r="AT196" s="122"/>
      <c r="AU196" s="31">
        <f t="shared" si="261"/>
        <v>50.341171148307588</v>
      </c>
      <c r="AV196" s="25">
        <f t="shared" si="262"/>
        <v>40.291681467519446</v>
      </c>
      <c r="AW196" s="32">
        <f t="shared" si="263"/>
        <v>-10.049489680788142</v>
      </c>
      <c r="AX196" s="33">
        <f t="shared" si="264"/>
        <v>-0.19962764972594393</v>
      </c>
      <c r="AZ196" s="31">
        <f t="shared" si="240"/>
        <v>50.405700454574102</v>
      </c>
      <c r="BA196" s="25">
        <f t="shared" si="241"/>
        <v>36.569592237873401</v>
      </c>
      <c r="BB196" s="32">
        <f t="shared" si="265"/>
        <v>-13.836108216700701</v>
      </c>
      <c r="BC196" s="33">
        <f t="shared" si="266"/>
        <v>-0.27449491013759203</v>
      </c>
      <c r="BE196" s="31">
        <f t="shared" si="267"/>
        <v>50.091261779024101</v>
      </c>
      <c r="BF196" s="25">
        <f t="shared" si="268"/>
        <v>40.280653213310813</v>
      </c>
      <c r="BG196" s="32">
        <f t="shared" si="269"/>
        <v>-9.810608565713288</v>
      </c>
      <c r="BH196" s="33">
        <f t="shared" si="270"/>
        <v>-0.19585469036480763</v>
      </c>
      <c r="BJ196" s="31">
        <f t="shared" si="242"/>
        <v>51.200743578975448</v>
      </c>
      <c r="BK196" s="25">
        <f t="shared" si="243"/>
        <v>41.892500000000005</v>
      </c>
      <c r="BL196" s="32">
        <f t="shared" si="244"/>
        <v>-9.3082435789754427</v>
      </c>
      <c r="BM196" s="33">
        <f t="shared" si="245"/>
        <v>-0.18179899213021752</v>
      </c>
      <c r="BO196" s="62"/>
      <c r="BP196" s="62"/>
      <c r="BQ196" s="62"/>
      <c r="BR196" s="63"/>
    </row>
    <row r="197" spans="1:70">
      <c r="B197" s="1284"/>
      <c r="D197" s="5" t="s">
        <v>167</v>
      </c>
      <c r="E197" s="87">
        <f t="shared" ref="E197:L197" si="283">SUM(E400,E420,E440,E500,E600)</f>
        <v>73.871305336232126</v>
      </c>
      <c r="F197" s="87">
        <f t="shared" si="283"/>
        <v>74.093543966559125</v>
      </c>
      <c r="G197" s="87">
        <f t="shared" si="283"/>
        <v>74.337217800443867</v>
      </c>
      <c r="H197" s="87">
        <f t="shared" si="283"/>
        <v>74.562639684096226</v>
      </c>
      <c r="I197" s="87">
        <f t="shared" si="283"/>
        <v>75.839452669599083</v>
      </c>
      <c r="J197" s="87">
        <f t="shared" si="283"/>
        <v>76.569875850767431</v>
      </c>
      <c r="K197" s="87">
        <f t="shared" si="283"/>
        <v>76.913234085840571</v>
      </c>
      <c r="L197" s="87">
        <f t="shared" si="283"/>
        <v>77.319882563022901</v>
      </c>
      <c r="N197" s="29">
        <f t="shared" si="247"/>
        <v>73.871305336232126</v>
      </c>
      <c r="O197" s="29">
        <f t="shared" si="248"/>
        <v>74.093543966559125</v>
      </c>
      <c r="P197" s="29">
        <f t="shared" si="248"/>
        <v>74.337217800443867</v>
      </c>
      <c r="Q197" s="29">
        <f t="shared" si="248"/>
        <v>74.562639684096226</v>
      </c>
      <c r="R197" s="29">
        <f t="shared" si="248"/>
        <v>75.839452669599083</v>
      </c>
      <c r="S197" s="29">
        <f t="shared" si="248"/>
        <v>76.569875850767431</v>
      </c>
      <c r="T197" s="29">
        <f t="shared" si="248"/>
        <v>76.913234085840571</v>
      </c>
      <c r="U197" s="29">
        <f t="shared" si="248"/>
        <v>77.319882563022901</v>
      </c>
      <c r="W197" s="30">
        <f t="shared" ref="W197:AD197" si="284">SUM(W400,W420,W440,W500,W600)</f>
        <v>60.207651138444227</v>
      </c>
      <c r="X197" s="30">
        <f t="shared" si="284"/>
        <v>75.622600723040691</v>
      </c>
      <c r="Y197" s="30">
        <f t="shared" si="235"/>
        <v>72.613720093995084</v>
      </c>
      <c r="Z197" s="30">
        <f t="shared" si="235"/>
        <v>64.3991007871292</v>
      </c>
      <c r="AA197" s="30">
        <f t="shared" si="236"/>
        <v>62.608875408234184</v>
      </c>
      <c r="AB197" s="30">
        <f t="shared" si="284"/>
        <v>61.859268582811815</v>
      </c>
      <c r="AC197" s="30">
        <f t="shared" ref="AC197" si="285">SUM(AC400,AC420,AC440,AC500,AC600)</f>
        <v>65.137999999999991</v>
      </c>
      <c r="AD197" s="90">
        <f t="shared" si="284"/>
        <v>0</v>
      </c>
      <c r="AF197" s="29">
        <f t="shared" si="251"/>
        <v>73.871305336232126</v>
      </c>
      <c r="AG197" s="30">
        <f t="shared" si="252"/>
        <v>60.207651138444227</v>
      </c>
      <c r="AH197" s="32">
        <f t="shared" si="253"/>
        <v>-13.663654197787899</v>
      </c>
      <c r="AI197" s="33">
        <f t="shared" si="254"/>
        <v>-0.18496565257100175</v>
      </c>
      <c r="AK197" s="29">
        <f t="shared" si="238"/>
        <v>74.093543966559125</v>
      </c>
      <c r="AL197" s="30">
        <f t="shared" si="239"/>
        <v>75.622600723040691</v>
      </c>
      <c r="AM197" s="32">
        <f t="shared" si="255"/>
        <v>1.529056756481566</v>
      </c>
      <c r="AN197" s="33">
        <f t="shared" si="256"/>
        <v>2.0636841951731721E-2</v>
      </c>
      <c r="AP197" s="29">
        <f t="shared" si="257"/>
        <v>74.337217800443867</v>
      </c>
      <c r="AQ197" s="30">
        <f t="shared" si="258"/>
        <v>72.613720093995084</v>
      </c>
      <c r="AR197" s="32">
        <f t="shared" si="259"/>
        <v>-1.7234977064487822</v>
      </c>
      <c r="AS197" s="33">
        <f t="shared" si="260"/>
        <v>-2.3184856219336355E-2</v>
      </c>
      <c r="AT197" s="122"/>
      <c r="AU197" s="31">
        <f t="shared" si="261"/>
        <v>74.562639684096226</v>
      </c>
      <c r="AV197" s="25">
        <f t="shared" si="262"/>
        <v>64.3991007871292</v>
      </c>
      <c r="AW197" s="32">
        <f t="shared" si="263"/>
        <v>-10.163538896967026</v>
      </c>
      <c r="AX197" s="33">
        <f t="shared" si="264"/>
        <v>-0.13630873236284913</v>
      </c>
      <c r="AZ197" s="31">
        <f t="shared" si="240"/>
        <v>75.839452669599083</v>
      </c>
      <c r="BA197" s="25">
        <f t="shared" si="241"/>
        <v>62.608875408234184</v>
      </c>
      <c r="BB197" s="32">
        <f t="shared" si="265"/>
        <v>-13.2305772613649</v>
      </c>
      <c r="BC197" s="33">
        <f t="shared" si="266"/>
        <v>-0.17445507312671435</v>
      </c>
      <c r="BE197" s="31">
        <f t="shared" si="267"/>
        <v>76.569875850767431</v>
      </c>
      <c r="BF197" s="25">
        <f t="shared" si="268"/>
        <v>61.859268582811815</v>
      </c>
      <c r="BG197" s="32">
        <f t="shared" si="269"/>
        <v>-14.710607267955616</v>
      </c>
      <c r="BH197" s="33">
        <f t="shared" si="270"/>
        <v>-0.1921200355166591</v>
      </c>
      <c r="BJ197" s="31">
        <f t="shared" si="242"/>
        <v>76.913234085840571</v>
      </c>
      <c r="BK197" s="25">
        <f t="shared" si="243"/>
        <v>65.137999999999991</v>
      </c>
      <c r="BL197" s="32">
        <f t="shared" si="244"/>
        <v>-11.77523408584058</v>
      </c>
      <c r="BM197" s="33">
        <f t="shared" si="245"/>
        <v>-0.15309763301200666</v>
      </c>
      <c r="BO197" s="62"/>
      <c r="BP197" s="62"/>
      <c r="BQ197" s="62"/>
      <c r="BR197" s="63"/>
    </row>
    <row r="198" spans="1:70">
      <c r="B198" s="1284"/>
      <c r="D198" s="5" t="s">
        <v>168</v>
      </c>
      <c r="E198" s="87">
        <f t="shared" ref="E198:L198" si="286">SUM(E401,E421,E441,E501,E601)</f>
        <v>78.223621529620772</v>
      </c>
      <c r="F198" s="87">
        <f t="shared" si="286"/>
        <v>80.270599629390631</v>
      </c>
      <c r="G198" s="87">
        <f t="shared" si="286"/>
        <v>63.087980493682132</v>
      </c>
      <c r="H198" s="87">
        <f t="shared" si="286"/>
        <v>55.657618819304901</v>
      </c>
      <c r="I198" s="87">
        <f t="shared" si="286"/>
        <v>58.688079363116287</v>
      </c>
      <c r="J198" s="87">
        <f t="shared" si="286"/>
        <v>58.694590613434997</v>
      </c>
      <c r="K198" s="87">
        <f t="shared" si="286"/>
        <v>55.529504353787807</v>
      </c>
      <c r="L198" s="87">
        <f t="shared" si="286"/>
        <v>52.029915642006287</v>
      </c>
      <c r="N198" s="29">
        <f t="shared" si="247"/>
        <v>64.504937473733008</v>
      </c>
      <c r="O198" s="29">
        <f t="shared" si="248"/>
        <v>64.518979571037931</v>
      </c>
      <c r="P198" s="29">
        <f t="shared" si="248"/>
        <v>50.317264025843222</v>
      </c>
      <c r="Q198" s="29">
        <f t="shared" si="248"/>
        <v>44.927914953865468</v>
      </c>
      <c r="R198" s="29">
        <f t="shared" si="248"/>
        <v>46.456458446446085</v>
      </c>
      <c r="S198" s="29">
        <f t="shared" si="248"/>
        <v>45.798632864419176</v>
      </c>
      <c r="T198" s="29">
        <f t="shared" si="248"/>
        <v>41.123579206596936</v>
      </c>
      <c r="U198" s="29">
        <f t="shared" si="248"/>
        <v>38.213916457020396</v>
      </c>
      <c r="W198" s="30">
        <f t="shared" ref="W198:AD198" si="287">SUM(W401,W421,W441,W501,W601)</f>
        <v>30.602203631613961</v>
      </c>
      <c r="X198" s="30">
        <f t="shared" si="287"/>
        <v>33.046204972274793</v>
      </c>
      <c r="Y198" s="30">
        <f t="shared" si="235"/>
        <v>36.512416649023002</v>
      </c>
      <c r="Z198" s="30">
        <f t="shared" si="235"/>
        <v>34.959320456652215</v>
      </c>
      <c r="AA198" s="30">
        <f t="shared" si="236"/>
        <v>22.458036106813932</v>
      </c>
      <c r="AB198" s="30">
        <f t="shared" si="287"/>
        <v>33.965766809593411</v>
      </c>
      <c r="AC198" s="30">
        <f t="shared" ref="AC198" si="288">SUM(AC401,AC421,AC441,AC501,AC601)</f>
        <v>46.769522289167355</v>
      </c>
      <c r="AD198" s="90">
        <f t="shared" si="287"/>
        <v>0</v>
      </c>
      <c r="AF198" s="29">
        <f t="shared" si="251"/>
        <v>64.504937473733008</v>
      </c>
      <c r="AG198" s="30">
        <f t="shared" si="252"/>
        <v>30.602203631613961</v>
      </c>
      <c r="AH198" s="32">
        <f t="shared" si="253"/>
        <v>-33.902733842119048</v>
      </c>
      <c r="AI198" s="33">
        <f t="shared" si="254"/>
        <v>-0.52558354708776434</v>
      </c>
      <c r="AK198" s="29">
        <f t="shared" si="238"/>
        <v>64.518979571037931</v>
      </c>
      <c r="AL198" s="30">
        <f t="shared" si="239"/>
        <v>33.046204972274793</v>
      </c>
      <c r="AM198" s="32">
        <f t="shared" si="255"/>
        <v>-31.472774598763138</v>
      </c>
      <c r="AN198" s="33">
        <f t="shared" si="256"/>
        <v>-0.48780645335703698</v>
      </c>
      <c r="AP198" s="29">
        <f t="shared" si="257"/>
        <v>50.317264025843222</v>
      </c>
      <c r="AQ198" s="30">
        <f t="shared" si="258"/>
        <v>36.512416649023002</v>
      </c>
      <c r="AR198" s="32">
        <f t="shared" si="259"/>
        <v>-13.80484737682022</v>
      </c>
      <c r="AS198" s="33">
        <f t="shared" si="260"/>
        <v>-0.27435608123943256</v>
      </c>
      <c r="AT198" s="122"/>
      <c r="AU198" s="31">
        <f t="shared" si="261"/>
        <v>44.927914953865468</v>
      </c>
      <c r="AV198" s="25">
        <f t="shared" si="262"/>
        <v>34.959320456652215</v>
      </c>
      <c r="AW198" s="32">
        <f t="shared" si="263"/>
        <v>-9.9685944972132532</v>
      </c>
      <c r="AX198" s="33">
        <f t="shared" si="264"/>
        <v>-0.22187974909250902</v>
      </c>
      <c r="AZ198" s="31">
        <f t="shared" si="240"/>
        <v>46.456458446446085</v>
      </c>
      <c r="BA198" s="25">
        <f t="shared" si="241"/>
        <v>22.458036106813932</v>
      </c>
      <c r="BB198" s="32">
        <f t="shared" si="265"/>
        <v>-23.998422339632153</v>
      </c>
      <c r="BC198" s="33">
        <f t="shared" si="266"/>
        <v>-0.51657881685701401</v>
      </c>
      <c r="BE198" s="31">
        <f t="shared" si="267"/>
        <v>45.798632864419176</v>
      </c>
      <c r="BF198" s="25">
        <f t="shared" si="268"/>
        <v>33.965766809593411</v>
      </c>
      <c r="BG198" s="32">
        <f t="shared" si="269"/>
        <v>-11.832866054825764</v>
      </c>
      <c r="BH198" s="33">
        <f t="shared" si="270"/>
        <v>-0.25836723314111598</v>
      </c>
      <c r="BJ198" s="31">
        <f t="shared" si="242"/>
        <v>41.123579206596936</v>
      </c>
      <c r="BK198" s="25">
        <f t="shared" si="243"/>
        <v>46.769522289167355</v>
      </c>
      <c r="BL198" s="32">
        <f t="shared" si="244"/>
        <v>5.6459430825704189</v>
      </c>
      <c r="BM198" s="33">
        <f t="shared" si="245"/>
        <v>0.13729211297991084</v>
      </c>
      <c r="BO198" s="62"/>
      <c r="BP198" s="62"/>
      <c r="BQ198" s="62"/>
      <c r="BR198" s="63"/>
    </row>
    <row r="199" spans="1:70">
      <c r="B199" s="1284"/>
      <c r="D199" s="5" t="s">
        <v>169</v>
      </c>
      <c r="E199" s="87">
        <f t="shared" ref="E199:L199" si="289">SUM(E402,E422,E442,E502,E602)</f>
        <v>63.719388718672029</v>
      </c>
      <c r="F199" s="87">
        <f t="shared" si="289"/>
        <v>75.904088811841618</v>
      </c>
      <c r="G199" s="87">
        <f t="shared" si="289"/>
        <v>69.18590551956936</v>
      </c>
      <c r="H199" s="87">
        <f t="shared" si="289"/>
        <v>65.586378347875268</v>
      </c>
      <c r="I199" s="87">
        <f t="shared" si="289"/>
        <v>64.559476690210616</v>
      </c>
      <c r="J199" s="87">
        <f t="shared" si="289"/>
        <v>62.113252288926539</v>
      </c>
      <c r="K199" s="87">
        <f t="shared" si="289"/>
        <v>55.195680293749945</v>
      </c>
      <c r="L199" s="87">
        <f t="shared" si="289"/>
        <v>56.645631218239025</v>
      </c>
      <c r="N199" s="29">
        <f t="shared" si="247"/>
        <v>60.413356020419187</v>
      </c>
      <c r="O199" s="29">
        <f t="shared" si="248"/>
        <v>69.549797106487972</v>
      </c>
      <c r="P199" s="29">
        <f t="shared" si="248"/>
        <v>61.824725290939952</v>
      </c>
      <c r="Q199" s="29">
        <f t="shared" si="248"/>
        <v>60.521528160163221</v>
      </c>
      <c r="R199" s="29">
        <f t="shared" si="248"/>
        <v>59.032847103904444</v>
      </c>
      <c r="S199" s="29">
        <f t="shared" si="248"/>
        <v>57.573567762134978</v>
      </c>
      <c r="T199" s="29">
        <f t="shared" si="248"/>
        <v>53.144964980782703</v>
      </c>
      <c r="U199" s="29">
        <f t="shared" si="248"/>
        <v>51.804680740733211</v>
      </c>
      <c r="W199" s="30">
        <f t="shared" ref="W199:AD199" si="290">SUM(W402,W422,W442,W502,W602)</f>
        <v>28.718656004157396</v>
      </c>
      <c r="X199" s="30">
        <f t="shared" si="290"/>
        <v>38.225271998177412</v>
      </c>
      <c r="Y199" s="30">
        <f t="shared" si="235"/>
        <v>42.478333526222976</v>
      </c>
      <c r="Z199" s="30">
        <f t="shared" si="235"/>
        <v>38.87487144716679</v>
      </c>
      <c r="AA199" s="30">
        <f t="shared" si="236"/>
        <v>29.425688557205266</v>
      </c>
      <c r="AB199" s="30">
        <f t="shared" si="290"/>
        <v>24.832503862747391</v>
      </c>
      <c r="AC199" s="30">
        <f t="shared" ref="AC199" si="291">SUM(AC402,AC422,AC442,AC502,AC602)</f>
        <v>21.819525807423929</v>
      </c>
      <c r="AD199" s="90">
        <f t="shared" si="290"/>
        <v>0</v>
      </c>
      <c r="AF199" s="29">
        <f t="shared" si="251"/>
        <v>60.413356020419187</v>
      </c>
      <c r="AG199" s="30">
        <f t="shared" si="252"/>
        <v>28.718656004157396</v>
      </c>
      <c r="AH199" s="32">
        <f t="shared" si="253"/>
        <v>-31.694700016261791</v>
      </c>
      <c r="AI199" s="33">
        <f t="shared" si="254"/>
        <v>-0.52463067944030883</v>
      </c>
      <c r="AK199" s="29">
        <f t="shared" si="238"/>
        <v>69.549797106487972</v>
      </c>
      <c r="AL199" s="30">
        <f t="shared" si="239"/>
        <v>38.225271998177412</v>
      </c>
      <c r="AM199" s="32">
        <f t="shared" si="255"/>
        <v>-31.32452510831056</v>
      </c>
      <c r="AN199" s="33">
        <f t="shared" si="256"/>
        <v>-0.45038988482381126</v>
      </c>
      <c r="AP199" s="29">
        <f t="shared" si="257"/>
        <v>61.824725290939952</v>
      </c>
      <c r="AQ199" s="30">
        <f t="shared" si="258"/>
        <v>42.478333526222976</v>
      </c>
      <c r="AR199" s="32">
        <f t="shared" si="259"/>
        <v>-19.346391764716977</v>
      </c>
      <c r="AS199" s="33">
        <f t="shared" si="260"/>
        <v>-0.31292321435598963</v>
      </c>
      <c r="AT199" s="122"/>
      <c r="AU199" s="31">
        <f t="shared" si="261"/>
        <v>60.521528160163221</v>
      </c>
      <c r="AV199" s="25">
        <f t="shared" si="262"/>
        <v>38.87487144716679</v>
      </c>
      <c r="AW199" s="32">
        <f t="shared" si="263"/>
        <v>-21.646656712996432</v>
      </c>
      <c r="AX199" s="33">
        <f t="shared" si="264"/>
        <v>-0.35766870683950774</v>
      </c>
      <c r="AZ199" s="31">
        <f t="shared" si="240"/>
        <v>59.032847103904444</v>
      </c>
      <c r="BA199" s="25">
        <f t="shared" si="241"/>
        <v>29.425688557205266</v>
      </c>
      <c r="BB199" s="32">
        <f t="shared" si="265"/>
        <v>-29.607158546699178</v>
      </c>
      <c r="BC199" s="33">
        <f t="shared" si="266"/>
        <v>-0.50153702555777557</v>
      </c>
      <c r="BE199" s="31">
        <f t="shared" si="267"/>
        <v>57.573567762134978</v>
      </c>
      <c r="BF199" s="25">
        <f t="shared" si="268"/>
        <v>24.832503862747391</v>
      </c>
      <c r="BG199" s="32">
        <f t="shared" si="269"/>
        <v>-32.741063899387584</v>
      </c>
      <c r="BH199" s="33">
        <f t="shared" si="270"/>
        <v>-0.56868221255033546</v>
      </c>
      <c r="BJ199" s="31">
        <f t="shared" si="242"/>
        <v>53.144964980782703</v>
      </c>
      <c r="BK199" s="25">
        <f t="shared" si="243"/>
        <v>21.819525807423929</v>
      </c>
      <c r="BL199" s="32">
        <f t="shared" si="244"/>
        <v>-31.325439173358774</v>
      </c>
      <c r="BM199" s="33">
        <f t="shared" si="245"/>
        <v>-0.58943380966919634</v>
      </c>
      <c r="BO199" s="62"/>
      <c r="BP199" s="62"/>
      <c r="BQ199" s="62"/>
      <c r="BR199" s="63"/>
    </row>
    <row r="200" spans="1:70">
      <c r="B200" s="1284"/>
      <c r="D200" s="5" t="s">
        <v>170</v>
      </c>
      <c r="E200" s="87">
        <f t="shared" ref="E200:L200" si="292">SUM(E403,E423,E443,E503,E603)</f>
        <v>92.158426147339625</v>
      </c>
      <c r="F200" s="87">
        <f t="shared" si="292"/>
        <v>93.817540323994592</v>
      </c>
      <c r="G200" s="87">
        <f t="shared" si="292"/>
        <v>101.9224270094516</v>
      </c>
      <c r="H200" s="87">
        <f t="shared" si="292"/>
        <v>105.83124396928844</v>
      </c>
      <c r="I200" s="87">
        <f t="shared" si="292"/>
        <v>104.47741335920423</v>
      </c>
      <c r="J200" s="87">
        <f t="shared" si="292"/>
        <v>96.590792124144102</v>
      </c>
      <c r="K200" s="87">
        <f t="shared" si="292"/>
        <v>94.348903712411627</v>
      </c>
      <c r="L200" s="87">
        <f t="shared" si="292"/>
        <v>86.192295368413014</v>
      </c>
      <c r="N200" s="29">
        <f t="shared" si="247"/>
        <v>77.577393538527048</v>
      </c>
      <c r="O200" s="29">
        <f t="shared" si="248"/>
        <v>80.11358694477164</v>
      </c>
      <c r="P200" s="29">
        <f t="shared" si="248"/>
        <v>83.695816786241693</v>
      </c>
      <c r="Q200" s="29">
        <f t="shared" si="248"/>
        <v>86.997272525375536</v>
      </c>
      <c r="R200" s="29">
        <f t="shared" si="248"/>
        <v>84.995718742987478</v>
      </c>
      <c r="S200" s="29">
        <f t="shared" si="248"/>
        <v>77.032459811589504</v>
      </c>
      <c r="T200" s="29">
        <f t="shared" si="248"/>
        <v>74.763058068922703</v>
      </c>
      <c r="U200" s="29">
        <f t="shared" si="248"/>
        <v>68.668204788993563</v>
      </c>
      <c r="W200" s="30">
        <f t="shared" ref="W200:AD200" si="293">SUM(W403,W423,W443,W503,W603)</f>
        <v>46.770136363571496</v>
      </c>
      <c r="X200" s="30">
        <f t="shared" si="293"/>
        <v>43.611069373335745</v>
      </c>
      <c r="Y200" s="30">
        <f t="shared" si="235"/>
        <v>46.332375206856796</v>
      </c>
      <c r="Z200" s="30">
        <f t="shared" si="235"/>
        <v>50.063614106704563</v>
      </c>
      <c r="AA200" s="30">
        <f t="shared" si="236"/>
        <v>42.719305116636043</v>
      </c>
      <c r="AB200" s="30">
        <f t="shared" si="293"/>
        <v>49.107650426994034</v>
      </c>
      <c r="AC200" s="30">
        <f t="shared" ref="AC200" si="294">SUM(AC403,AC423,AC443,AC503,AC603)</f>
        <v>39.945003939739252</v>
      </c>
      <c r="AD200" s="90">
        <f t="shared" si="293"/>
        <v>0</v>
      </c>
      <c r="AF200" s="29">
        <f t="shared" si="251"/>
        <v>77.577393538527048</v>
      </c>
      <c r="AG200" s="30">
        <f t="shared" si="252"/>
        <v>46.770136363571496</v>
      </c>
      <c r="AH200" s="32">
        <f t="shared" si="253"/>
        <v>-30.807257174955552</v>
      </c>
      <c r="AI200" s="33">
        <f t="shared" si="254"/>
        <v>-0.39711642489839299</v>
      </c>
      <c r="AK200" s="29">
        <f t="shared" si="238"/>
        <v>80.11358694477164</v>
      </c>
      <c r="AL200" s="30">
        <f t="shared" si="239"/>
        <v>43.611069373335745</v>
      </c>
      <c r="AM200" s="32">
        <f t="shared" si="255"/>
        <v>-36.502517571435895</v>
      </c>
      <c r="AN200" s="33">
        <f t="shared" si="256"/>
        <v>-0.45563454294712635</v>
      </c>
      <c r="AP200" s="29">
        <f t="shared" si="257"/>
        <v>83.695816786241693</v>
      </c>
      <c r="AQ200" s="30">
        <f t="shared" si="258"/>
        <v>46.332375206856796</v>
      </c>
      <c r="AR200" s="32">
        <f t="shared" si="259"/>
        <v>-37.363441579384897</v>
      </c>
      <c r="AS200" s="33">
        <f t="shared" si="260"/>
        <v>-0.44641946293218893</v>
      </c>
      <c r="AT200" s="122"/>
      <c r="AU200" s="31">
        <f t="shared" si="261"/>
        <v>86.997272525375536</v>
      </c>
      <c r="AV200" s="25">
        <f t="shared" si="262"/>
        <v>50.063614106704563</v>
      </c>
      <c r="AW200" s="32">
        <f t="shared" si="263"/>
        <v>-36.933658418670973</v>
      </c>
      <c r="AX200" s="33">
        <f t="shared" si="264"/>
        <v>-0.42453811880019676</v>
      </c>
      <c r="AZ200" s="31">
        <f t="shared" si="240"/>
        <v>84.995718742987478</v>
      </c>
      <c r="BA200" s="25">
        <f t="shared" si="241"/>
        <v>42.719305116636043</v>
      </c>
      <c r="BB200" s="32">
        <f t="shared" si="265"/>
        <v>-42.276413626351435</v>
      </c>
      <c r="BC200" s="33">
        <f t="shared" si="266"/>
        <v>-0.49739462471266443</v>
      </c>
      <c r="BE200" s="31">
        <f t="shared" si="267"/>
        <v>77.032459811589504</v>
      </c>
      <c r="BF200" s="25">
        <f t="shared" si="268"/>
        <v>49.107650426994034</v>
      </c>
      <c r="BG200" s="32">
        <f t="shared" si="269"/>
        <v>-27.92480938459547</v>
      </c>
      <c r="BH200" s="33">
        <f t="shared" si="270"/>
        <v>-0.36250704511962362</v>
      </c>
      <c r="BJ200" s="31">
        <f t="shared" si="242"/>
        <v>74.763058068922703</v>
      </c>
      <c r="BK200" s="25">
        <f t="shared" si="243"/>
        <v>39.945003939739252</v>
      </c>
      <c r="BL200" s="32">
        <f t="shared" si="244"/>
        <v>-34.818054129183452</v>
      </c>
      <c r="BM200" s="33">
        <f t="shared" si="245"/>
        <v>-0.46571201109892163</v>
      </c>
      <c r="BO200" s="62"/>
      <c r="BP200" s="62"/>
      <c r="BQ200" s="62"/>
      <c r="BR200" s="63"/>
    </row>
    <row r="201" spans="1:70">
      <c r="B201" s="1284"/>
      <c r="D201" s="5" t="s">
        <v>171</v>
      </c>
      <c r="E201" s="87">
        <f t="shared" ref="E201:L201" si="295">SUM(E404,E424,E444,E504,E604)</f>
        <v>72.291321225964154</v>
      </c>
      <c r="F201" s="87">
        <f t="shared" si="295"/>
        <v>74.880097647238841</v>
      </c>
      <c r="G201" s="87">
        <f t="shared" si="295"/>
        <v>75.341310124713459</v>
      </c>
      <c r="H201" s="87">
        <f t="shared" si="295"/>
        <v>71.534535612939607</v>
      </c>
      <c r="I201" s="87">
        <f t="shared" si="295"/>
        <v>70.60154429303644</v>
      </c>
      <c r="J201" s="87">
        <f t="shared" si="295"/>
        <v>69.979093197610737</v>
      </c>
      <c r="K201" s="87">
        <f t="shared" si="295"/>
        <v>71.855058907057554</v>
      </c>
      <c r="L201" s="87">
        <f t="shared" si="295"/>
        <v>69.975494590227711</v>
      </c>
      <c r="N201" s="29">
        <f t="shared" si="247"/>
        <v>70.624651601082732</v>
      </c>
      <c r="O201" s="29">
        <f t="shared" si="248"/>
        <v>70.714539342650411</v>
      </c>
      <c r="P201" s="29">
        <f t="shared" si="248"/>
        <v>70.530909483724884</v>
      </c>
      <c r="Q201" s="29">
        <f t="shared" si="248"/>
        <v>67.29280033017973</v>
      </c>
      <c r="R201" s="29">
        <f t="shared" si="248"/>
        <v>65.467841796224064</v>
      </c>
      <c r="S201" s="29">
        <f t="shared" si="248"/>
        <v>63.639043331425157</v>
      </c>
      <c r="T201" s="29">
        <f t="shared" si="248"/>
        <v>58.354707920507337</v>
      </c>
      <c r="U201" s="29">
        <f t="shared" si="248"/>
        <v>55.83136355416363</v>
      </c>
      <c r="W201" s="30">
        <f t="shared" ref="W201:AD201" si="296">SUM(W404,W424,W444,W504,W604)</f>
        <v>65.033321496286504</v>
      </c>
      <c r="X201" s="30">
        <f t="shared" si="296"/>
        <v>74.08098459200248</v>
      </c>
      <c r="Y201" s="30">
        <f t="shared" si="235"/>
        <v>65.317506900953731</v>
      </c>
      <c r="Z201" s="30">
        <f t="shared" si="235"/>
        <v>67.644593742406656</v>
      </c>
      <c r="AA201" s="30">
        <f t="shared" si="236"/>
        <v>67.399464815295545</v>
      </c>
      <c r="AB201" s="30">
        <f t="shared" si="296"/>
        <v>50.903821545312965</v>
      </c>
      <c r="AC201" s="30">
        <f t="shared" ref="AC201" si="297">SUM(AC404,AC424,AC444,AC504,AC604)</f>
        <v>40.579865433724983</v>
      </c>
      <c r="AD201" s="90">
        <f t="shared" si="296"/>
        <v>0</v>
      </c>
      <c r="AF201" s="29">
        <f t="shared" si="251"/>
        <v>70.624651601082732</v>
      </c>
      <c r="AG201" s="30">
        <f t="shared" si="252"/>
        <v>65.033321496286504</v>
      </c>
      <c r="AH201" s="32">
        <f t="shared" si="253"/>
        <v>-5.5913301047962278</v>
      </c>
      <c r="AI201" s="33">
        <f t="shared" si="254"/>
        <v>-7.9169666370580843E-2</v>
      </c>
      <c r="AK201" s="29">
        <f t="shared" si="238"/>
        <v>70.714539342650411</v>
      </c>
      <c r="AL201" s="30">
        <f t="shared" si="239"/>
        <v>74.08098459200248</v>
      </c>
      <c r="AM201" s="32">
        <f t="shared" si="255"/>
        <v>3.3664452493520685</v>
      </c>
      <c r="AN201" s="33">
        <f t="shared" si="256"/>
        <v>4.7606125708318764E-2</v>
      </c>
      <c r="AP201" s="29">
        <f t="shared" si="257"/>
        <v>70.530909483724884</v>
      </c>
      <c r="AQ201" s="30">
        <f t="shared" si="258"/>
        <v>65.317506900953731</v>
      </c>
      <c r="AR201" s="32">
        <f t="shared" si="259"/>
        <v>-5.2134025827711525</v>
      </c>
      <c r="AS201" s="33">
        <f t="shared" si="260"/>
        <v>-7.3916565388599642E-2</v>
      </c>
      <c r="AT201" s="122"/>
      <c r="AU201" s="31">
        <f t="shared" si="261"/>
        <v>67.29280033017973</v>
      </c>
      <c r="AV201" s="25">
        <f t="shared" si="262"/>
        <v>67.644593742406656</v>
      </c>
      <c r="AW201" s="32">
        <f t="shared" si="263"/>
        <v>0.35179341222692528</v>
      </c>
      <c r="AX201" s="33">
        <f t="shared" si="264"/>
        <v>5.22780164446733E-3</v>
      </c>
      <c r="AZ201" s="31">
        <f t="shared" si="240"/>
        <v>65.467841796224064</v>
      </c>
      <c r="BA201" s="25">
        <f t="shared" si="241"/>
        <v>67.399464815295545</v>
      </c>
      <c r="BB201" s="32">
        <f t="shared" si="265"/>
        <v>1.9316230190714805</v>
      </c>
      <c r="BC201" s="33">
        <f t="shared" si="266"/>
        <v>2.950491365033648E-2</v>
      </c>
      <c r="BE201" s="31">
        <f t="shared" si="267"/>
        <v>63.639043331425157</v>
      </c>
      <c r="BF201" s="25">
        <f t="shared" si="268"/>
        <v>50.903821545312965</v>
      </c>
      <c r="BG201" s="32">
        <f t="shared" si="269"/>
        <v>-12.735221786112191</v>
      </c>
      <c r="BH201" s="33">
        <f t="shared" si="270"/>
        <v>-0.20011648697779055</v>
      </c>
      <c r="BJ201" s="31">
        <f t="shared" si="242"/>
        <v>58.354707920507337</v>
      </c>
      <c r="BK201" s="25">
        <f t="shared" si="243"/>
        <v>40.579865433724983</v>
      </c>
      <c r="BL201" s="32">
        <f t="shared" si="244"/>
        <v>-17.774842486782354</v>
      </c>
      <c r="BM201" s="33">
        <f t="shared" si="245"/>
        <v>-0.30459997351020618</v>
      </c>
      <c r="BO201" s="62"/>
      <c r="BP201" s="62"/>
      <c r="BQ201" s="62"/>
      <c r="BR201" s="63"/>
    </row>
    <row r="202" spans="1:70">
      <c r="B202" s="1284"/>
      <c r="D202" s="5" t="s">
        <v>172</v>
      </c>
      <c r="E202" s="87">
        <f t="shared" ref="E202:L202" si="298">SUM(E405,E425,E445,E505,E605)</f>
        <v>118.19644892771274</v>
      </c>
      <c r="F202" s="87">
        <f t="shared" si="298"/>
        <v>144.92096881588034</v>
      </c>
      <c r="G202" s="87">
        <f t="shared" si="298"/>
        <v>123.22805696298065</v>
      </c>
      <c r="H202" s="87">
        <f t="shared" si="298"/>
        <v>106.96261540892473</v>
      </c>
      <c r="I202" s="87">
        <f t="shared" si="298"/>
        <v>106.46043174885773</v>
      </c>
      <c r="J202" s="87">
        <f t="shared" si="298"/>
        <v>110.75075440862356</v>
      </c>
      <c r="K202" s="87">
        <f t="shared" si="298"/>
        <v>103.43088056365356</v>
      </c>
      <c r="L202" s="87">
        <f t="shared" si="298"/>
        <v>86.14136522961229</v>
      </c>
      <c r="N202" s="29">
        <f t="shared" si="247"/>
        <v>96.551323100906828</v>
      </c>
      <c r="O202" s="29">
        <f t="shared" si="248"/>
        <v>111.41617089855475</v>
      </c>
      <c r="P202" s="29">
        <f t="shared" si="248"/>
        <v>98.379218098288305</v>
      </c>
      <c r="Q202" s="29">
        <f t="shared" si="248"/>
        <v>87.56411414304965</v>
      </c>
      <c r="R202" s="29">
        <f t="shared" si="248"/>
        <v>86.073205934563731</v>
      </c>
      <c r="S202" s="29">
        <f t="shared" si="248"/>
        <v>86.612295344224094</v>
      </c>
      <c r="T202" s="29">
        <f t="shared" si="248"/>
        <v>74.135667881058438</v>
      </c>
      <c r="U202" s="29">
        <f t="shared" si="248"/>
        <v>60.9980411663011</v>
      </c>
      <c r="W202" s="30">
        <f t="shared" ref="W202:AD202" si="299">SUM(W405,W425,W445,W505,W605)</f>
        <v>86.076640281541273</v>
      </c>
      <c r="X202" s="30">
        <f t="shared" si="299"/>
        <v>81.570714283419932</v>
      </c>
      <c r="Y202" s="30">
        <f t="shared" si="235"/>
        <v>91.469605824363796</v>
      </c>
      <c r="Z202" s="30">
        <f t="shared" si="235"/>
        <v>93.050177517404066</v>
      </c>
      <c r="AA202" s="30">
        <f t="shared" si="236"/>
        <v>75.594665830749705</v>
      </c>
      <c r="AB202" s="30">
        <f t="shared" si="299"/>
        <v>50.564956753271225</v>
      </c>
      <c r="AC202" s="30">
        <f t="shared" ref="AC202" si="300">SUM(AC405,AC425,AC445,AC505,AC605)</f>
        <v>49.637599207664401</v>
      </c>
      <c r="AD202" s="90">
        <f t="shared" si="299"/>
        <v>0</v>
      </c>
      <c r="AF202" s="29">
        <f t="shared" si="251"/>
        <v>96.551323100906828</v>
      </c>
      <c r="AG202" s="30">
        <f t="shared" si="252"/>
        <v>86.076640281541273</v>
      </c>
      <c r="AH202" s="32">
        <f t="shared" si="253"/>
        <v>-10.474682819365555</v>
      </c>
      <c r="AI202" s="33">
        <f t="shared" si="254"/>
        <v>-0.10848823695992597</v>
      </c>
      <c r="AK202" s="29">
        <f t="shared" si="238"/>
        <v>111.41617089855475</v>
      </c>
      <c r="AL202" s="30">
        <f t="shared" si="239"/>
        <v>81.570714283419932</v>
      </c>
      <c r="AM202" s="32">
        <f t="shared" si="255"/>
        <v>-29.845456615134822</v>
      </c>
      <c r="AN202" s="33">
        <f t="shared" si="256"/>
        <v>-0.26787365222153731</v>
      </c>
      <c r="AP202" s="29">
        <f t="shared" si="257"/>
        <v>98.379218098288305</v>
      </c>
      <c r="AQ202" s="30">
        <f t="shared" si="258"/>
        <v>91.469605824363796</v>
      </c>
      <c r="AR202" s="32">
        <f t="shared" si="259"/>
        <v>-6.9096122739245089</v>
      </c>
      <c r="AS202" s="33">
        <f t="shared" si="260"/>
        <v>-7.0234470323003395E-2</v>
      </c>
      <c r="AT202" s="122"/>
      <c r="AU202" s="31">
        <f t="shared" si="261"/>
        <v>87.56411414304965</v>
      </c>
      <c r="AV202" s="25">
        <f t="shared" si="262"/>
        <v>93.050177517404066</v>
      </c>
      <c r="AW202" s="32">
        <f t="shared" si="263"/>
        <v>5.4860633743544156</v>
      </c>
      <c r="AX202" s="33">
        <f t="shared" si="264"/>
        <v>6.2651959972918531E-2</v>
      </c>
      <c r="AZ202" s="31">
        <f t="shared" si="240"/>
        <v>86.073205934563731</v>
      </c>
      <c r="BA202" s="25">
        <f t="shared" si="241"/>
        <v>75.594665830749705</v>
      </c>
      <c r="BB202" s="32">
        <f t="shared" si="265"/>
        <v>-10.478540103814026</v>
      </c>
      <c r="BC202" s="33">
        <f t="shared" si="266"/>
        <v>-0.1217398607387789</v>
      </c>
      <c r="BE202" s="31">
        <f t="shared" si="267"/>
        <v>86.612295344224094</v>
      </c>
      <c r="BF202" s="25">
        <f t="shared" si="268"/>
        <v>50.564956753271225</v>
      </c>
      <c r="BG202" s="32">
        <f t="shared" si="269"/>
        <v>-36.047338590952869</v>
      </c>
      <c r="BH202" s="33">
        <f t="shared" si="270"/>
        <v>-0.41619193265447563</v>
      </c>
      <c r="BJ202" s="31">
        <f t="shared" si="242"/>
        <v>74.135667881058438</v>
      </c>
      <c r="BK202" s="25">
        <f t="shared" si="243"/>
        <v>49.637599207664401</v>
      </c>
      <c r="BL202" s="32">
        <f t="shared" si="244"/>
        <v>-24.498068673394037</v>
      </c>
      <c r="BM202" s="33">
        <f t="shared" si="245"/>
        <v>-0.33044915320245277</v>
      </c>
      <c r="BO202" s="62"/>
      <c r="BP202" s="62"/>
      <c r="BQ202" s="62"/>
      <c r="BR202" s="63"/>
    </row>
    <row r="203" spans="1:70">
      <c r="B203" s="1284"/>
      <c r="D203" s="5" t="s">
        <v>28</v>
      </c>
      <c r="E203" s="87">
        <f t="shared" ref="E203:L203" si="301">SUM(E406,E426,E446,E506,E606)</f>
        <v>40.536233743342258</v>
      </c>
      <c r="F203" s="87">
        <f t="shared" si="301"/>
        <v>40.343345779669733</v>
      </c>
      <c r="G203" s="87">
        <f t="shared" si="301"/>
        <v>40.071958003186388</v>
      </c>
      <c r="H203" s="87">
        <f t="shared" si="301"/>
        <v>40.510868392566238</v>
      </c>
      <c r="I203" s="87">
        <f t="shared" si="301"/>
        <v>42.429067062687999</v>
      </c>
      <c r="J203" s="87">
        <f t="shared" si="301"/>
        <v>42.888297767940919</v>
      </c>
      <c r="K203" s="87">
        <f t="shared" si="301"/>
        <v>44.01144176484982</v>
      </c>
      <c r="L203" s="87">
        <f t="shared" si="301"/>
        <v>43.812561434413993</v>
      </c>
      <c r="N203" s="29">
        <f t="shared" si="247"/>
        <v>38.784995673997471</v>
      </c>
      <c r="O203" s="29">
        <f t="shared" si="248"/>
        <v>38.148561045096848</v>
      </c>
      <c r="P203" s="29">
        <f t="shared" si="248"/>
        <v>36.423074962783481</v>
      </c>
      <c r="Q203" s="29">
        <f t="shared" si="248"/>
        <v>36.38695975956567</v>
      </c>
      <c r="R203" s="29">
        <f t="shared" si="248"/>
        <v>36.896107844023149</v>
      </c>
      <c r="S203" s="29">
        <f t="shared" si="248"/>
        <v>36.735041052210796</v>
      </c>
      <c r="T203" s="29">
        <f t="shared" si="248"/>
        <v>37.034361140546956</v>
      </c>
      <c r="U203" s="29">
        <f t="shared" si="248"/>
        <v>36.216475859690128</v>
      </c>
      <c r="W203" s="30">
        <f t="shared" ref="W203:AD203" si="302">SUM(W406,W426,W446,W506,W606)</f>
        <v>30.655839864540891</v>
      </c>
      <c r="X203" s="30">
        <f t="shared" si="302"/>
        <v>34.016795191922071</v>
      </c>
      <c r="Y203" s="30">
        <f t="shared" si="235"/>
        <v>31.658258164444916</v>
      </c>
      <c r="Z203" s="30">
        <f t="shared" si="235"/>
        <v>39.819417287574979</v>
      </c>
      <c r="AA203" s="30">
        <f t="shared" si="236"/>
        <v>25.194226574281355</v>
      </c>
      <c r="AB203" s="30">
        <f t="shared" si="302"/>
        <v>47.260835017890543</v>
      </c>
      <c r="AC203" s="30">
        <f t="shared" ref="AC203" si="303">SUM(AC406,AC426,AC446,AC506,AC606)</f>
        <v>35.033819080000001</v>
      </c>
      <c r="AD203" s="90">
        <f t="shared" si="302"/>
        <v>0</v>
      </c>
      <c r="AF203" s="29">
        <f t="shared" si="251"/>
        <v>38.784995673997471</v>
      </c>
      <c r="AG203" s="30">
        <f t="shared" si="252"/>
        <v>30.655839864540891</v>
      </c>
      <c r="AH203" s="32">
        <f t="shared" si="253"/>
        <v>-8.1291558094565808</v>
      </c>
      <c r="AI203" s="33">
        <f t="shared" si="254"/>
        <v>-0.20959537749559659</v>
      </c>
      <c r="AK203" s="29">
        <f t="shared" si="238"/>
        <v>38.148561045096848</v>
      </c>
      <c r="AL203" s="30">
        <f t="shared" si="239"/>
        <v>34.016795191922071</v>
      </c>
      <c r="AM203" s="32">
        <f t="shared" si="255"/>
        <v>-4.1317658531747767</v>
      </c>
      <c r="AN203" s="33">
        <f t="shared" si="256"/>
        <v>-0.10830725301251759</v>
      </c>
      <c r="AP203" s="29">
        <f t="shared" si="257"/>
        <v>36.423074962783481</v>
      </c>
      <c r="AQ203" s="30">
        <f t="shared" si="258"/>
        <v>31.658258164444916</v>
      </c>
      <c r="AR203" s="32">
        <f t="shared" si="259"/>
        <v>-4.7648167983385648</v>
      </c>
      <c r="AS203" s="33">
        <f t="shared" si="260"/>
        <v>-0.13081863085989248</v>
      </c>
      <c r="AT203" s="122"/>
      <c r="AU203" s="31">
        <f t="shared" si="261"/>
        <v>36.38695975956567</v>
      </c>
      <c r="AV203" s="25">
        <f t="shared" si="262"/>
        <v>39.819417287574979</v>
      </c>
      <c r="AW203" s="32">
        <f t="shared" si="263"/>
        <v>3.4324575280093086</v>
      </c>
      <c r="AX203" s="33">
        <f t="shared" si="264"/>
        <v>9.4332078049113713E-2</v>
      </c>
      <c r="AZ203" s="31">
        <f t="shared" si="240"/>
        <v>36.896107844023149</v>
      </c>
      <c r="BA203" s="25">
        <f t="shared" si="241"/>
        <v>25.194226574281355</v>
      </c>
      <c r="BB203" s="32">
        <f t="shared" si="265"/>
        <v>-11.701881269741794</v>
      </c>
      <c r="BC203" s="33">
        <f t="shared" si="266"/>
        <v>-0.31715760695439849</v>
      </c>
      <c r="BE203" s="31">
        <f t="shared" si="267"/>
        <v>36.735041052210796</v>
      </c>
      <c r="BF203" s="25">
        <f t="shared" si="268"/>
        <v>47.260835017890543</v>
      </c>
      <c r="BG203" s="32">
        <f t="shared" si="269"/>
        <v>10.525793965679746</v>
      </c>
      <c r="BH203" s="33">
        <f t="shared" si="270"/>
        <v>0.28653279441609009</v>
      </c>
      <c r="BJ203" s="31">
        <f t="shared" si="242"/>
        <v>37.034361140546956</v>
      </c>
      <c r="BK203" s="25">
        <f t="shared" si="243"/>
        <v>35.033819080000001</v>
      </c>
      <c r="BL203" s="32">
        <f t="shared" si="244"/>
        <v>-2.0005420605469553</v>
      </c>
      <c r="BM203" s="33">
        <f t="shared" si="245"/>
        <v>-5.4018538431237252E-2</v>
      </c>
      <c r="BO203" s="62"/>
      <c r="BP203" s="62"/>
      <c r="BQ203" s="62"/>
      <c r="BR203" s="63"/>
    </row>
    <row r="204" spans="1:70">
      <c r="B204" s="1284"/>
      <c r="D204" s="5" t="s">
        <v>173</v>
      </c>
      <c r="E204" s="87">
        <f t="shared" ref="E204:L204" si="304">SUM(E407,E427,E447,E507,E607)</f>
        <v>102.96261806256419</v>
      </c>
      <c r="F204" s="87">
        <f t="shared" si="304"/>
        <v>105.70912583364893</v>
      </c>
      <c r="G204" s="87">
        <f t="shared" si="304"/>
        <v>107.76539408947697</v>
      </c>
      <c r="H204" s="87">
        <f t="shared" si="304"/>
        <v>101.97012340426934</v>
      </c>
      <c r="I204" s="87">
        <f t="shared" si="304"/>
        <v>102.38551696529936</v>
      </c>
      <c r="J204" s="87">
        <f t="shared" si="304"/>
        <v>96.761132022231564</v>
      </c>
      <c r="K204" s="87">
        <f t="shared" si="304"/>
        <v>97.668032358243963</v>
      </c>
      <c r="L204" s="87">
        <f t="shared" si="304"/>
        <v>99.921018186742785</v>
      </c>
      <c r="N204" s="29">
        <f t="shared" si="247"/>
        <v>104.35516914450183</v>
      </c>
      <c r="O204" s="29">
        <f t="shared" si="248"/>
        <v>104.41026222108313</v>
      </c>
      <c r="P204" s="29">
        <f t="shared" si="248"/>
        <v>101.44292000315282</v>
      </c>
      <c r="Q204" s="29">
        <f t="shared" si="248"/>
        <v>96.810951455350022</v>
      </c>
      <c r="R204" s="29">
        <f t="shared" si="248"/>
        <v>92.902301043346867</v>
      </c>
      <c r="S204" s="29">
        <f t="shared" si="248"/>
        <v>87.249060300399989</v>
      </c>
      <c r="T204" s="29">
        <f t="shared" si="248"/>
        <v>86.133865722299703</v>
      </c>
      <c r="U204" s="29">
        <f t="shared" si="248"/>
        <v>87.701661174761995</v>
      </c>
      <c r="W204" s="30">
        <f t="shared" ref="W204:AD204" si="305">SUM(W407,W427,W447,W507,W607)</f>
        <v>62.323840859513332</v>
      </c>
      <c r="X204" s="30">
        <f t="shared" si="305"/>
        <v>64.325812452482708</v>
      </c>
      <c r="Y204" s="30">
        <f t="shared" si="235"/>
        <v>88.824837649729403</v>
      </c>
      <c r="Z204" s="30">
        <f t="shared" si="235"/>
        <v>78.588856520120999</v>
      </c>
      <c r="AA204" s="30">
        <f t="shared" si="236"/>
        <v>89.437453473219634</v>
      </c>
      <c r="AB204" s="30">
        <f t="shared" si="305"/>
        <v>90.1190543606793</v>
      </c>
      <c r="AC204" s="30">
        <f t="shared" ref="AC204" si="306">SUM(AC407,AC427,AC447,AC507,AC607)</f>
        <v>62.222124539999996</v>
      </c>
      <c r="AD204" s="90">
        <f t="shared" si="305"/>
        <v>0</v>
      </c>
      <c r="AF204" s="29">
        <f t="shared" si="251"/>
        <v>104.35516914450183</v>
      </c>
      <c r="AG204" s="30">
        <f t="shared" si="252"/>
        <v>62.323840859513332</v>
      </c>
      <c r="AH204" s="32">
        <f t="shared" si="253"/>
        <v>-42.031328284988497</v>
      </c>
      <c r="AI204" s="33">
        <f t="shared" si="254"/>
        <v>-0.40277188595025154</v>
      </c>
      <c r="AK204" s="29">
        <f t="shared" si="238"/>
        <v>104.41026222108313</v>
      </c>
      <c r="AL204" s="30">
        <f t="shared" si="239"/>
        <v>64.325812452482708</v>
      </c>
      <c r="AM204" s="32">
        <f t="shared" si="255"/>
        <v>-40.084449768600422</v>
      </c>
      <c r="AN204" s="33">
        <f t="shared" si="256"/>
        <v>-0.38391293073973659</v>
      </c>
      <c r="AP204" s="29">
        <f t="shared" si="257"/>
        <v>101.44292000315282</v>
      </c>
      <c r="AQ204" s="30">
        <f t="shared" si="258"/>
        <v>88.824837649729403</v>
      </c>
      <c r="AR204" s="32">
        <f t="shared" si="259"/>
        <v>-12.618082353423418</v>
      </c>
      <c r="AS204" s="33">
        <f t="shared" si="260"/>
        <v>-0.12438603258888102</v>
      </c>
      <c r="AT204" s="122"/>
      <c r="AU204" s="31">
        <f t="shared" si="261"/>
        <v>96.810951455350022</v>
      </c>
      <c r="AV204" s="25">
        <f t="shared" si="262"/>
        <v>78.588856520120999</v>
      </c>
      <c r="AW204" s="32">
        <f t="shared" si="263"/>
        <v>-18.222094935229023</v>
      </c>
      <c r="AX204" s="33">
        <f t="shared" si="264"/>
        <v>-0.18822348774904044</v>
      </c>
      <c r="AZ204" s="31">
        <f t="shared" si="240"/>
        <v>92.902301043346867</v>
      </c>
      <c r="BA204" s="25">
        <f t="shared" si="241"/>
        <v>89.437453473219634</v>
      </c>
      <c r="BB204" s="32">
        <f t="shared" si="265"/>
        <v>-3.4648475701272332</v>
      </c>
      <c r="BC204" s="33">
        <f t="shared" si="266"/>
        <v>-3.7295605504007762E-2</v>
      </c>
      <c r="BE204" s="31">
        <f t="shared" si="267"/>
        <v>87.249060300399989</v>
      </c>
      <c r="BF204" s="25">
        <f t="shared" si="268"/>
        <v>90.1190543606793</v>
      </c>
      <c r="BG204" s="32">
        <f t="shared" si="269"/>
        <v>2.8699940602793106</v>
      </c>
      <c r="BH204" s="33">
        <f t="shared" si="270"/>
        <v>3.2894269008719092E-2</v>
      </c>
      <c r="BJ204" s="31">
        <f t="shared" si="242"/>
        <v>86.133865722299703</v>
      </c>
      <c r="BK204" s="25">
        <f t="shared" si="243"/>
        <v>62.222124539999996</v>
      </c>
      <c r="BL204" s="32">
        <f t="shared" si="244"/>
        <v>-23.911741182299707</v>
      </c>
      <c r="BM204" s="33">
        <f t="shared" si="245"/>
        <v>-0.27761137830957766</v>
      </c>
      <c r="BO204" s="62"/>
      <c r="BP204" s="62"/>
      <c r="BQ204" s="62"/>
      <c r="BR204" s="63"/>
    </row>
    <row r="205" spans="1:70">
      <c r="B205" s="1284"/>
      <c r="D205" s="4" t="s">
        <v>174</v>
      </c>
      <c r="E205" s="88">
        <f t="shared" ref="E205:L205" si="307">SUM(E191:E204)</f>
        <v>1109.5836885838223</v>
      </c>
      <c r="F205" s="88">
        <f t="shared" si="307"/>
        <v>1153.6901638024558</v>
      </c>
      <c r="G205" s="88">
        <f t="shared" si="307"/>
        <v>1113.1074105617477</v>
      </c>
      <c r="H205" s="88">
        <f t="shared" si="307"/>
        <v>1079.0608154573827</v>
      </c>
      <c r="I205" s="88">
        <f t="shared" si="307"/>
        <v>1081.4425239574578</v>
      </c>
      <c r="J205" s="88">
        <f t="shared" si="307"/>
        <v>1058.0529535851986</v>
      </c>
      <c r="K205" s="88">
        <f t="shared" si="307"/>
        <v>1024.8739225638642</v>
      </c>
      <c r="L205" s="88">
        <f t="shared" si="307"/>
        <v>1006.5853493516723</v>
      </c>
      <c r="M205" s="1"/>
      <c r="N205" s="81">
        <f t="shared" ref="N205:U205" si="308">SUM(N191:N204)</f>
        <v>1049.7929994074209</v>
      </c>
      <c r="O205" s="81">
        <f t="shared" si="308"/>
        <v>1065.3632195104865</v>
      </c>
      <c r="P205" s="81">
        <f t="shared" si="308"/>
        <v>1015.4810107633826</v>
      </c>
      <c r="Q205" s="81">
        <f t="shared" si="308"/>
        <v>990.55010349990118</v>
      </c>
      <c r="R205" s="81">
        <f t="shared" si="308"/>
        <v>973.99988054963467</v>
      </c>
      <c r="S205" s="81">
        <f t="shared" si="308"/>
        <v>948.34010040424323</v>
      </c>
      <c r="T205" s="81">
        <f t="shared" si="308"/>
        <v>903.81475039941404</v>
      </c>
      <c r="U205" s="81">
        <f t="shared" si="308"/>
        <v>883.76470131611245</v>
      </c>
      <c r="V205" s="1"/>
      <c r="W205" s="85">
        <f t="shared" ref="W205:AD205" si="309">SUM(W191:W204)</f>
        <v>812.35655952579054</v>
      </c>
      <c r="X205" s="85">
        <f t="shared" si="309"/>
        <v>866.66524107018063</v>
      </c>
      <c r="Y205" s="85">
        <f>SUM(Y191:Y204)</f>
        <v>852.54915597386525</v>
      </c>
      <c r="Z205" s="85">
        <f>SUM(Z191:Z204)</f>
        <v>810.38305097877935</v>
      </c>
      <c r="AA205" s="85">
        <f>SUM(AA191:AA204)</f>
        <v>792.15013280186224</v>
      </c>
      <c r="AB205" s="85">
        <f t="shared" si="309"/>
        <v>805.03542707135045</v>
      </c>
      <c r="AC205" s="85">
        <f t="shared" ref="AC205" si="310">SUM(AC191:AC204)</f>
        <v>719.76995865801962</v>
      </c>
      <c r="AD205" s="91">
        <f t="shared" si="309"/>
        <v>0</v>
      </c>
      <c r="AE205" s="1"/>
      <c r="AF205" s="81">
        <f t="shared" si="251"/>
        <v>1049.7929994074209</v>
      </c>
      <c r="AG205" s="85">
        <f t="shared" si="252"/>
        <v>812.35655952579054</v>
      </c>
      <c r="AH205" s="34">
        <f t="shared" si="253"/>
        <v>-237.43643988163035</v>
      </c>
      <c r="AI205" s="35">
        <f t="shared" si="254"/>
        <v>-0.2261745315654197</v>
      </c>
      <c r="AK205" s="81">
        <f t="shared" si="238"/>
        <v>1065.3632195104865</v>
      </c>
      <c r="AL205" s="85">
        <f t="shared" si="239"/>
        <v>866.66524107018063</v>
      </c>
      <c r="AM205" s="34">
        <f t="shared" si="255"/>
        <v>-198.69797844030586</v>
      </c>
      <c r="AN205" s="35">
        <f t="shared" si="256"/>
        <v>-0.18650726325206129</v>
      </c>
      <c r="AP205" s="81">
        <f t="shared" si="257"/>
        <v>1015.4810107633826</v>
      </c>
      <c r="AQ205" s="85">
        <f t="shared" si="258"/>
        <v>852.54915597386525</v>
      </c>
      <c r="AR205" s="34">
        <f t="shared" si="259"/>
        <v>-162.93185478951739</v>
      </c>
      <c r="AS205" s="35">
        <f t="shared" si="260"/>
        <v>-0.16044795822133021</v>
      </c>
      <c r="AU205" s="949">
        <f t="shared" si="261"/>
        <v>990.55010349990118</v>
      </c>
      <c r="AV205" s="843">
        <f t="shared" si="262"/>
        <v>810.38305097877935</v>
      </c>
      <c r="AW205" s="34">
        <f t="shared" si="263"/>
        <v>-180.16705252112183</v>
      </c>
      <c r="AX205" s="35">
        <f t="shared" si="264"/>
        <v>-0.18188585502594903</v>
      </c>
      <c r="AZ205" s="949">
        <f t="shared" si="240"/>
        <v>973.99988054963467</v>
      </c>
      <c r="BA205" s="843">
        <f t="shared" si="241"/>
        <v>792.15013280186224</v>
      </c>
      <c r="BB205" s="34">
        <f t="shared" si="265"/>
        <v>-181.84974774777243</v>
      </c>
      <c r="BC205" s="35">
        <f t="shared" si="266"/>
        <v>-0.18670407602632702</v>
      </c>
      <c r="BE205" s="31">
        <f t="shared" si="267"/>
        <v>948.34010040424323</v>
      </c>
      <c r="BF205" s="25">
        <f t="shared" si="268"/>
        <v>805.03542707135045</v>
      </c>
      <c r="BG205" s="32">
        <f t="shared" si="269"/>
        <v>-143.30467333289278</v>
      </c>
      <c r="BH205" s="33">
        <f t="shared" si="270"/>
        <v>-0.15111105527627394</v>
      </c>
      <c r="BJ205" s="31">
        <f t="shared" si="242"/>
        <v>903.81475039941404</v>
      </c>
      <c r="BK205" s="25">
        <f t="shared" si="243"/>
        <v>719.76995865801962</v>
      </c>
      <c r="BL205" s="32">
        <f t="shared" si="244"/>
        <v>-184.04479174139442</v>
      </c>
      <c r="BM205" s="33">
        <f t="shared" si="245"/>
        <v>-0.2036310999129648</v>
      </c>
      <c r="BO205" s="62"/>
      <c r="BP205" s="62"/>
      <c r="BQ205" s="62"/>
      <c r="BR205" s="63"/>
    </row>
    <row r="206" spans="1:70">
      <c r="B206" s="1284"/>
      <c r="D206" s="4" t="s">
        <v>724</v>
      </c>
      <c r="E206" s="88">
        <f t="shared" ref="E206:L206" si="311">E205-SUM(E194:E197)</f>
        <v>824.03507805830213</v>
      </c>
      <c r="F206" s="88">
        <f t="shared" si="311"/>
        <v>864.02132761449525</v>
      </c>
      <c r="G206" s="88">
        <f t="shared" si="311"/>
        <v>833.67383396147443</v>
      </c>
      <c r="H206" s="88">
        <f t="shared" si="311"/>
        <v>794.92991074307076</v>
      </c>
      <c r="I206" s="88">
        <f t="shared" si="311"/>
        <v>795.07399816815189</v>
      </c>
      <c r="J206" s="88">
        <f t="shared" si="311"/>
        <v>768.86433857540044</v>
      </c>
      <c r="K206" s="88">
        <f t="shared" si="311"/>
        <v>732.75127369480481</v>
      </c>
      <c r="L206" s="88">
        <f t="shared" si="311"/>
        <v>713.21295146571742</v>
      </c>
      <c r="M206" s="1"/>
      <c r="N206" s="81">
        <f t="shared" ref="N206:U206" si="312">N205-SUM(N194:N197)</f>
        <v>764.2443888819007</v>
      </c>
      <c r="O206" s="81">
        <f t="shared" si="312"/>
        <v>775.69438332252594</v>
      </c>
      <c r="P206" s="81">
        <f t="shared" si="312"/>
        <v>736.04743416310953</v>
      </c>
      <c r="Q206" s="81">
        <f t="shared" si="312"/>
        <v>706.41919878558929</v>
      </c>
      <c r="R206" s="81">
        <f t="shared" si="312"/>
        <v>687.6313547603288</v>
      </c>
      <c r="S206" s="81">
        <f t="shared" si="312"/>
        <v>659.1514853944451</v>
      </c>
      <c r="T206" s="81">
        <f t="shared" si="312"/>
        <v>611.69210153035465</v>
      </c>
      <c r="U206" s="81">
        <f t="shared" si="312"/>
        <v>590.39230343015743</v>
      </c>
      <c r="V206" s="1"/>
      <c r="W206" s="85">
        <f t="shared" ref="W206:AD206" si="313">W205-SUM(W194:W197)</f>
        <v>547.09968076480027</v>
      </c>
      <c r="X206" s="85">
        <f t="shared" si="313"/>
        <v>563.8691896022118</v>
      </c>
      <c r="Y206" s="85">
        <f>Y205-SUM(Y194:Y197)</f>
        <v>589.56163067376485</v>
      </c>
      <c r="Z206" s="85">
        <f>Z205-SUM(Z194:Z197)</f>
        <v>602.05915216900348</v>
      </c>
      <c r="AA206" s="85">
        <f>AA205-SUM(AA194:AA197)</f>
        <v>565.53040896084826</v>
      </c>
      <c r="AB206" s="85">
        <f t="shared" si="313"/>
        <v>554.5349748499932</v>
      </c>
      <c r="AC206" s="85">
        <f t="shared" ref="AC206" si="314">AC205-SUM(AC194:AC197)</f>
        <v>458.48195865801961</v>
      </c>
      <c r="AD206" s="91">
        <f t="shared" si="313"/>
        <v>0</v>
      </c>
      <c r="AE206" s="1"/>
      <c r="AF206" s="81">
        <f t="shared" si="251"/>
        <v>764.2443888819007</v>
      </c>
      <c r="AG206" s="85">
        <f t="shared" si="252"/>
        <v>547.09968076480027</v>
      </c>
      <c r="AH206" s="34">
        <f t="shared" si="253"/>
        <v>-217.14470811710044</v>
      </c>
      <c r="AI206" s="35">
        <f t="shared" si="254"/>
        <v>-0.28412993445039997</v>
      </c>
      <c r="AK206" s="81">
        <f t="shared" si="238"/>
        <v>775.69438332252594</v>
      </c>
      <c r="AL206" s="85">
        <f t="shared" si="239"/>
        <v>563.8691896022118</v>
      </c>
      <c r="AM206" s="34">
        <f t="shared" si="255"/>
        <v>-211.82519372031413</v>
      </c>
      <c r="AN206" s="35">
        <f t="shared" si="256"/>
        <v>-0.27307815845333938</v>
      </c>
      <c r="AP206" s="81">
        <f t="shared" si="257"/>
        <v>736.04743416310953</v>
      </c>
      <c r="AQ206" s="85">
        <f>Y206</f>
        <v>589.56163067376485</v>
      </c>
      <c r="AR206" s="34">
        <f t="shared" si="259"/>
        <v>-146.48580348934468</v>
      </c>
      <c r="AS206" s="35">
        <f t="shared" si="260"/>
        <v>-0.19901679795392527</v>
      </c>
      <c r="AU206" s="949">
        <f t="shared" si="261"/>
        <v>706.41919878558929</v>
      </c>
      <c r="AV206" s="843">
        <f t="shared" si="262"/>
        <v>602.05915216900348</v>
      </c>
      <c r="AW206" s="34">
        <f t="shared" si="263"/>
        <v>-104.36004661658581</v>
      </c>
      <c r="AX206" s="35">
        <f t="shared" si="264"/>
        <v>-0.14773104524337952</v>
      </c>
      <c r="AZ206" s="949">
        <f t="shared" si="240"/>
        <v>687.6313547603288</v>
      </c>
      <c r="BA206" s="843">
        <f t="shared" si="241"/>
        <v>565.53040896084826</v>
      </c>
      <c r="BB206" s="34">
        <f t="shared" si="265"/>
        <v>-122.10094579948054</v>
      </c>
      <c r="BC206" s="35">
        <f t="shared" si="266"/>
        <v>-0.17756744941050331</v>
      </c>
      <c r="BE206" s="31">
        <f t="shared" si="267"/>
        <v>659.1514853944451</v>
      </c>
      <c r="BF206" s="25">
        <f t="shared" si="268"/>
        <v>554.5349748499932</v>
      </c>
      <c r="BG206" s="32">
        <f t="shared" si="269"/>
        <v>-104.6165105444519</v>
      </c>
      <c r="BH206" s="33">
        <f t="shared" si="270"/>
        <v>-0.15871391154014919</v>
      </c>
      <c r="BJ206" s="31">
        <f t="shared" si="242"/>
        <v>611.69210153035465</v>
      </c>
      <c r="BK206" s="25">
        <f t="shared" si="243"/>
        <v>458.48195865801961</v>
      </c>
      <c r="BL206" s="32">
        <f t="shared" si="244"/>
        <v>-153.21014287233504</v>
      </c>
      <c r="BM206" s="33">
        <f t="shared" si="245"/>
        <v>-0.25046938237232108</v>
      </c>
      <c r="BO206" s="62"/>
      <c r="BP206" s="62"/>
      <c r="BQ206" s="62"/>
      <c r="BR206" s="63"/>
    </row>
    <row r="207" spans="1:70">
      <c r="B207" s="1284"/>
      <c r="E207" s="9"/>
      <c r="F207" s="9"/>
      <c r="G207" s="9"/>
      <c r="H207" s="9"/>
      <c r="I207" s="9"/>
      <c r="J207" s="9"/>
      <c r="K207" s="9"/>
      <c r="L207" s="9"/>
      <c r="N207" s="9"/>
      <c r="O207" s="9"/>
      <c r="P207" s="9"/>
      <c r="Q207" s="9"/>
      <c r="R207" s="9"/>
      <c r="S207" s="9"/>
      <c r="T207" s="9"/>
      <c r="U207" s="9"/>
      <c r="W207" s="9"/>
      <c r="X207" s="9"/>
      <c r="Y207" s="9"/>
      <c r="Z207" s="9"/>
      <c r="AA207" s="9"/>
      <c r="AB207" s="9"/>
      <c r="AC207" s="9"/>
      <c r="AD207" s="9"/>
    </row>
    <row r="208" spans="1:70">
      <c r="A208" s="1"/>
      <c r="B208" s="1284"/>
      <c r="D208" s="1" t="s">
        <v>738</v>
      </c>
      <c r="E208" s="1"/>
      <c r="N208" s="1"/>
      <c r="W208" s="1"/>
    </row>
    <row r="209" spans="1:70">
      <c r="A209" s="1"/>
      <c r="B209" s="1284"/>
      <c r="E209" s="1300" t="s">
        <v>733</v>
      </c>
      <c r="F209" s="1301"/>
      <c r="G209" s="1301"/>
      <c r="H209" s="1301"/>
      <c r="I209" s="1301"/>
      <c r="J209" s="1301"/>
      <c r="K209" s="1301"/>
      <c r="L209" s="1302"/>
      <c r="N209" s="245" t="s">
        <v>291</v>
      </c>
      <c r="O209" s="246"/>
      <c r="P209" s="246"/>
      <c r="Q209" s="246"/>
      <c r="R209" s="246"/>
      <c r="S209" s="246"/>
      <c r="T209" s="246"/>
      <c r="U209" s="247"/>
      <c r="W209" s="1300" t="s">
        <v>292</v>
      </c>
      <c r="X209" s="1301"/>
      <c r="Y209" s="1301"/>
      <c r="Z209" s="1301"/>
      <c r="AA209" s="1301"/>
      <c r="AB209" s="1301"/>
      <c r="AC209" s="1301"/>
      <c r="AD209" s="1302"/>
      <c r="AF209" s="102" t="s">
        <v>297</v>
      </c>
      <c r="AG209" s="102" t="s">
        <v>298</v>
      </c>
      <c r="AH209" s="1304" t="s">
        <v>602</v>
      </c>
      <c r="AI209" s="1304"/>
      <c r="AK209" s="102" t="s">
        <v>297</v>
      </c>
      <c r="AL209" s="102" t="s">
        <v>298</v>
      </c>
      <c r="AM209" s="1304" t="s">
        <v>602</v>
      </c>
      <c r="AN209" s="1304"/>
      <c r="AP209" s="6" t="s">
        <v>297</v>
      </c>
      <c r="AQ209" s="5" t="s">
        <v>298</v>
      </c>
      <c r="AR209" s="1303" t="s">
        <v>602</v>
      </c>
      <c r="AS209" s="1303"/>
      <c r="AU209" s="6" t="s">
        <v>297</v>
      </c>
      <c r="AV209" s="5" t="s">
        <v>298</v>
      </c>
      <c r="AW209" s="1303" t="s">
        <v>602</v>
      </c>
      <c r="AX209" s="1303"/>
      <c r="AZ209" s="6" t="s">
        <v>297</v>
      </c>
      <c r="BA209" s="5" t="s">
        <v>298</v>
      </c>
      <c r="BB209" s="1303" t="s">
        <v>602</v>
      </c>
      <c r="BC209" s="1303"/>
      <c r="BE209" s="6" t="s">
        <v>297</v>
      </c>
      <c r="BF209" s="5" t="s">
        <v>298</v>
      </c>
      <c r="BG209" s="1082" t="s">
        <v>602</v>
      </c>
      <c r="BH209" s="1082"/>
      <c r="BJ209" s="6" t="s">
        <v>297</v>
      </c>
      <c r="BK209" s="5" t="s">
        <v>298</v>
      </c>
      <c r="BL209" s="1082" t="s">
        <v>602</v>
      </c>
      <c r="BM209" s="1082"/>
      <c r="BO209" s="6" t="s">
        <v>297</v>
      </c>
      <c r="BP209" s="5" t="s">
        <v>298</v>
      </c>
      <c r="BQ209" s="1303" t="s">
        <v>602</v>
      </c>
      <c r="BR209" s="1303"/>
    </row>
    <row r="210" spans="1:70">
      <c r="A210" s="1"/>
      <c r="B210" s="1284"/>
      <c r="E210" s="196" t="s">
        <v>137</v>
      </c>
      <c r="F210" s="102" t="s">
        <v>138</v>
      </c>
      <c r="G210" s="102" t="s">
        <v>139</v>
      </c>
      <c r="H210" s="102" t="s">
        <v>140</v>
      </c>
      <c r="I210" s="102" t="s">
        <v>141</v>
      </c>
      <c r="J210" s="102" t="s">
        <v>126</v>
      </c>
      <c r="K210" s="102" t="s">
        <v>142</v>
      </c>
      <c r="L210" s="197" t="s">
        <v>143</v>
      </c>
      <c r="N210" s="196" t="s">
        <v>137</v>
      </c>
      <c r="O210" s="102" t="s">
        <v>138</v>
      </c>
      <c r="P210" s="102" t="s">
        <v>139</v>
      </c>
      <c r="Q210" s="102" t="s">
        <v>140</v>
      </c>
      <c r="R210" s="102" t="s">
        <v>141</v>
      </c>
      <c r="S210" s="102" t="s">
        <v>126</v>
      </c>
      <c r="T210" s="102" t="s">
        <v>142</v>
      </c>
      <c r="U210" s="197" t="s">
        <v>143</v>
      </c>
      <c r="W210" s="196" t="s">
        <v>137</v>
      </c>
      <c r="X210" s="102" t="s">
        <v>138</v>
      </c>
      <c r="Y210" s="102" t="s">
        <v>139</v>
      </c>
      <c r="Z210" s="102" t="s">
        <v>140</v>
      </c>
      <c r="AA210" s="102" t="s">
        <v>141</v>
      </c>
      <c r="AB210" s="102" t="s">
        <v>126</v>
      </c>
      <c r="AC210" s="102" t="s">
        <v>142</v>
      </c>
      <c r="AD210" s="197" t="s">
        <v>143</v>
      </c>
      <c r="AF210" s="102" t="s">
        <v>734</v>
      </c>
      <c r="AG210" s="102" t="s">
        <v>734</v>
      </c>
      <c r="AH210" s="102" t="s">
        <v>734</v>
      </c>
      <c r="AI210" s="102" t="s">
        <v>606</v>
      </c>
      <c r="AK210" s="102" t="s">
        <v>734</v>
      </c>
      <c r="AL210" s="102" t="s">
        <v>734</v>
      </c>
      <c r="AM210" s="102" t="s">
        <v>734</v>
      </c>
      <c r="AN210" s="102" t="s">
        <v>606</v>
      </c>
      <c r="AP210" s="5" t="s">
        <v>734</v>
      </c>
      <c r="AQ210" s="5" t="s">
        <v>734</v>
      </c>
      <c r="AR210" s="5" t="s">
        <v>734</v>
      </c>
      <c r="AS210" s="5" t="s">
        <v>606</v>
      </c>
      <c r="AU210" s="5" t="s">
        <v>734</v>
      </c>
      <c r="AV210" s="5" t="s">
        <v>734</v>
      </c>
      <c r="AW210" s="5" t="s">
        <v>734</v>
      </c>
      <c r="AX210" s="5" t="s">
        <v>606</v>
      </c>
      <c r="AZ210" s="5" t="s">
        <v>734</v>
      </c>
      <c r="BA210" s="5" t="s">
        <v>734</v>
      </c>
      <c r="BB210" s="5" t="s">
        <v>734</v>
      </c>
      <c r="BC210" s="5" t="s">
        <v>606</v>
      </c>
      <c r="BE210" s="5" t="s">
        <v>734</v>
      </c>
      <c r="BF210" s="5" t="s">
        <v>734</v>
      </c>
      <c r="BG210" s="5" t="s">
        <v>734</v>
      </c>
      <c r="BH210" s="5" t="s">
        <v>606</v>
      </c>
      <c r="BJ210" s="5" t="s">
        <v>734</v>
      </c>
      <c r="BK210" s="5" t="s">
        <v>734</v>
      </c>
      <c r="BL210" s="5" t="s">
        <v>734</v>
      </c>
      <c r="BM210" s="5" t="s">
        <v>606</v>
      </c>
      <c r="BO210" s="5" t="s">
        <v>734</v>
      </c>
      <c r="BP210" s="5" t="s">
        <v>734</v>
      </c>
      <c r="BQ210" s="5" t="s">
        <v>734</v>
      </c>
      <c r="BR210" s="5" t="s">
        <v>606</v>
      </c>
    </row>
    <row r="211" spans="1:70">
      <c r="A211" s="1"/>
      <c r="B211" s="1284"/>
      <c r="D211" s="5" t="s">
        <v>161</v>
      </c>
      <c r="E211" s="87">
        <f>SUM(E654,E674,E694)</f>
        <v>33.717248132361824</v>
      </c>
      <c r="F211" s="87">
        <f t="shared" ref="F211:L211" si="315">SUM(F654,F674,F694)</f>
        <v>34.160360533443928</v>
      </c>
      <c r="G211" s="87">
        <f t="shared" si="315"/>
        <v>33.959496467748473</v>
      </c>
      <c r="H211" s="87">
        <f t="shared" si="315"/>
        <v>33.934653407645499</v>
      </c>
      <c r="I211" s="87">
        <f t="shared" si="315"/>
        <v>33.960623070443326</v>
      </c>
      <c r="J211" s="87">
        <f t="shared" si="315"/>
        <v>34.168992262210011</v>
      </c>
      <c r="K211" s="87">
        <f t="shared" si="315"/>
        <v>34.088833533147131</v>
      </c>
      <c r="L211" s="87">
        <f t="shared" si="315"/>
        <v>34.146129000968983</v>
      </c>
      <c r="N211" s="29">
        <f>SUM(N654,N674,N694)</f>
        <v>33.314450712267089</v>
      </c>
      <c r="O211" s="29">
        <f t="shared" ref="O211:AD211" si="316">SUM(O654,O674,O694)</f>
        <v>32.868583631981963</v>
      </c>
      <c r="P211" s="29">
        <f t="shared" si="316"/>
        <v>32.113199332569828</v>
      </c>
      <c r="Q211" s="29">
        <f t="shared" si="316"/>
        <v>31.417157601115395</v>
      </c>
      <c r="R211" s="29">
        <f t="shared" si="316"/>
        <v>30.806646681089575</v>
      </c>
      <c r="S211" s="29">
        <f t="shared" si="316"/>
        <v>30.172744517104924</v>
      </c>
      <c r="T211" s="29">
        <f t="shared" si="316"/>
        <v>29.449017901471372</v>
      </c>
      <c r="U211" s="29">
        <f t="shared" si="316"/>
        <v>28.753521706548071</v>
      </c>
      <c r="W211" s="30">
        <f t="shared" si="316"/>
        <v>48.836348282156209</v>
      </c>
      <c r="X211" s="30">
        <f t="shared" si="316"/>
        <v>36.469514812654445</v>
      </c>
      <c r="Y211" s="30">
        <f t="shared" ref="Y211:Z224" si="317">SUM(Y654,Y674,Y694)</f>
        <v>36.031664525143071</v>
      </c>
      <c r="Z211" s="30">
        <f t="shared" si="317"/>
        <v>39.129726790997175</v>
      </c>
      <c r="AA211" s="30">
        <f t="shared" ref="AA211:AA224" si="318">SUM(AA654,AA674,AA694)</f>
        <v>35.233230916761805</v>
      </c>
      <c r="AB211" s="30">
        <f t="shared" si="316"/>
        <v>34.137990364771525</v>
      </c>
      <c r="AC211" s="30">
        <f t="shared" ref="AC211" si="319">SUM(AC654,AC674,AC694)</f>
        <v>39.166024380590912</v>
      </c>
      <c r="AD211" s="90">
        <f t="shared" si="316"/>
        <v>0</v>
      </c>
      <c r="AF211" s="29">
        <f>N211</f>
        <v>33.314450712267089</v>
      </c>
      <c r="AG211" s="30">
        <f>W211</f>
        <v>48.836348282156209</v>
      </c>
      <c r="AH211" s="32">
        <f>AG211-AF211</f>
        <v>15.52189756988912</v>
      </c>
      <c r="AI211" s="33">
        <f>AH211/AF211</f>
        <v>0.46592086130880217</v>
      </c>
      <c r="AK211" s="29">
        <f t="shared" ref="AK211:AK226" si="320">O211</f>
        <v>32.868583631981963</v>
      </c>
      <c r="AL211" s="30">
        <f t="shared" ref="AL211:AL226" si="321">X211</f>
        <v>36.469514812654445</v>
      </c>
      <c r="AM211" s="32">
        <f>AL211-AK211</f>
        <v>3.6009311806724824</v>
      </c>
      <c r="AN211" s="33">
        <f>AM211/AK211</f>
        <v>0.10955541075304155</v>
      </c>
      <c r="AP211" s="29">
        <f>P211</f>
        <v>32.113199332569828</v>
      </c>
      <c r="AQ211" s="30">
        <f>Y211</f>
        <v>36.031664525143071</v>
      </c>
      <c r="AR211" s="32">
        <f>AQ211-AP211</f>
        <v>3.9184651925732439</v>
      </c>
      <c r="AS211" s="33">
        <f>AR211/AP211</f>
        <v>0.12202039267383305</v>
      </c>
      <c r="AU211" s="31">
        <f>Q211</f>
        <v>31.417157601115395</v>
      </c>
      <c r="AV211" s="25">
        <f>Z211</f>
        <v>39.129726790997175</v>
      </c>
      <c r="AW211" s="32">
        <f>AV211-AU211</f>
        <v>7.7125691898817799</v>
      </c>
      <c r="AX211" s="33">
        <f>AW211/AU211</f>
        <v>0.24548908236077863</v>
      </c>
      <c r="AZ211" s="31">
        <f t="shared" ref="AZ211:AZ226" si="322">R211</f>
        <v>30.806646681089575</v>
      </c>
      <c r="BA211" s="25">
        <f t="shared" ref="BA211:BA226" si="323">AA211</f>
        <v>35.233230916761805</v>
      </c>
      <c r="BB211" s="32">
        <f>BA211-AZ211</f>
        <v>4.4265842356722302</v>
      </c>
      <c r="BC211" s="33">
        <f>BB211/AZ211</f>
        <v>0.14368925905815821</v>
      </c>
      <c r="BE211" s="31">
        <f>S211</f>
        <v>30.172744517104924</v>
      </c>
      <c r="BF211" s="25">
        <f>AB211</f>
        <v>34.137990364771525</v>
      </c>
      <c r="BG211" s="32">
        <f>BF211-BE211</f>
        <v>3.9652458476666013</v>
      </c>
      <c r="BH211" s="33">
        <f>BG211/BE211</f>
        <v>0.13141813617315137</v>
      </c>
      <c r="BJ211" s="31">
        <f t="shared" ref="BJ211:BJ226" si="324">T211</f>
        <v>29.449017901471372</v>
      </c>
      <c r="BK211" s="25">
        <f t="shared" ref="BK211:BK226" si="325">AC211</f>
        <v>39.166024380590912</v>
      </c>
      <c r="BL211" s="32">
        <f t="shared" ref="BL211:BL226" si="326">BK211-BJ211</f>
        <v>9.7170064791195401</v>
      </c>
      <c r="BM211" s="33">
        <f t="shared" ref="BM211:BM226" si="327">BL211/BJ211</f>
        <v>0.32996028973292335</v>
      </c>
      <c r="BO211" s="62"/>
      <c r="BP211" s="62"/>
      <c r="BQ211" s="62"/>
      <c r="BR211" s="63"/>
    </row>
    <row r="212" spans="1:70">
      <c r="A212" s="1"/>
      <c r="B212" s="1284"/>
      <c r="D212" s="5" t="s">
        <v>162</v>
      </c>
      <c r="E212" s="87">
        <f t="shared" ref="E212:L212" si="328">SUM(E655,E675,E695)</f>
        <v>34.349224209799495</v>
      </c>
      <c r="F212" s="87">
        <f t="shared" si="328"/>
        <v>34.363400916232195</v>
      </c>
      <c r="G212" s="87">
        <f t="shared" si="328"/>
        <v>34.249407696070676</v>
      </c>
      <c r="H212" s="87">
        <f t="shared" si="328"/>
        <v>34.177048693597676</v>
      </c>
      <c r="I212" s="87">
        <f t="shared" si="328"/>
        <v>34.052036561216774</v>
      </c>
      <c r="J212" s="87">
        <f t="shared" si="328"/>
        <v>34.173547293328539</v>
      </c>
      <c r="K212" s="87">
        <f t="shared" si="328"/>
        <v>34.268297171423796</v>
      </c>
      <c r="L212" s="87">
        <f t="shared" si="328"/>
        <v>34.394233429278593</v>
      </c>
      <c r="N212" s="29">
        <f t="shared" ref="N212:N224" si="329">SUM(N655,N675,N695)</f>
        <v>29.60365444742628</v>
      </c>
      <c r="O212" s="29">
        <f t="shared" ref="O212:U224" si="330">SUM(O655,O675,O695)</f>
        <v>29.368278578606326</v>
      </c>
      <c r="P212" s="29">
        <f t="shared" si="330"/>
        <v>28.985656027991055</v>
      </c>
      <c r="Q212" s="29">
        <f t="shared" si="330"/>
        <v>28.706364334804476</v>
      </c>
      <c r="R212" s="29">
        <f t="shared" si="330"/>
        <v>28.350178347838717</v>
      </c>
      <c r="S212" s="29">
        <f t="shared" si="330"/>
        <v>28.165323086797322</v>
      </c>
      <c r="T212" s="29">
        <f t="shared" si="330"/>
        <v>27.997298224876818</v>
      </c>
      <c r="U212" s="29">
        <f t="shared" si="330"/>
        <v>27.864652811880369</v>
      </c>
      <c r="W212" s="30">
        <f t="shared" ref="W212:AD212" si="331">SUM(W655,W675,W695)</f>
        <v>33.930444222112207</v>
      </c>
      <c r="X212" s="30">
        <f t="shared" si="331"/>
        <v>31.843367943056855</v>
      </c>
      <c r="Y212" s="30">
        <f t="shared" si="317"/>
        <v>34.582028565871838</v>
      </c>
      <c r="Z212" s="30">
        <f t="shared" si="317"/>
        <v>36.460576466537397</v>
      </c>
      <c r="AA212" s="30">
        <f t="shared" si="318"/>
        <v>34.572723587788516</v>
      </c>
      <c r="AB212" s="30">
        <f t="shared" si="331"/>
        <v>37.40449884853507</v>
      </c>
      <c r="AC212" s="30">
        <f t="shared" ref="AC212" si="332">SUM(AC655,AC675,AC695)</f>
        <v>47.884703543177451</v>
      </c>
      <c r="AD212" s="90">
        <f t="shared" si="331"/>
        <v>0</v>
      </c>
      <c r="AF212" s="29">
        <f t="shared" ref="AF212:AF226" si="333">N212</f>
        <v>29.60365444742628</v>
      </c>
      <c r="AG212" s="30">
        <f t="shared" ref="AG212:AG226" si="334">W212</f>
        <v>33.930444222112207</v>
      </c>
      <c r="AH212" s="32">
        <f t="shared" ref="AH212:AH226" si="335">AG212-AF212</f>
        <v>4.3267897746859276</v>
      </c>
      <c r="AI212" s="33">
        <f t="shared" ref="AI212:AI226" si="336">AH212/AF212</f>
        <v>0.14615728549223408</v>
      </c>
      <c r="AK212" s="29">
        <f t="shared" si="320"/>
        <v>29.368278578606326</v>
      </c>
      <c r="AL212" s="30">
        <f t="shared" si="321"/>
        <v>31.843367943056855</v>
      </c>
      <c r="AM212" s="32">
        <f t="shared" ref="AM212:AM226" si="337">AL212-AK212</f>
        <v>2.475089364450529</v>
      </c>
      <c r="AN212" s="33">
        <f t="shared" ref="AN212:AN226" si="338">AM212/AK212</f>
        <v>8.4277645277225657E-2</v>
      </c>
      <c r="AP212" s="29">
        <f t="shared" ref="AP212:AP226" si="339">P212</f>
        <v>28.985656027991055</v>
      </c>
      <c r="AQ212" s="30">
        <f t="shared" ref="AQ212:AQ225" si="340">Y212</f>
        <v>34.582028565871838</v>
      </c>
      <c r="AR212" s="32">
        <f t="shared" ref="AR212:AR226" si="341">AQ212-AP212</f>
        <v>5.5963725378807823</v>
      </c>
      <c r="AS212" s="33">
        <f t="shared" ref="AS212:AS226" si="342">AR212/AP212</f>
        <v>0.19307386151537992</v>
      </c>
      <c r="AU212" s="31">
        <f t="shared" ref="AU212:AU226" si="343">Q212</f>
        <v>28.706364334804476</v>
      </c>
      <c r="AV212" s="25">
        <f t="shared" ref="AV212:AV226" si="344">Z212</f>
        <v>36.460576466537397</v>
      </c>
      <c r="AW212" s="32">
        <f t="shared" ref="AW212:AW226" si="345">AV212-AU212</f>
        <v>7.7542121317329205</v>
      </c>
      <c r="AX212" s="33">
        <f t="shared" ref="AX212:AX226" si="346">AW212/AU212</f>
        <v>0.27012170685548903</v>
      </c>
      <c r="AZ212" s="31">
        <f t="shared" si="322"/>
        <v>28.350178347838717</v>
      </c>
      <c r="BA212" s="25">
        <f t="shared" si="323"/>
        <v>34.572723587788516</v>
      </c>
      <c r="BB212" s="32">
        <f t="shared" ref="BB212:BB226" si="347">BA212-AZ212</f>
        <v>6.2225452399497989</v>
      </c>
      <c r="BC212" s="33">
        <f t="shared" ref="BC212:BC226" si="348">BB212/AZ212</f>
        <v>0.21948875113246602</v>
      </c>
      <c r="BE212" s="31">
        <f t="shared" ref="BE212:BE226" si="349">S212</f>
        <v>28.165323086797322</v>
      </c>
      <c r="BF212" s="25">
        <f t="shared" ref="BF212:BF226" si="350">AB212</f>
        <v>37.40449884853507</v>
      </c>
      <c r="BG212" s="32">
        <f t="shared" ref="BG212:BG226" si="351">BF212-BE212</f>
        <v>9.2391757617377479</v>
      </c>
      <c r="BH212" s="33">
        <f t="shared" ref="BH212:BH226" si="352">BG212/BE212</f>
        <v>0.32803372193762165</v>
      </c>
      <c r="BJ212" s="31">
        <f t="shared" si="324"/>
        <v>27.997298224876818</v>
      </c>
      <c r="BK212" s="25">
        <f t="shared" si="325"/>
        <v>47.884703543177451</v>
      </c>
      <c r="BL212" s="32">
        <f t="shared" si="326"/>
        <v>19.887405318300633</v>
      </c>
      <c r="BM212" s="33">
        <f t="shared" si="327"/>
        <v>0.71033301708483454</v>
      </c>
      <c r="BO212" s="62"/>
      <c r="BP212" s="62"/>
      <c r="BQ212" s="62"/>
      <c r="BR212" s="63"/>
    </row>
    <row r="213" spans="1:70">
      <c r="A213" s="1"/>
      <c r="B213" s="1284"/>
      <c r="D213" s="5" t="s">
        <v>163</v>
      </c>
      <c r="E213" s="87">
        <f t="shared" ref="E213:L213" si="353">SUM(E656,E676,E696)</f>
        <v>53.151811612209329</v>
      </c>
      <c r="F213" s="87">
        <f t="shared" si="353"/>
        <v>53.40568424332578</v>
      </c>
      <c r="G213" s="87">
        <f t="shared" si="353"/>
        <v>52.777716363140598</v>
      </c>
      <c r="H213" s="87">
        <f t="shared" si="353"/>
        <v>52.637826244641857</v>
      </c>
      <c r="I213" s="87">
        <f t="shared" si="353"/>
        <v>52.295588644121793</v>
      </c>
      <c r="J213" s="87">
        <f t="shared" si="353"/>
        <v>52.630670982832513</v>
      </c>
      <c r="K213" s="87">
        <f t="shared" si="353"/>
        <v>53.038414459802652</v>
      </c>
      <c r="L213" s="87">
        <f t="shared" si="353"/>
        <v>53.261158651429859</v>
      </c>
      <c r="N213" s="29">
        <f t="shared" si="329"/>
        <v>49.891508249854724</v>
      </c>
      <c r="O213" s="29">
        <f t="shared" si="330"/>
        <v>49.683609577613112</v>
      </c>
      <c r="P213" s="29">
        <f t="shared" si="330"/>
        <v>48.689103222406928</v>
      </c>
      <c r="Q213" s="29">
        <f t="shared" si="330"/>
        <v>48.178718440773558</v>
      </c>
      <c r="R213" s="29">
        <f t="shared" si="330"/>
        <v>47.359376008514943</v>
      </c>
      <c r="S213" s="29">
        <f t="shared" si="330"/>
        <v>47.236097479749148</v>
      </c>
      <c r="T213" s="29">
        <f t="shared" si="330"/>
        <v>47.139929711369014</v>
      </c>
      <c r="U213" s="29">
        <f t="shared" si="330"/>
        <v>46.984782701366072</v>
      </c>
      <c r="W213" s="30">
        <f t="shared" ref="W213:AD213" si="354">SUM(W656,W676,W696)</f>
        <v>58.222535730137636</v>
      </c>
      <c r="X213" s="30">
        <f t="shared" si="354"/>
        <v>54.088601670509746</v>
      </c>
      <c r="Y213" s="30">
        <f t="shared" si="317"/>
        <v>48.778219180714245</v>
      </c>
      <c r="Z213" s="30">
        <f t="shared" si="317"/>
        <v>54.726799878470118</v>
      </c>
      <c r="AA213" s="30">
        <f t="shared" si="318"/>
        <v>54.798824747193194</v>
      </c>
      <c r="AB213" s="30">
        <f t="shared" si="354"/>
        <v>57.157663513375098</v>
      </c>
      <c r="AC213" s="30">
        <f t="shared" ref="AC213" si="355">SUM(AC656,AC676,AC696)</f>
        <v>60.834842181305788</v>
      </c>
      <c r="AD213" s="90">
        <f t="shared" si="354"/>
        <v>0</v>
      </c>
      <c r="AF213" s="29">
        <f t="shared" si="333"/>
        <v>49.891508249854724</v>
      </c>
      <c r="AG213" s="30">
        <f t="shared" si="334"/>
        <v>58.222535730137636</v>
      </c>
      <c r="AH213" s="32">
        <f t="shared" si="335"/>
        <v>8.3310274802829127</v>
      </c>
      <c r="AI213" s="33">
        <f t="shared" si="336"/>
        <v>0.16698287489248576</v>
      </c>
      <c r="AK213" s="29">
        <f t="shared" si="320"/>
        <v>49.683609577613112</v>
      </c>
      <c r="AL213" s="30">
        <f t="shared" si="321"/>
        <v>54.088601670509746</v>
      </c>
      <c r="AM213" s="32">
        <f t="shared" si="337"/>
        <v>4.4049920928966344</v>
      </c>
      <c r="AN213" s="33">
        <f t="shared" si="338"/>
        <v>8.8660870865579694E-2</v>
      </c>
      <c r="AP213" s="29">
        <f t="shared" si="339"/>
        <v>48.689103222406928</v>
      </c>
      <c r="AQ213" s="30">
        <f t="shared" si="340"/>
        <v>48.778219180714245</v>
      </c>
      <c r="AR213" s="32">
        <f t="shared" si="341"/>
        <v>8.9115958307317555E-2</v>
      </c>
      <c r="AS213" s="33">
        <f t="shared" si="342"/>
        <v>1.8303060111878591E-3</v>
      </c>
      <c r="AU213" s="31">
        <f t="shared" si="343"/>
        <v>48.178718440773558</v>
      </c>
      <c r="AV213" s="25">
        <f t="shared" si="344"/>
        <v>54.726799878470118</v>
      </c>
      <c r="AW213" s="32">
        <f t="shared" si="345"/>
        <v>6.5480814376965597</v>
      </c>
      <c r="AX213" s="33">
        <f t="shared" si="346"/>
        <v>0.13591232082576382</v>
      </c>
      <c r="AZ213" s="31">
        <f t="shared" si="322"/>
        <v>47.359376008514943</v>
      </c>
      <c r="BA213" s="25">
        <f t="shared" si="323"/>
        <v>54.798824747193194</v>
      </c>
      <c r="BB213" s="32">
        <f t="shared" si="347"/>
        <v>7.4394487386782515</v>
      </c>
      <c r="BC213" s="33">
        <f t="shared" si="348"/>
        <v>0.15708502445937383</v>
      </c>
      <c r="BE213" s="31">
        <f t="shared" si="349"/>
        <v>47.236097479749148</v>
      </c>
      <c r="BF213" s="25">
        <f t="shared" si="350"/>
        <v>57.157663513375098</v>
      </c>
      <c r="BG213" s="32">
        <f t="shared" si="351"/>
        <v>9.9215660336259504</v>
      </c>
      <c r="BH213" s="33">
        <f t="shared" si="352"/>
        <v>0.2100420348628394</v>
      </c>
      <c r="BJ213" s="31">
        <f t="shared" si="324"/>
        <v>47.139929711369014</v>
      </c>
      <c r="BK213" s="25">
        <f t="shared" si="325"/>
        <v>60.834842181305788</v>
      </c>
      <c r="BL213" s="32">
        <f t="shared" si="326"/>
        <v>13.694912469936774</v>
      </c>
      <c r="BM213" s="33">
        <f t="shared" si="327"/>
        <v>0.29051618349430613</v>
      </c>
      <c r="BO213" s="62"/>
      <c r="BP213" s="62"/>
      <c r="BQ213" s="62"/>
      <c r="BR213" s="63"/>
    </row>
    <row r="214" spans="1:70">
      <c r="A214" s="1"/>
      <c r="B214" s="1284"/>
      <c r="D214" s="5" t="s">
        <v>164</v>
      </c>
      <c r="E214" s="87">
        <f t="shared" ref="E214:L214" si="356">SUM(E657,E677,E697)</f>
        <v>37.786840133713788</v>
      </c>
      <c r="F214" s="87">
        <f t="shared" si="356"/>
        <v>37.681920971578613</v>
      </c>
      <c r="G214" s="87">
        <f t="shared" si="356"/>
        <v>37.43624219680423</v>
      </c>
      <c r="H214" s="87">
        <f t="shared" si="356"/>
        <v>37.353509302795359</v>
      </c>
      <c r="I214" s="87">
        <f t="shared" si="356"/>
        <v>37.268229569698136</v>
      </c>
      <c r="J214" s="87">
        <f t="shared" si="356"/>
        <v>37.333084446354007</v>
      </c>
      <c r="K214" s="87">
        <f t="shared" si="356"/>
        <v>37.462296947699699</v>
      </c>
      <c r="L214" s="87">
        <f t="shared" si="356"/>
        <v>37.578309147391714</v>
      </c>
      <c r="N214" s="29">
        <f t="shared" si="329"/>
        <v>37.786840133713788</v>
      </c>
      <c r="O214" s="29">
        <f t="shared" si="330"/>
        <v>37.681920971578613</v>
      </c>
      <c r="P214" s="29">
        <f t="shared" si="330"/>
        <v>37.43624219680423</v>
      </c>
      <c r="Q214" s="29">
        <f t="shared" si="330"/>
        <v>37.353509302795359</v>
      </c>
      <c r="R214" s="29">
        <f t="shared" si="330"/>
        <v>37.268229569698136</v>
      </c>
      <c r="S214" s="29">
        <f t="shared" si="330"/>
        <v>37.333084446354007</v>
      </c>
      <c r="T214" s="29">
        <f t="shared" si="330"/>
        <v>37.462296947699699</v>
      </c>
      <c r="U214" s="29">
        <f t="shared" si="330"/>
        <v>37.578309147391714</v>
      </c>
      <c r="W214" s="30">
        <f t="shared" ref="W214:AD214" si="357">SUM(W657,W677,W697)</f>
        <v>56.020505733657629</v>
      </c>
      <c r="X214" s="30">
        <f t="shared" si="357"/>
        <v>48.12291810318802</v>
      </c>
      <c r="Y214" s="30">
        <f t="shared" si="317"/>
        <v>43.040195658183826</v>
      </c>
      <c r="Z214" s="30">
        <f t="shared" si="317"/>
        <v>39.902442917249076</v>
      </c>
      <c r="AA214" s="30">
        <f t="shared" si="318"/>
        <v>41.18233010370146</v>
      </c>
      <c r="AB214" s="30">
        <f t="shared" si="357"/>
        <v>40.576720155557908</v>
      </c>
      <c r="AC214" s="30">
        <f t="shared" ref="AC214" si="358">SUM(AC657,AC677,AC697)</f>
        <v>42.063899999999997</v>
      </c>
      <c r="AD214" s="90">
        <f t="shared" si="357"/>
        <v>0</v>
      </c>
      <c r="AF214" s="29">
        <f t="shared" si="333"/>
        <v>37.786840133713788</v>
      </c>
      <c r="AG214" s="30">
        <f t="shared" si="334"/>
        <v>56.020505733657629</v>
      </c>
      <c r="AH214" s="32">
        <f t="shared" si="335"/>
        <v>18.233665599943841</v>
      </c>
      <c r="AI214" s="33">
        <f t="shared" si="336"/>
        <v>0.48254009955374877</v>
      </c>
      <c r="AK214" s="29">
        <f t="shared" si="320"/>
        <v>37.681920971578613</v>
      </c>
      <c r="AL214" s="30">
        <f t="shared" si="321"/>
        <v>48.12291810318802</v>
      </c>
      <c r="AM214" s="32">
        <f t="shared" si="337"/>
        <v>10.440997131609407</v>
      </c>
      <c r="AN214" s="33">
        <f t="shared" si="338"/>
        <v>0.27708240085436392</v>
      </c>
      <c r="AP214" s="29">
        <f t="shared" si="339"/>
        <v>37.43624219680423</v>
      </c>
      <c r="AQ214" s="30">
        <f t="shared" si="340"/>
        <v>43.040195658183826</v>
      </c>
      <c r="AR214" s="32">
        <f t="shared" si="341"/>
        <v>5.6039534613795965</v>
      </c>
      <c r="AS214" s="33">
        <f t="shared" si="342"/>
        <v>0.1496932686758283</v>
      </c>
      <c r="AU214" s="31">
        <f t="shared" si="343"/>
        <v>37.353509302795359</v>
      </c>
      <c r="AV214" s="25">
        <f t="shared" si="344"/>
        <v>39.902442917249076</v>
      </c>
      <c r="AW214" s="32">
        <f t="shared" si="345"/>
        <v>2.5489336144537162</v>
      </c>
      <c r="AX214" s="33">
        <f t="shared" si="346"/>
        <v>6.8238129750849572E-2</v>
      </c>
      <c r="AZ214" s="31">
        <f t="shared" si="322"/>
        <v>37.268229569698136</v>
      </c>
      <c r="BA214" s="25">
        <f t="shared" si="323"/>
        <v>41.18233010370146</v>
      </c>
      <c r="BB214" s="32">
        <f t="shared" si="347"/>
        <v>3.9141005340033246</v>
      </c>
      <c r="BC214" s="33">
        <f t="shared" si="348"/>
        <v>0.10502512674188799</v>
      </c>
      <c r="BE214" s="31">
        <f t="shared" si="349"/>
        <v>37.333084446354007</v>
      </c>
      <c r="BF214" s="25">
        <f t="shared" si="350"/>
        <v>40.576720155557908</v>
      </c>
      <c r="BG214" s="32">
        <f t="shared" si="351"/>
        <v>3.2436357092039003</v>
      </c>
      <c r="BH214" s="33">
        <f t="shared" si="352"/>
        <v>8.6883678573755715E-2</v>
      </c>
      <c r="BJ214" s="31">
        <f t="shared" si="324"/>
        <v>37.462296947699699</v>
      </c>
      <c r="BK214" s="25">
        <f t="shared" si="325"/>
        <v>42.063899999999997</v>
      </c>
      <c r="BL214" s="32">
        <f t="shared" si="326"/>
        <v>4.6016030523002982</v>
      </c>
      <c r="BM214" s="33">
        <f t="shared" si="327"/>
        <v>0.12283291274756848</v>
      </c>
      <c r="BO214" s="62"/>
      <c r="BP214" s="62"/>
      <c r="BQ214" s="62"/>
      <c r="BR214" s="63"/>
    </row>
    <row r="215" spans="1:70">
      <c r="A215" s="1"/>
      <c r="B215" s="1284"/>
      <c r="D215" s="5" t="s">
        <v>165</v>
      </c>
      <c r="E215" s="87">
        <f t="shared" ref="E215:L215" si="359">SUM(E658,E678,E698)</f>
        <v>43.094595636415775</v>
      </c>
      <c r="F215" s="87">
        <f t="shared" si="359"/>
        <v>43.061638652537937</v>
      </c>
      <c r="G215" s="87">
        <f t="shared" si="359"/>
        <v>42.871807113296917</v>
      </c>
      <c r="H215" s="87">
        <f t="shared" si="359"/>
        <v>42.884475428259321</v>
      </c>
      <c r="I215" s="87">
        <f t="shared" si="359"/>
        <v>42.914982010125648</v>
      </c>
      <c r="J215" s="87">
        <f t="shared" si="359"/>
        <v>43.063771374704068</v>
      </c>
      <c r="K215" s="87">
        <f t="shared" si="359"/>
        <v>43.276939850885171</v>
      </c>
      <c r="L215" s="87">
        <f t="shared" si="359"/>
        <v>43.472424464591093</v>
      </c>
      <c r="N215" s="29">
        <f t="shared" si="329"/>
        <v>43.094595636415775</v>
      </c>
      <c r="O215" s="29">
        <f t="shared" si="330"/>
        <v>43.061638652537937</v>
      </c>
      <c r="P215" s="29">
        <f t="shared" si="330"/>
        <v>42.871807113296917</v>
      </c>
      <c r="Q215" s="29">
        <f t="shared" si="330"/>
        <v>42.884475428259321</v>
      </c>
      <c r="R215" s="29">
        <f t="shared" si="330"/>
        <v>42.914982010125648</v>
      </c>
      <c r="S215" s="29">
        <f t="shared" si="330"/>
        <v>43.063771374704068</v>
      </c>
      <c r="T215" s="29">
        <f t="shared" si="330"/>
        <v>43.276939850885171</v>
      </c>
      <c r="U215" s="29">
        <f t="shared" si="330"/>
        <v>43.472424464591093</v>
      </c>
      <c r="W215" s="30">
        <f t="shared" ref="W215:AD215" si="360">SUM(W658,W678,W698)</f>
        <v>48.098619967390427</v>
      </c>
      <c r="X215" s="30">
        <f t="shared" si="360"/>
        <v>44.307888434367825</v>
      </c>
      <c r="Y215" s="30">
        <f t="shared" si="317"/>
        <v>41.472566378570278</v>
      </c>
      <c r="Z215" s="30">
        <f t="shared" si="317"/>
        <v>43.083128136162756</v>
      </c>
      <c r="AA215" s="30">
        <f t="shared" si="318"/>
        <v>47.417437872021246</v>
      </c>
      <c r="AB215" s="30">
        <f t="shared" si="360"/>
        <v>44.029247842212079</v>
      </c>
      <c r="AC215" s="30">
        <f t="shared" ref="AC215" si="361">SUM(AC658,AC678,AC698)</f>
        <v>43.228499999999997</v>
      </c>
      <c r="AD215" s="90">
        <f t="shared" si="360"/>
        <v>0</v>
      </c>
      <c r="AF215" s="29">
        <f t="shared" si="333"/>
        <v>43.094595636415775</v>
      </c>
      <c r="AG215" s="30">
        <f t="shared" si="334"/>
        <v>48.098619967390427</v>
      </c>
      <c r="AH215" s="32">
        <f t="shared" si="335"/>
        <v>5.0040243309746515</v>
      </c>
      <c r="AI215" s="33">
        <f t="shared" si="336"/>
        <v>0.11611721277519432</v>
      </c>
      <c r="AK215" s="29">
        <f t="shared" si="320"/>
        <v>43.061638652537937</v>
      </c>
      <c r="AL215" s="30">
        <f t="shared" si="321"/>
        <v>44.307888434367825</v>
      </c>
      <c r="AM215" s="32">
        <f t="shared" si="337"/>
        <v>1.2462497818298885</v>
      </c>
      <c r="AN215" s="33">
        <f t="shared" si="338"/>
        <v>2.8941067289282963E-2</v>
      </c>
      <c r="AP215" s="29">
        <f t="shared" si="339"/>
        <v>42.871807113296917</v>
      </c>
      <c r="AQ215" s="30">
        <f t="shared" si="340"/>
        <v>41.472566378570278</v>
      </c>
      <c r="AR215" s="32">
        <f t="shared" si="341"/>
        <v>-1.3992407347266393</v>
      </c>
      <c r="AS215" s="33">
        <f t="shared" si="342"/>
        <v>-3.2637782938071146E-2</v>
      </c>
      <c r="AU215" s="31">
        <f t="shared" si="343"/>
        <v>42.884475428259321</v>
      </c>
      <c r="AV215" s="25">
        <f t="shared" si="344"/>
        <v>43.083128136162756</v>
      </c>
      <c r="AW215" s="32">
        <f t="shared" si="345"/>
        <v>0.19865270790343459</v>
      </c>
      <c r="AX215" s="33">
        <f t="shared" si="346"/>
        <v>4.6322755710456846E-3</v>
      </c>
      <c r="AZ215" s="31">
        <f t="shared" si="322"/>
        <v>42.914982010125648</v>
      </c>
      <c r="BA215" s="25">
        <f t="shared" si="323"/>
        <v>47.417437872021246</v>
      </c>
      <c r="BB215" s="32">
        <f t="shared" si="347"/>
        <v>4.5024558618955979</v>
      </c>
      <c r="BC215" s="33">
        <f t="shared" si="348"/>
        <v>0.10491571127382177</v>
      </c>
      <c r="BE215" s="31">
        <f t="shared" si="349"/>
        <v>43.063771374704068</v>
      </c>
      <c r="BF215" s="25">
        <f t="shared" si="350"/>
        <v>44.029247842212079</v>
      </c>
      <c r="BG215" s="32">
        <f t="shared" si="351"/>
        <v>0.96547646750801164</v>
      </c>
      <c r="BH215" s="33">
        <f t="shared" si="352"/>
        <v>2.2419691464253374E-2</v>
      </c>
      <c r="BJ215" s="31">
        <f t="shared" si="324"/>
        <v>43.276939850885171</v>
      </c>
      <c r="BK215" s="25">
        <f t="shared" si="325"/>
        <v>43.228499999999997</v>
      </c>
      <c r="BL215" s="32">
        <f t="shared" si="326"/>
        <v>-4.8439850885173996E-2</v>
      </c>
      <c r="BM215" s="33">
        <f t="shared" si="327"/>
        <v>-1.119299355547738E-3</v>
      </c>
      <c r="BO215" s="62"/>
      <c r="BP215" s="62"/>
      <c r="BQ215" s="62"/>
      <c r="BR215" s="63"/>
    </row>
    <row r="216" spans="1:70">
      <c r="A216" s="1"/>
      <c r="B216" s="1284"/>
      <c r="D216" s="5" t="s">
        <v>166</v>
      </c>
      <c r="E216" s="87">
        <f t="shared" ref="E216:L216" si="362">SUM(E659,E679,E699)</f>
        <v>17.391584122460895</v>
      </c>
      <c r="F216" s="87">
        <f t="shared" si="362"/>
        <v>17.342196835319417</v>
      </c>
      <c r="G216" s="87">
        <f t="shared" si="362"/>
        <v>17.192853865234799</v>
      </c>
      <c r="H216" s="87">
        <f t="shared" si="362"/>
        <v>17.10972462788596</v>
      </c>
      <c r="I216" s="87">
        <f t="shared" si="362"/>
        <v>17.041489192465086</v>
      </c>
      <c r="J216" s="87">
        <f t="shared" si="362"/>
        <v>17.065482968976383</v>
      </c>
      <c r="K216" s="87">
        <f t="shared" si="362"/>
        <v>17.143532933570459</v>
      </c>
      <c r="L216" s="87">
        <f t="shared" si="362"/>
        <v>17.208170326609718</v>
      </c>
      <c r="N216" s="29">
        <f t="shared" si="329"/>
        <v>17.391584122460895</v>
      </c>
      <c r="O216" s="29">
        <f t="shared" si="330"/>
        <v>17.342196835319417</v>
      </c>
      <c r="P216" s="29">
        <f t="shared" si="330"/>
        <v>17.192853865234799</v>
      </c>
      <c r="Q216" s="29">
        <f t="shared" si="330"/>
        <v>17.10972462788596</v>
      </c>
      <c r="R216" s="29">
        <f t="shared" si="330"/>
        <v>17.041489192465086</v>
      </c>
      <c r="S216" s="29">
        <f t="shared" si="330"/>
        <v>17.065482968976383</v>
      </c>
      <c r="T216" s="29">
        <f t="shared" si="330"/>
        <v>17.143532933570459</v>
      </c>
      <c r="U216" s="29">
        <f t="shared" si="330"/>
        <v>17.208170326609718</v>
      </c>
      <c r="W216" s="30">
        <f t="shared" ref="W216:AD216" si="363">SUM(W659,W679,W699)</f>
        <v>17.314207860989161</v>
      </c>
      <c r="X216" s="30">
        <f t="shared" si="363"/>
        <v>14.586118358290063</v>
      </c>
      <c r="Y216" s="30">
        <f t="shared" si="317"/>
        <v>16.160729858716365</v>
      </c>
      <c r="Z216" s="30">
        <f t="shared" si="317"/>
        <v>16.167018792268486</v>
      </c>
      <c r="AA216" s="30">
        <f t="shared" si="318"/>
        <v>16.450663799450872</v>
      </c>
      <c r="AB216" s="30">
        <f t="shared" si="363"/>
        <v>16.898769093746072</v>
      </c>
      <c r="AC216" s="30">
        <f t="shared" ref="AC216" si="364">SUM(AC659,AC679,AC699)</f>
        <v>18.2791</v>
      </c>
      <c r="AD216" s="90">
        <f t="shared" si="363"/>
        <v>0</v>
      </c>
      <c r="AF216" s="29">
        <f t="shared" si="333"/>
        <v>17.391584122460895</v>
      </c>
      <c r="AG216" s="30">
        <f t="shared" si="334"/>
        <v>17.314207860989161</v>
      </c>
      <c r="AH216" s="32">
        <f t="shared" si="335"/>
        <v>-7.7376261471734153E-2</v>
      </c>
      <c r="AI216" s="33">
        <f t="shared" si="336"/>
        <v>-4.4490634623561521E-3</v>
      </c>
      <c r="AK216" s="29">
        <f t="shared" si="320"/>
        <v>17.342196835319417</v>
      </c>
      <c r="AL216" s="30">
        <f t="shared" si="321"/>
        <v>14.586118358290063</v>
      </c>
      <c r="AM216" s="32">
        <f t="shared" si="337"/>
        <v>-2.7560784770293534</v>
      </c>
      <c r="AN216" s="33">
        <f t="shared" si="338"/>
        <v>-0.15892326117624708</v>
      </c>
      <c r="AP216" s="29">
        <f t="shared" si="339"/>
        <v>17.192853865234799</v>
      </c>
      <c r="AQ216" s="30">
        <f t="shared" si="340"/>
        <v>16.160729858716365</v>
      </c>
      <c r="AR216" s="32">
        <f t="shared" si="341"/>
        <v>-1.0321240065184334</v>
      </c>
      <c r="AS216" s="33">
        <f t="shared" si="342"/>
        <v>-6.0032151416436058E-2</v>
      </c>
      <c r="AU216" s="31">
        <f t="shared" si="343"/>
        <v>17.10972462788596</v>
      </c>
      <c r="AV216" s="25">
        <f t="shared" si="344"/>
        <v>16.167018792268486</v>
      </c>
      <c r="AW216" s="32">
        <f t="shared" si="345"/>
        <v>-0.94270583561747401</v>
      </c>
      <c r="AX216" s="33">
        <f t="shared" si="346"/>
        <v>-5.509766265209335E-2</v>
      </c>
      <c r="AZ216" s="31">
        <f t="shared" si="322"/>
        <v>17.041489192465086</v>
      </c>
      <c r="BA216" s="25">
        <f t="shared" si="323"/>
        <v>16.450663799450872</v>
      </c>
      <c r="BB216" s="32">
        <f t="shared" si="347"/>
        <v>-0.59082539301421377</v>
      </c>
      <c r="BC216" s="33">
        <f t="shared" si="348"/>
        <v>-3.4669821770942875E-2</v>
      </c>
      <c r="BE216" s="31">
        <f t="shared" si="349"/>
        <v>17.065482968976383</v>
      </c>
      <c r="BF216" s="25">
        <f t="shared" si="350"/>
        <v>16.898769093746072</v>
      </c>
      <c r="BG216" s="32">
        <f t="shared" si="351"/>
        <v>-0.166713875230311</v>
      </c>
      <c r="BH216" s="33">
        <f t="shared" si="352"/>
        <v>-9.7690686828719037E-3</v>
      </c>
      <c r="BJ216" s="31">
        <f t="shared" si="324"/>
        <v>17.143532933570459</v>
      </c>
      <c r="BK216" s="25">
        <f t="shared" si="325"/>
        <v>18.2791</v>
      </c>
      <c r="BL216" s="32">
        <f t="shared" si="326"/>
        <v>1.135567066429541</v>
      </c>
      <c r="BM216" s="33">
        <f t="shared" si="327"/>
        <v>6.6238801000339548E-2</v>
      </c>
      <c r="BO216" s="62"/>
      <c r="BP216" s="62"/>
      <c r="BQ216" s="62"/>
      <c r="BR216" s="63"/>
    </row>
    <row r="217" spans="1:70">
      <c r="A217" s="1"/>
      <c r="B217" s="1284"/>
      <c r="D217" s="5" t="s">
        <v>167</v>
      </c>
      <c r="E217" s="87">
        <f t="shared" ref="E217:L217" si="365">SUM(E660,E680,E700)</f>
        <v>31.27055795966298</v>
      </c>
      <c r="F217" s="87">
        <f t="shared" si="365"/>
        <v>31.196860571350342</v>
      </c>
      <c r="G217" s="87">
        <f t="shared" si="365"/>
        <v>30.988673898396616</v>
      </c>
      <c r="H217" s="87">
        <f t="shared" si="365"/>
        <v>30.910362133668983</v>
      </c>
      <c r="I217" s="87">
        <f t="shared" si="365"/>
        <v>30.859006080772023</v>
      </c>
      <c r="J217" s="87">
        <f t="shared" si="365"/>
        <v>30.893869331348654</v>
      </c>
      <c r="K217" s="87">
        <f t="shared" si="365"/>
        <v>30.992786470236304</v>
      </c>
      <c r="L217" s="87">
        <f t="shared" si="365"/>
        <v>31.061956950418306</v>
      </c>
      <c r="N217" s="29">
        <f t="shared" si="329"/>
        <v>31.27055795966298</v>
      </c>
      <c r="O217" s="29">
        <f t="shared" si="330"/>
        <v>31.196860571350342</v>
      </c>
      <c r="P217" s="29">
        <f t="shared" si="330"/>
        <v>30.988673898396616</v>
      </c>
      <c r="Q217" s="29">
        <f t="shared" si="330"/>
        <v>30.910362133668983</v>
      </c>
      <c r="R217" s="29">
        <f t="shared" si="330"/>
        <v>30.859006080772023</v>
      </c>
      <c r="S217" s="29">
        <f t="shared" si="330"/>
        <v>30.893869331348654</v>
      </c>
      <c r="T217" s="29">
        <f t="shared" si="330"/>
        <v>30.992786470236304</v>
      </c>
      <c r="U217" s="29">
        <f t="shared" si="330"/>
        <v>31.061956950418306</v>
      </c>
      <c r="W217" s="30">
        <f t="shared" ref="W217:AD217" si="366">SUM(W660,W680,W700)</f>
        <v>35.679070064332599</v>
      </c>
      <c r="X217" s="30">
        <f t="shared" si="366"/>
        <v>31.364499071670085</v>
      </c>
      <c r="Y217" s="30">
        <f t="shared" si="317"/>
        <v>32.009065723805783</v>
      </c>
      <c r="Z217" s="30">
        <f t="shared" si="317"/>
        <v>28.592119580103628</v>
      </c>
      <c r="AA217" s="30">
        <f t="shared" si="318"/>
        <v>32.447398049834511</v>
      </c>
      <c r="AB217" s="30">
        <f t="shared" si="366"/>
        <v>31.721155880843199</v>
      </c>
      <c r="AC217" s="30">
        <f t="shared" ref="AC217" si="367">SUM(AC660,AC680,AC700)</f>
        <v>34.911099999999998</v>
      </c>
      <c r="AD217" s="90">
        <f t="shared" si="366"/>
        <v>0</v>
      </c>
      <c r="AF217" s="29">
        <f t="shared" si="333"/>
        <v>31.27055795966298</v>
      </c>
      <c r="AG217" s="30">
        <f t="shared" si="334"/>
        <v>35.679070064332599</v>
      </c>
      <c r="AH217" s="32">
        <f t="shared" si="335"/>
        <v>4.4085121046696187</v>
      </c>
      <c r="AI217" s="33">
        <f t="shared" si="336"/>
        <v>0.14097964322722725</v>
      </c>
      <c r="AK217" s="29">
        <f t="shared" si="320"/>
        <v>31.196860571350342</v>
      </c>
      <c r="AL217" s="30">
        <f t="shared" si="321"/>
        <v>31.364499071670085</v>
      </c>
      <c r="AM217" s="32">
        <f t="shared" si="337"/>
        <v>0.16763850031974314</v>
      </c>
      <c r="AN217" s="33">
        <f t="shared" si="338"/>
        <v>5.3735695595502992E-3</v>
      </c>
      <c r="AP217" s="29">
        <f t="shared" si="339"/>
        <v>30.988673898396616</v>
      </c>
      <c r="AQ217" s="30">
        <f t="shared" si="340"/>
        <v>32.009065723805783</v>
      </c>
      <c r="AR217" s="32">
        <f t="shared" si="341"/>
        <v>1.0203918254091668</v>
      </c>
      <c r="AS217" s="33">
        <f t="shared" si="342"/>
        <v>3.2927895809764317E-2</v>
      </c>
      <c r="AU217" s="31">
        <f t="shared" si="343"/>
        <v>30.910362133668983</v>
      </c>
      <c r="AV217" s="25">
        <f t="shared" si="344"/>
        <v>28.592119580103628</v>
      </c>
      <c r="AW217" s="32">
        <f t="shared" si="345"/>
        <v>-2.318242553565355</v>
      </c>
      <c r="AX217" s="33">
        <f t="shared" si="346"/>
        <v>-7.4998880425286865E-2</v>
      </c>
      <c r="AZ217" s="31">
        <f t="shared" si="322"/>
        <v>30.859006080772023</v>
      </c>
      <c r="BA217" s="25">
        <f t="shared" si="323"/>
        <v>32.447398049834511</v>
      </c>
      <c r="BB217" s="32">
        <f t="shared" si="347"/>
        <v>1.5883919690624886</v>
      </c>
      <c r="BC217" s="33">
        <f t="shared" si="348"/>
        <v>5.1472557635360842E-2</v>
      </c>
      <c r="BE217" s="31">
        <f t="shared" si="349"/>
        <v>30.893869331348654</v>
      </c>
      <c r="BF217" s="25">
        <f t="shared" si="350"/>
        <v>31.721155880843199</v>
      </c>
      <c r="BG217" s="32">
        <f t="shared" si="351"/>
        <v>0.82728654949454494</v>
      </c>
      <c r="BH217" s="33">
        <f t="shared" si="352"/>
        <v>2.6778340408628584E-2</v>
      </c>
      <c r="BJ217" s="31">
        <f t="shared" si="324"/>
        <v>30.992786470236304</v>
      </c>
      <c r="BK217" s="25">
        <f t="shared" si="325"/>
        <v>34.911099999999998</v>
      </c>
      <c r="BL217" s="32">
        <f t="shared" si="326"/>
        <v>3.9183135297636937</v>
      </c>
      <c r="BM217" s="33">
        <f t="shared" si="327"/>
        <v>0.12642662941993349</v>
      </c>
      <c r="BO217" s="62"/>
      <c r="BP217" s="62"/>
      <c r="BQ217" s="62"/>
      <c r="BR217" s="63"/>
    </row>
    <row r="218" spans="1:70">
      <c r="A218" s="1"/>
      <c r="B218" s="1284"/>
      <c r="D218" s="5" t="s">
        <v>168</v>
      </c>
      <c r="E218" s="87">
        <f t="shared" ref="E218:L218" si="368">SUM(E661,E681,E701)</f>
        <v>30.181754032899182</v>
      </c>
      <c r="F218" s="87">
        <f t="shared" si="368"/>
        <v>29.884583788817295</v>
      </c>
      <c r="G218" s="87">
        <f t="shared" si="368"/>
        <v>29.702804123204839</v>
      </c>
      <c r="H218" s="87">
        <f t="shared" si="368"/>
        <v>29.559602590120019</v>
      </c>
      <c r="I218" s="87">
        <f t="shared" si="368"/>
        <v>29.476021447771956</v>
      </c>
      <c r="J218" s="87">
        <f t="shared" si="368"/>
        <v>29.620168433866425</v>
      </c>
      <c r="K218" s="87">
        <f t="shared" si="368"/>
        <v>30.13311923593217</v>
      </c>
      <c r="L218" s="87">
        <f t="shared" si="368"/>
        <v>30.755754204022352</v>
      </c>
      <c r="N218" s="29">
        <f t="shared" si="329"/>
        <v>30.321908273878044</v>
      </c>
      <c r="O218" s="29">
        <f t="shared" si="330"/>
        <v>29.557366270993988</v>
      </c>
      <c r="P218" s="29">
        <f t="shared" si="330"/>
        <v>28.796914618809925</v>
      </c>
      <c r="Q218" s="29">
        <f t="shared" si="330"/>
        <v>28.161798994972145</v>
      </c>
      <c r="R218" s="29">
        <f t="shared" si="330"/>
        <v>27.622929021659512</v>
      </c>
      <c r="S218" s="29">
        <f t="shared" si="330"/>
        <v>27.285875595195733</v>
      </c>
      <c r="T218" s="29">
        <f t="shared" si="330"/>
        <v>27.265383531151809</v>
      </c>
      <c r="U218" s="29">
        <f t="shared" si="330"/>
        <v>27.336540421733407</v>
      </c>
      <c r="W218" s="30">
        <f t="shared" ref="W218:AD218" si="369">SUM(W661,W681,W701)</f>
        <v>38.749668821068376</v>
      </c>
      <c r="X218" s="30">
        <f t="shared" si="369"/>
        <v>34.437928872987342</v>
      </c>
      <c r="Y218" s="30">
        <f t="shared" si="317"/>
        <v>35.529792649304341</v>
      </c>
      <c r="Z218" s="30">
        <f t="shared" si="317"/>
        <v>35.227660099371263</v>
      </c>
      <c r="AA218" s="30">
        <f t="shared" si="318"/>
        <v>40.420778248778092</v>
      </c>
      <c r="AB218" s="30">
        <f t="shared" si="369"/>
        <v>39.13411999792018</v>
      </c>
      <c r="AC218" s="30">
        <f t="shared" ref="AC218" si="370">SUM(AC661,AC681,AC701)</f>
        <v>36.705324293812509</v>
      </c>
      <c r="AD218" s="90">
        <f t="shared" si="369"/>
        <v>0</v>
      </c>
      <c r="AF218" s="29">
        <f t="shared" si="333"/>
        <v>30.321908273878044</v>
      </c>
      <c r="AG218" s="30">
        <f t="shared" si="334"/>
        <v>38.749668821068376</v>
      </c>
      <c r="AH218" s="32">
        <f t="shared" si="335"/>
        <v>8.4277605471903314</v>
      </c>
      <c r="AI218" s="33">
        <f t="shared" si="336"/>
        <v>0.27794294709514522</v>
      </c>
      <c r="AK218" s="29">
        <f t="shared" si="320"/>
        <v>29.557366270993988</v>
      </c>
      <c r="AL218" s="30">
        <f t="shared" si="321"/>
        <v>34.437928872987342</v>
      </c>
      <c r="AM218" s="32">
        <f t="shared" si="337"/>
        <v>4.8805626019933541</v>
      </c>
      <c r="AN218" s="33">
        <f t="shared" si="338"/>
        <v>0.16512170121134495</v>
      </c>
      <c r="AP218" s="29">
        <f t="shared" si="339"/>
        <v>28.796914618809925</v>
      </c>
      <c r="AQ218" s="30">
        <f t="shared" si="340"/>
        <v>35.529792649304341</v>
      </c>
      <c r="AR218" s="32">
        <f t="shared" si="341"/>
        <v>6.7328780304944154</v>
      </c>
      <c r="AS218" s="33">
        <f t="shared" si="342"/>
        <v>0.23380553505883406</v>
      </c>
      <c r="AU218" s="31">
        <f t="shared" si="343"/>
        <v>28.161798994972145</v>
      </c>
      <c r="AV218" s="25">
        <f t="shared" si="344"/>
        <v>35.227660099371263</v>
      </c>
      <c r="AW218" s="32">
        <f t="shared" si="345"/>
        <v>7.0658611043991186</v>
      </c>
      <c r="AX218" s="33">
        <f t="shared" si="346"/>
        <v>0.25090233424578517</v>
      </c>
      <c r="AZ218" s="31">
        <f t="shared" si="322"/>
        <v>27.622929021659512</v>
      </c>
      <c r="BA218" s="25">
        <f t="shared" si="323"/>
        <v>40.420778248778092</v>
      </c>
      <c r="BB218" s="32">
        <f t="shared" si="347"/>
        <v>12.797849227118579</v>
      </c>
      <c r="BC218" s="33">
        <f t="shared" si="348"/>
        <v>0.46330529311658486</v>
      </c>
      <c r="BE218" s="31">
        <f t="shared" si="349"/>
        <v>27.285875595195733</v>
      </c>
      <c r="BF218" s="25">
        <f t="shared" si="350"/>
        <v>39.13411999792018</v>
      </c>
      <c r="BG218" s="32">
        <f t="shared" si="351"/>
        <v>11.848244402724447</v>
      </c>
      <c r="BH218" s="33">
        <f t="shared" si="352"/>
        <v>0.43422628536833857</v>
      </c>
      <c r="BJ218" s="31">
        <f t="shared" si="324"/>
        <v>27.265383531151809</v>
      </c>
      <c r="BK218" s="25">
        <f t="shared" si="325"/>
        <v>36.705324293812509</v>
      </c>
      <c r="BL218" s="32">
        <f t="shared" si="326"/>
        <v>9.4399407626607008</v>
      </c>
      <c r="BM218" s="33">
        <f t="shared" si="327"/>
        <v>0.34622438932044308</v>
      </c>
      <c r="BO218" s="62"/>
      <c r="BP218" s="62"/>
      <c r="BQ218" s="62"/>
      <c r="BR218" s="63"/>
    </row>
    <row r="219" spans="1:70">
      <c r="A219" s="1"/>
      <c r="B219" s="1284"/>
      <c r="D219" s="5" t="s">
        <v>169</v>
      </c>
      <c r="E219" s="87">
        <f t="shared" ref="E219:L219" si="371">SUM(E662,E682,E702)</f>
        <v>32.389505814364178</v>
      </c>
      <c r="F219" s="87">
        <f t="shared" si="371"/>
        <v>32.047997724888035</v>
      </c>
      <c r="G219" s="87">
        <f t="shared" si="371"/>
        <v>32.000352701188334</v>
      </c>
      <c r="H219" s="87">
        <f t="shared" si="371"/>
        <v>32.000103797343108</v>
      </c>
      <c r="I219" s="87">
        <f t="shared" si="371"/>
        <v>32.053412573312229</v>
      </c>
      <c r="J219" s="87">
        <f t="shared" si="371"/>
        <v>32.262514934231469</v>
      </c>
      <c r="K219" s="87">
        <f t="shared" si="371"/>
        <v>33.073015276035363</v>
      </c>
      <c r="L219" s="87">
        <f t="shared" si="371"/>
        <v>33.642113083402556</v>
      </c>
      <c r="N219" s="29">
        <f t="shared" si="329"/>
        <v>31.766439857394445</v>
      </c>
      <c r="O219" s="29">
        <f t="shared" si="330"/>
        <v>31.037447405850326</v>
      </c>
      <c r="P219" s="29">
        <f t="shared" si="330"/>
        <v>30.340227588374177</v>
      </c>
      <c r="Q219" s="29">
        <f t="shared" si="330"/>
        <v>29.802750581938763</v>
      </c>
      <c r="R219" s="29">
        <f t="shared" si="330"/>
        <v>29.305068846146298</v>
      </c>
      <c r="S219" s="29">
        <f t="shared" si="330"/>
        <v>28.947269089222679</v>
      </c>
      <c r="T219" s="29">
        <f t="shared" si="330"/>
        <v>29.127693914548537</v>
      </c>
      <c r="U219" s="29">
        <f t="shared" si="330"/>
        <v>29.064481073701057</v>
      </c>
      <c r="W219" s="30">
        <f t="shared" ref="W219:AD219" si="372">SUM(W662,W682,W702)</f>
        <v>42.906763240227491</v>
      </c>
      <c r="X219" s="30">
        <f t="shared" si="372"/>
        <v>50.302107875335302</v>
      </c>
      <c r="Y219" s="30">
        <f t="shared" si="317"/>
        <v>39.923181332264512</v>
      </c>
      <c r="Z219" s="30">
        <f t="shared" si="317"/>
        <v>44.484537895285648</v>
      </c>
      <c r="AA219" s="30">
        <f t="shared" si="318"/>
        <v>52.568087539692627</v>
      </c>
      <c r="AB219" s="30">
        <f t="shared" si="372"/>
        <v>49.296119330586592</v>
      </c>
      <c r="AC219" s="30">
        <f t="shared" ref="AC219" si="373">SUM(AC662,AC682,AC702)</f>
        <v>52.371715384156069</v>
      </c>
      <c r="AD219" s="90">
        <f t="shared" si="372"/>
        <v>0</v>
      </c>
      <c r="AF219" s="29">
        <f t="shared" si="333"/>
        <v>31.766439857394445</v>
      </c>
      <c r="AG219" s="30">
        <f t="shared" si="334"/>
        <v>42.906763240227491</v>
      </c>
      <c r="AH219" s="32">
        <f t="shared" si="335"/>
        <v>11.140323382833046</v>
      </c>
      <c r="AI219" s="33">
        <f t="shared" si="336"/>
        <v>0.35069474051370136</v>
      </c>
      <c r="AK219" s="29">
        <f t="shared" si="320"/>
        <v>31.037447405850326</v>
      </c>
      <c r="AL219" s="30">
        <f t="shared" si="321"/>
        <v>50.302107875335302</v>
      </c>
      <c r="AM219" s="32">
        <f t="shared" si="337"/>
        <v>19.264660469484976</v>
      </c>
      <c r="AN219" s="33">
        <f t="shared" si="338"/>
        <v>0.62069087762203445</v>
      </c>
      <c r="AP219" s="29">
        <f t="shared" si="339"/>
        <v>30.340227588374177</v>
      </c>
      <c r="AQ219" s="30">
        <f t="shared" si="340"/>
        <v>39.923181332264512</v>
      </c>
      <c r="AR219" s="32">
        <f t="shared" si="341"/>
        <v>9.5829537438903358</v>
      </c>
      <c r="AS219" s="33">
        <f t="shared" si="342"/>
        <v>0.3158497646722449</v>
      </c>
      <c r="AU219" s="31">
        <f t="shared" si="343"/>
        <v>29.802750581938763</v>
      </c>
      <c r="AV219" s="25">
        <f t="shared" si="344"/>
        <v>44.484537895285648</v>
      </c>
      <c r="AW219" s="32">
        <f t="shared" si="345"/>
        <v>14.681787313346884</v>
      </c>
      <c r="AX219" s="33">
        <f t="shared" si="346"/>
        <v>0.49263195599953874</v>
      </c>
      <c r="AZ219" s="31">
        <f t="shared" si="322"/>
        <v>29.305068846146298</v>
      </c>
      <c r="BA219" s="25">
        <f t="shared" si="323"/>
        <v>52.568087539692627</v>
      </c>
      <c r="BB219" s="32">
        <f t="shared" si="347"/>
        <v>23.263018693546329</v>
      </c>
      <c r="BC219" s="33">
        <f t="shared" si="348"/>
        <v>0.79382235256565459</v>
      </c>
      <c r="BE219" s="31">
        <f t="shared" si="349"/>
        <v>28.947269089222679</v>
      </c>
      <c r="BF219" s="25">
        <f t="shared" si="350"/>
        <v>49.296119330586592</v>
      </c>
      <c r="BG219" s="32">
        <f t="shared" si="351"/>
        <v>20.348850241363913</v>
      </c>
      <c r="BH219" s="33">
        <f t="shared" si="352"/>
        <v>0.70296269325592331</v>
      </c>
      <c r="BJ219" s="31">
        <f t="shared" si="324"/>
        <v>29.127693914548537</v>
      </c>
      <c r="BK219" s="25">
        <f t="shared" si="325"/>
        <v>52.371715384156069</v>
      </c>
      <c r="BL219" s="32">
        <f t="shared" si="326"/>
        <v>23.244021469607532</v>
      </c>
      <c r="BM219" s="33">
        <f t="shared" si="327"/>
        <v>0.79800417903999388</v>
      </c>
      <c r="BO219" s="62"/>
      <c r="BP219" s="62"/>
      <c r="BQ219" s="62"/>
      <c r="BR219" s="63"/>
    </row>
    <row r="220" spans="1:70">
      <c r="A220" s="1"/>
      <c r="B220" s="1284"/>
      <c r="D220" s="5" t="s">
        <v>170</v>
      </c>
      <c r="E220" s="87">
        <f t="shared" ref="E220:L220" si="374">SUM(E663,E683,E703)</f>
        <v>49.456518191871183</v>
      </c>
      <c r="F220" s="87">
        <f t="shared" si="374"/>
        <v>49.506514550372671</v>
      </c>
      <c r="G220" s="87">
        <f t="shared" si="374"/>
        <v>49.52774130597485</v>
      </c>
      <c r="H220" s="87">
        <f t="shared" si="374"/>
        <v>49.663539526754732</v>
      </c>
      <c r="I220" s="87">
        <f t="shared" si="374"/>
        <v>48.927334896959948</v>
      </c>
      <c r="J220" s="87">
        <f t="shared" si="374"/>
        <v>50.115987349099989</v>
      </c>
      <c r="K220" s="87">
        <f t="shared" si="374"/>
        <v>51.218221523499203</v>
      </c>
      <c r="L220" s="87">
        <f t="shared" si="374"/>
        <v>52.164327688767806</v>
      </c>
      <c r="N220" s="29">
        <f t="shared" si="329"/>
        <v>48.623524486856759</v>
      </c>
      <c r="O220" s="29">
        <f t="shared" si="330"/>
        <v>47.966814001975699</v>
      </c>
      <c r="P220" s="29">
        <f t="shared" si="330"/>
        <v>47.126270047406663</v>
      </c>
      <c r="Q220" s="29">
        <f t="shared" si="330"/>
        <v>46.509684946182418</v>
      </c>
      <c r="R220" s="29">
        <f t="shared" si="330"/>
        <v>45.027709013817642</v>
      </c>
      <c r="S220" s="29">
        <f t="shared" si="330"/>
        <v>45.150539894506295</v>
      </c>
      <c r="T220" s="29">
        <f t="shared" si="330"/>
        <v>45.324069160191108</v>
      </c>
      <c r="U220" s="29">
        <f t="shared" si="330"/>
        <v>45.286399102840939</v>
      </c>
      <c r="W220" s="30">
        <f t="shared" ref="W220:AD220" si="375">SUM(W663,W683,W703)</f>
        <v>58.29688185123829</v>
      </c>
      <c r="X220" s="30">
        <f t="shared" si="375"/>
        <v>62.717156471099919</v>
      </c>
      <c r="Y220" s="30">
        <f t="shared" si="317"/>
        <v>67.448606503740891</v>
      </c>
      <c r="Z220" s="30">
        <f t="shared" si="317"/>
        <v>65.423435762731444</v>
      </c>
      <c r="AA220" s="30">
        <f t="shared" si="318"/>
        <v>77.552154748825046</v>
      </c>
      <c r="AB220" s="30">
        <f t="shared" si="375"/>
        <v>79.376968643366652</v>
      </c>
      <c r="AC220" s="30">
        <f t="shared" ref="AC220" si="376">SUM(AC663,AC683,AC703)</f>
        <v>73.429853877090011</v>
      </c>
      <c r="AD220" s="90">
        <f t="shared" si="375"/>
        <v>0</v>
      </c>
      <c r="AF220" s="29">
        <f t="shared" si="333"/>
        <v>48.623524486856759</v>
      </c>
      <c r="AG220" s="30">
        <f t="shared" si="334"/>
        <v>58.29688185123829</v>
      </c>
      <c r="AH220" s="32">
        <f t="shared" si="335"/>
        <v>9.6733573643815305</v>
      </c>
      <c r="AI220" s="33">
        <f t="shared" si="336"/>
        <v>0.19894397755959256</v>
      </c>
      <c r="AK220" s="29">
        <f t="shared" si="320"/>
        <v>47.966814001975699</v>
      </c>
      <c r="AL220" s="30">
        <f t="shared" si="321"/>
        <v>62.717156471099919</v>
      </c>
      <c r="AM220" s="32">
        <f t="shared" si="337"/>
        <v>14.75034246912422</v>
      </c>
      <c r="AN220" s="33">
        <f t="shared" si="338"/>
        <v>0.30751140712653274</v>
      </c>
      <c r="AP220" s="29">
        <f t="shared" si="339"/>
        <v>47.126270047406663</v>
      </c>
      <c r="AQ220" s="30">
        <f t="shared" si="340"/>
        <v>67.448606503740891</v>
      </c>
      <c r="AR220" s="32">
        <f t="shared" si="341"/>
        <v>20.322336456334227</v>
      </c>
      <c r="AS220" s="33">
        <f t="shared" si="342"/>
        <v>0.43123159197388156</v>
      </c>
      <c r="AU220" s="31">
        <f t="shared" si="343"/>
        <v>46.509684946182418</v>
      </c>
      <c r="AV220" s="25">
        <f t="shared" si="344"/>
        <v>65.423435762731444</v>
      </c>
      <c r="AW220" s="32">
        <f t="shared" si="345"/>
        <v>18.913750816549026</v>
      </c>
      <c r="AX220" s="33">
        <f t="shared" si="346"/>
        <v>0.40666263034107036</v>
      </c>
      <c r="AZ220" s="31">
        <f t="shared" si="322"/>
        <v>45.027709013817642</v>
      </c>
      <c r="BA220" s="25">
        <f t="shared" si="323"/>
        <v>77.552154748825046</v>
      </c>
      <c r="BB220" s="32">
        <f t="shared" si="347"/>
        <v>32.524445735007404</v>
      </c>
      <c r="BC220" s="33">
        <f t="shared" si="348"/>
        <v>0.72232068757987744</v>
      </c>
      <c r="BE220" s="31">
        <f t="shared" si="349"/>
        <v>45.150539894506295</v>
      </c>
      <c r="BF220" s="25">
        <f t="shared" si="350"/>
        <v>79.376968643366652</v>
      </c>
      <c r="BG220" s="32">
        <f t="shared" si="351"/>
        <v>34.226428748860357</v>
      </c>
      <c r="BH220" s="33">
        <f t="shared" si="352"/>
        <v>0.75805137278158807</v>
      </c>
      <c r="BJ220" s="31">
        <f t="shared" si="324"/>
        <v>45.324069160191108</v>
      </c>
      <c r="BK220" s="25">
        <f t="shared" si="325"/>
        <v>73.429853877090011</v>
      </c>
      <c r="BL220" s="32">
        <f t="shared" si="326"/>
        <v>28.105784716898903</v>
      </c>
      <c r="BM220" s="33">
        <f t="shared" si="327"/>
        <v>0.62010726833822516</v>
      </c>
      <c r="BO220" s="62"/>
      <c r="BP220" s="62"/>
      <c r="BQ220" s="62"/>
      <c r="BR220" s="63"/>
    </row>
    <row r="221" spans="1:70">
      <c r="A221" s="1"/>
      <c r="B221" s="1284"/>
      <c r="D221" s="5" t="s">
        <v>171</v>
      </c>
      <c r="E221" s="87">
        <f t="shared" ref="E221:L221" si="377">SUM(E664,E684,E704)</f>
        <v>29.778787074430817</v>
      </c>
      <c r="F221" s="87">
        <f t="shared" si="377"/>
        <v>29.614504422049258</v>
      </c>
      <c r="G221" s="87">
        <f t="shared" si="377"/>
        <v>29.381535602996614</v>
      </c>
      <c r="H221" s="87">
        <f t="shared" si="377"/>
        <v>29.107036059124972</v>
      </c>
      <c r="I221" s="87">
        <f t="shared" si="377"/>
        <v>28.971180775824173</v>
      </c>
      <c r="J221" s="87">
        <f t="shared" si="377"/>
        <v>28.882681100323385</v>
      </c>
      <c r="K221" s="87">
        <f t="shared" si="377"/>
        <v>29.028356391874265</v>
      </c>
      <c r="L221" s="87">
        <f t="shared" si="377"/>
        <v>28.984012025672307</v>
      </c>
      <c r="N221" s="29">
        <f t="shared" si="329"/>
        <v>31.976511785098847</v>
      </c>
      <c r="O221" s="29">
        <f t="shared" si="330"/>
        <v>31.254994151073475</v>
      </c>
      <c r="P221" s="29">
        <f t="shared" si="330"/>
        <v>30.52368884795057</v>
      </c>
      <c r="Q221" s="29">
        <f t="shared" si="330"/>
        <v>29.774443535882664</v>
      </c>
      <c r="R221" s="29">
        <f t="shared" si="330"/>
        <v>29.097752745135001</v>
      </c>
      <c r="S221" s="29">
        <f t="shared" si="330"/>
        <v>28.42522185848291</v>
      </c>
      <c r="T221" s="29">
        <f t="shared" si="330"/>
        <v>27.963612186652913</v>
      </c>
      <c r="U221" s="29">
        <f t="shared" si="330"/>
        <v>27.35238761491599</v>
      </c>
      <c r="W221" s="30">
        <f t="shared" ref="W221:AD221" si="378">SUM(W664,W684,W704)</f>
        <v>30.299173683322763</v>
      </c>
      <c r="X221" s="30">
        <f t="shared" si="378"/>
        <v>29.970004242851701</v>
      </c>
      <c r="Y221" s="30">
        <f t="shared" si="317"/>
        <v>27.029010722645765</v>
      </c>
      <c r="Z221" s="30">
        <f t="shared" si="317"/>
        <v>34.58171322522098</v>
      </c>
      <c r="AA221" s="30">
        <f t="shared" si="318"/>
        <v>27.747912231127629</v>
      </c>
      <c r="AB221" s="30">
        <f t="shared" si="378"/>
        <v>28.442899904184046</v>
      </c>
      <c r="AC221" s="30">
        <f t="shared" ref="AC221" si="379">SUM(AC664,AC684,AC704)</f>
        <v>32.868784140913824</v>
      </c>
      <c r="AD221" s="90">
        <f t="shared" si="378"/>
        <v>0</v>
      </c>
      <c r="AF221" s="29">
        <f t="shared" si="333"/>
        <v>31.976511785098847</v>
      </c>
      <c r="AG221" s="30">
        <f t="shared" si="334"/>
        <v>30.299173683322763</v>
      </c>
      <c r="AH221" s="32">
        <f t="shared" si="335"/>
        <v>-1.6773381017760833</v>
      </c>
      <c r="AI221" s="33">
        <f t="shared" si="336"/>
        <v>-5.2455318236360231E-2</v>
      </c>
      <c r="AK221" s="29">
        <f t="shared" si="320"/>
        <v>31.254994151073475</v>
      </c>
      <c r="AL221" s="30">
        <f t="shared" si="321"/>
        <v>29.970004242851701</v>
      </c>
      <c r="AM221" s="32">
        <f t="shared" si="337"/>
        <v>-1.2849899082217746</v>
      </c>
      <c r="AN221" s="33">
        <f t="shared" si="338"/>
        <v>-4.1113106660992313E-2</v>
      </c>
      <c r="AP221" s="29">
        <f t="shared" si="339"/>
        <v>30.52368884795057</v>
      </c>
      <c r="AQ221" s="30">
        <f t="shared" si="340"/>
        <v>27.029010722645765</v>
      </c>
      <c r="AR221" s="32">
        <f t="shared" si="341"/>
        <v>-3.4946781253048051</v>
      </c>
      <c r="AS221" s="33">
        <f t="shared" si="342"/>
        <v>-0.11449068763323623</v>
      </c>
      <c r="AU221" s="31">
        <f t="shared" si="343"/>
        <v>29.774443535882664</v>
      </c>
      <c r="AV221" s="25">
        <f t="shared" si="344"/>
        <v>34.58171322522098</v>
      </c>
      <c r="AW221" s="32">
        <f t="shared" si="345"/>
        <v>4.807269689338316</v>
      </c>
      <c r="AX221" s="33">
        <f t="shared" si="346"/>
        <v>0.16145623959503511</v>
      </c>
      <c r="AZ221" s="31">
        <f t="shared" si="322"/>
        <v>29.097752745135001</v>
      </c>
      <c r="BA221" s="25">
        <f t="shared" si="323"/>
        <v>27.747912231127629</v>
      </c>
      <c r="BB221" s="32">
        <f t="shared" si="347"/>
        <v>-1.3498405140073721</v>
      </c>
      <c r="BC221" s="33">
        <f t="shared" si="348"/>
        <v>-4.6389854427265308E-2</v>
      </c>
      <c r="BE221" s="31">
        <f t="shared" si="349"/>
        <v>28.42522185848291</v>
      </c>
      <c r="BF221" s="25">
        <f t="shared" si="350"/>
        <v>28.442899904184046</v>
      </c>
      <c r="BG221" s="32">
        <f t="shared" si="351"/>
        <v>1.7678045701135403E-2</v>
      </c>
      <c r="BH221" s="33">
        <f t="shared" si="352"/>
        <v>6.2191408000777883E-4</v>
      </c>
      <c r="BJ221" s="31">
        <f t="shared" si="324"/>
        <v>27.963612186652913</v>
      </c>
      <c r="BK221" s="25">
        <f t="shared" si="325"/>
        <v>32.868784140913824</v>
      </c>
      <c r="BL221" s="32">
        <f t="shared" si="326"/>
        <v>4.9051719542609113</v>
      </c>
      <c r="BM221" s="33">
        <f t="shared" si="327"/>
        <v>0.17541267278059877</v>
      </c>
      <c r="BO221" s="62"/>
      <c r="BP221" s="62"/>
      <c r="BQ221" s="62"/>
      <c r="BR221" s="63"/>
    </row>
    <row r="222" spans="1:70">
      <c r="A222" s="1"/>
      <c r="B222" s="1284"/>
      <c r="D222" s="5" t="s">
        <v>172</v>
      </c>
      <c r="E222" s="87">
        <f t="shared" ref="E222:L222" si="380">SUM(E665,E685,E705)</f>
        <v>26.381617689040066</v>
      </c>
      <c r="F222" s="87">
        <f t="shared" si="380"/>
        <v>25.976332823427526</v>
      </c>
      <c r="G222" s="87">
        <f t="shared" si="380"/>
        <v>25.940997046307849</v>
      </c>
      <c r="H222" s="87">
        <f t="shared" si="380"/>
        <v>25.476589185496668</v>
      </c>
      <c r="I222" s="87">
        <f t="shared" si="380"/>
        <v>25.254232782355338</v>
      </c>
      <c r="J222" s="87">
        <f t="shared" si="380"/>
        <v>25.349983251821527</v>
      </c>
      <c r="K222" s="87">
        <f t="shared" si="380"/>
        <v>25.231125053673601</v>
      </c>
      <c r="L222" s="87">
        <f t="shared" si="380"/>
        <v>25.077883199813247</v>
      </c>
      <c r="N222" s="29">
        <f t="shared" si="329"/>
        <v>26.214938207402426</v>
      </c>
      <c r="O222" s="29">
        <f t="shared" si="330"/>
        <v>25.523065546508889</v>
      </c>
      <c r="P222" s="29">
        <f t="shared" si="330"/>
        <v>24.991958049218567</v>
      </c>
      <c r="Q222" s="29">
        <f t="shared" si="330"/>
        <v>24.119328853554254</v>
      </c>
      <c r="R222" s="29">
        <f t="shared" si="330"/>
        <v>23.491347217571828</v>
      </c>
      <c r="S222" s="29">
        <f t="shared" si="330"/>
        <v>23.12463514193124</v>
      </c>
      <c r="T222" s="29">
        <f t="shared" si="330"/>
        <v>22.499689392124893</v>
      </c>
      <c r="U222" s="29">
        <f t="shared" si="330"/>
        <v>21.856578779430663</v>
      </c>
      <c r="W222" s="30">
        <f t="shared" ref="W222:AD222" si="381">SUM(W665,W685,W705)</f>
        <v>26.231134638323361</v>
      </c>
      <c r="X222" s="30">
        <f t="shared" si="381"/>
        <v>28.899565609773646</v>
      </c>
      <c r="Y222" s="30">
        <f t="shared" si="317"/>
        <v>31.2503570658142</v>
      </c>
      <c r="Z222" s="30">
        <f t="shared" si="317"/>
        <v>38.811937539790506</v>
      </c>
      <c r="AA222" s="30">
        <f t="shared" si="318"/>
        <v>30.085172369969893</v>
      </c>
      <c r="AB222" s="30">
        <f t="shared" si="381"/>
        <v>28.298501378889753</v>
      </c>
      <c r="AC222" s="30">
        <f t="shared" ref="AC222" si="382">SUM(AC665,AC685,AC705)</f>
        <v>31.40030403116188</v>
      </c>
      <c r="AD222" s="90">
        <f t="shared" si="381"/>
        <v>0</v>
      </c>
      <c r="AF222" s="29">
        <f t="shared" si="333"/>
        <v>26.214938207402426</v>
      </c>
      <c r="AG222" s="30">
        <f t="shared" si="334"/>
        <v>26.231134638323361</v>
      </c>
      <c r="AH222" s="32">
        <f t="shared" si="335"/>
        <v>1.6196430920935256E-2</v>
      </c>
      <c r="AI222" s="33">
        <f t="shared" si="336"/>
        <v>6.178321227689104E-4</v>
      </c>
      <c r="AK222" s="29">
        <f t="shared" si="320"/>
        <v>25.523065546508889</v>
      </c>
      <c r="AL222" s="30">
        <f t="shared" si="321"/>
        <v>28.899565609773646</v>
      </c>
      <c r="AM222" s="32">
        <f t="shared" si="337"/>
        <v>3.376500063264757</v>
      </c>
      <c r="AN222" s="33">
        <f t="shared" si="338"/>
        <v>0.13229210484579129</v>
      </c>
      <c r="AP222" s="29">
        <f t="shared" si="339"/>
        <v>24.991958049218567</v>
      </c>
      <c r="AQ222" s="30">
        <f t="shared" si="340"/>
        <v>31.2503570658142</v>
      </c>
      <c r="AR222" s="32">
        <f t="shared" si="341"/>
        <v>6.2583990165956322</v>
      </c>
      <c r="AS222" s="33">
        <f t="shared" si="342"/>
        <v>0.25041651415509303</v>
      </c>
      <c r="AU222" s="31">
        <f t="shared" si="343"/>
        <v>24.119328853554254</v>
      </c>
      <c r="AV222" s="25">
        <f t="shared" si="344"/>
        <v>38.811937539790506</v>
      </c>
      <c r="AW222" s="32">
        <f t="shared" si="345"/>
        <v>14.692608686236252</v>
      </c>
      <c r="AX222" s="33">
        <f t="shared" si="346"/>
        <v>0.60916324726304028</v>
      </c>
      <c r="AZ222" s="31">
        <f t="shared" si="322"/>
        <v>23.491347217571828</v>
      </c>
      <c r="BA222" s="25">
        <f t="shared" si="323"/>
        <v>30.085172369969893</v>
      </c>
      <c r="BB222" s="32">
        <f t="shared" si="347"/>
        <v>6.5938251523980647</v>
      </c>
      <c r="BC222" s="33">
        <f t="shared" si="348"/>
        <v>0.28069165600965612</v>
      </c>
      <c r="BE222" s="31">
        <f t="shared" si="349"/>
        <v>23.12463514193124</v>
      </c>
      <c r="BF222" s="25">
        <f t="shared" si="350"/>
        <v>28.298501378889753</v>
      </c>
      <c r="BG222" s="32">
        <f t="shared" si="351"/>
        <v>5.1738662369585136</v>
      </c>
      <c r="BH222" s="33">
        <f t="shared" si="352"/>
        <v>0.22373828625632627</v>
      </c>
      <c r="BJ222" s="31">
        <f t="shared" si="324"/>
        <v>22.499689392124893</v>
      </c>
      <c r="BK222" s="25">
        <f t="shared" si="325"/>
        <v>31.40030403116188</v>
      </c>
      <c r="BL222" s="32">
        <f t="shared" si="326"/>
        <v>8.9006146390369878</v>
      </c>
      <c r="BM222" s="33">
        <f t="shared" si="327"/>
        <v>0.39558833386172382</v>
      </c>
      <c r="BO222" s="62"/>
      <c r="BP222" s="62"/>
      <c r="BQ222" s="62"/>
      <c r="BR222" s="63"/>
    </row>
    <row r="223" spans="1:70">
      <c r="A223" s="1"/>
      <c r="B223" s="1284"/>
      <c r="D223" s="5" t="s">
        <v>28</v>
      </c>
      <c r="E223" s="87">
        <f t="shared" ref="E223:L223" si="383">SUM(E666,E686,E706)</f>
        <v>21.011746114504714</v>
      </c>
      <c r="F223" s="87">
        <f t="shared" si="383"/>
        <v>20.783046284266764</v>
      </c>
      <c r="G223" s="87">
        <f t="shared" si="383"/>
        <v>20.535466516566114</v>
      </c>
      <c r="H223" s="87">
        <f t="shared" si="383"/>
        <v>18.899993910897031</v>
      </c>
      <c r="I223" s="87">
        <f t="shared" si="383"/>
        <v>17.986558439414466</v>
      </c>
      <c r="J223" s="87">
        <f t="shared" si="383"/>
        <v>18.729421082202578</v>
      </c>
      <c r="K223" s="87">
        <f t="shared" si="383"/>
        <v>18.645733039914827</v>
      </c>
      <c r="L223" s="87">
        <f t="shared" si="383"/>
        <v>17.694767754740951</v>
      </c>
      <c r="N223" s="29">
        <f t="shared" si="329"/>
        <v>20.309550310627987</v>
      </c>
      <c r="O223" s="29">
        <f t="shared" si="330"/>
        <v>19.954970361761191</v>
      </c>
      <c r="P223" s="29">
        <f t="shared" si="330"/>
        <v>19.58615091215578</v>
      </c>
      <c r="Q223" s="29">
        <f t="shared" si="330"/>
        <v>17.981443625034917</v>
      </c>
      <c r="R223" s="29">
        <f t="shared" si="330"/>
        <v>16.988093212832656</v>
      </c>
      <c r="S223" s="29">
        <f t="shared" si="330"/>
        <v>17.525474382869824</v>
      </c>
      <c r="T223" s="29">
        <f t="shared" si="330"/>
        <v>17.30791807886639</v>
      </c>
      <c r="U223" s="29">
        <f t="shared" si="330"/>
        <v>16.306374909357352</v>
      </c>
      <c r="W223" s="30">
        <f t="shared" ref="W223:AD223" si="384">SUM(W666,W686,W706)</f>
        <v>13.915129609604175</v>
      </c>
      <c r="X223" s="30">
        <f t="shared" si="384"/>
        <v>13.948716797063256</v>
      </c>
      <c r="Y223" s="30">
        <f t="shared" si="317"/>
        <v>14.250862655370216</v>
      </c>
      <c r="Z223" s="30">
        <f t="shared" si="317"/>
        <v>18.548739303721195</v>
      </c>
      <c r="AA223" s="30">
        <f t="shared" si="318"/>
        <v>26.785248767167158</v>
      </c>
      <c r="AB223" s="30">
        <f t="shared" si="384"/>
        <v>18.403588593993348</v>
      </c>
      <c r="AC223" s="30">
        <f t="shared" ref="AC223" si="385">SUM(AC666,AC686,AC706)</f>
        <v>52.378860689999996</v>
      </c>
      <c r="AD223" s="90">
        <f t="shared" si="384"/>
        <v>0</v>
      </c>
      <c r="AF223" s="29">
        <f t="shared" si="333"/>
        <v>20.309550310627987</v>
      </c>
      <c r="AG223" s="30">
        <f t="shared" si="334"/>
        <v>13.915129609604175</v>
      </c>
      <c r="AH223" s="32">
        <f t="shared" si="335"/>
        <v>-6.3944207010238117</v>
      </c>
      <c r="AI223" s="33">
        <f t="shared" si="336"/>
        <v>-0.3148479706947333</v>
      </c>
      <c r="AK223" s="29">
        <f t="shared" si="320"/>
        <v>19.954970361761191</v>
      </c>
      <c r="AL223" s="30">
        <f t="shared" si="321"/>
        <v>13.948716797063256</v>
      </c>
      <c r="AM223" s="32">
        <f t="shared" si="337"/>
        <v>-6.0062535646979356</v>
      </c>
      <c r="AN223" s="33">
        <f t="shared" si="338"/>
        <v>-0.30099035256937529</v>
      </c>
      <c r="AP223" s="29">
        <f t="shared" si="339"/>
        <v>19.58615091215578</v>
      </c>
      <c r="AQ223" s="30">
        <f t="shared" si="340"/>
        <v>14.250862655370216</v>
      </c>
      <c r="AR223" s="32">
        <f t="shared" si="341"/>
        <v>-5.3352882567855637</v>
      </c>
      <c r="AS223" s="33">
        <f t="shared" si="342"/>
        <v>-0.27240105933597786</v>
      </c>
      <c r="AU223" s="31">
        <f t="shared" si="343"/>
        <v>17.981443625034917</v>
      </c>
      <c r="AV223" s="25">
        <f t="shared" si="344"/>
        <v>18.548739303721195</v>
      </c>
      <c r="AW223" s="32">
        <f t="shared" si="345"/>
        <v>0.56729567868627839</v>
      </c>
      <c r="AX223" s="33">
        <f t="shared" si="346"/>
        <v>3.154895071363753E-2</v>
      </c>
      <c r="AZ223" s="31">
        <f t="shared" si="322"/>
        <v>16.988093212832656</v>
      </c>
      <c r="BA223" s="25">
        <f t="shared" si="323"/>
        <v>26.785248767167158</v>
      </c>
      <c r="BB223" s="32">
        <f t="shared" si="347"/>
        <v>9.7971555543345019</v>
      </c>
      <c r="BC223" s="33">
        <f t="shared" si="348"/>
        <v>0.57670719318480179</v>
      </c>
      <c r="BE223" s="31">
        <f t="shared" si="349"/>
        <v>17.525474382869824</v>
      </c>
      <c r="BF223" s="25">
        <f t="shared" si="350"/>
        <v>18.403588593993348</v>
      </c>
      <c r="BG223" s="32">
        <f t="shared" si="351"/>
        <v>0.87811421112352406</v>
      </c>
      <c r="BH223" s="33">
        <f t="shared" si="352"/>
        <v>5.010501809764601E-2</v>
      </c>
      <c r="BJ223" s="31">
        <f t="shared" si="324"/>
        <v>17.30791807886639</v>
      </c>
      <c r="BK223" s="25">
        <f t="shared" si="325"/>
        <v>52.378860689999996</v>
      </c>
      <c r="BL223" s="32">
        <f t="shared" si="326"/>
        <v>35.070942611133603</v>
      </c>
      <c r="BM223" s="33">
        <f t="shared" si="327"/>
        <v>2.0262946965271649</v>
      </c>
      <c r="BO223" s="62"/>
      <c r="BP223" s="62"/>
      <c r="BQ223" s="62"/>
      <c r="BR223" s="63"/>
    </row>
    <row r="224" spans="1:70">
      <c r="A224" s="1"/>
      <c r="B224" s="1284"/>
      <c r="D224" s="5" t="s">
        <v>173</v>
      </c>
      <c r="E224" s="87">
        <f t="shared" ref="E224:L224" si="386">SUM(E667,E687,E707)</f>
        <v>37.514978512490678</v>
      </c>
      <c r="F224" s="87">
        <f t="shared" si="386"/>
        <v>37.390879727398229</v>
      </c>
      <c r="G224" s="87">
        <f t="shared" si="386"/>
        <v>37.466962060326459</v>
      </c>
      <c r="H224" s="87">
        <f t="shared" si="386"/>
        <v>37.22430360278257</v>
      </c>
      <c r="I224" s="87">
        <f t="shared" si="386"/>
        <v>37.37014771862053</v>
      </c>
      <c r="J224" s="87">
        <f t="shared" si="386"/>
        <v>37.327177136364085</v>
      </c>
      <c r="K224" s="87">
        <f t="shared" si="386"/>
        <v>38.846323796248015</v>
      </c>
      <c r="L224" s="87">
        <f t="shared" si="386"/>
        <v>37.424322412418562</v>
      </c>
      <c r="N224" s="29">
        <f t="shared" si="329"/>
        <v>44.552303307465721</v>
      </c>
      <c r="O224" s="29">
        <f t="shared" si="330"/>
        <v>43.986974687015525</v>
      </c>
      <c r="P224" s="29">
        <f t="shared" si="330"/>
        <v>43.638909550482616</v>
      </c>
      <c r="Q224" s="29">
        <f t="shared" si="330"/>
        <v>43.027317370198247</v>
      </c>
      <c r="R224" s="29">
        <f t="shared" si="330"/>
        <v>42.672077230009869</v>
      </c>
      <c r="S224" s="29">
        <f t="shared" si="330"/>
        <v>42.11951117129879</v>
      </c>
      <c r="T224" s="29">
        <f t="shared" si="330"/>
        <v>43.323965158557776</v>
      </c>
      <c r="U224" s="29">
        <f t="shared" si="330"/>
        <v>41.293466914272116</v>
      </c>
      <c r="W224" s="30">
        <f t="shared" ref="W224:AD224" si="387">SUM(W667,W687,W707)</f>
        <v>38.33329159359063</v>
      </c>
      <c r="X224" s="30">
        <f t="shared" si="387"/>
        <v>46.162731487687182</v>
      </c>
      <c r="Y224" s="30">
        <f t="shared" si="317"/>
        <v>54.147731382647279</v>
      </c>
      <c r="Z224" s="30">
        <f t="shared" si="317"/>
        <v>58.163469228587033</v>
      </c>
      <c r="AA224" s="30">
        <f t="shared" si="318"/>
        <v>52.377399733581754</v>
      </c>
      <c r="AB224" s="30">
        <f t="shared" si="387"/>
        <v>52.801888547477269</v>
      </c>
      <c r="AC224" s="30">
        <f t="shared" ref="AC224" si="388">SUM(AC667,AC687,AC707)</f>
        <v>56.534363950000014</v>
      </c>
      <c r="AD224" s="90">
        <f t="shared" si="387"/>
        <v>0</v>
      </c>
      <c r="AF224" s="29">
        <f t="shared" si="333"/>
        <v>44.552303307465721</v>
      </c>
      <c r="AG224" s="30">
        <f t="shared" si="334"/>
        <v>38.33329159359063</v>
      </c>
      <c r="AH224" s="32">
        <f t="shared" si="335"/>
        <v>-6.2190117138750907</v>
      </c>
      <c r="AI224" s="33">
        <f t="shared" si="336"/>
        <v>-0.13958900555502723</v>
      </c>
      <c r="AK224" s="29">
        <f t="shared" si="320"/>
        <v>43.986974687015525</v>
      </c>
      <c r="AL224" s="30">
        <f t="shared" si="321"/>
        <v>46.162731487687182</v>
      </c>
      <c r="AM224" s="32">
        <f t="shared" si="337"/>
        <v>2.1757568006716568</v>
      </c>
      <c r="AN224" s="33">
        <f t="shared" si="338"/>
        <v>4.9463660916737616E-2</v>
      </c>
      <c r="AP224" s="29">
        <f t="shared" si="339"/>
        <v>43.638909550482616</v>
      </c>
      <c r="AQ224" s="30">
        <f t="shared" si="340"/>
        <v>54.147731382647279</v>
      </c>
      <c r="AR224" s="32">
        <f t="shared" si="341"/>
        <v>10.508821832164664</v>
      </c>
      <c r="AS224" s="33">
        <f t="shared" si="342"/>
        <v>0.24081311701906272</v>
      </c>
      <c r="AU224" s="31">
        <f t="shared" si="343"/>
        <v>43.027317370198247</v>
      </c>
      <c r="AV224" s="25">
        <f t="shared" si="344"/>
        <v>58.163469228587033</v>
      </c>
      <c r="AW224" s="32">
        <f t="shared" si="345"/>
        <v>15.136151858388786</v>
      </c>
      <c r="AX224" s="33">
        <f t="shared" si="346"/>
        <v>0.35178005005890622</v>
      </c>
      <c r="AZ224" s="31">
        <f t="shared" si="322"/>
        <v>42.672077230009869</v>
      </c>
      <c r="BA224" s="25">
        <f t="shared" si="323"/>
        <v>52.377399733581754</v>
      </c>
      <c r="BB224" s="32">
        <f t="shared" si="347"/>
        <v>9.7053225035718853</v>
      </c>
      <c r="BC224" s="33">
        <f t="shared" si="348"/>
        <v>0.22743965453705289</v>
      </c>
      <c r="BE224" s="31">
        <f t="shared" si="349"/>
        <v>42.11951117129879</v>
      </c>
      <c r="BF224" s="25">
        <f t="shared" si="350"/>
        <v>52.801888547477269</v>
      </c>
      <c r="BG224" s="32">
        <f t="shared" si="351"/>
        <v>10.682377376178479</v>
      </c>
      <c r="BH224" s="33">
        <f t="shared" si="352"/>
        <v>0.25362063991515882</v>
      </c>
      <c r="BJ224" s="31">
        <f t="shared" si="324"/>
        <v>43.323965158557776</v>
      </c>
      <c r="BK224" s="25">
        <f t="shared" si="325"/>
        <v>56.534363950000014</v>
      </c>
      <c r="BL224" s="32">
        <f t="shared" si="326"/>
        <v>13.210398791442238</v>
      </c>
      <c r="BM224" s="33">
        <f t="shared" si="327"/>
        <v>0.30492127724446733</v>
      </c>
      <c r="BO224" s="62"/>
      <c r="BP224" s="62"/>
      <c r="BQ224" s="62"/>
      <c r="BR224" s="63"/>
    </row>
    <row r="225" spans="1:70">
      <c r="A225" s="1"/>
      <c r="B225" s="1284"/>
      <c r="D225" s="4" t="s">
        <v>174</v>
      </c>
      <c r="E225" s="88">
        <f t="shared" ref="E225:L225" si="389">SUM(E211:E224)</f>
        <v>477.47676923622487</v>
      </c>
      <c r="F225" s="88">
        <f t="shared" si="389"/>
        <v>476.41592204500802</v>
      </c>
      <c r="G225" s="88">
        <f t="shared" si="389"/>
        <v>474.0320569572574</v>
      </c>
      <c r="H225" s="88">
        <f t="shared" si="389"/>
        <v>470.93876851101373</v>
      </c>
      <c r="I225" s="88">
        <f t="shared" si="389"/>
        <v>468.43084376310151</v>
      </c>
      <c r="J225" s="88">
        <f t="shared" si="389"/>
        <v>471.61735194766362</v>
      </c>
      <c r="K225" s="88">
        <f t="shared" si="389"/>
        <v>476.44699568394276</v>
      </c>
      <c r="L225" s="88">
        <f t="shared" si="389"/>
        <v>476.86556233952604</v>
      </c>
      <c r="M225" s="1"/>
      <c r="N225" s="81">
        <f t="shared" ref="N225:U225" si="390">SUM(N211:N224)</f>
        <v>476.11836749052571</v>
      </c>
      <c r="O225" s="81">
        <f t="shared" si="390"/>
        <v>470.48472124416674</v>
      </c>
      <c r="P225" s="81">
        <f t="shared" si="390"/>
        <v>463.28165527109871</v>
      </c>
      <c r="Q225" s="81">
        <f t="shared" si="390"/>
        <v>455.93707977706646</v>
      </c>
      <c r="R225" s="81">
        <f t="shared" si="390"/>
        <v>448.80488517767691</v>
      </c>
      <c r="S225" s="81">
        <f t="shared" si="390"/>
        <v>446.50890033854205</v>
      </c>
      <c r="T225" s="81">
        <f t="shared" si="390"/>
        <v>446.27413346220231</v>
      </c>
      <c r="U225" s="81">
        <f t="shared" si="390"/>
        <v>441.42004692505691</v>
      </c>
      <c r="V225" s="1"/>
      <c r="W225" s="85">
        <f t="shared" ref="W225:AD225" si="391">SUM(W211:W224)</f>
        <v>546.83377529815095</v>
      </c>
      <c r="X225" s="85">
        <f t="shared" si="391"/>
        <v>527.22111975053542</v>
      </c>
      <c r="Y225" s="85">
        <f>SUM(Y211:Y224)</f>
        <v>521.6540122027925</v>
      </c>
      <c r="Z225" s="85">
        <f>SUM(Z211:Z224)</f>
        <v>553.3033056164968</v>
      </c>
      <c r="AA225" s="85">
        <f>SUM(AA211:AA224)</f>
        <v>569.63936271589375</v>
      </c>
      <c r="AB225" s="85">
        <f t="shared" si="391"/>
        <v>557.6801320954587</v>
      </c>
      <c r="AC225" s="85">
        <f t="shared" ref="AC225" si="392">SUM(AC211:AC224)</f>
        <v>622.05737647220849</v>
      </c>
      <c r="AD225" s="91">
        <f t="shared" si="391"/>
        <v>0</v>
      </c>
      <c r="AE225" s="1"/>
      <c r="AF225" s="81">
        <f t="shared" si="333"/>
        <v>476.11836749052571</v>
      </c>
      <c r="AG225" s="85">
        <f t="shared" si="334"/>
        <v>546.83377529815095</v>
      </c>
      <c r="AH225" s="34">
        <f t="shared" si="335"/>
        <v>70.71540780762524</v>
      </c>
      <c r="AI225" s="35">
        <f t="shared" si="336"/>
        <v>0.14852484725666965</v>
      </c>
      <c r="AK225" s="81">
        <f t="shared" si="320"/>
        <v>470.48472124416674</v>
      </c>
      <c r="AL225" s="85">
        <f t="shared" si="321"/>
        <v>527.22111975053542</v>
      </c>
      <c r="AM225" s="34">
        <f t="shared" si="337"/>
        <v>56.736398506368687</v>
      </c>
      <c r="AN225" s="35">
        <f t="shared" si="338"/>
        <v>0.12059137299152438</v>
      </c>
      <c r="AP225" s="81">
        <f t="shared" si="339"/>
        <v>463.28165527109871</v>
      </c>
      <c r="AQ225" s="85">
        <f t="shared" si="340"/>
        <v>521.6540122027925</v>
      </c>
      <c r="AR225" s="34">
        <f t="shared" si="341"/>
        <v>58.372356931693787</v>
      </c>
      <c r="AS225" s="35">
        <f t="shared" si="342"/>
        <v>0.12599755735533283</v>
      </c>
      <c r="AU225" s="949">
        <f t="shared" si="343"/>
        <v>455.93707977706646</v>
      </c>
      <c r="AV225" s="843">
        <f t="shared" si="344"/>
        <v>553.3033056164968</v>
      </c>
      <c r="AW225" s="34">
        <f t="shared" si="345"/>
        <v>97.366225839430342</v>
      </c>
      <c r="AX225" s="35">
        <f t="shared" si="346"/>
        <v>0.21355189160539043</v>
      </c>
      <c r="AZ225" s="949">
        <f t="shared" si="322"/>
        <v>448.80488517767691</v>
      </c>
      <c r="BA225" s="843">
        <f t="shared" si="323"/>
        <v>569.63936271589375</v>
      </c>
      <c r="BB225" s="34">
        <f t="shared" si="347"/>
        <v>120.83447753821685</v>
      </c>
      <c r="BC225" s="35">
        <f t="shared" si="348"/>
        <v>0.26923610131912851</v>
      </c>
      <c r="BE225" s="31">
        <f t="shared" si="349"/>
        <v>446.50890033854205</v>
      </c>
      <c r="BF225" s="25">
        <f t="shared" si="350"/>
        <v>557.6801320954587</v>
      </c>
      <c r="BG225" s="32">
        <f t="shared" si="351"/>
        <v>111.17123175691665</v>
      </c>
      <c r="BH225" s="33">
        <f t="shared" si="352"/>
        <v>0.24897875870475791</v>
      </c>
      <c r="BJ225" s="31">
        <f t="shared" si="324"/>
        <v>446.27413346220231</v>
      </c>
      <c r="BK225" s="25">
        <f t="shared" si="325"/>
        <v>622.05737647220849</v>
      </c>
      <c r="BL225" s="32">
        <f t="shared" si="326"/>
        <v>175.78324301000617</v>
      </c>
      <c r="BM225" s="33">
        <f t="shared" si="327"/>
        <v>0.39389072731210473</v>
      </c>
      <c r="BO225" s="62"/>
      <c r="BP225" s="62"/>
      <c r="BQ225" s="62"/>
      <c r="BR225" s="63"/>
    </row>
    <row r="226" spans="1:70">
      <c r="A226" s="1"/>
      <c r="B226" s="1284"/>
      <c r="D226" s="4" t="s">
        <v>724</v>
      </c>
      <c r="E226" s="88">
        <f t="shared" ref="E226:L226" si="393">E225-SUM(E214:E217)</f>
        <v>347.9331913839714</v>
      </c>
      <c r="F226" s="88">
        <f t="shared" si="393"/>
        <v>347.13330501422172</v>
      </c>
      <c r="G226" s="88">
        <f t="shared" si="393"/>
        <v>345.54247988352483</v>
      </c>
      <c r="H226" s="88">
        <f t="shared" si="393"/>
        <v>342.68069701840409</v>
      </c>
      <c r="I226" s="88">
        <f t="shared" si="393"/>
        <v>340.3471369100406</v>
      </c>
      <c r="J226" s="88">
        <f t="shared" si="393"/>
        <v>343.26114382628054</v>
      </c>
      <c r="K226" s="88">
        <f t="shared" si="393"/>
        <v>347.57143948155112</v>
      </c>
      <c r="L226" s="88">
        <f t="shared" si="393"/>
        <v>347.54470145051522</v>
      </c>
      <c r="M226" s="1"/>
      <c r="N226" s="81">
        <f t="shared" ref="N226:U226" si="394">N225-SUM(N214:N217)</f>
        <v>346.57478963827225</v>
      </c>
      <c r="O226" s="81">
        <f t="shared" si="394"/>
        <v>341.20210421338044</v>
      </c>
      <c r="P226" s="81">
        <f t="shared" si="394"/>
        <v>334.79207819736615</v>
      </c>
      <c r="Q226" s="81">
        <f t="shared" si="394"/>
        <v>327.67900828445681</v>
      </c>
      <c r="R226" s="81">
        <f t="shared" si="394"/>
        <v>320.72117832461601</v>
      </c>
      <c r="S226" s="81">
        <f t="shared" si="394"/>
        <v>318.15269221715891</v>
      </c>
      <c r="T226" s="81">
        <f t="shared" si="394"/>
        <v>317.39857725981068</v>
      </c>
      <c r="U226" s="81">
        <f t="shared" si="394"/>
        <v>312.09918603604609</v>
      </c>
      <c r="V226" s="1"/>
      <c r="W226" s="85">
        <f t="shared" ref="W226:AD226" si="395">W225-SUM(W214:W217)</f>
        <v>389.72137167178113</v>
      </c>
      <c r="X226" s="85">
        <f t="shared" si="395"/>
        <v>388.83969578301947</v>
      </c>
      <c r="Y226" s="85">
        <f>Y225-SUM(Y214:Y217)</f>
        <v>388.97145458351622</v>
      </c>
      <c r="Z226" s="85">
        <f>Z225-SUM(Z214:Z217)</f>
        <v>425.55859619071282</v>
      </c>
      <c r="AA226" s="85">
        <f>AA225-SUM(AA214:AA217)</f>
        <v>432.14153289088568</v>
      </c>
      <c r="AB226" s="85">
        <f t="shared" si="395"/>
        <v>424.45423912309946</v>
      </c>
      <c r="AC226" s="85">
        <f t="shared" ref="AC226" si="396">AC225-SUM(AC214:AC217)</f>
        <v>483.5747764722085</v>
      </c>
      <c r="AD226" s="91">
        <f t="shared" si="395"/>
        <v>0</v>
      </c>
      <c r="AE226" s="1"/>
      <c r="AF226" s="81">
        <f t="shared" si="333"/>
        <v>346.57478963827225</v>
      </c>
      <c r="AG226" s="85">
        <f t="shared" si="334"/>
        <v>389.72137167178113</v>
      </c>
      <c r="AH226" s="34">
        <f t="shared" si="335"/>
        <v>43.146582033508878</v>
      </c>
      <c r="AI226" s="35">
        <f t="shared" si="336"/>
        <v>0.12449428903510817</v>
      </c>
      <c r="AK226" s="81">
        <f t="shared" si="320"/>
        <v>341.20210421338044</v>
      </c>
      <c r="AL226" s="85">
        <f t="shared" si="321"/>
        <v>388.83969578301947</v>
      </c>
      <c r="AM226" s="34">
        <f t="shared" si="337"/>
        <v>47.637591569639028</v>
      </c>
      <c r="AN226" s="35">
        <f t="shared" si="338"/>
        <v>0.13961693372162648</v>
      </c>
      <c r="AP226" s="81">
        <f t="shared" si="339"/>
        <v>334.79207819736615</v>
      </c>
      <c r="AQ226" s="85">
        <f>Y226</f>
        <v>388.97145458351622</v>
      </c>
      <c r="AR226" s="34">
        <f t="shared" si="341"/>
        <v>54.179376386150068</v>
      </c>
      <c r="AS226" s="35">
        <f t="shared" si="342"/>
        <v>0.16182992344941424</v>
      </c>
      <c r="AU226" s="949">
        <f t="shared" si="343"/>
        <v>327.67900828445681</v>
      </c>
      <c r="AV226" s="843">
        <f t="shared" si="344"/>
        <v>425.55859619071282</v>
      </c>
      <c r="AW226" s="34">
        <f t="shared" si="345"/>
        <v>97.879587906256006</v>
      </c>
      <c r="AX226" s="35">
        <f t="shared" si="346"/>
        <v>0.2987057011027302</v>
      </c>
      <c r="AZ226" s="949">
        <f t="shared" si="322"/>
        <v>320.72117832461601</v>
      </c>
      <c r="BA226" s="843">
        <f t="shared" si="323"/>
        <v>432.14153289088568</v>
      </c>
      <c r="BB226" s="34">
        <f t="shared" si="347"/>
        <v>111.42035456626968</v>
      </c>
      <c r="BC226" s="35">
        <f t="shared" si="348"/>
        <v>0.34740566603149681</v>
      </c>
      <c r="BE226" s="31">
        <f t="shared" si="349"/>
        <v>318.15269221715891</v>
      </c>
      <c r="BF226" s="25">
        <f t="shared" si="350"/>
        <v>424.45423912309946</v>
      </c>
      <c r="BG226" s="32">
        <f t="shared" si="351"/>
        <v>106.30154690594054</v>
      </c>
      <c r="BH226" s="33">
        <f t="shared" si="352"/>
        <v>0.33412116102221495</v>
      </c>
      <c r="BJ226" s="31">
        <f t="shared" si="324"/>
        <v>317.39857725981068</v>
      </c>
      <c r="BK226" s="25">
        <f t="shared" si="325"/>
        <v>483.5747764722085</v>
      </c>
      <c r="BL226" s="32">
        <f t="shared" si="326"/>
        <v>166.17619921239782</v>
      </c>
      <c r="BM226" s="33">
        <f t="shared" si="327"/>
        <v>0.52355684970941807</v>
      </c>
      <c r="BO226" s="62"/>
      <c r="BP226" s="62"/>
      <c r="BQ226" s="62"/>
      <c r="BR226" s="63"/>
    </row>
    <row r="227" spans="1:70">
      <c r="A227" s="1"/>
      <c r="B227" s="1284"/>
    </row>
    <row r="228" spans="1:70">
      <c r="B228" s="1284"/>
      <c r="D228" s="64" t="s">
        <v>685</v>
      </c>
    </row>
    <row r="229" spans="1:70">
      <c r="B229" s="1284"/>
      <c r="E229" s="1300" t="s">
        <v>733</v>
      </c>
      <c r="F229" s="1301"/>
      <c r="G229" s="1301"/>
      <c r="H229" s="1301"/>
      <c r="I229" s="1301"/>
      <c r="J229" s="1301"/>
      <c r="K229" s="1301"/>
      <c r="L229" s="1302"/>
      <c r="N229" s="245" t="s">
        <v>291</v>
      </c>
      <c r="O229" s="246"/>
      <c r="P229" s="246"/>
      <c r="Q229" s="246"/>
      <c r="R229" s="246"/>
      <c r="S229" s="246"/>
      <c r="T229" s="246"/>
      <c r="U229" s="247"/>
      <c r="W229" s="1300" t="s">
        <v>292</v>
      </c>
      <c r="X229" s="1301"/>
      <c r="Y229" s="1301"/>
      <c r="Z229" s="1301"/>
      <c r="AA229" s="1301"/>
      <c r="AB229" s="1301"/>
      <c r="AC229" s="1301"/>
      <c r="AD229" s="1302"/>
      <c r="AF229" s="102" t="s">
        <v>297</v>
      </c>
      <c r="AG229" s="102" t="s">
        <v>298</v>
      </c>
      <c r="AH229" s="1304" t="s">
        <v>602</v>
      </c>
      <c r="AI229" s="1304"/>
      <c r="AK229" s="102" t="s">
        <v>297</v>
      </c>
      <c r="AL229" s="102" t="s">
        <v>298</v>
      </c>
      <c r="AM229" s="1304" t="s">
        <v>602</v>
      </c>
      <c r="AN229" s="1304"/>
      <c r="AP229" s="6" t="s">
        <v>297</v>
      </c>
      <c r="AQ229" s="5" t="s">
        <v>298</v>
      </c>
      <c r="AR229" s="1303" t="s">
        <v>602</v>
      </c>
      <c r="AS229" s="1303"/>
      <c r="AU229" s="6" t="s">
        <v>297</v>
      </c>
      <c r="AV229" s="5" t="s">
        <v>298</v>
      </c>
      <c r="AW229" s="1303" t="s">
        <v>602</v>
      </c>
      <c r="AX229" s="1303"/>
      <c r="AZ229" s="6" t="s">
        <v>297</v>
      </c>
      <c r="BA229" s="5" t="s">
        <v>298</v>
      </c>
      <c r="BB229" s="1303" t="s">
        <v>602</v>
      </c>
      <c r="BC229" s="1303"/>
      <c r="BE229" s="6" t="s">
        <v>297</v>
      </c>
      <c r="BF229" s="5" t="s">
        <v>298</v>
      </c>
      <c r="BG229" s="1082" t="s">
        <v>602</v>
      </c>
      <c r="BH229" s="1082"/>
      <c r="BJ229" s="6" t="s">
        <v>297</v>
      </c>
      <c r="BK229" s="5" t="s">
        <v>298</v>
      </c>
      <c r="BL229" s="1082" t="s">
        <v>602</v>
      </c>
      <c r="BM229" s="1082"/>
      <c r="BO229" s="6" t="s">
        <v>297</v>
      </c>
      <c r="BP229" s="5" t="s">
        <v>298</v>
      </c>
      <c r="BQ229" s="1303" t="s">
        <v>602</v>
      </c>
      <c r="BR229" s="1303"/>
    </row>
    <row r="230" spans="1:70">
      <c r="A230" s="1"/>
      <c r="B230" s="1284"/>
      <c r="E230" s="196" t="s">
        <v>137</v>
      </c>
      <c r="F230" s="102" t="s">
        <v>138</v>
      </c>
      <c r="G230" s="102" t="s">
        <v>139</v>
      </c>
      <c r="H230" s="102" t="s">
        <v>140</v>
      </c>
      <c r="I230" s="102" t="s">
        <v>141</v>
      </c>
      <c r="J230" s="102" t="s">
        <v>126</v>
      </c>
      <c r="K230" s="102" t="s">
        <v>142</v>
      </c>
      <c r="L230" s="197" t="s">
        <v>143</v>
      </c>
      <c r="N230" s="196" t="s">
        <v>137</v>
      </c>
      <c r="O230" s="102" t="s">
        <v>138</v>
      </c>
      <c r="P230" s="102" t="s">
        <v>139</v>
      </c>
      <c r="Q230" s="102" t="s">
        <v>140</v>
      </c>
      <c r="R230" s="102" t="s">
        <v>141</v>
      </c>
      <c r="S230" s="102" t="s">
        <v>126</v>
      </c>
      <c r="T230" s="102" t="s">
        <v>142</v>
      </c>
      <c r="U230" s="197" t="s">
        <v>143</v>
      </c>
      <c r="W230" s="196" t="s">
        <v>137</v>
      </c>
      <c r="X230" s="102" t="s">
        <v>138</v>
      </c>
      <c r="Y230" s="102" t="s">
        <v>139</v>
      </c>
      <c r="Z230" s="102" t="s">
        <v>140</v>
      </c>
      <c r="AA230" s="102" t="s">
        <v>141</v>
      </c>
      <c r="AB230" s="102" t="s">
        <v>126</v>
      </c>
      <c r="AC230" s="102" t="s">
        <v>142</v>
      </c>
      <c r="AD230" s="197" t="s">
        <v>143</v>
      </c>
      <c r="AF230" s="102" t="s">
        <v>734</v>
      </c>
      <c r="AG230" s="102" t="s">
        <v>734</v>
      </c>
      <c r="AH230" s="102" t="s">
        <v>734</v>
      </c>
      <c r="AI230" s="102" t="s">
        <v>606</v>
      </c>
      <c r="AK230" s="102" t="s">
        <v>734</v>
      </c>
      <c r="AL230" s="102" t="s">
        <v>734</v>
      </c>
      <c r="AM230" s="102" t="s">
        <v>734</v>
      </c>
      <c r="AN230" s="102" t="s">
        <v>606</v>
      </c>
      <c r="AP230" s="5" t="s">
        <v>734</v>
      </c>
      <c r="AQ230" s="5" t="s">
        <v>734</v>
      </c>
      <c r="AR230" s="5" t="s">
        <v>734</v>
      </c>
      <c r="AS230" s="5" t="s">
        <v>606</v>
      </c>
      <c r="AU230" s="5" t="s">
        <v>734</v>
      </c>
      <c r="AV230" s="5" t="s">
        <v>734</v>
      </c>
      <c r="AW230" s="5" t="s">
        <v>734</v>
      </c>
      <c r="AX230" s="5" t="s">
        <v>606</v>
      </c>
      <c r="AZ230" s="5" t="s">
        <v>734</v>
      </c>
      <c r="BA230" s="5" t="s">
        <v>734</v>
      </c>
      <c r="BB230" s="5" t="s">
        <v>734</v>
      </c>
      <c r="BC230" s="5" t="s">
        <v>606</v>
      </c>
      <c r="BE230" s="5" t="s">
        <v>734</v>
      </c>
      <c r="BF230" s="5" t="s">
        <v>734</v>
      </c>
      <c r="BG230" s="5" t="s">
        <v>734</v>
      </c>
      <c r="BH230" s="5" t="s">
        <v>606</v>
      </c>
      <c r="BJ230" s="5" t="s">
        <v>734</v>
      </c>
      <c r="BK230" s="5" t="s">
        <v>734</v>
      </c>
      <c r="BL230" s="5" t="s">
        <v>734</v>
      </c>
      <c r="BM230" s="5" t="s">
        <v>606</v>
      </c>
      <c r="BO230" s="5" t="s">
        <v>734</v>
      </c>
      <c r="BP230" s="5" t="s">
        <v>734</v>
      </c>
      <c r="BQ230" s="5" t="s">
        <v>734</v>
      </c>
      <c r="BR230" s="5" t="s">
        <v>606</v>
      </c>
    </row>
    <row r="231" spans="1:70">
      <c r="B231" s="1284"/>
      <c r="D231" s="5" t="s">
        <v>161</v>
      </c>
      <c r="E231" s="87">
        <f>E814</f>
        <v>55.301324175221673</v>
      </c>
      <c r="F231" s="87">
        <f t="shared" ref="F231:L231" si="397">F814</f>
        <v>54.505576466611529</v>
      </c>
      <c r="G231" s="87">
        <f t="shared" si="397"/>
        <v>53.630095799278571</v>
      </c>
      <c r="H231" s="87">
        <f t="shared" si="397"/>
        <v>53.595779957870846</v>
      </c>
      <c r="I231" s="87">
        <f t="shared" si="397"/>
        <v>53.295764576047752</v>
      </c>
      <c r="J231" s="87">
        <f t="shared" si="397"/>
        <v>52.759041811662222</v>
      </c>
      <c r="K231" s="87">
        <f t="shared" si="397"/>
        <v>52.210351193033183</v>
      </c>
      <c r="L231" s="87">
        <f t="shared" si="397"/>
        <v>52.053461942933438</v>
      </c>
      <c r="N231" s="29">
        <f t="shared" ref="N231:U231" si="398">N814</f>
        <v>60.806570037842818</v>
      </c>
      <c r="O231" s="29">
        <f t="shared" si="398"/>
        <v>58.556498175737616</v>
      </c>
      <c r="P231" s="29">
        <f t="shared" si="398"/>
        <v>57.641520707235799</v>
      </c>
      <c r="Q231" s="29">
        <f t="shared" si="398"/>
        <v>57.475149951480923</v>
      </c>
      <c r="R231" s="29">
        <f t="shared" si="398"/>
        <v>56.607426944277059</v>
      </c>
      <c r="S231" s="29">
        <f t="shared" si="398"/>
        <v>56.796490869677207</v>
      </c>
      <c r="T231" s="29">
        <f t="shared" si="398"/>
        <v>56.130343699168655</v>
      </c>
      <c r="U231" s="29">
        <f t="shared" si="398"/>
        <v>55.018219478800432</v>
      </c>
      <c r="W231" s="30">
        <f t="shared" ref="W231:X244" si="399">W814</f>
        <v>51.431221165101284</v>
      </c>
      <c r="X231" s="30">
        <f t="shared" si="399"/>
        <v>50.908007114322672</v>
      </c>
      <c r="Y231" s="30">
        <f t="shared" ref="Y231:Z244" si="400">Y814</f>
        <v>53.16366551637195</v>
      </c>
      <c r="Z231" s="30">
        <f t="shared" si="400"/>
        <v>55.017974017569259</v>
      </c>
      <c r="AA231" s="30">
        <f t="shared" ref="AA231:AB244" si="401">AA814</f>
        <v>57.1706755855406</v>
      </c>
      <c r="AB231" s="30">
        <f t="shared" si="401"/>
        <v>57.999999628731501</v>
      </c>
      <c r="AC231" s="30">
        <f t="shared" ref="AC231" si="402">AC814</f>
        <v>60.381610863676769</v>
      </c>
      <c r="AD231" s="90">
        <v>0</v>
      </c>
      <c r="AF231" s="29">
        <f>N231</f>
        <v>60.806570037842818</v>
      </c>
      <c r="AG231" s="30">
        <f>W231</f>
        <v>51.431221165101284</v>
      </c>
      <c r="AH231" s="32">
        <f>AG231-AF231</f>
        <v>-9.3753488727415331</v>
      </c>
      <c r="AI231" s="33">
        <f>AH231/AF231</f>
        <v>-0.15418315597980298</v>
      </c>
      <c r="AK231" s="29">
        <f t="shared" ref="AK231:AK246" si="403">O231</f>
        <v>58.556498175737616</v>
      </c>
      <c r="AL231" s="30">
        <f t="shared" ref="AL231:AL246" si="404">X231</f>
        <v>50.908007114322672</v>
      </c>
      <c r="AM231" s="32">
        <f>AL231-AK231</f>
        <v>-7.6484910614149442</v>
      </c>
      <c r="AN231" s="33">
        <f>AM231/AK231</f>
        <v>-0.13061728927950189</v>
      </c>
      <c r="AP231" s="29">
        <f>P231</f>
        <v>57.641520707235799</v>
      </c>
      <c r="AQ231" s="30">
        <f>Y231</f>
        <v>53.16366551637195</v>
      </c>
      <c r="AR231" s="32">
        <f>AQ231-AP231</f>
        <v>-4.4778551908638491</v>
      </c>
      <c r="AS231" s="33">
        <f>AR231/AP231</f>
        <v>-7.7684542946170734E-2</v>
      </c>
      <c r="AU231" s="31">
        <f>Q231</f>
        <v>57.475149951480923</v>
      </c>
      <c r="AV231" s="25">
        <f>Z231</f>
        <v>55.017974017569259</v>
      </c>
      <c r="AW231" s="32">
        <f>AV231-AU231</f>
        <v>-2.4571759339116639</v>
      </c>
      <c r="AX231" s="33">
        <f>AW231/AU231</f>
        <v>-4.2751970825408027E-2</v>
      </c>
      <c r="AZ231" s="31">
        <f t="shared" ref="AZ231:AZ246" si="405">R231</f>
        <v>56.607426944277059</v>
      </c>
      <c r="BA231" s="25">
        <f t="shared" ref="BA231:BA246" si="406">AA231</f>
        <v>57.1706755855406</v>
      </c>
      <c r="BB231" s="32">
        <f>BA231-AZ231</f>
        <v>0.56324864126354157</v>
      </c>
      <c r="BC231" s="33">
        <f>BB231/AZ231</f>
        <v>9.9500837905596648E-3</v>
      </c>
      <c r="BE231" s="31">
        <f>S231</f>
        <v>56.796490869677207</v>
      </c>
      <c r="BF231" s="25">
        <f>AB231</f>
        <v>57.999999628731501</v>
      </c>
      <c r="BG231" s="32">
        <f>BF231-BE231</f>
        <v>1.2035087590542943</v>
      </c>
      <c r="BH231" s="33">
        <f>BG231/BE231</f>
        <v>2.118984360875065E-2</v>
      </c>
      <c r="BJ231" s="31">
        <f t="shared" ref="BJ231:BJ246" si="407">T231</f>
        <v>56.130343699168655</v>
      </c>
      <c r="BK231" s="25">
        <f t="shared" ref="BK231:BK246" si="408">AC231</f>
        <v>60.381610863676769</v>
      </c>
      <c r="BL231" s="32">
        <f t="shared" ref="BL231:BL246" si="409">BK231-BJ231</f>
        <v>4.2512671645081141</v>
      </c>
      <c r="BM231" s="33">
        <f t="shared" ref="BM231:BM246" si="410">BL231/BJ231</f>
        <v>7.5739197096188093E-2</v>
      </c>
      <c r="BO231" s="62"/>
      <c r="BP231" s="62"/>
      <c r="BQ231" s="62"/>
      <c r="BR231" s="63"/>
    </row>
    <row r="232" spans="1:70">
      <c r="B232" s="1284"/>
      <c r="D232" s="5" t="s">
        <v>162</v>
      </c>
      <c r="E232" s="87">
        <f t="shared" ref="E232:L232" si="411">E815</f>
        <v>37.479404321148223</v>
      </c>
      <c r="F232" s="87">
        <f t="shared" si="411"/>
        <v>37.579243465618475</v>
      </c>
      <c r="G232" s="87">
        <f t="shared" si="411"/>
        <v>38.210076860399575</v>
      </c>
      <c r="H232" s="87">
        <f t="shared" si="411"/>
        <v>38.861642079410515</v>
      </c>
      <c r="I232" s="87">
        <f t="shared" si="411"/>
        <v>39.043955894428706</v>
      </c>
      <c r="J232" s="87">
        <f t="shared" si="411"/>
        <v>38.926592087811201</v>
      </c>
      <c r="K232" s="87">
        <f t="shared" si="411"/>
        <v>38.843640070333961</v>
      </c>
      <c r="L232" s="87">
        <f t="shared" si="411"/>
        <v>38.635245634025338</v>
      </c>
      <c r="N232" s="29">
        <f t="shared" ref="N232:N244" si="412">N815</f>
        <v>38.542920584186547</v>
      </c>
      <c r="O232" s="29">
        <f t="shared" ref="O232:U244" si="413">O815</f>
        <v>38.501738298307764</v>
      </c>
      <c r="P232" s="29">
        <f t="shared" si="413"/>
        <v>38.517277819671804</v>
      </c>
      <c r="Q232" s="29">
        <f t="shared" si="413"/>
        <v>38.693921217403229</v>
      </c>
      <c r="R232" s="29">
        <f t="shared" si="413"/>
        <v>38.351270014377761</v>
      </c>
      <c r="S232" s="29">
        <f t="shared" si="413"/>
        <v>37.61163695908413</v>
      </c>
      <c r="T232" s="29">
        <f t="shared" si="413"/>
        <v>37.207862125471031</v>
      </c>
      <c r="U232" s="29">
        <f t="shared" si="413"/>
        <v>36.598537349209572</v>
      </c>
      <c r="W232" s="30">
        <f t="shared" si="399"/>
        <v>42.294347443189707</v>
      </c>
      <c r="X232" s="30">
        <f t="shared" si="399"/>
        <v>42.302549186528964</v>
      </c>
      <c r="Y232" s="30">
        <f t="shared" si="400"/>
        <v>39.821970946587101</v>
      </c>
      <c r="Z232" s="30">
        <f t="shared" si="400"/>
        <v>40.749813267732435</v>
      </c>
      <c r="AA232" s="30">
        <f t="shared" si="401"/>
        <v>47.262575661218534</v>
      </c>
      <c r="AB232" s="30">
        <f t="shared" si="401"/>
        <v>42.846483499083178</v>
      </c>
      <c r="AC232" s="30">
        <f t="shared" ref="AC232" si="414">AC815</f>
        <v>39.23129479657031</v>
      </c>
      <c r="AD232" s="90">
        <v>0</v>
      </c>
      <c r="AF232" s="29">
        <f t="shared" ref="AF232:AF246" si="415">N232</f>
        <v>38.542920584186547</v>
      </c>
      <c r="AG232" s="30">
        <f t="shared" ref="AG232:AG246" si="416">W232</f>
        <v>42.294347443189707</v>
      </c>
      <c r="AH232" s="32">
        <f t="shared" ref="AH232:AH246" si="417">AG232-AF232</f>
        <v>3.7514268590031605</v>
      </c>
      <c r="AI232" s="33">
        <f t="shared" ref="AI232:AI246" si="418">AH232/AF232</f>
        <v>9.7331151924753265E-2</v>
      </c>
      <c r="AK232" s="29">
        <f t="shared" si="403"/>
        <v>38.501738298307764</v>
      </c>
      <c r="AL232" s="30">
        <f t="shared" si="404"/>
        <v>42.302549186528964</v>
      </c>
      <c r="AM232" s="32">
        <f t="shared" ref="AM232:AM246" si="419">AL232-AK232</f>
        <v>3.8008108882211999</v>
      </c>
      <c r="AN232" s="33">
        <f t="shared" ref="AN232:AN246" si="420">AM232/AK232</f>
        <v>9.8717903559908976E-2</v>
      </c>
      <c r="AP232" s="29">
        <f t="shared" ref="AP232:AP246" si="421">P232</f>
        <v>38.517277819671804</v>
      </c>
      <c r="AQ232" s="30">
        <f t="shared" ref="AQ232:AQ245" si="422">Y232</f>
        <v>39.821970946587101</v>
      </c>
      <c r="AR232" s="32">
        <f t="shared" ref="AR232:AR246" si="423">AQ232-AP232</f>
        <v>1.3046931269152964</v>
      </c>
      <c r="AS232" s="33">
        <f t="shared" ref="AS232:AS246" si="424">AR232/AP232</f>
        <v>3.3872931857322347E-2</v>
      </c>
      <c r="AU232" s="31">
        <f t="shared" ref="AU232:AU246" si="425">Q232</f>
        <v>38.693921217403229</v>
      </c>
      <c r="AV232" s="25">
        <f t="shared" ref="AV232:AV246" si="426">Z232</f>
        <v>40.749813267732435</v>
      </c>
      <c r="AW232" s="32">
        <f t="shared" ref="AW232:AW246" si="427">AV232-AU232</f>
        <v>2.0558920503292057</v>
      </c>
      <c r="AX232" s="33">
        <f t="shared" ref="AX232:AX246" si="428">AW232/AU232</f>
        <v>5.3132171298383025E-2</v>
      </c>
      <c r="AZ232" s="31">
        <f t="shared" si="405"/>
        <v>38.351270014377761</v>
      </c>
      <c r="BA232" s="25">
        <f t="shared" si="406"/>
        <v>47.262575661218534</v>
      </c>
      <c r="BB232" s="32">
        <f t="shared" ref="BB232:BB246" si="429">BA232-AZ232</f>
        <v>8.9113056468407734</v>
      </c>
      <c r="BC232" s="33">
        <f t="shared" ref="BC232:BC246" si="430">BB232/AZ232</f>
        <v>0.23236011854366115</v>
      </c>
      <c r="BE232" s="31">
        <f t="shared" ref="BE232:BE246" si="431">S232</f>
        <v>37.61163695908413</v>
      </c>
      <c r="BF232" s="25">
        <f t="shared" ref="BF232:BF246" si="432">AB232</f>
        <v>42.846483499083178</v>
      </c>
      <c r="BG232" s="32">
        <f t="shared" ref="BG232:BG246" si="433">BF232-BE232</f>
        <v>5.2348465399990474</v>
      </c>
      <c r="BH232" s="33">
        <f t="shared" ref="BH232:BH246" si="434">BG232/BE232</f>
        <v>0.13918156621828989</v>
      </c>
      <c r="BJ232" s="31">
        <f t="shared" si="407"/>
        <v>37.207862125471031</v>
      </c>
      <c r="BK232" s="25">
        <f t="shared" si="408"/>
        <v>39.23129479657031</v>
      </c>
      <c r="BL232" s="32">
        <f t="shared" si="409"/>
        <v>2.0234326710992789</v>
      </c>
      <c r="BM232" s="33">
        <f t="shared" si="410"/>
        <v>5.4381857906157877E-2</v>
      </c>
      <c r="BO232" s="62"/>
      <c r="BP232" s="62"/>
      <c r="BQ232" s="62"/>
      <c r="BR232" s="63"/>
    </row>
    <row r="233" spans="1:70">
      <c r="B233" s="1284"/>
      <c r="D233" s="5" t="s">
        <v>163</v>
      </c>
      <c r="E233" s="87">
        <f t="shared" ref="E233:L233" si="435">E816</f>
        <v>44.287310977497462</v>
      </c>
      <c r="F233" s="87">
        <f t="shared" si="435"/>
        <v>44.354483101945398</v>
      </c>
      <c r="G233" s="87">
        <f t="shared" si="435"/>
        <v>44.911574225453812</v>
      </c>
      <c r="H233" s="87">
        <f t="shared" si="435"/>
        <v>45.722177491087848</v>
      </c>
      <c r="I233" s="87">
        <f t="shared" si="435"/>
        <v>45.842210735802638</v>
      </c>
      <c r="J233" s="87">
        <f t="shared" si="435"/>
        <v>45.670408370941779</v>
      </c>
      <c r="K233" s="87">
        <f t="shared" si="435"/>
        <v>45.296057684481681</v>
      </c>
      <c r="L233" s="87">
        <f t="shared" si="435"/>
        <v>44.824998924072638</v>
      </c>
      <c r="N233" s="29">
        <f t="shared" si="412"/>
        <v>48.20966716079981</v>
      </c>
      <c r="O233" s="29">
        <f t="shared" si="413"/>
        <v>47.66485281582888</v>
      </c>
      <c r="P233" s="29">
        <f t="shared" si="413"/>
        <v>47.639384165445989</v>
      </c>
      <c r="Q233" s="29">
        <f t="shared" si="413"/>
        <v>48.064229587721677</v>
      </c>
      <c r="R233" s="29">
        <f t="shared" si="413"/>
        <v>47.301363300302299</v>
      </c>
      <c r="S233" s="29">
        <f t="shared" si="413"/>
        <v>46.500073210736922</v>
      </c>
      <c r="T233" s="29">
        <f t="shared" si="413"/>
        <v>45.803192587360179</v>
      </c>
      <c r="U233" s="29">
        <f t="shared" si="413"/>
        <v>44.965096708739267</v>
      </c>
      <c r="W233" s="30">
        <f t="shared" si="399"/>
        <v>48.795576220835301</v>
      </c>
      <c r="X233" s="30">
        <f t="shared" si="399"/>
        <v>48.528332392581909</v>
      </c>
      <c r="Y233" s="30">
        <f t="shared" si="400"/>
        <v>48.310048464418202</v>
      </c>
      <c r="Z233" s="30">
        <f t="shared" si="400"/>
        <v>46.472736882226187</v>
      </c>
      <c r="AA233" s="30">
        <f t="shared" si="401"/>
        <v>47.842654541854834</v>
      </c>
      <c r="AB233" s="30">
        <f t="shared" si="401"/>
        <v>45.11648060662624</v>
      </c>
      <c r="AC233" s="30">
        <f t="shared" ref="AC233" si="436">AC816</f>
        <v>45.052037215005988</v>
      </c>
      <c r="AD233" s="90">
        <v>0</v>
      </c>
      <c r="AF233" s="29">
        <f t="shared" si="415"/>
        <v>48.20966716079981</v>
      </c>
      <c r="AG233" s="30">
        <f t="shared" si="416"/>
        <v>48.795576220835301</v>
      </c>
      <c r="AH233" s="32">
        <f t="shared" si="417"/>
        <v>0.58590906003549037</v>
      </c>
      <c r="AI233" s="33">
        <f t="shared" si="418"/>
        <v>1.2153352108431565E-2</v>
      </c>
      <c r="AK233" s="29">
        <f t="shared" si="403"/>
        <v>47.66485281582888</v>
      </c>
      <c r="AL233" s="30">
        <f t="shared" si="404"/>
        <v>48.528332392581909</v>
      </c>
      <c r="AM233" s="32">
        <f t="shared" si="419"/>
        <v>0.86347957675302922</v>
      </c>
      <c r="AN233" s="33">
        <f t="shared" si="420"/>
        <v>1.8115645506961028E-2</v>
      </c>
      <c r="AP233" s="29">
        <f t="shared" si="421"/>
        <v>47.639384165445989</v>
      </c>
      <c r="AQ233" s="30">
        <f t="shared" si="422"/>
        <v>48.310048464418202</v>
      </c>
      <c r="AR233" s="32">
        <f t="shared" si="423"/>
        <v>0.67066429897221269</v>
      </c>
      <c r="AS233" s="33">
        <f t="shared" si="424"/>
        <v>1.4077938048969615E-2</v>
      </c>
      <c r="AU233" s="31">
        <f t="shared" si="425"/>
        <v>48.064229587721677</v>
      </c>
      <c r="AV233" s="25">
        <f t="shared" si="426"/>
        <v>46.472736882226187</v>
      </c>
      <c r="AW233" s="32">
        <f t="shared" si="427"/>
        <v>-1.5914927054954902</v>
      </c>
      <c r="AX233" s="33">
        <f t="shared" si="428"/>
        <v>-3.3111790600759937E-2</v>
      </c>
      <c r="AZ233" s="31">
        <f t="shared" si="405"/>
        <v>47.301363300302299</v>
      </c>
      <c r="BA233" s="25">
        <f t="shared" si="406"/>
        <v>47.842654541854834</v>
      </c>
      <c r="BB233" s="32">
        <f t="shared" si="429"/>
        <v>0.5412912415525355</v>
      </c>
      <c r="BC233" s="33">
        <f t="shared" si="430"/>
        <v>1.1443459633838422E-2</v>
      </c>
      <c r="BE233" s="31">
        <f t="shared" si="431"/>
        <v>46.500073210736922</v>
      </c>
      <c r="BF233" s="25">
        <f t="shared" si="432"/>
        <v>45.11648060662624</v>
      </c>
      <c r="BG233" s="32">
        <f t="shared" si="433"/>
        <v>-1.3835926041106816</v>
      </c>
      <c r="BH233" s="33">
        <f t="shared" si="434"/>
        <v>-2.9754632811872832E-2</v>
      </c>
      <c r="BJ233" s="31">
        <f t="shared" si="407"/>
        <v>45.803192587360179</v>
      </c>
      <c r="BK233" s="25">
        <f t="shared" si="408"/>
        <v>45.052037215005988</v>
      </c>
      <c r="BL233" s="32">
        <f t="shared" si="409"/>
        <v>-0.75115537235419083</v>
      </c>
      <c r="BM233" s="33">
        <f t="shared" si="410"/>
        <v>-1.6399629150774069E-2</v>
      </c>
      <c r="BO233" s="62"/>
      <c r="BP233" s="62"/>
      <c r="BQ233" s="62"/>
      <c r="BR233" s="63"/>
    </row>
    <row r="234" spans="1:70">
      <c r="B234" s="1284"/>
      <c r="D234" s="5" t="s">
        <v>164</v>
      </c>
      <c r="E234" s="87">
        <f t="shared" ref="E234:L234" si="437">E817</f>
        <v>67.84005104149054</v>
      </c>
      <c r="F234" s="87">
        <f t="shared" si="437"/>
        <v>67.401078247069989</v>
      </c>
      <c r="G234" s="87">
        <f t="shared" si="437"/>
        <v>67.044400484970822</v>
      </c>
      <c r="H234" s="87">
        <f t="shared" si="437"/>
        <v>67.323772361112376</v>
      </c>
      <c r="I234" s="87">
        <f t="shared" si="437"/>
        <v>68.203228603306442</v>
      </c>
      <c r="J234" s="87">
        <f t="shared" si="437"/>
        <v>68.832658749280256</v>
      </c>
      <c r="K234" s="87">
        <f t="shared" si="437"/>
        <v>69.292793895842266</v>
      </c>
      <c r="L234" s="87">
        <f t="shared" si="437"/>
        <v>69.83794744138622</v>
      </c>
      <c r="N234" s="29">
        <f t="shared" si="412"/>
        <v>67.84005104149054</v>
      </c>
      <c r="O234" s="29">
        <f t="shared" si="413"/>
        <v>67.401078247069989</v>
      </c>
      <c r="P234" s="29">
        <f t="shared" si="413"/>
        <v>67.044400484970822</v>
      </c>
      <c r="Q234" s="29">
        <f t="shared" si="413"/>
        <v>67.323772361112376</v>
      </c>
      <c r="R234" s="29">
        <f t="shared" si="413"/>
        <v>68.203228603306442</v>
      </c>
      <c r="S234" s="29">
        <f t="shared" si="413"/>
        <v>68.832658749280256</v>
      </c>
      <c r="T234" s="29">
        <f t="shared" si="413"/>
        <v>69.292793895842266</v>
      </c>
      <c r="U234" s="29">
        <f t="shared" si="413"/>
        <v>69.83794744138622</v>
      </c>
      <c r="W234" s="30">
        <f t="shared" si="399"/>
        <v>82.401884556706364</v>
      </c>
      <c r="X234" s="30">
        <f t="shared" si="399"/>
        <v>81.207292199764524</v>
      </c>
      <c r="Y234" s="30">
        <f t="shared" si="400"/>
        <v>79.619155401079624</v>
      </c>
      <c r="Z234" s="30">
        <f t="shared" si="400"/>
        <v>78.394115750349428</v>
      </c>
      <c r="AA234" s="30">
        <f t="shared" si="401"/>
        <v>73.08394210609616</v>
      </c>
      <c r="AB234" s="30">
        <f t="shared" si="401"/>
        <v>70.07869616918282</v>
      </c>
      <c r="AC234" s="30">
        <f t="shared" ref="AC234" si="438">AC817</f>
        <v>69.809899999999985</v>
      </c>
      <c r="AD234" s="90">
        <v>0</v>
      </c>
      <c r="AF234" s="29">
        <f t="shared" si="415"/>
        <v>67.84005104149054</v>
      </c>
      <c r="AG234" s="30">
        <f t="shared" si="416"/>
        <v>82.401884556706364</v>
      </c>
      <c r="AH234" s="32">
        <f t="shared" si="417"/>
        <v>14.561833515215824</v>
      </c>
      <c r="AI234" s="33">
        <f t="shared" si="418"/>
        <v>0.21464950706345873</v>
      </c>
      <c r="AK234" s="29">
        <f t="shared" si="403"/>
        <v>67.401078247069989</v>
      </c>
      <c r="AL234" s="30">
        <f t="shared" si="404"/>
        <v>81.207292199764524</v>
      </c>
      <c r="AM234" s="32">
        <f t="shared" si="419"/>
        <v>13.806213952694534</v>
      </c>
      <c r="AN234" s="33">
        <f t="shared" si="420"/>
        <v>0.20483669270223742</v>
      </c>
      <c r="AP234" s="29">
        <f t="shared" si="421"/>
        <v>67.044400484970822</v>
      </c>
      <c r="AQ234" s="30">
        <f t="shared" si="422"/>
        <v>79.619155401079624</v>
      </c>
      <c r="AR234" s="32">
        <f t="shared" si="423"/>
        <v>12.574754916108802</v>
      </c>
      <c r="AS234" s="33">
        <f t="shared" si="424"/>
        <v>0.18755861526314421</v>
      </c>
      <c r="AU234" s="31">
        <f t="shared" si="425"/>
        <v>67.323772361112376</v>
      </c>
      <c r="AV234" s="25">
        <f t="shared" si="426"/>
        <v>78.394115750349428</v>
      </c>
      <c r="AW234" s="32">
        <f t="shared" si="427"/>
        <v>11.070343389237053</v>
      </c>
      <c r="AX234" s="33">
        <f t="shared" si="428"/>
        <v>0.16443438923561443</v>
      </c>
      <c r="AZ234" s="31">
        <f t="shared" si="405"/>
        <v>68.203228603306442</v>
      </c>
      <c r="BA234" s="25">
        <f t="shared" si="406"/>
        <v>73.08394210609616</v>
      </c>
      <c r="BB234" s="32">
        <f t="shared" si="429"/>
        <v>4.8807135027897175</v>
      </c>
      <c r="BC234" s="33">
        <f t="shared" si="430"/>
        <v>7.1561326387899235E-2</v>
      </c>
      <c r="BE234" s="31">
        <f t="shared" si="431"/>
        <v>68.832658749280256</v>
      </c>
      <c r="BF234" s="25">
        <f t="shared" si="432"/>
        <v>70.07869616918282</v>
      </c>
      <c r="BG234" s="32">
        <f t="shared" si="433"/>
        <v>1.2460374199025637</v>
      </c>
      <c r="BH234" s="33">
        <f t="shared" si="434"/>
        <v>1.8102415954048743E-2</v>
      </c>
      <c r="BJ234" s="31">
        <f t="shared" si="407"/>
        <v>69.292793895842266</v>
      </c>
      <c r="BK234" s="25">
        <f t="shared" si="408"/>
        <v>69.809899999999985</v>
      </c>
      <c r="BL234" s="32">
        <f t="shared" si="409"/>
        <v>0.51710610415771896</v>
      </c>
      <c r="BM234" s="33">
        <f t="shared" si="410"/>
        <v>7.4626245397899386E-3</v>
      </c>
      <c r="BO234" s="62"/>
      <c r="BP234" s="62"/>
      <c r="BQ234" s="62"/>
      <c r="BR234" s="63"/>
    </row>
    <row r="235" spans="1:70">
      <c r="B235" s="1284"/>
      <c r="D235" s="5" t="s">
        <v>165</v>
      </c>
      <c r="E235" s="87">
        <f t="shared" ref="E235:L235" si="439">E818</f>
        <v>67.560774206357266</v>
      </c>
      <c r="F235" s="87">
        <f t="shared" si="439"/>
        <v>67.203383215637245</v>
      </c>
      <c r="G235" s="87">
        <f t="shared" si="439"/>
        <v>66.73887561552506</v>
      </c>
      <c r="H235" s="87">
        <f t="shared" si="439"/>
        <v>66.979275185896299</v>
      </c>
      <c r="I235" s="87">
        <f t="shared" si="439"/>
        <v>67.727537549307812</v>
      </c>
      <c r="J235" s="87">
        <f t="shared" si="439"/>
        <v>68.063068970337028</v>
      </c>
      <c r="K235" s="87">
        <f t="shared" si="439"/>
        <v>68.942707837205461</v>
      </c>
      <c r="L235" s="87">
        <f t="shared" si="439"/>
        <v>69.296000528749687</v>
      </c>
      <c r="N235" s="29">
        <f t="shared" si="412"/>
        <v>67.560774206357266</v>
      </c>
      <c r="O235" s="29">
        <f t="shared" si="413"/>
        <v>67.203383215637245</v>
      </c>
      <c r="P235" s="29">
        <f t="shared" si="413"/>
        <v>66.73887561552506</v>
      </c>
      <c r="Q235" s="29">
        <f t="shared" si="413"/>
        <v>66.979275185896299</v>
      </c>
      <c r="R235" s="29">
        <f t="shared" si="413"/>
        <v>67.727537549307812</v>
      </c>
      <c r="S235" s="29">
        <f t="shared" si="413"/>
        <v>68.063068970337028</v>
      </c>
      <c r="T235" s="29">
        <f t="shared" si="413"/>
        <v>68.942707837205461</v>
      </c>
      <c r="U235" s="29">
        <f t="shared" si="413"/>
        <v>69.296000528749687</v>
      </c>
      <c r="W235" s="30">
        <f t="shared" si="399"/>
        <v>83.104239788307595</v>
      </c>
      <c r="X235" s="30">
        <f t="shared" si="399"/>
        <v>81.624139085708237</v>
      </c>
      <c r="Y235" s="30">
        <f t="shared" si="400"/>
        <v>79.035340828931837</v>
      </c>
      <c r="Z235" s="30">
        <f t="shared" si="400"/>
        <v>76.841774421477695</v>
      </c>
      <c r="AA235" s="30">
        <f t="shared" si="401"/>
        <v>73.577590490706783</v>
      </c>
      <c r="AB235" s="30">
        <f t="shared" si="401"/>
        <v>69.371372252496059</v>
      </c>
      <c r="AC235" s="30">
        <f t="shared" ref="AC235" si="440">AC818</f>
        <v>68.353700000000003</v>
      </c>
      <c r="AD235" s="90">
        <v>0</v>
      </c>
      <c r="AF235" s="29">
        <f t="shared" si="415"/>
        <v>67.560774206357266</v>
      </c>
      <c r="AG235" s="30">
        <f t="shared" si="416"/>
        <v>83.104239788307595</v>
      </c>
      <c r="AH235" s="32">
        <f t="shared" si="417"/>
        <v>15.543465581950329</v>
      </c>
      <c r="AI235" s="33">
        <f t="shared" si="418"/>
        <v>0.23006642189259779</v>
      </c>
      <c r="AK235" s="29">
        <f t="shared" si="403"/>
        <v>67.203383215637245</v>
      </c>
      <c r="AL235" s="30">
        <f t="shared" si="404"/>
        <v>81.624139085708237</v>
      </c>
      <c r="AM235" s="32">
        <f t="shared" si="419"/>
        <v>14.420755870070991</v>
      </c>
      <c r="AN235" s="33">
        <f t="shared" si="420"/>
        <v>0.21458377807853418</v>
      </c>
      <c r="AP235" s="29">
        <f t="shared" si="421"/>
        <v>66.73887561552506</v>
      </c>
      <c r="AQ235" s="30">
        <f t="shared" si="422"/>
        <v>79.035340828931837</v>
      </c>
      <c r="AR235" s="32">
        <f t="shared" si="423"/>
        <v>12.296465213406776</v>
      </c>
      <c r="AS235" s="33">
        <f t="shared" si="424"/>
        <v>0.18424741352019908</v>
      </c>
      <c r="AU235" s="31">
        <f t="shared" si="425"/>
        <v>66.979275185896299</v>
      </c>
      <c r="AV235" s="25">
        <f t="shared" si="426"/>
        <v>76.841774421477695</v>
      </c>
      <c r="AW235" s="32">
        <f t="shared" si="427"/>
        <v>9.8624992355813959</v>
      </c>
      <c r="AX235" s="33">
        <f t="shared" si="428"/>
        <v>0.14724702840107956</v>
      </c>
      <c r="AZ235" s="31">
        <f t="shared" si="405"/>
        <v>67.727537549307812</v>
      </c>
      <c r="BA235" s="25">
        <f t="shared" si="406"/>
        <v>73.577590490706783</v>
      </c>
      <c r="BB235" s="32">
        <f t="shared" si="429"/>
        <v>5.850052941398971</v>
      </c>
      <c r="BC235" s="33">
        <f t="shared" si="430"/>
        <v>8.6376282869282603E-2</v>
      </c>
      <c r="BE235" s="31">
        <f t="shared" si="431"/>
        <v>68.063068970337028</v>
      </c>
      <c r="BF235" s="25">
        <f t="shared" si="432"/>
        <v>69.371372252496059</v>
      </c>
      <c r="BG235" s="32">
        <f t="shared" si="433"/>
        <v>1.3083032821590308</v>
      </c>
      <c r="BH235" s="33">
        <f t="shared" si="434"/>
        <v>1.922192610399643E-2</v>
      </c>
      <c r="BJ235" s="31">
        <f t="shared" si="407"/>
        <v>68.942707837205461</v>
      </c>
      <c r="BK235" s="25">
        <f t="shared" si="408"/>
        <v>68.353700000000003</v>
      </c>
      <c r="BL235" s="32">
        <f t="shared" si="409"/>
        <v>-0.58900783720545746</v>
      </c>
      <c r="BM235" s="33">
        <f t="shared" si="410"/>
        <v>-8.5434392654881314E-3</v>
      </c>
      <c r="BO235" s="62"/>
      <c r="BP235" s="62"/>
      <c r="BQ235" s="62"/>
      <c r="BR235" s="63"/>
    </row>
    <row r="236" spans="1:70">
      <c r="B236" s="1284"/>
      <c r="D236" s="5" t="s">
        <v>166</v>
      </c>
      <c r="E236" s="87">
        <f t="shared" ref="E236:L236" si="441">E819</f>
        <v>36.998458320049622</v>
      </c>
      <c r="F236" s="87">
        <f t="shared" si="441"/>
        <v>37.725326918501501</v>
      </c>
      <c r="G236" s="87">
        <f t="shared" si="441"/>
        <v>37.396164238028511</v>
      </c>
      <c r="H236" s="87">
        <f t="shared" si="441"/>
        <v>38.00046470204326</v>
      </c>
      <c r="I236" s="87">
        <f t="shared" si="441"/>
        <v>37.905501961361331</v>
      </c>
      <c r="J236" s="87">
        <f t="shared" si="441"/>
        <v>38.532511672834815</v>
      </c>
      <c r="K236" s="87">
        <f t="shared" si="441"/>
        <v>38.795444416662917</v>
      </c>
      <c r="L236" s="87">
        <f t="shared" si="441"/>
        <v>38.867945767980657</v>
      </c>
      <c r="N236" s="29">
        <f t="shared" si="412"/>
        <v>36.998458320049622</v>
      </c>
      <c r="O236" s="29">
        <f t="shared" si="413"/>
        <v>37.725326918501501</v>
      </c>
      <c r="P236" s="29">
        <f t="shared" si="413"/>
        <v>37.396164238028511</v>
      </c>
      <c r="Q236" s="29">
        <f t="shared" si="413"/>
        <v>38.00046470204326</v>
      </c>
      <c r="R236" s="29">
        <f t="shared" si="413"/>
        <v>37.905501961361331</v>
      </c>
      <c r="S236" s="29">
        <f t="shared" si="413"/>
        <v>38.532511672834815</v>
      </c>
      <c r="T236" s="29">
        <f t="shared" si="413"/>
        <v>38.795444416662917</v>
      </c>
      <c r="U236" s="29">
        <f t="shared" si="413"/>
        <v>38.867945767980657</v>
      </c>
      <c r="W236" s="30">
        <f t="shared" si="399"/>
        <v>39.435279275959488</v>
      </c>
      <c r="X236" s="30">
        <f t="shared" si="399"/>
        <v>39.372069039820069</v>
      </c>
      <c r="Y236" s="30">
        <f t="shared" si="400"/>
        <v>38.299956363583448</v>
      </c>
      <c r="Z236" s="30">
        <f t="shared" si="400"/>
        <v>38.071571971140948</v>
      </c>
      <c r="AA236" s="30">
        <f t="shared" si="401"/>
        <v>36.374316884689755</v>
      </c>
      <c r="AB236" s="30">
        <f t="shared" si="401"/>
        <v>35.227735088572139</v>
      </c>
      <c r="AC236" s="30">
        <f t="shared" ref="AC236" si="442">AC819</f>
        <v>35.818800000000003</v>
      </c>
      <c r="AD236" s="90">
        <v>0</v>
      </c>
      <c r="AF236" s="29">
        <f t="shared" si="415"/>
        <v>36.998458320049622</v>
      </c>
      <c r="AG236" s="30">
        <f t="shared" si="416"/>
        <v>39.435279275959488</v>
      </c>
      <c r="AH236" s="32">
        <f t="shared" si="417"/>
        <v>2.4368209559098659</v>
      </c>
      <c r="AI236" s="33">
        <f t="shared" si="418"/>
        <v>6.5862770141136992E-2</v>
      </c>
      <c r="AK236" s="29">
        <f t="shared" si="403"/>
        <v>37.725326918501501</v>
      </c>
      <c r="AL236" s="30">
        <f t="shared" si="404"/>
        <v>39.372069039820069</v>
      </c>
      <c r="AM236" s="32">
        <f t="shared" si="419"/>
        <v>1.6467421213185673</v>
      </c>
      <c r="AN236" s="33">
        <f t="shared" si="420"/>
        <v>4.3650837668711133E-2</v>
      </c>
      <c r="AP236" s="29">
        <f t="shared" si="421"/>
        <v>37.396164238028511</v>
      </c>
      <c r="AQ236" s="30">
        <f t="shared" si="422"/>
        <v>38.299956363583448</v>
      </c>
      <c r="AR236" s="32">
        <f t="shared" si="423"/>
        <v>0.90379212555493638</v>
      </c>
      <c r="AS236" s="33">
        <f t="shared" si="424"/>
        <v>2.416804354056884E-2</v>
      </c>
      <c r="AU236" s="31">
        <f t="shared" si="425"/>
        <v>38.00046470204326</v>
      </c>
      <c r="AV236" s="25">
        <f t="shared" si="426"/>
        <v>38.071571971140948</v>
      </c>
      <c r="AW236" s="32">
        <f t="shared" si="427"/>
        <v>7.110726909768772E-2</v>
      </c>
      <c r="AX236" s="33">
        <f t="shared" si="428"/>
        <v>1.8712210404591271E-3</v>
      </c>
      <c r="AZ236" s="31">
        <f t="shared" si="405"/>
        <v>37.905501961361331</v>
      </c>
      <c r="BA236" s="25">
        <f t="shared" si="406"/>
        <v>36.374316884689755</v>
      </c>
      <c r="BB236" s="32">
        <f t="shared" si="429"/>
        <v>-1.5311850766715764</v>
      </c>
      <c r="BC236" s="33">
        <f t="shared" si="430"/>
        <v>-4.0394797521277455E-2</v>
      </c>
      <c r="BE236" s="31">
        <f t="shared" si="431"/>
        <v>38.532511672834815</v>
      </c>
      <c r="BF236" s="25">
        <f t="shared" si="432"/>
        <v>35.227735088572139</v>
      </c>
      <c r="BG236" s="32">
        <f t="shared" si="433"/>
        <v>-3.304776584262676</v>
      </c>
      <c r="BH236" s="33">
        <f t="shared" si="434"/>
        <v>-8.5765927026047545E-2</v>
      </c>
      <c r="BJ236" s="31">
        <f t="shared" si="407"/>
        <v>38.795444416662917</v>
      </c>
      <c r="BK236" s="25">
        <f t="shared" si="408"/>
        <v>35.818800000000003</v>
      </c>
      <c r="BL236" s="32">
        <f t="shared" si="409"/>
        <v>-2.9766444166629142</v>
      </c>
      <c r="BM236" s="33">
        <f t="shared" si="410"/>
        <v>-7.6726648229461306E-2</v>
      </c>
      <c r="BO236" s="62"/>
      <c r="BP236" s="62"/>
      <c r="BQ236" s="62"/>
      <c r="BR236" s="63"/>
    </row>
    <row r="237" spans="1:70">
      <c r="B237" s="1284"/>
      <c r="D237" s="5" t="s">
        <v>167</v>
      </c>
      <c r="E237" s="87">
        <f t="shared" ref="E237:L237" si="443">E820</f>
        <v>53.812400399583822</v>
      </c>
      <c r="F237" s="87">
        <f t="shared" si="443"/>
        <v>54.35643530120192</v>
      </c>
      <c r="G237" s="87">
        <f t="shared" si="443"/>
        <v>54.886382200763151</v>
      </c>
      <c r="H237" s="87">
        <f t="shared" si="443"/>
        <v>55.154309670984354</v>
      </c>
      <c r="I237" s="87">
        <f t="shared" si="443"/>
        <v>55.572270268782226</v>
      </c>
      <c r="J237" s="87">
        <f t="shared" si="443"/>
        <v>56.746187344990759</v>
      </c>
      <c r="K237" s="87">
        <f t="shared" si="443"/>
        <v>56.866664823281916</v>
      </c>
      <c r="L237" s="87">
        <f t="shared" si="443"/>
        <v>57.775478689479854</v>
      </c>
      <c r="N237" s="29">
        <f t="shared" si="412"/>
        <v>53.812400399583822</v>
      </c>
      <c r="O237" s="29">
        <f t="shared" si="413"/>
        <v>54.35643530120192</v>
      </c>
      <c r="P237" s="29">
        <f t="shared" si="413"/>
        <v>54.886382200763151</v>
      </c>
      <c r="Q237" s="29">
        <f t="shared" si="413"/>
        <v>55.154309670984354</v>
      </c>
      <c r="R237" s="29">
        <f t="shared" si="413"/>
        <v>55.572270268782226</v>
      </c>
      <c r="S237" s="29">
        <f t="shared" si="413"/>
        <v>56.746187344990759</v>
      </c>
      <c r="T237" s="29">
        <f t="shared" si="413"/>
        <v>56.866664823281916</v>
      </c>
      <c r="U237" s="29">
        <f t="shared" si="413"/>
        <v>57.775478689479854</v>
      </c>
      <c r="W237" s="30">
        <f t="shared" si="399"/>
        <v>62.116819611229104</v>
      </c>
      <c r="X237" s="30">
        <f t="shared" si="399"/>
        <v>60.937026220414197</v>
      </c>
      <c r="Y237" s="30">
        <f t="shared" si="400"/>
        <v>57.064535433672368</v>
      </c>
      <c r="Z237" s="30">
        <f t="shared" si="400"/>
        <v>56.704939771556042</v>
      </c>
      <c r="AA237" s="30">
        <f t="shared" si="401"/>
        <v>56.47954178955554</v>
      </c>
      <c r="AB237" s="30">
        <f t="shared" si="401"/>
        <v>53.436116476695219</v>
      </c>
      <c r="AC237" s="30">
        <f t="shared" ref="AC237" si="444">AC820</f>
        <v>53.139599999999994</v>
      </c>
      <c r="AD237" s="90">
        <v>0</v>
      </c>
      <c r="AF237" s="29">
        <f t="shared" si="415"/>
        <v>53.812400399583822</v>
      </c>
      <c r="AG237" s="30">
        <f t="shared" si="416"/>
        <v>62.116819611229104</v>
      </c>
      <c r="AH237" s="32">
        <f t="shared" si="417"/>
        <v>8.304419211645282</v>
      </c>
      <c r="AI237" s="33">
        <f t="shared" si="418"/>
        <v>0.15432166470889314</v>
      </c>
      <c r="AK237" s="29">
        <f t="shared" si="403"/>
        <v>54.35643530120192</v>
      </c>
      <c r="AL237" s="30">
        <f t="shared" si="404"/>
        <v>60.937026220414197</v>
      </c>
      <c r="AM237" s="32">
        <f t="shared" si="419"/>
        <v>6.5805909192122769</v>
      </c>
      <c r="AN237" s="33">
        <f t="shared" si="420"/>
        <v>0.12106369526897155</v>
      </c>
      <c r="AP237" s="29">
        <f t="shared" si="421"/>
        <v>54.886382200763151</v>
      </c>
      <c r="AQ237" s="30">
        <f t="shared" si="422"/>
        <v>57.064535433672368</v>
      </c>
      <c r="AR237" s="32">
        <f t="shared" si="423"/>
        <v>2.1781532329092173</v>
      </c>
      <c r="AS237" s="33">
        <f t="shared" si="424"/>
        <v>3.9684765976048093E-2</v>
      </c>
      <c r="AU237" s="31">
        <f t="shared" si="425"/>
        <v>55.154309670984354</v>
      </c>
      <c r="AV237" s="25">
        <f t="shared" si="426"/>
        <v>56.704939771556042</v>
      </c>
      <c r="AW237" s="32">
        <f t="shared" si="427"/>
        <v>1.5506301005716878</v>
      </c>
      <c r="AX237" s="33">
        <f t="shared" si="428"/>
        <v>2.8114395952406331E-2</v>
      </c>
      <c r="AZ237" s="31">
        <f t="shared" si="405"/>
        <v>55.572270268782226</v>
      </c>
      <c r="BA237" s="25">
        <f t="shared" si="406"/>
        <v>56.47954178955554</v>
      </c>
      <c r="BB237" s="32">
        <f t="shared" si="429"/>
        <v>0.90727152077331397</v>
      </c>
      <c r="BC237" s="33">
        <f t="shared" si="430"/>
        <v>1.6325975461955789E-2</v>
      </c>
      <c r="BE237" s="31">
        <f t="shared" si="431"/>
        <v>56.746187344990759</v>
      </c>
      <c r="BF237" s="25">
        <f t="shared" si="432"/>
        <v>53.436116476695219</v>
      </c>
      <c r="BG237" s="32">
        <f t="shared" si="433"/>
        <v>-3.31007086829554</v>
      </c>
      <c r="BH237" s="33">
        <f t="shared" si="434"/>
        <v>-5.8331158852520423E-2</v>
      </c>
      <c r="BJ237" s="31">
        <f t="shared" si="407"/>
        <v>56.866664823281916</v>
      </c>
      <c r="BK237" s="25">
        <f t="shared" si="408"/>
        <v>53.139599999999994</v>
      </c>
      <c r="BL237" s="32">
        <f t="shared" si="409"/>
        <v>-3.7270648232819212</v>
      </c>
      <c r="BM237" s="33">
        <f t="shared" si="410"/>
        <v>-6.5540415195160434E-2</v>
      </c>
      <c r="BO237" s="62"/>
      <c r="BP237" s="62"/>
      <c r="BQ237" s="62"/>
      <c r="BR237" s="63"/>
    </row>
    <row r="238" spans="1:70">
      <c r="B238" s="1284"/>
      <c r="D238" s="5" t="s">
        <v>168</v>
      </c>
      <c r="E238" s="87">
        <f t="shared" ref="E238:L238" si="445">E821</f>
        <v>59.385868853090933</v>
      </c>
      <c r="F238" s="87">
        <f t="shared" si="445"/>
        <v>56.775294209326276</v>
      </c>
      <c r="G238" s="87">
        <f t="shared" si="445"/>
        <v>55.427933689182005</v>
      </c>
      <c r="H238" s="87">
        <f t="shared" si="445"/>
        <v>56.169003610823047</v>
      </c>
      <c r="I238" s="87">
        <f t="shared" si="445"/>
        <v>55.38753291512559</v>
      </c>
      <c r="J238" s="87">
        <f t="shared" si="445"/>
        <v>53.961224916468574</v>
      </c>
      <c r="K238" s="87">
        <f t="shared" si="445"/>
        <v>53.797370392720303</v>
      </c>
      <c r="L238" s="87">
        <f t="shared" si="445"/>
        <v>52.905635023318091</v>
      </c>
      <c r="N238" s="29">
        <f t="shared" si="412"/>
        <v>55.998198330495043</v>
      </c>
      <c r="O238" s="29">
        <f t="shared" si="413"/>
        <v>54.099764247714916</v>
      </c>
      <c r="P238" s="29">
        <f t="shared" si="413"/>
        <v>51.767472589994703</v>
      </c>
      <c r="Q238" s="29">
        <f t="shared" si="413"/>
        <v>51.525393272475284</v>
      </c>
      <c r="R238" s="29">
        <f t="shared" si="413"/>
        <v>50.541274836957768</v>
      </c>
      <c r="S238" s="29">
        <f t="shared" si="413"/>
        <v>49.173459386207838</v>
      </c>
      <c r="T238" s="29">
        <f t="shared" si="413"/>
        <v>47.771254269820709</v>
      </c>
      <c r="U238" s="29">
        <f t="shared" si="413"/>
        <v>46.398696899570169</v>
      </c>
      <c r="W238" s="30">
        <f t="shared" si="399"/>
        <v>51.82850539585089</v>
      </c>
      <c r="X238" s="30">
        <f t="shared" si="399"/>
        <v>56.459205718884647</v>
      </c>
      <c r="Y238" s="30">
        <f t="shared" si="400"/>
        <v>67.471435050384144</v>
      </c>
      <c r="Z238" s="30">
        <f t="shared" si="400"/>
        <v>68.267438802147495</v>
      </c>
      <c r="AA238" s="30">
        <f t="shared" si="401"/>
        <v>67.409370734199783</v>
      </c>
      <c r="AB238" s="30">
        <f t="shared" si="401"/>
        <v>62.958776824851455</v>
      </c>
      <c r="AC238" s="30">
        <f t="shared" ref="AC238" si="446">AC821</f>
        <v>63.725115674744757</v>
      </c>
      <c r="AD238" s="90">
        <v>0</v>
      </c>
      <c r="AF238" s="29">
        <f t="shared" si="415"/>
        <v>55.998198330495043</v>
      </c>
      <c r="AG238" s="30">
        <f t="shared" si="416"/>
        <v>51.82850539585089</v>
      </c>
      <c r="AH238" s="32">
        <f t="shared" si="417"/>
        <v>-4.1696929346441536</v>
      </c>
      <c r="AI238" s="33">
        <f t="shared" si="418"/>
        <v>-7.4461198019891581E-2</v>
      </c>
      <c r="AK238" s="29">
        <f t="shared" si="403"/>
        <v>54.099764247714916</v>
      </c>
      <c r="AL238" s="30">
        <f t="shared" si="404"/>
        <v>56.459205718884647</v>
      </c>
      <c r="AM238" s="32">
        <f t="shared" si="419"/>
        <v>2.3594414711697311</v>
      </c>
      <c r="AN238" s="33">
        <f t="shared" si="420"/>
        <v>4.3612786561623325E-2</v>
      </c>
      <c r="AP238" s="29">
        <f t="shared" si="421"/>
        <v>51.767472589994703</v>
      </c>
      <c r="AQ238" s="30">
        <f t="shared" si="422"/>
        <v>67.471435050384144</v>
      </c>
      <c r="AR238" s="32">
        <f t="shared" si="423"/>
        <v>15.703962460389441</v>
      </c>
      <c r="AS238" s="33">
        <f t="shared" si="424"/>
        <v>0.30335578838795013</v>
      </c>
      <c r="AU238" s="31">
        <f t="shared" si="425"/>
        <v>51.525393272475284</v>
      </c>
      <c r="AV238" s="25">
        <f t="shared" si="426"/>
        <v>68.267438802147495</v>
      </c>
      <c r="AW238" s="32">
        <f t="shared" si="427"/>
        <v>16.742045529672211</v>
      </c>
      <c r="AX238" s="33">
        <f t="shared" si="428"/>
        <v>0.32492804938212405</v>
      </c>
      <c r="AZ238" s="31">
        <f t="shared" si="405"/>
        <v>50.541274836957768</v>
      </c>
      <c r="BA238" s="25">
        <f t="shared" si="406"/>
        <v>67.409370734199783</v>
      </c>
      <c r="BB238" s="32">
        <f t="shared" si="429"/>
        <v>16.868095897242014</v>
      </c>
      <c r="BC238" s="33">
        <f t="shared" si="430"/>
        <v>0.33374892009861606</v>
      </c>
      <c r="BE238" s="31">
        <f t="shared" si="431"/>
        <v>49.173459386207838</v>
      </c>
      <c r="BF238" s="25">
        <f t="shared" si="432"/>
        <v>62.958776824851455</v>
      </c>
      <c r="BG238" s="32">
        <f t="shared" si="433"/>
        <v>13.785317438643617</v>
      </c>
      <c r="BH238" s="33">
        <f t="shared" si="434"/>
        <v>0.28034060671578698</v>
      </c>
      <c r="BJ238" s="31">
        <f t="shared" si="407"/>
        <v>47.771254269820709</v>
      </c>
      <c r="BK238" s="25">
        <f t="shared" si="408"/>
        <v>63.725115674744757</v>
      </c>
      <c r="BL238" s="32">
        <f t="shared" si="409"/>
        <v>15.953861404924048</v>
      </c>
      <c r="BM238" s="33">
        <f t="shared" si="410"/>
        <v>0.33396362831115434</v>
      </c>
      <c r="BO238" s="62"/>
      <c r="BP238" s="62"/>
      <c r="BQ238" s="62"/>
      <c r="BR238" s="63"/>
    </row>
    <row r="239" spans="1:70">
      <c r="B239" s="1284"/>
      <c r="D239" s="5" t="s">
        <v>169</v>
      </c>
      <c r="E239" s="87">
        <f t="shared" ref="E239:L239" si="447">E822</f>
        <v>67.113829972012851</v>
      </c>
      <c r="F239" s="87">
        <f t="shared" si="447"/>
        <v>65.777059865991646</v>
      </c>
      <c r="G239" s="87">
        <f t="shared" si="447"/>
        <v>63.564552179617827</v>
      </c>
      <c r="H239" s="87">
        <f t="shared" si="447"/>
        <v>63.158627375547297</v>
      </c>
      <c r="I239" s="87">
        <f t="shared" si="447"/>
        <v>61.508204646038763</v>
      </c>
      <c r="J239" s="87">
        <f t="shared" si="447"/>
        <v>60.399564617928903</v>
      </c>
      <c r="K239" s="87">
        <f t="shared" si="447"/>
        <v>61.010212215366359</v>
      </c>
      <c r="L239" s="87">
        <f t="shared" si="447"/>
        <v>60.200175023918341</v>
      </c>
      <c r="N239" s="29">
        <f t="shared" si="412"/>
        <v>59.493356927471041</v>
      </c>
      <c r="O239" s="29">
        <f t="shared" si="413"/>
        <v>58.498695014514588</v>
      </c>
      <c r="P239" s="29">
        <f t="shared" si="413"/>
        <v>56.021798612308601</v>
      </c>
      <c r="Q239" s="29">
        <f t="shared" si="413"/>
        <v>55.239120995821104</v>
      </c>
      <c r="R239" s="29">
        <f t="shared" si="413"/>
        <v>53.72207341812117</v>
      </c>
      <c r="S239" s="29">
        <f t="shared" si="413"/>
        <v>52.575125939584154</v>
      </c>
      <c r="T239" s="29">
        <f t="shared" si="413"/>
        <v>52.419031479292926</v>
      </c>
      <c r="U239" s="29">
        <f t="shared" si="413"/>
        <v>51.19384479036782</v>
      </c>
      <c r="W239" s="30">
        <f t="shared" si="399"/>
        <v>51.129429580696829</v>
      </c>
      <c r="X239" s="30">
        <f t="shared" si="399"/>
        <v>54.269374034351934</v>
      </c>
      <c r="Y239" s="30">
        <f t="shared" si="400"/>
        <v>58.471107455279856</v>
      </c>
      <c r="Z239" s="30">
        <f t="shared" si="400"/>
        <v>56.415662567976312</v>
      </c>
      <c r="AA239" s="30">
        <f t="shared" si="401"/>
        <v>58.526552910240859</v>
      </c>
      <c r="AB239" s="30">
        <f t="shared" si="401"/>
        <v>62.479959317903891</v>
      </c>
      <c r="AC239" s="30">
        <f t="shared" ref="AC239" si="448">AC822</f>
        <v>57.000200434809699</v>
      </c>
      <c r="AD239" s="90">
        <v>0</v>
      </c>
      <c r="AF239" s="29">
        <f t="shared" si="415"/>
        <v>59.493356927471041</v>
      </c>
      <c r="AG239" s="30">
        <f t="shared" si="416"/>
        <v>51.129429580696829</v>
      </c>
      <c r="AH239" s="32">
        <f t="shared" si="417"/>
        <v>-8.3639273467742115</v>
      </c>
      <c r="AI239" s="33">
        <f t="shared" si="418"/>
        <v>-0.1405859036828391</v>
      </c>
      <c r="AK239" s="29">
        <f t="shared" si="403"/>
        <v>58.498695014514588</v>
      </c>
      <c r="AL239" s="30">
        <f t="shared" si="404"/>
        <v>54.269374034351934</v>
      </c>
      <c r="AM239" s="32">
        <f t="shared" si="419"/>
        <v>-4.2293209801626546</v>
      </c>
      <c r="AN239" s="33">
        <f t="shared" si="420"/>
        <v>-7.2297697907847056E-2</v>
      </c>
      <c r="AP239" s="29">
        <f t="shared" si="421"/>
        <v>56.021798612308601</v>
      </c>
      <c r="AQ239" s="30">
        <f t="shared" si="422"/>
        <v>58.471107455279856</v>
      </c>
      <c r="AR239" s="32">
        <f t="shared" si="423"/>
        <v>2.4493088429712557</v>
      </c>
      <c r="AS239" s="33">
        <f t="shared" si="424"/>
        <v>4.3720639173357702E-2</v>
      </c>
      <c r="AU239" s="31">
        <f t="shared" si="425"/>
        <v>55.239120995821104</v>
      </c>
      <c r="AV239" s="25">
        <f t="shared" si="426"/>
        <v>56.415662567976312</v>
      </c>
      <c r="AW239" s="32">
        <f t="shared" si="427"/>
        <v>1.1765415721552088</v>
      </c>
      <c r="AX239" s="33">
        <f t="shared" si="428"/>
        <v>2.1299063977578778E-2</v>
      </c>
      <c r="AZ239" s="31">
        <f t="shared" si="405"/>
        <v>53.72207341812117</v>
      </c>
      <c r="BA239" s="25">
        <f t="shared" si="406"/>
        <v>58.526552910240859</v>
      </c>
      <c r="BB239" s="32">
        <f t="shared" si="429"/>
        <v>4.8044794921196896</v>
      </c>
      <c r="BC239" s="33">
        <f t="shared" si="430"/>
        <v>8.9432130713314476E-2</v>
      </c>
      <c r="BE239" s="31">
        <f t="shared" si="431"/>
        <v>52.575125939584154</v>
      </c>
      <c r="BF239" s="25">
        <f t="shared" si="432"/>
        <v>62.479959317903891</v>
      </c>
      <c r="BG239" s="32">
        <f t="shared" si="433"/>
        <v>9.9048333783197364</v>
      </c>
      <c r="BH239" s="33">
        <f t="shared" si="434"/>
        <v>0.1883939068391717</v>
      </c>
      <c r="BJ239" s="31">
        <f t="shared" si="407"/>
        <v>52.419031479292926</v>
      </c>
      <c r="BK239" s="25">
        <f t="shared" si="408"/>
        <v>57.000200434809699</v>
      </c>
      <c r="BL239" s="32">
        <f t="shared" si="409"/>
        <v>4.5811689555167732</v>
      </c>
      <c r="BM239" s="33">
        <f t="shared" si="410"/>
        <v>8.7395146881461758E-2</v>
      </c>
      <c r="BO239" s="62"/>
      <c r="BP239" s="62"/>
      <c r="BQ239" s="62"/>
      <c r="BR239" s="63"/>
    </row>
    <row r="240" spans="1:70">
      <c r="B240" s="1284"/>
      <c r="D240" s="5" t="s">
        <v>170</v>
      </c>
      <c r="E240" s="87">
        <f t="shared" ref="E240:L240" si="449">E823</f>
        <v>89.985476357314568</v>
      </c>
      <c r="F240" s="87">
        <f t="shared" si="449"/>
        <v>87.358895453968998</v>
      </c>
      <c r="G240" s="87">
        <f t="shared" si="449"/>
        <v>85.399282642569716</v>
      </c>
      <c r="H240" s="87">
        <f t="shared" si="449"/>
        <v>86.007071180709957</v>
      </c>
      <c r="I240" s="87">
        <f t="shared" si="449"/>
        <v>84.45142883702249</v>
      </c>
      <c r="J240" s="87">
        <f t="shared" si="449"/>
        <v>82.101449164951404</v>
      </c>
      <c r="K240" s="87">
        <f t="shared" si="449"/>
        <v>82.167550406283667</v>
      </c>
      <c r="L240" s="87">
        <f t="shared" si="449"/>
        <v>81.429269963332203</v>
      </c>
      <c r="N240" s="29">
        <f t="shared" si="412"/>
        <v>85.395926006736417</v>
      </c>
      <c r="O240" s="29">
        <f t="shared" si="413"/>
        <v>83.027847520132724</v>
      </c>
      <c r="P240" s="29">
        <f t="shared" si="413"/>
        <v>80.421742291791034</v>
      </c>
      <c r="Q240" s="29">
        <f t="shared" si="413"/>
        <v>80.238560144804751</v>
      </c>
      <c r="R240" s="29">
        <f t="shared" si="413"/>
        <v>78.432852626047904</v>
      </c>
      <c r="S240" s="29">
        <f t="shared" si="413"/>
        <v>76.045706250040155</v>
      </c>
      <c r="T240" s="29">
        <f t="shared" si="413"/>
        <v>75.330690155455613</v>
      </c>
      <c r="U240" s="29">
        <f t="shared" si="413"/>
        <v>73.836118750960253</v>
      </c>
      <c r="W240" s="30">
        <f t="shared" si="399"/>
        <v>82.044010542616022</v>
      </c>
      <c r="X240" s="30">
        <f t="shared" si="399"/>
        <v>85.510177223907093</v>
      </c>
      <c r="Y240" s="30">
        <f t="shared" si="400"/>
        <v>98.828517883219817</v>
      </c>
      <c r="Z240" s="30">
        <f t="shared" si="400"/>
        <v>91.820310376487029</v>
      </c>
      <c r="AA240" s="30">
        <f t="shared" si="401"/>
        <v>96.561883430393479</v>
      </c>
      <c r="AB240" s="30">
        <f t="shared" si="401"/>
        <v>95.703986607844556</v>
      </c>
      <c r="AC240" s="30">
        <f t="shared" ref="AC240" si="450">AC823</f>
        <v>101.1097913689681</v>
      </c>
      <c r="AD240" s="90">
        <v>0</v>
      </c>
      <c r="AF240" s="29">
        <f t="shared" si="415"/>
        <v>85.395926006736417</v>
      </c>
      <c r="AG240" s="30">
        <f t="shared" si="416"/>
        <v>82.044010542616022</v>
      </c>
      <c r="AH240" s="32">
        <f t="shared" si="417"/>
        <v>-3.3519154641203954</v>
      </c>
      <c r="AI240" s="33">
        <f t="shared" si="418"/>
        <v>-3.9251468083570884E-2</v>
      </c>
      <c r="AK240" s="29">
        <f t="shared" si="403"/>
        <v>83.027847520132724</v>
      </c>
      <c r="AL240" s="30">
        <f t="shared" si="404"/>
        <v>85.510177223907093</v>
      </c>
      <c r="AM240" s="32">
        <f t="shared" si="419"/>
        <v>2.4823297037743686</v>
      </c>
      <c r="AN240" s="33">
        <f t="shared" si="420"/>
        <v>2.9897555795029486E-2</v>
      </c>
      <c r="AP240" s="29">
        <f t="shared" si="421"/>
        <v>80.421742291791034</v>
      </c>
      <c r="AQ240" s="30">
        <f t="shared" si="422"/>
        <v>98.828517883219817</v>
      </c>
      <c r="AR240" s="32">
        <f t="shared" si="423"/>
        <v>18.406775591428783</v>
      </c>
      <c r="AS240" s="33">
        <f t="shared" si="424"/>
        <v>0.22887810021131108</v>
      </c>
      <c r="AU240" s="31">
        <f t="shared" si="425"/>
        <v>80.238560144804751</v>
      </c>
      <c r="AV240" s="25">
        <f t="shared" si="426"/>
        <v>91.820310376487029</v>
      </c>
      <c r="AW240" s="32">
        <f t="shared" si="427"/>
        <v>11.581750231682278</v>
      </c>
      <c r="AX240" s="33">
        <f t="shared" si="428"/>
        <v>0.14434145142660773</v>
      </c>
      <c r="AZ240" s="31">
        <f t="shared" si="405"/>
        <v>78.432852626047904</v>
      </c>
      <c r="BA240" s="25">
        <f t="shared" si="406"/>
        <v>96.561883430393479</v>
      </c>
      <c r="BB240" s="32">
        <f t="shared" si="429"/>
        <v>18.129030804345575</v>
      </c>
      <c r="BC240" s="33">
        <f t="shared" si="430"/>
        <v>0.23114078090186463</v>
      </c>
      <c r="BE240" s="31">
        <f t="shared" si="431"/>
        <v>76.045706250040155</v>
      </c>
      <c r="BF240" s="25">
        <f t="shared" si="432"/>
        <v>95.703986607844556</v>
      </c>
      <c r="BG240" s="32">
        <f t="shared" si="433"/>
        <v>19.658280357804401</v>
      </c>
      <c r="BH240" s="33">
        <f t="shared" si="434"/>
        <v>0.25850611858567651</v>
      </c>
      <c r="BJ240" s="31">
        <f t="shared" si="407"/>
        <v>75.330690155455613</v>
      </c>
      <c r="BK240" s="25">
        <f t="shared" si="408"/>
        <v>101.1097913689681</v>
      </c>
      <c r="BL240" s="32">
        <f t="shared" si="409"/>
        <v>25.77910121351249</v>
      </c>
      <c r="BM240" s="33">
        <f t="shared" si="410"/>
        <v>0.34221246560085461</v>
      </c>
      <c r="BO240" s="62"/>
      <c r="BP240" s="62"/>
      <c r="BQ240" s="62"/>
      <c r="BR240" s="63"/>
    </row>
    <row r="241" spans="1:70">
      <c r="B241" s="1284"/>
      <c r="D241" s="5" t="s">
        <v>171</v>
      </c>
      <c r="E241" s="87">
        <f t="shared" ref="E241:L241" si="451">E824</f>
        <v>46.093657068688323</v>
      </c>
      <c r="F241" s="87">
        <f t="shared" si="451"/>
        <v>44.710964431761084</v>
      </c>
      <c r="G241" s="87">
        <f t="shared" si="451"/>
        <v>44.626906719680996</v>
      </c>
      <c r="H241" s="87">
        <f t="shared" si="451"/>
        <v>44.446374346039313</v>
      </c>
      <c r="I241" s="87">
        <f t="shared" si="451"/>
        <v>44.552413367674781</v>
      </c>
      <c r="J241" s="87">
        <f t="shared" si="451"/>
        <v>44.806893559763431</v>
      </c>
      <c r="K241" s="87">
        <f t="shared" si="451"/>
        <v>45.114340928842942</v>
      </c>
      <c r="L241" s="87">
        <f t="shared" si="451"/>
        <v>45.118043273918687</v>
      </c>
      <c r="N241" s="29">
        <f t="shared" si="412"/>
        <v>48.949625968036138</v>
      </c>
      <c r="O241" s="29">
        <f t="shared" si="413"/>
        <v>48.181038614302921</v>
      </c>
      <c r="P241" s="29">
        <f t="shared" si="413"/>
        <v>47.70039945810165</v>
      </c>
      <c r="Q241" s="29">
        <f t="shared" si="413"/>
        <v>47.116650284881594</v>
      </c>
      <c r="R241" s="29">
        <f t="shared" si="413"/>
        <v>46.998735272872203</v>
      </c>
      <c r="S241" s="29">
        <f t="shared" si="413"/>
        <v>46.897385695382674</v>
      </c>
      <c r="T241" s="29">
        <f t="shared" si="413"/>
        <v>46.84105486222137</v>
      </c>
      <c r="U241" s="29">
        <f t="shared" si="413"/>
        <v>46.358243601667255</v>
      </c>
      <c r="W241" s="30">
        <f t="shared" si="399"/>
        <v>57.679157975293116</v>
      </c>
      <c r="X241" s="30">
        <f t="shared" si="399"/>
        <v>55.504923007240741</v>
      </c>
      <c r="Y241" s="30">
        <f t="shared" si="400"/>
        <v>66.533817543441415</v>
      </c>
      <c r="Z241" s="30">
        <f t="shared" si="400"/>
        <v>62.138630168173954</v>
      </c>
      <c r="AA241" s="30">
        <f t="shared" si="401"/>
        <v>57.840529764966206</v>
      </c>
      <c r="AB241" s="30">
        <f t="shared" si="401"/>
        <v>58.845982526645194</v>
      </c>
      <c r="AC241" s="30">
        <f t="shared" ref="AC241" si="452">AC824</f>
        <v>57.952652956293996</v>
      </c>
      <c r="AD241" s="90">
        <v>0</v>
      </c>
      <c r="AF241" s="29">
        <f t="shared" si="415"/>
        <v>48.949625968036138</v>
      </c>
      <c r="AG241" s="30">
        <f t="shared" si="416"/>
        <v>57.679157975293116</v>
      </c>
      <c r="AH241" s="32">
        <f t="shared" si="417"/>
        <v>8.729532007256978</v>
      </c>
      <c r="AI241" s="33">
        <f t="shared" si="418"/>
        <v>0.17833705231899666</v>
      </c>
      <c r="AK241" s="29">
        <f t="shared" si="403"/>
        <v>48.181038614302921</v>
      </c>
      <c r="AL241" s="30">
        <f t="shared" si="404"/>
        <v>55.504923007240741</v>
      </c>
      <c r="AM241" s="32">
        <f t="shared" si="419"/>
        <v>7.3238843929378206</v>
      </c>
      <c r="AN241" s="33">
        <f t="shared" si="420"/>
        <v>0.15200760721591561</v>
      </c>
      <c r="AP241" s="29">
        <f t="shared" si="421"/>
        <v>47.70039945810165</v>
      </c>
      <c r="AQ241" s="30">
        <f t="shared" si="422"/>
        <v>66.533817543441415</v>
      </c>
      <c r="AR241" s="32">
        <f t="shared" si="423"/>
        <v>18.833418085339765</v>
      </c>
      <c r="AS241" s="33">
        <f t="shared" si="424"/>
        <v>0.39482726139185431</v>
      </c>
      <c r="AU241" s="31">
        <f t="shared" si="425"/>
        <v>47.116650284881594</v>
      </c>
      <c r="AV241" s="25">
        <f t="shared" si="426"/>
        <v>62.138630168173954</v>
      </c>
      <c r="AW241" s="32">
        <f t="shared" si="427"/>
        <v>15.02197988329236</v>
      </c>
      <c r="AX241" s="33">
        <f t="shared" si="428"/>
        <v>0.31882529408319354</v>
      </c>
      <c r="AZ241" s="31">
        <f t="shared" si="405"/>
        <v>46.998735272872203</v>
      </c>
      <c r="BA241" s="25">
        <f t="shared" si="406"/>
        <v>57.840529764966206</v>
      </c>
      <c r="BB241" s="32">
        <f t="shared" si="429"/>
        <v>10.841794492094003</v>
      </c>
      <c r="BC241" s="33">
        <f t="shared" si="430"/>
        <v>0.23068268601584938</v>
      </c>
      <c r="BE241" s="31">
        <f t="shared" si="431"/>
        <v>46.897385695382674</v>
      </c>
      <c r="BF241" s="25">
        <f t="shared" si="432"/>
        <v>58.845982526645194</v>
      </c>
      <c r="BG241" s="32">
        <f t="shared" si="433"/>
        <v>11.94859683126252</v>
      </c>
      <c r="BH241" s="33">
        <f t="shared" si="434"/>
        <v>0.25478172512372965</v>
      </c>
      <c r="BJ241" s="31">
        <f t="shared" si="407"/>
        <v>46.84105486222137</v>
      </c>
      <c r="BK241" s="25">
        <f t="shared" si="408"/>
        <v>57.952652956293996</v>
      </c>
      <c r="BL241" s="32">
        <f t="shared" si="409"/>
        <v>11.111598094072626</v>
      </c>
      <c r="BM241" s="33">
        <f t="shared" si="410"/>
        <v>0.2372192113682402</v>
      </c>
      <c r="BO241" s="62"/>
      <c r="BP241" s="62"/>
      <c r="BQ241" s="62"/>
      <c r="BR241" s="63"/>
    </row>
    <row r="242" spans="1:70">
      <c r="B242" s="1284"/>
      <c r="D242" s="5" t="s">
        <v>172</v>
      </c>
      <c r="E242" s="87">
        <f t="shared" ref="E242:L242" si="453">E825</f>
        <v>50.762151947072546</v>
      </c>
      <c r="F242" s="87">
        <f t="shared" si="453"/>
        <v>50.555617577839918</v>
      </c>
      <c r="G242" s="87">
        <f t="shared" si="453"/>
        <v>49.106304138277991</v>
      </c>
      <c r="H242" s="87">
        <f t="shared" si="453"/>
        <v>47.952080290889391</v>
      </c>
      <c r="I242" s="87">
        <f t="shared" si="453"/>
        <v>48.289394964704613</v>
      </c>
      <c r="J242" s="87">
        <f t="shared" si="453"/>
        <v>47.162631516756669</v>
      </c>
      <c r="K242" s="87">
        <f t="shared" si="453"/>
        <v>48.252535353195896</v>
      </c>
      <c r="L242" s="87">
        <f t="shared" si="453"/>
        <v>49.032155875877287</v>
      </c>
      <c r="N242" s="29">
        <f t="shared" si="412"/>
        <v>48.673427954634811</v>
      </c>
      <c r="O242" s="29">
        <f t="shared" si="413"/>
        <v>48.338198064192241</v>
      </c>
      <c r="P242" s="29">
        <f t="shared" si="413"/>
        <v>46.552048884609015</v>
      </c>
      <c r="Q242" s="29">
        <f t="shared" si="413"/>
        <v>44.900316127784201</v>
      </c>
      <c r="R242" s="29">
        <f t="shared" si="413"/>
        <v>44.78223167948277</v>
      </c>
      <c r="S242" s="29">
        <f t="shared" si="413"/>
        <v>43.68658094498592</v>
      </c>
      <c r="T242" s="29">
        <f t="shared" si="413"/>
        <v>44.047448855713462</v>
      </c>
      <c r="U242" s="29">
        <f t="shared" si="413"/>
        <v>43.931112368109076</v>
      </c>
      <c r="W242" s="30">
        <f t="shared" si="399"/>
        <v>65.684032251099978</v>
      </c>
      <c r="X242" s="30">
        <f t="shared" si="399"/>
        <v>61.80436514345363</v>
      </c>
      <c r="Y242" s="30">
        <f t="shared" si="400"/>
        <v>69.08113607471978</v>
      </c>
      <c r="Z242" s="30">
        <f t="shared" si="400"/>
        <v>60.94731394977866</v>
      </c>
      <c r="AA242" s="30">
        <f t="shared" si="401"/>
        <v>60.087981156649946</v>
      </c>
      <c r="AB242" s="30">
        <f t="shared" si="401"/>
        <v>58.35988737027165</v>
      </c>
      <c r="AC242" s="30">
        <f t="shared" ref="AC242" si="454">AC825</f>
        <v>61.228443278367401</v>
      </c>
      <c r="AD242" s="90">
        <v>0</v>
      </c>
      <c r="AF242" s="29">
        <f t="shared" si="415"/>
        <v>48.673427954634811</v>
      </c>
      <c r="AG242" s="30">
        <f t="shared" si="416"/>
        <v>65.684032251099978</v>
      </c>
      <c r="AH242" s="32">
        <f t="shared" si="417"/>
        <v>17.010604296465168</v>
      </c>
      <c r="AI242" s="33">
        <f t="shared" si="418"/>
        <v>0.34948441092580523</v>
      </c>
      <c r="AK242" s="29">
        <f t="shared" si="403"/>
        <v>48.338198064192241</v>
      </c>
      <c r="AL242" s="30">
        <f t="shared" si="404"/>
        <v>61.80436514345363</v>
      </c>
      <c r="AM242" s="32">
        <f t="shared" si="419"/>
        <v>13.466167079261389</v>
      </c>
      <c r="AN242" s="33">
        <f t="shared" si="420"/>
        <v>0.27858231416443296</v>
      </c>
      <c r="AP242" s="29">
        <f t="shared" si="421"/>
        <v>46.552048884609015</v>
      </c>
      <c r="AQ242" s="30">
        <f t="shared" si="422"/>
        <v>69.08113607471978</v>
      </c>
      <c r="AR242" s="32">
        <f t="shared" si="423"/>
        <v>22.529087190110765</v>
      </c>
      <c r="AS242" s="33">
        <f t="shared" si="424"/>
        <v>0.48395479318117202</v>
      </c>
      <c r="AU242" s="31">
        <f t="shared" si="425"/>
        <v>44.900316127784201</v>
      </c>
      <c r="AV242" s="25">
        <f t="shared" si="426"/>
        <v>60.94731394977866</v>
      </c>
      <c r="AW242" s="32">
        <f t="shared" si="427"/>
        <v>16.046997821994459</v>
      </c>
      <c r="AX242" s="33">
        <f t="shared" si="428"/>
        <v>0.35739164455603062</v>
      </c>
      <c r="AZ242" s="31">
        <f t="shared" si="405"/>
        <v>44.78223167948277</v>
      </c>
      <c r="BA242" s="25">
        <f t="shared" si="406"/>
        <v>60.087981156649946</v>
      </c>
      <c r="BB242" s="32">
        <f t="shared" si="429"/>
        <v>15.305749477167176</v>
      </c>
      <c r="BC242" s="33">
        <f t="shared" si="430"/>
        <v>0.34178174921504839</v>
      </c>
      <c r="BE242" s="31">
        <f t="shared" si="431"/>
        <v>43.68658094498592</v>
      </c>
      <c r="BF242" s="25">
        <f t="shared" si="432"/>
        <v>58.35988737027165</v>
      </c>
      <c r="BG242" s="32">
        <f t="shared" si="433"/>
        <v>14.67330642528573</v>
      </c>
      <c r="BH242" s="33">
        <f t="shared" si="434"/>
        <v>0.33587674081804847</v>
      </c>
      <c r="BJ242" s="31">
        <f t="shared" si="407"/>
        <v>44.047448855713462</v>
      </c>
      <c r="BK242" s="25">
        <f t="shared" si="408"/>
        <v>61.228443278367401</v>
      </c>
      <c r="BL242" s="32">
        <f t="shared" si="409"/>
        <v>17.180994422653939</v>
      </c>
      <c r="BM242" s="33">
        <f t="shared" si="410"/>
        <v>0.39005651562100324</v>
      </c>
      <c r="BO242" s="62"/>
      <c r="BP242" s="62"/>
      <c r="BQ242" s="62"/>
      <c r="BR242" s="63"/>
    </row>
    <row r="243" spans="1:70">
      <c r="B243" s="1284"/>
      <c r="D243" s="5" t="s">
        <v>28</v>
      </c>
      <c r="E243" s="87">
        <f t="shared" ref="E243:L243" si="455">E826</f>
        <v>40.314792324374892</v>
      </c>
      <c r="F243" s="87">
        <f t="shared" si="455"/>
        <v>40.825823727431001</v>
      </c>
      <c r="G243" s="87">
        <f t="shared" si="455"/>
        <v>40.961923297863279</v>
      </c>
      <c r="H243" s="87">
        <f t="shared" si="455"/>
        <v>41.12875856153741</v>
      </c>
      <c r="I243" s="87">
        <f t="shared" si="455"/>
        <v>40.490054095765949</v>
      </c>
      <c r="J243" s="87">
        <f t="shared" si="455"/>
        <v>40.49402356004272</v>
      </c>
      <c r="K243" s="87">
        <f t="shared" si="455"/>
        <v>40.815701487382242</v>
      </c>
      <c r="L243" s="87">
        <f t="shared" si="455"/>
        <v>40.463493162957924</v>
      </c>
      <c r="N243" s="29">
        <f t="shared" si="412"/>
        <v>38.654774261488789</v>
      </c>
      <c r="O243" s="29">
        <f t="shared" si="413"/>
        <v>39.019051763258069</v>
      </c>
      <c r="P243" s="29">
        <f t="shared" si="413"/>
        <v>38.802907054998776</v>
      </c>
      <c r="Q243" s="29">
        <f t="shared" si="413"/>
        <v>39.013609725504061</v>
      </c>
      <c r="R243" s="29">
        <f t="shared" si="413"/>
        <v>38.082743216446097</v>
      </c>
      <c r="S243" s="29">
        <f t="shared" si="413"/>
        <v>37.772145170800108</v>
      </c>
      <c r="T243" s="29">
        <f t="shared" si="413"/>
        <v>37.883199500842586</v>
      </c>
      <c r="U243" s="29">
        <f t="shared" si="413"/>
        <v>37.315360478666655</v>
      </c>
      <c r="W243" s="30">
        <f t="shared" si="399"/>
        <v>41.281840263960255</v>
      </c>
      <c r="X243" s="30">
        <f t="shared" si="399"/>
        <v>46.099323608250238</v>
      </c>
      <c r="Y243" s="30">
        <f t="shared" si="400"/>
        <v>48.223851989132925</v>
      </c>
      <c r="Z243" s="30">
        <f t="shared" si="400"/>
        <v>49.965486285443134</v>
      </c>
      <c r="AA243" s="30">
        <f t="shared" si="401"/>
        <v>51.291048759215634</v>
      </c>
      <c r="AB243" s="30">
        <f t="shared" si="401"/>
        <v>49.643448111192427</v>
      </c>
      <c r="AC243" s="30">
        <f t="shared" ref="AC243" si="456">AC826</f>
        <v>55.870046854485771</v>
      </c>
      <c r="AD243" s="90">
        <v>0</v>
      </c>
      <c r="AF243" s="29">
        <f t="shared" si="415"/>
        <v>38.654774261488789</v>
      </c>
      <c r="AG243" s="30">
        <f t="shared" si="416"/>
        <v>41.281840263960255</v>
      </c>
      <c r="AH243" s="32">
        <f t="shared" si="417"/>
        <v>2.6270660024714658</v>
      </c>
      <c r="AI243" s="33">
        <f t="shared" si="418"/>
        <v>6.7962264756743773E-2</v>
      </c>
      <c r="AK243" s="29">
        <f t="shared" si="403"/>
        <v>39.019051763258069</v>
      </c>
      <c r="AL243" s="30">
        <f t="shared" si="404"/>
        <v>46.099323608250238</v>
      </c>
      <c r="AM243" s="32">
        <f t="shared" si="419"/>
        <v>7.0802718449921684</v>
      </c>
      <c r="AN243" s="33">
        <f t="shared" si="420"/>
        <v>0.1814567890565511</v>
      </c>
      <c r="AP243" s="29">
        <f t="shared" si="421"/>
        <v>38.802907054998776</v>
      </c>
      <c r="AQ243" s="30">
        <f t="shared" si="422"/>
        <v>48.223851989132925</v>
      </c>
      <c r="AR243" s="32">
        <f t="shared" si="423"/>
        <v>9.4209449341341482</v>
      </c>
      <c r="AS243" s="33">
        <f t="shared" si="424"/>
        <v>0.24278966833028809</v>
      </c>
      <c r="AU243" s="31">
        <f t="shared" si="425"/>
        <v>39.013609725504061</v>
      </c>
      <c r="AV243" s="25">
        <f t="shared" si="426"/>
        <v>49.965486285443134</v>
      </c>
      <c r="AW243" s="32">
        <f t="shared" si="427"/>
        <v>10.951876559939073</v>
      </c>
      <c r="AX243" s="33">
        <f t="shared" si="428"/>
        <v>0.28071938579883804</v>
      </c>
      <c r="AZ243" s="31">
        <f t="shared" si="405"/>
        <v>38.082743216446097</v>
      </c>
      <c r="BA243" s="25">
        <f t="shared" si="406"/>
        <v>51.291048759215634</v>
      </c>
      <c r="BB243" s="32">
        <f t="shared" si="429"/>
        <v>13.208305542769537</v>
      </c>
      <c r="BC243" s="33">
        <f t="shared" si="430"/>
        <v>0.3468317780496839</v>
      </c>
      <c r="BE243" s="31">
        <f t="shared" si="431"/>
        <v>37.772145170800108</v>
      </c>
      <c r="BF243" s="25">
        <f t="shared" si="432"/>
        <v>49.643448111192427</v>
      </c>
      <c r="BG243" s="32">
        <f t="shared" si="433"/>
        <v>11.871302940392319</v>
      </c>
      <c r="BH243" s="33">
        <f t="shared" si="434"/>
        <v>0.31428723168123029</v>
      </c>
      <c r="BJ243" s="31">
        <f t="shared" si="407"/>
        <v>37.883199500842586</v>
      </c>
      <c r="BK243" s="25">
        <f t="shared" si="408"/>
        <v>55.870046854485771</v>
      </c>
      <c r="BL243" s="32">
        <f t="shared" si="409"/>
        <v>17.986847353643185</v>
      </c>
      <c r="BM243" s="33">
        <f t="shared" si="410"/>
        <v>0.47479747198340855</v>
      </c>
      <c r="BO243" s="62"/>
      <c r="BP243" s="62"/>
      <c r="BQ243" s="62"/>
      <c r="BR243" s="63"/>
    </row>
    <row r="244" spans="1:70">
      <c r="B244" s="1284"/>
      <c r="D244" s="5" t="s">
        <v>173</v>
      </c>
      <c r="E244" s="87">
        <f t="shared" ref="E244:L244" si="457">E827</f>
        <v>77.778586043035205</v>
      </c>
      <c r="F244" s="87">
        <f t="shared" si="457"/>
        <v>78.011800551526989</v>
      </c>
      <c r="G244" s="87">
        <f t="shared" si="457"/>
        <v>78.277027998290762</v>
      </c>
      <c r="H244" s="87">
        <f t="shared" si="457"/>
        <v>77.752137539739792</v>
      </c>
      <c r="I244" s="87">
        <f t="shared" si="457"/>
        <v>77.921231558247911</v>
      </c>
      <c r="J244" s="87">
        <f t="shared" si="457"/>
        <v>78.158034458866638</v>
      </c>
      <c r="K244" s="87">
        <f t="shared" si="457"/>
        <v>78.400533087059216</v>
      </c>
      <c r="L244" s="87">
        <f t="shared" si="457"/>
        <v>78.264828471458074</v>
      </c>
      <c r="N244" s="29">
        <f t="shared" si="412"/>
        <v>78.548134001547155</v>
      </c>
      <c r="O244" s="29">
        <f t="shared" si="413"/>
        <v>78.068239367901754</v>
      </c>
      <c r="P244" s="29">
        <f t="shared" si="413"/>
        <v>78.407828861932131</v>
      </c>
      <c r="Q244" s="29">
        <f t="shared" si="413"/>
        <v>78.264776926392074</v>
      </c>
      <c r="R244" s="29">
        <f t="shared" si="413"/>
        <v>77.8598598933049</v>
      </c>
      <c r="S244" s="29">
        <f t="shared" si="413"/>
        <v>76.875397724105113</v>
      </c>
      <c r="T244" s="29">
        <f t="shared" si="413"/>
        <v>76.856883407663474</v>
      </c>
      <c r="U244" s="29">
        <f t="shared" si="413"/>
        <v>75.76462391204025</v>
      </c>
      <c r="W244" s="30">
        <f t="shared" si="399"/>
        <v>78.651261106660115</v>
      </c>
      <c r="X244" s="30">
        <f t="shared" si="399"/>
        <v>86.906602717342224</v>
      </c>
      <c r="Y244" s="30">
        <f t="shared" si="400"/>
        <v>91.549855076053433</v>
      </c>
      <c r="Z244" s="30">
        <f t="shared" si="400"/>
        <v>87.551561805906431</v>
      </c>
      <c r="AA244" s="30">
        <f t="shared" si="401"/>
        <v>88.368097349316542</v>
      </c>
      <c r="AB244" s="30">
        <f t="shared" si="401"/>
        <v>93.059038582630066</v>
      </c>
      <c r="AC244" s="30">
        <f t="shared" ref="AC244" si="458">AC827</f>
        <v>99.474058890313856</v>
      </c>
      <c r="AD244" s="90">
        <v>0</v>
      </c>
      <c r="AF244" s="29">
        <f t="shared" si="415"/>
        <v>78.548134001547155</v>
      </c>
      <c r="AG244" s="30">
        <f t="shared" si="416"/>
        <v>78.651261106660115</v>
      </c>
      <c r="AH244" s="32">
        <f t="shared" si="417"/>
        <v>0.10312710511296075</v>
      </c>
      <c r="AI244" s="33">
        <f t="shared" si="418"/>
        <v>1.3129160408944848E-3</v>
      </c>
      <c r="AK244" s="29">
        <f t="shared" si="403"/>
        <v>78.068239367901754</v>
      </c>
      <c r="AL244" s="30">
        <f t="shared" si="404"/>
        <v>86.906602717342224</v>
      </c>
      <c r="AM244" s="32">
        <f t="shared" si="419"/>
        <v>8.8383633494404705</v>
      </c>
      <c r="AN244" s="33">
        <f t="shared" si="420"/>
        <v>0.11321330442446764</v>
      </c>
      <c r="AP244" s="29">
        <f t="shared" si="421"/>
        <v>78.407828861932131</v>
      </c>
      <c r="AQ244" s="30">
        <f t="shared" si="422"/>
        <v>91.549855076053433</v>
      </c>
      <c r="AR244" s="32">
        <f t="shared" si="423"/>
        <v>13.142026214121302</v>
      </c>
      <c r="AS244" s="33">
        <f t="shared" si="424"/>
        <v>0.16761114808143732</v>
      </c>
      <c r="AU244" s="31">
        <f t="shared" si="425"/>
        <v>78.264776926392074</v>
      </c>
      <c r="AV244" s="25">
        <f t="shared" si="426"/>
        <v>87.551561805906431</v>
      </c>
      <c r="AW244" s="32">
        <f t="shared" si="427"/>
        <v>9.2867848795143573</v>
      </c>
      <c r="AX244" s="33">
        <f t="shared" si="428"/>
        <v>0.11865854914847029</v>
      </c>
      <c r="AZ244" s="31">
        <f t="shared" si="405"/>
        <v>77.8598598933049</v>
      </c>
      <c r="BA244" s="25">
        <f t="shared" si="406"/>
        <v>88.368097349316542</v>
      </c>
      <c r="BB244" s="32">
        <f t="shared" si="429"/>
        <v>10.508237456011642</v>
      </c>
      <c r="BC244" s="33">
        <f t="shared" si="430"/>
        <v>0.13496347759181154</v>
      </c>
      <c r="BE244" s="31">
        <f t="shared" si="431"/>
        <v>76.875397724105113</v>
      </c>
      <c r="BF244" s="25">
        <f t="shared" si="432"/>
        <v>93.059038582630066</v>
      </c>
      <c r="BG244" s="32">
        <f t="shared" si="433"/>
        <v>16.183640858524953</v>
      </c>
      <c r="BH244" s="33">
        <f t="shared" si="434"/>
        <v>0.21051781633190039</v>
      </c>
      <c r="BJ244" s="31">
        <f t="shared" si="407"/>
        <v>76.856883407663474</v>
      </c>
      <c r="BK244" s="25">
        <f t="shared" si="408"/>
        <v>99.474058890313856</v>
      </c>
      <c r="BL244" s="32">
        <f t="shared" si="409"/>
        <v>22.617175482650381</v>
      </c>
      <c r="BM244" s="33">
        <f t="shared" si="410"/>
        <v>0.29427651083227768</v>
      </c>
      <c r="BO244" s="62"/>
      <c r="BP244" s="62"/>
      <c r="BQ244" s="62"/>
      <c r="BR244" s="63"/>
    </row>
    <row r="245" spans="1:70">
      <c r="A245" s="1"/>
      <c r="B245" s="1284"/>
      <c r="D245" s="4" t="s">
        <v>174</v>
      </c>
      <c r="E245" s="88">
        <f t="shared" ref="E245:L245" si="459">SUM(E231:E244)</f>
        <v>794.71408600693803</v>
      </c>
      <c r="F245" s="88">
        <f t="shared" si="459"/>
        <v>787.14098253443206</v>
      </c>
      <c r="G245" s="88">
        <f t="shared" si="459"/>
        <v>780.1815000899021</v>
      </c>
      <c r="H245" s="88">
        <f t="shared" si="459"/>
        <v>782.25147435369172</v>
      </c>
      <c r="I245" s="88">
        <f t="shared" si="459"/>
        <v>780.19072997361695</v>
      </c>
      <c r="J245" s="88">
        <f t="shared" si="459"/>
        <v>776.61429080263622</v>
      </c>
      <c r="K245" s="88">
        <f t="shared" si="459"/>
        <v>779.805903791692</v>
      </c>
      <c r="L245" s="88">
        <f t="shared" si="459"/>
        <v>778.70467972340839</v>
      </c>
      <c r="M245" s="1"/>
      <c r="N245" s="81">
        <f>SUM(N231:N244)</f>
        <v>789.4842852007198</v>
      </c>
      <c r="O245" s="81">
        <f t="shared" ref="O245:U245" si="460">SUM(O231:O244)</f>
        <v>780.64214756430215</v>
      </c>
      <c r="P245" s="81">
        <f t="shared" si="460"/>
        <v>769.53820298537698</v>
      </c>
      <c r="Q245" s="81">
        <f t="shared" si="460"/>
        <v>767.98955015430522</v>
      </c>
      <c r="R245" s="81">
        <f t="shared" si="460"/>
        <v>762.08836958494771</v>
      </c>
      <c r="S245" s="81">
        <f t="shared" si="460"/>
        <v>756.10842888804711</v>
      </c>
      <c r="T245" s="81">
        <f t="shared" si="460"/>
        <v>754.1885719160025</v>
      </c>
      <c r="U245" s="81">
        <f t="shared" si="460"/>
        <v>747.15722676572727</v>
      </c>
      <c r="V245" s="1"/>
      <c r="W245" s="85">
        <f t="shared" ref="W245:AD245" si="461">SUM(W231:W244)</f>
        <v>837.87760517750598</v>
      </c>
      <c r="X245" s="85">
        <f t="shared" si="461"/>
        <v>851.43338669257116</v>
      </c>
      <c r="Y245" s="85">
        <f>SUM(Y231:Y244)</f>
        <v>895.47439402687576</v>
      </c>
      <c r="Z245" s="85">
        <f>SUM(Z231:Z244)</f>
        <v>869.35933003796481</v>
      </c>
      <c r="AA245" s="85">
        <f>SUM(AA231:AA244)</f>
        <v>871.87676116464445</v>
      </c>
      <c r="AB245" s="85">
        <f>SUM(AB231:AB244)</f>
        <v>855.12796306272639</v>
      </c>
      <c r="AC245" s="85">
        <f>SUM(AC231:AC244)</f>
        <v>868.14725233323657</v>
      </c>
      <c r="AD245" s="91">
        <f t="shared" si="461"/>
        <v>0</v>
      </c>
      <c r="AE245" s="1"/>
      <c r="AF245" s="81">
        <f t="shared" si="415"/>
        <v>789.4842852007198</v>
      </c>
      <c r="AG245" s="85">
        <f t="shared" si="416"/>
        <v>837.87760517750598</v>
      </c>
      <c r="AH245" s="34">
        <f t="shared" si="417"/>
        <v>48.393319976786188</v>
      </c>
      <c r="AI245" s="35">
        <f t="shared" si="418"/>
        <v>6.129738220752879E-2</v>
      </c>
      <c r="AK245" s="81">
        <f t="shared" si="403"/>
        <v>780.64214756430215</v>
      </c>
      <c r="AL245" s="85">
        <f t="shared" si="404"/>
        <v>851.43338669257116</v>
      </c>
      <c r="AM245" s="34">
        <f t="shared" si="419"/>
        <v>70.791239128269012</v>
      </c>
      <c r="AN245" s="35">
        <f t="shared" si="420"/>
        <v>9.0683342360063743E-2</v>
      </c>
      <c r="AP245" s="81">
        <f t="shared" si="421"/>
        <v>769.53820298537698</v>
      </c>
      <c r="AQ245" s="85">
        <f t="shared" si="422"/>
        <v>895.47439402687576</v>
      </c>
      <c r="AR245" s="34">
        <f t="shared" si="423"/>
        <v>125.93619104149877</v>
      </c>
      <c r="AS245" s="35">
        <f t="shared" si="424"/>
        <v>0.16365164270329521</v>
      </c>
      <c r="AU245" s="949">
        <f t="shared" si="425"/>
        <v>767.98955015430522</v>
      </c>
      <c r="AV245" s="843">
        <f t="shared" si="426"/>
        <v>869.35933003796481</v>
      </c>
      <c r="AW245" s="34">
        <f t="shared" si="427"/>
        <v>101.36977988365959</v>
      </c>
      <c r="AX245" s="35">
        <f t="shared" si="428"/>
        <v>0.13199369687164658</v>
      </c>
      <c r="AZ245" s="949">
        <f t="shared" si="405"/>
        <v>762.08836958494771</v>
      </c>
      <c r="BA245" s="843">
        <f t="shared" si="406"/>
        <v>871.87676116464445</v>
      </c>
      <c r="BB245" s="34">
        <f t="shared" si="429"/>
        <v>109.78839157969674</v>
      </c>
      <c r="BC245" s="35">
        <f t="shared" si="430"/>
        <v>0.14406254702389729</v>
      </c>
      <c r="BE245" s="31">
        <f t="shared" si="431"/>
        <v>756.10842888804711</v>
      </c>
      <c r="BF245" s="25">
        <f t="shared" si="432"/>
        <v>855.12796306272639</v>
      </c>
      <c r="BG245" s="32">
        <f t="shared" si="433"/>
        <v>99.019534174679279</v>
      </c>
      <c r="BH245" s="33">
        <f t="shared" si="434"/>
        <v>0.13095943702188323</v>
      </c>
      <c r="BJ245" s="31">
        <f t="shared" si="407"/>
        <v>754.1885719160025</v>
      </c>
      <c r="BK245" s="25">
        <f t="shared" si="408"/>
        <v>868.14725233323657</v>
      </c>
      <c r="BL245" s="32">
        <f t="shared" si="409"/>
        <v>113.95868041723406</v>
      </c>
      <c r="BM245" s="33">
        <f t="shared" si="410"/>
        <v>0.15110104377175074</v>
      </c>
      <c r="BO245" s="62"/>
      <c r="BP245" s="62"/>
      <c r="BQ245" s="62"/>
      <c r="BR245" s="63"/>
    </row>
    <row r="246" spans="1:70">
      <c r="A246" s="1"/>
      <c r="B246" s="1284"/>
      <c r="D246" s="4" t="s">
        <v>724</v>
      </c>
      <c r="E246" s="88">
        <f t="shared" ref="E246:L246" si="462">E245-SUM(E234:E237)</f>
        <v>568.5024020394568</v>
      </c>
      <c r="F246" s="88">
        <f t="shared" si="462"/>
        <v>560.45475885202143</v>
      </c>
      <c r="G246" s="88">
        <f t="shared" si="462"/>
        <v>554.11567755061458</v>
      </c>
      <c r="H246" s="88">
        <f t="shared" si="462"/>
        <v>554.79365243365544</v>
      </c>
      <c r="I246" s="88">
        <f t="shared" si="462"/>
        <v>550.78219159085916</v>
      </c>
      <c r="J246" s="88">
        <f t="shared" si="462"/>
        <v>544.43986406519343</v>
      </c>
      <c r="K246" s="88">
        <f t="shared" si="462"/>
        <v>545.90829281869946</v>
      </c>
      <c r="L246" s="88">
        <f t="shared" si="462"/>
        <v>542.92730729581194</v>
      </c>
      <c r="M246" s="1"/>
      <c r="N246" s="81">
        <f t="shared" ref="N246:U246" si="463">N245-SUM(N234:N237)</f>
        <v>563.27260123323856</v>
      </c>
      <c r="O246" s="81">
        <f t="shared" si="463"/>
        <v>553.95592388189152</v>
      </c>
      <c r="P246" s="81">
        <f t="shared" si="463"/>
        <v>543.47238044608946</v>
      </c>
      <c r="Q246" s="81">
        <f t="shared" si="463"/>
        <v>540.53172823426894</v>
      </c>
      <c r="R246" s="81">
        <f t="shared" si="463"/>
        <v>532.67983120218992</v>
      </c>
      <c r="S246" s="81">
        <f t="shared" si="463"/>
        <v>523.93400215060433</v>
      </c>
      <c r="T246" s="81">
        <f t="shared" si="463"/>
        <v>520.29096094300996</v>
      </c>
      <c r="U246" s="81">
        <f t="shared" si="463"/>
        <v>511.37985433813083</v>
      </c>
      <c r="V246" s="1"/>
      <c r="W246" s="85">
        <f t="shared" ref="W246:AD246" si="464">W245-SUM(W234:W237)</f>
        <v>570.81938194530335</v>
      </c>
      <c r="X246" s="85">
        <f t="shared" si="464"/>
        <v>588.29286014686409</v>
      </c>
      <c r="Y246" s="85">
        <f>Y245-SUM(Y234:Y237)</f>
        <v>641.4554059996085</v>
      </c>
      <c r="Z246" s="85">
        <f>Z245-SUM(Z234:Z237)</f>
        <v>619.34692812344065</v>
      </c>
      <c r="AA246" s="85">
        <f>AA245-SUM(AA234:AA237)</f>
        <v>632.36136989359625</v>
      </c>
      <c r="AB246" s="85">
        <f>AB245-SUM(AB234:AB237)</f>
        <v>627.01404307578014</v>
      </c>
      <c r="AC246" s="85">
        <f>AC245-SUM(AC234:AC237)</f>
        <v>641.02525233323661</v>
      </c>
      <c r="AD246" s="91">
        <f t="shared" si="464"/>
        <v>0</v>
      </c>
      <c r="AE246" s="1"/>
      <c r="AF246" s="81">
        <f t="shared" si="415"/>
        <v>563.27260123323856</v>
      </c>
      <c r="AG246" s="85">
        <f t="shared" si="416"/>
        <v>570.81938194530335</v>
      </c>
      <c r="AH246" s="34">
        <f t="shared" si="417"/>
        <v>7.5467807120647876</v>
      </c>
      <c r="AI246" s="35">
        <f t="shared" si="418"/>
        <v>1.3398096579776361E-2</v>
      </c>
      <c r="AK246" s="81">
        <f t="shared" si="403"/>
        <v>553.95592388189152</v>
      </c>
      <c r="AL246" s="85">
        <f t="shared" si="404"/>
        <v>588.29286014686409</v>
      </c>
      <c r="AM246" s="34">
        <f t="shared" si="419"/>
        <v>34.336936264972564</v>
      </c>
      <c r="AN246" s="35">
        <f t="shared" si="420"/>
        <v>6.1984960869005012E-2</v>
      </c>
      <c r="AP246" s="81">
        <f t="shared" si="421"/>
        <v>543.47238044608946</v>
      </c>
      <c r="AQ246" s="85">
        <f>Y246</f>
        <v>641.4554059996085</v>
      </c>
      <c r="AR246" s="34">
        <f t="shared" si="423"/>
        <v>97.983025553519042</v>
      </c>
      <c r="AS246" s="35">
        <f t="shared" si="424"/>
        <v>0.18029071776029032</v>
      </c>
      <c r="AU246" s="949">
        <f t="shared" si="425"/>
        <v>540.53172823426894</v>
      </c>
      <c r="AV246" s="843">
        <f t="shared" si="426"/>
        <v>619.34692812344065</v>
      </c>
      <c r="AW246" s="34">
        <f t="shared" si="427"/>
        <v>78.815199889171708</v>
      </c>
      <c r="AX246" s="35">
        <f t="shared" si="428"/>
        <v>0.14581049690946696</v>
      </c>
      <c r="AZ246" s="949">
        <f t="shared" si="405"/>
        <v>532.67983120218992</v>
      </c>
      <c r="BA246" s="843">
        <f t="shared" si="406"/>
        <v>632.36136989359625</v>
      </c>
      <c r="BB246" s="34">
        <f t="shared" si="429"/>
        <v>99.681538691406331</v>
      </c>
      <c r="BC246" s="35">
        <f t="shared" si="430"/>
        <v>0.18713218119491762</v>
      </c>
      <c r="BE246" s="31">
        <f t="shared" si="431"/>
        <v>523.93400215060433</v>
      </c>
      <c r="BF246" s="25">
        <f t="shared" si="432"/>
        <v>627.01404307578014</v>
      </c>
      <c r="BG246" s="32">
        <f t="shared" si="433"/>
        <v>103.08004092517581</v>
      </c>
      <c r="BH246" s="33">
        <f t="shared" si="434"/>
        <v>0.19674241507911439</v>
      </c>
      <c r="BJ246" s="31">
        <f t="shared" si="407"/>
        <v>520.29096094300996</v>
      </c>
      <c r="BK246" s="25">
        <f t="shared" si="408"/>
        <v>641.02525233323661</v>
      </c>
      <c r="BL246" s="32">
        <f t="shared" si="409"/>
        <v>120.73429139022664</v>
      </c>
      <c r="BM246" s="33">
        <f t="shared" si="410"/>
        <v>0.23205148744348697</v>
      </c>
      <c r="BO246" s="62"/>
      <c r="BP246" s="62"/>
      <c r="BQ246" s="62"/>
      <c r="BR246" s="63"/>
    </row>
    <row r="247" spans="1:70">
      <c r="B247" s="1284"/>
    </row>
    <row r="248" spans="1:70">
      <c r="B248" s="1284"/>
      <c r="D248" s="64" t="s">
        <v>739</v>
      </c>
    </row>
    <row r="249" spans="1:70">
      <c r="B249" s="1284"/>
      <c r="E249" s="1300" t="s">
        <v>733</v>
      </c>
      <c r="F249" s="1301"/>
      <c r="G249" s="1301"/>
      <c r="H249" s="1301"/>
      <c r="I249" s="1301"/>
      <c r="J249" s="1301"/>
      <c r="K249" s="1301"/>
      <c r="L249" s="1302"/>
      <c r="N249" s="245" t="s">
        <v>291</v>
      </c>
      <c r="O249" s="246"/>
      <c r="P249" s="246"/>
      <c r="Q249" s="246"/>
      <c r="R249" s="246"/>
      <c r="S249" s="246"/>
      <c r="T249" s="246"/>
      <c r="U249" s="247"/>
      <c r="W249" s="1300" t="s">
        <v>292</v>
      </c>
      <c r="X249" s="1301"/>
      <c r="Y249" s="1301"/>
      <c r="Z249" s="1301"/>
      <c r="AA249" s="1301"/>
      <c r="AB249" s="1301"/>
      <c r="AC249" s="1301"/>
      <c r="AD249" s="1302"/>
      <c r="AF249" s="102" t="s">
        <v>297</v>
      </c>
      <c r="AG249" s="102" t="s">
        <v>298</v>
      </c>
      <c r="AH249" s="1304" t="s">
        <v>602</v>
      </c>
      <c r="AI249" s="1304"/>
      <c r="AK249" s="102" t="s">
        <v>297</v>
      </c>
      <c r="AL249" s="102" t="s">
        <v>298</v>
      </c>
      <c r="AM249" s="1304" t="s">
        <v>602</v>
      </c>
      <c r="AN249" s="1304"/>
      <c r="AP249" s="6" t="s">
        <v>297</v>
      </c>
      <c r="AQ249" s="5" t="s">
        <v>298</v>
      </c>
      <c r="AR249" s="1303" t="s">
        <v>602</v>
      </c>
      <c r="AS249" s="1303"/>
      <c r="AU249" s="6" t="s">
        <v>297</v>
      </c>
      <c r="AV249" s="5" t="s">
        <v>298</v>
      </c>
      <c r="AW249" s="1303" t="s">
        <v>602</v>
      </c>
      <c r="AX249" s="1303"/>
      <c r="AZ249" s="6" t="s">
        <v>297</v>
      </c>
      <c r="BA249" s="5" t="s">
        <v>298</v>
      </c>
      <c r="BB249" s="1303" t="s">
        <v>602</v>
      </c>
      <c r="BC249" s="1303"/>
      <c r="BE249" s="6" t="s">
        <v>297</v>
      </c>
      <c r="BF249" s="5" t="s">
        <v>298</v>
      </c>
      <c r="BG249" s="1082" t="s">
        <v>602</v>
      </c>
      <c r="BH249" s="1082"/>
      <c r="BJ249" s="6" t="s">
        <v>297</v>
      </c>
      <c r="BK249" s="5" t="s">
        <v>298</v>
      </c>
      <c r="BL249" s="1082" t="s">
        <v>602</v>
      </c>
      <c r="BM249" s="1082"/>
      <c r="BO249" s="6" t="s">
        <v>297</v>
      </c>
      <c r="BP249" s="5" t="s">
        <v>298</v>
      </c>
      <c r="BQ249" s="1303" t="s">
        <v>602</v>
      </c>
      <c r="BR249" s="1303"/>
    </row>
    <row r="250" spans="1:70">
      <c r="A250" s="1"/>
      <c r="B250" s="1284"/>
      <c r="E250" s="196" t="s">
        <v>137</v>
      </c>
      <c r="F250" s="102" t="s">
        <v>138</v>
      </c>
      <c r="G250" s="102" t="s">
        <v>139</v>
      </c>
      <c r="H250" s="102" t="s">
        <v>140</v>
      </c>
      <c r="I250" s="102" t="s">
        <v>141</v>
      </c>
      <c r="J250" s="102" t="s">
        <v>126</v>
      </c>
      <c r="K250" s="102" t="s">
        <v>142</v>
      </c>
      <c r="L250" s="197" t="s">
        <v>143</v>
      </c>
      <c r="N250" s="196" t="s">
        <v>137</v>
      </c>
      <c r="O250" s="102" t="s">
        <v>138</v>
      </c>
      <c r="P250" s="102" t="s">
        <v>139</v>
      </c>
      <c r="Q250" s="102" t="s">
        <v>140</v>
      </c>
      <c r="R250" s="102" t="s">
        <v>141</v>
      </c>
      <c r="S250" s="102" t="s">
        <v>126</v>
      </c>
      <c r="T250" s="102" t="s">
        <v>142</v>
      </c>
      <c r="U250" s="197" t="s">
        <v>143</v>
      </c>
      <c r="W250" s="196" t="s">
        <v>137</v>
      </c>
      <c r="X250" s="102" t="s">
        <v>138</v>
      </c>
      <c r="Y250" s="102" t="s">
        <v>139</v>
      </c>
      <c r="Z250" s="102" t="s">
        <v>140</v>
      </c>
      <c r="AA250" s="102" t="s">
        <v>141</v>
      </c>
      <c r="AB250" s="102" t="s">
        <v>126</v>
      </c>
      <c r="AC250" s="102" t="s">
        <v>142</v>
      </c>
      <c r="AD250" s="197" t="s">
        <v>143</v>
      </c>
      <c r="AF250" s="102" t="s">
        <v>734</v>
      </c>
      <c r="AG250" s="102" t="s">
        <v>734</v>
      </c>
      <c r="AH250" s="102" t="s">
        <v>734</v>
      </c>
      <c r="AI250" s="102" t="s">
        <v>606</v>
      </c>
      <c r="AK250" s="102" t="s">
        <v>734</v>
      </c>
      <c r="AL250" s="102" t="s">
        <v>734</v>
      </c>
      <c r="AM250" s="102" t="s">
        <v>734</v>
      </c>
      <c r="AN250" s="102" t="s">
        <v>606</v>
      </c>
      <c r="AP250" s="5" t="s">
        <v>734</v>
      </c>
      <c r="AQ250" s="5" t="s">
        <v>734</v>
      </c>
      <c r="AR250" s="5" t="s">
        <v>734</v>
      </c>
      <c r="AS250" s="5" t="s">
        <v>606</v>
      </c>
      <c r="AU250" s="5" t="s">
        <v>734</v>
      </c>
      <c r="AV250" s="5" t="s">
        <v>734</v>
      </c>
      <c r="AW250" s="5" t="s">
        <v>734</v>
      </c>
      <c r="AX250" s="5" t="s">
        <v>606</v>
      </c>
      <c r="AZ250" s="5" t="s">
        <v>734</v>
      </c>
      <c r="BA250" s="5" t="s">
        <v>734</v>
      </c>
      <c r="BB250" s="5" t="s">
        <v>734</v>
      </c>
      <c r="BC250" s="5" t="s">
        <v>606</v>
      </c>
      <c r="BE250" s="5" t="s">
        <v>734</v>
      </c>
      <c r="BF250" s="5" t="s">
        <v>734</v>
      </c>
      <c r="BG250" s="5" t="s">
        <v>734</v>
      </c>
      <c r="BH250" s="5" t="s">
        <v>606</v>
      </c>
      <c r="BJ250" s="5" t="s">
        <v>734</v>
      </c>
      <c r="BK250" s="5" t="s">
        <v>734</v>
      </c>
      <c r="BL250" s="5" t="s">
        <v>734</v>
      </c>
      <c r="BM250" s="5" t="s">
        <v>606</v>
      </c>
      <c r="BO250" s="5" t="s">
        <v>734</v>
      </c>
      <c r="BP250" s="5" t="s">
        <v>734</v>
      </c>
      <c r="BQ250" s="5" t="s">
        <v>734</v>
      </c>
      <c r="BR250" s="5" t="s">
        <v>606</v>
      </c>
    </row>
    <row r="251" spans="1:70">
      <c r="B251" s="1284"/>
      <c r="D251" s="5" t="s">
        <v>161</v>
      </c>
      <c r="E251" s="87">
        <f>E834</f>
        <v>40.852117063604176</v>
      </c>
      <c r="F251" s="87">
        <f t="shared" ref="F251:L251" si="465">F834</f>
        <v>38.933398196751057</v>
      </c>
      <c r="G251" s="87">
        <f t="shared" si="465"/>
        <v>38.677232873210137</v>
      </c>
      <c r="H251" s="87">
        <f t="shared" si="465"/>
        <v>38.552649233848953</v>
      </c>
      <c r="I251" s="87">
        <f t="shared" si="465"/>
        <v>38.095112229012358</v>
      </c>
      <c r="J251" s="87">
        <f t="shared" si="465"/>
        <v>39.248411940609436</v>
      </c>
      <c r="K251" s="87">
        <f t="shared" si="465"/>
        <v>39.00616877444746</v>
      </c>
      <c r="L251" s="87">
        <f t="shared" si="465"/>
        <v>38.018189581783609</v>
      </c>
      <c r="N251" s="29">
        <f>N834</f>
        <v>39.760963324215062</v>
      </c>
      <c r="O251" s="29">
        <f t="shared" ref="O251:U251" si="466">O834</f>
        <v>38.02776106543017</v>
      </c>
      <c r="P251" s="29">
        <f t="shared" si="466"/>
        <v>37.485336758136498</v>
      </c>
      <c r="Q251" s="29">
        <f t="shared" si="466"/>
        <v>37.366549476696477</v>
      </c>
      <c r="R251" s="29">
        <f t="shared" si="466"/>
        <v>36.732112920532899</v>
      </c>
      <c r="S251" s="29">
        <f t="shared" si="466"/>
        <v>37.237910703237461</v>
      </c>
      <c r="T251" s="29">
        <f t="shared" si="466"/>
        <v>36.824974419632703</v>
      </c>
      <c r="U251" s="29">
        <f t="shared" si="466"/>
        <v>35.90611172856898</v>
      </c>
      <c r="V251" s="122"/>
      <c r="W251" s="30">
        <f t="shared" ref="W251:AD251" si="467">W834</f>
        <v>36.306757426485134</v>
      </c>
      <c r="X251" s="30">
        <f t="shared" si="467"/>
        <v>21.757961793877509</v>
      </c>
      <c r="Y251" s="30">
        <f t="shared" ref="Y251:Z264" si="468">Y834</f>
        <v>38.902158569173409</v>
      </c>
      <c r="Z251" s="30">
        <f t="shared" si="468"/>
        <v>37.946768533183246</v>
      </c>
      <c r="AA251" s="30">
        <f t="shared" ref="AA251:AA264" si="469">AA834</f>
        <v>41.102315691644975</v>
      </c>
      <c r="AB251" s="30">
        <f t="shared" si="467"/>
        <v>41.234875866459689</v>
      </c>
      <c r="AC251" s="30">
        <f t="shared" ref="AC251" si="470">AC834</f>
        <v>45.24783127590397</v>
      </c>
      <c r="AD251" s="90">
        <f t="shared" si="467"/>
        <v>0</v>
      </c>
      <c r="AE251" s="122"/>
      <c r="AF251" s="29">
        <f>N251</f>
        <v>39.760963324215062</v>
      </c>
      <c r="AG251" s="30">
        <f>W251</f>
        <v>36.306757426485134</v>
      </c>
      <c r="AH251" s="32">
        <f>AG251-AF251</f>
        <v>-3.4542058977299277</v>
      </c>
      <c r="AI251" s="33">
        <f>AH251/AF251</f>
        <v>-8.6874301046581059E-2</v>
      </c>
      <c r="AK251" s="29">
        <f t="shared" ref="AK251:AK266" si="471">O251</f>
        <v>38.02776106543017</v>
      </c>
      <c r="AL251" s="30">
        <f t="shared" ref="AL251:AL266" si="472">X251</f>
        <v>21.757961793877509</v>
      </c>
      <c r="AM251" s="32">
        <f>AL251-AK251</f>
        <v>-16.26979927155266</v>
      </c>
      <c r="AN251" s="33">
        <f>AM251/AK251</f>
        <v>-0.42784005199672454</v>
      </c>
      <c r="AP251" s="29">
        <f>P251</f>
        <v>37.485336758136498</v>
      </c>
      <c r="AQ251" s="30">
        <f>Y251</f>
        <v>38.902158569173409</v>
      </c>
      <c r="AR251" s="32">
        <f>AQ251-AP251</f>
        <v>1.4168218110369111</v>
      </c>
      <c r="AS251" s="33">
        <f>AR251/AP251</f>
        <v>3.7796694216155821E-2</v>
      </c>
      <c r="AU251" s="31">
        <f>Q251</f>
        <v>37.366549476696477</v>
      </c>
      <c r="AV251" s="25">
        <f>Z251</f>
        <v>37.946768533183246</v>
      </c>
      <c r="AW251" s="32">
        <f>AV251-AU251</f>
        <v>0.58021905648676864</v>
      </c>
      <c r="AX251" s="33">
        <f>AW251/AU251</f>
        <v>1.5527766534842086E-2</v>
      </c>
      <c r="AZ251" s="31">
        <f t="shared" ref="AZ251:AZ266" si="473">R251</f>
        <v>36.732112920532899</v>
      </c>
      <c r="BA251" s="25">
        <f t="shared" ref="BA251:BA266" si="474">AA251</f>
        <v>41.102315691644975</v>
      </c>
      <c r="BB251" s="32">
        <f>BA251-AZ251</f>
        <v>4.3702027711120763</v>
      </c>
      <c r="BC251" s="33">
        <f>BB251/AZ251</f>
        <v>0.11897499010107787</v>
      </c>
      <c r="BE251" s="31">
        <f>S251</f>
        <v>37.237910703237461</v>
      </c>
      <c r="BF251" s="25">
        <f>AB251</f>
        <v>41.234875866459689</v>
      </c>
      <c r="BG251" s="32">
        <f>BF251-BE251</f>
        <v>3.9969651632222281</v>
      </c>
      <c r="BH251" s="33">
        <f>BG251/BE251</f>
        <v>0.10733591352843359</v>
      </c>
      <c r="BJ251" s="31">
        <f t="shared" ref="BJ251:BJ266" si="475">T251</f>
        <v>36.824974419632703</v>
      </c>
      <c r="BK251" s="25">
        <f t="shared" ref="BK251:BK266" si="476">AC251</f>
        <v>45.24783127590397</v>
      </c>
      <c r="BL251" s="32">
        <f t="shared" ref="BL251:BL266" si="477">BK251-BJ251</f>
        <v>8.4228568562712667</v>
      </c>
      <c r="BM251" s="33">
        <f t="shared" ref="BM251:BM266" si="478">BL251/BJ251</f>
        <v>0.22872675375928414</v>
      </c>
      <c r="BO251" s="62"/>
      <c r="BP251" s="62"/>
      <c r="BQ251" s="62"/>
      <c r="BR251" s="63"/>
    </row>
    <row r="252" spans="1:70">
      <c r="B252" s="1284"/>
      <c r="D252" s="5" t="s">
        <v>162</v>
      </c>
      <c r="E252" s="87">
        <f t="shared" ref="E252:L252" si="479">E835</f>
        <v>21.967999031263449</v>
      </c>
      <c r="F252" s="87">
        <f t="shared" si="479"/>
        <v>22.040126426902088</v>
      </c>
      <c r="G252" s="87">
        <f t="shared" si="479"/>
        <v>22.192396583874078</v>
      </c>
      <c r="H252" s="87">
        <f t="shared" si="479"/>
        <v>22.309121560677415</v>
      </c>
      <c r="I252" s="87">
        <f t="shared" si="479"/>
        <v>22.296082987501805</v>
      </c>
      <c r="J252" s="87">
        <f t="shared" si="479"/>
        <v>22.303645917528982</v>
      </c>
      <c r="K252" s="87">
        <f t="shared" si="479"/>
        <v>22.386236706282894</v>
      </c>
      <c r="L252" s="87">
        <f t="shared" si="479"/>
        <v>22.437560258556648</v>
      </c>
      <c r="N252" s="29">
        <f t="shared" ref="N252:N264" si="480">N835</f>
        <v>24.736727474494121</v>
      </c>
      <c r="O252" s="29">
        <f t="shared" ref="O252:U264" si="481">O835</f>
        <v>24.726644526005106</v>
      </c>
      <c r="P252" s="29">
        <f t="shared" si="481"/>
        <v>24.712787579072799</v>
      </c>
      <c r="Q252" s="29">
        <f t="shared" si="481"/>
        <v>24.755030259322901</v>
      </c>
      <c r="R252" s="29">
        <f t="shared" si="481"/>
        <v>24.512299352092768</v>
      </c>
      <c r="S252" s="29">
        <f t="shared" si="481"/>
        <v>24.0708153070522</v>
      </c>
      <c r="T252" s="29">
        <f t="shared" si="481"/>
        <v>23.845713842511355</v>
      </c>
      <c r="U252" s="29">
        <f t="shared" si="481"/>
        <v>23.489718317291413</v>
      </c>
      <c r="V252" s="122"/>
      <c r="W252" s="30">
        <f t="shared" ref="W252:AD252" si="482">W835</f>
        <v>23.279389990347564</v>
      </c>
      <c r="X252" s="30">
        <f t="shared" si="482"/>
        <v>24.825663868539984</v>
      </c>
      <c r="Y252" s="30">
        <f t="shared" si="468"/>
        <v>25.714943318815177</v>
      </c>
      <c r="Z252" s="30">
        <f t="shared" si="468"/>
        <v>23.649508900628302</v>
      </c>
      <c r="AA252" s="30">
        <f t="shared" si="469"/>
        <v>23.952111760587361</v>
      </c>
      <c r="AB252" s="30">
        <f t="shared" si="482"/>
        <v>24.435746099379035</v>
      </c>
      <c r="AC252" s="30">
        <f t="shared" ref="AC252" si="483">AC835</f>
        <v>23.737596829928219</v>
      </c>
      <c r="AD252" s="90">
        <f t="shared" si="482"/>
        <v>0</v>
      </c>
      <c r="AE252" s="122"/>
      <c r="AF252" s="29">
        <f t="shared" ref="AF252:AF266" si="484">N252</f>
        <v>24.736727474494121</v>
      </c>
      <c r="AG252" s="30">
        <f t="shared" ref="AG252:AG266" si="485">W252</f>
        <v>23.279389990347564</v>
      </c>
      <c r="AH252" s="32">
        <f t="shared" ref="AH252:AH266" si="486">AG252-AF252</f>
        <v>-1.4573374841465565</v>
      </c>
      <c r="AI252" s="33">
        <f t="shared" ref="AI252:AI266" si="487">AH252/AF252</f>
        <v>-5.8913915983802134E-2</v>
      </c>
      <c r="AK252" s="29">
        <f t="shared" si="471"/>
        <v>24.726644526005106</v>
      </c>
      <c r="AL252" s="30">
        <f t="shared" si="472"/>
        <v>24.825663868539984</v>
      </c>
      <c r="AM252" s="32">
        <f t="shared" ref="AM252:AM266" si="488">AL252-AK252</f>
        <v>9.9019342534877097E-2</v>
      </c>
      <c r="AN252" s="33">
        <f t="shared" ref="AN252:AN266" si="489">AM252/AK252</f>
        <v>4.0045604421068163E-3</v>
      </c>
      <c r="AP252" s="29">
        <f t="shared" ref="AP252:AP266" si="490">P252</f>
        <v>24.712787579072799</v>
      </c>
      <c r="AQ252" s="30">
        <f t="shared" ref="AQ252:AQ265" si="491">Y252</f>
        <v>25.714943318815177</v>
      </c>
      <c r="AR252" s="32">
        <f t="shared" ref="AR252:AR266" si="492">AQ252-AP252</f>
        <v>1.0021557397423777</v>
      </c>
      <c r="AS252" s="33">
        <f t="shared" ref="AS252:AS266" si="493">AR252/AP252</f>
        <v>4.0552112404794831E-2</v>
      </c>
      <c r="AU252" s="31">
        <f t="shared" ref="AU252:AU266" si="494">Q252</f>
        <v>24.755030259322901</v>
      </c>
      <c r="AV252" s="25">
        <f t="shared" ref="AV252:AV266" si="495">Z252</f>
        <v>23.649508900628302</v>
      </c>
      <c r="AW252" s="32">
        <f t="shared" ref="AW252:AW266" si="496">AV252-AU252</f>
        <v>-1.1055213586945989</v>
      </c>
      <c r="AX252" s="33">
        <f t="shared" ref="AX252:AX266" si="497">AW252/AU252</f>
        <v>-4.4658453135126043E-2</v>
      </c>
      <c r="AZ252" s="31">
        <f t="shared" si="473"/>
        <v>24.512299352092768</v>
      </c>
      <c r="BA252" s="25">
        <f t="shared" si="474"/>
        <v>23.952111760587361</v>
      </c>
      <c r="BB252" s="32">
        <f t="shared" ref="BB252:BB266" si="498">BA252-AZ252</f>
        <v>-0.56018759150540731</v>
      </c>
      <c r="BC252" s="33">
        <f t="shared" ref="BC252:BC266" si="499">BB252/AZ252</f>
        <v>-2.2853326954722451E-2</v>
      </c>
      <c r="BE252" s="31">
        <f t="shared" ref="BE252:BE266" si="500">S252</f>
        <v>24.0708153070522</v>
      </c>
      <c r="BF252" s="25">
        <f t="shared" ref="BF252:BF266" si="501">AB252</f>
        <v>24.435746099379035</v>
      </c>
      <c r="BG252" s="32">
        <f t="shared" ref="BG252:BG266" si="502">BF252-BE252</f>
        <v>0.36493079232683456</v>
      </c>
      <c r="BH252" s="33">
        <f t="shared" ref="BH252:BH266" si="503">BG252/BE252</f>
        <v>1.5160715898971571E-2</v>
      </c>
      <c r="BJ252" s="31">
        <f t="shared" si="475"/>
        <v>23.845713842511355</v>
      </c>
      <c r="BK252" s="25">
        <f t="shared" si="476"/>
        <v>23.737596829928219</v>
      </c>
      <c r="BL252" s="32">
        <f t="shared" si="477"/>
        <v>-0.10811701258313633</v>
      </c>
      <c r="BM252" s="33">
        <f t="shared" si="478"/>
        <v>-4.5340228980853105E-3</v>
      </c>
      <c r="BO252" s="62"/>
      <c r="BP252" s="62"/>
      <c r="BQ252" s="62"/>
      <c r="BR252" s="63"/>
    </row>
    <row r="253" spans="1:70">
      <c r="B253" s="1284"/>
      <c r="D253" s="5" t="s">
        <v>163</v>
      </c>
      <c r="E253" s="87">
        <f t="shared" ref="E253:L253" si="504">E836</f>
        <v>25.664947783231462</v>
      </c>
      <c r="F253" s="87">
        <f t="shared" si="504"/>
        <v>25.424880453586422</v>
      </c>
      <c r="G253" s="87">
        <f t="shared" si="504"/>
        <v>25.36574838581144</v>
      </c>
      <c r="H253" s="87">
        <f t="shared" si="504"/>
        <v>25.587950689977422</v>
      </c>
      <c r="I253" s="87">
        <f t="shared" si="504"/>
        <v>25.464070968979094</v>
      </c>
      <c r="J253" s="87">
        <f t="shared" si="504"/>
        <v>25.427738091351912</v>
      </c>
      <c r="K253" s="87">
        <f t="shared" si="504"/>
        <v>25.453697871477154</v>
      </c>
      <c r="L253" s="87">
        <f t="shared" si="504"/>
        <v>25.371499047075307</v>
      </c>
      <c r="N253" s="29">
        <f t="shared" si="480"/>
        <v>28.632984715933425</v>
      </c>
      <c r="O253" s="29">
        <f t="shared" si="481"/>
        <v>28.246141995880105</v>
      </c>
      <c r="P253" s="29">
        <f t="shared" si="481"/>
        <v>28.152223197843245</v>
      </c>
      <c r="Q253" s="29">
        <f t="shared" si="481"/>
        <v>28.353421113560717</v>
      </c>
      <c r="R253" s="29">
        <f t="shared" si="481"/>
        <v>27.887295144560785</v>
      </c>
      <c r="S253" s="29">
        <f t="shared" si="481"/>
        <v>27.427236326306552</v>
      </c>
      <c r="T253" s="29">
        <f t="shared" si="481"/>
        <v>27.089136501718805</v>
      </c>
      <c r="U253" s="29">
        <f t="shared" si="481"/>
        <v>26.618127952173193</v>
      </c>
      <c r="V253" s="122"/>
      <c r="W253" s="30">
        <f t="shared" ref="W253:AD253" si="505">W836</f>
        <v>25.524521780824674</v>
      </c>
      <c r="X253" s="30">
        <f t="shared" si="505"/>
        <v>27.164454880531078</v>
      </c>
      <c r="Y253" s="30">
        <f t="shared" si="468"/>
        <v>28.323704674770099</v>
      </c>
      <c r="Z253" s="30">
        <f t="shared" si="468"/>
        <v>27.498935723166504</v>
      </c>
      <c r="AA253" s="30">
        <f t="shared" si="469"/>
        <v>29.150840446727969</v>
      </c>
      <c r="AB253" s="30">
        <f t="shared" si="505"/>
        <v>27.429184454340302</v>
      </c>
      <c r="AC253" s="30">
        <f t="shared" ref="AC253" si="506">AC836</f>
        <v>26.289265328812863</v>
      </c>
      <c r="AD253" s="90">
        <f t="shared" si="505"/>
        <v>0</v>
      </c>
      <c r="AE253" s="122"/>
      <c r="AF253" s="29">
        <f t="shared" si="484"/>
        <v>28.632984715933425</v>
      </c>
      <c r="AG253" s="30">
        <f t="shared" si="485"/>
        <v>25.524521780824674</v>
      </c>
      <c r="AH253" s="32">
        <f t="shared" si="486"/>
        <v>-3.1084629351087507</v>
      </c>
      <c r="AI253" s="33">
        <f t="shared" si="487"/>
        <v>-0.10856230902742672</v>
      </c>
      <c r="AK253" s="29">
        <f t="shared" si="471"/>
        <v>28.246141995880105</v>
      </c>
      <c r="AL253" s="30">
        <f t="shared" si="472"/>
        <v>27.164454880531078</v>
      </c>
      <c r="AM253" s="32">
        <f t="shared" si="488"/>
        <v>-1.0816871153490268</v>
      </c>
      <c r="AN253" s="33">
        <f t="shared" si="489"/>
        <v>-3.8295039213029458E-2</v>
      </c>
      <c r="AP253" s="29">
        <f t="shared" si="490"/>
        <v>28.152223197843245</v>
      </c>
      <c r="AQ253" s="30">
        <f t="shared" si="491"/>
        <v>28.323704674770099</v>
      </c>
      <c r="AR253" s="32">
        <f t="shared" si="492"/>
        <v>0.17148147692685356</v>
      </c>
      <c r="AS253" s="33">
        <f t="shared" si="493"/>
        <v>6.0912232658055527E-3</v>
      </c>
      <c r="AU253" s="31">
        <f t="shared" si="494"/>
        <v>28.353421113560717</v>
      </c>
      <c r="AV253" s="25">
        <f t="shared" si="495"/>
        <v>27.498935723166504</v>
      </c>
      <c r="AW253" s="32">
        <f t="shared" si="496"/>
        <v>-0.85448539039421334</v>
      </c>
      <c r="AX253" s="33">
        <f t="shared" si="497"/>
        <v>-3.0136941393133502E-2</v>
      </c>
      <c r="AZ253" s="31">
        <f t="shared" si="473"/>
        <v>27.887295144560785</v>
      </c>
      <c r="BA253" s="25">
        <f t="shared" si="474"/>
        <v>29.150840446727969</v>
      </c>
      <c r="BB253" s="32">
        <f t="shared" si="498"/>
        <v>1.2635453021671843</v>
      </c>
      <c r="BC253" s="33">
        <f t="shared" si="499"/>
        <v>4.5308994494348789E-2</v>
      </c>
      <c r="BE253" s="31">
        <f t="shared" si="500"/>
        <v>27.427236326306552</v>
      </c>
      <c r="BF253" s="25">
        <f t="shared" si="501"/>
        <v>27.429184454340302</v>
      </c>
      <c r="BG253" s="32">
        <f t="shared" si="502"/>
        <v>1.9481280337494411E-3</v>
      </c>
      <c r="BH253" s="33">
        <f t="shared" si="503"/>
        <v>7.1028958607867983E-5</v>
      </c>
      <c r="BJ253" s="31">
        <f t="shared" si="475"/>
        <v>27.089136501718805</v>
      </c>
      <c r="BK253" s="25">
        <f t="shared" si="476"/>
        <v>26.289265328812863</v>
      </c>
      <c r="BL253" s="32">
        <f t="shared" si="477"/>
        <v>-0.79987117290594156</v>
      </c>
      <c r="BM253" s="33">
        <f t="shared" si="478"/>
        <v>-2.9527377989888668E-2</v>
      </c>
      <c r="BO253" s="62"/>
      <c r="BP253" s="62"/>
      <c r="BQ253" s="62"/>
      <c r="BR253" s="63"/>
    </row>
    <row r="254" spans="1:70">
      <c r="B254" s="1284"/>
      <c r="D254" s="5" t="s">
        <v>164</v>
      </c>
      <c r="E254" s="87">
        <f t="shared" ref="E254:L254" si="507">E837</f>
        <v>34.850200593562079</v>
      </c>
      <c r="F254" s="87">
        <f t="shared" si="507"/>
        <v>34.901899374659294</v>
      </c>
      <c r="G254" s="87">
        <f t="shared" si="507"/>
        <v>34.788031101529995</v>
      </c>
      <c r="H254" s="87">
        <f t="shared" si="507"/>
        <v>34.878162260666123</v>
      </c>
      <c r="I254" s="87">
        <f t="shared" si="507"/>
        <v>35.157462389632755</v>
      </c>
      <c r="J254" s="87">
        <f t="shared" si="507"/>
        <v>35.353250335379499</v>
      </c>
      <c r="K254" s="87">
        <f t="shared" si="507"/>
        <v>35.590784908488686</v>
      </c>
      <c r="L254" s="87">
        <f t="shared" si="507"/>
        <v>35.64718883262055</v>
      </c>
      <c r="N254" s="29">
        <f t="shared" si="480"/>
        <v>34.850200593562079</v>
      </c>
      <c r="O254" s="29">
        <f t="shared" si="481"/>
        <v>34.901899374659294</v>
      </c>
      <c r="P254" s="29">
        <f t="shared" si="481"/>
        <v>34.788031101529995</v>
      </c>
      <c r="Q254" s="29">
        <f t="shared" si="481"/>
        <v>34.878162260666123</v>
      </c>
      <c r="R254" s="29">
        <f t="shared" si="481"/>
        <v>35.157462389632755</v>
      </c>
      <c r="S254" s="29">
        <f t="shared" si="481"/>
        <v>35.353250335379499</v>
      </c>
      <c r="T254" s="29">
        <f t="shared" si="481"/>
        <v>35.590784908488686</v>
      </c>
      <c r="U254" s="29">
        <f t="shared" si="481"/>
        <v>35.64718883262055</v>
      </c>
      <c r="V254" s="122"/>
      <c r="W254" s="30">
        <f t="shared" ref="W254:AD254" si="508">W837</f>
        <v>31.813957411740219</v>
      </c>
      <c r="X254" s="30">
        <f t="shared" si="508"/>
        <v>30.55969102765366</v>
      </c>
      <c r="Y254" s="30">
        <f t="shared" si="468"/>
        <v>29.138776128013735</v>
      </c>
      <c r="Z254" s="30">
        <f t="shared" si="468"/>
        <v>28.382892876304233</v>
      </c>
      <c r="AA254" s="30">
        <f t="shared" si="469"/>
        <v>28.898182858637089</v>
      </c>
      <c r="AB254" s="30">
        <f t="shared" si="508"/>
        <v>29.886577443425001</v>
      </c>
      <c r="AC254" s="30">
        <f t="shared" ref="AC254" si="509">AC837</f>
        <v>35.716099999999997</v>
      </c>
      <c r="AD254" s="90">
        <f t="shared" si="508"/>
        <v>0</v>
      </c>
      <c r="AE254" s="122"/>
      <c r="AF254" s="29">
        <f t="shared" si="484"/>
        <v>34.850200593562079</v>
      </c>
      <c r="AG254" s="30">
        <f t="shared" si="485"/>
        <v>31.813957411740219</v>
      </c>
      <c r="AH254" s="32">
        <f t="shared" si="486"/>
        <v>-3.0362431818218596</v>
      </c>
      <c r="AI254" s="33">
        <f t="shared" si="487"/>
        <v>-8.7122688825577332E-2</v>
      </c>
      <c r="AK254" s="29">
        <f t="shared" si="471"/>
        <v>34.901899374659294</v>
      </c>
      <c r="AL254" s="30">
        <f t="shared" si="472"/>
        <v>30.55969102765366</v>
      </c>
      <c r="AM254" s="32">
        <f t="shared" si="488"/>
        <v>-4.3422083470056343</v>
      </c>
      <c r="AN254" s="33">
        <f t="shared" si="489"/>
        <v>-0.12441180637172765</v>
      </c>
      <c r="AP254" s="29">
        <f t="shared" si="490"/>
        <v>34.788031101529995</v>
      </c>
      <c r="AQ254" s="30">
        <f t="shared" si="491"/>
        <v>29.138776128013735</v>
      </c>
      <c r="AR254" s="32">
        <f t="shared" si="492"/>
        <v>-5.6492549735162605</v>
      </c>
      <c r="AS254" s="33">
        <f t="shared" si="493"/>
        <v>-0.16239076471527597</v>
      </c>
      <c r="AU254" s="31">
        <f t="shared" si="494"/>
        <v>34.878162260666123</v>
      </c>
      <c r="AV254" s="25">
        <f t="shared" si="495"/>
        <v>28.382892876304233</v>
      </c>
      <c r="AW254" s="32">
        <f t="shared" si="496"/>
        <v>-6.4952693843618903</v>
      </c>
      <c r="AX254" s="33">
        <f t="shared" si="497"/>
        <v>-0.18622739741327873</v>
      </c>
      <c r="AZ254" s="31">
        <f t="shared" si="473"/>
        <v>35.157462389632755</v>
      </c>
      <c r="BA254" s="25">
        <f t="shared" si="474"/>
        <v>28.898182858637089</v>
      </c>
      <c r="BB254" s="32">
        <f t="shared" si="498"/>
        <v>-6.2592795309956664</v>
      </c>
      <c r="BC254" s="33">
        <f t="shared" si="499"/>
        <v>-0.17803558919091397</v>
      </c>
      <c r="BE254" s="31">
        <f t="shared" si="500"/>
        <v>35.353250335379499</v>
      </c>
      <c r="BF254" s="25">
        <f t="shared" si="501"/>
        <v>29.886577443425001</v>
      </c>
      <c r="BG254" s="32">
        <f t="shared" si="502"/>
        <v>-5.4666728919544987</v>
      </c>
      <c r="BH254" s="33">
        <f t="shared" si="503"/>
        <v>-0.15462999413334752</v>
      </c>
      <c r="BJ254" s="31">
        <f t="shared" si="475"/>
        <v>35.590784908488686</v>
      </c>
      <c r="BK254" s="25">
        <f t="shared" si="476"/>
        <v>35.716099999999997</v>
      </c>
      <c r="BL254" s="32">
        <f t="shared" si="477"/>
        <v>0.12531509151131104</v>
      </c>
      <c r="BM254" s="33">
        <f t="shared" si="478"/>
        <v>3.5209982537199509E-3</v>
      </c>
      <c r="BO254" s="62"/>
      <c r="BP254" s="62"/>
      <c r="BQ254" s="62"/>
      <c r="BR254" s="63"/>
    </row>
    <row r="255" spans="1:70">
      <c r="B255" s="1284"/>
      <c r="D255" s="5" t="s">
        <v>165</v>
      </c>
      <c r="E255" s="87">
        <f t="shared" ref="E255:L255" si="510">E838</f>
        <v>36.297523233765432</v>
      </c>
      <c r="F255" s="87">
        <f t="shared" si="510"/>
        <v>36.303484148795746</v>
      </c>
      <c r="G255" s="87">
        <f t="shared" si="510"/>
        <v>36.124111949813482</v>
      </c>
      <c r="H255" s="87">
        <f t="shared" si="510"/>
        <v>36.153053910090478</v>
      </c>
      <c r="I255" s="87">
        <f t="shared" si="510"/>
        <v>36.370915439097701</v>
      </c>
      <c r="J255" s="87">
        <f t="shared" si="510"/>
        <v>36.534919954531809</v>
      </c>
      <c r="K255" s="87">
        <f t="shared" si="510"/>
        <v>36.973048609638823</v>
      </c>
      <c r="L255" s="87">
        <f t="shared" si="510"/>
        <v>36.970445877198294</v>
      </c>
      <c r="N255" s="29">
        <f t="shared" si="480"/>
        <v>36.297523233765432</v>
      </c>
      <c r="O255" s="29">
        <f t="shared" si="481"/>
        <v>36.303484148795746</v>
      </c>
      <c r="P255" s="29">
        <f t="shared" si="481"/>
        <v>36.124111949813482</v>
      </c>
      <c r="Q255" s="29">
        <f t="shared" si="481"/>
        <v>36.153053910090478</v>
      </c>
      <c r="R255" s="29">
        <f t="shared" si="481"/>
        <v>36.370915439097701</v>
      </c>
      <c r="S255" s="29">
        <f t="shared" si="481"/>
        <v>36.534919954531809</v>
      </c>
      <c r="T255" s="29">
        <f t="shared" si="481"/>
        <v>36.973048609638823</v>
      </c>
      <c r="U255" s="29">
        <f t="shared" si="481"/>
        <v>36.970445877198294</v>
      </c>
      <c r="V255" s="122"/>
      <c r="W255" s="30">
        <f t="shared" ref="W255:AD255" si="511">W838</f>
        <v>31.924659918360426</v>
      </c>
      <c r="X255" s="30">
        <f t="shared" si="511"/>
        <v>30.59374330847724</v>
      </c>
      <c r="Y255" s="30">
        <f t="shared" si="468"/>
        <v>29.323609240909683</v>
      </c>
      <c r="Z255" s="30">
        <f t="shared" si="468"/>
        <v>29.458241252629644</v>
      </c>
      <c r="AA255" s="30">
        <f t="shared" si="469"/>
        <v>28.892615798129661</v>
      </c>
      <c r="AB255" s="30">
        <f t="shared" si="511"/>
        <v>30.442535945908279</v>
      </c>
      <c r="AC255" s="30">
        <f t="shared" ref="AC255" si="512">AC838</f>
        <v>36.616300000000003</v>
      </c>
      <c r="AD255" s="90">
        <f t="shared" si="511"/>
        <v>0</v>
      </c>
      <c r="AE255" s="122"/>
      <c r="AF255" s="29">
        <f t="shared" si="484"/>
        <v>36.297523233765432</v>
      </c>
      <c r="AG255" s="30">
        <f t="shared" si="485"/>
        <v>31.924659918360426</v>
      </c>
      <c r="AH255" s="32">
        <f t="shared" si="486"/>
        <v>-4.3728633154050058</v>
      </c>
      <c r="AI255" s="33">
        <f t="shared" si="487"/>
        <v>-0.12047277405796081</v>
      </c>
      <c r="AK255" s="29">
        <f t="shared" si="471"/>
        <v>36.303484148795746</v>
      </c>
      <c r="AL255" s="30">
        <f t="shared" si="472"/>
        <v>30.59374330847724</v>
      </c>
      <c r="AM255" s="32">
        <f t="shared" si="488"/>
        <v>-5.7097408403185064</v>
      </c>
      <c r="AN255" s="33">
        <f t="shared" si="489"/>
        <v>-0.15727804022655795</v>
      </c>
      <c r="AP255" s="29">
        <f t="shared" si="490"/>
        <v>36.124111949813482</v>
      </c>
      <c r="AQ255" s="30">
        <f t="shared" si="491"/>
        <v>29.323609240909683</v>
      </c>
      <c r="AR255" s="32">
        <f t="shared" si="492"/>
        <v>-6.8005027089037995</v>
      </c>
      <c r="AS255" s="33">
        <f t="shared" si="493"/>
        <v>-0.18825383772344645</v>
      </c>
      <c r="AU255" s="31">
        <f t="shared" si="494"/>
        <v>36.153053910090478</v>
      </c>
      <c r="AV255" s="25">
        <f t="shared" si="495"/>
        <v>29.458241252629644</v>
      </c>
      <c r="AW255" s="32">
        <f t="shared" si="496"/>
        <v>-6.6948126574608331</v>
      </c>
      <c r="AX255" s="33">
        <f t="shared" si="497"/>
        <v>-0.18517972711545347</v>
      </c>
      <c r="AZ255" s="31">
        <f t="shared" si="473"/>
        <v>36.370915439097701</v>
      </c>
      <c r="BA255" s="25">
        <f t="shared" si="474"/>
        <v>28.892615798129661</v>
      </c>
      <c r="BB255" s="32">
        <f t="shared" si="498"/>
        <v>-7.4782996409680393</v>
      </c>
      <c r="BC255" s="33">
        <f t="shared" si="499"/>
        <v>-0.2056120818154904</v>
      </c>
      <c r="BE255" s="31">
        <f t="shared" si="500"/>
        <v>36.534919954531809</v>
      </c>
      <c r="BF255" s="25">
        <f t="shared" si="501"/>
        <v>30.442535945908279</v>
      </c>
      <c r="BG255" s="32">
        <f t="shared" si="502"/>
        <v>-6.0923840086235295</v>
      </c>
      <c r="BH255" s="33">
        <f t="shared" si="503"/>
        <v>-0.16675509392673044</v>
      </c>
      <c r="BJ255" s="31">
        <f t="shared" si="475"/>
        <v>36.973048609638823</v>
      </c>
      <c r="BK255" s="25">
        <f t="shared" si="476"/>
        <v>36.616300000000003</v>
      </c>
      <c r="BL255" s="32">
        <f t="shared" si="477"/>
        <v>-0.35674860963882082</v>
      </c>
      <c r="BM255" s="33">
        <f t="shared" si="478"/>
        <v>-9.6488827146868524E-3</v>
      </c>
      <c r="BO255" s="62"/>
      <c r="BP255" s="62"/>
      <c r="BQ255" s="62"/>
      <c r="BR255" s="63"/>
    </row>
    <row r="256" spans="1:70">
      <c r="B256" s="1284"/>
      <c r="D256" s="5" t="s">
        <v>166</v>
      </c>
      <c r="E256" s="87">
        <f t="shared" ref="E256:L256" si="513">E839</f>
        <v>18.88067707578135</v>
      </c>
      <c r="F256" s="87">
        <f t="shared" si="513"/>
        <v>18.876010723437897</v>
      </c>
      <c r="G256" s="87">
        <f t="shared" si="513"/>
        <v>18.702148010906559</v>
      </c>
      <c r="H256" s="87">
        <f t="shared" si="513"/>
        <v>18.843757985216218</v>
      </c>
      <c r="I256" s="87">
        <f t="shared" si="513"/>
        <v>18.774246877981803</v>
      </c>
      <c r="J256" s="87">
        <f t="shared" si="513"/>
        <v>18.91741260122053</v>
      </c>
      <c r="K256" s="87">
        <f t="shared" si="513"/>
        <v>18.948483655655281</v>
      </c>
      <c r="L256" s="87">
        <f t="shared" si="513"/>
        <v>18.953704598183212</v>
      </c>
      <c r="N256" s="29">
        <f t="shared" si="480"/>
        <v>18.88067707578135</v>
      </c>
      <c r="O256" s="29">
        <f t="shared" si="481"/>
        <v>18.876010723437897</v>
      </c>
      <c r="P256" s="29">
        <f t="shared" si="481"/>
        <v>18.702148010906559</v>
      </c>
      <c r="Q256" s="29">
        <f t="shared" si="481"/>
        <v>18.843757985216218</v>
      </c>
      <c r="R256" s="29">
        <f t="shared" si="481"/>
        <v>18.774246877981803</v>
      </c>
      <c r="S256" s="29">
        <f t="shared" si="481"/>
        <v>18.91741260122053</v>
      </c>
      <c r="T256" s="29">
        <f t="shared" si="481"/>
        <v>18.948483655655281</v>
      </c>
      <c r="U256" s="29">
        <f t="shared" si="481"/>
        <v>18.953704598183212</v>
      </c>
      <c r="V256" s="122"/>
      <c r="W256" s="30">
        <f t="shared" ref="W256:AD256" si="514">W839</f>
        <v>16.876914969182799</v>
      </c>
      <c r="X256" s="30">
        <f t="shared" si="514"/>
        <v>16.197965457825145</v>
      </c>
      <c r="Y256" s="30">
        <f t="shared" si="468"/>
        <v>15.537639664906077</v>
      </c>
      <c r="Z256" s="30">
        <f t="shared" si="468"/>
        <v>15.708587158851852</v>
      </c>
      <c r="AA256" s="30">
        <f t="shared" si="469"/>
        <v>15.24207637505935</v>
      </c>
      <c r="AB256" s="30">
        <f t="shared" si="514"/>
        <v>16.703083547780686</v>
      </c>
      <c r="AC256" s="30">
        <f t="shared" ref="AC256" si="515">AC839</f>
        <v>21.807199999999998</v>
      </c>
      <c r="AD256" s="90">
        <f t="shared" si="514"/>
        <v>0</v>
      </c>
      <c r="AE256" s="122"/>
      <c r="AF256" s="29">
        <f t="shared" si="484"/>
        <v>18.88067707578135</v>
      </c>
      <c r="AG256" s="30">
        <f t="shared" si="485"/>
        <v>16.876914969182799</v>
      </c>
      <c r="AH256" s="32">
        <f t="shared" si="486"/>
        <v>-2.0037621065985505</v>
      </c>
      <c r="AI256" s="33">
        <f t="shared" si="487"/>
        <v>-0.10612766155345241</v>
      </c>
      <c r="AK256" s="29">
        <f t="shared" si="471"/>
        <v>18.876010723437897</v>
      </c>
      <c r="AL256" s="30">
        <f t="shared" si="472"/>
        <v>16.197965457825145</v>
      </c>
      <c r="AM256" s="32">
        <f t="shared" si="488"/>
        <v>-2.6780452656127522</v>
      </c>
      <c r="AN256" s="33">
        <f t="shared" si="489"/>
        <v>-0.14187559568863176</v>
      </c>
      <c r="AP256" s="29">
        <f t="shared" si="490"/>
        <v>18.702148010906559</v>
      </c>
      <c r="AQ256" s="30">
        <f t="shared" si="491"/>
        <v>15.537639664906077</v>
      </c>
      <c r="AR256" s="32">
        <f t="shared" si="492"/>
        <v>-3.1645083460004813</v>
      </c>
      <c r="AS256" s="33">
        <f t="shared" si="493"/>
        <v>-0.16920560911800239</v>
      </c>
      <c r="AU256" s="31">
        <f t="shared" si="494"/>
        <v>18.843757985216218</v>
      </c>
      <c r="AV256" s="25">
        <f t="shared" si="495"/>
        <v>15.708587158851852</v>
      </c>
      <c r="AW256" s="32">
        <f t="shared" si="496"/>
        <v>-3.1351708263643658</v>
      </c>
      <c r="AX256" s="33">
        <f t="shared" si="497"/>
        <v>-0.16637715411246787</v>
      </c>
      <c r="AZ256" s="31">
        <f t="shared" si="473"/>
        <v>18.774246877981803</v>
      </c>
      <c r="BA256" s="25">
        <f t="shared" si="474"/>
        <v>15.24207637505935</v>
      </c>
      <c r="BB256" s="32">
        <f t="shared" si="498"/>
        <v>-3.5321705029224528</v>
      </c>
      <c r="BC256" s="33">
        <f t="shared" si="499"/>
        <v>-0.1881391315390093</v>
      </c>
      <c r="BE256" s="31">
        <f t="shared" si="500"/>
        <v>18.91741260122053</v>
      </c>
      <c r="BF256" s="25">
        <f t="shared" si="501"/>
        <v>16.703083547780686</v>
      </c>
      <c r="BG256" s="32">
        <f t="shared" si="502"/>
        <v>-2.2143290534398439</v>
      </c>
      <c r="BH256" s="33">
        <f t="shared" si="503"/>
        <v>-0.11705242678361721</v>
      </c>
      <c r="BJ256" s="31">
        <f t="shared" si="475"/>
        <v>18.948483655655281</v>
      </c>
      <c r="BK256" s="25">
        <f t="shared" si="476"/>
        <v>21.807199999999998</v>
      </c>
      <c r="BL256" s="32">
        <f t="shared" si="477"/>
        <v>2.8587163443447174</v>
      </c>
      <c r="BM256" s="33">
        <f t="shared" si="478"/>
        <v>0.15086781593162035</v>
      </c>
      <c r="BO256" s="62"/>
      <c r="BP256" s="62"/>
      <c r="BQ256" s="62"/>
      <c r="BR256" s="63"/>
    </row>
    <row r="257" spans="1:70">
      <c r="B257" s="1284"/>
      <c r="D257" s="5" t="s">
        <v>167</v>
      </c>
      <c r="E257" s="87">
        <f t="shared" ref="E257:L257" si="516">E840</f>
        <v>29.910832433904034</v>
      </c>
      <c r="F257" s="87">
        <f t="shared" si="516"/>
        <v>29.98911808566028</v>
      </c>
      <c r="G257" s="87">
        <f t="shared" si="516"/>
        <v>29.990707102825752</v>
      </c>
      <c r="H257" s="87">
        <f t="shared" si="516"/>
        <v>30.060156615693227</v>
      </c>
      <c r="I257" s="87">
        <f t="shared" si="516"/>
        <v>30.173884949815818</v>
      </c>
      <c r="J257" s="87">
        <f t="shared" si="516"/>
        <v>30.404323689072484</v>
      </c>
      <c r="K257" s="87">
        <f t="shared" si="516"/>
        <v>30.438148111205805</v>
      </c>
      <c r="L257" s="87">
        <f t="shared" si="516"/>
        <v>30.617744373244022</v>
      </c>
      <c r="N257" s="29">
        <f t="shared" si="480"/>
        <v>29.910832433904034</v>
      </c>
      <c r="O257" s="29">
        <f t="shared" si="481"/>
        <v>29.98911808566028</v>
      </c>
      <c r="P257" s="29">
        <f t="shared" si="481"/>
        <v>29.990707102825752</v>
      </c>
      <c r="Q257" s="29">
        <f t="shared" si="481"/>
        <v>30.060156615693227</v>
      </c>
      <c r="R257" s="29">
        <f t="shared" si="481"/>
        <v>30.173884949815818</v>
      </c>
      <c r="S257" s="29">
        <f t="shared" si="481"/>
        <v>30.404323689072484</v>
      </c>
      <c r="T257" s="29">
        <f t="shared" si="481"/>
        <v>30.438148111205805</v>
      </c>
      <c r="U257" s="29">
        <f t="shared" si="481"/>
        <v>30.617744373244022</v>
      </c>
      <c r="W257" s="30">
        <f t="shared" ref="W257:AD257" si="517">W840</f>
        <v>27.84485876430524</v>
      </c>
      <c r="X257" s="30">
        <f t="shared" si="517"/>
        <v>26.442065746135732</v>
      </c>
      <c r="Y257" s="30">
        <f t="shared" si="468"/>
        <v>26.628418742270142</v>
      </c>
      <c r="Z257" s="30">
        <f t="shared" si="468"/>
        <v>24.896769618930634</v>
      </c>
      <c r="AA257" s="30">
        <f t="shared" si="469"/>
        <v>25.335585310450661</v>
      </c>
      <c r="AB257" s="30">
        <f t="shared" si="517"/>
        <v>25.212231518151256</v>
      </c>
      <c r="AC257" s="30">
        <f t="shared" ref="AC257" si="518">AC840</f>
        <v>31.001499999999997</v>
      </c>
      <c r="AD257" s="90">
        <f t="shared" si="517"/>
        <v>0</v>
      </c>
      <c r="AF257" s="29">
        <f t="shared" si="484"/>
        <v>29.910832433904034</v>
      </c>
      <c r="AG257" s="30">
        <f t="shared" si="485"/>
        <v>27.84485876430524</v>
      </c>
      <c r="AH257" s="32">
        <f t="shared" si="486"/>
        <v>-2.0659736695987938</v>
      </c>
      <c r="AI257" s="33">
        <f t="shared" si="487"/>
        <v>-6.9071085673195962E-2</v>
      </c>
      <c r="AK257" s="29">
        <f t="shared" si="471"/>
        <v>29.98911808566028</v>
      </c>
      <c r="AL257" s="30">
        <f t="shared" si="472"/>
        <v>26.442065746135732</v>
      </c>
      <c r="AM257" s="32">
        <f t="shared" si="488"/>
        <v>-3.5470523395245479</v>
      </c>
      <c r="AN257" s="33">
        <f t="shared" si="489"/>
        <v>-0.11827798101274012</v>
      </c>
      <c r="AP257" s="29">
        <f t="shared" si="490"/>
        <v>29.990707102825752</v>
      </c>
      <c r="AQ257" s="30">
        <f t="shared" si="491"/>
        <v>26.628418742270142</v>
      </c>
      <c r="AR257" s="32">
        <f t="shared" si="492"/>
        <v>-3.3622883605556098</v>
      </c>
      <c r="AS257" s="33">
        <f t="shared" si="493"/>
        <v>-0.1121110065537205</v>
      </c>
      <c r="AU257" s="31">
        <f t="shared" si="494"/>
        <v>30.060156615693227</v>
      </c>
      <c r="AV257" s="25">
        <f t="shared" si="495"/>
        <v>24.896769618930634</v>
      </c>
      <c r="AW257" s="32">
        <f t="shared" si="496"/>
        <v>-5.1633869967625934</v>
      </c>
      <c r="AX257" s="33">
        <f t="shared" si="497"/>
        <v>-0.17176846623836256</v>
      </c>
      <c r="AZ257" s="31">
        <f t="shared" si="473"/>
        <v>30.173884949815818</v>
      </c>
      <c r="BA257" s="25">
        <f t="shared" si="474"/>
        <v>25.335585310450661</v>
      </c>
      <c r="BB257" s="32">
        <f t="shared" si="498"/>
        <v>-4.8382996393651574</v>
      </c>
      <c r="BC257" s="33">
        <f t="shared" si="499"/>
        <v>-0.16034725549633577</v>
      </c>
      <c r="BE257" s="31">
        <f t="shared" si="500"/>
        <v>30.404323689072484</v>
      </c>
      <c r="BF257" s="25">
        <f t="shared" si="501"/>
        <v>25.212231518151256</v>
      </c>
      <c r="BG257" s="32">
        <f t="shared" si="502"/>
        <v>-5.192092170921228</v>
      </c>
      <c r="BH257" s="33">
        <f t="shared" si="503"/>
        <v>-0.17076821783696838</v>
      </c>
      <c r="BJ257" s="31">
        <f t="shared" si="475"/>
        <v>30.438148111205805</v>
      </c>
      <c r="BK257" s="25">
        <f t="shared" si="476"/>
        <v>31.001499999999997</v>
      </c>
      <c r="BL257" s="32">
        <f t="shared" si="477"/>
        <v>0.56335188879419107</v>
      </c>
      <c r="BM257" s="33">
        <f t="shared" si="478"/>
        <v>1.850808684996158E-2</v>
      </c>
      <c r="BO257" s="62"/>
      <c r="BP257" s="62"/>
      <c r="BQ257" s="62"/>
      <c r="BR257" s="63"/>
    </row>
    <row r="258" spans="1:70">
      <c r="B258" s="1284"/>
      <c r="D258" s="5" t="s">
        <v>168</v>
      </c>
      <c r="E258" s="87">
        <f t="shared" ref="E258:L258" si="519">E841</f>
        <v>28.157999056892987</v>
      </c>
      <c r="F258" s="87">
        <f t="shared" si="519"/>
        <v>28.426023143728589</v>
      </c>
      <c r="G258" s="87">
        <f t="shared" si="519"/>
        <v>27.984343205125388</v>
      </c>
      <c r="H258" s="87">
        <f t="shared" si="519"/>
        <v>27.732965434246758</v>
      </c>
      <c r="I258" s="87">
        <f t="shared" si="519"/>
        <v>27.735173864819494</v>
      </c>
      <c r="J258" s="87">
        <f t="shared" si="519"/>
        <v>27.759520058785373</v>
      </c>
      <c r="K258" s="87">
        <f t="shared" si="519"/>
        <v>27.751682926211803</v>
      </c>
      <c r="L258" s="87">
        <f t="shared" si="519"/>
        <v>27.419185616139998</v>
      </c>
      <c r="N258" s="29">
        <f t="shared" si="480"/>
        <v>30.431469846216093</v>
      </c>
      <c r="O258" s="29">
        <f t="shared" si="481"/>
        <v>29.75612731301289</v>
      </c>
      <c r="P258" s="29">
        <f t="shared" si="481"/>
        <v>28.633560809908126</v>
      </c>
      <c r="Q258" s="29">
        <f t="shared" si="481"/>
        <v>28.383018999451174</v>
      </c>
      <c r="R258" s="29">
        <f t="shared" si="481"/>
        <v>27.911678352082429</v>
      </c>
      <c r="S258" s="29">
        <f t="shared" si="481"/>
        <v>27.330628571458583</v>
      </c>
      <c r="T258" s="29">
        <f t="shared" si="481"/>
        <v>26.564064488805652</v>
      </c>
      <c r="U258" s="29">
        <f t="shared" si="481"/>
        <v>25.851863600666903</v>
      </c>
      <c r="W258" s="30">
        <f t="shared" ref="W258:AD258" si="520">W841</f>
        <v>25.878323929285663</v>
      </c>
      <c r="X258" s="30">
        <f t="shared" si="520"/>
        <v>24.833343436077346</v>
      </c>
      <c r="Y258" s="30">
        <f t="shared" si="468"/>
        <v>29.270245096969827</v>
      </c>
      <c r="Z258" s="30">
        <f t="shared" si="468"/>
        <v>29.664569860180503</v>
      </c>
      <c r="AA258" s="30">
        <f t="shared" si="469"/>
        <v>29.459859519939148</v>
      </c>
      <c r="AB258" s="30">
        <f t="shared" si="520"/>
        <v>28.670507741385624</v>
      </c>
      <c r="AC258" s="30">
        <f t="shared" ref="AC258" si="521">AC841</f>
        <v>28.886573956422513</v>
      </c>
      <c r="AD258" s="90">
        <f t="shared" si="520"/>
        <v>0</v>
      </c>
      <c r="AF258" s="29">
        <f t="shared" si="484"/>
        <v>30.431469846216093</v>
      </c>
      <c r="AG258" s="30">
        <f t="shared" si="485"/>
        <v>25.878323929285663</v>
      </c>
      <c r="AH258" s="32">
        <f t="shared" si="486"/>
        <v>-4.5531459169304291</v>
      </c>
      <c r="AI258" s="33">
        <f t="shared" si="487"/>
        <v>-0.14961965162838087</v>
      </c>
      <c r="AK258" s="29">
        <f t="shared" si="471"/>
        <v>29.75612731301289</v>
      </c>
      <c r="AL258" s="30">
        <f t="shared" si="472"/>
        <v>24.833343436077346</v>
      </c>
      <c r="AM258" s="32">
        <f t="shared" si="488"/>
        <v>-4.9227838769355436</v>
      </c>
      <c r="AN258" s="33">
        <f t="shared" si="489"/>
        <v>-0.16543765339996788</v>
      </c>
      <c r="AP258" s="29">
        <f t="shared" si="490"/>
        <v>28.633560809908126</v>
      </c>
      <c r="AQ258" s="30">
        <f t="shared" si="491"/>
        <v>29.270245096969827</v>
      </c>
      <c r="AR258" s="32">
        <f t="shared" si="492"/>
        <v>0.63668428706170133</v>
      </c>
      <c r="AS258" s="33">
        <f t="shared" si="493"/>
        <v>2.2235595890029446E-2</v>
      </c>
      <c r="AU258" s="31">
        <f t="shared" si="494"/>
        <v>28.383018999451174</v>
      </c>
      <c r="AV258" s="25">
        <f t="shared" si="495"/>
        <v>29.664569860180503</v>
      </c>
      <c r="AW258" s="32">
        <f t="shared" si="496"/>
        <v>1.2815508607293289</v>
      </c>
      <c r="AX258" s="33">
        <f t="shared" si="497"/>
        <v>4.5152027723129436E-2</v>
      </c>
      <c r="AZ258" s="31">
        <f t="shared" si="473"/>
        <v>27.911678352082429</v>
      </c>
      <c r="BA258" s="25">
        <f t="shared" si="474"/>
        <v>29.459859519939148</v>
      </c>
      <c r="BB258" s="32">
        <f t="shared" si="498"/>
        <v>1.5481811678567183</v>
      </c>
      <c r="BC258" s="33">
        <f t="shared" si="499"/>
        <v>5.5467147060370592E-2</v>
      </c>
      <c r="BE258" s="31">
        <f t="shared" si="500"/>
        <v>27.330628571458583</v>
      </c>
      <c r="BF258" s="25">
        <f t="shared" si="501"/>
        <v>28.670507741385624</v>
      </c>
      <c r="BG258" s="32">
        <f t="shared" si="502"/>
        <v>1.3398791699270411</v>
      </c>
      <c r="BH258" s="33">
        <f t="shared" si="503"/>
        <v>4.9024820868052738E-2</v>
      </c>
      <c r="BJ258" s="31">
        <f t="shared" si="475"/>
        <v>26.564064488805652</v>
      </c>
      <c r="BK258" s="25">
        <f t="shared" si="476"/>
        <v>28.886573956422513</v>
      </c>
      <c r="BL258" s="32">
        <f t="shared" si="477"/>
        <v>2.3225094676168609</v>
      </c>
      <c r="BM258" s="33">
        <f t="shared" si="478"/>
        <v>8.7430501028770966E-2</v>
      </c>
      <c r="BO258" s="62"/>
      <c r="BP258" s="62"/>
      <c r="BQ258" s="62"/>
      <c r="BR258" s="63"/>
    </row>
    <row r="259" spans="1:70">
      <c r="B259" s="1284"/>
      <c r="D259" s="5" t="s">
        <v>169</v>
      </c>
      <c r="E259" s="87">
        <f t="shared" ref="E259:L259" si="522">E842</f>
        <v>28.592614819600225</v>
      </c>
      <c r="F259" s="87">
        <f t="shared" si="522"/>
        <v>28.684985692736582</v>
      </c>
      <c r="G259" s="87">
        <f t="shared" si="522"/>
        <v>28.404480051905509</v>
      </c>
      <c r="H259" s="87">
        <f t="shared" si="522"/>
        <v>28.577649013725448</v>
      </c>
      <c r="I259" s="87">
        <f t="shared" si="522"/>
        <v>28.690314475687234</v>
      </c>
      <c r="J259" s="87">
        <f t="shared" si="522"/>
        <v>28.648960693334818</v>
      </c>
      <c r="K259" s="87">
        <f t="shared" si="522"/>
        <v>28.540828142753227</v>
      </c>
      <c r="L259" s="87">
        <f t="shared" si="522"/>
        <v>28.242224706603515</v>
      </c>
      <c r="N259" s="29">
        <f t="shared" si="480"/>
        <v>31.172773602797289</v>
      </c>
      <c r="O259" s="29">
        <f t="shared" si="481"/>
        <v>30.705877097085409</v>
      </c>
      <c r="P259" s="29">
        <f t="shared" si="481"/>
        <v>29.61483905112814</v>
      </c>
      <c r="Q259" s="29">
        <f t="shared" si="481"/>
        <v>29.278922511291416</v>
      </c>
      <c r="R259" s="29">
        <f t="shared" si="481"/>
        <v>28.682319729088182</v>
      </c>
      <c r="S259" s="29">
        <f t="shared" si="481"/>
        <v>28.188828655008511</v>
      </c>
      <c r="T259" s="29">
        <f t="shared" si="481"/>
        <v>28.00786174714878</v>
      </c>
      <c r="U259" s="29">
        <f t="shared" si="481"/>
        <v>27.371039376835043</v>
      </c>
      <c r="W259" s="30">
        <f t="shared" ref="W259:AD259" si="523">W842</f>
        <v>22.212433569051122</v>
      </c>
      <c r="X259" s="30">
        <f t="shared" si="523"/>
        <v>24.922133788762345</v>
      </c>
      <c r="Y259" s="30">
        <f t="shared" si="468"/>
        <v>25.466462980734416</v>
      </c>
      <c r="Z259" s="30">
        <f t="shared" si="468"/>
        <v>25.301439723010514</v>
      </c>
      <c r="AA259" s="30">
        <f t="shared" si="469"/>
        <v>26.703137721457193</v>
      </c>
      <c r="AB259" s="30">
        <f t="shared" si="523"/>
        <v>28.274680048462816</v>
      </c>
      <c r="AC259" s="30">
        <f t="shared" ref="AC259" si="524">AC842</f>
        <v>27.270940122269508</v>
      </c>
      <c r="AD259" s="90">
        <f t="shared" si="523"/>
        <v>0</v>
      </c>
      <c r="AF259" s="29">
        <f t="shared" si="484"/>
        <v>31.172773602797289</v>
      </c>
      <c r="AG259" s="30">
        <f t="shared" si="485"/>
        <v>22.212433569051122</v>
      </c>
      <c r="AH259" s="32">
        <f t="shared" si="486"/>
        <v>-8.9603400337461672</v>
      </c>
      <c r="AI259" s="33">
        <f t="shared" si="487"/>
        <v>-0.28744121867109418</v>
      </c>
      <c r="AK259" s="29">
        <f t="shared" si="471"/>
        <v>30.705877097085409</v>
      </c>
      <c r="AL259" s="30">
        <f t="shared" si="472"/>
        <v>24.922133788762345</v>
      </c>
      <c r="AM259" s="32">
        <f t="shared" si="488"/>
        <v>-5.7837433083230643</v>
      </c>
      <c r="AN259" s="33">
        <f t="shared" si="489"/>
        <v>-0.18835948864238941</v>
      </c>
      <c r="AP259" s="29">
        <f t="shared" si="490"/>
        <v>29.61483905112814</v>
      </c>
      <c r="AQ259" s="30">
        <f t="shared" si="491"/>
        <v>25.466462980734416</v>
      </c>
      <c r="AR259" s="32">
        <f t="shared" si="492"/>
        <v>-4.1483760703937236</v>
      </c>
      <c r="AS259" s="33">
        <f t="shared" si="493"/>
        <v>-0.14007761660402124</v>
      </c>
      <c r="AU259" s="31">
        <f t="shared" si="494"/>
        <v>29.278922511291416</v>
      </c>
      <c r="AV259" s="25">
        <f t="shared" si="495"/>
        <v>25.301439723010514</v>
      </c>
      <c r="AW259" s="32">
        <f t="shared" si="496"/>
        <v>-3.9774827882809021</v>
      </c>
      <c r="AX259" s="33">
        <f t="shared" si="497"/>
        <v>-0.13584799053814176</v>
      </c>
      <c r="AZ259" s="31">
        <f t="shared" si="473"/>
        <v>28.682319729088182</v>
      </c>
      <c r="BA259" s="25">
        <f t="shared" si="474"/>
        <v>26.703137721457193</v>
      </c>
      <c r="BB259" s="32">
        <f t="shared" si="498"/>
        <v>-1.9791820076309889</v>
      </c>
      <c r="BC259" s="33">
        <f t="shared" si="499"/>
        <v>-6.900355432631905E-2</v>
      </c>
      <c r="BE259" s="31">
        <f t="shared" si="500"/>
        <v>28.188828655008511</v>
      </c>
      <c r="BF259" s="25">
        <f t="shared" si="501"/>
        <v>28.274680048462816</v>
      </c>
      <c r="BG259" s="32">
        <f t="shared" si="502"/>
        <v>8.585139345430548E-2</v>
      </c>
      <c r="BH259" s="33">
        <f t="shared" si="503"/>
        <v>3.0455821525968815E-3</v>
      </c>
      <c r="BJ259" s="31">
        <f t="shared" si="475"/>
        <v>28.00786174714878</v>
      </c>
      <c r="BK259" s="25">
        <f t="shared" si="476"/>
        <v>27.270940122269508</v>
      </c>
      <c r="BL259" s="32">
        <f t="shared" si="477"/>
        <v>-0.73692162487927249</v>
      </c>
      <c r="BM259" s="33">
        <f t="shared" si="478"/>
        <v>-2.6311241876730972E-2</v>
      </c>
      <c r="BO259" s="62"/>
      <c r="BP259" s="62"/>
      <c r="BQ259" s="62"/>
      <c r="BR259" s="63"/>
    </row>
    <row r="260" spans="1:70">
      <c r="B260" s="1284"/>
      <c r="D260" s="5" t="s">
        <v>170</v>
      </c>
      <c r="E260" s="87">
        <f t="shared" ref="E260:L260" si="525">E843</f>
        <v>36.546924889211716</v>
      </c>
      <c r="F260" s="87">
        <f t="shared" si="525"/>
        <v>36.88895761115424</v>
      </c>
      <c r="G260" s="87">
        <f t="shared" si="525"/>
        <v>36.507360743429103</v>
      </c>
      <c r="H260" s="87">
        <f t="shared" si="525"/>
        <v>36.922993639230704</v>
      </c>
      <c r="I260" s="87">
        <f t="shared" si="525"/>
        <v>36.911273509266657</v>
      </c>
      <c r="J260" s="87">
        <f t="shared" si="525"/>
        <v>36.836140155219496</v>
      </c>
      <c r="K260" s="87">
        <f t="shared" si="525"/>
        <v>36.876638995366143</v>
      </c>
      <c r="L260" s="87">
        <f t="shared" si="525"/>
        <v>36.369973119071688</v>
      </c>
      <c r="N260" s="29">
        <f t="shared" si="480"/>
        <v>38.652205684247974</v>
      </c>
      <c r="O260" s="29">
        <f t="shared" si="481"/>
        <v>37.835681836373396</v>
      </c>
      <c r="P260" s="29">
        <f t="shared" si="481"/>
        <v>36.747796715435392</v>
      </c>
      <c r="Q260" s="29">
        <f t="shared" si="481"/>
        <v>36.672008230077573</v>
      </c>
      <c r="R260" s="29">
        <f t="shared" si="481"/>
        <v>36.007943112044039</v>
      </c>
      <c r="S260" s="29">
        <f t="shared" si="481"/>
        <v>35.216060845847437</v>
      </c>
      <c r="T260" s="29">
        <f t="shared" si="481"/>
        <v>34.891593290141209</v>
      </c>
      <c r="U260" s="29">
        <f t="shared" si="481"/>
        <v>34.18402951467467</v>
      </c>
      <c r="W260" s="30">
        <f t="shared" ref="W260:AD260" si="526">W843</f>
        <v>32.524585895379239</v>
      </c>
      <c r="X260" s="30">
        <f t="shared" si="526"/>
        <v>36.762368301981212</v>
      </c>
      <c r="Y260" s="30">
        <f t="shared" si="468"/>
        <v>44.75226165579965</v>
      </c>
      <c r="Z260" s="30">
        <f t="shared" si="468"/>
        <v>42.301343541438122</v>
      </c>
      <c r="AA260" s="30">
        <f t="shared" si="469"/>
        <v>44.089790586034596</v>
      </c>
      <c r="AB260" s="30">
        <f t="shared" si="526"/>
        <v>44.388273718735242</v>
      </c>
      <c r="AC260" s="30">
        <f t="shared" ref="AC260" si="527">AC843</f>
        <v>45.027105859842656</v>
      </c>
      <c r="AD260" s="90">
        <f t="shared" si="526"/>
        <v>0</v>
      </c>
      <c r="AF260" s="29">
        <f t="shared" si="484"/>
        <v>38.652205684247974</v>
      </c>
      <c r="AG260" s="30">
        <f t="shared" si="485"/>
        <v>32.524585895379239</v>
      </c>
      <c r="AH260" s="32">
        <f t="shared" si="486"/>
        <v>-6.1276197888687349</v>
      </c>
      <c r="AI260" s="33">
        <f t="shared" si="487"/>
        <v>-0.15853221518393032</v>
      </c>
      <c r="AK260" s="29">
        <f t="shared" si="471"/>
        <v>37.835681836373396</v>
      </c>
      <c r="AL260" s="30">
        <f t="shared" si="472"/>
        <v>36.762368301981212</v>
      </c>
      <c r="AM260" s="32">
        <f t="shared" si="488"/>
        <v>-1.0733135343921845</v>
      </c>
      <c r="AN260" s="33">
        <f t="shared" si="489"/>
        <v>-2.8367759804987912E-2</v>
      </c>
      <c r="AP260" s="29">
        <f t="shared" si="490"/>
        <v>36.747796715435392</v>
      </c>
      <c r="AQ260" s="30">
        <f t="shared" si="491"/>
        <v>44.75226165579965</v>
      </c>
      <c r="AR260" s="32">
        <f t="shared" si="492"/>
        <v>8.004464940364258</v>
      </c>
      <c r="AS260" s="33">
        <f t="shared" si="493"/>
        <v>0.21782162893597634</v>
      </c>
      <c r="AU260" s="31">
        <f t="shared" si="494"/>
        <v>36.672008230077573</v>
      </c>
      <c r="AV260" s="25">
        <f t="shared" si="495"/>
        <v>42.301343541438122</v>
      </c>
      <c r="AW260" s="32">
        <f t="shared" si="496"/>
        <v>5.6293353113605491</v>
      </c>
      <c r="AX260" s="33">
        <f t="shared" si="497"/>
        <v>0.15350496422346166</v>
      </c>
      <c r="AZ260" s="31">
        <f t="shared" si="473"/>
        <v>36.007943112044039</v>
      </c>
      <c r="BA260" s="25">
        <f t="shared" si="474"/>
        <v>44.089790586034596</v>
      </c>
      <c r="BB260" s="32">
        <f t="shared" si="498"/>
        <v>8.0818474739905568</v>
      </c>
      <c r="BC260" s="33">
        <f t="shared" si="499"/>
        <v>0.22444624089864543</v>
      </c>
      <c r="BE260" s="31">
        <f t="shared" si="500"/>
        <v>35.216060845847437</v>
      </c>
      <c r="BF260" s="25">
        <f t="shared" si="501"/>
        <v>44.388273718735242</v>
      </c>
      <c r="BG260" s="32">
        <f t="shared" si="502"/>
        <v>9.1722128728878047</v>
      </c>
      <c r="BH260" s="33">
        <f t="shared" si="503"/>
        <v>0.26045539031289361</v>
      </c>
      <c r="BJ260" s="31">
        <f t="shared" si="475"/>
        <v>34.891593290141209</v>
      </c>
      <c r="BK260" s="25">
        <f t="shared" si="476"/>
        <v>45.027105859842656</v>
      </c>
      <c r="BL260" s="32">
        <f t="shared" si="477"/>
        <v>10.135512569701447</v>
      </c>
      <c r="BM260" s="33">
        <f t="shared" si="478"/>
        <v>0.29048580514565625</v>
      </c>
      <c r="BO260" s="62"/>
      <c r="BP260" s="62"/>
      <c r="BQ260" s="62"/>
      <c r="BR260" s="63"/>
    </row>
    <row r="261" spans="1:70">
      <c r="B261" s="1284"/>
      <c r="D261" s="5" t="s">
        <v>171</v>
      </c>
      <c r="E261" s="87">
        <f t="shared" ref="E261:L261" si="528">E844</f>
        <v>23.66487173693568</v>
      </c>
      <c r="F261" s="87">
        <f t="shared" si="528"/>
        <v>25.193766061856337</v>
      </c>
      <c r="G261" s="87">
        <f t="shared" si="528"/>
        <v>25.261872003797635</v>
      </c>
      <c r="H261" s="87">
        <f t="shared" si="528"/>
        <v>25.219471686741169</v>
      </c>
      <c r="I261" s="87">
        <f t="shared" si="528"/>
        <v>25.433998782555953</v>
      </c>
      <c r="J261" s="87">
        <f t="shared" si="528"/>
        <v>25.203405730745519</v>
      </c>
      <c r="K261" s="87">
        <f t="shared" si="528"/>
        <v>25.041071371339559</v>
      </c>
      <c r="L261" s="87">
        <f t="shared" si="528"/>
        <v>25.207143707144589</v>
      </c>
      <c r="N261" s="29">
        <f t="shared" si="480"/>
        <v>26.459466890698884</v>
      </c>
      <c r="O261" s="29">
        <f t="shared" si="481"/>
        <v>26.660655465101058</v>
      </c>
      <c r="P261" s="29">
        <f t="shared" si="481"/>
        <v>26.42927271838262</v>
      </c>
      <c r="Q261" s="29">
        <f t="shared" si="481"/>
        <v>26.150874432837217</v>
      </c>
      <c r="R261" s="29">
        <f t="shared" si="481"/>
        <v>26.133160979405737</v>
      </c>
      <c r="S261" s="29">
        <f t="shared" si="481"/>
        <v>26.040050219051956</v>
      </c>
      <c r="T261" s="29">
        <f t="shared" si="481"/>
        <v>26.00659934948132</v>
      </c>
      <c r="U261" s="29">
        <f t="shared" si="481"/>
        <v>25.801835925613773</v>
      </c>
      <c r="W261" s="30">
        <f t="shared" ref="W261:AD261" si="529">W844</f>
        <v>27.280393558568079</v>
      </c>
      <c r="X261" s="30">
        <f t="shared" si="529"/>
        <v>30.261763491481272</v>
      </c>
      <c r="Y261" s="30">
        <f t="shared" si="468"/>
        <v>35.89310154797095</v>
      </c>
      <c r="Z261" s="30">
        <f t="shared" si="468"/>
        <v>43.740756325478657</v>
      </c>
      <c r="AA261" s="30">
        <f t="shared" si="469"/>
        <v>43.360195755858676</v>
      </c>
      <c r="AB261" s="30">
        <f t="shared" si="529"/>
        <v>42.549526778393869</v>
      </c>
      <c r="AC261" s="30">
        <f t="shared" ref="AC261" si="530">AC844</f>
        <v>42.882538442591823</v>
      </c>
      <c r="AD261" s="90">
        <f t="shared" si="529"/>
        <v>0</v>
      </c>
      <c r="AF261" s="29">
        <f t="shared" si="484"/>
        <v>26.459466890698884</v>
      </c>
      <c r="AG261" s="30">
        <f t="shared" si="485"/>
        <v>27.280393558568079</v>
      </c>
      <c r="AH261" s="32">
        <f t="shared" si="486"/>
        <v>0.82092666786919466</v>
      </c>
      <c r="AI261" s="33">
        <f t="shared" si="487"/>
        <v>3.1025820409018499E-2</v>
      </c>
      <c r="AK261" s="29">
        <f t="shared" si="471"/>
        <v>26.660655465101058</v>
      </c>
      <c r="AL261" s="30">
        <f t="shared" si="472"/>
        <v>30.261763491481272</v>
      </c>
      <c r="AM261" s="32">
        <f t="shared" si="488"/>
        <v>3.6011080263802135</v>
      </c>
      <c r="AN261" s="33">
        <f t="shared" si="489"/>
        <v>0.1350719989271863</v>
      </c>
      <c r="AP261" s="29">
        <f t="shared" si="490"/>
        <v>26.42927271838262</v>
      </c>
      <c r="AQ261" s="30">
        <f t="shared" si="491"/>
        <v>35.89310154797095</v>
      </c>
      <c r="AR261" s="32">
        <f t="shared" si="492"/>
        <v>9.4638288295883299</v>
      </c>
      <c r="AS261" s="33">
        <f t="shared" si="493"/>
        <v>0.35808131878732541</v>
      </c>
      <c r="AU261" s="31">
        <f t="shared" si="494"/>
        <v>26.150874432837217</v>
      </c>
      <c r="AV261" s="25">
        <f t="shared" si="495"/>
        <v>43.740756325478657</v>
      </c>
      <c r="AW261" s="32">
        <f t="shared" si="496"/>
        <v>17.58988189264144</v>
      </c>
      <c r="AX261" s="33">
        <f t="shared" si="497"/>
        <v>0.67263073507607529</v>
      </c>
      <c r="AZ261" s="31">
        <f t="shared" si="473"/>
        <v>26.133160979405737</v>
      </c>
      <c r="BA261" s="25">
        <f t="shared" si="474"/>
        <v>43.360195755858676</v>
      </c>
      <c r="BB261" s="32">
        <f t="shared" si="498"/>
        <v>17.227034776452939</v>
      </c>
      <c r="BC261" s="33">
        <f t="shared" si="499"/>
        <v>0.65920210685682912</v>
      </c>
      <c r="BE261" s="31">
        <f t="shared" si="500"/>
        <v>26.040050219051956</v>
      </c>
      <c r="BF261" s="25">
        <f t="shared" si="501"/>
        <v>42.549526778393869</v>
      </c>
      <c r="BG261" s="32">
        <f t="shared" si="502"/>
        <v>16.509476559341913</v>
      </c>
      <c r="BH261" s="33">
        <f t="shared" si="503"/>
        <v>0.63400325346772601</v>
      </c>
      <c r="BJ261" s="31">
        <f t="shared" si="475"/>
        <v>26.00659934948132</v>
      </c>
      <c r="BK261" s="25">
        <f t="shared" si="476"/>
        <v>42.882538442591823</v>
      </c>
      <c r="BL261" s="32">
        <f t="shared" si="477"/>
        <v>16.875939093110503</v>
      </c>
      <c r="BM261" s="33">
        <f t="shared" si="478"/>
        <v>0.64890987346437046</v>
      </c>
      <c r="BO261" s="62"/>
      <c r="BP261" s="62"/>
      <c r="BQ261" s="62"/>
      <c r="BR261" s="63"/>
    </row>
    <row r="262" spans="1:70">
      <c r="B262" s="1284"/>
      <c r="D262" s="5" t="s">
        <v>172</v>
      </c>
      <c r="E262" s="87">
        <f t="shared" ref="E262:L262" si="531">E845</f>
        <v>22.235976279751981</v>
      </c>
      <c r="F262" s="87">
        <f t="shared" si="531"/>
        <v>21.521629625350272</v>
      </c>
      <c r="G262" s="87">
        <f t="shared" si="531"/>
        <v>21.245502655810693</v>
      </c>
      <c r="H262" s="87">
        <f t="shared" si="531"/>
        <v>20.544329443760276</v>
      </c>
      <c r="I262" s="87">
        <f t="shared" si="531"/>
        <v>20.346295915887158</v>
      </c>
      <c r="J262" s="87">
        <f t="shared" si="531"/>
        <v>19.965019569905344</v>
      </c>
      <c r="K262" s="87">
        <f t="shared" si="531"/>
        <v>20.717061484976711</v>
      </c>
      <c r="L262" s="87">
        <f t="shared" si="531"/>
        <v>20.98209009528788</v>
      </c>
      <c r="N262" s="29">
        <f t="shared" si="480"/>
        <v>22.079742952789559</v>
      </c>
      <c r="O262" s="29">
        <f t="shared" si="481"/>
        <v>21.698935172743603</v>
      </c>
      <c r="P262" s="29">
        <f t="shared" si="481"/>
        <v>21.038265414830999</v>
      </c>
      <c r="Q262" s="29">
        <f t="shared" si="481"/>
        <v>20.284215710999593</v>
      </c>
      <c r="R262" s="29">
        <f t="shared" si="481"/>
        <v>20.143035704444351</v>
      </c>
      <c r="S262" s="29">
        <f t="shared" si="481"/>
        <v>19.683037029610375</v>
      </c>
      <c r="T262" s="29">
        <f t="shared" si="481"/>
        <v>20.003218763301934</v>
      </c>
      <c r="U262" s="29">
        <f t="shared" si="481"/>
        <v>19.993809771008241</v>
      </c>
      <c r="W262" s="30">
        <f t="shared" ref="W262:AD262" si="532">W845</f>
        <v>31.480731861569591</v>
      </c>
      <c r="X262" s="30">
        <f t="shared" si="532"/>
        <v>34.844063592148935</v>
      </c>
      <c r="Y262" s="30">
        <f t="shared" si="468"/>
        <v>35.530755866262531</v>
      </c>
      <c r="Z262" s="30">
        <f t="shared" si="468"/>
        <v>39.18312690275679</v>
      </c>
      <c r="AA262" s="30">
        <f t="shared" si="469"/>
        <v>40.541366910850243</v>
      </c>
      <c r="AB262" s="30">
        <f t="shared" si="532"/>
        <v>39.711095794900224</v>
      </c>
      <c r="AC262" s="30">
        <f t="shared" ref="AC262" si="533">AC845</f>
        <v>39.559152887016189</v>
      </c>
      <c r="AD262" s="90">
        <f t="shared" si="532"/>
        <v>0</v>
      </c>
      <c r="AF262" s="29">
        <f t="shared" si="484"/>
        <v>22.079742952789559</v>
      </c>
      <c r="AG262" s="30">
        <f t="shared" si="485"/>
        <v>31.480731861569591</v>
      </c>
      <c r="AH262" s="32">
        <f t="shared" si="486"/>
        <v>9.4009889087800325</v>
      </c>
      <c r="AI262" s="33">
        <f t="shared" si="487"/>
        <v>0.4257743819246913</v>
      </c>
      <c r="AK262" s="29">
        <f t="shared" si="471"/>
        <v>21.698935172743603</v>
      </c>
      <c r="AL262" s="30">
        <f t="shared" si="472"/>
        <v>34.844063592148935</v>
      </c>
      <c r="AM262" s="32">
        <f t="shared" si="488"/>
        <v>13.145128419405331</v>
      </c>
      <c r="AN262" s="33">
        <f t="shared" si="489"/>
        <v>0.60579601324940346</v>
      </c>
      <c r="AP262" s="29">
        <f t="shared" si="490"/>
        <v>21.038265414830999</v>
      </c>
      <c r="AQ262" s="30">
        <f t="shared" si="491"/>
        <v>35.530755866262531</v>
      </c>
      <c r="AR262" s="32">
        <f t="shared" si="492"/>
        <v>14.492490451431532</v>
      </c>
      <c r="AS262" s="33">
        <f t="shared" si="493"/>
        <v>0.68886337184504765</v>
      </c>
      <c r="AU262" s="31">
        <f t="shared" si="494"/>
        <v>20.284215710999593</v>
      </c>
      <c r="AV262" s="25">
        <f t="shared" si="495"/>
        <v>39.18312690275679</v>
      </c>
      <c r="AW262" s="32">
        <f t="shared" si="496"/>
        <v>18.898911191757197</v>
      </c>
      <c r="AX262" s="33">
        <f t="shared" si="497"/>
        <v>0.93170529543860148</v>
      </c>
      <c r="AZ262" s="31">
        <f t="shared" si="473"/>
        <v>20.143035704444351</v>
      </c>
      <c r="BA262" s="25">
        <f t="shared" si="474"/>
        <v>40.541366910850243</v>
      </c>
      <c r="BB262" s="32">
        <f t="shared" si="498"/>
        <v>20.398331206405892</v>
      </c>
      <c r="BC262" s="33">
        <f t="shared" si="499"/>
        <v>1.0126741324250947</v>
      </c>
      <c r="BE262" s="31">
        <f t="shared" si="500"/>
        <v>19.683037029610375</v>
      </c>
      <c r="BF262" s="25">
        <f t="shared" si="501"/>
        <v>39.711095794900224</v>
      </c>
      <c r="BG262" s="32">
        <f t="shared" si="502"/>
        <v>20.028058765289849</v>
      </c>
      <c r="BH262" s="33">
        <f t="shared" si="503"/>
        <v>1.0175288871915669</v>
      </c>
      <c r="BJ262" s="31">
        <f t="shared" si="475"/>
        <v>20.003218763301934</v>
      </c>
      <c r="BK262" s="25">
        <f t="shared" si="476"/>
        <v>39.559152887016189</v>
      </c>
      <c r="BL262" s="32">
        <f t="shared" si="477"/>
        <v>19.555934123714255</v>
      </c>
      <c r="BM262" s="33">
        <f t="shared" si="478"/>
        <v>0.97763936669990981</v>
      </c>
      <c r="BO262" s="62"/>
      <c r="BP262" s="62"/>
      <c r="BQ262" s="62"/>
      <c r="BR262" s="63"/>
    </row>
    <row r="263" spans="1:70">
      <c r="B263" s="1284"/>
      <c r="D263" s="5" t="s">
        <v>28</v>
      </c>
      <c r="E263" s="87">
        <f t="shared" ref="E263:L263" si="534">E846</f>
        <v>22.519040487075387</v>
      </c>
      <c r="F263" s="87">
        <f t="shared" si="534"/>
        <v>22.990096125497601</v>
      </c>
      <c r="G263" s="87">
        <f t="shared" si="534"/>
        <v>23.411289910568655</v>
      </c>
      <c r="H263" s="87">
        <f t="shared" si="534"/>
        <v>23.644472108565722</v>
      </c>
      <c r="I263" s="87">
        <f t="shared" si="534"/>
        <v>23.666409557223098</v>
      </c>
      <c r="J263" s="87">
        <f t="shared" si="534"/>
        <v>23.695206136755889</v>
      </c>
      <c r="K263" s="87">
        <f t="shared" si="534"/>
        <v>23.734360388655556</v>
      </c>
      <c r="L263" s="87">
        <f t="shared" si="534"/>
        <v>23.781375541058861</v>
      </c>
      <c r="N263" s="29">
        <f t="shared" si="480"/>
        <v>24.661791315331264</v>
      </c>
      <c r="O263" s="29">
        <f t="shared" si="481"/>
        <v>24.960264851901727</v>
      </c>
      <c r="P263" s="29">
        <f t="shared" si="481"/>
        <v>24.926332387475917</v>
      </c>
      <c r="Q263" s="29">
        <f t="shared" si="481"/>
        <v>25.114084658917996</v>
      </c>
      <c r="R263" s="29">
        <f t="shared" si="481"/>
        <v>24.604438820203313</v>
      </c>
      <c r="S263" s="29">
        <f t="shared" si="481"/>
        <v>24.401518262420005</v>
      </c>
      <c r="T263" s="29">
        <f t="shared" si="481"/>
        <v>24.441628867003125</v>
      </c>
      <c r="U263" s="29">
        <f t="shared" si="481"/>
        <v>24.1441054003899</v>
      </c>
      <c r="W263" s="30">
        <f t="shared" ref="W263:AD263" si="535">W846</f>
        <v>23.163956468307198</v>
      </c>
      <c r="X263" s="30">
        <f t="shared" si="535"/>
        <v>25.7166944099049</v>
      </c>
      <c r="Y263" s="30">
        <f t="shared" si="468"/>
        <v>25.778673227120301</v>
      </c>
      <c r="Z263" s="30">
        <f t="shared" si="468"/>
        <v>25.833855004661149</v>
      </c>
      <c r="AA263" s="30">
        <f t="shared" si="469"/>
        <v>26.782015982935533</v>
      </c>
      <c r="AB263" s="30">
        <f t="shared" si="535"/>
        <v>30.651026575861156</v>
      </c>
      <c r="AC263" s="30">
        <f t="shared" ref="AC263" si="536">AC846</f>
        <v>35.887961007984806</v>
      </c>
      <c r="AD263" s="90">
        <f t="shared" si="535"/>
        <v>0</v>
      </c>
      <c r="AF263" s="29">
        <f t="shared" si="484"/>
        <v>24.661791315331264</v>
      </c>
      <c r="AG263" s="30">
        <f t="shared" si="485"/>
        <v>23.163956468307198</v>
      </c>
      <c r="AH263" s="32">
        <f t="shared" si="486"/>
        <v>-1.4978348470240661</v>
      </c>
      <c r="AI263" s="33">
        <f t="shared" si="487"/>
        <v>-6.0735038581439992E-2</v>
      </c>
      <c r="AK263" s="29">
        <f t="shared" si="471"/>
        <v>24.960264851901727</v>
      </c>
      <c r="AL263" s="30">
        <f t="shared" si="472"/>
        <v>25.7166944099049</v>
      </c>
      <c r="AM263" s="32">
        <f t="shared" si="488"/>
        <v>0.75642955800317324</v>
      </c>
      <c r="AN263" s="33">
        <f t="shared" si="489"/>
        <v>3.0305349822661868E-2</v>
      </c>
      <c r="AP263" s="29">
        <f t="shared" si="490"/>
        <v>24.926332387475917</v>
      </c>
      <c r="AQ263" s="30">
        <f t="shared" si="491"/>
        <v>25.778673227120301</v>
      </c>
      <c r="AR263" s="32">
        <f t="shared" si="492"/>
        <v>0.85234083964438412</v>
      </c>
      <c r="AS263" s="33">
        <f t="shared" si="493"/>
        <v>3.4194394361548253E-2</v>
      </c>
      <c r="AU263" s="31">
        <f t="shared" si="494"/>
        <v>25.114084658917996</v>
      </c>
      <c r="AV263" s="25">
        <f t="shared" si="495"/>
        <v>25.833855004661149</v>
      </c>
      <c r="AW263" s="32">
        <f t="shared" si="496"/>
        <v>0.71977034574315368</v>
      </c>
      <c r="AX263" s="33">
        <f t="shared" si="497"/>
        <v>2.8660027053287952E-2</v>
      </c>
      <c r="AZ263" s="31">
        <f t="shared" si="473"/>
        <v>24.604438820203313</v>
      </c>
      <c r="BA263" s="25">
        <f t="shared" si="474"/>
        <v>26.782015982935533</v>
      </c>
      <c r="BB263" s="32">
        <f t="shared" si="498"/>
        <v>2.17757716273222</v>
      </c>
      <c r="BC263" s="33">
        <f t="shared" si="499"/>
        <v>8.8503427314268093E-2</v>
      </c>
      <c r="BE263" s="31">
        <f t="shared" si="500"/>
        <v>24.401518262420005</v>
      </c>
      <c r="BF263" s="25">
        <f t="shared" si="501"/>
        <v>30.651026575861156</v>
      </c>
      <c r="BG263" s="32">
        <f t="shared" si="502"/>
        <v>6.2495083134411509</v>
      </c>
      <c r="BH263" s="33">
        <f t="shared" si="503"/>
        <v>0.25611145364941568</v>
      </c>
      <c r="BJ263" s="31">
        <f t="shared" si="475"/>
        <v>24.441628867003125</v>
      </c>
      <c r="BK263" s="25">
        <f t="shared" si="476"/>
        <v>35.887961007984806</v>
      </c>
      <c r="BL263" s="32">
        <f t="shared" si="477"/>
        <v>11.446332140981681</v>
      </c>
      <c r="BM263" s="33">
        <f t="shared" si="478"/>
        <v>0.46831298369130164</v>
      </c>
      <c r="BO263" s="62"/>
      <c r="BP263" s="62"/>
      <c r="BQ263" s="62"/>
      <c r="BR263" s="63"/>
    </row>
    <row r="264" spans="1:70">
      <c r="B264" s="1284"/>
      <c r="D264" s="5" t="s">
        <v>173</v>
      </c>
      <c r="E264" s="87">
        <f t="shared" ref="E264:L264" si="537">E847</f>
        <v>34.16762736884516</v>
      </c>
      <c r="F264" s="87">
        <f t="shared" si="537"/>
        <v>34.954284994720986</v>
      </c>
      <c r="G264" s="87">
        <f t="shared" si="537"/>
        <v>35.69442371005151</v>
      </c>
      <c r="H264" s="87">
        <f t="shared" si="537"/>
        <v>36.273978374004464</v>
      </c>
      <c r="I264" s="87">
        <f t="shared" si="537"/>
        <v>36.344692617288388</v>
      </c>
      <c r="J264" s="87">
        <f t="shared" si="537"/>
        <v>36.415759586539345</v>
      </c>
      <c r="K264" s="87">
        <f t="shared" si="537"/>
        <v>36.502562677320192</v>
      </c>
      <c r="L264" s="87">
        <f t="shared" si="537"/>
        <v>36.592654451897388</v>
      </c>
      <c r="N264" s="29">
        <f t="shared" si="480"/>
        <v>39.348872052492347</v>
      </c>
      <c r="O264" s="29">
        <f t="shared" si="481"/>
        <v>39.265022930836913</v>
      </c>
      <c r="P264" s="29">
        <f t="shared" si="481"/>
        <v>39.643390164700385</v>
      </c>
      <c r="Q264" s="29">
        <f t="shared" si="481"/>
        <v>39.810527988393275</v>
      </c>
      <c r="R264" s="29">
        <f t="shared" si="481"/>
        <v>39.644511870209755</v>
      </c>
      <c r="S264" s="29">
        <f t="shared" si="481"/>
        <v>39.139296885511108</v>
      </c>
      <c r="T264" s="29">
        <f t="shared" si="481"/>
        <v>39.126207449226698</v>
      </c>
      <c r="U264" s="29">
        <f t="shared" si="481"/>
        <v>38.587212507570413</v>
      </c>
      <c r="W264" s="30">
        <f t="shared" ref="W264:AD264" si="538">W847</f>
        <v>38.925680184399518</v>
      </c>
      <c r="X264" s="30">
        <f t="shared" si="538"/>
        <v>38.066248492087027</v>
      </c>
      <c r="Y264" s="30">
        <f t="shared" si="468"/>
        <v>43.643718973613147</v>
      </c>
      <c r="Z264" s="30">
        <f t="shared" si="468"/>
        <v>44.280616722266174</v>
      </c>
      <c r="AA264" s="30">
        <f t="shared" si="469"/>
        <v>45.672575256201029</v>
      </c>
      <c r="AB264" s="30">
        <f t="shared" si="538"/>
        <v>54.773286154051256</v>
      </c>
      <c r="AC264" s="30">
        <f t="shared" ref="AC264" si="539">AC847</f>
        <v>53.863992002606217</v>
      </c>
      <c r="AD264" s="90">
        <f t="shared" si="538"/>
        <v>0</v>
      </c>
      <c r="AF264" s="29">
        <f t="shared" si="484"/>
        <v>39.348872052492347</v>
      </c>
      <c r="AG264" s="30">
        <f t="shared" si="485"/>
        <v>38.925680184399518</v>
      </c>
      <c r="AH264" s="32">
        <f t="shared" si="486"/>
        <v>-0.42319186809282883</v>
      </c>
      <c r="AI264" s="33">
        <f t="shared" si="487"/>
        <v>-1.0754866556995094E-2</v>
      </c>
      <c r="AK264" s="29">
        <f t="shared" si="471"/>
        <v>39.265022930836913</v>
      </c>
      <c r="AL264" s="30">
        <f t="shared" si="472"/>
        <v>38.066248492087027</v>
      </c>
      <c r="AM264" s="32">
        <f t="shared" si="488"/>
        <v>-1.1987744387498864</v>
      </c>
      <c r="AN264" s="33">
        <f t="shared" si="489"/>
        <v>-3.0530338435341267E-2</v>
      </c>
      <c r="AP264" s="29">
        <f t="shared" si="490"/>
        <v>39.643390164700385</v>
      </c>
      <c r="AQ264" s="30">
        <f t="shared" si="491"/>
        <v>43.643718973613147</v>
      </c>
      <c r="AR264" s="32">
        <f t="shared" si="492"/>
        <v>4.0003288089127622</v>
      </c>
      <c r="AS264" s="33">
        <f t="shared" si="493"/>
        <v>0.10090783841374823</v>
      </c>
      <c r="AU264" s="31">
        <f t="shared" si="494"/>
        <v>39.810527988393275</v>
      </c>
      <c r="AV264" s="25">
        <f t="shared" si="495"/>
        <v>44.280616722266174</v>
      </c>
      <c r="AW264" s="32">
        <f t="shared" si="496"/>
        <v>4.470088733872899</v>
      </c>
      <c r="AX264" s="33">
        <f t="shared" si="497"/>
        <v>0.11228408563624551</v>
      </c>
      <c r="AZ264" s="31">
        <f t="shared" si="473"/>
        <v>39.644511870209755</v>
      </c>
      <c r="BA264" s="25">
        <f t="shared" si="474"/>
        <v>45.672575256201029</v>
      </c>
      <c r="BB264" s="32">
        <f t="shared" si="498"/>
        <v>6.028063385991274</v>
      </c>
      <c r="BC264" s="33">
        <f t="shared" si="499"/>
        <v>0.15205290976280042</v>
      </c>
      <c r="BE264" s="31">
        <f t="shared" si="500"/>
        <v>39.139296885511108</v>
      </c>
      <c r="BF264" s="25">
        <f t="shared" si="501"/>
        <v>54.773286154051256</v>
      </c>
      <c r="BG264" s="32">
        <f t="shared" si="502"/>
        <v>15.633989268540148</v>
      </c>
      <c r="BH264" s="33">
        <f t="shared" si="503"/>
        <v>0.39944481665759463</v>
      </c>
      <c r="BJ264" s="31">
        <f t="shared" si="475"/>
        <v>39.126207449226698</v>
      </c>
      <c r="BK264" s="25">
        <f t="shared" si="476"/>
        <v>53.863992002606217</v>
      </c>
      <c r="BL264" s="32">
        <f t="shared" si="477"/>
        <v>14.73778455337952</v>
      </c>
      <c r="BM264" s="33">
        <f t="shared" si="478"/>
        <v>0.37667296459807537</v>
      </c>
      <c r="BO264" s="62"/>
      <c r="BP264" s="62"/>
      <c r="BQ264" s="62"/>
      <c r="BR264" s="63"/>
    </row>
    <row r="265" spans="1:70">
      <c r="A265" s="1"/>
      <c r="B265" s="1284"/>
      <c r="D265" s="4" t="s">
        <v>174</v>
      </c>
      <c r="E265" s="88">
        <f t="shared" ref="E265:L265" si="540">SUM(E251:E264)</f>
        <v>404.30935185342514</v>
      </c>
      <c r="F265" s="88">
        <f t="shared" si="540"/>
        <v>405.12866066483741</v>
      </c>
      <c r="G265" s="88">
        <f t="shared" si="540"/>
        <v>404.34964828865998</v>
      </c>
      <c r="H265" s="88">
        <f t="shared" si="540"/>
        <v>405.30071195644433</v>
      </c>
      <c r="I265" s="88">
        <f t="shared" si="540"/>
        <v>405.45993456474929</v>
      </c>
      <c r="J265" s="88">
        <f t="shared" si="540"/>
        <v>406.71371446098038</v>
      </c>
      <c r="K265" s="88">
        <f t="shared" si="540"/>
        <v>407.9607746238193</v>
      </c>
      <c r="L265" s="88">
        <f t="shared" si="540"/>
        <v>406.61097980586561</v>
      </c>
      <c r="M265" s="1"/>
      <c r="N265" s="81">
        <f t="shared" ref="N265:U265" si="541">SUM(N251:N264)</f>
        <v>425.8762311962289</v>
      </c>
      <c r="O265" s="81">
        <f t="shared" si="541"/>
        <v>421.95362458692364</v>
      </c>
      <c r="P265" s="81">
        <f t="shared" si="541"/>
        <v>416.9888029619899</v>
      </c>
      <c r="Q265" s="81">
        <f t="shared" si="541"/>
        <v>416.10378415321435</v>
      </c>
      <c r="R265" s="81">
        <f t="shared" si="541"/>
        <v>412.73530564119221</v>
      </c>
      <c r="S265" s="81">
        <f t="shared" si="541"/>
        <v>409.94528938570852</v>
      </c>
      <c r="T265" s="81">
        <f t="shared" si="541"/>
        <v>408.75146400396022</v>
      </c>
      <c r="U265" s="81">
        <f t="shared" si="541"/>
        <v>404.13693777603856</v>
      </c>
      <c r="V265" s="1"/>
      <c r="W265" s="85">
        <f t="shared" ref="W265:AD265" si="542">SUM(W251:W264)</f>
        <v>395.03716572780655</v>
      </c>
      <c r="X265" s="85">
        <f t="shared" si="542"/>
        <v>392.94816159548333</v>
      </c>
      <c r="Y265" s="85">
        <f>SUM(Y251:Y264)</f>
        <v>433.90446968732914</v>
      </c>
      <c r="Z265" s="85">
        <f>SUM(Z251:Z264)</f>
        <v>437.84741214348628</v>
      </c>
      <c r="AA265" s="85">
        <f>SUM(AA251:AA264)</f>
        <v>449.18266997451349</v>
      </c>
      <c r="AB265" s="85">
        <f t="shared" si="542"/>
        <v>464.36263168723457</v>
      </c>
      <c r="AC265" s="85">
        <f t="shared" ref="AC265" si="543">SUM(AC251:AC264)</f>
        <v>493.79405771337878</v>
      </c>
      <c r="AD265" s="91">
        <f t="shared" si="542"/>
        <v>0</v>
      </c>
      <c r="AE265" s="1"/>
      <c r="AF265" s="81">
        <f t="shared" si="484"/>
        <v>425.8762311962289</v>
      </c>
      <c r="AG265" s="85">
        <f t="shared" si="485"/>
        <v>395.03716572780655</v>
      </c>
      <c r="AH265" s="34">
        <f t="shared" si="486"/>
        <v>-30.839065468422348</v>
      </c>
      <c r="AI265" s="35">
        <f t="shared" si="487"/>
        <v>-7.24132111853239E-2</v>
      </c>
      <c r="AK265" s="81">
        <f t="shared" si="471"/>
        <v>421.95362458692364</v>
      </c>
      <c r="AL265" s="85">
        <f t="shared" si="472"/>
        <v>392.94816159548333</v>
      </c>
      <c r="AM265" s="34">
        <f t="shared" si="488"/>
        <v>-29.005462991440311</v>
      </c>
      <c r="AN265" s="35">
        <f t="shared" si="489"/>
        <v>-6.8740878858039298E-2</v>
      </c>
      <c r="AP265" s="81">
        <f t="shared" si="490"/>
        <v>416.9888029619899</v>
      </c>
      <c r="AQ265" s="85">
        <f t="shared" si="491"/>
        <v>433.90446968732914</v>
      </c>
      <c r="AR265" s="34">
        <f t="shared" si="492"/>
        <v>16.915666725339236</v>
      </c>
      <c r="AS265" s="35">
        <f t="shared" si="493"/>
        <v>4.0566237283069594E-2</v>
      </c>
      <c r="AU265" s="949">
        <f t="shared" si="494"/>
        <v>416.10378415321435</v>
      </c>
      <c r="AV265" s="843">
        <f t="shared" si="495"/>
        <v>437.84741214348628</v>
      </c>
      <c r="AW265" s="34">
        <f t="shared" si="496"/>
        <v>21.743627990271932</v>
      </c>
      <c r="AX265" s="35">
        <f t="shared" si="497"/>
        <v>5.2255299803439591E-2</v>
      </c>
      <c r="AZ265" s="949">
        <f t="shared" si="473"/>
        <v>412.73530564119221</v>
      </c>
      <c r="BA265" s="843">
        <f t="shared" si="474"/>
        <v>449.18266997451349</v>
      </c>
      <c r="BB265" s="34">
        <f t="shared" si="498"/>
        <v>36.447364333321275</v>
      </c>
      <c r="BC265" s="35">
        <f t="shared" si="499"/>
        <v>8.8306873279715176E-2</v>
      </c>
      <c r="BE265" s="31">
        <f t="shared" si="500"/>
        <v>409.94528938570852</v>
      </c>
      <c r="BF265" s="25">
        <f t="shared" si="501"/>
        <v>464.36263168723457</v>
      </c>
      <c r="BG265" s="32">
        <f t="shared" si="502"/>
        <v>54.417342301526048</v>
      </c>
      <c r="BH265" s="33">
        <f t="shared" si="503"/>
        <v>0.13274293841275481</v>
      </c>
      <c r="BJ265" s="31">
        <f t="shared" si="475"/>
        <v>408.75146400396022</v>
      </c>
      <c r="BK265" s="25">
        <f t="shared" si="476"/>
        <v>493.79405771337878</v>
      </c>
      <c r="BL265" s="32">
        <f t="shared" si="477"/>
        <v>85.042593709418554</v>
      </c>
      <c r="BM265" s="33">
        <f t="shared" si="478"/>
        <v>0.20805452994926671</v>
      </c>
      <c r="BO265" s="62"/>
      <c r="BP265" s="62"/>
      <c r="BQ265" s="62"/>
      <c r="BR265" s="63"/>
    </row>
    <row r="266" spans="1:70">
      <c r="A266" s="1"/>
      <c r="B266" s="1284"/>
      <c r="D266" s="4" t="s">
        <v>724</v>
      </c>
      <c r="E266" s="88">
        <f t="shared" ref="E266:L266" si="544">E265-SUM(E254:E257)</f>
        <v>284.37011851641228</v>
      </c>
      <c r="F266" s="88">
        <f t="shared" si="544"/>
        <v>285.05814833228419</v>
      </c>
      <c r="G266" s="88">
        <f t="shared" si="544"/>
        <v>284.74465012358417</v>
      </c>
      <c r="H266" s="88">
        <f t="shared" si="544"/>
        <v>285.36558118477831</v>
      </c>
      <c r="I266" s="88">
        <f t="shared" si="544"/>
        <v>284.9834249082212</v>
      </c>
      <c r="J266" s="88">
        <f t="shared" si="544"/>
        <v>285.50380788077609</v>
      </c>
      <c r="K266" s="88">
        <f t="shared" si="544"/>
        <v>286.01030933883072</v>
      </c>
      <c r="L266" s="88">
        <f t="shared" si="544"/>
        <v>284.42189612461954</v>
      </c>
      <c r="M266" s="1"/>
      <c r="N266" s="81">
        <f t="shared" ref="N266:U266" si="545">N265-SUM(N254:N257)</f>
        <v>305.93699785921604</v>
      </c>
      <c r="O266" s="81">
        <f t="shared" si="545"/>
        <v>301.88311225437042</v>
      </c>
      <c r="P266" s="81">
        <f t="shared" si="545"/>
        <v>297.38380479691409</v>
      </c>
      <c r="Q266" s="81">
        <f t="shared" si="545"/>
        <v>296.16865338154832</v>
      </c>
      <c r="R266" s="81">
        <f t="shared" si="545"/>
        <v>292.25879598466412</v>
      </c>
      <c r="S266" s="81">
        <f t="shared" si="545"/>
        <v>288.73538280550417</v>
      </c>
      <c r="T266" s="81">
        <f t="shared" si="545"/>
        <v>286.80099871897164</v>
      </c>
      <c r="U266" s="81">
        <f t="shared" si="545"/>
        <v>281.94785409479249</v>
      </c>
      <c r="V266" s="1"/>
      <c r="W266" s="85">
        <f t="shared" ref="W266:AD266" si="546">W265-SUM(W254:W257)</f>
        <v>286.57677466421785</v>
      </c>
      <c r="X266" s="85">
        <f t="shared" si="546"/>
        <v>289.15469605539158</v>
      </c>
      <c r="Y266" s="85">
        <f>Y265-SUM(Y254:Y257)</f>
        <v>333.27602591122951</v>
      </c>
      <c r="Z266" s="85">
        <f>Z265-SUM(Z254:Z257)</f>
        <v>339.40092123676993</v>
      </c>
      <c r="AA266" s="85">
        <f>AA265-SUM(AA254:AA257)</f>
        <v>350.81420963223673</v>
      </c>
      <c r="AB266" s="85">
        <f t="shared" si="546"/>
        <v>362.11820323196935</v>
      </c>
      <c r="AC266" s="85">
        <f t="shared" ref="AC266" si="547">AC265-SUM(AC254:AC257)</f>
        <v>368.65295771337878</v>
      </c>
      <c r="AD266" s="91">
        <f t="shared" si="546"/>
        <v>0</v>
      </c>
      <c r="AE266" s="1"/>
      <c r="AF266" s="81">
        <f t="shared" si="484"/>
        <v>305.93699785921604</v>
      </c>
      <c r="AG266" s="85">
        <f t="shared" si="485"/>
        <v>286.57677466421785</v>
      </c>
      <c r="AH266" s="34">
        <f t="shared" si="486"/>
        <v>-19.360223194998184</v>
      </c>
      <c r="AI266" s="35">
        <f t="shared" si="487"/>
        <v>-6.3281732286289999E-2</v>
      </c>
      <c r="AK266" s="81">
        <f t="shared" si="471"/>
        <v>301.88311225437042</v>
      </c>
      <c r="AL266" s="85">
        <f t="shared" si="472"/>
        <v>289.15469605539158</v>
      </c>
      <c r="AM266" s="34">
        <f t="shared" si="488"/>
        <v>-12.728416198978834</v>
      </c>
      <c r="AN266" s="35">
        <f t="shared" si="489"/>
        <v>-4.2163392658592029E-2</v>
      </c>
      <c r="AP266" s="81">
        <f t="shared" si="490"/>
        <v>297.38380479691409</v>
      </c>
      <c r="AQ266" s="85">
        <f>Y266</f>
        <v>333.27602591122951</v>
      </c>
      <c r="AR266" s="34">
        <f t="shared" si="492"/>
        <v>35.892221114315419</v>
      </c>
      <c r="AS266" s="35">
        <f t="shared" si="493"/>
        <v>0.12069326081434233</v>
      </c>
      <c r="AU266" s="949">
        <f t="shared" si="494"/>
        <v>296.16865338154832</v>
      </c>
      <c r="AV266" s="843">
        <f t="shared" si="495"/>
        <v>339.40092123676993</v>
      </c>
      <c r="AW266" s="34">
        <f t="shared" si="496"/>
        <v>43.232267855221608</v>
      </c>
      <c r="AX266" s="35">
        <f t="shared" si="497"/>
        <v>0.14597178790398968</v>
      </c>
      <c r="AZ266" s="949">
        <f t="shared" si="473"/>
        <v>292.25879598466412</v>
      </c>
      <c r="BA266" s="843">
        <f t="shared" si="474"/>
        <v>350.81420963223673</v>
      </c>
      <c r="BB266" s="34">
        <f t="shared" si="498"/>
        <v>58.555413647572607</v>
      </c>
      <c r="BC266" s="35">
        <f t="shared" si="499"/>
        <v>0.20035466665867338</v>
      </c>
      <c r="BE266" s="31">
        <f t="shared" si="500"/>
        <v>288.73538280550417</v>
      </c>
      <c r="BF266" s="25">
        <f t="shared" si="501"/>
        <v>362.11820323196935</v>
      </c>
      <c r="BG266" s="32">
        <f t="shared" si="502"/>
        <v>73.382820426465173</v>
      </c>
      <c r="BH266" s="33">
        <f t="shared" si="503"/>
        <v>0.2541525036295838</v>
      </c>
      <c r="BJ266" s="31">
        <f t="shared" si="475"/>
        <v>286.80099871897164</v>
      </c>
      <c r="BK266" s="25">
        <f t="shared" si="476"/>
        <v>368.65295771337878</v>
      </c>
      <c r="BL266" s="32">
        <f t="shared" si="477"/>
        <v>81.851958994407141</v>
      </c>
      <c r="BM266" s="33">
        <f t="shared" si="478"/>
        <v>0.28539635273241015</v>
      </c>
      <c r="BO266" s="62"/>
      <c r="BP266" s="62"/>
      <c r="BQ266" s="62"/>
      <c r="BR266" s="63"/>
    </row>
    <row r="267" spans="1:70">
      <c r="B267" s="1284"/>
    </row>
    <row r="268" spans="1:70">
      <c r="A268" s="1"/>
      <c r="B268" s="1284"/>
      <c r="D268" s="1" t="s">
        <v>59</v>
      </c>
      <c r="E268" s="1"/>
      <c r="N268" s="1"/>
      <c r="W268" s="1"/>
    </row>
    <row r="269" spans="1:70">
      <c r="A269" s="1"/>
      <c r="B269" s="1284"/>
      <c r="E269" s="1300" t="s">
        <v>733</v>
      </c>
      <c r="F269" s="1301"/>
      <c r="G269" s="1301"/>
      <c r="H269" s="1301"/>
      <c r="I269" s="1301"/>
      <c r="J269" s="1301"/>
      <c r="K269" s="1301"/>
      <c r="L269" s="1302"/>
      <c r="N269" s="245" t="s">
        <v>291</v>
      </c>
      <c r="O269" s="246"/>
      <c r="P269" s="246"/>
      <c r="Q269" s="246"/>
      <c r="R269" s="246"/>
      <c r="S269" s="246"/>
      <c r="T269" s="246"/>
      <c r="U269" s="247"/>
      <c r="W269" s="1300" t="s">
        <v>292</v>
      </c>
      <c r="X269" s="1301"/>
      <c r="Y269" s="1301"/>
      <c r="Z269" s="1301"/>
      <c r="AA269" s="1301"/>
      <c r="AB269" s="1301"/>
      <c r="AC269" s="1301"/>
      <c r="AD269" s="1302"/>
      <c r="AF269" s="102" t="s">
        <v>297</v>
      </c>
      <c r="AG269" s="102" t="s">
        <v>298</v>
      </c>
      <c r="AH269" s="1304" t="s">
        <v>602</v>
      </c>
      <c r="AI269" s="1304"/>
      <c r="AK269" s="102" t="s">
        <v>297</v>
      </c>
      <c r="AL269" s="102" t="s">
        <v>298</v>
      </c>
      <c r="AM269" s="1304" t="s">
        <v>602</v>
      </c>
      <c r="AN269" s="1304"/>
      <c r="AP269" s="6" t="s">
        <v>297</v>
      </c>
      <c r="AQ269" s="5" t="s">
        <v>298</v>
      </c>
      <c r="AR269" s="1303" t="s">
        <v>602</v>
      </c>
      <c r="AS269" s="1303"/>
      <c r="AU269" s="6" t="s">
        <v>297</v>
      </c>
      <c r="AV269" s="5" t="s">
        <v>298</v>
      </c>
      <c r="AW269" s="1303" t="s">
        <v>602</v>
      </c>
      <c r="AX269" s="1303"/>
      <c r="AZ269" s="6" t="s">
        <v>297</v>
      </c>
      <c r="BA269" s="5" t="s">
        <v>298</v>
      </c>
      <c r="BB269" s="1303" t="s">
        <v>602</v>
      </c>
      <c r="BC269" s="1303"/>
      <c r="BE269" s="6" t="s">
        <v>297</v>
      </c>
      <c r="BF269" s="5" t="s">
        <v>298</v>
      </c>
      <c r="BG269" s="1082" t="s">
        <v>602</v>
      </c>
      <c r="BH269" s="1082"/>
      <c r="BJ269" s="6" t="s">
        <v>297</v>
      </c>
      <c r="BK269" s="5" t="s">
        <v>298</v>
      </c>
      <c r="BL269" s="1082" t="s">
        <v>602</v>
      </c>
      <c r="BM269" s="1082"/>
      <c r="BO269" s="6" t="s">
        <v>297</v>
      </c>
      <c r="BP269" s="5" t="s">
        <v>298</v>
      </c>
      <c r="BQ269" s="1303" t="s">
        <v>602</v>
      </c>
      <c r="BR269" s="1303"/>
    </row>
    <row r="270" spans="1:70">
      <c r="A270" s="1"/>
      <c r="B270" s="1284"/>
      <c r="E270" s="196" t="s">
        <v>137</v>
      </c>
      <c r="F270" s="102" t="s">
        <v>138</v>
      </c>
      <c r="G270" s="102" t="s">
        <v>139</v>
      </c>
      <c r="H270" s="102" t="s">
        <v>140</v>
      </c>
      <c r="I270" s="102" t="s">
        <v>141</v>
      </c>
      <c r="J270" s="102" t="s">
        <v>126</v>
      </c>
      <c r="K270" s="102" t="s">
        <v>142</v>
      </c>
      <c r="L270" s="197" t="s">
        <v>143</v>
      </c>
      <c r="N270" s="196" t="s">
        <v>137</v>
      </c>
      <c r="O270" s="102" t="s">
        <v>138</v>
      </c>
      <c r="P270" s="102" t="s">
        <v>139</v>
      </c>
      <c r="Q270" s="102" t="s">
        <v>140</v>
      </c>
      <c r="R270" s="102" t="s">
        <v>141</v>
      </c>
      <c r="S270" s="102" t="s">
        <v>126</v>
      </c>
      <c r="T270" s="102" t="s">
        <v>142</v>
      </c>
      <c r="U270" s="197" t="s">
        <v>143</v>
      </c>
      <c r="W270" s="196" t="s">
        <v>137</v>
      </c>
      <c r="X270" s="102" t="s">
        <v>138</v>
      </c>
      <c r="Y270" s="102" t="s">
        <v>139</v>
      </c>
      <c r="Z270" s="102" t="s">
        <v>140</v>
      </c>
      <c r="AA270" s="102" t="s">
        <v>141</v>
      </c>
      <c r="AB270" s="102" t="s">
        <v>126</v>
      </c>
      <c r="AC270" s="102" t="s">
        <v>142</v>
      </c>
      <c r="AD270" s="197" t="s">
        <v>143</v>
      </c>
      <c r="AF270" s="102" t="s">
        <v>734</v>
      </c>
      <c r="AG270" s="102" t="s">
        <v>734</v>
      </c>
      <c r="AH270" s="102" t="s">
        <v>734</v>
      </c>
      <c r="AI270" s="102" t="s">
        <v>606</v>
      </c>
      <c r="AK270" s="102" t="s">
        <v>734</v>
      </c>
      <c r="AL270" s="102" t="s">
        <v>734</v>
      </c>
      <c r="AM270" s="102" t="s">
        <v>734</v>
      </c>
      <c r="AN270" s="102" t="s">
        <v>606</v>
      </c>
      <c r="AP270" s="5" t="s">
        <v>734</v>
      </c>
      <c r="AQ270" s="5" t="s">
        <v>734</v>
      </c>
      <c r="AR270" s="5" t="s">
        <v>734</v>
      </c>
      <c r="AS270" s="5" t="s">
        <v>606</v>
      </c>
      <c r="AU270" s="5" t="s">
        <v>734</v>
      </c>
      <c r="AV270" s="5" t="s">
        <v>734</v>
      </c>
      <c r="AW270" s="5" t="s">
        <v>734</v>
      </c>
      <c r="AX270" s="5" t="s">
        <v>606</v>
      </c>
      <c r="AZ270" s="5" t="s">
        <v>734</v>
      </c>
      <c r="BA270" s="5" t="s">
        <v>734</v>
      </c>
      <c r="BB270" s="5" t="s">
        <v>734</v>
      </c>
      <c r="BC270" s="5" t="s">
        <v>606</v>
      </c>
      <c r="BE270" s="5" t="s">
        <v>734</v>
      </c>
      <c r="BF270" s="5" t="s">
        <v>734</v>
      </c>
      <c r="BG270" s="5" t="s">
        <v>734</v>
      </c>
      <c r="BH270" s="5" t="s">
        <v>606</v>
      </c>
      <c r="BJ270" s="5" t="s">
        <v>734</v>
      </c>
      <c r="BK270" s="5" t="s">
        <v>734</v>
      </c>
      <c r="BL270" s="5" t="s">
        <v>734</v>
      </c>
      <c r="BM270" s="5" t="s">
        <v>606</v>
      </c>
      <c r="BO270" s="5" t="s">
        <v>734</v>
      </c>
      <c r="BP270" s="5" t="s">
        <v>734</v>
      </c>
      <c r="BQ270" s="5" t="s">
        <v>734</v>
      </c>
      <c r="BR270" s="5" t="s">
        <v>606</v>
      </c>
    </row>
    <row r="271" spans="1:70">
      <c r="A271" s="1"/>
      <c r="B271" s="1284"/>
      <c r="D271" s="5" t="s">
        <v>161</v>
      </c>
      <c r="E271" s="87">
        <f>SUM(E474,E554,E574,E714)</f>
        <v>7.6619479564946218</v>
      </c>
      <c r="F271" s="87">
        <f t="shared" ref="E271:L284" si="548">SUM(F474,F554,F574,F714)</f>
        <v>7.6663615433929158</v>
      </c>
      <c r="G271" s="87">
        <f t="shared" si="548"/>
        <v>7.6368728688034642</v>
      </c>
      <c r="H271" s="87">
        <f t="shared" si="548"/>
        <v>7.5880815555797767</v>
      </c>
      <c r="I271" s="87">
        <f t="shared" si="548"/>
        <v>5.7620698863435527</v>
      </c>
      <c r="J271" s="87">
        <f t="shared" si="548"/>
        <v>9.074225909188101</v>
      </c>
      <c r="K271" s="87">
        <f t="shared" si="548"/>
        <v>8.0545562489266178</v>
      </c>
      <c r="L271" s="87">
        <f t="shared" si="548"/>
        <v>8.0895111088696599</v>
      </c>
      <c r="N271" s="29">
        <f t="shared" ref="N271:U284" si="549">SUM(N474,N554,N574,N714)</f>
        <v>8.9701683943205026</v>
      </c>
      <c r="O271" s="29">
        <f t="shared" si="549"/>
        <v>8.6241667408576532</v>
      </c>
      <c r="P271" s="29">
        <f t="shared" si="549"/>
        <v>8.70244588350503</v>
      </c>
      <c r="Q271" s="29">
        <f t="shared" si="549"/>
        <v>8.4787323298687465</v>
      </c>
      <c r="R271" s="29">
        <f t="shared" si="549"/>
        <v>8.0204796713637947</v>
      </c>
      <c r="S271" s="29">
        <f t="shared" si="549"/>
        <v>8.7361654828746929</v>
      </c>
      <c r="T271" s="29">
        <f t="shared" si="549"/>
        <v>8.3441895191194053</v>
      </c>
      <c r="U271" s="29">
        <f t="shared" si="549"/>
        <v>8.1784175847752039</v>
      </c>
      <c r="W271" s="30">
        <f t="shared" ref="W271:AD284" si="550">SUM(W474,W554,W574,W714)</f>
        <v>4.356645173510838</v>
      </c>
      <c r="X271" s="30">
        <f t="shared" si="550"/>
        <v>8.4797710956857664</v>
      </c>
      <c r="Y271" s="30">
        <f t="shared" ref="Y271:Z284" si="551">SUM(Y474,Y554,Y574,Y714)</f>
        <v>8.5233390293046849</v>
      </c>
      <c r="Z271" s="30">
        <f t="shared" si="551"/>
        <v>8.2259490744574464</v>
      </c>
      <c r="AA271" s="30">
        <f t="shared" ref="AA271:AA284" si="552">SUM(AA474,AA554,AA574,AA714)</f>
        <v>8.6657216983892518</v>
      </c>
      <c r="AB271" s="30">
        <f t="shared" si="550"/>
        <v>7.7942876443117468</v>
      </c>
      <c r="AC271" s="30">
        <f t="shared" ref="AC271" si="553">SUM(AC474,AC554,AC574,AC714)</f>
        <v>5.9998309543144241</v>
      </c>
      <c r="AD271" s="90">
        <f t="shared" si="550"/>
        <v>0</v>
      </c>
      <c r="AF271" s="29">
        <f>N271</f>
        <v>8.9701683943205026</v>
      </c>
      <c r="AG271" s="30">
        <f>W271</f>
        <v>4.356645173510838</v>
      </c>
      <c r="AH271" s="32">
        <f>AG271-AF271</f>
        <v>-4.6135232208096646</v>
      </c>
      <c r="AI271" s="33">
        <f>AH271/AF271</f>
        <v>-0.51431846293217132</v>
      </c>
      <c r="AK271" s="29">
        <f t="shared" ref="AK271:AK286" si="554">O271</f>
        <v>8.6241667408576532</v>
      </c>
      <c r="AL271" s="30">
        <f t="shared" ref="AL271:AL286" si="555">X271</f>
        <v>8.4797710956857664</v>
      </c>
      <c r="AM271" s="32">
        <f>AL271-AK271</f>
        <v>-0.14439564517188685</v>
      </c>
      <c r="AN271" s="33">
        <f>AM271/AK271</f>
        <v>-1.6743141628721227E-2</v>
      </c>
      <c r="AP271" s="29">
        <f>P271</f>
        <v>8.70244588350503</v>
      </c>
      <c r="AQ271" s="30">
        <f>Y271</f>
        <v>8.5233390293046849</v>
      </c>
      <c r="AR271" s="32">
        <f>AQ271-AP271</f>
        <v>-0.17910685420034511</v>
      </c>
      <c r="AS271" s="33">
        <f>AR271/AP271</f>
        <v>-2.0581208616284707E-2</v>
      </c>
      <c r="AU271" s="31">
        <f>Q271</f>
        <v>8.4787323298687465</v>
      </c>
      <c r="AV271" s="25">
        <f>Z271</f>
        <v>8.2259490744574464</v>
      </c>
      <c r="AW271" s="32">
        <f>AV271-AU271</f>
        <v>-0.25278325541130009</v>
      </c>
      <c r="AX271" s="33">
        <f>AW271/AU271</f>
        <v>-2.98138030045835E-2</v>
      </c>
      <c r="AZ271" s="31">
        <f t="shared" ref="AZ271:AZ286" si="556">R271</f>
        <v>8.0204796713637947</v>
      </c>
      <c r="BA271" s="25">
        <f t="shared" ref="BA271:BA286" si="557">AA271</f>
        <v>8.6657216983892518</v>
      </c>
      <c r="BB271" s="32">
        <f>BA271-AZ271</f>
        <v>0.64524202702545708</v>
      </c>
      <c r="BC271" s="33">
        <f>BB271/AZ271</f>
        <v>8.0449306458467804E-2</v>
      </c>
      <c r="BE271" s="31">
        <f>S271</f>
        <v>8.7361654828746929</v>
      </c>
      <c r="BF271" s="25">
        <f>AB271</f>
        <v>7.7942876443117468</v>
      </c>
      <c r="BG271" s="32">
        <f>BF271-BE271</f>
        <v>-0.94187783856294605</v>
      </c>
      <c r="BH271" s="33">
        <f>BG271/BE271</f>
        <v>-0.10781364437398626</v>
      </c>
      <c r="BJ271" s="31">
        <f t="shared" ref="BJ271:BJ286" si="558">T271</f>
        <v>8.3441895191194053</v>
      </c>
      <c r="BK271" s="25">
        <f t="shared" ref="BK271:BK286" si="559">AC271</f>
        <v>5.9998309543144241</v>
      </c>
      <c r="BL271" s="32">
        <f t="shared" ref="BL271:BL286" si="560">BK271-BJ271</f>
        <v>-2.3443585648049812</v>
      </c>
      <c r="BM271" s="33">
        <f t="shared" ref="BM271:BM286" si="561">BL271/BJ271</f>
        <v>-0.28095701319262345</v>
      </c>
      <c r="BO271" s="62"/>
      <c r="BP271" s="62"/>
      <c r="BQ271" s="62"/>
      <c r="BR271" s="63"/>
    </row>
    <row r="272" spans="1:70">
      <c r="A272" s="1"/>
      <c r="B272" s="1284"/>
      <c r="D272" s="5" t="s">
        <v>162</v>
      </c>
      <c r="E272" s="87">
        <f t="shared" si="548"/>
        <v>17.05800682662046</v>
      </c>
      <c r="F272" s="87">
        <f t="shared" si="548"/>
        <v>14.888764520438507</v>
      </c>
      <c r="G272" s="87">
        <f t="shared" si="548"/>
        <v>8.6324765811507476</v>
      </c>
      <c r="H272" s="87">
        <f t="shared" si="548"/>
        <v>7.9182903360193801</v>
      </c>
      <c r="I272" s="87">
        <f t="shared" si="548"/>
        <v>5.4285627374569705</v>
      </c>
      <c r="J272" s="87">
        <f t="shared" si="548"/>
        <v>5.4452836750066718</v>
      </c>
      <c r="K272" s="87">
        <f t="shared" si="548"/>
        <v>5.4745967106476776</v>
      </c>
      <c r="L272" s="87">
        <f t="shared" si="548"/>
        <v>5.456586164386545</v>
      </c>
      <c r="N272" s="29">
        <f t="shared" si="549"/>
        <v>11.374416536048257</v>
      </c>
      <c r="O272" s="29">
        <f t="shared" si="549"/>
        <v>10.603881955930021</v>
      </c>
      <c r="P272" s="29">
        <f t="shared" si="549"/>
        <v>8.6258514963716664</v>
      </c>
      <c r="Q272" s="29">
        <f t="shared" si="549"/>
        <v>8.4233370908656813</v>
      </c>
      <c r="R272" s="29">
        <f t="shared" si="549"/>
        <v>8.6383197968493803</v>
      </c>
      <c r="S272" s="29">
        <f t="shared" si="549"/>
        <v>7.396541166426406</v>
      </c>
      <c r="T272" s="29">
        <f t="shared" si="549"/>
        <v>7.146335420976655</v>
      </c>
      <c r="U272" s="29">
        <f t="shared" si="549"/>
        <v>7.0823087039583079</v>
      </c>
      <c r="W272" s="30">
        <f t="shared" si="550"/>
        <v>7.6232242759647821</v>
      </c>
      <c r="X272" s="30">
        <f t="shared" si="550"/>
        <v>7.9471300623719383</v>
      </c>
      <c r="Y272" s="30">
        <f t="shared" si="551"/>
        <v>6.9688541318928596</v>
      </c>
      <c r="Z272" s="30">
        <f t="shared" si="551"/>
        <v>10.360788861675712</v>
      </c>
      <c r="AA272" s="30">
        <f t="shared" si="552"/>
        <v>9.3177601797307847</v>
      </c>
      <c r="AB272" s="30">
        <f t="shared" si="550"/>
        <v>7.7418275881017964</v>
      </c>
      <c r="AC272" s="30">
        <f t="shared" ref="AC272" si="562">SUM(AC475,AC555,AC575,AC715)</f>
        <v>6.0060612949227945</v>
      </c>
      <c r="AD272" s="90">
        <f t="shared" si="550"/>
        <v>0</v>
      </c>
      <c r="AF272" s="29">
        <f t="shared" ref="AF272:AF286" si="563">N272</f>
        <v>11.374416536048257</v>
      </c>
      <c r="AG272" s="30">
        <f t="shared" ref="AG272:AG286" si="564">W272</f>
        <v>7.6232242759647821</v>
      </c>
      <c r="AH272" s="32">
        <f t="shared" ref="AH272:AH286" si="565">AG272-AF272</f>
        <v>-3.7511922600834744</v>
      </c>
      <c r="AI272" s="33">
        <f t="shared" ref="AI272:AI286" si="566">AH272/AF272</f>
        <v>-0.32979205994391408</v>
      </c>
      <c r="AK272" s="29">
        <f t="shared" si="554"/>
        <v>10.603881955930021</v>
      </c>
      <c r="AL272" s="30">
        <f t="shared" si="555"/>
        <v>7.9471300623719383</v>
      </c>
      <c r="AM272" s="32">
        <f t="shared" ref="AM272:AM286" si="567">AL272-AK272</f>
        <v>-2.6567518935580825</v>
      </c>
      <c r="AN272" s="33">
        <f t="shared" ref="AN272:AN286" si="568">AM272/AK272</f>
        <v>-0.25054521585581629</v>
      </c>
      <c r="AP272" s="29">
        <f t="shared" ref="AP272:AP286" si="569">P272</f>
        <v>8.6258514963716664</v>
      </c>
      <c r="AQ272" s="30">
        <f t="shared" ref="AQ272:AQ285" si="570">Y272</f>
        <v>6.9688541318928596</v>
      </c>
      <c r="AR272" s="32">
        <f t="shared" ref="AR272:AR286" si="571">AQ272-AP272</f>
        <v>-1.6569973644788067</v>
      </c>
      <c r="AS272" s="33">
        <f t="shared" ref="AS272:AS286" si="572">AR272/AP272</f>
        <v>-0.19209667186779156</v>
      </c>
      <c r="AU272" s="31">
        <f t="shared" ref="AU272:AU286" si="573">Q272</f>
        <v>8.4233370908656813</v>
      </c>
      <c r="AV272" s="25">
        <f t="shared" ref="AV272:AV286" si="574">Z272</f>
        <v>10.360788861675712</v>
      </c>
      <c r="AW272" s="32">
        <f t="shared" ref="AW272:AW286" si="575">AV272-AU272</f>
        <v>1.9374517708100303</v>
      </c>
      <c r="AX272" s="33">
        <f t="shared" ref="AX272:AX286" si="576">AW272/AU272</f>
        <v>0.23001000077641615</v>
      </c>
      <c r="AZ272" s="31">
        <f t="shared" si="556"/>
        <v>8.6383197968493803</v>
      </c>
      <c r="BA272" s="25">
        <f t="shared" si="557"/>
        <v>9.3177601797307847</v>
      </c>
      <c r="BB272" s="32">
        <f t="shared" ref="BB272:BB286" si="577">BA272-AZ272</f>
        <v>0.6794403828814044</v>
      </c>
      <c r="BC272" s="33">
        <f t="shared" ref="BC272:BC286" si="578">BB272/AZ272</f>
        <v>7.8654228931095374E-2</v>
      </c>
      <c r="BE272" s="31">
        <f t="shared" ref="BE272:BE286" si="579">S272</f>
        <v>7.396541166426406</v>
      </c>
      <c r="BF272" s="25">
        <f t="shared" ref="BF272:BF286" si="580">AB272</f>
        <v>7.7418275881017964</v>
      </c>
      <c r="BG272" s="32">
        <f t="shared" ref="BG272:BG286" si="581">BF272-BE272</f>
        <v>0.34528642167539036</v>
      </c>
      <c r="BH272" s="33">
        <f t="shared" ref="BH272:BH286" si="582">BG272/BE272</f>
        <v>4.6682146953048516E-2</v>
      </c>
      <c r="BJ272" s="31">
        <f t="shared" si="558"/>
        <v>7.146335420976655</v>
      </c>
      <c r="BK272" s="25">
        <f t="shared" si="559"/>
        <v>6.0060612949227945</v>
      </c>
      <c r="BL272" s="32">
        <f t="shared" si="560"/>
        <v>-1.1402741260538605</v>
      </c>
      <c r="BM272" s="33">
        <f t="shared" si="561"/>
        <v>-0.15956067814936467</v>
      </c>
      <c r="BO272" s="62"/>
      <c r="BP272" s="62"/>
      <c r="BQ272" s="62"/>
      <c r="BR272" s="63"/>
    </row>
    <row r="273" spans="1:71">
      <c r="A273" s="1"/>
      <c r="B273" s="1284"/>
      <c r="D273" s="5" t="s">
        <v>163</v>
      </c>
      <c r="E273" s="87">
        <f t="shared" si="548"/>
        <v>19.997932145167333</v>
      </c>
      <c r="F273" s="87">
        <f t="shared" si="548"/>
        <v>18.402869852395103</v>
      </c>
      <c r="G273" s="87">
        <f t="shared" si="548"/>
        <v>16.65172844494041</v>
      </c>
      <c r="H273" s="87">
        <f t="shared" si="548"/>
        <v>12.846168019435289</v>
      </c>
      <c r="I273" s="87">
        <f t="shared" si="548"/>
        <v>7.080024366511295</v>
      </c>
      <c r="J273" s="87">
        <f t="shared" si="548"/>
        <v>7.2663961237375343</v>
      </c>
      <c r="K273" s="87">
        <f t="shared" si="548"/>
        <v>7.2951382244720753</v>
      </c>
      <c r="L273" s="87">
        <f t="shared" si="548"/>
        <v>7.288413916491276</v>
      </c>
      <c r="N273" s="29">
        <f t="shared" si="549"/>
        <v>14.380997546223684</v>
      </c>
      <c r="O273" s="29">
        <f t="shared" si="549"/>
        <v>12.868197866933537</v>
      </c>
      <c r="P273" s="29">
        <f t="shared" si="549"/>
        <v>12.673609844314779</v>
      </c>
      <c r="Q273" s="29">
        <f t="shared" si="549"/>
        <v>11.237522905332071</v>
      </c>
      <c r="R273" s="29">
        <f t="shared" si="549"/>
        <v>11.335086987042068</v>
      </c>
      <c r="S273" s="29">
        <f t="shared" si="549"/>
        <v>9.1219551117497435</v>
      </c>
      <c r="T273" s="29">
        <f t="shared" si="549"/>
        <v>8.6570422440360026</v>
      </c>
      <c r="U273" s="29">
        <f t="shared" si="549"/>
        <v>8.834054758663493</v>
      </c>
      <c r="W273" s="30">
        <f t="shared" si="550"/>
        <v>14.59673364506066</v>
      </c>
      <c r="X273" s="30">
        <f t="shared" si="550"/>
        <v>12.148028399920962</v>
      </c>
      <c r="Y273" s="30">
        <f t="shared" si="551"/>
        <v>13.630202637595863</v>
      </c>
      <c r="Z273" s="30">
        <f t="shared" si="551"/>
        <v>11.790150115292162</v>
      </c>
      <c r="AA273" s="30">
        <f t="shared" si="552"/>
        <v>10.294192459599694</v>
      </c>
      <c r="AB273" s="30">
        <f t="shared" si="550"/>
        <v>9.558194988833252</v>
      </c>
      <c r="AC273" s="30">
        <f t="shared" ref="AC273" si="583">SUM(AC476,AC556,AC576,AC716)</f>
        <v>9.2930576966859597</v>
      </c>
      <c r="AD273" s="90">
        <f t="shared" si="550"/>
        <v>0</v>
      </c>
      <c r="AF273" s="29">
        <f t="shared" si="563"/>
        <v>14.380997546223684</v>
      </c>
      <c r="AG273" s="30">
        <f t="shared" si="564"/>
        <v>14.59673364506066</v>
      </c>
      <c r="AH273" s="32">
        <f t="shared" si="565"/>
        <v>0.21573609883697564</v>
      </c>
      <c r="AI273" s="33">
        <f t="shared" si="566"/>
        <v>1.5001469692457178E-2</v>
      </c>
      <c r="AK273" s="29">
        <f t="shared" si="554"/>
        <v>12.868197866933537</v>
      </c>
      <c r="AL273" s="30">
        <f t="shared" si="555"/>
        <v>12.148028399920962</v>
      </c>
      <c r="AM273" s="32">
        <f t="shared" si="567"/>
        <v>-0.72016946701257467</v>
      </c>
      <c r="AN273" s="33">
        <f t="shared" si="568"/>
        <v>-5.5965060100850741E-2</v>
      </c>
      <c r="AP273" s="29">
        <f t="shared" si="569"/>
        <v>12.673609844314779</v>
      </c>
      <c r="AQ273" s="30">
        <f t="shared" si="570"/>
        <v>13.630202637595863</v>
      </c>
      <c r="AR273" s="32">
        <f t="shared" si="571"/>
        <v>0.95659279328108404</v>
      </c>
      <c r="AS273" s="33">
        <f t="shared" si="572"/>
        <v>7.5479110137685004E-2</v>
      </c>
      <c r="AU273" s="31">
        <f t="shared" si="573"/>
        <v>11.237522905332071</v>
      </c>
      <c r="AV273" s="25">
        <f t="shared" si="574"/>
        <v>11.790150115292162</v>
      </c>
      <c r="AW273" s="32">
        <f t="shared" si="575"/>
        <v>0.55262720996009129</v>
      </c>
      <c r="AX273" s="33">
        <f t="shared" si="576"/>
        <v>4.9176959603604124E-2</v>
      </c>
      <c r="AZ273" s="31">
        <f t="shared" si="556"/>
        <v>11.335086987042068</v>
      </c>
      <c r="BA273" s="25">
        <f t="shared" si="557"/>
        <v>10.294192459599694</v>
      </c>
      <c r="BB273" s="32">
        <f t="shared" si="577"/>
        <v>-1.040894527442374</v>
      </c>
      <c r="BC273" s="33">
        <f t="shared" si="578"/>
        <v>-9.1829425626137093E-2</v>
      </c>
      <c r="BE273" s="31">
        <f t="shared" si="579"/>
        <v>9.1219551117497435</v>
      </c>
      <c r="BF273" s="25">
        <f t="shared" si="580"/>
        <v>9.558194988833252</v>
      </c>
      <c r="BG273" s="32">
        <f t="shared" si="581"/>
        <v>0.43623987708350853</v>
      </c>
      <c r="BH273" s="33">
        <f t="shared" si="582"/>
        <v>4.7823067723891749E-2</v>
      </c>
      <c r="BJ273" s="31">
        <f t="shared" si="558"/>
        <v>8.6570422440360026</v>
      </c>
      <c r="BK273" s="25">
        <f t="shared" si="559"/>
        <v>9.2930576966859597</v>
      </c>
      <c r="BL273" s="32">
        <f t="shared" si="560"/>
        <v>0.63601545264995707</v>
      </c>
      <c r="BM273" s="33">
        <f t="shared" si="561"/>
        <v>7.3467985337384717E-2</v>
      </c>
      <c r="BO273" s="62"/>
      <c r="BP273" s="62"/>
      <c r="BQ273" s="62"/>
      <c r="BR273" s="63"/>
    </row>
    <row r="274" spans="1:71">
      <c r="A274" s="1"/>
      <c r="B274" s="1284"/>
      <c r="D274" s="5" t="s">
        <v>164</v>
      </c>
      <c r="E274" s="87">
        <f t="shared" si="548"/>
        <v>10.737356728572536</v>
      </c>
      <c r="F274" s="87">
        <f t="shared" si="548"/>
        <v>11.137365083051215</v>
      </c>
      <c r="G274" s="87">
        <f t="shared" si="548"/>
        <v>11.616774598363856</v>
      </c>
      <c r="H274" s="87">
        <f t="shared" si="548"/>
        <v>11.679174464371084</v>
      </c>
      <c r="I274" s="87">
        <f t="shared" si="548"/>
        <v>11.539341297625187</v>
      </c>
      <c r="J274" s="87">
        <f t="shared" si="548"/>
        <v>11.608308861467959</v>
      </c>
      <c r="K274" s="87">
        <f t="shared" si="548"/>
        <v>11.323073301998306</v>
      </c>
      <c r="L274" s="87">
        <f t="shared" si="548"/>
        <v>11.095232614060071</v>
      </c>
      <c r="N274" s="29">
        <f t="shared" si="549"/>
        <v>10.737356728572536</v>
      </c>
      <c r="O274" s="29">
        <f t="shared" si="549"/>
        <v>11.137365083051215</v>
      </c>
      <c r="P274" s="29">
        <f t="shared" si="549"/>
        <v>11.616774598363856</v>
      </c>
      <c r="Q274" s="29">
        <f t="shared" si="549"/>
        <v>11.679174464371084</v>
      </c>
      <c r="R274" s="29">
        <f t="shared" si="549"/>
        <v>11.539341297625187</v>
      </c>
      <c r="S274" s="29">
        <f t="shared" si="549"/>
        <v>11.608308861467959</v>
      </c>
      <c r="T274" s="29">
        <f t="shared" si="549"/>
        <v>11.323073301998306</v>
      </c>
      <c r="U274" s="29">
        <f t="shared" si="549"/>
        <v>11.095232614060071</v>
      </c>
      <c r="W274" s="30">
        <f t="shared" si="550"/>
        <v>18.829980643942751</v>
      </c>
      <c r="X274" s="30">
        <f t="shared" si="550"/>
        <v>23.260291078975968</v>
      </c>
      <c r="Y274" s="30">
        <f t="shared" si="551"/>
        <v>20.129265440074498</v>
      </c>
      <c r="Z274" s="30">
        <f t="shared" si="551"/>
        <v>17.111229801488133</v>
      </c>
      <c r="AA274" s="30">
        <f t="shared" si="552"/>
        <v>14.532169101506321</v>
      </c>
      <c r="AB274" s="30">
        <f t="shared" si="550"/>
        <v>14.338990600577228</v>
      </c>
      <c r="AC274" s="30">
        <f t="shared" ref="AC274" si="584">SUM(AC477,AC557,AC577,AC717)</f>
        <v>14.074099999999998</v>
      </c>
      <c r="AD274" s="90">
        <f t="shared" si="550"/>
        <v>0</v>
      </c>
      <c r="AF274" s="29">
        <f t="shared" si="563"/>
        <v>10.737356728572536</v>
      </c>
      <c r="AG274" s="30">
        <f t="shared" si="564"/>
        <v>18.829980643942751</v>
      </c>
      <c r="AH274" s="32">
        <f t="shared" si="565"/>
        <v>8.0926239153702149</v>
      </c>
      <c r="AI274" s="33">
        <f t="shared" si="566"/>
        <v>0.75368865168048471</v>
      </c>
      <c r="AK274" s="29">
        <f t="shared" si="554"/>
        <v>11.137365083051215</v>
      </c>
      <c r="AL274" s="30">
        <f t="shared" si="555"/>
        <v>23.260291078975968</v>
      </c>
      <c r="AM274" s="32">
        <f t="shared" si="567"/>
        <v>12.122925995924753</v>
      </c>
      <c r="AN274" s="33">
        <f t="shared" si="568"/>
        <v>1.0884913896172228</v>
      </c>
      <c r="AP274" s="29">
        <f t="shared" si="569"/>
        <v>11.616774598363856</v>
      </c>
      <c r="AQ274" s="30">
        <f t="shared" si="570"/>
        <v>20.129265440074498</v>
      </c>
      <c r="AR274" s="32">
        <f t="shared" si="571"/>
        <v>8.5124908417106422</v>
      </c>
      <c r="AS274" s="33">
        <f t="shared" si="572"/>
        <v>0.73277576057209282</v>
      </c>
      <c r="AU274" s="31">
        <f t="shared" si="573"/>
        <v>11.679174464371084</v>
      </c>
      <c r="AV274" s="25">
        <f t="shared" si="574"/>
        <v>17.111229801488133</v>
      </c>
      <c r="AW274" s="32">
        <f t="shared" si="575"/>
        <v>5.432055337117049</v>
      </c>
      <c r="AX274" s="33">
        <f t="shared" si="576"/>
        <v>0.46510610434738137</v>
      </c>
      <c r="AZ274" s="31">
        <f t="shared" si="556"/>
        <v>11.539341297625187</v>
      </c>
      <c r="BA274" s="25">
        <f t="shared" si="557"/>
        <v>14.532169101506321</v>
      </c>
      <c r="BB274" s="32">
        <f t="shared" si="577"/>
        <v>2.9928278038811342</v>
      </c>
      <c r="BC274" s="33">
        <f t="shared" si="578"/>
        <v>0.25935863466462011</v>
      </c>
      <c r="BE274" s="31">
        <f t="shared" si="579"/>
        <v>11.608308861467959</v>
      </c>
      <c r="BF274" s="25">
        <f t="shared" si="580"/>
        <v>14.338990600577228</v>
      </c>
      <c r="BG274" s="32">
        <f t="shared" si="581"/>
        <v>2.7306817391092686</v>
      </c>
      <c r="BH274" s="33">
        <f t="shared" si="582"/>
        <v>0.23523510372586287</v>
      </c>
      <c r="BJ274" s="31">
        <f t="shared" si="558"/>
        <v>11.323073301998306</v>
      </c>
      <c r="BK274" s="25">
        <f t="shared" si="559"/>
        <v>14.074099999999998</v>
      </c>
      <c r="BL274" s="32">
        <f t="shared" si="560"/>
        <v>2.7510266980016915</v>
      </c>
      <c r="BM274" s="33">
        <f t="shared" si="561"/>
        <v>0.24295759858025365</v>
      </c>
      <c r="BO274" s="62"/>
      <c r="BP274" s="62"/>
      <c r="BQ274" s="62"/>
      <c r="BR274" s="63"/>
    </row>
    <row r="275" spans="1:71">
      <c r="A275" s="1"/>
      <c r="B275" s="1284"/>
      <c r="D275" s="5" t="s">
        <v>165</v>
      </c>
      <c r="E275" s="87">
        <f t="shared" si="548"/>
        <v>10.349825133434726</v>
      </c>
      <c r="F275" s="87">
        <f t="shared" si="548"/>
        <v>11.516191644781514</v>
      </c>
      <c r="G275" s="87">
        <f t="shared" si="548"/>
        <v>11.086446664204363</v>
      </c>
      <c r="H275" s="87">
        <f t="shared" si="548"/>
        <v>10.269032302928201</v>
      </c>
      <c r="I275" s="87">
        <f t="shared" si="548"/>
        <v>9.9320902906886701</v>
      </c>
      <c r="J275" s="87">
        <f t="shared" si="548"/>
        <v>9.5818036572642651</v>
      </c>
      <c r="K275" s="87">
        <f t="shared" si="548"/>
        <v>9.3894033866416784</v>
      </c>
      <c r="L275" s="87">
        <f t="shared" si="548"/>
        <v>9.0275496399868569</v>
      </c>
      <c r="N275" s="29">
        <f t="shared" si="549"/>
        <v>10.349825133434726</v>
      </c>
      <c r="O275" s="29">
        <f t="shared" si="549"/>
        <v>11.516191644781514</v>
      </c>
      <c r="P275" s="29">
        <f t="shared" si="549"/>
        <v>11.086446664204363</v>
      </c>
      <c r="Q275" s="29">
        <f t="shared" si="549"/>
        <v>10.269032302928201</v>
      </c>
      <c r="R275" s="29">
        <f t="shared" si="549"/>
        <v>9.9320902906886701</v>
      </c>
      <c r="S275" s="29">
        <f t="shared" si="549"/>
        <v>9.5818036572642651</v>
      </c>
      <c r="T275" s="29">
        <f t="shared" si="549"/>
        <v>9.3894033866416784</v>
      </c>
      <c r="U275" s="29">
        <f t="shared" si="549"/>
        <v>9.0275496399868569</v>
      </c>
      <c r="W275" s="30">
        <f t="shared" si="550"/>
        <v>14.90621845100662</v>
      </c>
      <c r="X275" s="30">
        <f t="shared" si="550"/>
        <v>13.593787926427968</v>
      </c>
      <c r="Y275" s="30">
        <f t="shared" si="551"/>
        <v>17.442563908653078</v>
      </c>
      <c r="Z275" s="30">
        <f t="shared" si="551"/>
        <v>11.906042833947506</v>
      </c>
      <c r="AA275" s="30">
        <f t="shared" si="552"/>
        <v>12.908942728167299</v>
      </c>
      <c r="AB275" s="30">
        <f t="shared" si="550"/>
        <v>15.459263907236366</v>
      </c>
      <c r="AC275" s="30">
        <f t="shared" ref="AC275" si="585">SUM(AC478,AC558,AC578,AC718)</f>
        <v>9.9573000000000018</v>
      </c>
      <c r="AD275" s="90">
        <f t="shared" si="550"/>
        <v>0</v>
      </c>
      <c r="AF275" s="29">
        <f t="shared" si="563"/>
        <v>10.349825133434726</v>
      </c>
      <c r="AG275" s="30">
        <f t="shared" si="564"/>
        <v>14.90621845100662</v>
      </c>
      <c r="AH275" s="32">
        <f t="shared" si="565"/>
        <v>4.556393317571894</v>
      </c>
      <c r="AI275" s="33">
        <f t="shared" si="566"/>
        <v>0.44023867638619657</v>
      </c>
      <c r="AK275" s="29">
        <f t="shared" si="554"/>
        <v>11.516191644781514</v>
      </c>
      <c r="AL275" s="30">
        <f t="shared" si="555"/>
        <v>13.593787926427968</v>
      </c>
      <c r="AM275" s="32">
        <f t="shared" si="567"/>
        <v>2.0775962816464535</v>
      </c>
      <c r="AN275" s="33">
        <f t="shared" si="568"/>
        <v>0.18040653939515694</v>
      </c>
      <c r="AP275" s="29">
        <f t="shared" si="569"/>
        <v>11.086446664204363</v>
      </c>
      <c r="AQ275" s="30">
        <f t="shared" si="570"/>
        <v>17.442563908653078</v>
      </c>
      <c r="AR275" s="32">
        <f t="shared" si="571"/>
        <v>6.3561172444487148</v>
      </c>
      <c r="AS275" s="33">
        <f t="shared" si="572"/>
        <v>0.5733232150000942</v>
      </c>
      <c r="AU275" s="31">
        <f t="shared" si="573"/>
        <v>10.269032302928201</v>
      </c>
      <c r="AV275" s="25">
        <f t="shared" si="574"/>
        <v>11.906042833947506</v>
      </c>
      <c r="AW275" s="32">
        <f t="shared" si="575"/>
        <v>1.637010531019305</v>
      </c>
      <c r="AX275" s="33">
        <f t="shared" si="576"/>
        <v>0.15941234604476934</v>
      </c>
      <c r="AZ275" s="31">
        <f t="shared" si="556"/>
        <v>9.9320902906886701</v>
      </c>
      <c r="BA275" s="25">
        <f t="shared" si="557"/>
        <v>12.908942728167299</v>
      </c>
      <c r="BB275" s="32">
        <f t="shared" si="577"/>
        <v>2.9768524374786285</v>
      </c>
      <c r="BC275" s="33">
        <f t="shared" si="578"/>
        <v>0.29972063788721559</v>
      </c>
      <c r="BE275" s="31">
        <f t="shared" si="579"/>
        <v>9.5818036572642651</v>
      </c>
      <c r="BF275" s="25">
        <f t="shared" si="580"/>
        <v>15.459263907236366</v>
      </c>
      <c r="BG275" s="32">
        <f t="shared" si="581"/>
        <v>5.8774602499721009</v>
      </c>
      <c r="BH275" s="33">
        <f t="shared" si="582"/>
        <v>0.61339810960499219</v>
      </c>
      <c r="BJ275" s="31">
        <f t="shared" si="558"/>
        <v>9.3894033866416784</v>
      </c>
      <c r="BK275" s="25">
        <f t="shared" si="559"/>
        <v>9.9573000000000018</v>
      </c>
      <c r="BL275" s="32">
        <f t="shared" si="560"/>
        <v>0.56789661335832342</v>
      </c>
      <c r="BM275" s="33">
        <f t="shared" si="561"/>
        <v>6.0482715458393344E-2</v>
      </c>
      <c r="BO275" s="62"/>
      <c r="BP275" s="62"/>
      <c r="BQ275" s="62"/>
      <c r="BR275" s="63"/>
    </row>
    <row r="276" spans="1:71">
      <c r="A276" s="1"/>
      <c r="B276" s="1284"/>
      <c r="D276" s="5" t="s">
        <v>166</v>
      </c>
      <c r="E276" s="87">
        <f t="shared" si="548"/>
        <v>14.950219784395996</v>
      </c>
      <c r="F276" s="87">
        <f t="shared" si="548"/>
        <v>13.165697621919058</v>
      </c>
      <c r="G276" s="87">
        <f t="shared" si="548"/>
        <v>11.961044270519832</v>
      </c>
      <c r="H276" s="87">
        <f t="shared" si="548"/>
        <v>10.705671445451102</v>
      </c>
      <c r="I276" s="87">
        <f t="shared" si="548"/>
        <v>10.791056936341487</v>
      </c>
      <c r="J276" s="87">
        <f t="shared" si="548"/>
        <v>10.578037840199917</v>
      </c>
      <c r="K276" s="87">
        <f t="shared" si="548"/>
        <v>10.760029851821708</v>
      </c>
      <c r="L276" s="87">
        <f t="shared" si="548"/>
        <v>10.92347254534681</v>
      </c>
      <c r="N276" s="29">
        <f t="shared" si="549"/>
        <v>14.950219784395996</v>
      </c>
      <c r="O276" s="29">
        <f t="shared" si="549"/>
        <v>13.165697621919058</v>
      </c>
      <c r="P276" s="29">
        <f t="shared" si="549"/>
        <v>11.961044270519832</v>
      </c>
      <c r="Q276" s="29">
        <f t="shared" si="549"/>
        <v>10.705671445451102</v>
      </c>
      <c r="R276" s="29">
        <f t="shared" si="549"/>
        <v>10.791056936341487</v>
      </c>
      <c r="S276" s="29">
        <f t="shared" si="549"/>
        <v>10.578037840199917</v>
      </c>
      <c r="T276" s="29">
        <f t="shared" si="549"/>
        <v>10.760029851821708</v>
      </c>
      <c r="U276" s="29">
        <f t="shared" si="549"/>
        <v>10.92347254534681</v>
      </c>
      <c r="W276" s="30">
        <f t="shared" si="550"/>
        <v>13.651670001117823</v>
      </c>
      <c r="X276" s="30">
        <f t="shared" si="550"/>
        <v>11.541844452662723</v>
      </c>
      <c r="Y276" s="30">
        <f t="shared" si="551"/>
        <v>10.948390800558732</v>
      </c>
      <c r="Z276" s="30">
        <f t="shared" si="551"/>
        <v>10.1490876734861</v>
      </c>
      <c r="AA276" s="30">
        <f t="shared" si="552"/>
        <v>10.347238423902946</v>
      </c>
      <c r="AB276" s="30">
        <f t="shared" si="550"/>
        <v>9.6853767655787379</v>
      </c>
      <c r="AC276" s="30">
        <f t="shared" ref="AC276" si="586">SUM(AC479,AC559,AC579,AC719)</f>
        <v>9.5823</v>
      </c>
      <c r="AD276" s="90">
        <f t="shared" si="550"/>
        <v>0</v>
      </c>
      <c r="AF276" s="29">
        <f t="shared" si="563"/>
        <v>14.950219784395996</v>
      </c>
      <c r="AG276" s="30">
        <f t="shared" si="564"/>
        <v>13.651670001117823</v>
      </c>
      <c r="AH276" s="32">
        <f t="shared" si="565"/>
        <v>-1.2985497832781725</v>
      </c>
      <c r="AI276" s="33">
        <f t="shared" si="566"/>
        <v>-8.6858240347309726E-2</v>
      </c>
      <c r="AK276" s="29">
        <f t="shared" si="554"/>
        <v>13.165697621919058</v>
      </c>
      <c r="AL276" s="30">
        <f t="shared" si="555"/>
        <v>11.541844452662723</v>
      </c>
      <c r="AM276" s="32">
        <f t="shared" si="567"/>
        <v>-1.6238531692563356</v>
      </c>
      <c r="AN276" s="33">
        <f t="shared" si="568"/>
        <v>-0.12333969804629613</v>
      </c>
      <c r="AP276" s="29">
        <f t="shared" si="569"/>
        <v>11.961044270519832</v>
      </c>
      <c r="AQ276" s="30">
        <f t="shared" si="570"/>
        <v>10.948390800558732</v>
      </c>
      <c r="AR276" s="32">
        <f t="shared" si="571"/>
        <v>-1.0126534699610996</v>
      </c>
      <c r="AS276" s="33">
        <f t="shared" si="572"/>
        <v>-8.4662630373918787E-2</v>
      </c>
      <c r="AU276" s="31">
        <f t="shared" si="573"/>
        <v>10.705671445451102</v>
      </c>
      <c r="AV276" s="25">
        <f t="shared" si="574"/>
        <v>10.1490876734861</v>
      </c>
      <c r="AW276" s="32">
        <f t="shared" si="575"/>
        <v>-0.55658377196500197</v>
      </c>
      <c r="AX276" s="33">
        <f t="shared" si="576"/>
        <v>-5.1989618287930688E-2</v>
      </c>
      <c r="AZ276" s="31">
        <f t="shared" si="556"/>
        <v>10.791056936341487</v>
      </c>
      <c r="BA276" s="25">
        <f t="shared" si="557"/>
        <v>10.347238423902946</v>
      </c>
      <c r="BB276" s="32">
        <f t="shared" si="577"/>
        <v>-0.44381851243854165</v>
      </c>
      <c r="BC276" s="33">
        <f t="shared" si="578"/>
        <v>-4.1128363519598879E-2</v>
      </c>
      <c r="BE276" s="31">
        <f t="shared" si="579"/>
        <v>10.578037840199917</v>
      </c>
      <c r="BF276" s="25">
        <f t="shared" si="580"/>
        <v>9.6853767655787379</v>
      </c>
      <c r="BG276" s="32">
        <f t="shared" si="581"/>
        <v>-0.89266107462117894</v>
      </c>
      <c r="BH276" s="33">
        <f t="shared" si="582"/>
        <v>-8.4388152898147342E-2</v>
      </c>
      <c r="BJ276" s="31">
        <f t="shared" si="558"/>
        <v>10.760029851821708</v>
      </c>
      <c r="BK276" s="25">
        <f t="shared" si="559"/>
        <v>9.5823</v>
      </c>
      <c r="BL276" s="32">
        <f t="shared" si="560"/>
        <v>-1.1777298518217076</v>
      </c>
      <c r="BM276" s="33">
        <f t="shared" si="561"/>
        <v>-0.10945414353309756</v>
      </c>
      <c r="BO276" s="62"/>
      <c r="BP276" s="62"/>
      <c r="BQ276" s="62"/>
      <c r="BR276" s="63"/>
    </row>
    <row r="277" spans="1:71">
      <c r="A277" s="1"/>
      <c r="B277" s="1284"/>
      <c r="D277" s="5" t="s">
        <v>167</v>
      </c>
      <c r="E277" s="87">
        <f t="shared" si="548"/>
        <v>14.428253876475576</v>
      </c>
      <c r="F277" s="87">
        <f t="shared" si="548"/>
        <v>14.775120101357654</v>
      </c>
      <c r="G277" s="87">
        <f t="shared" si="548"/>
        <v>15.070049404103361</v>
      </c>
      <c r="H277" s="87">
        <f t="shared" si="548"/>
        <v>15.347422539596451</v>
      </c>
      <c r="I277" s="87">
        <f t="shared" si="548"/>
        <v>15.126195548093813</v>
      </c>
      <c r="J277" s="87">
        <f t="shared" si="548"/>
        <v>15.448483482216744</v>
      </c>
      <c r="K277" s="87">
        <f t="shared" si="548"/>
        <v>15.107883483576201</v>
      </c>
      <c r="L277" s="87">
        <f t="shared" si="548"/>
        <v>14.952399405595447</v>
      </c>
      <c r="N277" s="29">
        <f t="shared" si="549"/>
        <v>14.428253876475576</v>
      </c>
      <c r="O277" s="29">
        <f t="shared" si="549"/>
        <v>14.775120101357654</v>
      </c>
      <c r="P277" s="29">
        <f t="shared" si="549"/>
        <v>15.070049404103361</v>
      </c>
      <c r="Q277" s="29">
        <f t="shared" si="549"/>
        <v>15.347422539596451</v>
      </c>
      <c r="R277" s="29">
        <f t="shared" si="549"/>
        <v>15.126195548093813</v>
      </c>
      <c r="S277" s="29">
        <f t="shared" si="549"/>
        <v>15.448483482216744</v>
      </c>
      <c r="T277" s="29">
        <f t="shared" si="549"/>
        <v>15.107883483576201</v>
      </c>
      <c r="U277" s="29">
        <f t="shared" si="549"/>
        <v>14.952399405595447</v>
      </c>
      <c r="W277" s="30">
        <f t="shared" si="550"/>
        <v>18.925211185932397</v>
      </c>
      <c r="X277" s="30">
        <f t="shared" si="550"/>
        <v>16.80139535835044</v>
      </c>
      <c r="Y277" s="30">
        <f t="shared" si="551"/>
        <v>17.179519111120811</v>
      </c>
      <c r="Z277" s="30">
        <f t="shared" si="551"/>
        <v>14.488811950244964</v>
      </c>
      <c r="AA277" s="30">
        <f t="shared" si="552"/>
        <v>15.440242317352618</v>
      </c>
      <c r="AB277" s="30">
        <f t="shared" si="550"/>
        <v>13.121826504672518</v>
      </c>
      <c r="AC277" s="30">
        <f t="shared" ref="AC277" si="587">SUM(AC480,AC560,AC580,AC720)</f>
        <v>12.9224</v>
      </c>
      <c r="AD277" s="90">
        <f t="shared" si="550"/>
        <v>0</v>
      </c>
      <c r="AF277" s="29">
        <f t="shared" si="563"/>
        <v>14.428253876475576</v>
      </c>
      <c r="AG277" s="30">
        <f t="shared" si="564"/>
        <v>18.925211185932397</v>
      </c>
      <c r="AH277" s="32">
        <f t="shared" si="565"/>
        <v>4.4969573094568212</v>
      </c>
      <c r="AI277" s="33">
        <f t="shared" si="566"/>
        <v>0.31167716814221347</v>
      </c>
      <c r="AK277" s="29">
        <f t="shared" si="554"/>
        <v>14.775120101357654</v>
      </c>
      <c r="AL277" s="30">
        <f t="shared" si="555"/>
        <v>16.80139535835044</v>
      </c>
      <c r="AM277" s="32">
        <f t="shared" si="567"/>
        <v>2.0262752569927862</v>
      </c>
      <c r="AN277" s="33">
        <f t="shared" si="568"/>
        <v>0.13714103459684204</v>
      </c>
      <c r="AP277" s="29">
        <f t="shared" si="569"/>
        <v>15.070049404103361</v>
      </c>
      <c r="AQ277" s="30">
        <f t="shared" si="570"/>
        <v>17.179519111120811</v>
      </c>
      <c r="AR277" s="32">
        <f t="shared" si="571"/>
        <v>2.1094697070174497</v>
      </c>
      <c r="AS277" s="33">
        <f t="shared" si="572"/>
        <v>0.13997762385855689</v>
      </c>
      <c r="AU277" s="31">
        <f t="shared" si="573"/>
        <v>15.347422539596451</v>
      </c>
      <c r="AV277" s="25">
        <f t="shared" si="574"/>
        <v>14.488811950244964</v>
      </c>
      <c r="AW277" s="32">
        <f t="shared" si="575"/>
        <v>-0.85861058935148726</v>
      </c>
      <c r="AX277" s="33">
        <f t="shared" si="576"/>
        <v>-5.5944937147346163E-2</v>
      </c>
      <c r="AZ277" s="31">
        <f t="shared" si="556"/>
        <v>15.126195548093813</v>
      </c>
      <c r="BA277" s="25">
        <f t="shared" si="557"/>
        <v>15.440242317352618</v>
      </c>
      <c r="BB277" s="32">
        <f t="shared" si="577"/>
        <v>0.31404676925880537</v>
      </c>
      <c r="BC277" s="33">
        <f t="shared" si="578"/>
        <v>2.0761781656219645E-2</v>
      </c>
      <c r="BE277" s="31">
        <f t="shared" si="579"/>
        <v>15.448483482216744</v>
      </c>
      <c r="BF277" s="25">
        <f t="shared" si="580"/>
        <v>13.121826504672518</v>
      </c>
      <c r="BG277" s="32">
        <f t="shared" si="581"/>
        <v>-2.3266569775442267</v>
      </c>
      <c r="BH277" s="33">
        <f t="shared" si="582"/>
        <v>-0.15060746773121891</v>
      </c>
      <c r="BJ277" s="31">
        <f t="shared" si="558"/>
        <v>15.107883483576201</v>
      </c>
      <c r="BK277" s="25">
        <f t="shared" si="559"/>
        <v>12.9224</v>
      </c>
      <c r="BL277" s="32">
        <f t="shared" si="560"/>
        <v>-2.1854834835762009</v>
      </c>
      <c r="BM277" s="33">
        <f t="shared" si="561"/>
        <v>-0.14465848151079819</v>
      </c>
      <c r="BO277" s="62"/>
      <c r="BP277" s="62"/>
      <c r="BQ277" s="62"/>
      <c r="BR277" s="63"/>
    </row>
    <row r="278" spans="1:71">
      <c r="A278" s="1"/>
      <c r="B278" s="1284"/>
      <c r="D278" s="5" t="s">
        <v>168</v>
      </c>
      <c r="E278" s="87">
        <f t="shared" si="548"/>
        <v>1.19713328807431</v>
      </c>
      <c r="F278" s="87">
        <f t="shared" si="548"/>
        <v>1.9172081491871911</v>
      </c>
      <c r="G278" s="87">
        <f t="shared" si="548"/>
        <v>1.2102216479638652</v>
      </c>
      <c r="H278" s="87">
        <f t="shared" si="548"/>
        <v>1.2106313391923496</v>
      </c>
      <c r="I278" s="87">
        <f t="shared" si="548"/>
        <v>0.99540658244980373</v>
      </c>
      <c r="J278" s="87">
        <f t="shared" si="548"/>
        <v>0.64845889652134747</v>
      </c>
      <c r="K278" s="87">
        <f t="shared" si="548"/>
        <v>0.65461857564317294</v>
      </c>
      <c r="L278" s="87">
        <f t="shared" si="548"/>
        <v>0.66085728124636756</v>
      </c>
      <c r="N278" s="29">
        <f t="shared" si="549"/>
        <v>1.1945787468542948</v>
      </c>
      <c r="O278" s="29">
        <f t="shared" si="549"/>
        <v>1.8366825761593091</v>
      </c>
      <c r="P278" s="29">
        <f t="shared" si="549"/>
        <v>0.9911700942842796</v>
      </c>
      <c r="Q278" s="29">
        <f t="shared" si="549"/>
        <v>0.92093451862707298</v>
      </c>
      <c r="R278" s="29">
        <f t="shared" si="549"/>
        <v>0.88253094898098994</v>
      </c>
      <c r="S278" s="29">
        <f t="shared" si="549"/>
        <v>0.78271314234133649</v>
      </c>
      <c r="T278" s="29">
        <f t="shared" si="549"/>
        <v>0.70682887060802113</v>
      </c>
      <c r="U278" s="29">
        <f t="shared" si="549"/>
        <v>0.66819327590307187</v>
      </c>
      <c r="W278" s="30">
        <f t="shared" si="550"/>
        <v>0.23274790690749295</v>
      </c>
      <c r="X278" s="30">
        <f t="shared" si="550"/>
        <v>0.73251209151274232</v>
      </c>
      <c r="Y278" s="30">
        <f t="shared" si="551"/>
        <v>1.3767111133845533</v>
      </c>
      <c r="Z278" s="30">
        <f t="shared" si="551"/>
        <v>1.2540859713435373</v>
      </c>
      <c r="AA278" s="30">
        <f t="shared" si="552"/>
        <v>0.70433843188944234</v>
      </c>
      <c r="AB278" s="30">
        <f t="shared" si="550"/>
        <v>0.64813099709712541</v>
      </c>
      <c r="AC278" s="30">
        <f t="shared" ref="AC278" si="588">SUM(AC481,AC561,AC581,AC721)</f>
        <v>0.51828226445413661</v>
      </c>
      <c r="AD278" s="90">
        <f t="shared" si="550"/>
        <v>0</v>
      </c>
      <c r="AF278" s="29">
        <f t="shared" si="563"/>
        <v>1.1945787468542948</v>
      </c>
      <c r="AG278" s="30">
        <f t="shared" si="564"/>
        <v>0.23274790690749295</v>
      </c>
      <c r="AH278" s="32">
        <f t="shared" si="565"/>
        <v>-0.96183083994680185</v>
      </c>
      <c r="AI278" s="33">
        <f t="shared" si="566"/>
        <v>-0.80516319454000662</v>
      </c>
      <c r="AK278" s="29">
        <f t="shared" si="554"/>
        <v>1.8366825761593091</v>
      </c>
      <c r="AL278" s="30">
        <f t="shared" si="555"/>
        <v>0.73251209151274232</v>
      </c>
      <c r="AM278" s="32">
        <f t="shared" si="567"/>
        <v>-1.1041704846465668</v>
      </c>
      <c r="AN278" s="33">
        <f t="shared" si="568"/>
        <v>-0.60117654459133596</v>
      </c>
      <c r="AP278" s="29">
        <f t="shared" si="569"/>
        <v>0.9911700942842796</v>
      </c>
      <c r="AQ278" s="30">
        <f t="shared" si="570"/>
        <v>1.3767111133845533</v>
      </c>
      <c r="AR278" s="32">
        <f t="shared" si="571"/>
        <v>0.38554101910027372</v>
      </c>
      <c r="AS278" s="33">
        <f t="shared" si="572"/>
        <v>0.38897563730337475</v>
      </c>
      <c r="AU278" s="31">
        <f t="shared" si="573"/>
        <v>0.92093451862707298</v>
      </c>
      <c r="AV278" s="25">
        <f t="shared" si="574"/>
        <v>1.2540859713435373</v>
      </c>
      <c r="AW278" s="32">
        <f t="shared" si="575"/>
        <v>0.33315145271646429</v>
      </c>
      <c r="AX278" s="33">
        <f t="shared" si="576"/>
        <v>0.36175368169837491</v>
      </c>
      <c r="AZ278" s="31">
        <f t="shared" si="556"/>
        <v>0.88253094898098994</v>
      </c>
      <c r="BA278" s="25">
        <f t="shared" si="557"/>
        <v>0.70433843188944234</v>
      </c>
      <c r="BB278" s="32">
        <f t="shared" si="577"/>
        <v>-0.1781925170915476</v>
      </c>
      <c r="BC278" s="33">
        <f t="shared" si="578"/>
        <v>-0.20191078544871058</v>
      </c>
      <c r="BE278" s="31">
        <f t="shared" si="579"/>
        <v>0.78271314234133649</v>
      </c>
      <c r="BF278" s="25">
        <f t="shared" si="580"/>
        <v>0.64813099709712541</v>
      </c>
      <c r="BG278" s="32">
        <f t="shared" si="581"/>
        <v>-0.13458214524421108</v>
      </c>
      <c r="BH278" s="33">
        <f t="shared" si="582"/>
        <v>-0.17194312700772388</v>
      </c>
      <c r="BJ278" s="31">
        <f t="shared" si="558"/>
        <v>0.70682887060802113</v>
      </c>
      <c r="BK278" s="25">
        <f t="shared" si="559"/>
        <v>0.51828226445413661</v>
      </c>
      <c r="BL278" s="32">
        <f t="shared" si="560"/>
        <v>-0.18854660615388452</v>
      </c>
      <c r="BM278" s="33">
        <f t="shared" si="561"/>
        <v>-0.26675000695952739</v>
      </c>
      <c r="BO278" s="62"/>
      <c r="BP278" s="62"/>
      <c r="BQ278" s="62"/>
      <c r="BR278" s="63"/>
    </row>
    <row r="279" spans="1:71">
      <c r="A279" s="1"/>
      <c r="B279" s="1284"/>
      <c r="D279" s="5" t="s">
        <v>169</v>
      </c>
      <c r="E279" s="87">
        <f t="shared" si="548"/>
        <v>12.936354169149567</v>
      </c>
      <c r="F279" s="87">
        <f t="shared" si="548"/>
        <v>13.081644242497893</v>
      </c>
      <c r="G279" s="87">
        <f t="shared" si="548"/>
        <v>12.519244490115513</v>
      </c>
      <c r="H279" s="87">
        <f t="shared" si="548"/>
        <v>12.651521742455099</v>
      </c>
      <c r="I279" s="87">
        <f t="shared" si="548"/>
        <v>12.339655535826079</v>
      </c>
      <c r="J279" s="87">
        <f t="shared" si="548"/>
        <v>11.721529083352463</v>
      </c>
      <c r="K279" s="87">
        <f t="shared" si="548"/>
        <v>11.513116677889581</v>
      </c>
      <c r="L279" s="87">
        <f t="shared" si="548"/>
        <v>11.49557282242737</v>
      </c>
      <c r="N279" s="29">
        <f t="shared" si="549"/>
        <v>11.705637991847498</v>
      </c>
      <c r="O279" s="29">
        <f t="shared" si="549"/>
        <v>11.768241665682138</v>
      </c>
      <c r="P279" s="29">
        <f t="shared" si="549"/>
        <v>10.903790204930292</v>
      </c>
      <c r="Q279" s="29">
        <f t="shared" si="549"/>
        <v>10.808236660896611</v>
      </c>
      <c r="R279" s="29">
        <f t="shared" si="549"/>
        <v>10.624542810911869</v>
      </c>
      <c r="S279" s="29">
        <f t="shared" si="549"/>
        <v>10.24785339679241</v>
      </c>
      <c r="T279" s="29">
        <f t="shared" si="549"/>
        <v>9.9330881767185932</v>
      </c>
      <c r="U279" s="29">
        <f t="shared" si="549"/>
        <v>9.68322026035848</v>
      </c>
      <c r="W279" s="30">
        <f t="shared" si="550"/>
        <v>3.0217060849646407</v>
      </c>
      <c r="X279" s="30">
        <f t="shared" si="550"/>
        <v>7.6586251533205028</v>
      </c>
      <c r="Y279" s="30">
        <f t="shared" si="551"/>
        <v>7.241390312318325</v>
      </c>
      <c r="Z279" s="30">
        <f t="shared" si="551"/>
        <v>8.5048646392361</v>
      </c>
      <c r="AA279" s="30">
        <f t="shared" si="552"/>
        <v>6.819260667308364</v>
      </c>
      <c r="AB279" s="30">
        <f t="shared" si="550"/>
        <v>6.8452015027553497</v>
      </c>
      <c r="AC279" s="30">
        <f t="shared" ref="AC279" si="589">SUM(AC482,AC562,AC582,AC722)</f>
        <v>8.7627853876209407</v>
      </c>
      <c r="AD279" s="90">
        <f t="shared" si="550"/>
        <v>0</v>
      </c>
      <c r="AF279" s="29">
        <f t="shared" si="563"/>
        <v>11.705637991847498</v>
      </c>
      <c r="AG279" s="30">
        <f t="shared" si="564"/>
        <v>3.0217060849646407</v>
      </c>
      <c r="AH279" s="32">
        <f t="shared" si="565"/>
        <v>-8.683931906882858</v>
      </c>
      <c r="AI279" s="33">
        <f t="shared" si="566"/>
        <v>-0.74185891558673389</v>
      </c>
      <c r="AK279" s="29">
        <f t="shared" si="554"/>
        <v>11.768241665682138</v>
      </c>
      <c r="AL279" s="30">
        <f t="shared" si="555"/>
        <v>7.6586251533205028</v>
      </c>
      <c r="AM279" s="32">
        <f t="shared" si="567"/>
        <v>-4.1096165123616357</v>
      </c>
      <c r="AN279" s="33">
        <f t="shared" si="568"/>
        <v>-0.34921245068801232</v>
      </c>
      <c r="AP279" s="29">
        <f t="shared" si="569"/>
        <v>10.903790204930292</v>
      </c>
      <c r="AQ279" s="30">
        <f t="shared" si="570"/>
        <v>7.241390312318325</v>
      </c>
      <c r="AR279" s="32">
        <f t="shared" si="571"/>
        <v>-3.6623998926119672</v>
      </c>
      <c r="AS279" s="33">
        <f t="shared" si="572"/>
        <v>-0.33588319508898518</v>
      </c>
      <c r="AU279" s="31">
        <f t="shared" si="573"/>
        <v>10.808236660896611</v>
      </c>
      <c r="AV279" s="25">
        <f t="shared" si="574"/>
        <v>8.5048646392361</v>
      </c>
      <c r="AW279" s="32">
        <f t="shared" si="575"/>
        <v>-2.3033720216605111</v>
      </c>
      <c r="AX279" s="33">
        <f t="shared" si="576"/>
        <v>-0.21311265601667831</v>
      </c>
      <c r="AZ279" s="31">
        <f t="shared" si="556"/>
        <v>10.624542810911869</v>
      </c>
      <c r="BA279" s="25">
        <f t="shared" si="557"/>
        <v>6.819260667308364</v>
      </c>
      <c r="BB279" s="32">
        <f t="shared" si="577"/>
        <v>-3.8052821436035051</v>
      </c>
      <c r="BC279" s="33">
        <f t="shared" si="578"/>
        <v>-0.35815961320192663</v>
      </c>
      <c r="BE279" s="31">
        <f t="shared" si="579"/>
        <v>10.24785339679241</v>
      </c>
      <c r="BF279" s="25">
        <f t="shared" si="580"/>
        <v>6.8452015027553497</v>
      </c>
      <c r="BG279" s="32">
        <f t="shared" si="581"/>
        <v>-3.40265189403706</v>
      </c>
      <c r="BH279" s="33">
        <f t="shared" si="582"/>
        <v>-0.33203557489435731</v>
      </c>
      <c r="BJ279" s="31">
        <f t="shared" si="558"/>
        <v>9.9330881767185932</v>
      </c>
      <c r="BK279" s="25">
        <f t="shared" si="559"/>
        <v>8.7627853876209407</v>
      </c>
      <c r="BL279" s="32">
        <f t="shared" si="560"/>
        <v>-1.1703027890976525</v>
      </c>
      <c r="BM279" s="33">
        <f t="shared" si="561"/>
        <v>-0.1178186248100199</v>
      </c>
      <c r="BO279" s="62"/>
      <c r="BP279" s="62"/>
      <c r="BQ279" s="62"/>
      <c r="BR279" s="63"/>
    </row>
    <row r="280" spans="1:71">
      <c r="A280" s="1"/>
      <c r="B280" s="1284"/>
      <c r="D280" s="5" t="s">
        <v>170</v>
      </c>
      <c r="E280" s="87">
        <f t="shared" si="548"/>
        <v>22.132111159527913</v>
      </c>
      <c r="F280" s="87">
        <f t="shared" si="548"/>
        <v>23.763347980621983</v>
      </c>
      <c r="G280" s="87">
        <f t="shared" si="548"/>
        <v>24.462758159688278</v>
      </c>
      <c r="H280" s="87">
        <f t="shared" si="548"/>
        <v>24.733107019088663</v>
      </c>
      <c r="I280" s="87">
        <f t="shared" si="548"/>
        <v>23.563405252527478</v>
      </c>
      <c r="J280" s="87">
        <f t="shared" si="548"/>
        <v>22.759459923170589</v>
      </c>
      <c r="K280" s="87">
        <f t="shared" si="548"/>
        <v>22.772547610262542</v>
      </c>
      <c r="L280" s="87">
        <f t="shared" si="548"/>
        <v>22.755950480887741</v>
      </c>
      <c r="N280" s="29">
        <f t="shared" si="549"/>
        <v>22.314633954007967</v>
      </c>
      <c r="O280" s="29">
        <f t="shared" si="549"/>
        <v>22.966940173615289</v>
      </c>
      <c r="P280" s="29">
        <f t="shared" si="549"/>
        <v>23.251289719058345</v>
      </c>
      <c r="Q280" s="29">
        <f t="shared" si="549"/>
        <v>23.133853132871547</v>
      </c>
      <c r="R280" s="29">
        <f t="shared" si="549"/>
        <v>21.935169722683305</v>
      </c>
      <c r="S280" s="29">
        <f t="shared" si="549"/>
        <v>21.119197934393512</v>
      </c>
      <c r="T280" s="29">
        <f t="shared" si="549"/>
        <v>20.641651772548215</v>
      </c>
      <c r="U280" s="29">
        <f t="shared" si="549"/>
        <v>20.072221515268112</v>
      </c>
      <c r="W280" s="30">
        <f t="shared" si="550"/>
        <v>8.0721085230027505</v>
      </c>
      <c r="X280" s="30">
        <f t="shared" si="550"/>
        <v>13.704867444591031</v>
      </c>
      <c r="Y280" s="30">
        <f t="shared" si="551"/>
        <v>11.718977468413664</v>
      </c>
      <c r="Z280" s="30">
        <f t="shared" si="551"/>
        <v>13.69585356548129</v>
      </c>
      <c r="AA280" s="30">
        <f t="shared" si="552"/>
        <v>16.779030147279933</v>
      </c>
      <c r="AB280" s="30">
        <f t="shared" si="550"/>
        <v>13.06463576239357</v>
      </c>
      <c r="AC280" s="30">
        <f t="shared" ref="AC280" si="590">SUM(AC483,AC563,AC583,AC723)</f>
        <v>14.553529249991993</v>
      </c>
      <c r="AD280" s="90">
        <f t="shared" si="550"/>
        <v>0</v>
      </c>
      <c r="AF280" s="29">
        <f t="shared" si="563"/>
        <v>22.314633954007967</v>
      </c>
      <c r="AG280" s="30">
        <f t="shared" si="564"/>
        <v>8.0721085230027505</v>
      </c>
      <c r="AH280" s="32">
        <f t="shared" si="565"/>
        <v>-14.242525431005216</v>
      </c>
      <c r="AI280" s="33">
        <f t="shared" si="566"/>
        <v>-0.63825942475059483</v>
      </c>
      <c r="AK280" s="29">
        <f t="shared" si="554"/>
        <v>22.966940173615289</v>
      </c>
      <c r="AL280" s="30">
        <f t="shared" si="555"/>
        <v>13.704867444591031</v>
      </c>
      <c r="AM280" s="32">
        <f t="shared" si="567"/>
        <v>-9.2620727290242577</v>
      </c>
      <c r="AN280" s="33">
        <f t="shared" si="568"/>
        <v>-0.40327848024198903</v>
      </c>
      <c r="AP280" s="29">
        <f t="shared" si="569"/>
        <v>23.251289719058345</v>
      </c>
      <c r="AQ280" s="30">
        <f t="shared" si="570"/>
        <v>11.718977468413664</v>
      </c>
      <c r="AR280" s="32">
        <f t="shared" si="571"/>
        <v>-11.532312250644681</v>
      </c>
      <c r="AS280" s="33">
        <f t="shared" si="572"/>
        <v>-0.49598591690989124</v>
      </c>
      <c r="AU280" s="31">
        <f t="shared" si="573"/>
        <v>23.133853132871547</v>
      </c>
      <c r="AV280" s="25">
        <f t="shared" si="574"/>
        <v>13.69585356548129</v>
      </c>
      <c r="AW280" s="32">
        <f t="shared" si="575"/>
        <v>-9.437999567390257</v>
      </c>
      <c r="AX280" s="33">
        <f t="shared" si="576"/>
        <v>-0.40797352318190072</v>
      </c>
      <c r="AZ280" s="31">
        <f t="shared" si="556"/>
        <v>21.935169722683305</v>
      </c>
      <c r="BA280" s="25">
        <f t="shared" si="557"/>
        <v>16.779030147279933</v>
      </c>
      <c r="BB280" s="32">
        <f t="shared" si="577"/>
        <v>-5.1561395754033725</v>
      </c>
      <c r="BC280" s="33">
        <f t="shared" si="578"/>
        <v>-0.2350626706148243</v>
      </c>
      <c r="BE280" s="31">
        <f t="shared" si="579"/>
        <v>21.119197934393512</v>
      </c>
      <c r="BF280" s="25">
        <f t="shared" si="580"/>
        <v>13.06463576239357</v>
      </c>
      <c r="BG280" s="32">
        <f t="shared" si="581"/>
        <v>-8.0545621719999421</v>
      </c>
      <c r="BH280" s="33">
        <f t="shared" si="582"/>
        <v>-0.38138579869469119</v>
      </c>
      <c r="BJ280" s="31">
        <f t="shared" si="558"/>
        <v>20.641651772548215</v>
      </c>
      <c r="BK280" s="25">
        <f t="shared" si="559"/>
        <v>14.553529249991993</v>
      </c>
      <c r="BL280" s="32">
        <f t="shared" si="560"/>
        <v>-6.0881225225562225</v>
      </c>
      <c r="BM280" s="33">
        <f t="shared" si="561"/>
        <v>-0.29494357281295436</v>
      </c>
      <c r="BO280" s="62"/>
      <c r="BP280" s="62"/>
      <c r="BQ280" s="62"/>
      <c r="BR280" s="63"/>
    </row>
    <row r="281" spans="1:71">
      <c r="A281" s="1"/>
      <c r="B281" s="1284"/>
      <c r="D281" s="5" t="s">
        <v>171</v>
      </c>
      <c r="E281" s="87">
        <f t="shared" si="548"/>
        <v>9.8933893896491707</v>
      </c>
      <c r="F281" s="87">
        <f t="shared" si="548"/>
        <v>10.562833137760595</v>
      </c>
      <c r="G281" s="87">
        <f t="shared" si="548"/>
        <v>11.026431243902669</v>
      </c>
      <c r="H281" s="87">
        <f t="shared" si="548"/>
        <v>9.8034456820265063</v>
      </c>
      <c r="I281" s="87">
        <f t="shared" si="548"/>
        <v>10.520251345890502</v>
      </c>
      <c r="J281" s="87">
        <f t="shared" si="548"/>
        <v>11.123905799275848</v>
      </c>
      <c r="K281" s="87">
        <f t="shared" si="548"/>
        <v>10.17241325011379</v>
      </c>
      <c r="L281" s="87">
        <f t="shared" si="548"/>
        <v>10.884534010843012</v>
      </c>
      <c r="N281" s="29">
        <f t="shared" si="549"/>
        <v>8.9645972435451622</v>
      </c>
      <c r="O281" s="29">
        <f t="shared" si="549"/>
        <v>9.4494702368538679</v>
      </c>
      <c r="P281" s="29">
        <f t="shared" si="549"/>
        <v>9.7854499565660067</v>
      </c>
      <c r="Q281" s="29">
        <f t="shared" si="549"/>
        <v>8.6826893703532306</v>
      </c>
      <c r="R281" s="29">
        <f t="shared" si="549"/>
        <v>9.1549892415180043</v>
      </c>
      <c r="S281" s="29">
        <f t="shared" si="549"/>
        <v>9.5020153187463681</v>
      </c>
      <c r="T281" s="29">
        <f t="shared" si="549"/>
        <v>8.4617898634723065</v>
      </c>
      <c r="U281" s="29">
        <f t="shared" si="549"/>
        <v>8.9113461106765737</v>
      </c>
      <c r="W281" s="30">
        <f t="shared" si="550"/>
        <v>4.3813102256169518</v>
      </c>
      <c r="X281" s="30">
        <f t="shared" si="550"/>
        <v>3.8576880745658713</v>
      </c>
      <c r="Y281" s="30">
        <f t="shared" si="551"/>
        <v>4.0121084254483286</v>
      </c>
      <c r="Z281" s="30">
        <f t="shared" si="551"/>
        <v>3.6633182748479989</v>
      </c>
      <c r="AA281" s="30">
        <f t="shared" si="552"/>
        <v>5.2131748937720745</v>
      </c>
      <c r="AB281" s="30">
        <f t="shared" si="550"/>
        <v>5.0335767170269445</v>
      </c>
      <c r="AC281" s="30">
        <f t="shared" ref="AC281" si="591">SUM(AC484,AC564,AC584,AC724)</f>
        <v>5.3488203140664226</v>
      </c>
      <c r="AD281" s="90">
        <f t="shared" si="550"/>
        <v>0</v>
      </c>
      <c r="AF281" s="29">
        <f t="shared" si="563"/>
        <v>8.9645972435451622</v>
      </c>
      <c r="AG281" s="30">
        <f t="shared" si="564"/>
        <v>4.3813102256169518</v>
      </c>
      <c r="AH281" s="32">
        <f t="shared" si="565"/>
        <v>-4.5832870179282104</v>
      </c>
      <c r="AI281" s="33">
        <f t="shared" si="566"/>
        <v>-0.51126524632529857</v>
      </c>
      <c r="AK281" s="29">
        <f t="shared" si="554"/>
        <v>9.4494702368538679</v>
      </c>
      <c r="AL281" s="30">
        <f t="shared" si="555"/>
        <v>3.8576880745658713</v>
      </c>
      <c r="AM281" s="32">
        <f t="shared" si="567"/>
        <v>-5.5917821622879966</v>
      </c>
      <c r="AN281" s="33">
        <f t="shared" si="568"/>
        <v>-0.59175615374494683</v>
      </c>
      <c r="AP281" s="29">
        <f t="shared" si="569"/>
        <v>9.7854499565660067</v>
      </c>
      <c r="AQ281" s="30">
        <f t="shared" si="570"/>
        <v>4.0121084254483286</v>
      </c>
      <c r="AR281" s="32">
        <f t="shared" si="571"/>
        <v>-5.7733415311176781</v>
      </c>
      <c r="AS281" s="33">
        <f t="shared" si="572"/>
        <v>-0.58999244355072133</v>
      </c>
      <c r="AU281" s="31">
        <f t="shared" si="573"/>
        <v>8.6826893703532306</v>
      </c>
      <c r="AV281" s="25">
        <f t="shared" si="574"/>
        <v>3.6633182748479989</v>
      </c>
      <c r="AW281" s="32">
        <f t="shared" si="575"/>
        <v>-5.0193710955052318</v>
      </c>
      <c r="AX281" s="33">
        <f t="shared" si="576"/>
        <v>-0.57808944687618524</v>
      </c>
      <c r="AZ281" s="31">
        <f t="shared" si="556"/>
        <v>9.1549892415180043</v>
      </c>
      <c r="BA281" s="25">
        <f t="shared" si="557"/>
        <v>5.2131748937720745</v>
      </c>
      <c r="BB281" s="32">
        <f t="shared" si="577"/>
        <v>-3.9418143477459298</v>
      </c>
      <c r="BC281" s="33">
        <f t="shared" si="578"/>
        <v>-0.43056460731485585</v>
      </c>
      <c r="BE281" s="31">
        <f t="shared" si="579"/>
        <v>9.5020153187463681</v>
      </c>
      <c r="BF281" s="25">
        <f t="shared" si="580"/>
        <v>5.0335767170269445</v>
      </c>
      <c r="BG281" s="32">
        <f t="shared" si="581"/>
        <v>-4.4684386017194235</v>
      </c>
      <c r="BH281" s="33">
        <f t="shared" si="582"/>
        <v>-0.47026219721028184</v>
      </c>
      <c r="BJ281" s="31">
        <f t="shared" si="558"/>
        <v>8.4617898634723065</v>
      </c>
      <c r="BK281" s="25">
        <f t="shared" si="559"/>
        <v>5.3488203140664226</v>
      </c>
      <c r="BL281" s="32">
        <f t="shared" si="560"/>
        <v>-3.112969549405884</v>
      </c>
      <c r="BM281" s="33">
        <f t="shared" si="561"/>
        <v>-0.36788547099755947</v>
      </c>
      <c r="BO281" s="62"/>
      <c r="BP281" s="62"/>
      <c r="BQ281" s="62"/>
      <c r="BR281" s="63"/>
    </row>
    <row r="282" spans="1:71">
      <c r="A282" s="1"/>
      <c r="B282" s="1284"/>
      <c r="D282" s="5" t="s">
        <v>172</v>
      </c>
      <c r="E282" s="87">
        <f t="shared" si="548"/>
        <v>15.409025280339488</v>
      </c>
      <c r="F282" s="87">
        <f t="shared" si="548"/>
        <v>16.146475962403404</v>
      </c>
      <c r="G282" s="87">
        <f t="shared" si="548"/>
        <v>15.679326901685657</v>
      </c>
      <c r="H282" s="87">
        <f t="shared" si="548"/>
        <v>15.74046720202019</v>
      </c>
      <c r="I282" s="87">
        <f t="shared" si="548"/>
        <v>15.90428238879762</v>
      </c>
      <c r="J282" s="87">
        <f t="shared" si="548"/>
        <v>15.744189677571244</v>
      </c>
      <c r="K282" s="87">
        <f t="shared" si="548"/>
        <v>15.857502282062734</v>
      </c>
      <c r="L282" s="87">
        <f t="shared" si="548"/>
        <v>16.261720584483609</v>
      </c>
      <c r="N282" s="29">
        <f t="shared" si="549"/>
        <v>14.788960423959406</v>
      </c>
      <c r="O282" s="29">
        <f t="shared" si="549"/>
        <v>15.203493361267981</v>
      </c>
      <c r="P282" s="29">
        <f t="shared" si="549"/>
        <v>14.480068717041085</v>
      </c>
      <c r="Q282" s="29">
        <f t="shared" si="549"/>
        <v>14.429091331559745</v>
      </c>
      <c r="R282" s="29">
        <f t="shared" si="549"/>
        <v>14.442087451753752</v>
      </c>
      <c r="S282" s="29">
        <f t="shared" si="549"/>
        <v>14.040247591088976</v>
      </c>
      <c r="T282" s="29">
        <f t="shared" si="549"/>
        <v>13.818082063470817</v>
      </c>
      <c r="U282" s="29">
        <f t="shared" si="549"/>
        <v>13.941749043659387</v>
      </c>
      <c r="W282" s="30">
        <f t="shared" si="550"/>
        <v>13.648591909566939</v>
      </c>
      <c r="X282" s="30">
        <f t="shared" si="550"/>
        <v>13.535295862140634</v>
      </c>
      <c r="Y282" s="30">
        <f t="shared" si="551"/>
        <v>11.482222348421336</v>
      </c>
      <c r="Z282" s="30">
        <f t="shared" si="551"/>
        <v>10.453332084954182</v>
      </c>
      <c r="AA282" s="30">
        <f t="shared" si="552"/>
        <v>11.885073608663845</v>
      </c>
      <c r="AB282" s="30">
        <f t="shared" si="550"/>
        <v>9.8608146722678214</v>
      </c>
      <c r="AC282" s="30">
        <f t="shared" ref="AC282" si="592">SUM(AC485,AC565,AC585,AC725)</f>
        <v>10.935855843476117</v>
      </c>
      <c r="AD282" s="90">
        <f t="shared" si="550"/>
        <v>0</v>
      </c>
      <c r="AF282" s="29">
        <f t="shared" si="563"/>
        <v>14.788960423959406</v>
      </c>
      <c r="AG282" s="30">
        <f t="shared" si="564"/>
        <v>13.648591909566939</v>
      </c>
      <c r="AH282" s="32">
        <f t="shared" si="565"/>
        <v>-1.1403685143924669</v>
      </c>
      <c r="AI282" s="33">
        <f t="shared" si="566"/>
        <v>-7.710944391635334E-2</v>
      </c>
      <c r="AK282" s="29">
        <f t="shared" si="554"/>
        <v>15.203493361267981</v>
      </c>
      <c r="AL282" s="30">
        <f t="shared" si="555"/>
        <v>13.535295862140634</v>
      </c>
      <c r="AM282" s="32">
        <f t="shared" si="567"/>
        <v>-1.6681974991273467</v>
      </c>
      <c r="AN282" s="33">
        <f t="shared" si="568"/>
        <v>-0.10972461785507814</v>
      </c>
      <c r="AP282" s="29">
        <f t="shared" si="569"/>
        <v>14.480068717041085</v>
      </c>
      <c r="AQ282" s="30">
        <f t="shared" si="570"/>
        <v>11.482222348421336</v>
      </c>
      <c r="AR282" s="32">
        <f t="shared" si="571"/>
        <v>-2.997846368619749</v>
      </c>
      <c r="AS282" s="33">
        <f t="shared" si="572"/>
        <v>-0.20703260648837174</v>
      </c>
      <c r="AT282" s="1"/>
      <c r="AU282" s="31">
        <f t="shared" si="573"/>
        <v>14.429091331559745</v>
      </c>
      <c r="AV282" s="25">
        <f t="shared" si="574"/>
        <v>10.453332084954182</v>
      </c>
      <c r="AW282" s="32">
        <f t="shared" si="575"/>
        <v>-3.9757592466055627</v>
      </c>
      <c r="AX282" s="33">
        <f t="shared" si="576"/>
        <v>-0.275537742138319</v>
      </c>
      <c r="AZ282" s="31">
        <f t="shared" si="556"/>
        <v>14.442087451753752</v>
      </c>
      <c r="BA282" s="25">
        <f t="shared" si="557"/>
        <v>11.885073608663845</v>
      </c>
      <c r="BB282" s="32">
        <f t="shared" si="577"/>
        <v>-2.5570138430899068</v>
      </c>
      <c r="BC282" s="33">
        <f t="shared" si="578"/>
        <v>-0.1770529261529572</v>
      </c>
      <c r="BE282" s="31">
        <f t="shared" si="579"/>
        <v>14.040247591088976</v>
      </c>
      <c r="BF282" s="25">
        <f t="shared" si="580"/>
        <v>9.8608146722678214</v>
      </c>
      <c r="BG282" s="32">
        <f t="shared" si="581"/>
        <v>-4.1794329188211545</v>
      </c>
      <c r="BH282" s="33">
        <f t="shared" si="582"/>
        <v>-0.29767515791343629</v>
      </c>
      <c r="BJ282" s="31">
        <f t="shared" si="558"/>
        <v>13.818082063470817</v>
      </c>
      <c r="BK282" s="25">
        <f t="shared" si="559"/>
        <v>10.935855843476117</v>
      </c>
      <c r="BL282" s="32">
        <f t="shared" si="560"/>
        <v>-2.8822262199946991</v>
      </c>
      <c r="BM282" s="33">
        <f t="shared" si="561"/>
        <v>-0.20858366644196522</v>
      </c>
      <c r="BO282" s="62"/>
      <c r="BP282" s="62"/>
      <c r="BQ282" s="62"/>
      <c r="BR282" s="63"/>
    </row>
    <row r="283" spans="1:71">
      <c r="A283" s="1"/>
      <c r="B283" s="1284"/>
      <c r="D283" s="5" t="s">
        <v>28</v>
      </c>
      <c r="E283" s="87">
        <f t="shared" si="548"/>
        <v>10.208588030426476</v>
      </c>
      <c r="F283" s="87">
        <f t="shared" si="548"/>
        <v>10.211928044472067</v>
      </c>
      <c r="G283" s="87">
        <f t="shared" si="548"/>
        <v>10.217797570623976</v>
      </c>
      <c r="H283" s="87">
        <f t="shared" si="548"/>
        <v>10.223949838762978</v>
      </c>
      <c r="I283" s="87">
        <f t="shared" si="548"/>
        <v>8.7760828358469567</v>
      </c>
      <c r="J283" s="87">
        <f t="shared" si="548"/>
        <v>8.7964079770331338</v>
      </c>
      <c r="K283" s="87">
        <f t="shared" si="548"/>
        <v>8.8170818254191072</v>
      </c>
      <c r="L283" s="87">
        <f t="shared" si="548"/>
        <v>8.8382052857844595</v>
      </c>
      <c r="N283" s="29">
        <f t="shared" si="549"/>
        <v>10.80858044086089</v>
      </c>
      <c r="O283" s="29">
        <f t="shared" si="549"/>
        <v>10.640602094654573</v>
      </c>
      <c r="P283" s="29">
        <f t="shared" si="549"/>
        <v>10.448376046259082</v>
      </c>
      <c r="Q283" s="29">
        <f t="shared" si="549"/>
        <v>10.290800346229965</v>
      </c>
      <c r="R283" s="29">
        <f t="shared" si="549"/>
        <v>9.7707304324007094</v>
      </c>
      <c r="S283" s="29">
        <f t="shared" si="549"/>
        <v>9.6151386472020484</v>
      </c>
      <c r="T283" s="29">
        <f t="shared" si="549"/>
        <v>9.4665612821801641</v>
      </c>
      <c r="U283" s="29">
        <f t="shared" si="549"/>
        <v>9.2989904422505241</v>
      </c>
      <c r="W283" s="30">
        <f t="shared" si="550"/>
        <v>10.073688227018151</v>
      </c>
      <c r="X283" s="30">
        <f t="shared" si="550"/>
        <v>8.490529521909691</v>
      </c>
      <c r="Y283" s="30">
        <f t="shared" si="551"/>
        <v>8.2708898723146866</v>
      </c>
      <c r="Z283" s="30">
        <f t="shared" si="551"/>
        <v>9.6541435851846042</v>
      </c>
      <c r="AA283" s="30">
        <f t="shared" si="552"/>
        <v>8.2718473453246268</v>
      </c>
      <c r="AB283" s="30">
        <f t="shared" si="550"/>
        <v>7.6549483957589359</v>
      </c>
      <c r="AC283" s="30">
        <f t="shared" ref="AC283" si="593">SUM(AC486,AC566,AC586,AC726)</f>
        <v>8.0528177700000008</v>
      </c>
      <c r="AD283" s="90">
        <f t="shared" si="550"/>
        <v>0</v>
      </c>
      <c r="AF283" s="29">
        <f t="shared" si="563"/>
        <v>10.80858044086089</v>
      </c>
      <c r="AG283" s="30">
        <f t="shared" si="564"/>
        <v>10.073688227018151</v>
      </c>
      <c r="AH283" s="32">
        <f t="shared" si="565"/>
        <v>-0.73489221384273939</v>
      </c>
      <c r="AI283" s="33">
        <f t="shared" si="566"/>
        <v>-6.7991557065583172E-2</v>
      </c>
      <c r="AK283" s="29">
        <f t="shared" si="554"/>
        <v>10.640602094654573</v>
      </c>
      <c r="AL283" s="30">
        <f t="shared" si="555"/>
        <v>8.490529521909691</v>
      </c>
      <c r="AM283" s="32">
        <f t="shared" si="567"/>
        <v>-2.1500725727448824</v>
      </c>
      <c r="AN283" s="33">
        <f t="shared" si="568"/>
        <v>-0.20206305560706905</v>
      </c>
      <c r="AP283" s="29">
        <f t="shared" si="569"/>
        <v>10.448376046259082</v>
      </c>
      <c r="AQ283" s="30">
        <f t="shared" si="570"/>
        <v>8.2708898723146866</v>
      </c>
      <c r="AR283" s="32">
        <f t="shared" si="571"/>
        <v>-2.1774861739443949</v>
      </c>
      <c r="AS283" s="33">
        <f t="shared" si="572"/>
        <v>-0.20840426917099891</v>
      </c>
      <c r="AT283" s="1"/>
      <c r="AU283" s="31">
        <f t="shared" si="573"/>
        <v>10.290800346229965</v>
      </c>
      <c r="AV283" s="25">
        <f t="shared" si="574"/>
        <v>9.6541435851846042</v>
      </c>
      <c r="AW283" s="32">
        <f t="shared" si="575"/>
        <v>-0.6366567610453604</v>
      </c>
      <c r="AX283" s="33">
        <f t="shared" si="576"/>
        <v>-6.1866593425709562E-2</v>
      </c>
      <c r="AZ283" s="31">
        <f t="shared" si="556"/>
        <v>9.7707304324007094</v>
      </c>
      <c r="BA283" s="25">
        <f t="shared" si="557"/>
        <v>8.2718473453246268</v>
      </c>
      <c r="BB283" s="32">
        <f t="shared" si="577"/>
        <v>-1.4988830870760825</v>
      </c>
      <c r="BC283" s="33">
        <f t="shared" si="578"/>
        <v>-0.15340542832966078</v>
      </c>
      <c r="BE283" s="31">
        <f t="shared" si="579"/>
        <v>9.6151386472020484</v>
      </c>
      <c r="BF283" s="25">
        <f t="shared" si="580"/>
        <v>7.6549483957589359</v>
      </c>
      <c r="BG283" s="32">
        <f t="shared" si="581"/>
        <v>-1.9601902514431124</v>
      </c>
      <c r="BH283" s="33">
        <f t="shared" si="582"/>
        <v>-0.20386500115768136</v>
      </c>
      <c r="BJ283" s="31">
        <f t="shared" si="558"/>
        <v>9.4665612821801641</v>
      </c>
      <c r="BK283" s="25">
        <f t="shared" si="559"/>
        <v>8.0528177700000008</v>
      </c>
      <c r="BL283" s="32">
        <f t="shared" si="560"/>
        <v>-1.4137435121801634</v>
      </c>
      <c r="BM283" s="33">
        <f t="shared" si="561"/>
        <v>-0.14934076588522077</v>
      </c>
      <c r="BO283" s="62"/>
      <c r="BP283" s="62"/>
      <c r="BQ283" s="62"/>
      <c r="BR283" s="63"/>
    </row>
    <row r="284" spans="1:71">
      <c r="A284" s="1"/>
      <c r="B284" s="1284"/>
      <c r="D284" s="5" t="s">
        <v>173</v>
      </c>
      <c r="E284" s="87">
        <f t="shared" si="548"/>
        <v>31.36095109421224</v>
      </c>
      <c r="F284" s="87">
        <f t="shared" si="548"/>
        <v>28.605262588040926</v>
      </c>
      <c r="G284" s="87">
        <f t="shared" si="548"/>
        <v>26.677913225662468</v>
      </c>
      <c r="H284" s="87">
        <f t="shared" si="548"/>
        <v>24.488778359036047</v>
      </c>
      <c r="I284" s="87">
        <f t="shared" si="548"/>
        <v>20.26328927365676</v>
      </c>
      <c r="J284" s="87">
        <f t="shared" si="548"/>
        <v>20.256929741914519</v>
      </c>
      <c r="K284" s="87">
        <f t="shared" si="548"/>
        <v>20.07541938939956</v>
      </c>
      <c r="L284" s="87">
        <f t="shared" si="548"/>
        <v>19.896769185390632</v>
      </c>
      <c r="N284" s="29">
        <f t="shared" si="549"/>
        <v>23.737760435513735</v>
      </c>
      <c r="O284" s="29">
        <f t="shared" si="549"/>
        <v>22.396477964379507</v>
      </c>
      <c r="P284" s="29">
        <f t="shared" si="549"/>
        <v>21.325954845993785</v>
      </c>
      <c r="Q284" s="29">
        <f t="shared" si="549"/>
        <v>19.528142694513608</v>
      </c>
      <c r="R284" s="29">
        <f t="shared" si="549"/>
        <v>18.133018718472318</v>
      </c>
      <c r="S284" s="29">
        <f t="shared" si="549"/>
        <v>17.872403284070973</v>
      </c>
      <c r="T284" s="29">
        <f t="shared" si="549"/>
        <v>17.592014132142179</v>
      </c>
      <c r="U284" s="29">
        <f t="shared" si="549"/>
        <v>17.399168430812846</v>
      </c>
      <c r="W284" s="30">
        <f t="shared" si="550"/>
        <v>23.715283460469561</v>
      </c>
      <c r="X284" s="30">
        <f t="shared" si="550"/>
        <v>25.57612735207864</v>
      </c>
      <c r="Y284" s="30">
        <f t="shared" si="551"/>
        <v>14.682589387141133</v>
      </c>
      <c r="Z284" s="30">
        <f t="shared" si="551"/>
        <v>14.835258333264797</v>
      </c>
      <c r="AA284" s="30">
        <f t="shared" si="552"/>
        <v>29.959729325534397</v>
      </c>
      <c r="AB284" s="30">
        <f t="shared" si="550"/>
        <v>25.366208900711904</v>
      </c>
      <c r="AC284" s="30">
        <f t="shared" ref="AC284" si="594">SUM(AC487,AC567,AC587,AC727)</f>
        <v>17.328874709999997</v>
      </c>
      <c r="AD284" s="90">
        <f t="shared" si="550"/>
        <v>0</v>
      </c>
      <c r="AF284" s="29">
        <f t="shared" si="563"/>
        <v>23.737760435513735</v>
      </c>
      <c r="AG284" s="30">
        <f t="shared" si="564"/>
        <v>23.715283460469561</v>
      </c>
      <c r="AH284" s="32">
        <f t="shared" si="565"/>
        <v>-2.2476975044174452E-2</v>
      </c>
      <c r="AI284" s="33">
        <f t="shared" si="566"/>
        <v>-9.4688692748566799E-4</v>
      </c>
      <c r="AK284" s="29">
        <f t="shared" si="554"/>
        <v>22.396477964379507</v>
      </c>
      <c r="AL284" s="30">
        <f t="shared" si="555"/>
        <v>25.57612735207864</v>
      </c>
      <c r="AM284" s="32">
        <f t="shared" si="567"/>
        <v>3.1796493876991327</v>
      </c>
      <c r="AN284" s="33">
        <f t="shared" si="568"/>
        <v>0.14197095600282367</v>
      </c>
      <c r="AP284" s="29">
        <f t="shared" si="569"/>
        <v>21.325954845993785</v>
      </c>
      <c r="AQ284" s="30">
        <f t="shared" si="570"/>
        <v>14.682589387141133</v>
      </c>
      <c r="AR284" s="32">
        <f t="shared" si="571"/>
        <v>-6.6433654588526512</v>
      </c>
      <c r="AS284" s="33">
        <f t="shared" si="572"/>
        <v>-0.31151549868824041</v>
      </c>
      <c r="AT284" s="1"/>
      <c r="AU284" s="31">
        <f t="shared" si="573"/>
        <v>19.528142694513608</v>
      </c>
      <c r="AV284" s="25">
        <f t="shared" si="574"/>
        <v>14.835258333264797</v>
      </c>
      <c r="AW284" s="32">
        <f t="shared" si="575"/>
        <v>-4.6928843612488116</v>
      </c>
      <c r="AX284" s="33">
        <f t="shared" si="576"/>
        <v>-0.24031391180725384</v>
      </c>
      <c r="AZ284" s="31">
        <f t="shared" si="556"/>
        <v>18.133018718472318</v>
      </c>
      <c r="BA284" s="25">
        <f t="shared" si="557"/>
        <v>29.959729325534397</v>
      </c>
      <c r="BB284" s="32">
        <f t="shared" si="577"/>
        <v>11.826710607062079</v>
      </c>
      <c r="BC284" s="33">
        <f t="shared" si="578"/>
        <v>0.65221962160189417</v>
      </c>
      <c r="BE284" s="31">
        <f t="shared" si="579"/>
        <v>17.872403284070973</v>
      </c>
      <c r="BF284" s="25">
        <f t="shared" si="580"/>
        <v>25.366208900711904</v>
      </c>
      <c r="BG284" s="32">
        <f t="shared" si="581"/>
        <v>7.4938056166409304</v>
      </c>
      <c r="BH284" s="33">
        <f t="shared" si="582"/>
        <v>0.41929479194999414</v>
      </c>
      <c r="BJ284" s="31">
        <f t="shared" si="558"/>
        <v>17.592014132142179</v>
      </c>
      <c r="BK284" s="25">
        <f t="shared" si="559"/>
        <v>17.328874709999997</v>
      </c>
      <c r="BL284" s="32">
        <f t="shared" si="560"/>
        <v>-0.26313942214218144</v>
      </c>
      <c r="BM284" s="33">
        <f t="shared" si="561"/>
        <v>-1.495789056134296E-2</v>
      </c>
      <c r="BO284" s="62"/>
      <c r="BP284" s="62"/>
      <c r="BQ284" s="62"/>
      <c r="BR284" s="63"/>
    </row>
    <row r="285" spans="1:71">
      <c r="A285" s="1"/>
      <c r="B285" s="1284"/>
      <c r="D285" s="4" t="s">
        <v>174</v>
      </c>
      <c r="E285" s="88">
        <f>SUM(E271:E284)</f>
        <v>198.32109486254041</v>
      </c>
      <c r="F285" s="88">
        <f t="shared" ref="F285:L285" si="595">SUM(F271:F284)</f>
        <v>195.84107047232001</v>
      </c>
      <c r="G285" s="88">
        <f t="shared" si="595"/>
        <v>184.44908607172849</v>
      </c>
      <c r="H285" s="88">
        <f t="shared" si="595"/>
        <v>175.20574184596313</v>
      </c>
      <c r="I285" s="88">
        <f t="shared" si="595"/>
        <v>158.02171427805618</v>
      </c>
      <c r="J285" s="88">
        <f t="shared" si="595"/>
        <v>160.05342064792035</v>
      </c>
      <c r="K285" s="88">
        <f t="shared" si="595"/>
        <v>157.26738081887476</v>
      </c>
      <c r="L285" s="88">
        <f t="shared" si="595"/>
        <v>157.62677504579986</v>
      </c>
      <c r="M285" s="1"/>
      <c r="N285" s="81">
        <f t="shared" ref="N285:U285" si="596">SUM(N271:N284)</f>
        <v>178.70598723606022</v>
      </c>
      <c r="O285" s="81">
        <f t="shared" si="596"/>
        <v>176.95252908744331</v>
      </c>
      <c r="P285" s="81">
        <f t="shared" si="596"/>
        <v>170.92232174551577</v>
      </c>
      <c r="Q285" s="81">
        <f t="shared" si="596"/>
        <v>163.93464113346511</v>
      </c>
      <c r="R285" s="81">
        <f t="shared" si="596"/>
        <v>160.32563985472535</v>
      </c>
      <c r="S285" s="81">
        <f t="shared" si="596"/>
        <v>155.65086491683536</v>
      </c>
      <c r="T285" s="81">
        <f t="shared" si="596"/>
        <v>151.34797336931024</v>
      </c>
      <c r="U285" s="81">
        <f t="shared" si="596"/>
        <v>150.06832433131518</v>
      </c>
      <c r="V285" s="1"/>
      <c r="W285" s="85">
        <f>SUM(W271:W284)</f>
        <v>156.03511971408236</v>
      </c>
      <c r="X285" s="85">
        <f t="shared" ref="X285:AD285" si="597">SUM(X271:X284)</f>
        <v>167.32789387451484</v>
      </c>
      <c r="Y285" s="85">
        <f>SUM(Y271:Y284)</f>
        <v>153.60702398664256</v>
      </c>
      <c r="Z285" s="85">
        <f>SUM(Z271:Z284)</f>
        <v>146.09291676490454</v>
      </c>
      <c r="AA285" s="85">
        <f>SUM(AA271:AA284)</f>
        <v>161.13872132842161</v>
      </c>
      <c r="AB285" s="85">
        <f t="shared" si="597"/>
        <v>146.17328494732328</v>
      </c>
      <c r="AC285" s="85">
        <f t="shared" ref="AC285" si="598">SUM(AC271:AC284)</f>
        <v>133.33601548553281</v>
      </c>
      <c r="AD285" s="91">
        <f t="shared" si="597"/>
        <v>0</v>
      </c>
      <c r="AE285" s="1"/>
      <c r="AF285" s="81">
        <f t="shared" si="563"/>
        <v>178.70598723606022</v>
      </c>
      <c r="AG285" s="85">
        <f t="shared" si="564"/>
        <v>156.03511971408236</v>
      </c>
      <c r="AH285" s="34">
        <f t="shared" si="565"/>
        <v>-22.670867521977868</v>
      </c>
      <c r="AI285" s="35">
        <f t="shared" si="566"/>
        <v>-0.12686126454191471</v>
      </c>
      <c r="AK285" s="81">
        <f t="shared" si="554"/>
        <v>176.95252908744331</v>
      </c>
      <c r="AL285" s="85">
        <f t="shared" si="555"/>
        <v>167.32789387451484</v>
      </c>
      <c r="AM285" s="34">
        <f t="shared" si="567"/>
        <v>-9.6246352129284674</v>
      </c>
      <c r="AN285" s="35">
        <f t="shared" si="568"/>
        <v>-5.43910576614157E-2</v>
      </c>
      <c r="AP285" s="81">
        <f t="shared" si="569"/>
        <v>170.92232174551577</v>
      </c>
      <c r="AQ285" s="85">
        <f t="shared" si="570"/>
        <v>153.60702398664256</v>
      </c>
      <c r="AR285" s="34">
        <f t="shared" si="571"/>
        <v>-17.315297758873214</v>
      </c>
      <c r="AS285" s="35">
        <f t="shared" si="572"/>
        <v>-0.10130506994079894</v>
      </c>
      <c r="AU285" s="949">
        <f t="shared" si="573"/>
        <v>163.93464113346511</v>
      </c>
      <c r="AV285" s="843">
        <f t="shared" si="574"/>
        <v>146.09291676490454</v>
      </c>
      <c r="AW285" s="34">
        <f t="shared" si="575"/>
        <v>-17.841724368560563</v>
      </c>
      <c r="AX285" s="35">
        <f t="shared" si="576"/>
        <v>-0.10883437597569735</v>
      </c>
      <c r="AZ285" s="949">
        <f t="shared" si="556"/>
        <v>160.32563985472535</v>
      </c>
      <c r="BA285" s="843">
        <f t="shared" si="557"/>
        <v>161.13872132842161</v>
      </c>
      <c r="BB285" s="34">
        <f t="shared" si="577"/>
        <v>0.81308147369625772</v>
      </c>
      <c r="BC285" s="35">
        <f t="shared" si="578"/>
        <v>5.0714375718881209E-3</v>
      </c>
      <c r="BE285" s="31">
        <f t="shared" si="579"/>
        <v>155.65086491683536</v>
      </c>
      <c r="BF285" s="25">
        <f t="shared" si="580"/>
        <v>146.17328494732328</v>
      </c>
      <c r="BG285" s="32">
        <f t="shared" si="581"/>
        <v>-9.4775799695120782</v>
      </c>
      <c r="BH285" s="33">
        <f t="shared" si="582"/>
        <v>-6.0889992320800612E-2</v>
      </c>
      <c r="BJ285" s="31">
        <f t="shared" si="558"/>
        <v>151.34797336931024</v>
      </c>
      <c r="BK285" s="25">
        <f t="shared" si="559"/>
        <v>133.33601548553281</v>
      </c>
      <c r="BL285" s="32">
        <f t="shared" si="560"/>
        <v>-18.011957883777427</v>
      </c>
      <c r="BM285" s="33">
        <f t="shared" si="561"/>
        <v>-0.11901023504177177</v>
      </c>
      <c r="BO285" s="62"/>
      <c r="BP285" s="62"/>
      <c r="BQ285" s="62"/>
      <c r="BR285" s="63"/>
    </row>
    <row r="286" spans="1:71">
      <c r="A286" s="1"/>
      <c r="B286" s="1284"/>
      <c r="D286" s="4" t="s">
        <v>724</v>
      </c>
      <c r="E286" s="88">
        <f>E285-SUM(E274:E277)</f>
        <v>147.85543933966159</v>
      </c>
      <c r="F286" s="88">
        <f t="shared" ref="F286:L286" si="599">F285-SUM(F274:F277)</f>
        <v>145.24669602121057</v>
      </c>
      <c r="G286" s="88">
        <f t="shared" si="599"/>
        <v>134.71477113453707</v>
      </c>
      <c r="H286" s="88">
        <f t="shared" si="599"/>
        <v>127.2044410936163</v>
      </c>
      <c r="I286" s="88">
        <f t="shared" si="599"/>
        <v>110.63303020530702</v>
      </c>
      <c r="J286" s="88">
        <f t="shared" si="599"/>
        <v>112.83678680677147</v>
      </c>
      <c r="K286" s="88">
        <f t="shared" si="599"/>
        <v>110.68699079483686</v>
      </c>
      <c r="L286" s="88">
        <f t="shared" si="599"/>
        <v>111.62812084081068</v>
      </c>
      <c r="M286" s="1"/>
      <c r="N286" s="81">
        <f t="shared" ref="N286:U286" si="600">N285-SUM(N274:N277)</f>
        <v>128.24033171318138</v>
      </c>
      <c r="O286" s="81">
        <f t="shared" si="600"/>
        <v>126.35815463633386</v>
      </c>
      <c r="P286" s="81">
        <f t="shared" si="600"/>
        <v>121.18800680832436</v>
      </c>
      <c r="Q286" s="81">
        <f t="shared" si="600"/>
        <v>115.93334038111827</v>
      </c>
      <c r="R286" s="81">
        <f t="shared" si="600"/>
        <v>112.9369557819762</v>
      </c>
      <c r="S286" s="81">
        <f t="shared" si="600"/>
        <v>108.43423107568648</v>
      </c>
      <c r="T286" s="81">
        <f t="shared" si="600"/>
        <v>104.76758334527234</v>
      </c>
      <c r="U286" s="81">
        <f t="shared" si="600"/>
        <v>104.069670126326</v>
      </c>
      <c r="V286" s="1"/>
      <c r="W286" s="85">
        <f>W285-SUM(W274:W277)</f>
        <v>89.722039432082767</v>
      </c>
      <c r="X286" s="85">
        <f t="shared" ref="X286:AD286" si="601">X285-SUM(X274:X277)</f>
        <v>102.13057505809775</v>
      </c>
      <c r="Y286" s="85">
        <f>Y285-SUM(Y274:Y277)</f>
        <v>87.907284726235446</v>
      </c>
      <c r="Z286" s="85">
        <f>Z285-SUM(Z274:Z277)</f>
        <v>92.43774450573784</v>
      </c>
      <c r="AA286" s="85">
        <f>AA285-SUM(AA274:AA277)</f>
        <v>107.91012875749243</v>
      </c>
      <c r="AB286" s="85">
        <f t="shared" si="601"/>
        <v>93.567827169258436</v>
      </c>
      <c r="AC286" s="85">
        <f t="shared" ref="AC286" si="602">AC285-SUM(AC274:AC277)</f>
        <v>86.799915485532821</v>
      </c>
      <c r="AD286" s="91">
        <f t="shared" si="601"/>
        <v>0</v>
      </c>
      <c r="AE286" s="1"/>
      <c r="AF286" s="81">
        <f t="shared" si="563"/>
        <v>128.24033171318138</v>
      </c>
      <c r="AG286" s="85">
        <f t="shared" si="564"/>
        <v>89.722039432082767</v>
      </c>
      <c r="AH286" s="34">
        <f t="shared" si="565"/>
        <v>-38.51829228109861</v>
      </c>
      <c r="AI286" s="35">
        <f t="shared" si="566"/>
        <v>-0.30036020467607266</v>
      </c>
      <c r="AK286" s="81">
        <f t="shared" si="554"/>
        <v>126.35815463633386</v>
      </c>
      <c r="AL286" s="85">
        <f t="shared" si="555"/>
        <v>102.13057505809775</v>
      </c>
      <c r="AM286" s="34">
        <f t="shared" si="567"/>
        <v>-24.227579578236117</v>
      </c>
      <c r="AN286" s="35">
        <f t="shared" si="568"/>
        <v>-0.1917373646992907</v>
      </c>
      <c r="AP286" s="81">
        <f t="shared" si="569"/>
        <v>121.18800680832436</v>
      </c>
      <c r="AQ286" s="85">
        <f>Y286</f>
        <v>87.907284726235446</v>
      </c>
      <c r="AR286" s="34">
        <f t="shared" si="571"/>
        <v>-33.280722082088914</v>
      </c>
      <c r="AS286" s="35">
        <f t="shared" si="572"/>
        <v>-0.27462059124981725</v>
      </c>
      <c r="AU286" s="949">
        <f t="shared" si="573"/>
        <v>115.93334038111827</v>
      </c>
      <c r="AV286" s="843">
        <f t="shared" si="574"/>
        <v>92.43774450573784</v>
      </c>
      <c r="AW286" s="34">
        <f t="shared" si="575"/>
        <v>-23.495595875380431</v>
      </c>
      <c r="AX286" s="35">
        <f t="shared" si="576"/>
        <v>-0.20266470195839445</v>
      </c>
      <c r="AZ286" s="949">
        <f t="shared" si="556"/>
        <v>112.9369557819762</v>
      </c>
      <c r="BA286" s="843">
        <f t="shared" si="557"/>
        <v>107.91012875749243</v>
      </c>
      <c r="BB286" s="34">
        <f t="shared" si="577"/>
        <v>-5.0268270244837652</v>
      </c>
      <c r="BC286" s="35">
        <f t="shared" si="578"/>
        <v>-4.4510027649302064E-2</v>
      </c>
      <c r="BE286" s="31">
        <f t="shared" si="579"/>
        <v>108.43423107568648</v>
      </c>
      <c r="BF286" s="25">
        <f t="shared" si="580"/>
        <v>93.567827169258436</v>
      </c>
      <c r="BG286" s="32">
        <f t="shared" si="581"/>
        <v>-14.866403906428047</v>
      </c>
      <c r="BH286" s="33">
        <f t="shared" si="582"/>
        <v>-0.13710065316967462</v>
      </c>
      <c r="BJ286" s="31">
        <f t="shared" si="558"/>
        <v>104.76758334527234</v>
      </c>
      <c r="BK286" s="25">
        <f t="shared" si="559"/>
        <v>86.799915485532821</v>
      </c>
      <c r="BL286" s="32">
        <f t="shared" si="560"/>
        <v>-17.967667859739521</v>
      </c>
      <c r="BM286" s="33">
        <f t="shared" si="561"/>
        <v>-0.17150026072974522</v>
      </c>
      <c r="BO286" s="62"/>
      <c r="BP286" s="62"/>
      <c r="BQ286" s="62"/>
      <c r="BR286" s="63"/>
    </row>
    <row r="287" spans="1:71">
      <c r="A287" s="1"/>
      <c r="B287" s="1284"/>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K287" s="1"/>
      <c r="AL287" s="1"/>
      <c r="AM287" s="1"/>
      <c r="AN287" s="1"/>
      <c r="AP287" s="1"/>
      <c r="AQ287" s="1"/>
      <c r="AR287" s="1"/>
      <c r="AS287" s="1"/>
      <c r="AU287" s="1"/>
      <c r="AV287" s="1"/>
      <c r="AW287" s="1"/>
      <c r="AX287" s="1"/>
      <c r="AY287" s="1"/>
      <c r="AZ287" s="1"/>
      <c r="BA287" s="1"/>
      <c r="BB287" s="1"/>
      <c r="BC287" s="1"/>
      <c r="BE287" s="1"/>
      <c r="BF287" s="1"/>
      <c r="BG287" s="1"/>
      <c r="BH287" s="1"/>
      <c r="BI287" s="1"/>
      <c r="BJ287" s="1"/>
      <c r="BK287" s="1"/>
      <c r="BL287" s="1"/>
      <c r="BM287" s="1"/>
      <c r="BN287" s="1"/>
      <c r="BO287" s="1"/>
      <c r="BP287" s="1"/>
      <c r="BQ287" s="1"/>
      <c r="BR287" s="1"/>
      <c r="BS287" s="1"/>
    </row>
    <row r="288" spans="1:71">
      <c r="A288" s="1"/>
      <c r="B288" s="1284"/>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K288" s="1"/>
      <c r="AL288" s="1"/>
      <c r="AM288" s="1"/>
      <c r="AN288" s="1"/>
      <c r="AP288" s="1"/>
      <c r="AQ288" s="1"/>
      <c r="AR288" s="1"/>
      <c r="AS288" s="1"/>
      <c r="AU288" s="1"/>
      <c r="AV288" s="1"/>
      <c r="AW288" s="1"/>
      <c r="AX288" s="1"/>
      <c r="AY288" s="1"/>
      <c r="AZ288" s="1"/>
      <c r="BA288" s="1"/>
      <c r="BB288" s="1"/>
      <c r="BC288" s="1"/>
      <c r="BE288" s="1"/>
      <c r="BF288" s="1"/>
      <c r="BG288" s="1"/>
      <c r="BH288" s="1"/>
      <c r="BI288" s="1"/>
      <c r="BJ288" s="1"/>
      <c r="BK288" s="1"/>
      <c r="BL288" s="1"/>
      <c r="BM288" s="1"/>
      <c r="BN288" s="1"/>
      <c r="BO288" s="1"/>
      <c r="BP288" s="1"/>
      <c r="BQ288" s="1"/>
      <c r="BR288" s="1"/>
      <c r="BS288" s="1"/>
    </row>
    <row r="289" spans="1:71">
      <c r="A289" s="1"/>
      <c r="B289" s="1284"/>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K289" s="1"/>
      <c r="AL289" s="1"/>
      <c r="AM289" s="1"/>
      <c r="AN289" s="1"/>
      <c r="AP289" s="1"/>
      <c r="AQ289" s="1"/>
      <c r="AR289" s="1"/>
      <c r="AS289" s="1"/>
      <c r="AU289" s="1"/>
      <c r="AV289" s="1"/>
      <c r="AW289" s="1"/>
      <c r="AX289" s="1"/>
      <c r="AY289" s="1"/>
      <c r="AZ289" s="1"/>
      <c r="BA289" s="1"/>
      <c r="BB289" s="1"/>
      <c r="BC289" s="1"/>
      <c r="BE289" s="1"/>
      <c r="BF289" s="1"/>
      <c r="BG289" s="1"/>
      <c r="BH289" s="1"/>
      <c r="BI289" s="1"/>
      <c r="BJ289" s="1"/>
      <c r="BK289" s="1"/>
      <c r="BL289" s="1"/>
      <c r="BM289" s="1"/>
      <c r="BN289" s="1"/>
      <c r="BO289" s="1"/>
      <c r="BP289" s="1"/>
      <c r="BQ289" s="1"/>
      <c r="BR289" s="1"/>
      <c r="BS289" s="1"/>
    </row>
    <row r="290" spans="1:71">
      <c r="A290" s="1"/>
      <c r="B290" s="1284"/>
    </row>
    <row r="291" spans="1:71">
      <c r="A291" s="1"/>
      <c r="B291" s="1284"/>
      <c r="D291" s="1" t="s">
        <v>61</v>
      </c>
      <c r="E291" s="1"/>
      <c r="N291" s="1"/>
      <c r="W291" s="1"/>
    </row>
    <row r="292" spans="1:71">
      <c r="A292" s="1"/>
      <c r="B292" s="1284"/>
      <c r="E292" s="1300" t="s">
        <v>733</v>
      </c>
      <c r="F292" s="1301"/>
      <c r="G292" s="1301"/>
      <c r="H292" s="1301"/>
      <c r="I292" s="1301"/>
      <c r="J292" s="1301"/>
      <c r="K292" s="1301"/>
      <c r="L292" s="1302"/>
      <c r="N292" s="245" t="s">
        <v>291</v>
      </c>
      <c r="O292" s="246"/>
      <c r="P292" s="246"/>
      <c r="Q292" s="246"/>
      <c r="R292" s="246"/>
      <c r="S292" s="246"/>
      <c r="T292" s="246"/>
      <c r="U292" s="247"/>
      <c r="W292" s="1300" t="s">
        <v>292</v>
      </c>
      <c r="X292" s="1301"/>
      <c r="Y292" s="1301"/>
      <c r="Z292" s="1301"/>
      <c r="AA292" s="1301"/>
      <c r="AB292" s="1301"/>
      <c r="AC292" s="1301"/>
      <c r="AD292" s="1302"/>
      <c r="AF292" s="102" t="s">
        <v>297</v>
      </c>
      <c r="AG292" s="102" t="s">
        <v>298</v>
      </c>
      <c r="AH292" s="1304" t="s">
        <v>602</v>
      </c>
      <c r="AI292" s="1304"/>
      <c r="AK292" s="102" t="s">
        <v>297</v>
      </c>
      <c r="AL292" s="102" t="s">
        <v>298</v>
      </c>
      <c r="AM292" s="1304" t="s">
        <v>602</v>
      </c>
      <c r="AN292" s="1304"/>
      <c r="AP292" s="6" t="s">
        <v>297</v>
      </c>
      <c r="AQ292" s="5" t="s">
        <v>298</v>
      </c>
      <c r="AR292" s="1303" t="s">
        <v>602</v>
      </c>
      <c r="AS292" s="1303"/>
      <c r="AU292" s="6" t="s">
        <v>297</v>
      </c>
      <c r="AV292" s="5" t="s">
        <v>298</v>
      </c>
      <c r="AW292" s="1303" t="s">
        <v>602</v>
      </c>
      <c r="AX292" s="1303"/>
      <c r="AZ292" s="6" t="s">
        <v>297</v>
      </c>
      <c r="BA292" s="5" t="s">
        <v>298</v>
      </c>
      <c r="BB292" s="1303" t="s">
        <v>602</v>
      </c>
      <c r="BC292" s="1303"/>
      <c r="BE292" s="6" t="s">
        <v>297</v>
      </c>
      <c r="BF292" s="5" t="s">
        <v>298</v>
      </c>
      <c r="BG292" s="1082" t="s">
        <v>602</v>
      </c>
      <c r="BH292" s="1082"/>
      <c r="BJ292" s="6" t="s">
        <v>297</v>
      </c>
      <c r="BK292" s="5" t="s">
        <v>298</v>
      </c>
      <c r="BL292" s="1082" t="s">
        <v>602</v>
      </c>
      <c r="BM292" s="1082"/>
      <c r="BO292" s="6" t="s">
        <v>297</v>
      </c>
      <c r="BP292" s="5" t="s">
        <v>298</v>
      </c>
      <c r="BQ292" s="1303" t="s">
        <v>602</v>
      </c>
      <c r="BR292" s="1303"/>
    </row>
    <row r="293" spans="1:71">
      <c r="A293" s="1"/>
      <c r="B293" s="1284"/>
      <c r="E293" s="196" t="s">
        <v>137</v>
      </c>
      <c r="F293" s="102" t="s">
        <v>138</v>
      </c>
      <c r="G293" s="102" t="s">
        <v>139</v>
      </c>
      <c r="H293" s="102" t="s">
        <v>140</v>
      </c>
      <c r="I293" s="102" t="s">
        <v>141</v>
      </c>
      <c r="J293" s="102" t="s">
        <v>126</v>
      </c>
      <c r="K293" s="102" t="s">
        <v>142</v>
      </c>
      <c r="L293" s="197" t="s">
        <v>143</v>
      </c>
      <c r="N293" s="196" t="s">
        <v>137</v>
      </c>
      <c r="O293" s="102" t="s">
        <v>138</v>
      </c>
      <c r="P293" s="102" t="s">
        <v>139</v>
      </c>
      <c r="Q293" s="102" t="s">
        <v>140</v>
      </c>
      <c r="R293" s="102" t="s">
        <v>141</v>
      </c>
      <c r="S293" s="102" t="s">
        <v>126</v>
      </c>
      <c r="T293" s="102" t="s">
        <v>142</v>
      </c>
      <c r="U293" s="197" t="s">
        <v>143</v>
      </c>
      <c r="W293" s="196" t="s">
        <v>137</v>
      </c>
      <c r="X293" s="102" t="s">
        <v>138</v>
      </c>
      <c r="Y293" s="102" t="s">
        <v>139</v>
      </c>
      <c r="Z293" s="102" t="s">
        <v>140</v>
      </c>
      <c r="AA293" s="102" t="s">
        <v>141</v>
      </c>
      <c r="AB293" s="102" t="s">
        <v>126</v>
      </c>
      <c r="AC293" s="102" t="s">
        <v>142</v>
      </c>
      <c r="AD293" s="197" t="s">
        <v>143</v>
      </c>
      <c r="AF293" s="102" t="s">
        <v>734</v>
      </c>
      <c r="AG293" s="102" t="s">
        <v>734</v>
      </c>
      <c r="AH293" s="102" t="s">
        <v>734</v>
      </c>
      <c r="AI293" s="102" t="s">
        <v>606</v>
      </c>
      <c r="AK293" s="102" t="s">
        <v>734</v>
      </c>
      <c r="AL293" s="102" t="s">
        <v>734</v>
      </c>
      <c r="AM293" s="102" t="s">
        <v>734</v>
      </c>
      <c r="AN293" s="102" t="s">
        <v>606</v>
      </c>
      <c r="AP293" s="5" t="s">
        <v>734</v>
      </c>
      <c r="AQ293" s="5" t="s">
        <v>734</v>
      </c>
      <c r="AR293" s="5" t="s">
        <v>734</v>
      </c>
      <c r="AS293" s="5" t="s">
        <v>606</v>
      </c>
      <c r="AU293" s="5" t="s">
        <v>734</v>
      </c>
      <c r="AV293" s="5" t="s">
        <v>734</v>
      </c>
      <c r="AW293" s="5" t="s">
        <v>734</v>
      </c>
      <c r="AX293" s="5" t="s">
        <v>606</v>
      </c>
      <c r="AZ293" s="5" t="s">
        <v>734</v>
      </c>
      <c r="BA293" s="5" t="s">
        <v>734</v>
      </c>
      <c r="BB293" s="5" t="s">
        <v>734</v>
      </c>
      <c r="BC293" s="5" t="s">
        <v>606</v>
      </c>
      <c r="BE293" s="5" t="s">
        <v>734</v>
      </c>
      <c r="BF293" s="5" t="s">
        <v>734</v>
      </c>
      <c r="BG293" s="5" t="s">
        <v>734</v>
      </c>
      <c r="BH293" s="5" t="s">
        <v>606</v>
      </c>
      <c r="BJ293" s="5" t="s">
        <v>734</v>
      </c>
      <c r="BK293" s="5" t="s">
        <v>734</v>
      </c>
      <c r="BL293" s="5" t="s">
        <v>734</v>
      </c>
      <c r="BM293" s="5" t="s">
        <v>606</v>
      </c>
      <c r="BO293" s="5" t="s">
        <v>734</v>
      </c>
      <c r="BP293" s="5" t="s">
        <v>734</v>
      </c>
      <c r="BQ293" s="5" t="s">
        <v>734</v>
      </c>
      <c r="BR293" s="5" t="s">
        <v>606</v>
      </c>
    </row>
    <row r="294" spans="1:71">
      <c r="A294" s="1"/>
      <c r="B294" s="1284"/>
      <c r="D294" s="5" t="s">
        <v>161</v>
      </c>
      <c r="E294" s="87">
        <v>4.6423244147896972</v>
      </c>
      <c r="F294" s="87">
        <v>4.9835907420686736</v>
      </c>
      <c r="G294" s="87">
        <v>4.911529790070305</v>
      </c>
      <c r="H294" s="87">
        <v>6.2446502784088702</v>
      </c>
      <c r="I294" s="87">
        <v>5.5299400262890925</v>
      </c>
      <c r="J294" s="87">
        <v>4.6719456091882625</v>
      </c>
      <c r="K294" s="87">
        <v>4.4489096377030632</v>
      </c>
      <c r="L294" s="87">
        <v>5.2497696535351572</v>
      </c>
      <c r="N294" s="29">
        <v>3.9048782528913413</v>
      </c>
      <c r="O294" s="29">
        <v>4.6551226165443289</v>
      </c>
      <c r="P294" s="29">
        <v>3.4906238881420952</v>
      </c>
      <c r="Q294" s="29">
        <v>4.4735640136146202</v>
      </c>
      <c r="R294" s="29">
        <v>4.1068504347325261</v>
      </c>
      <c r="S294" s="29">
        <v>4.0993947979981495</v>
      </c>
      <c r="T294" s="29">
        <v>5.055631470433922</v>
      </c>
      <c r="U294" s="29">
        <v>4.7209959265999171</v>
      </c>
      <c r="W294" s="30">
        <v>0.51531027971789678</v>
      </c>
      <c r="X294" s="30">
        <v>-2.3364996762634638</v>
      </c>
      <c r="Y294" s="30">
        <v>0.67344752186049095</v>
      </c>
      <c r="Z294" s="30">
        <v>2.7535654121323736</v>
      </c>
      <c r="AA294" s="30">
        <v>3.6546600094446364</v>
      </c>
      <c r="AB294" s="30">
        <v>4.5956790052332881</v>
      </c>
      <c r="AC294" s="30">
        <v>5.8602891553022491</v>
      </c>
      <c r="AD294" s="90">
        <v>0</v>
      </c>
      <c r="AF294" s="29">
        <f>N294</f>
        <v>3.9048782528913413</v>
      </c>
      <c r="AG294" s="30">
        <f>W294</f>
        <v>0.51531027971789678</v>
      </c>
      <c r="AH294" s="32">
        <f>AG294-AF294</f>
        <v>-3.3895679731734445</v>
      </c>
      <c r="AI294" s="33">
        <f>AH294/AF294</f>
        <v>-0.86803422633309024</v>
      </c>
      <c r="AK294" s="29">
        <f t="shared" ref="AK294:AK309" si="603">O294</f>
        <v>4.6551226165443289</v>
      </c>
      <c r="AL294" s="30">
        <f t="shared" ref="AL294:AL309" si="604">X294</f>
        <v>-2.3364996762634638</v>
      </c>
      <c r="AM294" s="32">
        <f>AL294-AK294</f>
        <v>-6.9916222928077927</v>
      </c>
      <c r="AN294" s="33">
        <f>AM294/AK294</f>
        <v>-1.5019201144046201</v>
      </c>
      <c r="AP294" s="29">
        <f>P294</f>
        <v>3.4906238881420952</v>
      </c>
      <c r="AQ294" s="30">
        <f>Y294</f>
        <v>0.67344752186049095</v>
      </c>
      <c r="AR294" s="32">
        <f>AQ294-AP294</f>
        <v>-2.8171763662816041</v>
      </c>
      <c r="AS294" s="33">
        <f>AR294/AP294</f>
        <v>-0.8070695831343383</v>
      </c>
      <c r="AU294" s="31">
        <f>Q294</f>
        <v>4.4735640136146202</v>
      </c>
      <c r="AV294" s="25">
        <f>Z294</f>
        <v>2.7535654121323736</v>
      </c>
      <c r="AW294" s="32">
        <f>AV294-AU294</f>
        <v>-1.7199986014822466</v>
      </c>
      <c r="AX294" s="33">
        <f>AW294/AU294</f>
        <v>-0.38448060567540537</v>
      </c>
      <c r="AZ294" s="31">
        <f t="shared" ref="AZ294:AZ309" si="605">R294</f>
        <v>4.1068504347325261</v>
      </c>
      <c r="BA294" s="25">
        <f t="shared" ref="BA294:BA309" si="606">AA294</f>
        <v>3.6546600094446364</v>
      </c>
      <c r="BB294" s="32">
        <f>BA294-AZ294</f>
        <v>-0.45219042528788966</v>
      </c>
      <c r="BC294" s="33">
        <f>BB294/AZ294</f>
        <v>-0.11010637773988968</v>
      </c>
      <c r="BE294" s="31">
        <f>S294</f>
        <v>4.0993947979981495</v>
      </c>
      <c r="BF294" s="25">
        <f>AB294</f>
        <v>4.5956790052332881</v>
      </c>
      <c r="BG294" s="32">
        <f>BF294-BE294</f>
        <v>0.49628420723513855</v>
      </c>
      <c r="BH294" s="33">
        <f>BG294/BE294</f>
        <v>0.12106279870323497</v>
      </c>
      <c r="BJ294" s="31">
        <f t="shared" ref="BJ294:BJ309" si="607">T294</f>
        <v>5.055631470433922</v>
      </c>
      <c r="BK294" s="25">
        <f t="shared" ref="BK294:BK309" si="608">AC294</f>
        <v>5.8602891553022491</v>
      </c>
      <c r="BL294" s="32">
        <f t="shared" ref="BL294:BL309" si="609">BK294-BJ294</f>
        <v>0.80465768486832712</v>
      </c>
      <c r="BM294" s="33">
        <f t="shared" ref="BM294:BM309" si="610">BL294/BJ294</f>
        <v>0.15916066856812722</v>
      </c>
      <c r="BO294" s="62"/>
      <c r="BP294" s="62"/>
      <c r="BQ294" s="62"/>
      <c r="BR294" s="63"/>
    </row>
    <row r="295" spans="1:71">
      <c r="A295" s="1"/>
      <c r="B295" s="1284"/>
      <c r="D295" s="5" t="s">
        <v>162</v>
      </c>
      <c r="E295" s="87">
        <v>1.2056721780602071</v>
      </c>
      <c r="F295" s="87">
        <v>0.34305130524567151</v>
      </c>
      <c r="G295" s="87">
        <v>0.76032396316786954</v>
      </c>
      <c r="H295" s="87">
        <v>0.75524017939014432</v>
      </c>
      <c r="I295" s="87">
        <v>0.75113241895617189</v>
      </c>
      <c r="J295" s="87">
        <v>0.75609834559104316</v>
      </c>
      <c r="K295" s="87">
        <v>0.7668453743060244</v>
      </c>
      <c r="L295" s="87">
        <v>0.76998748579136767</v>
      </c>
      <c r="N295" s="29">
        <v>1.3954784676716703</v>
      </c>
      <c r="O295" s="29">
        <v>1.0361945755086746</v>
      </c>
      <c r="P295" s="29">
        <v>0.98189281165012388</v>
      </c>
      <c r="Q295" s="29">
        <v>0.9369180456251549</v>
      </c>
      <c r="R295" s="29">
        <v>1.103526101732341</v>
      </c>
      <c r="S295" s="29">
        <v>0.94856574731941856</v>
      </c>
      <c r="T295" s="29">
        <v>0.6604921323193752</v>
      </c>
      <c r="U295" s="29">
        <v>0.64532574726902392</v>
      </c>
      <c r="W295" s="30">
        <v>2.0310350458976809</v>
      </c>
      <c r="X295" s="30">
        <v>3.4062184037192043</v>
      </c>
      <c r="Y295" s="30">
        <v>2.6023231172473227</v>
      </c>
      <c r="Z295" s="30">
        <v>1.7650632557529524</v>
      </c>
      <c r="AA295" s="30">
        <v>2.0298637033048799</v>
      </c>
      <c r="AB295" s="30">
        <v>2.0744117052872015</v>
      </c>
      <c r="AC295" s="30">
        <v>3.6551325891606266</v>
      </c>
      <c r="AD295" s="90">
        <v>0</v>
      </c>
      <c r="AF295" s="29">
        <f t="shared" ref="AF295:AF309" si="611">N295</f>
        <v>1.3954784676716703</v>
      </c>
      <c r="AG295" s="30">
        <f t="shared" ref="AG295:AG309" si="612">W295</f>
        <v>2.0310350458976809</v>
      </c>
      <c r="AH295" s="32">
        <f t="shared" ref="AH295:AH309" si="613">AG295-AF295</f>
        <v>0.63555657822601064</v>
      </c>
      <c r="AI295" s="33">
        <f t="shared" ref="AI295:AI309" si="614">AH295/AF295</f>
        <v>0.45543990319422478</v>
      </c>
      <c r="AK295" s="29">
        <f t="shared" si="603"/>
        <v>1.0361945755086746</v>
      </c>
      <c r="AL295" s="30">
        <f t="shared" si="604"/>
        <v>3.4062184037192043</v>
      </c>
      <c r="AM295" s="32">
        <f t="shared" ref="AM295:AM309" si="615">AL295-AK295</f>
        <v>2.3700238282105297</v>
      </c>
      <c r="AN295" s="33">
        <f t="shared" ref="AN295:AN309" si="616">AM295/AK295</f>
        <v>2.2872382120385737</v>
      </c>
      <c r="AP295" s="29">
        <f t="shared" ref="AP295:AP309" si="617">P295</f>
        <v>0.98189281165012388</v>
      </c>
      <c r="AQ295" s="30">
        <f t="shared" ref="AQ295:AQ308" si="618">Y295</f>
        <v>2.6023231172473227</v>
      </c>
      <c r="AR295" s="32">
        <f t="shared" ref="AR295:AR309" si="619">AQ295-AP295</f>
        <v>1.6204303055971989</v>
      </c>
      <c r="AS295" s="33">
        <f t="shared" ref="AS295:AS309" si="620">AR295/AP295</f>
        <v>1.6503128308618313</v>
      </c>
      <c r="AU295" s="31">
        <f t="shared" ref="AU295:AU309" si="621">Q295</f>
        <v>0.9369180456251549</v>
      </c>
      <c r="AV295" s="25">
        <f t="shared" ref="AV295:AV309" si="622">Z295</f>
        <v>1.7650632557529524</v>
      </c>
      <c r="AW295" s="32">
        <f t="shared" ref="AW295:AW309" si="623">AV295-AU295</f>
        <v>0.82814521012779752</v>
      </c>
      <c r="AX295" s="33">
        <f t="shared" ref="AX295:AX309" si="624">AW295/AU295</f>
        <v>0.88390357512563533</v>
      </c>
      <c r="AZ295" s="31">
        <f t="shared" si="605"/>
        <v>1.103526101732341</v>
      </c>
      <c r="BA295" s="25">
        <f t="shared" si="606"/>
        <v>2.0298637033048799</v>
      </c>
      <c r="BB295" s="32">
        <f t="shared" ref="BB295:BB309" si="625">BA295-AZ295</f>
        <v>0.92633760157253886</v>
      </c>
      <c r="BC295" s="33">
        <f t="shared" ref="BC295:BC309" si="626">BB295/AZ295</f>
        <v>0.83943424638379871</v>
      </c>
      <c r="BE295" s="31">
        <f t="shared" ref="BE295:BE309" si="627">S295</f>
        <v>0.94856574731941856</v>
      </c>
      <c r="BF295" s="25">
        <f t="shared" ref="BF295:BF309" si="628">AB295</f>
        <v>2.0744117052872015</v>
      </c>
      <c r="BG295" s="32">
        <f t="shared" ref="BG295:BG309" si="629">BF295-BE295</f>
        <v>1.1258459579677829</v>
      </c>
      <c r="BH295" s="33">
        <f t="shared" ref="BH295:BH309" si="630">BG295/BE295</f>
        <v>1.1868929076865213</v>
      </c>
      <c r="BJ295" s="31">
        <f t="shared" si="607"/>
        <v>0.6604921323193752</v>
      </c>
      <c r="BK295" s="25">
        <f t="shared" si="608"/>
        <v>3.6551325891606266</v>
      </c>
      <c r="BL295" s="32">
        <f t="shared" si="609"/>
        <v>2.9946404568412515</v>
      </c>
      <c r="BM295" s="33">
        <f t="shared" si="610"/>
        <v>4.5339532604655153</v>
      </c>
      <c r="BO295" s="62"/>
      <c r="BP295" s="62"/>
      <c r="BQ295" s="62"/>
      <c r="BR295" s="63"/>
    </row>
    <row r="296" spans="1:71">
      <c r="A296" s="1"/>
      <c r="B296" s="1284"/>
      <c r="D296" s="5" t="s">
        <v>163</v>
      </c>
      <c r="E296" s="87">
        <v>0.93690549458936678</v>
      </c>
      <c r="F296" s="87">
        <v>0.95582946837573424</v>
      </c>
      <c r="G296" s="87">
        <v>0.95776015250586766</v>
      </c>
      <c r="H296" s="87">
        <v>0.9603368260773576</v>
      </c>
      <c r="I296" s="87">
        <v>0.96549253448036043</v>
      </c>
      <c r="J296" s="87">
        <v>0.97104572648603682</v>
      </c>
      <c r="K296" s="87">
        <v>0.96596960791362663</v>
      </c>
      <c r="L296" s="87">
        <v>0.98403512779074931</v>
      </c>
      <c r="N296" s="29">
        <v>0.89444101516663332</v>
      </c>
      <c r="O296" s="29">
        <v>1.0853671925286354</v>
      </c>
      <c r="P296" s="29">
        <v>1.1121495436041875</v>
      </c>
      <c r="Q296" s="29">
        <v>1.4152333673687529</v>
      </c>
      <c r="R296" s="29">
        <v>1.7720784938863829</v>
      </c>
      <c r="S296" s="29">
        <v>1.4879652083423842</v>
      </c>
      <c r="T296" s="29">
        <v>1.2123753950161764</v>
      </c>
      <c r="U296" s="29">
        <v>1.391786714982038</v>
      </c>
      <c r="W296" s="30">
        <v>0.9916838759714095</v>
      </c>
      <c r="X296" s="30">
        <v>2.8838570076743197</v>
      </c>
      <c r="Y296" s="30">
        <v>2.8425003470282766</v>
      </c>
      <c r="Z296" s="30">
        <v>2.6472179976746224</v>
      </c>
      <c r="AA296" s="30">
        <v>2.587158373356218</v>
      </c>
      <c r="AB296" s="30">
        <v>2.2175681803279916</v>
      </c>
      <c r="AC296" s="30">
        <v>2.4498433733090792</v>
      </c>
      <c r="AD296" s="90">
        <v>0</v>
      </c>
      <c r="AF296" s="29">
        <f t="shared" si="611"/>
        <v>0.89444101516663332</v>
      </c>
      <c r="AG296" s="30">
        <f t="shared" si="612"/>
        <v>0.9916838759714095</v>
      </c>
      <c r="AH296" s="32">
        <f t="shared" si="613"/>
        <v>9.7242860804776177E-2</v>
      </c>
      <c r="AI296" s="33">
        <f t="shared" si="614"/>
        <v>0.10871914319208623</v>
      </c>
      <c r="AK296" s="29">
        <f t="shared" si="603"/>
        <v>1.0853671925286354</v>
      </c>
      <c r="AL296" s="30">
        <f t="shared" si="604"/>
        <v>2.8838570076743197</v>
      </c>
      <c r="AM296" s="32">
        <f t="shared" si="615"/>
        <v>1.7984898151456843</v>
      </c>
      <c r="AN296" s="33">
        <f t="shared" si="616"/>
        <v>1.6570335159621423</v>
      </c>
      <c r="AP296" s="29">
        <f t="shared" si="617"/>
        <v>1.1121495436041875</v>
      </c>
      <c r="AQ296" s="30">
        <f t="shared" si="618"/>
        <v>2.8425003470282766</v>
      </c>
      <c r="AR296" s="32">
        <f t="shared" si="619"/>
        <v>1.7303508034240891</v>
      </c>
      <c r="AS296" s="33">
        <f t="shared" si="620"/>
        <v>1.5558616315360541</v>
      </c>
      <c r="AU296" s="31">
        <f t="shared" si="621"/>
        <v>1.4152333673687529</v>
      </c>
      <c r="AV296" s="25">
        <f t="shared" si="622"/>
        <v>2.6472179976746224</v>
      </c>
      <c r="AW296" s="32">
        <f t="shared" si="623"/>
        <v>1.2319846303058695</v>
      </c>
      <c r="AX296" s="33">
        <f t="shared" si="624"/>
        <v>0.87051694703638494</v>
      </c>
      <c r="AZ296" s="31">
        <f t="shared" si="605"/>
        <v>1.7720784938863829</v>
      </c>
      <c r="BA296" s="25">
        <f t="shared" si="606"/>
        <v>2.587158373356218</v>
      </c>
      <c r="BB296" s="32">
        <f t="shared" si="625"/>
        <v>0.81507987946983507</v>
      </c>
      <c r="BC296" s="33">
        <f t="shared" si="626"/>
        <v>0.45995698400597712</v>
      </c>
      <c r="BE296" s="31">
        <f t="shared" si="627"/>
        <v>1.4879652083423842</v>
      </c>
      <c r="BF296" s="25">
        <f t="shared" si="628"/>
        <v>2.2175681803279916</v>
      </c>
      <c r="BG296" s="32">
        <f t="shared" si="629"/>
        <v>0.72960297198560742</v>
      </c>
      <c r="BH296" s="33">
        <f t="shared" si="630"/>
        <v>0.49033604273476</v>
      </c>
      <c r="BJ296" s="31">
        <f t="shared" si="607"/>
        <v>1.2123753950161764</v>
      </c>
      <c r="BK296" s="25">
        <f t="shared" si="608"/>
        <v>2.4498433733090792</v>
      </c>
      <c r="BL296" s="32">
        <f t="shared" si="609"/>
        <v>1.2374679782929028</v>
      </c>
      <c r="BM296" s="33">
        <f t="shared" si="610"/>
        <v>1.0206970410154121</v>
      </c>
      <c r="BO296" s="62"/>
      <c r="BP296" s="62"/>
      <c r="BQ296" s="62"/>
      <c r="BR296" s="63"/>
    </row>
    <row r="297" spans="1:71">
      <c r="A297" s="1"/>
      <c r="B297" s="1284"/>
      <c r="D297" s="5" t="s">
        <v>164</v>
      </c>
      <c r="E297" s="87">
        <v>2.7824595518437674</v>
      </c>
      <c r="F297" s="87">
        <v>2.8336075715907052</v>
      </c>
      <c r="G297" s="87">
        <v>2.9978334736839907</v>
      </c>
      <c r="H297" s="87">
        <v>3.2492738261970771</v>
      </c>
      <c r="I297" s="87">
        <v>3.2344663338336628</v>
      </c>
      <c r="J297" s="87">
        <v>3.3264119525462781</v>
      </c>
      <c r="K297" s="87">
        <v>3.4355486208766375</v>
      </c>
      <c r="L297" s="87">
        <v>3.5523636458516119</v>
      </c>
      <c r="M297" s="9"/>
      <c r="N297" s="29">
        <v>2.7824595518437674</v>
      </c>
      <c r="O297" s="29">
        <v>2.8336075715907052</v>
      </c>
      <c r="P297" s="29">
        <v>2.9978334736839907</v>
      </c>
      <c r="Q297" s="29">
        <v>3.2492738261970771</v>
      </c>
      <c r="R297" s="29">
        <v>3.2344663338336628</v>
      </c>
      <c r="S297" s="29">
        <v>3.3264119525462781</v>
      </c>
      <c r="T297" s="29">
        <v>3.4355486208766375</v>
      </c>
      <c r="U297" s="29">
        <v>3.5523636458516119</v>
      </c>
      <c r="W297" s="30">
        <v>6.7129136462978884</v>
      </c>
      <c r="X297" s="30">
        <v>3.2215806092259394</v>
      </c>
      <c r="Y297" s="30">
        <v>4.0425593755001676</v>
      </c>
      <c r="Z297" s="30">
        <v>4.991457221822186</v>
      </c>
      <c r="AA297" s="30">
        <v>4.4124307464165531</v>
      </c>
      <c r="AB297" s="30">
        <v>5.3496049486787234</v>
      </c>
      <c r="AC297" s="30">
        <v>8.2233999999999998</v>
      </c>
      <c r="AD297" s="90">
        <v>0</v>
      </c>
      <c r="AF297" s="29">
        <f t="shared" si="611"/>
        <v>2.7824595518437674</v>
      </c>
      <c r="AG297" s="30">
        <f t="shared" si="612"/>
        <v>6.7129136462978884</v>
      </c>
      <c r="AH297" s="32">
        <f t="shared" si="613"/>
        <v>3.9304540944541211</v>
      </c>
      <c r="AI297" s="33">
        <f t="shared" si="614"/>
        <v>1.4125826525850653</v>
      </c>
      <c r="AK297" s="29">
        <f t="shared" si="603"/>
        <v>2.8336075715907052</v>
      </c>
      <c r="AL297" s="30">
        <f t="shared" si="604"/>
        <v>3.2215806092259394</v>
      </c>
      <c r="AM297" s="32">
        <f t="shared" si="615"/>
        <v>0.38797303763523416</v>
      </c>
      <c r="AN297" s="33">
        <f t="shared" si="616"/>
        <v>0.13691840801280655</v>
      </c>
      <c r="AP297" s="29">
        <f t="shared" si="617"/>
        <v>2.9978334736839907</v>
      </c>
      <c r="AQ297" s="30">
        <f t="shared" si="618"/>
        <v>4.0425593755001676</v>
      </c>
      <c r="AR297" s="32">
        <f t="shared" si="619"/>
        <v>1.044725901816177</v>
      </c>
      <c r="AS297" s="33">
        <f t="shared" si="620"/>
        <v>0.34849364081999179</v>
      </c>
      <c r="AU297" s="31">
        <f t="shared" si="621"/>
        <v>3.2492738261970771</v>
      </c>
      <c r="AV297" s="25">
        <f t="shared" si="622"/>
        <v>4.991457221822186</v>
      </c>
      <c r="AW297" s="32">
        <f t="shared" si="623"/>
        <v>1.7421833956251089</v>
      </c>
      <c r="AX297" s="33">
        <f t="shared" si="624"/>
        <v>0.53617623161792605</v>
      </c>
      <c r="AZ297" s="31">
        <f t="shared" si="605"/>
        <v>3.2344663338336628</v>
      </c>
      <c r="BA297" s="25">
        <f t="shared" si="606"/>
        <v>4.4124307464165531</v>
      </c>
      <c r="BB297" s="32">
        <f t="shared" si="625"/>
        <v>1.1779644125828903</v>
      </c>
      <c r="BC297" s="33">
        <f t="shared" si="626"/>
        <v>0.36419127330557305</v>
      </c>
      <c r="BE297" s="31">
        <f t="shared" si="627"/>
        <v>3.3264119525462781</v>
      </c>
      <c r="BF297" s="25">
        <f t="shared" si="628"/>
        <v>5.3496049486787234</v>
      </c>
      <c r="BG297" s="32">
        <f t="shared" si="629"/>
        <v>2.0231929961324453</v>
      </c>
      <c r="BH297" s="33">
        <f t="shared" si="630"/>
        <v>0.60822081720327692</v>
      </c>
      <c r="BJ297" s="31">
        <f t="shared" si="607"/>
        <v>3.4355486208766375</v>
      </c>
      <c r="BK297" s="25">
        <f t="shared" si="608"/>
        <v>8.2233999999999998</v>
      </c>
      <c r="BL297" s="32">
        <f t="shared" si="609"/>
        <v>4.7878513791233619</v>
      </c>
      <c r="BM297" s="33">
        <f t="shared" si="610"/>
        <v>1.3936206141951388</v>
      </c>
      <c r="BO297" s="62"/>
      <c r="BP297" s="62"/>
      <c r="BQ297" s="62"/>
      <c r="BR297" s="63"/>
    </row>
    <row r="298" spans="1:71">
      <c r="A298" s="1"/>
      <c r="B298" s="1284"/>
      <c r="D298" s="5" t="s">
        <v>165</v>
      </c>
      <c r="E298" s="87">
        <v>2.5774442805173887</v>
      </c>
      <c r="F298" s="87">
        <v>2.6343680063389425</v>
      </c>
      <c r="G298" s="87">
        <v>2.774885919982323</v>
      </c>
      <c r="H298" s="87">
        <v>3.0373144742075238</v>
      </c>
      <c r="I298" s="87">
        <v>3.007263297157579</v>
      </c>
      <c r="J298" s="87">
        <v>3.3305050368291802</v>
      </c>
      <c r="K298" s="87">
        <v>3.2104140146937752</v>
      </c>
      <c r="L298" s="87">
        <v>3.3027004093073247</v>
      </c>
      <c r="N298" s="29">
        <v>2.5774442805173887</v>
      </c>
      <c r="O298" s="29">
        <v>2.6343680063389425</v>
      </c>
      <c r="P298" s="29">
        <v>2.774885919982323</v>
      </c>
      <c r="Q298" s="29">
        <v>3.0373144742075238</v>
      </c>
      <c r="R298" s="29">
        <v>3.007263297157579</v>
      </c>
      <c r="S298" s="29">
        <v>3.3305050368291802</v>
      </c>
      <c r="T298" s="29">
        <v>3.2104140146937752</v>
      </c>
      <c r="U298" s="29">
        <v>3.3027004093073247</v>
      </c>
      <c r="W298" s="30">
        <v>25.557766566319629</v>
      </c>
      <c r="X298" s="30">
        <v>18.895962893974161</v>
      </c>
      <c r="Y298" s="30">
        <v>23.818004661923261</v>
      </c>
      <c r="Z298" s="30">
        <v>19.531669748118652</v>
      </c>
      <c r="AA298" s="30">
        <v>18.798143333035146</v>
      </c>
      <c r="AB298" s="30">
        <v>17.700656728320993</v>
      </c>
      <c r="AC298" s="30">
        <v>22.423599999999997</v>
      </c>
      <c r="AD298" s="90">
        <v>0</v>
      </c>
      <c r="AF298" s="29">
        <f t="shared" si="611"/>
        <v>2.5774442805173887</v>
      </c>
      <c r="AG298" s="30">
        <f t="shared" si="612"/>
        <v>25.557766566319629</v>
      </c>
      <c r="AH298" s="32">
        <f t="shared" si="613"/>
        <v>22.980322285802238</v>
      </c>
      <c r="AI298" s="33">
        <f t="shared" si="614"/>
        <v>8.9159336865234717</v>
      </c>
      <c r="AK298" s="29">
        <f t="shared" si="603"/>
        <v>2.6343680063389425</v>
      </c>
      <c r="AL298" s="30">
        <f t="shared" si="604"/>
        <v>18.895962893974161</v>
      </c>
      <c r="AM298" s="32">
        <f t="shared" si="615"/>
        <v>16.261594887635219</v>
      </c>
      <c r="AN298" s="33">
        <f t="shared" si="616"/>
        <v>6.1728637944682712</v>
      </c>
      <c r="AP298" s="29">
        <f t="shared" si="617"/>
        <v>2.774885919982323</v>
      </c>
      <c r="AQ298" s="30">
        <f t="shared" si="618"/>
        <v>23.818004661923261</v>
      </c>
      <c r="AR298" s="32">
        <f t="shared" si="619"/>
        <v>21.043118741940937</v>
      </c>
      <c r="AS298" s="33">
        <f t="shared" si="620"/>
        <v>7.5834176066146135</v>
      </c>
      <c r="AU298" s="31">
        <f t="shared" si="621"/>
        <v>3.0373144742075238</v>
      </c>
      <c r="AV298" s="25">
        <f t="shared" si="622"/>
        <v>19.531669748118652</v>
      </c>
      <c r="AW298" s="32">
        <f t="shared" si="623"/>
        <v>16.494355273911129</v>
      </c>
      <c r="AX298" s="33">
        <f t="shared" si="624"/>
        <v>5.4305721103227969</v>
      </c>
      <c r="AZ298" s="31">
        <f t="shared" si="605"/>
        <v>3.007263297157579</v>
      </c>
      <c r="BA298" s="25">
        <f t="shared" si="606"/>
        <v>18.798143333035146</v>
      </c>
      <c r="BB298" s="32">
        <f t="shared" si="625"/>
        <v>15.790880035877567</v>
      </c>
      <c r="BC298" s="33">
        <f t="shared" si="626"/>
        <v>5.2509136964504819</v>
      </c>
      <c r="BE298" s="31">
        <f t="shared" si="627"/>
        <v>3.3305050368291802</v>
      </c>
      <c r="BF298" s="25">
        <f t="shared" si="628"/>
        <v>17.700656728320993</v>
      </c>
      <c r="BG298" s="32">
        <f t="shared" si="629"/>
        <v>14.370151691491813</v>
      </c>
      <c r="BH298" s="33">
        <f t="shared" si="630"/>
        <v>4.3147064882306765</v>
      </c>
      <c r="BJ298" s="31">
        <f t="shared" si="607"/>
        <v>3.2104140146937752</v>
      </c>
      <c r="BK298" s="25">
        <f t="shared" si="608"/>
        <v>22.423599999999997</v>
      </c>
      <c r="BL298" s="32">
        <f t="shared" si="609"/>
        <v>19.213185985306222</v>
      </c>
      <c r="BM298" s="33">
        <f t="shared" si="610"/>
        <v>5.9846443160817273</v>
      </c>
      <c r="BO298" s="62"/>
      <c r="BP298" s="62"/>
      <c r="BQ298" s="62"/>
      <c r="BR298" s="63"/>
    </row>
    <row r="299" spans="1:71">
      <c r="A299" s="1"/>
      <c r="B299" s="1284"/>
      <c r="D299" s="5" t="s">
        <v>166</v>
      </c>
      <c r="E299" s="87">
        <v>1.3711010114668245</v>
      </c>
      <c r="F299" s="87">
        <v>1.2184629289379345</v>
      </c>
      <c r="G299" s="87">
        <v>1.5202510425587146</v>
      </c>
      <c r="H299" s="87">
        <v>1.3896824388525268</v>
      </c>
      <c r="I299" s="87">
        <v>1.7196913970047516</v>
      </c>
      <c r="J299" s="87">
        <v>1.5359121475620814</v>
      </c>
      <c r="K299" s="87">
        <v>1.5619613274644257</v>
      </c>
      <c r="L299" s="87">
        <v>1.8230781277729833</v>
      </c>
      <c r="N299" s="29">
        <v>1.3711010114668245</v>
      </c>
      <c r="O299" s="29">
        <v>1.2184629289379345</v>
      </c>
      <c r="P299" s="29">
        <v>1.5202510425587146</v>
      </c>
      <c r="Q299" s="29">
        <v>1.3896824388525268</v>
      </c>
      <c r="R299" s="29">
        <v>1.7196913970047516</v>
      </c>
      <c r="S299" s="29">
        <v>1.5359121475620814</v>
      </c>
      <c r="T299" s="29">
        <v>1.5619613274644257</v>
      </c>
      <c r="U299" s="29">
        <v>1.8230781277729833</v>
      </c>
      <c r="W299" s="30">
        <v>1.5245282358065475</v>
      </c>
      <c r="X299" s="30">
        <v>1.0606698368252627</v>
      </c>
      <c r="Y299" s="30">
        <v>1.2561407758231846</v>
      </c>
      <c r="Z299" s="30">
        <v>0.25260966862919493</v>
      </c>
      <c r="AA299" s="30">
        <v>1.2663992065840448</v>
      </c>
      <c r="AB299" s="30">
        <v>1.9868958353588269</v>
      </c>
      <c r="AC299" s="30">
        <v>6.3993000000000002</v>
      </c>
      <c r="AD299" s="90">
        <v>0</v>
      </c>
      <c r="AF299" s="29">
        <f t="shared" si="611"/>
        <v>1.3711010114668245</v>
      </c>
      <c r="AG299" s="30">
        <f t="shared" si="612"/>
        <v>1.5245282358065475</v>
      </c>
      <c r="AH299" s="32">
        <f t="shared" si="613"/>
        <v>0.153427224339723</v>
      </c>
      <c r="AI299" s="33">
        <f t="shared" si="614"/>
        <v>0.11190074477122897</v>
      </c>
      <c r="AK299" s="29">
        <f t="shared" si="603"/>
        <v>1.2184629289379345</v>
      </c>
      <c r="AL299" s="30">
        <f t="shared" si="604"/>
        <v>1.0606698368252627</v>
      </c>
      <c r="AM299" s="32">
        <f t="shared" si="615"/>
        <v>-0.15779309211267178</v>
      </c>
      <c r="AN299" s="33">
        <f t="shared" si="616"/>
        <v>-0.12950175862158658</v>
      </c>
      <c r="AP299" s="29">
        <f t="shared" si="617"/>
        <v>1.5202510425587146</v>
      </c>
      <c r="AQ299" s="30">
        <f t="shared" si="618"/>
        <v>1.2561407758231846</v>
      </c>
      <c r="AR299" s="32">
        <f t="shared" si="619"/>
        <v>-0.26411026673552995</v>
      </c>
      <c r="AS299" s="33">
        <f t="shared" si="620"/>
        <v>-0.17372806157791507</v>
      </c>
      <c r="AU299" s="31">
        <f t="shared" si="621"/>
        <v>1.3896824388525268</v>
      </c>
      <c r="AV299" s="25">
        <f t="shared" si="622"/>
        <v>0.25260966862919493</v>
      </c>
      <c r="AW299" s="32">
        <f t="shared" si="623"/>
        <v>-1.1370727702233319</v>
      </c>
      <c r="AX299" s="33">
        <f t="shared" si="624"/>
        <v>-0.81822489687804001</v>
      </c>
      <c r="AZ299" s="31">
        <f t="shared" si="605"/>
        <v>1.7196913970047516</v>
      </c>
      <c r="BA299" s="25">
        <f t="shared" si="606"/>
        <v>1.2663992065840448</v>
      </c>
      <c r="BB299" s="32">
        <f t="shared" si="625"/>
        <v>-0.45329219042070679</v>
      </c>
      <c r="BC299" s="33">
        <f t="shared" si="626"/>
        <v>-0.26358926445187902</v>
      </c>
      <c r="BE299" s="31">
        <f t="shared" si="627"/>
        <v>1.5359121475620814</v>
      </c>
      <c r="BF299" s="25">
        <f t="shared" si="628"/>
        <v>1.9868958353588269</v>
      </c>
      <c r="BG299" s="32">
        <f t="shared" si="629"/>
        <v>0.45098368779674547</v>
      </c>
      <c r="BH299" s="33">
        <f t="shared" si="630"/>
        <v>0.29362596585526174</v>
      </c>
      <c r="BJ299" s="31">
        <f t="shared" si="607"/>
        <v>1.5619613274644257</v>
      </c>
      <c r="BK299" s="25">
        <f t="shared" si="608"/>
        <v>6.3993000000000002</v>
      </c>
      <c r="BL299" s="32">
        <f t="shared" si="609"/>
        <v>4.8373386725355747</v>
      </c>
      <c r="BM299" s="33">
        <f t="shared" si="610"/>
        <v>3.0969644302193822</v>
      </c>
      <c r="BO299" s="62"/>
      <c r="BP299" s="62"/>
      <c r="BQ299" s="62"/>
      <c r="BR299" s="63"/>
    </row>
    <row r="300" spans="1:71">
      <c r="A300" s="1"/>
      <c r="B300" s="1284"/>
      <c r="D300" s="5" t="s">
        <v>167</v>
      </c>
      <c r="E300" s="87">
        <v>1.3673504826857761</v>
      </c>
      <c r="F300" s="87">
        <v>1.3803569220843375</v>
      </c>
      <c r="G300" s="87">
        <v>1.2848384334044538</v>
      </c>
      <c r="H300" s="87">
        <v>1.4880971531646832</v>
      </c>
      <c r="I300" s="87">
        <v>1.6295076312796397</v>
      </c>
      <c r="J300" s="87">
        <v>1.4289152602955491</v>
      </c>
      <c r="K300" s="87">
        <v>1.674042345314521</v>
      </c>
      <c r="L300" s="87">
        <v>1.7008088783604256</v>
      </c>
      <c r="N300" s="29">
        <v>1.3673504826857761</v>
      </c>
      <c r="O300" s="29">
        <v>1.3803569220843375</v>
      </c>
      <c r="P300" s="29">
        <v>1.2848384334044538</v>
      </c>
      <c r="Q300" s="29">
        <v>1.4880971531646832</v>
      </c>
      <c r="R300" s="29">
        <v>1.6295076312796397</v>
      </c>
      <c r="S300" s="29">
        <v>1.4289152602955491</v>
      </c>
      <c r="T300" s="29">
        <v>1.674042345314521</v>
      </c>
      <c r="U300" s="29">
        <v>1.7008088783604256</v>
      </c>
      <c r="W300" s="30">
        <v>3.7408571847066492</v>
      </c>
      <c r="X300" s="30">
        <v>2.9807487886426758</v>
      </c>
      <c r="Y300" s="30">
        <v>3.1361640490636868</v>
      </c>
      <c r="Z300" s="30">
        <v>3.4846954635943925</v>
      </c>
      <c r="AA300" s="30">
        <v>4.3962648591738285</v>
      </c>
      <c r="AB300" s="30">
        <v>4.2498669544850376</v>
      </c>
      <c r="AC300" s="30">
        <v>6.1536999999999997</v>
      </c>
      <c r="AD300" s="90">
        <v>0</v>
      </c>
      <c r="AF300" s="29">
        <f t="shared" si="611"/>
        <v>1.3673504826857761</v>
      </c>
      <c r="AG300" s="30">
        <f t="shared" si="612"/>
        <v>3.7408571847066492</v>
      </c>
      <c r="AH300" s="32">
        <f t="shared" si="613"/>
        <v>2.3735067020208733</v>
      </c>
      <c r="AI300" s="33">
        <f t="shared" si="614"/>
        <v>1.7358436860743895</v>
      </c>
      <c r="AK300" s="29">
        <f t="shared" si="603"/>
        <v>1.3803569220843375</v>
      </c>
      <c r="AL300" s="30">
        <f t="shared" si="604"/>
        <v>2.9807487886426758</v>
      </c>
      <c r="AM300" s="32">
        <f t="shared" si="615"/>
        <v>1.6003918665583383</v>
      </c>
      <c r="AN300" s="33">
        <f t="shared" si="616"/>
        <v>1.159404383716748</v>
      </c>
      <c r="AP300" s="29">
        <f t="shared" si="617"/>
        <v>1.2848384334044538</v>
      </c>
      <c r="AQ300" s="30">
        <f t="shared" si="618"/>
        <v>3.1361640490636868</v>
      </c>
      <c r="AR300" s="32">
        <f t="shared" si="619"/>
        <v>1.851325615659233</v>
      </c>
      <c r="AS300" s="33">
        <f t="shared" si="620"/>
        <v>1.4409014919905148</v>
      </c>
      <c r="AU300" s="31">
        <f t="shared" si="621"/>
        <v>1.4880971531646832</v>
      </c>
      <c r="AV300" s="25">
        <f t="shared" si="622"/>
        <v>3.4846954635943925</v>
      </c>
      <c r="AW300" s="32">
        <f t="shared" si="623"/>
        <v>1.9965983104297094</v>
      </c>
      <c r="AX300" s="33">
        <f t="shared" si="624"/>
        <v>1.3417123379233775</v>
      </c>
      <c r="AZ300" s="31">
        <f t="shared" si="605"/>
        <v>1.6295076312796397</v>
      </c>
      <c r="BA300" s="25">
        <f t="shared" si="606"/>
        <v>4.3962648591738285</v>
      </c>
      <c r="BB300" s="32">
        <f t="shared" si="625"/>
        <v>2.766757227894189</v>
      </c>
      <c r="BC300" s="33">
        <f t="shared" si="626"/>
        <v>1.6979099543838749</v>
      </c>
      <c r="BE300" s="31">
        <f t="shared" si="627"/>
        <v>1.4289152602955491</v>
      </c>
      <c r="BF300" s="25">
        <f t="shared" si="628"/>
        <v>4.2498669544850376</v>
      </c>
      <c r="BG300" s="32">
        <f t="shared" si="629"/>
        <v>2.8209516941894885</v>
      </c>
      <c r="BH300" s="33">
        <f t="shared" si="630"/>
        <v>1.9741910332779413</v>
      </c>
      <c r="BJ300" s="31">
        <f t="shared" si="607"/>
        <v>1.674042345314521</v>
      </c>
      <c r="BK300" s="25">
        <f t="shared" si="608"/>
        <v>6.1536999999999997</v>
      </c>
      <c r="BL300" s="32">
        <f t="shared" si="609"/>
        <v>4.4796576546854787</v>
      </c>
      <c r="BM300" s="33">
        <f t="shared" si="610"/>
        <v>2.6759524137627686</v>
      </c>
      <c r="BO300" s="62"/>
      <c r="BP300" s="62"/>
      <c r="BQ300" s="62"/>
      <c r="BR300" s="63"/>
    </row>
    <row r="301" spans="1:71">
      <c r="A301" s="1"/>
      <c r="B301" s="1284"/>
      <c r="D301" s="5" t="s">
        <v>168</v>
      </c>
      <c r="E301" s="87">
        <v>1.9876977786860119</v>
      </c>
      <c r="F301" s="87">
        <v>1.951749220240304</v>
      </c>
      <c r="G301" s="87">
        <v>1.996601155352999</v>
      </c>
      <c r="H301" s="87">
        <v>2.0454018639385869</v>
      </c>
      <c r="I301" s="87">
        <v>2.0950658743573043</v>
      </c>
      <c r="J301" s="87">
        <v>2.1432031838879269</v>
      </c>
      <c r="K301" s="87">
        <v>2.1923042828698094</v>
      </c>
      <c r="L301" s="87">
        <v>2.2436665631800863</v>
      </c>
      <c r="N301" s="29">
        <v>1.8112809672765195</v>
      </c>
      <c r="O301" s="29">
        <v>1.7270608071558486</v>
      </c>
      <c r="P301" s="29">
        <v>1.8264398428242909</v>
      </c>
      <c r="Q301" s="29">
        <v>1.7160215073745342</v>
      </c>
      <c r="R301" s="29">
        <v>1.8937752037468969</v>
      </c>
      <c r="S301" s="29">
        <v>1.8645559904306432</v>
      </c>
      <c r="T301" s="29">
        <v>1.7089783022941867</v>
      </c>
      <c r="U301" s="29">
        <v>1.6929759782169267</v>
      </c>
      <c r="W301" s="30">
        <v>6.3812585683184491</v>
      </c>
      <c r="X301" s="30">
        <v>13.515466393651282</v>
      </c>
      <c r="Y301" s="30">
        <v>12.709836350439716</v>
      </c>
      <c r="Z301" s="30">
        <v>-5.0540173363375782</v>
      </c>
      <c r="AA301" s="30">
        <v>13.105100164396289</v>
      </c>
      <c r="AB301" s="30">
        <v>11.00772882490341</v>
      </c>
      <c r="AC301" s="30">
        <v>9.5850868835142009</v>
      </c>
      <c r="AD301" s="90">
        <v>0</v>
      </c>
      <c r="AF301" s="29">
        <f t="shared" si="611"/>
        <v>1.8112809672765195</v>
      </c>
      <c r="AG301" s="30">
        <f t="shared" si="612"/>
        <v>6.3812585683184491</v>
      </c>
      <c r="AH301" s="32">
        <f t="shared" si="613"/>
        <v>4.5699776010419297</v>
      </c>
      <c r="AI301" s="33">
        <f t="shared" si="614"/>
        <v>2.5230638888197698</v>
      </c>
      <c r="AK301" s="29">
        <f t="shared" si="603"/>
        <v>1.7270608071558486</v>
      </c>
      <c r="AL301" s="30">
        <f t="shared" si="604"/>
        <v>13.515466393651282</v>
      </c>
      <c r="AM301" s="32">
        <f t="shared" si="615"/>
        <v>11.788405586495433</v>
      </c>
      <c r="AN301" s="33">
        <f t="shared" si="616"/>
        <v>6.8257038418402693</v>
      </c>
      <c r="AP301" s="29">
        <f t="shared" si="617"/>
        <v>1.8264398428242909</v>
      </c>
      <c r="AQ301" s="30">
        <f t="shared" si="618"/>
        <v>12.709836350439716</v>
      </c>
      <c r="AR301" s="32">
        <f t="shared" si="619"/>
        <v>10.883396507615425</v>
      </c>
      <c r="AS301" s="33">
        <f t="shared" si="620"/>
        <v>5.9588037078659157</v>
      </c>
      <c r="AU301" s="31">
        <f t="shared" si="621"/>
        <v>1.7160215073745342</v>
      </c>
      <c r="AV301" s="25">
        <f t="shared" si="622"/>
        <v>-5.0540173363375782</v>
      </c>
      <c r="AW301" s="32">
        <f t="shared" si="623"/>
        <v>-6.7700388437121122</v>
      </c>
      <c r="AX301" s="33">
        <f t="shared" si="624"/>
        <v>-3.9451946345766293</v>
      </c>
      <c r="AZ301" s="31">
        <f t="shared" si="605"/>
        <v>1.8937752037468969</v>
      </c>
      <c r="BA301" s="25">
        <f t="shared" si="606"/>
        <v>13.105100164396289</v>
      </c>
      <c r="BB301" s="32">
        <f t="shared" si="625"/>
        <v>11.211324960649392</v>
      </c>
      <c r="BC301" s="33">
        <f t="shared" si="626"/>
        <v>5.9200928064045906</v>
      </c>
      <c r="BE301" s="31">
        <f t="shared" si="627"/>
        <v>1.8645559904306432</v>
      </c>
      <c r="BF301" s="25">
        <f t="shared" si="628"/>
        <v>11.00772882490341</v>
      </c>
      <c r="BG301" s="32">
        <f t="shared" si="629"/>
        <v>9.1431728344727663</v>
      </c>
      <c r="BH301" s="33">
        <f t="shared" si="630"/>
        <v>4.9036729824139167</v>
      </c>
      <c r="BJ301" s="31">
        <f t="shared" si="607"/>
        <v>1.7089783022941867</v>
      </c>
      <c r="BK301" s="25">
        <f t="shared" si="608"/>
        <v>9.5850868835142009</v>
      </c>
      <c r="BL301" s="32">
        <f t="shared" si="609"/>
        <v>7.8761085812200147</v>
      </c>
      <c r="BM301" s="33">
        <f t="shared" si="610"/>
        <v>4.6086650548148427</v>
      </c>
      <c r="BO301" s="62"/>
      <c r="BP301" s="62"/>
      <c r="BQ301" s="62"/>
      <c r="BR301" s="63"/>
    </row>
    <row r="302" spans="1:71">
      <c r="A302" s="1"/>
      <c r="B302" s="1284"/>
      <c r="D302" s="5" t="s">
        <v>169</v>
      </c>
      <c r="E302" s="87">
        <v>3.3213556381212292</v>
      </c>
      <c r="F302" s="87">
        <v>3.388398809105635</v>
      </c>
      <c r="G302" s="87">
        <v>3.462791722090659</v>
      </c>
      <c r="H302" s="87">
        <v>3.5322701697546202</v>
      </c>
      <c r="I302" s="87">
        <v>3.6081571408866875</v>
      </c>
      <c r="J302" s="87">
        <v>3.6454478576969405</v>
      </c>
      <c r="K302" s="87">
        <v>3.7471479658063656</v>
      </c>
      <c r="L302" s="87">
        <v>3.8237547354266757</v>
      </c>
      <c r="N302" s="29">
        <v>3.1748872025843138</v>
      </c>
      <c r="O302" s="29">
        <v>3.8945857379697322</v>
      </c>
      <c r="P302" s="29">
        <v>3.9985040165614789</v>
      </c>
      <c r="Q302" s="29">
        <v>3.1858969564068551</v>
      </c>
      <c r="R302" s="29">
        <v>2.7788807764714161</v>
      </c>
      <c r="S302" s="29">
        <v>2.7616208973097094</v>
      </c>
      <c r="T302" s="29">
        <v>3.3637391066730196</v>
      </c>
      <c r="U302" s="29">
        <v>3.2082313398923827</v>
      </c>
      <c r="W302" s="30">
        <v>2.3266074246384676</v>
      </c>
      <c r="X302" s="30">
        <v>7.8349024655237409</v>
      </c>
      <c r="Y302" s="30">
        <v>2.7514010665596995</v>
      </c>
      <c r="Z302" s="30">
        <v>2.525511457248597</v>
      </c>
      <c r="AA302" s="30">
        <v>2.2567667575586228</v>
      </c>
      <c r="AB302" s="30">
        <v>6.0229002486821219</v>
      </c>
      <c r="AC302" s="30">
        <v>5.5683162420723669</v>
      </c>
      <c r="AD302" s="90">
        <v>0</v>
      </c>
      <c r="AF302" s="29">
        <f t="shared" si="611"/>
        <v>3.1748872025843138</v>
      </c>
      <c r="AG302" s="30">
        <f t="shared" si="612"/>
        <v>2.3266074246384676</v>
      </c>
      <c r="AH302" s="32">
        <f t="shared" si="613"/>
        <v>-0.84827977794584619</v>
      </c>
      <c r="AI302" s="33">
        <f t="shared" si="614"/>
        <v>-0.26718422539716002</v>
      </c>
      <c r="AK302" s="29">
        <f t="shared" si="603"/>
        <v>3.8945857379697322</v>
      </c>
      <c r="AL302" s="30">
        <f t="shared" si="604"/>
        <v>7.8349024655237409</v>
      </c>
      <c r="AM302" s="32">
        <f t="shared" si="615"/>
        <v>3.9403167275540087</v>
      </c>
      <c r="AN302" s="33">
        <f t="shared" si="616"/>
        <v>1.0117421961310105</v>
      </c>
      <c r="AP302" s="29">
        <f t="shared" si="617"/>
        <v>3.9985040165614789</v>
      </c>
      <c r="AQ302" s="30">
        <f t="shared" si="618"/>
        <v>2.7514010665596995</v>
      </c>
      <c r="AR302" s="32">
        <f t="shared" si="619"/>
        <v>-1.2471029500017794</v>
      </c>
      <c r="AS302" s="33">
        <f t="shared" si="620"/>
        <v>-0.31189238396069635</v>
      </c>
      <c r="AU302" s="31">
        <f t="shared" si="621"/>
        <v>3.1858969564068551</v>
      </c>
      <c r="AV302" s="25">
        <f t="shared" si="622"/>
        <v>2.525511457248597</v>
      </c>
      <c r="AW302" s="32">
        <f t="shared" si="623"/>
        <v>-0.66038549915825806</v>
      </c>
      <c r="AX302" s="33">
        <f t="shared" si="624"/>
        <v>-0.20728401081215744</v>
      </c>
      <c r="AZ302" s="31">
        <f t="shared" si="605"/>
        <v>2.7788807764714161</v>
      </c>
      <c r="BA302" s="25">
        <f t="shared" si="606"/>
        <v>2.2567667575586228</v>
      </c>
      <c r="BB302" s="32">
        <f t="shared" si="625"/>
        <v>-0.5221140189127933</v>
      </c>
      <c r="BC302" s="33">
        <f t="shared" si="626"/>
        <v>-0.1878864409489947</v>
      </c>
      <c r="BE302" s="31">
        <f t="shared" si="627"/>
        <v>2.7616208973097094</v>
      </c>
      <c r="BF302" s="25">
        <f t="shared" si="628"/>
        <v>6.0229002486821219</v>
      </c>
      <c r="BG302" s="32">
        <f t="shared" si="629"/>
        <v>3.2612793513724125</v>
      </c>
      <c r="BH302" s="33">
        <f t="shared" si="630"/>
        <v>1.1809294152392371</v>
      </c>
      <c r="BJ302" s="31">
        <f t="shared" si="607"/>
        <v>3.3637391066730196</v>
      </c>
      <c r="BK302" s="25">
        <f t="shared" si="608"/>
        <v>5.5683162420723669</v>
      </c>
      <c r="BL302" s="32">
        <f t="shared" si="609"/>
        <v>2.2045771353993473</v>
      </c>
      <c r="BM302" s="33">
        <f t="shared" si="610"/>
        <v>0.65539480485448021</v>
      </c>
      <c r="BO302" s="62"/>
      <c r="BP302" s="62"/>
      <c r="BQ302" s="62"/>
      <c r="BR302" s="63"/>
    </row>
    <row r="303" spans="1:71">
      <c r="A303" s="1"/>
      <c r="B303" s="1284"/>
      <c r="D303" s="5" t="s">
        <v>170</v>
      </c>
      <c r="E303" s="87">
        <v>7.1113181704655037</v>
      </c>
      <c r="F303" s="87">
        <v>7.3054165014947108</v>
      </c>
      <c r="G303" s="87">
        <v>7.5108371187061538</v>
      </c>
      <c r="H303" s="87">
        <v>7.5135854490164027</v>
      </c>
      <c r="I303" s="87">
        <v>7.8171094384081767</v>
      </c>
      <c r="J303" s="87">
        <v>8.0151230179100512</v>
      </c>
      <c r="K303" s="87">
        <v>8.1696127311846993</v>
      </c>
      <c r="L303" s="87">
        <v>8.3114762417963384</v>
      </c>
      <c r="N303" s="29">
        <v>6.87017684379604</v>
      </c>
      <c r="O303" s="29">
        <v>7.2999504901294134</v>
      </c>
      <c r="P303" s="29">
        <v>7.269852581432688</v>
      </c>
      <c r="Q303" s="29">
        <v>6.5438528907919995</v>
      </c>
      <c r="R303" s="29">
        <v>6.911515458962981</v>
      </c>
      <c r="S303" s="29">
        <v>7.4466298950930057</v>
      </c>
      <c r="T303" s="29">
        <v>7.731162716921296</v>
      </c>
      <c r="U303" s="29">
        <v>7.1069569027907589</v>
      </c>
      <c r="W303" s="30">
        <v>6.7519942354433047</v>
      </c>
      <c r="X303" s="30">
        <v>5.2584411754310798</v>
      </c>
      <c r="Y303" s="30">
        <v>3.9366533172854341</v>
      </c>
      <c r="Z303" s="30">
        <v>3.253537066233219</v>
      </c>
      <c r="AA303" s="30">
        <v>9.4778304310070549</v>
      </c>
      <c r="AB303" s="30">
        <v>6.3041375095391183</v>
      </c>
      <c r="AC303" s="30">
        <v>8.8484225697209666</v>
      </c>
      <c r="AD303" s="90">
        <v>0</v>
      </c>
      <c r="AF303" s="29">
        <f t="shared" si="611"/>
        <v>6.87017684379604</v>
      </c>
      <c r="AG303" s="30">
        <f t="shared" si="612"/>
        <v>6.7519942354433047</v>
      </c>
      <c r="AH303" s="32">
        <f t="shared" si="613"/>
        <v>-0.11818260835273531</v>
      </c>
      <c r="AI303" s="33">
        <f t="shared" si="614"/>
        <v>-1.7202265828056156E-2</v>
      </c>
      <c r="AK303" s="29">
        <f t="shared" si="603"/>
        <v>7.2999504901294134</v>
      </c>
      <c r="AL303" s="30">
        <f t="shared" si="604"/>
        <v>5.2584411754310798</v>
      </c>
      <c r="AM303" s="32">
        <f t="shared" si="615"/>
        <v>-2.0415093146983336</v>
      </c>
      <c r="AN303" s="33">
        <f t="shared" si="616"/>
        <v>-0.2796607069402387</v>
      </c>
      <c r="AP303" s="29">
        <f t="shared" si="617"/>
        <v>7.269852581432688</v>
      </c>
      <c r="AQ303" s="30">
        <f t="shared" si="618"/>
        <v>3.9366533172854341</v>
      </c>
      <c r="AR303" s="32">
        <f t="shared" si="619"/>
        <v>-3.3331992641472539</v>
      </c>
      <c r="AS303" s="33">
        <f t="shared" si="620"/>
        <v>-0.45849612860930555</v>
      </c>
      <c r="AU303" s="31">
        <f t="shared" si="621"/>
        <v>6.5438528907919995</v>
      </c>
      <c r="AV303" s="25">
        <f t="shared" si="622"/>
        <v>3.253537066233219</v>
      </c>
      <c r="AW303" s="32">
        <f t="shared" si="623"/>
        <v>-3.2903158245587805</v>
      </c>
      <c r="AX303" s="33">
        <f t="shared" si="624"/>
        <v>-0.50281017612554479</v>
      </c>
      <c r="AZ303" s="31">
        <f t="shared" si="605"/>
        <v>6.911515458962981</v>
      </c>
      <c r="BA303" s="25">
        <f t="shared" si="606"/>
        <v>9.4778304310070549</v>
      </c>
      <c r="BB303" s="32">
        <f t="shared" si="625"/>
        <v>2.5663149720440739</v>
      </c>
      <c r="BC303" s="33">
        <f t="shared" si="626"/>
        <v>0.37131002415917758</v>
      </c>
      <c r="BE303" s="31">
        <f t="shared" si="627"/>
        <v>7.4466298950930057</v>
      </c>
      <c r="BF303" s="25">
        <f t="shared" si="628"/>
        <v>6.3041375095391183</v>
      </c>
      <c r="BG303" s="32">
        <f t="shared" si="629"/>
        <v>-1.1424923855538873</v>
      </c>
      <c r="BH303" s="33">
        <f t="shared" si="630"/>
        <v>-0.15342408601597596</v>
      </c>
      <c r="BJ303" s="31">
        <f t="shared" si="607"/>
        <v>7.731162716921296</v>
      </c>
      <c r="BK303" s="25">
        <f t="shared" si="608"/>
        <v>8.8484225697209666</v>
      </c>
      <c r="BL303" s="32">
        <f t="shared" si="609"/>
        <v>1.1172598527996707</v>
      </c>
      <c r="BM303" s="33">
        <f t="shared" si="610"/>
        <v>0.14451381942257011</v>
      </c>
      <c r="BO303" s="62"/>
      <c r="BP303" s="62"/>
      <c r="BQ303" s="62"/>
      <c r="BR303" s="63"/>
    </row>
    <row r="304" spans="1:71">
      <c r="A304" s="1"/>
      <c r="B304" s="1284"/>
      <c r="D304" s="5" t="s">
        <v>171</v>
      </c>
      <c r="E304" s="87">
        <v>1.1772651714007425</v>
      </c>
      <c r="F304" s="87">
        <v>0.92454943002957368</v>
      </c>
      <c r="G304" s="87">
        <v>0.81716052955027108</v>
      </c>
      <c r="H304" s="87">
        <v>0.78414471831059784</v>
      </c>
      <c r="I304" s="87">
        <v>0.71149286197870865</v>
      </c>
      <c r="J304" s="87">
        <v>0.65113678144183962</v>
      </c>
      <c r="K304" s="87">
        <v>0.68131749314607726</v>
      </c>
      <c r="L304" s="87">
        <v>0.67188633413152776</v>
      </c>
      <c r="N304" s="29">
        <v>0.74948434597089553</v>
      </c>
      <c r="O304" s="29">
        <v>0.7273087705946385</v>
      </c>
      <c r="P304" s="29">
        <v>0.80266200668478771</v>
      </c>
      <c r="Q304" s="29">
        <v>0.66310924026159823</v>
      </c>
      <c r="R304" s="29">
        <v>0.52713435917614071</v>
      </c>
      <c r="S304" s="29">
        <v>0.48688204011636271</v>
      </c>
      <c r="T304" s="29">
        <v>0.50464382956877152</v>
      </c>
      <c r="U304" s="29">
        <v>0.46192969556956803</v>
      </c>
      <c r="W304" s="30">
        <v>2.7661270081454381</v>
      </c>
      <c r="X304" s="30">
        <v>5.4118227271619217</v>
      </c>
      <c r="Y304" s="30">
        <v>1.540097917724838</v>
      </c>
      <c r="Z304" s="30">
        <v>0.60242524435064393</v>
      </c>
      <c r="AA304" s="30">
        <v>0.66452752971242657</v>
      </c>
      <c r="AB304" s="30">
        <v>0.80108268801886373</v>
      </c>
      <c r="AC304" s="30">
        <v>3.026252592201061</v>
      </c>
      <c r="AD304" s="90">
        <v>0</v>
      </c>
      <c r="AF304" s="29">
        <f t="shared" si="611"/>
        <v>0.74948434597089553</v>
      </c>
      <c r="AG304" s="30">
        <f t="shared" si="612"/>
        <v>2.7661270081454381</v>
      </c>
      <c r="AH304" s="32">
        <f t="shared" si="613"/>
        <v>2.0166426621745428</v>
      </c>
      <c r="AI304" s="33">
        <f t="shared" si="614"/>
        <v>2.6907068480024723</v>
      </c>
      <c r="AK304" s="29">
        <f t="shared" si="603"/>
        <v>0.7273087705946385</v>
      </c>
      <c r="AL304" s="30">
        <f t="shared" si="604"/>
        <v>5.4118227271619217</v>
      </c>
      <c r="AM304" s="32">
        <f t="shared" si="615"/>
        <v>4.6845139565672831</v>
      </c>
      <c r="AN304" s="33">
        <f t="shared" si="616"/>
        <v>6.4408874826812328</v>
      </c>
      <c r="AP304" s="29">
        <f t="shared" si="617"/>
        <v>0.80266200668478771</v>
      </c>
      <c r="AQ304" s="30">
        <f t="shared" si="618"/>
        <v>1.540097917724838</v>
      </c>
      <c r="AR304" s="32">
        <f t="shared" si="619"/>
        <v>0.73743591104005024</v>
      </c>
      <c r="AS304" s="33">
        <f t="shared" si="620"/>
        <v>0.91873778115630644</v>
      </c>
      <c r="AU304" s="31">
        <f t="shared" si="621"/>
        <v>0.66310924026159823</v>
      </c>
      <c r="AV304" s="25">
        <f t="shared" si="622"/>
        <v>0.60242524435064393</v>
      </c>
      <c r="AW304" s="32">
        <f t="shared" si="623"/>
        <v>-6.0683995910954303E-2</v>
      </c>
      <c r="AX304" s="33">
        <f t="shared" si="624"/>
        <v>-9.1514327091889586E-2</v>
      </c>
      <c r="AZ304" s="31">
        <f t="shared" si="605"/>
        <v>0.52713435917614071</v>
      </c>
      <c r="BA304" s="25">
        <f t="shared" si="606"/>
        <v>0.66452752971242657</v>
      </c>
      <c r="BB304" s="32">
        <f t="shared" si="625"/>
        <v>0.13739317053628586</v>
      </c>
      <c r="BC304" s="33">
        <f t="shared" si="626"/>
        <v>0.26064165263485745</v>
      </c>
      <c r="BE304" s="31">
        <f t="shared" si="627"/>
        <v>0.48688204011636271</v>
      </c>
      <c r="BF304" s="25">
        <f t="shared" si="628"/>
        <v>0.80108268801886373</v>
      </c>
      <c r="BG304" s="32">
        <f t="shared" si="629"/>
        <v>0.31420064790250102</v>
      </c>
      <c r="BH304" s="33">
        <f t="shared" si="630"/>
        <v>0.64533217907854723</v>
      </c>
      <c r="BJ304" s="31">
        <f t="shared" si="607"/>
        <v>0.50464382956877152</v>
      </c>
      <c r="BK304" s="25">
        <f t="shared" si="608"/>
        <v>3.026252592201061</v>
      </c>
      <c r="BL304" s="32">
        <f t="shared" si="609"/>
        <v>2.5216087626322894</v>
      </c>
      <c r="BM304" s="33">
        <f t="shared" si="610"/>
        <v>4.9968088677256901</v>
      </c>
      <c r="BO304" s="62"/>
      <c r="BP304" s="62"/>
      <c r="BQ304" s="62"/>
      <c r="BR304" s="63"/>
    </row>
    <row r="305" spans="1:70">
      <c r="A305" s="1"/>
      <c r="B305" s="1284"/>
      <c r="D305" s="5" t="s">
        <v>172</v>
      </c>
      <c r="E305" s="87">
        <v>4.1670677310300102</v>
      </c>
      <c r="F305" s="87">
        <v>2.4135265160333512</v>
      </c>
      <c r="G305" s="87">
        <v>3.4986261849306017</v>
      </c>
      <c r="H305" s="87">
        <v>3.5010962554666079</v>
      </c>
      <c r="I305" s="87">
        <v>3.4138961137173869</v>
      </c>
      <c r="J305" s="87">
        <v>5.3426944033196273</v>
      </c>
      <c r="K305" s="87">
        <v>5.3456383533766498</v>
      </c>
      <c r="L305" s="87">
        <v>4.003095285501252</v>
      </c>
      <c r="N305" s="29">
        <v>4.4645537913915661</v>
      </c>
      <c r="O305" s="29">
        <v>3.5011925539029942</v>
      </c>
      <c r="P305" s="29">
        <v>3.2891262144812119</v>
      </c>
      <c r="Q305" s="29">
        <v>2.7699729892317992</v>
      </c>
      <c r="R305" s="29">
        <v>2.5695442534232633</v>
      </c>
      <c r="S305" s="29">
        <v>4.0087913568790698</v>
      </c>
      <c r="T305" s="29">
        <v>4.0574207322516305</v>
      </c>
      <c r="U305" s="29">
        <v>3.0284742976021319</v>
      </c>
      <c r="W305" s="30">
        <v>4.0484821187157092</v>
      </c>
      <c r="X305" s="30">
        <v>-0.90714884581852251</v>
      </c>
      <c r="Y305" s="30">
        <v>0.7929611340078081</v>
      </c>
      <c r="Z305" s="30">
        <v>1.142488608386369</v>
      </c>
      <c r="AA305" s="30">
        <v>-4.8118400940761648E-3</v>
      </c>
      <c r="AB305" s="30">
        <v>1.2308368150953193</v>
      </c>
      <c r="AC305" s="30">
        <v>3.3603959772304575</v>
      </c>
      <c r="AD305" s="90">
        <v>0</v>
      </c>
      <c r="AF305" s="29">
        <f t="shared" si="611"/>
        <v>4.4645537913915661</v>
      </c>
      <c r="AG305" s="30">
        <f t="shared" si="612"/>
        <v>4.0484821187157092</v>
      </c>
      <c r="AH305" s="32">
        <f t="shared" si="613"/>
        <v>-0.41607167267585687</v>
      </c>
      <c r="AI305" s="33">
        <f t="shared" si="614"/>
        <v>-9.3194458420036333E-2</v>
      </c>
      <c r="AK305" s="29">
        <f t="shared" si="603"/>
        <v>3.5011925539029942</v>
      </c>
      <c r="AL305" s="30">
        <f t="shared" si="604"/>
        <v>-0.90714884581852251</v>
      </c>
      <c r="AM305" s="32">
        <f t="shared" si="615"/>
        <v>-4.4083413997215164</v>
      </c>
      <c r="AN305" s="33">
        <f t="shared" si="616"/>
        <v>-1.2590971024450706</v>
      </c>
      <c r="AP305" s="29">
        <f t="shared" si="617"/>
        <v>3.2891262144812119</v>
      </c>
      <c r="AQ305" s="30">
        <f t="shared" si="618"/>
        <v>0.7929611340078081</v>
      </c>
      <c r="AR305" s="32">
        <f t="shared" si="619"/>
        <v>-2.4961650804734039</v>
      </c>
      <c r="AS305" s="33">
        <f t="shared" si="620"/>
        <v>-0.75891434919201473</v>
      </c>
      <c r="AU305" s="31">
        <f t="shared" si="621"/>
        <v>2.7699729892317992</v>
      </c>
      <c r="AV305" s="25">
        <f t="shared" si="622"/>
        <v>1.142488608386369</v>
      </c>
      <c r="AW305" s="32">
        <f t="shared" si="623"/>
        <v>-1.6274843808454302</v>
      </c>
      <c r="AX305" s="33">
        <f t="shared" si="624"/>
        <v>-0.58754521692891415</v>
      </c>
      <c r="AZ305" s="31">
        <f t="shared" si="605"/>
        <v>2.5695442534232633</v>
      </c>
      <c r="BA305" s="25">
        <f t="shared" si="606"/>
        <v>-4.8118400940761648E-3</v>
      </c>
      <c r="BB305" s="32">
        <f t="shared" si="625"/>
        <v>-2.5743560935173395</v>
      </c>
      <c r="BC305" s="33">
        <f t="shared" si="626"/>
        <v>-1.0018726434026834</v>
      </c>
      <c r="BE305" s="31">
        <f t="shared" si="627"/>
        <v>4.0087913568790698</v>
      </c>
      <c r="BF305" s="25">
        <f t="shared" si="628"/>
        <v>1.2308368150953193</v>
      </c>
      <c r="BG305" s="32">
        <f t="shared" si="629"/>
        <v>-2.7779545417837506</v>
      </c>
      <c r="BH305" s="33">
        <f t="shared" si="630"/>
        <v>-0.69296560845372801</v>
      </c>
      <c r="BJ305" s="31">
        <f t="shared" si="607"/>
        <v>4.0574207322516305</v>
      </c>
      <c r="BK305" s="25">
        <f t="shared" si="608"/>
        <v>3.3603959772304575</v>
      </c>
      <c r="BL305" s="32">
        <f t="shared" si="609"/>
        <v>-0.697024755021173</v>
      </c>
      <c r="BM305" s="33">
        <f t="shared" si="610"/>
        <v>-0.17179011027391414</v>
      </c>
      <c r="BO305" s="62"/>
      <c r="BP305" s="62"/>
      <c r="BQ305" s="62"/>
      <c r="BR305" s="63"/>
    </row>
    <row r="306" spans="1:70">
      <c r="A306" s="1"/>
      <c r="B306" s="1284"/>
      <c r="D306" s="5" t="s">
        <v>28</v>
      </c>
      <c r="E306" s="87">
        <v>4.3755713375381333</v>
      </c>
      <c r="F306" s="87">
        <v>2.9768199489077087</v>
      </c>
      <c r="G306" s="87">
        <v>4.8924440051656219</v>
      </c>
      <c r="H306" s="87">
        <v>4.9586384330416937</v>
      </c>
      <c r="I306" s="87">
        <v>6.7213862349332603</v>
      </c>
      <c r="J306" s="87">
        <v>4.8750137791987971</v>
      </c>
      <c r="K306" s="87">
        <v>6.7829834719225603</v>
      </c>
      <c r="L306" s="87">
        <v>4.2622251027747575</v>
      </c>
      <c r="N306" s="29">
        <v>2.3880945867558125</v>
      </c>
      <c r="O306" s="29">
        <v>2.2916047393222279</v>
      </c>
      <c r="P306" s="29">
        <v>3.3017384860434515</v>
      </c>
      <c r="Q306" s="29">
        <v>3.4655221027952354</v>
      </c>
      <c r="R306" s="29">
        <v>4.5004391595400612</v>
      </c>
      <c r="S306" s="29">
        <v>3.9637450353311916</v>
      </c>
      <c r="T306" s="29">
        <v>4.9789247292071543</v>
      </c>
      <c r="U306" s="29">
        <v>4.1528638004982783</v>
      </c>
      <c r="W306" s="30">
        <v>1.9338756411096492</v>
      </c>
      <c r="X306" s="30">
        <v>6.8040913806248708</v>
      </c>
      <c r="Y306" s="30">
        <v>7.2071720146257254</v>
      </c>
      <c r="Z306" s="30">
        <v>3.0832600629647349</v>
      </c>
      <c r="AA306" s="30">
        <v>2.347538523013879</v>
      </c>
      <c r="AB306" s="30">
        <v>0.43942665979079953</v>
      </c>
      <c r="AC306" s="30">
        <v>2.8911724790217463</v>
      </c>
      <c r="AD306" s="90">
        <v>0</v>
      </c>
      <c r="AF306" s="29">
        <f t="shared" si="611"/>
        <v>2.3880945867558125</v>
      </c>
      <c r="AG306" s="30">
        <f t="shared" si="612"/>
        <v>1.9338756411096492</v>
      </c>
      <c r="AH306" s="32">
        <f t="shared" si="613"/>
        <v>-0.45421894564616339</v>
      </c>
      <c r="AI306" s="33">
        <f t="shared" si="614"/>
        <v>-0.19020140498840643</v>
      </c>
      <c r="AK306" s="29">
        <f t="shared" si="603"/>
        <v>2.2916047393222279</v>
      </c>
      <c r="AL306" s="30">
        <f t="shared" si="604"/>
        <v>6.8040913806248708</v>
      </c>
      <c r="AM306" s="32">
        <f t="shared" si="615"/>
        <v>4.512486641302643</v>
      </c>
      <c r="AN306" s="33">
        <f t="shared" si="616"/>
        <v>1.9691382915525257</v>
      </c>
      <c r="AP306" s="29">
        <f t="shared" si="617"/>
        <v>3.3017384860434515</v>
      </c>
      <c r="AQ306" s="30">
        <f t="shared" si="618"/>
        <v>7.2071720146257254</v>
      </c>
      <c r="AR306" s="32">
        <f t="shared" si="619"/>
        <v>3.9054335285822739</v>
      </c>
      <c r="AS306" s="33">
        <f t="shared" si="620"/>
        <v>1.1828415681892008</v>
      </c>
      <c r="AU306" s="31">
        <f t="shared" si="621"/>
        <v>3.4655221027952354</v>
      </c>
      <c r="AV306" s="25">
        <f t="shared" si="622"/>
        <v>3.0832600629647349</v>
      </c>
      <c r="AW306" s="32">
        <f t="shared" si="623"/>
        <v>-0.38226203983050056</v>
      </c>
      <c r="AX306" s="33">
        <f t="shared" si="624"/>
        <v>-0.11030431447029988</v>
      </c>
      <c r="AZ306" s="31">
        <f t="shared" si="605"/>
        <v>4.5004391595400612</v>
      </c>
      <c r="BA306" s="25">
        <f t="shared" si="606"/>
        <v>2.347538523013879</v>
      </c>
      <c r="BB306" s="32">
        <f t="shared" si="625"/>
        <v>-2.1529006365261822</v>
      </c>
      <c r="BC306" s="33">
        <f t="shared" si="626"/>
        <v>-0.47837567850738499</v>
      </c>
      <c r="BE306" s="31">
        <f t="shared" si="627"/>
        <v>3.9637450353311916</v>
      </c>
      <c r="BF306" s="25">
        <f t="shared" si="628"/>
        <v>0.43942665979079953</v>
      </c>
      <c r="BG306" s="32">
        <f t="shared" si="629"/>
        <v>-3.5243183755403922</v>
      </c>
      <c r="BH306" s="33">
        <f t="shared" si="630"/>
        <v>-0.88913851524910636</v>
      </c>
      <c r="BJ306" s="31">
        <f t="shared" si="607"/>
        <v>4.9789247292071543</v>
      </c>
      <c r="BK306" s="25">
        <f t="shared" si="608"/>
        <v>2.8911724790217463</v>
      </c>
      <c r="BL306" s="32">
        <f t="shared" si="609"/>
        <v>-2.087752250185408</v>
      </c>
      <c r="BM306" s="33">
        <f t="shared" si="610"/>
        <v>-0.41931789768548328</v>
      </c>
      <c r="BO306" s="62"/>
      <c r="BP306" s="62"/>
      <c r="BQ306" s="62"/>
      <c r="BR306" s="63"/>
    </row>
    <row r="307" spans="1:70">
      <c r="A307" s="1"/>
      <c r="B307" s="1284"/>
      <c r="D307" s="5" t="s">
        <v>173</v>
      </c>
      <c r="E307" s="87">
        <v>2.5850465141782362</v>
      </c>
      <c r="F307" s="87">
        <v>2.8556980828842153</v>
      </c>
      <c r="G307" s="87">
        <v>3.0358468779555916</v>
      </c>
      <c r="H307" s="87">
        <v>2.9081990899498078</v>
      </c>
      <c r="I307" s="87">
        <v>3.4339828620487012</v>
      </c>
      <c r="J307" s="87">
        <v>4.2951187357239249</v>
      </c>
      <c r="K307" s="87">
        <v>4.2736095198498107</v>
      </c>
      <c r="L307" s="87">
        <v>4.2099027696840707</v>
      </c>
      <c r="N307" s="29">
        <v>2.4021401380543974</v>
      </c>
      <c r="O307" s="29">
        <v>2.9272578490628161</v>
      </c>
      <c r="P307" s="29">
        <v>2.5206758575017476</v>
      </c>
      <c r="Q307" s="29">
        <v>2.7267700282786844</v>
      </c>
      <c r="R307" s="29">
        <v>2.0669711636307033</v>
      </c>
      <c r="S307" s="29">
        <v>2.8820513870650086</v>
      </c>
      <c r="T307" s="29">
        <v>3.6090579775910765</v>
      </c>
      <c r="U307" s="29">
        <v>3.2528184014133656</v>
      </c>
      <c r="W307" s="30">
        <v>3.250671762651629</v>
      </c>
      <c r="X307" s="30">
        <v>2.6617945776589491</v>
      </c>
      <c r="Y307" s="30">
        <v>7.6967712804491546</v>
      </c>
      <c r="Z307" s="30">
        <v>-5.3121739405515669</v>
      </c>
      <c r="AA307" s="30">
        <v>9.0527335029454292</v>
      </c>
      <c r="AB307" s="30">
        <v>12.701387670792336</v>
      </c>
      <c r="AC307" s="30">
        <v>5.5256788784265938</v>
      </c>
      <c r="AD307" s="90">
        <v>0</v>
      </c>
      <c r="AF307" s="29">
        <f t="shared" si="611"/>
        <v>2.4021401380543974</v>
      </c>
      <c r="AG307" s="30">
        <f t="shared" si="612"/>
        <v>3.250671762651629</v>
      </c>
      <c r="AH307" s="32">
        <f t="shared" si="613"/>
        <v>0.84853162459723164</v>
      </c>
      <c r="AI307" s="33">
        <f t="shared" si="614"/>
        <v>0.35323985106235145</v>
      </c>
      <c r="AK307" s="29">
        <f t="shared" si="603"/>
        <v>2.9272578490628161</v>
      </c>
      <c r="AL307" s="30">
        <f t="shared" si="604"/>
        <v>2.6617945776589491</v>
      </c>
      <c r="AM307" s="32">
        <f t="shared" si="615"/>
        <v>-0.26546327140386694</v>
      </c>
      <c r="AN307" s="33">
        <f t="shared" si="616"/>
        <v>-9.068667165376533E-2</v>
      </c>
      <c r="AP307" s="29">
        <f t="shared" si="617"/>
        <v>2.5206758575017476</v>
      </c>
      <c r="AQ307" s="30">
        <f t="shared" si="618"/>
        <v>7.6967712804491546</v>
      </c>
      <c r="AR307" s="32">
        <f t="shared" si="619"/>
        <v>5.176095422947407</v>
      </c>
      <c r="AS307" s="33">
        <f t="shared" si="620"/>
        <v>2.0534553887771421</v>
      </c>
      <c r="AU307" s="31">
        <f t="shared" si="621"/>
        <v>2.7267700282786844</v>
      </c>
      <c r="AV307" s="25">
        <f t="shared" si="622"/>
        <v>-5.3121739405515669</v>
      </c>
      <c r="AW307" s="32">
        <f t="shared" si="623"/>
        <v>-8.0389439688302513</v>
      </c>
      <c r="AX307" s="33">
        <f t="shared" si="624"/>
        <v>-2.9481562014619027</v>
      </c>
      <c r="AZ307" s="31">
        <f t="shared" si="605"/>
        <v>2.0669711636307033</v>
      </c>
      <c r="BA307" s="25">
        <f t="shared" si="606"/>
        <v>9.0527335029454292</v>
      </c>
      <c r="BB307" s="32">
        <f t="shared" si="625"/>
        <v>6.9857623393147259</v>
      </c>
      <c r="BC307" s="33">
        <f t="shared" si="626"/>
        <v>3.3797096264487809</v>
      </c>
      <c r="BE307" s="31">
        <f t="shared" si="627"/>
        <v>2.8820513870650086</v>
      </c>
      <c r="BF307" s="25">
        <f t="shared" si="628"/>
        <v>12.701387670792336</v>
      </c>
      <c r="BG307" s="32">
        <f t="shared" si="629"/>
        <v>9.8193362837273277</v>
      </c>
      <c r="BH307" s="33">
        <f t="shared" si="630"/>
        <v>3.4070649565089934</v>
      </c>
      <c r="BJ307" s="31">
        <f t="shared" si="607"/>
        <v>3.6090579775910765</v>
      </c>
      <c r="BK307" s="25">
        <f t="shared" si="608"/>
        <v>5.5256788784265938</v>
      </c>
      <c r="BL307" s="32">
        <f t="shared" si="609"/>
        <v>1.9166209008355173</v>
      </c>
      <c r="BM307" s="33">
        <f t="shared" si="610"/>
        <v>0.53105849580027986</v>
      </c>
      <c r="BO307" s="62"/>
      <c r="BP307" s="62"/>
      <c r="BQ307" s="62"/>
      <c r="BR307" s="63"/>
    </row>
    <row r="308" spans="1:70">
      <c r="A308" s="1"/>
      <c r="B308" s="1284"/>
      <c r="D308" s="4" t="s">
        <v>174</v>
      </c>
      <c r="E308" s="88">
        <f t="shared" ref="E308:L308" si="631">SUM(E294:E307)</f>
        <v>39.608579755372894</v>
      </c>
      <c r="F308" s="88">
        <f t="shared" si="631"/>
        <v>36.165425453337498</v>
      </c>
      <c r="G308" s="88">
        <f t="shared" si="631"/>
        <v>40.421730369125427</v>
      </c>
      <c r="H308" s="88">
        <f t="shared" si="631"/>
        <v>42.367931155776503</v>
      </c>
      <c r="I308" s="88">
        <f t="shared" si="631"/>
        <v>44.638584165331487</v>
      </c>
      <c r="J308" s="88">
        <f t="shared" si="631"/>
        <v>44.98857183767754</v>
      </c>
      <c r="K308" s="88">
        <f t="shared" si="631"/>
        <v>47.256304746428057</v>
      </c>
      <c r="L308" s="88">
        <f t="shared" si="631"/>
        <v>44.908750360904328</v>
      </c>
      <c r="M308" s="158"/>
      <c r="N308" s="81">
        <f t="shared" ref="N308:U308" si="632">SUM(N294:N307)</f>
        <v>36.153770938072945</v>
      </c>
      <c r="O308" s="81">
        <f t="shared" si="632"/>
        <v>37.212440761671239</v>
      </c>
      <c r="P308" s="81">
        <f t="shared" si="632"/>
        <v>37.171474118555551</v>
      </c>
      <c r="Q308" s="81">
        <f t="shared" si="632"/>
        <v>37.061229034171042</v>
      </c>
      <c r="R308" s="81">
        <f t="shared" si="632"/>
        <v>37.821644064578344</v>
      </c>
      <c r="S308" s="81">
        <f t="shared" si="632"/>
        <v>39.571946753118034</v>
      </c>
      <c r="T308" s="81">
        <f t="shared" si="632"/>
        <v>42.764392700625976</v>
      </c>
      <c r="U308" s="81">
        <f t="shared" si="632"/>
        <v>40.041309866126745</v>
      </c>
      <c r="V308" s="1"/>
      <c r="W308" s="85">
        <f t="shared" ref="W308:AD308" si="633">SUM(W294:W307)</f>
        <v>68.533111593740358</v>
      </c>
      <c r="X308" s="85">
        <f t="shared" si="633"/>
        <v>70.691907738031418</v>
      </c>
      <c r="Y308" s="85">
        <f>SUM(Y294:Y307)</f>
        <v>75.006032929538762</v>
      </c>
      <c r="Z308" s="85">
        <f>SUM(Z294:Z307)</f>
        <v>35.667309930018789</v>
      </c>
      <c r="AA308" s="85">
        <f>SUM(AA294:AA307)</f>
        <v>74.044605299854936</v>
      </c>
      <c r="AB308" s="85">
        <f t="shared" si="633"/>
        <v>76.682183774514016</v>
      </c>
      <c r="AC308" s="85">
        <f t="shared" ref="AC308" si="634">SUM(AC294:AC307)</f>
        <v>93.970590739959349</v>
      </c>
      <c r="AD308" s="91">
        <f t="shared" si="633"/>
        <v>0</v>
      </c>
      <c r="AE308" s="1"/>
      <c r="AF308" s="81">
        <f t="shared" si="611"/>
        <v>36.153770938072945</v>
      </c>
      <c r="AG308" s="85">
        <f t="shared" si="612"/>
        <v>68.533111593740358</v>
      </c>
      <c r="AH308" s="34">
        <f t="shared" si="613"/>
        <v>32.379340655667413</v>
      </c>
      <c r="AI308" s="35">
        <f t="shared" si="614"/>
        <v>0.8956006473330077</v>
      </c>
      <c r="AK308" s="81">
        <f t="shared" si="603"/>
        <v>37.212440761671239</v>
      </c>
      <c r="AL308" s="85">
        <f t="shared" si="604"/>
        <v>70.691907738031418</v>
      </c>
      <c r="AM308" s="34">
        <f t="shared" si="615"/>
        <v>33.479466976360179</v>
      </c>
      <c r="AN308" s="35">
        <f t="shared" si="616"/>
        <v>0.89968479065323714</v>
      </c>
      <c r="AP308" s="81">
        <f t="shared" si="617"/>
        <v>37.171474118555551</v>
      </c>
      <c r="AQ308" s="85">
        <f t="shared" si="618"/>
        <v>75.006032929538762</v>
      </c>
      <c r="AR308" s="34">
        <f t="shared" si="619"/>
        <v>37.834558810983211</v>
      </c>
      <c r="AS308" s="35">
        <f t="shared" si="620"/>
        <v>1.0178385363548619</v>
      </c>
      <c r="AU308" s="949">
        <f t="shared" si="621"/>
        <v>37.061229034171042</v>
      </c>
      <c r="AV308" s="843">
        <f t="shared" si="622"/>
        <v>35.667309930018789</v>
      </c>
      <c r="AW308" s="34">
        <f t="shared" si="623"/>
        <v>-1.3939191041522534</v>
      </c>
      <c r="AX308" s="35">
        <f t="shared" si="624"/>
        <v>-3.7611248749118323E-2</v>
      </c>
      <c r="AZ308" s="949">
        <f t="shared" si="605"/>
        <v>37.821644064578344</v>
      </c>
      <c r="BA308" s="843">
        <f t="shared" si="606"/>
        <v>74.044605299854936</v>
      </c>
      <c r="BB308" s="34">
        <f t="shared" si="625"/>
        <v>36.222961235276593</v>
      </c>
      <c r="BC308" s="35">
        <f t="shared" si="626"/>
        <v>0.95773100644244635</v>
      </c>
      <c r="BE308" s="31">
        <f t="shared" si="627"/>
        <v>39.571946753118034</v>
      </c>
      <c r="BF308" s="25">
        <f t="shared" si="628"/>
        <v>76.682183774514016</v>
      </c>
      <c r="BG308" s="32">
        <f t="shared" si="629"/>
        <v>37.110237021395982</v>
      </c>
      <c r="BH308" s="33">
        <f t="shared" si="630"/>
        <v>0.9377915434112909</v>
      </c>
      <c r="BJ308" s="31">
        <f t="shared" si="607"/>
        <v>42.764392700625976</v>
      </c>
      <c r="BK308" s="25">
        <f t="shared" si="608"/>
        <v>93.970590739959349</v>
      </c>
      <c r="BL308" s="32">
        <f t="shared" si="609"/>
        <v>51.206198039333373</v>
      </c>
      <c r="BM308" s="33">
        <f t="shared" si="610"/>
        <v>1.1974026709043812</v>
      </c>
      <c r="BO308" s="62"/>
      <c r="BP308" s="62"/>
      <c r="BQ308" s="62"/>
      <c r="BR308" s="63"/>
    </row>
    <row r="309" spans="1:70">
      <c r="A309" s="1"/>
      <c r="B309" s="1284"/>
      <c r="D309" s="4" t="s">
        <v>724</v>
      </c>
      <c r="E309" s="88">
        <f t="shared" ref="E309:L309" si="635">E308-SUM(E297:E300)</f>
        <v>31.510224428859139</v>
      </c>
      <c r="F309" s="88">
        <f t="shared" si="635"/>
        <v>28.098630024385578</v>
      </c>
      <c r="G309" s="88">
        <f t="shared" si="635"/>
        <v>31.843921499495945</v>
      </c>
      <c r="H309" s="88">
        <f t="shared" si="635"/>
        <v>33.203563263354695</v>
      </c>
      <c r="I309" s="88">
        <f t="shared" si="635"/>
        <v>35.047655506055854</v>
      </c>
      <c r="J309" s="88">
        <f t="shared" si="635"/>
        <v>35.366827440444453</v>
      </c>
      <c r="K309" s="88">
        <f t="shared" si="635"/>
        <v>37.374338438078695</v>
      </c>
      <c r="L309" s="88">
        <f t="shared" si="635"/>
        <v>34.52979929961198</v>
      </c>
      <c r="M309" s="1"/>
      <c r="N309" s="81">
        <f t="shared" ref="N309:U309" si="636">N308-SUM(N297:N300)</f>
        <v>28.055415611559191</v>
      </c>
      <c r="O309" s="81">
        <f t="shared" si="636"/>
        <v>29.145645332719319</v>
      </c>
      <c r="P309" s="81">
        <f t="shared" si="636"/>
        <v>28.593665248926069</v>
      </c>
      <c r="Q309" s="81">
        <f t="shared" si="636"/>
        <v>27.896861141749234</v>
      </c>
      <c r="R309" s="81">
        <f t="shared" si="636"/>
        <v>28.230715405302711</v>
      </c>
      <c r="S309" s="81">
        <f t="shared" si="636"/>
        <v>29.950202355884947</v>
      </c>
      <c r="T309" s="81">
        <f t="shared" si="636"/>
        <v>32.882426392276614</v>
      </c>
      <c r="U309" s="81">
        <f t="shared" si="636"/>
        <v>29.662358804834401</v>
      </c>
      <c r="V309" s="1"/>
      <c r="W309" s="85">
        <f t="shared" ref="W309:AD309" si="637">W308-SUM(W297:W300)</f>
        <v>30.99704596060964</v>
      </c>
      <c r="X309" s="85">
        <f t="shared" si="637"/>
        <v>44.532945609363381</v>
      </c>
      <c r="Y309" s="85">
        <f>Y308-SUM(Y297:Y300)</f>
        <v>42.753164067228461</v>
      </c>
      <c r="Z309" s="85">
        <f>Z308-SUM(Z297:Z300)</f>
        <v>7.4068778278543626</v>
      </c>
      <c r="AA309" s="85">
        <f>AA308-SUM(AA297:AA300)</f>
        <v>45.171367154645367</v>
      </c>
      <c r="AB309" s="85">
        <f t="shared" si="637"/>
        <v>47.395159307670433</v>
      </c>
      <c r="AC309" s="85">
        <f t="shared" ref="AC309" si="638">AC308-SUM(AC297:AC300)</f>
        <v>50.770590739959346</v>
      </c>
      <c r="AD309" s="91">
        <f t="shared" si="637"/>
        <v>0</v>
      </c>
      <c r="AE309" s="1"/>
      <c r="AF309" s="81">
        <f t="shared" si="611"/>
        <v>28.055415611559191</v>
      </c>
      <c r="AG309" s="85">
        <f t="shared" si="612"/>
        <v>30.99704596060964</v>
      </c>
      <c r="AH309" s="34">
        <f t="shared" si="613"/>
        <v>2.941630349050449</v>
      </c>
      <c r="AI309" s="35">
        <f t="shared" si="614"/>
        <v>0.10485071366536661</v>
      </c>
      <c r="AK309" s="81">
        <f t="shared" si="603"/>
        <v>29.145645332719319</v>
      </c>
      <c r="AL309" s="85">
        <f t="shared" si="604"/>
        <v>44.532945609363381</v>
      </c>
      <c r="AM309" s="34">
        <f t="shared" si="615"/>
        <v>15.387300276644062</v>
      </c>
      <c r="AN309" s="35">
        <f t="shared" si="616"/>
        <v>0.52794508754177616</v>
      </c>
      <c r="AP309" s="81">
        <f t="shared" si="617"/>
        <v>28.593665248926069</v>
      </c>
      <c r="AQ309" s="85">
        <f>Y309</f>
        <v>42.753164067228461</v>
      </c>
      <c r="AR309" s="34">
        <f t="shared" si="619"/>
        <v>14.159498818302392</v>
      </c>
      <c r="AS309" s="35">
        <f t="shared" si="620"/>
        <v>0.49519705483836846</v>
      </c>
      <c r="AU309" s="949">
        <f t="shared" si="621"/>
        <v>27.896861141749234</v>
      </c>
      <c r="AV309" s="843">
        <f t="shared" si="622"/>
        <v>7.4068778278543626</v>
      </c>
      <c r="AW309" s="34">
        <f t="shared" si="623"/>
        <v>-20.489983313894871</v>
      </c>
      <c r="AX309" s="35">
        <f t="shared" si="624"/>
        <v>-0.73449063712872165</v>
      </c>
      <c r="AZ309" s="949">
        <f t="shared" si="605"/>
        <v>28.230715405302711</v>
      </c>
      <c r="BA309" s="843">
        <f t="shared" si="606"/>
        <v>45.171367154645367</v>
      </c>
      <c r="BB309" s="34">
        <f t="shared" si="625"/>
        <v>16.940651749342656</v>
      </c>
      <c r="BC309" s="35">
        <f t="shared" si="626"/>
        <v>0.60007872652637817</v>
      </c>
      <c r="BE309" s="31">
        <f t="shared" si="627"/>
        <v>29.950202355884947</v>
      </c>
      <c r="BF309" s="25">
        <f t="shared" si="628"/>
        <v>47.395159307670433</v>
      </c>
      <c r="BG309" s="32">
        <f t="shared" si="629"/>
        <v>17.444956951785485</v>
      </c>
      <c r="BH309" s="33">
        <f t="shared" si="630"/>
        <v>0.58246541190255785</v>
      </c>
      <c r="BJ309" s="31">
        <f t="shared" si="607"/>
        <v>32.882426392276614</v>
      </c>
      <c r="BK309" s="25">
        <f t="shared" si="608"/>
        <v>50.770590739959346</v>
      </c>
      <c r="BL309" s="32">
        <f t="shared" si="609"/>
        <v>17.888164347682732</v>
      </c>
      <c r="BM309" s="33">
        <f t="shared" si="610"/>
        <v>0.54400378288033768</v>
      </c>
      <c r="BO309" s="62"/>
      <c r="BP309" s="62"/>
      <c r="BQ309" s="62"/>
      <c r="BR309" s="63"/>
    </row>
    <row r="310" spans="1:70">
      <c r="A310" s="1"/>
      <c r="B310" s="1284"/>
    </row>
    <row r="311" spans="1:70">
      <c r="A311" s="1"/>
      <c r="B311" s="1284"/>
      <c r="D311" s="1" t="s">
        <v>62</v>
      </c>
    </row>
    <row r="312" spans="1:70">
      <c r="A312" s="1"/>
      <c r="B312" s="1284"/>
      <c r="E312" s="1300" t="s">
        <v>733</v>
      </c>
      <c r="F312" s="1301"/>
      <c r="G312" s="1301"/>
      <c r="H312" s="1301"/>
      <c r="I312" s="1301"/>
      <c r="J312" s="1301"/>
      <c r="K312" s="1301"/>
      <c r="L312" s="1302"/>
      <c r="N312" s="245" t="s">
        <v>291</v>
      </c>
      <c r="O312" s="246"/>
      <c r="P312" s="246"/>
      <c r="Q312" s="246"/>
      <c r="R312" s="246"/>
      <c r="S312" s="246"/>
      <c r="T312" s="246"/>
      <c r="U312" s="247"/>
      <c r="W312" s="1079" t="s">
        <v>292</v>
      </c>
      <c r="X312" s="1080"/>
      <c r="Y312" s="1080"/>
      <c r="Z312" s="1080"/>
      <c r="AA312" s="1080"/>
      <c r="AB312" s="1080"/>
      <c r="AC312" s="1080"/>
      <c r="AD312" s="1081"/>
      <c r="AF312" s="102" t="s">
        <v>297</v>
      </c>
      <c r="AG312" s="102" t="s">
        <v>298</v>
      </c>
      <c r="AH312" s="1304" t="s">
        <v>602</v>
      </c>
      <c r="AI312" s="1304"/>
      <c r="AK312" s="102" t="s">
        <v>297</v>
      </c>
      <c r="AL312" s="102" t="s">
        <v>298</v>
      </c>
      <c r="AM312" s="1304" t="s">
        <v>602</v>
      </c>
      <c r="AN312" s="1304"/>
      <c r="AP312" s="6" t="s">
        <v>297</v>
      </c>
      <c r="AQ312" s="5" t="s">
        <v>298</v>
      </c>
      <c r="AR312" s="1303" t="s">
        <v>602</v>
      </c>
      <c r="AS312" s="1303"/>
      <c r="AU312" s="6" t="s">
        <v>297</v>
      </c>
      <c r="AV312" s="5" t="s">
        <v>298</v>
      </c>
      <c r="AW312" s="1303" t="s">
        <v>602</v>
      </c>
      <c r="AX312" s="1303"/>
      <c r="AZ312" s="6" t="s">
        <v>297</v>
      </c>
      <c r="BA312" s="5" t="s">
        <v>298</v>
      </c>
      <c r="BB312" s="1303" t="s">
        <v>602</v>
      </c>
      <c r="BC312" s="1303"/>
      <c r="BE312" s="6" t="s">
        <v>297</v>
      </c>
      <c r="BF312" s="5" t="s">
        <v>298</v>
      </c>
      <c r="BG312" s="1082" t="s">
        <v>602</v>
      </c>
      <c r="BH312" s="1082"/>
      <c r="BJ312" s="6" t="s">
        <v>297</v>
      </c>
      <c r="BK312" s="5" t="s">
        <v>298</v>
      </c>
      <c r="BL312" s="1082" t="s">
        <v>602</v>
      </c>
      <c r="BM312" s="1082"/>
      <c r="BO312" s="6" t="s">
        <v>297</v>
      </c>
      <c r="BP312" s="5" t="s">
        <v>298</v>
      </c>
      <c r="BQ312" s="1303" t="s">
        <v>602</v>
      </c>
      <c r="BR312" s="1303"/>
    </row>
    <row r="313" spans="1:70">
      <c r="A313" s="1"/>
      <c r="B313" s="1284"/>
      <c r="E313" s="196" t="s">
        <v>137</v>
      </c>
      <c r="F313" s="102" t="s">
        <v>138</v>
      </c>
      <c r="G313" s="102" t="s">
        <v>139</v>
      </c>
      <c r="H313" s="102" t="s">
        <v>140</v>
      </c>
      <c r="I313" s="102" t="s">
        <v>141</v>
      </c>
      <c r="J313" s="102" t="s">
        <v>126</v>
      </c>
      <c r="K313" s="102" t="s">
        <v>142</v>
      </c>
      <c r="L313" s="197" t="s">
        <v>143</v>
      </c>
      <c r="N313" s="196" t="s">
        <v>137</v>
      </c>
      <c r="O313" s="102" t="s">
        <v>138</v>
      </c>
      <c r="P313" s="102" t="s">
        <v>139</v>
      </c>
      <c r="Q313" s="102" t="s">
        <v>140</v>
      </c>
      <c r="R313" s="102" t="s">
        <v>141</v>
      </c>
      <c r="S313" s="102" t="s">
        <v>126</v>
      </c>
      <c r="T313" s="102" t="s">
        <v>142</v>
      </c>
      <c r="U313" s="197" t="s">
        <v>143</v>
      </c>
      <c r="W313" s="196" t="s">
        <v>137</v>
      </c>
      <c r="X313" s="1078" t="s">
        <v>138</v>
      </c>
      <c r="Y313" s="1078" t="s">
        <v>139</v>
      </c>
      <c r="Z313" s="1078" t="s">
        <v>140</v>
      </c>
      <c r="AA313" s="1078" t="s">
        <v>141</v>
      </c>
      <c r="AB313" s="1078" t="s">
        <v>126</v>
      </c>
      <c r="AC313" s="1078" t="s">
        <v>142</v>
      </c>
      <c r="AD313" s="197" t="s">
        <v>143</v>
      </c>
      <c r="AF313" s="102" t="s">
        <v>734</v>
      </c>
      <c r="AG313" s="102" t="s">
        <v>734</v>
      </c>
      <c r="AH313" s="102" t="s">
        <v>734</v>
      </c>
      <c r="AI313" s="102" t="s">
        <v>606</v>
      </c>
      <c r="AK313" s="102" t="s">
        <v>734</v>
      </c>
      <c r="AL313" s="102" t="s">
        <v>734</v>
      </c>
      <c r="AM313" s="102" t="s">
        <v>734</v>
      </c>
      <c r="AN313" s="102" t="s">
        <v>606</v>
      </c>
      <c r="AP313" s="5" t="s">
        <v>734</v>
      </c>
      <c r="AQ313" s="5" t="s">
        <v>734</v>
      </c>
      <c r="AR313" s="5" t="s">
        <v>734</v>
      </c>
      <c r="AS313" s="5" t="s">
        <v>606</v>
      </c>
      <c r="AU313" s="5" t="s">
        <v>734</v>
      </c>
      <c r="AV313" s="5" t="s">
        <v>734</v>
      </c>
      <c r="AW313" s="5" t="s">
        <v>734</v>
      </c>
      <c r="AX313" s="5" t="s">
        <v>606</v>
      </c>
      <c r="AZ313" s="5" t="s">
        <v>734</v>
      </c>
      <c r="BA313" s="5" t="s">
        <v>734</v>
      </c>
      <c r="BB313" s="5" t="s">
        <v>734</v>
      </c>
      <c r="BC313" s="5" t="s">
        <v>606</v>
      </c>
      <c r="BE313" s="5" t="s">
        <v>734</v>
      </c>
      <c r="BF313" s="5" t="s">
        <v>734</v>
      </c>
      <c r="BG313" s="5" t="s">
        <v>734</v>
      </c>
      <c r="BH313" s="5" t="s">
        <v>606</v>
      </c>
      <c r="BJ313" s="5" t="s">
        <v>734</v>
      </c>
      <c r="BK313" s="5" t="s">
        <v>734</v>
      </c>
      <c r="BL313" s="5" t="s">
        <v>734</v>
      </c>
      <c r="BM313" s="5" t="s">
        <v>606</v>
      </c>
      <c r="BO313" s="5" t="s">
        <v>734</v>
      </c>
      <c r="BP313" s="5" t="s">
        <v>734</v>
      </c>
      <c r="BQ313" s="5" t="s">
        <v>734</v>
      </c>
      <c r="BR313" s="5" t="s">
        <v>606</v>
      </c>
    </row>
    <row r="314" spans="1:70">
      <c r="A314" s="1"/>
      <c r="B314" s="1284"/>
      <c r="D314" s="5" t="s">
        <v>161</v>
      </c>
      <c r="E314" s="87">
        <v>14.506816255074968</v>
      </c>
      <c r="F314" s="87">
        <v>19.443283345332407</v>
      </c>
      <c r="G314" s="87">
        <v>11.789892685078936</v>
      </c>
      <c r="H314" s="87">
        <v>15.686577100358299</v>
      </c>
      <c r="I314" s="87">
        <v>15.569658666413856</v>
      </c>
      <c r="J314" s="87">
        <v>16.646371302345788</v>
      </c>
      <c r="K314" s="87">
        <v>25.21630810554112</v>
      </c>
      <c r="L314" s="87">
        <v>18.959195622343923</v>
      </c>
      <c r="N314" s="29">
        <v>14.338057215096187</v>
      </c>
      <c r="O314" s="29">
        <v>18.171617589121663</v>
      </c>
      <c r="P314" s="29">
        <v>11.77768087204079</v>
      </c>
      <c r="Q314" s="29">
        <v>15.290819592621107</v>
      </c>
      <c r="R314" s="29">
        <v>14.526740853555125</v>
      </c>
      <c r="S314" s="29">
        <v>15.605090805284425</v>
      </c>
      <c r="T314" s="29">
        <v>21.702247738542997</v>
      </c>
      <c r="U314" s="29">
        <v>18.048171189043174</v>
      </c>
      <c r="W314" s="30">
        <v>12.226201473252496</v>
      </c>
      <c r="X314" s="30">
        <v>5.6470202161199099</v>
      </c>
      <c r="Y314" s="30">
        <v>3.760441104318482</v>
      </c>
      <c r="Z314" s="30">
        <v>5.2422633639527518</v>
      </c>
      <c r="AA314" s="30">
        <v>11.262639158327008</v>
      </c>
      <c r="AB314" s="85">
        <v>13.189099965784818</v>
      </c>
      <c r="AC314" s="85">
        <v>21.106372403606688</v>
      </c>
      <c r="AD314" s="90">
        <v>0</v>
      </c>
      <c r="AF314" s="29">
        <f>N314</f>
        <v>14.338057215096187</v>
      </c>
      <c r="AG314" s="30">
        <f>W314</f>
        <v>12.226201473252496</v>
      </c>
      <c r="AH314" s="32">
        <f>AG314-AF314</f>
        <v>-2.1118557418436907</v>
      </c>
      <c r="AI314" s="33">
        <f>AH314/AF314</f>
        <v>-0.14729022978232853</v>
      </c>
      <c r="AK314" s="29">
        <f t="shared" ref="AK314:AK329" si="639">O314</f>
        <v>18.171617589121663</v>
      </c>
      <c r="AL314" s="30">
        <f t="shared" ref="AL314:AL329" si="640">X314</f>
        <v>5.6470202161199099</v>
      </c>
      <c r="AM314" s="32">
        <f>AL314-AK314</f>
        <v>-12.524597373001754</v>
      </c>
      <c r="AN314" s="33">
        <f>AM314/AK314</f>
        <v>-0.68923954136584598</v>
      </c>
      <c r="AP314" s="29">
        <f>P314</f>
        <v>11.77768087204079</v>
      </c>
      <c r="AQ314" s="30">
        <f>Y314</f>
        <v>3.760441104318482</v>
      </c>
      <c r="AR314" s="32">
        <f>AQ314-AP314</f>
        <v>-8.0172397677223088</v>
      </c>
      <c r="AS314" s="33">
        <f>AR314/AP314</f>
        <v>-0.6807146376970149</v>
      </c>
      <c r="AU314" s="31">
        <f>Q314</f>
        <v>15.290819592621107</v>
      </c>
      <c r="AV314" s="25">
        <f>Z314</f>
        <v>5.2422633639527518</v>
      </c>
      <c r="AW314" s="32">
        <f>AV314-AU314</f>
        <v>-10.048556228668355</v>
      </c>
      <c r="AX314" s="33">
        <f>AW314/AU314</f>
        <v>-0.65716269607402134</v>
      </c>
      <c r="AZ314" s="31">
        <f t="shared" ref="AZ314:AZ329" si="641">R314</f>
        <v>14.526740853555125</v>
      </c>
      <c r="BA314" s="25">
        <f t="shared" ref="BA314:BA329" si="642">AA314</f>
        <v>11.262639158327008</v>
      </c>
      <c r="BB314" s="32">
        <f>BA314-AZ314</f>
        <v>-3.264101695228117</v>
      </c>
      <c r="BC314" s="33">
        <f>BB314/AZ314</f>
        <v>-0.22469607795263272</v>
      </c>
      <c r="BE314" s="31">
        <f>S314</f>
        <v>15.605090805284425</v>
      </c>
      <c r="BF314" s="25">
        <f>AB314</f>
        <v>13.189099965784818</v>
      </c>
      <c r="BG314" s="32">
        <f>BF314-BE314</f>
        <v>-2.4159908394996066</v>
      </c>
      <c r="BH314" s="33">
        <f>BG314/BE314</f>
        <v>-0.15482068445775837</v>
      </c>
      <c r="BJ314" s="31">
        <f t="shared" ref="BJ314:BJ329" si="643">T314</f>
        <v>21.702247738542997</v>
      </c>
      <c r="BK314" s="25">
        <f t="shared" ref="BK314:BK329" si="644">AC314</f>
        <v>21.106372403606688</v>
      </c>
      <c r="BL314" s="32">
        <f t="shared" ref="BL314:BL329" si="645">BK314-BJ314</f>
        <v>-0.59587533493630929</v>
      </c>
      <c r="BM314" s="33">
        <f t="shared" ref="BM314:BM329" si="646">BL314/BJ314</f>
        <v>-2.7456848807326073E-2</v>
      </c>
      <c r="BO314" s="62"/>
      <c r="BP314" s="62"/>
      <c r="BQ314" s="62"/>
      <c r="BR314" s="63"/>
    </row>
    <row r="315" spans="1:70">
      <c r="A315" s="1"/>
      <c r="B315" s="1284"/>
      <c r="D315" s="5" t="s">
        <v>162</v>
      </c>
      <c r="E315" s="87">
        <v>24.535913336596433</v>
      </c>
      <c r="F315" s="87">
        <v>20.193341755252607</v>
      </c>
      <c r="G315" s="87">
        <v>16.068570380589794</v>
      </c>
      <c r="H315" s="87">
        <v>16.487156866323986</v>
      </c>
      <c r="I315" s="87">
        <v>20.93976197721215</v>
      </c>
      <c r="J315" s="87">
        <v>17.152661961145192</v>
      </c>
      <c r="K315" s="87">
        <v>9.7807894414545249</v>
      </c>
      <c r="L315" s="87">
        <v>9.4672539899973547</v>
      </c>
      <c r="N315" s="29">
        <v>20.88360786516829</v>
      </c>
      <c r="O315" s="29">
        <v>17.84528170958367</v>
      </c>
      <c r="P315" s="29">
        <v>14.662837847241153</v>
      </c>
      <c r="Q315" s="29">
        <v>14.172995907900074</v>
      </c>
      <c r="R315" s="29">
        <v>17.57447382891332</v>
      </c>
      <c r="S315" s="29">
        <v>14.509014487493205</v>
      </c>
      <c r="T315" s="29">
        <v>8.7095004610416584</v>
      </c>
      <c r="U315" s="29">
        <v>8.4164954616639545</v>
      </c>
      <c r="W315" s="30">
        <v>17.21530125467633</v>
      </c>
      <c r="X315" s="30">
        <v>9.8954761436354968</v>
      </c>
      <c r="Y315" s="30">
        <v>7.9141921802455206</v>
      </c>
      <c r="Z315" s="30">
        <v>7.575666341267719</v>
      </c>
      <c r="AA315" s="30">
        <v>7.8294155554727434</v>
      </c>
      <c r="AB315" s="85">
        <v>8.9173715861406624</v>
      </c>
      <c r="AC315" s="85">
        <v>8.6992799199999986</v>
      </c>
      <c r="AD315" s="90">
        <v>0</v>
      </c>
      <c r="AF315" s="29">
        <f t="shared" ref="AF315:AF329" si="647">N315</f>
        <v>20.88360786516829</v>
      </c>
      <c r="AG315" s="30">
        <f t="shared" ref="AG315:AG329" si="648">W315</f>
        <v>17.21530125467633</v>
      </c>
      <c r="AH315" s="32">
        <f t="shared" ref="AH315:AH329" si="649">AG315-AF315</f>
        <v>-3.6683066104919604</v>
      </c>
      <c r="AI315" s="33">
        <f t="shared" ref="AI315:AI329" si="650">AH315/AF315</f>
        <v>-0.1756548310127159</v>
      </c>
      <c r="AK315" s="29">
        <f t="shared" si="639"/>
        <v>17.84528170958367</v>
      </c>
      <c r="AL315" s="30">
        <f t="shared" si="640"/>
        <v>9.8954761436354968</v>
      </c>
      <c r="AM315" s="32">
        <f t="shared" ref="AM315:AM329" si="651">AL315-AK315</f>
        <v>-7.9498055659481732</v>
      </c>
      <c r="AN315" s="33">
        <f t="shared" ref="AN315:AN329" si="652">AM315/AK315</f>
        <v>-0.44548501364810578</v>
      </c>
      <c r="AP315" s="29">
        <f t="shared" ref="AP315:AP329" si="653">P315</f>
        <v>14.662837847241153</v>
      </c>
      <c r="AQ315" s="30">
        <f t="shared" ref="AQ315:AQ328" si="654">Y315</f>
        <v>7.9141921802455206</v>
      </c>
      <c r="AR315" s="32">
        <f t="shared" ref="AR315:AR329" si="655">AQ315-AP315</f>
        <v>-6.7486456669956327</v>
      </c>
      <c r="AS315" s="33">
        <f t="shared" ref="AS315:AS329" si="656">AR315/AP315</f>
        <v>-0.46025508413198513</v>
      </c>
      <c r="AU315" s="31">
        <f t="shared" ref="AU315:AU329" si="657">Q315</f>
        <v>14.172995907900074</v>
      </c>
      <c r="AV315" s="25">
        <f t="shared" ref="AV315:AV329" si="658">Z315</f>
        <v>7.575666341267719</v>
      </c>
      <c r="AW315" s="32">
        <f t="shared" ref="AW315:AW329" si="659">AV315-AU315</f>
        <v>-6.5973295666323546</v>
      </c>
      <c r="AX315" s="33">
        <f t="shared" ref="AX315:AX329" si="660">AW315/AU315</f>
        <v>-0.46548588664694257</v>
      </c>
      <c r="AZ315" s="31">
        <f t="shared" si="641"/>
        <v>17.57447382891332</v>
      </c>
      <c r="BA315" s="25">
        <f t="shared" si="642"/>
        <v>7.8294155554727434</v>
      </c>
      <c r="BB315" s="32">
        <f t="shared" ref="BB315:BB329" si="661">BA315-AZ315</f>
        <v>-9.7450582734405771</v>
      </c>
      <c r="BC315" s="33">
        <f t="shared" ref="BC315:BC329" si="662">BB315/AZ315</f>
        <v>-0.55450071326790573</v>
      </c>
      <c r="BE315" s="31">
        <f t="shared" ref="BE315:BE329" si="663">S315</f>
        <v>14.509014487493205</v>
      </c>
      <c r="BF315" s="25">
        <f t="shared" ref="BF315:BF329" si="664">AB315</f>
        <v>8.9173715861406624</v>
      </c>
      <c r="BG315" s="32">
        <f t="shared" ref="BG315:BG329" si="665">BF315-BE315</f>
        <v>-5.591642901352543</v>
      </c>
      <c r="BH315" s="33">
        <f t="shared" ref="BH315:BH329" si="666">BG315/BE315</f>
        <v>-0.38539095168541931</v>
      </c>
      <c r="BJ315" s="31">
        <f t="shared" si="643"/>
        <v>8.7095004610416584</v>
      </c>
      <c r="BK315" s="25">
        <f t="shared" si="644"/>
        <v>8.6992799199999986</v>
      </c>
      <c r="BL315" s="32">
        <f t="shared" si="645"/>
        <v>-1.0220541041659814E-2</v>
      </c>
      <c r="BM315" s="33">
        <f t="shared" si="646"/>
        <v>-1.1734933693817653E-3</v>
      </c>
      <c r="BO315" s="62"/>
      <c r="BP315" s="62"/>
      <c r="BQ315" s="62"/>
      <c r="BR315" s="63"/>
    </row>
    <row r="316" spans="1:70">
      <c r="A316" s="1"/>
      <c r="B316" s="1284"/>
      <c r="D316" s="5" t="s">
        <v>163</v>
      </c>
      <c r="E316" s="87">
        <v>9.7177200780134037</v>
      </c>
      <c r="F316" s="87">
        <v>12.87597480559824</v>
      </c>
      <c r="G316" s="87">
        <v>13.457420442453831</v>
      </c>
      <c r="H316" s="87">
        <v>18.717205309965792</v>
      </c>
      <c r="I316" s="87">
        <v>24.996047607382234</v>
      </c>
      <c r="J316" s="87">
        <v>20.337237156106834</v>
      </c>
      <c r="K316" s="87">
        <v>15.794450118835455</v>
      </c>
      <c r="L316" s="87">
        <v>19.040435370747407</v>
      </c>
      <c r="N316" s="29">
        <v>9.3578538979400232</v>
      </c>
      <c r="O316" s="29">
        <v>12.10972759975847</v>
      </c>
      <c r="P316" s="29">
        <v>12.532970357299231</v>
      </c>
      <c r="Q316" s="29">
        <v>17.034426778066599</v>
      </c>
      <c r="R316" s="29">
        <v>22.351914081873829</v>
      </c>
      <c r="S316" s="29">
        <v>18.180084151690519</v>
      </c>
      <c r="T316" s="29">
        <v>14.155424522800233</v>
      </c>
      <c r="U316" s="29">
        <v>16.809273492664499</v>
      </c>
      <c r="W316" s="30">
        <v>16.546009925663498</v>
      </c>
      <c r="X316" s="30">
        <v>8.5487664717942256</v>
      </c>
      <c r="Y316" s="30">
        <v>7.2707313112896124</v>
      </c>
      <c r="Z316" s="30">
        <v>6.0935669961400594</v>
      </c>
      <c r="AA316" s="30">
        <v>5.8608206927829478</v>
      </c>
      <c r="AB316" s="85">
        <v>7.4696083743928448</v>
      </c>
      <c r="AC316" s="85">
        <v>11.622276940000001</v>
      </c>
      <c r="AD316" s="90">
        <v>0</v>
      </c>
      <c r="AF316" s="29">
        <f t="shared" si="647"/>
        <v>9.3578538979400232</v>
      </c>
      <c r="AG316" s="30">
        <f t="shared" si="648"/>
        <v>16.546009925663498</v>
      </c>
      <c r="AH316" s="32">
        <f t="shared" si="649"/>
        <v>7.1881560277234744</v>
      </c>
      <c r="AI316" s="33">
        <f t="shared" si="650"/>
        <v>0.7681415104488678</v>
      </c>
      <c r="AK316" s="29">
        <f t="shared" si="639"/>
        <v>12.10972759975847</v>
      </c>
      <c r="AL316" s="30">
        <f t="shared" si="640"/>
        <v>8.5487664717942256</v>
      </c>
      <c r="AM316" s="32">
        <f t="shared" si="651"/>
        <v>-3.5609611279642444</v>
      </c>
      <c r="AN316" s="33">
        <f t="shared" si="652"/>
        <v>-0.29405790498832263</v>
      </c>
      <c r="AP316" s="29">
        <f t="shared" si="653"/>
        <v>12.532970357299231</v>
      </c>
      <c r="AQ316" s="30">
        <f t="shared" si="654"/>
        <v>7.2707313112896124</v>
      </c>
      <c r="AR316" s="32">
        <f t="shared" si="655"/>
        <v>-5.2622390460096184</v>
      </c>
      <c r="AS316" s="33">
        <f t="shared" si="656"/>
        <v>-0.41987165819353256</v>
      </c>
      <c r="AU316" s="31">
        <f t="shared" si="657"/>
        <v>17.034426778066599</v>
      </c>
      <c r="AV316" s="25">
        <f t="shared" si="658"/>
        <v>6.0935669961400594</v>
      </c>
      <c r="AW316" s="32">
        <f t="shared" si="659"/>
        <v>-10.940859781926541</v>
      </c>
      <c r="AX316" s="33">
        <f t="shared" si="660"/>
        <v>-0.64227930440335745</v>
      </c>
      <c r="AZ316" s="31">
        <f t="shared" si="641"/>
        <v>22.351914081873829</v>
      </c>
      <c r="BA316" s="25">
        <f t="shared" si="642"/>
        <v>5.8608206927829478</v>
      </c>
      <c r="BB316" s="32">
        <f t="shared" si="661"/>
        <v>-16.491093389090882</v>
      </c>
      <c r="BC316" s="33">
        <f t="shared" si="662"/>
        <v>-0.73779334193415902</v>
      </c>
      <c r="BE316" s="31">
        <f t="shared" si="663"/>
        <v>18.180084151690519</v>
      </c>
      <c r="BF316" s="25">
        <f t="shared" si="664"/>
        <v>7.4696083743928448</v>
      </c>
      <c r="BG316" s="32">
        <f t="shared" si="665"/>
        <v>-10.710475777297674</v>
      </c>
      <c r="BH316" s="33">
        <f t="shared" si="666"/>
        <v>-0.58913235428020472</v>
      </c>
      <c r="BJ316" s="31">
        <f t="shared" si="643"/>
        <v>14.155424522800233</v>
      </c>
      <c r="BK316" s="25">
        <f t="shared" si="644"/>
        <v>11.622276940000001</v>
      </c>
      <c r="BL316" s="32">
        <f t="shared" si="645"/>
        <v>-2.5331475828002326</v>
      </c>
      <c r="BM316" s="33">
        <f t="shared" si="646"/>
        <v>-0.1789524276520337</v>
      </c>
      <c r="BO316" s="62"/>
      <c r="BP316" s="62"/>
      <c r="BQ316" s="62"/>
      <c r="BR316" s="63"/>
    </row>
    <row r="317" spans="1:70">
      <c r="A317" s="1"/>
      <c r="B317" s="1284"/>
      <c r="D317" s="5" t="s">
        <v>164</v>
      </c>
      <c r="E317" s="87">
        <v>27.373422453467843</v>
      </c>
      <c r="F317" s="87">
        <v>28.442396236614591</v>
      </c>
      <c r="G317" s="87">
        <v>26.788020100640821</v>
      </c>
      <c r="H317" s="87">
        <v>31.609038105273722</v>
      </c>
      <c r="I317" s="87">
        <v>34.574503518658737</v>
      </c>
      <c r="J317" s="87">
        <v>30.766013335659199</v>
      </c>
      <c r="K317" s="87">
        <v>35.58182457902884</v>
      </c>
      <c r="L317" s="87">
        <v>40.748978399460306</v>
      </c>
      <c r="N317" s="29">
        <v>27.373422453467843</v>
      </c>
      <c r="O317" s="29">
        <v>28.442396236614591</v>
      </c>
      <c r="P317" s="29">
        <v>26.788020100640821</v>
      </c>
      <c r="Q317" s="29">
        <v>31.609038105273722</v>
      </c>
      <c r="R317" s="29">
        <v>34.574503518658737</v>
      </c>
      <c r="S317" s="29">
        <v>30.766013335659199</v>
      </c>
      <c r="T317" s="29">
        <v>35.58182457902884</v>
      </c>
      <c r="U317" s="29">
        <v>40.748978399460306</v>
      </c>
      <c r="W317" s="30">
        <v>34.331449951239819</v>
      </c>
      <c r="X317" s="30">
        <v>18.260124615837462</v>
      </c>
      <c r="Y317" s="30">
        <v>15.846977630334511</v>
      </c>
      <c r="Z317" s="30">
        <v>7.8710976139043014</v>
      </c>
      <c r="AA317" s="30">
        <v>9.1823310127235587</v>
      </c>
      <c r="AB317" s="85">
        <v>38.099764247519268</v>
      </c>
      <c r="AC317" s="85">
        <v>56.447600000000001</v>
      </c>
      <c r="AD317" s="90">
        <v>0</v>
      </c>
      <c r="AF317" s="29">
        <f t="shared" si="647"/>
        <v>27.373422453467843</v>
      </c>
      <c r="AG317" s="30">
        <f t="shared" si="648"/>
        <v>34.331449951239819</v>
      </c>
      <c r="AH317" s="32">
        <f t="shared" si="649"/>
        <v>6.958027497771976</v>
      </c>
      <c r="AI317" s="33">
        <f t="shared" si="650"/>
        <v>0.25418916869455932</v>
      </c>
      <c r="AK317" s="29">
        <f t="shared" si="639"/>
        <v>28.442396236614591</v>
      </c>
      <c r="AL317" s="30">
        <f t="shared" si="640"/>
        <v>18.260124615837462</v>
      </c>
      <c r="AM317" s="32">
        <f t="shared" si="651"/>
        <v>-10.182271620777129</v>
      </c>
      <c r="AN317" s="33">
        <f t="shared" si="652"/>
        <v>-0.35799626501473325</v>
      </c>
      <c r="AP317" s="29">
        <f t="shared" si="653"/>
        <v>26.788020100640821</v>
      </c>
      <c r="AQ317" s="30">
        <f t="shared" si="654"/>
        <v>15.846977630334511</v>
      </c>
      <c r="AR317" s="32">
        <f t="shared" si="655"/>
        <v>-10.941042470306311</v>
      </c>
      <c r="AS317" s="33">
        <f t="shared" si="656"/>
        <v>-0.40843042633242538</v>
      </c>
      <c r="AU317" s="31">
        <f t="shared" si="657"/>
        <v>31.609038105273722</v>
      </c>
      <c r="AV317" s="25">
        <f t="shared" si="658"/>
        <v>7.8710976139043014</v>
      </c>
      <c r="AW317" s="32">
        <f t="shared" si="659"/>
        <v>-23.737940491369422</v>
      </c>
      <c r="AX317" s="33">
        <f t="shared" si="660"/>
        <v>-0.75098585449865152</v>
      </c>
      <c r="AZ317" s="31">
        <f t="shared" si="641"/>
        <v>34.574503518658737</v>
      </c>
      <c r="BA317" s="25">
        <f t="shared" si="642"/>
        <v>9.1823310127235587</v>
      </c>
      <c r="BB317" s="32">
        <f t="shared" si="661"/>
        <v>-25.392172505935179</v>
      </c>
      <c r="BC317" s="33">
        <f t="shared" si="662"/>
        <v>-0.73441900596582244</v>
      </c>
      <c r="BE317" s="31">
        <f t="shared" si="663"/>
        <v>30.766013335659199</v>
      </c>
      <c r="BF317" s="25">
        <f t="shared" si="664"/>
        <v>38.099764247519268</v>
      </c>
      <c r="BG317" s="32">
        <f t="shared" si="665"/>
        <v>7.3337509118600686</v>
      </c>
      <c r="BH317" s="33">
        <f t="shared" si="666"/>
        <v>0.23837183036516207</v>
      </c>
      <c r="BJ317" s="31">
        <f t="shared" si="643"/>
        <v>35.58182457902884</v>
      </c>
      <c r="BK317" s="25">
        <f t="shared" si="644"/>
        <v>56.447600000000001</v>
      </c>
      <c r="BL317" s="32">
        <f t="shared" si="645"/>
        <v>20.865775420971161</v>
      </c>
      <c r="BM317" s="33">
        <f t="shared" si="646"/>
        <v>0.58641667952207821</v>
      </c>
      <c r="BO317" s="62"/>
      <c r="BP317" s="62"/>
      <c r="BQ317" s="62"/>
      <c r="BR317" s="63"/>
    </row>
    <row r="318" spans="1:70">
      <c r="A318" s="1"/>
      <c r="B318" s="1284"/>
      <c r="D318" s="5" t="s">
        <v>165</v>
      </c>
      <c r="E318" s="87">
        <v>64.379517023105436</v>
      </c>
      <c r="F318" s="87">
        <v>56.27960486108379</v>
      </c>
      <c r="G318" s="87">
        <v>23.929663450771425</v>
      </c>
      <c r="H318" s="87">
        <v>32.093803703017613</v>
      </c>
      <c r="I318" s="87">
        <v>29.730556420888</v>
      </c>
      <c r="J318" s="87">
        <v>40.078017273139409</v>
      </c>
      <c r="K318" s="87">
        <v>57.030012172937397</v>
      </c>
      <c r="L318" s="87">
        <v>49.444588420111643</v>
      </c>
      <c r="N318" s="29">
        <v>64.379517023105436</v>
      </c>
      <c r="O318" s="29">
        <v>56.27960486108379</v>
      </c>
      <c r="P318" s="29">
        <v>23.929663450771425</v>
      </c>
      <c r="Q318" s="29">
        <v>32.093803703017613</v>
      </c>
      <c r="R318" s="29">
        <v>29.730556420888</v>
      </c>
      <c r="S318" s="29">
        <v>40.078017273139409</v>
      </c>
      <c r="T318" s="29">
        <v>57.030012172937397</v>
      </c>
      <c r="U318" s="29">
        <v>49.444588420111643</v>
      </c>
      <c r="W318" s="30">
        <v>31.65575957183551</v>
      </c>
      <c r="X318" s="30">
        <v>22.347220266272185</v>
      </c>
      <c r="Y318" s="30">
        <v>17.098138212056394</v>
      </c>
      <c r="Z318" s="30">
        <v>11.38390963192003</v>
      </c>
      <c r="AA318" s="30">
        <v>14.514611449136739</v>
      </c>
      <c r="AB318" s="85">
        <v>28.169516109556824</v>
      </c>
      <c r="AC318" s="85">
        <v>32.293199999999999</v>
      </c>
      <c r="AD318" s="90">
        <v>0</v>
      </c>
      <c r="AF318" s="29">
        <f t="shared" si="647"/>
        <v>64.379517023105436</v>
      </c>
      <c r="AG318" s="30">
        <f t="shared" si="648"/>
        <v>31.65575957183551</v>
      </c>
      <c r="AH318" s="32">
        <f t="shared" si="649"/>
        <v>-32.723757451269925</v>
      </c>
      <c r="AI318" s="33">
        <f t="shared" si="650"/>
        <v>-0.50829454715426892</v>
      </c>
      <c r="AK318" s="29">
        <f t="shared" si="639"/>
        <v>56.27960486108379</v>
      </c>
      <c r="AL318" s="30">
        <f t="shared" si="640"/>
        <v>22.347220266272185</v>
      </c>
      <c r="AM318" s="32">
        <f t="shared" si="651"/>
        <v>-33.932384594811609</v>
      </c>
      <c r="AN318" s="33">
        <f t="shared" si="652"/>
        <v>-0.60292506812312696</v>
      </c>
      <c r="AP318" s="29">
        <f t="shared" si="653"/>
        <v>23.929663450771425</v>
      </c>
      <c r="AQ318" s="30">
        <f t="shared" si="654"/>
        <v>17.098138212056394</v>
      </c>
      <c r="AR318" s="32">
        <f t="shared" si="655"/>
        <v>-6.8315252387150309</v>
      </c>
      <c r="AS318" s="33">
        <f t="shared" si="656"/>
        <v>-0.28548354859937664</v>
      </c>
      <c r="AU318" s="31">
        <f t="shared" si="657"/>
        <v>32.093803703017613</v>
      </c>
      <c r="AV318" s="25">
        <f t="shared" si="658"/>
        <v>11.38390963192003</v>
      </c>
      <c r="AW318" s="32">
        <f t="shared" si="659"/>
        <v>-20.709894071097583</v>
      </c>
      <c r="AX318" s="33">
        <f t="shared" si="660"/>
        <v>-0.64529260111198161</v>
      </c>
      <c r="AZ318" s="31">
        <f t="shared" si="641"/>
        <v>29.730556420888</v>
      </c>
      <c r="BA318" s="25">
        <f t="shared" si="642"/>
        <v>14.514611449136739</v>
      </c>
      <c r="BB318" s="32">
        <f t="shared" si="661"/>
        <v>-15.215944971751261</v>
      </c>
      <c r="BC318" s="33">
        <f t="shared" si="662"/>
        <v>-0.51179482672113363</v>
      </c>
      <c r="BE318" s="31">
        <f t="shared" si="663"/>
        <v>40.078017273139409</v>
      </c>
      <c r="BF318" s="25">
        <f t="shared" si="664"/>
        <v>28.169516109556824</v>
      </c>
      <c r="BG318" s="32">
        <f t="shared" si="665"/>
        <v>-11.908501163582585</v>
      </c>
      <c r="BH318" s="33">
        <f t="shared" si="666"/>
        <v>-0.29713299144575578</v>
      </c>
      <c r="BJ318" s="31">
        <f t="shared" si="643"/>
        <v>57.030012172937397</v>
      </c>
      <c r="BK318" s="25">
        <f t="shared" si="644"/>
        <v>32.293199999999999</v>
      </c>
      <c r="BL318" s="32">
        <f t="shared" si="645"/>
        <v>-24.736812172937398</v>
      </c>
      <c r="BM318" s="33">
        <f t="shared" si="646"/>
        <v>-0.4337507784134022</v>
      </c>
      <c r="BO318" s="62"/>
      <c r="BP318" s="62"/>
      <c r="BQ318" s="62"/>
      <c r="BR318" s="63"/>
    </row>
    <row r="319" spans="1:70">
      <c r="A319" s="1"/>
      <c r="B319" s="1284"/>
      <c r="D319" s="5" t="s">
        <v>166</v>
      </c>
      <c r="E319" s="87">
        <v>3.760964946724799</v>
      </c>
      <c r="F319" s="87">
        <v>3.8792221450536601</v>
      </c>
      <c r="G319" s="87">
        <v>4.6743389024155881</v>
      </c>
      <c r="H319" s="87">
        <v>11.661615168811634</v>
      </c>
      <c r="I319" s="87">
        <v>10.456041471860757</v>
      </c>
      <c r="J319" s="87">
        <v>10.43267127837011</v>
      </c>
      <c r="K319" s="87">
        <v>6.517276258659189</v>
      </c>
      <c r="L319" s="87">
        <v>6.4051726556833133</v>
      </c>
      <c r="N319" s="29">
        <v>3.760964946724799</v>
      </c>
      <c r="O319" s="29">
        <v>3.8792221450536601</v>
      </c>
      <c r="P319" s="29">
        <v>4.6743389024155881</v>
      </c>
      <c r="Q319" s="29">
        <v>11.661615168811634</v>
      </c>
      <c r="R319" s="29">
        <v>10.456041471860757</v>
      </c>
      <c r="S319" s="29">
        <v>10.43267127837011</v>
      </c>
      <c r="T319" s="29">
        <v>6.517276258659189</v>
      </c>
      <c r="U319" s="29">
        <v>6.4051726556833133</v>
      </c>
      <c r="W319" s="30">
        <v>6.0117577917998108</v>
      </c>
      <c r="X319" s="30">
        <v>3.4581852501207591</v>
      </c>
      <c r="Y319" s="30">
        <v>4.4951911075705313</v>
      </c>
      <c r="Z319" s="30">
        <v>4.0726170097561658</v>
      </c>
      <c r="AA319" s="30">
        <v>2.4628889802574991</v>
      </c>
      <c r="AB319" s="85">
        <v>12.175660445937174</v>
      </c>
      <c r="AC319" s="85">
        <v>12.993</v>
      </c>
      <c r="AD319" s="90">
        <v>0</v>
      </c>
      <c r="AF319" s="29">
        <f t="shared" si="647"/>
        <v>3.760964946724799</v>
      </c>
      <c r="AG319" s="30">
        <f t="shared" si="648"/>
        <v>6.0117577917998108</v>
      </c>
      <c r="AH319" s="32">
        <f t="shared" si="649"/>
        <v>2.2507928450750119</v>
      </c>
      <c r="AI319" s="33">
        <f t="shared" si="650"/>
        <v>0.59846153233496469</v>
      </c>
      <c r="AK319" s="29">
        <f t="shared" si="639"/>
        <v>3.8792221450536601</v>
      </c>
      <c r="AL319" s="30">
        <f t="shared" si="640"/>
        <v>3.4581852501207591</v>
      </c>
      <c r="AM319" s="32">
        <f t="shared" si="651"/>
        <v>-0.42103689493290108</v>
      </c>
      <c r="AN319" s="33">
        <f t="shared" si="652"/>
        <v>-0.10853642281604294</v>
      </c>
      <c r="AP319" s="29">
        <f t="shared" si="653"/>
        <v>4.6743389024155881</v>
      </c>
      <c r="AQ319" s="30">
        <f t="shared" si="654"/>
        <v>4.4951911075705313</v>
      </c>
      <c r="AR319" s="32">
        <f t="shared" si="655"/>
        <v>-0.17914779484505683</v>
      </c>
      <c r="AS319" s="33">
        <f t="shared" si="656"/>
        <v>-3.8325803623797471E-2</v>
      </c>
      <c r="AU319" s="31">
        <f t="shared" si="657"/>
        <v>11.661615168811634</v>
      </c>
      <c r="AV319" s="25">
        <f t="shared" si="658"/>
        <v>4.0726170097561658</v>
      </c>
      <c r="AW319" s="32">
        <f t="shared" si="659"/>
        <v>-7.5889981590554685</v>
      </c>
      <c r="AX319" s="33">
        <f t="shared" si="660"/>
        <v>-0.65076732932774506</v>
      </c>
      <c r="AZ319" s="31">
        <f t="shared" si="641"/>
        <v>10.456041471860757</v>
      </c>
      <c r="BA319" s="25">
        <f t="shared" si="642"/>
        <v>2.4628889802574991</v>
      </c>
      <c r="BB319" s="32">
        <f t="shared" si="661"/>
        <v>-7.9931524916032579</v>
      </c>
      <c r="BC319" s="33">
        <f t="shared" si="662"/>
        <v>-0.76445302107058266</v>
      </c>
      <c r="BE319" s="31">
        <f t="shared" si="663"/>
        <v>10.43267127837011</v>
      </c>
      <c r="BF319" s="25">
        <f t="shared" si="664"/>
        <v>12.175660445937174</v>
      </c>
      <c r="BG319" s="32">
        <f t="shared" si="665"/>
        <v>1.7429891675670639</v>
      </c>
      <c r="BH319" s="33">
        <f t="shared" si="666"/>
        <v>0.16707026619162968</v>
      </c>
      <c r="BJ319" s="31">
        <f t="shared" si="643"/>
        <v>6.517276258659189</v>
      </c>
      <c r="BK319" s="25">
        <f t="shared" si="644"/>
        <v>12.993</v>
      </c>
      <c r="BL319" s="32">
        <f t="shared" si="645"/>
        <v>6.4757237413408113</v>
      </c>
      <c r="BM319" s="33">
        <f t="shared" si="646"/>
        <v>0.99362425104150387</v>
      </c>
      <c r="BO319" s="62"/>
      <c r="BP319" s="62"/>
      <c r="BQ319" s="62"/>
      <c r="BR319" s="63"/>
    </row>
    <row r="320" spans="1:70">
      <c r="A320" s="1"/>
      <c r="B320" s="1284"/>
      <c r="D320" s="5" t="s">
        <v>167</v>
      </c>
      <c r="E320" s="87">
        <v>5.9610058377279875</v>
      </c>
      <c r="F320" s="87">
        <v>6.8987710179246493</v>
      </c>
      <c r="G320" s="87">
        <v>9.0470665455680432</v>
      </c>
      <c r="H320" s="87">
        <v>15.960267597949761</v>
      </c>
      <c r="I320" s="87">
        <v>17.011042451855015</v>
      </c>
      <c r="J320" s="87">
        <v>17.139077301374794</v>
      </c>
      <c r="K320" s="87">
        <v>17.980439266421325</v>
      </c>
      <c r="L320" s="87">
        <v>20.058640307638395</v>
      </c>
      <c r="N320" s="29">
        <v>5.9610058377279875</v>
      </c>
      <c r="O320" s="29">
        <v>6.8987710179246493</v>
      </c>
      <c r="P320" s="29">
        <v>9.0470665455680432</v>
      </c>
      <c r="Q320" s="29">
        <v>15.960267597949761</v>
      </c>
      <c r="R320" s="29">
        <v>17.011042451855015</v>
      </c>
      <c r="S320" s="29">
        <v>17.139077301374794</v>
      </c>
      <c r="T320" s="29">
        <v>17.980439266421325</v>
      </c>
      <c r="U320" s="29">
        <v>20.058640307638395</v>
      </c>
      <c r="W320" s="30">
        <v>6.9598653918352715</v>
      </c>
      <c r="X320" s="30">
        <v>9.9404478806907388</v>
      </c>
      <c r="Y320" s="30">
        <v>15.638714967916535</v>
      </c>
      <c r="Z320" s="30">
        <v>7.0688971705705459</v>
      </c>
      <c r="AA320" s="30">
        <v>4.2575165819117684</v>
      </c>
      <c r="AB320" s="85">
        <v>12.186766922870344</v>
      </c>
      <c r="AC320" s="85">
        <v>12.875600000000002</v>
      </c>
      <c r="AD320" s="90">
        <v>0</v>
      </c>
      <c r="AF320" s="29">
        <f t="shared" si="647"/>
        <v>5.9610058377279875</v>
      </c>
      <c r="AG320" s="30">
        <f t="shared" si="648"/>
        <v>6.9598653918352715</v>
      </c>
      <c r="AH320" s="32">
        <f t="shared" si="649"/>
        <v>0.998859554107284</v>
      </c>
      <c r="AI320" s="33">
        <f t="shared" si="650"/>
        <v>0.167565605754883</v>
      </c>
      <c r="AK320" s="29">
        <f t="shared" si="639"/>
        <v>6.8987710179246493</v>
      </c>
      <c r="AL320" s="30">
        <f t="shared" si="640"/>
        <v>9.9404478806907388</v>
      </c>
      <c r="AM320" s="32">
        <f t="shared" si="651"/>
        <v>3.0416768627660895</v>
      </c>
      <c r="AN320" s="33">
        <f t="shared" si="652"/>
        <v>0.44090126413285624</v>
      </c>
      <c r="AP320" s="29">
        <f t="shared" si="653"/>
        <v>9.0470665455680432</v>
      </c>
      <c r="AQ320" s="30">
        <f t="shared" si="654"/>
        <v>15.638714967916535</v>
      </c>
      <c r="AR320" s="32">
        <f t="shared" si="655"/>
        <v>6.5916484223484915</v>
      </c>
      <c r="AS320" s="33">
        <f t="shared" si="656"/>
        <v>0.72859510750228684</v>
      </c>
      <c r="AU320" s="31">
        <f t="shared" si="657"/>
        <v>15.960267597949761</v>
      </c>
      <c r="AV320" s="25">
        <f t="shared" si="658"/>
        <v>7.0688971705705459</v>
      </c>
      <c r="AW320" s="32">
        <f t="shared" si="659"/>
        <v>-8.8913704273792149</v>
      </c>
      <c r="AX320" s="33">
        <f t="shared" si="660"/>
        <v>-0.55709406955816898</v>
      </c>
      <c r="AZ320" s="31">
        <f t="shared" si="641"/>
        <v>17.011042451855015</v>
      </c>
      <c r="BA320" s="25">
        <f t="shared" si="642"/>
        <v>4.2575165819117684</v>
      </c>
      <c r="BB320" s="32">
        <f t="shared" si="661"/>
        <v>-12.753525869943246</v>
      </c>
      <c r="BC320" s="33">
        <f t="shared" si="662"/>
        <v>-0.74972041872439765</v>
      </c>
      <c r="BE320" s="31">
        <f t="shared" si="663"/>
        <v>17.139077301374794</v>
      </c>
      <c r="BF320" s="25">
        <f t="shared" si="664"/>
        <v>12.186766922870344</v>
      </c>
      <c r="BG320" s="32">
        <f t="shared" si="665"/>
        <v>-4.9523103785044498</v>
      </c>
      <c r="BH320" s="33">
        <f t="shared" si="666"/>
        <v>-0.28894848254796102</v>
      </c>
      <c r="BJ320" s="31">
        <f t="shared" si="643"/>
        <v>17.980439266421325</v>
      </c>
      <c r="BK320" s="25">
        <f t="shared" si="644"/>
        <v>12.875600000000002</v>
      </c>
      <c r="BL320" s="32">
        <f t="shared" si="645"/>
        <v>-5.1048392664213225</v>
      </c>
      <c r="BM320" s="33">
        <f t="shared" si="646"/>
        <v>-0.28391070934260587</v>
      </c>
      <c r="BO320" s="62"/>
      <c r="BP320" s="62"/>
      <c r="BQ320" s="62"/>
      <c r="BR320" s="63"/>
    </row>
    <row r="321" spans="1:70">
      <c r="A321" s="1"/>
      <c r="B321" s="1284"/>
      <c r="D321" s="5" t="s">
        <v>168</v>
      </c>
      <c r="E321" s="87">
        <v>62.636603800263259</v>
      </c>
      <c r="F321" s="87">
        <v>55.808798552526341</v>
      </c>
      <c r="G321" s="87">
        <v>57.350667742512812</v>
      </c>
      <c r="H321" s="87">
        <v>51.219168180756128</v>
      </c>
      <c r="I321" s="87">
        <v>60.6718920260858</v>
      </c>
      <c r="J321" s="87">
        <v>59.522066355992798</v>
      </c>
      <c r="K321" s="87">
        <v>50.881037526369312</v>
      </c>
      <c r="L321" s="87">
        <v>47.9413657324124</v>
      </c>
      <c r="N321" s="29">
        <v>51.229624847668958</v>
      </c>
      <c r="O321" s="29">
        <v>46.893771198684476</v>
      </c>
      <c r="P321" s="29">
        <v>49.771746985357879</v>
      </c>
      <c r="Q321" s="29">
        <v>44.929912406865306</v>
      </c>
      <c r="R321" s="29">
        <v>51.803358415158328</v>
      </c>
      <c r="S321" s="29">
        <v>50.407250206454805</v>
      </c>
      <c r="T321" s="29">
        <v>43.705400712132857</v>
      </c>
      <c r="U321" s="29">
        <v>42.217920369159415</v>
      </c>
      <c r="W321" s="30">
        <v>12.026731351513375</v>
      </c>
      <c r="X321" s="30">
        <v>18.91567278310897</v>
      </c>
      <c r="Y321" s="30">
        <v>21.789766680950009</v>
      </c>
      <c r="Z321" s="30">
        <v>23.003554862213203</v>
      </c>
      <c r="AA321" s="30">
        <v>18.154351293052251</v>
      </c>
      <c r="AB321" s="85">
        <v>12.918356952631138</v>
      </c>
      <c r="AC321" s="85">
        <v>17.431485863057485</v>
      </c>
      <c r="AD321" s="90">
        <v>0</v>
      </c>
      <c r="AF321" s="29">
        <f t="shared" si="647"/>
        <v>51.229624847668958</v>
      </c>
      <c r="AG321" s="30">
        <f t="shared" si="648"/>
        <v>12.026731351513375</v>
      </c>
      <c r="AH321" s="32">
        <f t="shared" si="649"/>
        <v>-39.202893496155582</v>
      </c>
      <c r="AI321" s="33">
        <f t="shared" si="650"/>
        <v>-0.76523873857607183</v>
      </c>
      <c r="AK321" s="29">
        <f t="shared" si="639"/>
        <v>46.893771198684476</v>
      </c>
      <c r="AL321" s="30">
        <f t="shared" si="640"/>
        <v>18.91567278310897</v>
      </c>
      <c r="AM321" s="32">
        <f t="shared" si="651"/>
        <v>-27.978098415575506</v>
      </c>
      <c r="AN321" s="33">
        <f t="shared" si="652"/>
        <v>-0.59662717884289895</v>
      </c>
      <c r="AP321" s="29">
        <f t="shared" si="653"/>
        <v>49.771746985357879</v>
      </c>
      <c r="AQ321" s="30">
        <f t="shared" si="654"/>
        <v>21.789766680950009</v>
      </c>
      <c r="AR321" s="32">
        <f t="shared" si="655"/>
        <v>-27.98198030440787</v>
      </c>
      <c r="AS321" s="33">
        <f t="shared" si="656"/>
        <v>-0.5622061108813351</v>
      </c>
      <c r="AU321" s="31">
        <f t="shared" si="657"/>
        <v>44.929912406865306</v>
      </c>
      <c r="AV321" s="25">
        <f t="shared" si="658"/>
        <v>23.003554862213203</v>
      </c>
      <c r="AW321" s="32">
        <f t="shared" si="659"/>
        <v>-21.926357544652102</v>
      </c>
      <c r="AX321" s="33">
        <f t="shared" si="660"/>
        <v>-0.48801247031369122</v>
      </c>
      <c r="AZ321" s="31">
        <f t="shared" si="641"/>
        <v>51.803358415158328</v>
      </c>
      <c r="BA321" s="25">
        <f t="shared" si="642"/>
        <v>18.154351293052251</v>
      </c>
      <c r="BB321" s="32">
        <f t="shared" si="661"/>
        <v>-33.649007122106077</v>
      </c>
      <c r="BC321" s="33">
        <f t="shared" si="662"/>
        <v>-0.64955261881746928</v>
      </c>
      <c r="BE321" s="31">
        <f t="shared" si="663"/>
        <v>50.407250206454805</v>
      </c>
      <c r="BF321" s="25">
        <f t="shared" si="664"/>
        <v>12.918356952631138</v>
      </c>
      <c r="BG321" s="32">
        <f t="shared" si="665"/>
        <v>-37.488893253823669</v>
      </c>
      <c r="BH321" s="33">
        <f t="shared" si="666"/>
        <v>-0.74372026048393924</v>
      </c>
      <c r="BJ321" s="31">
        <f t="shared" si="643"/>
        <v>43.705400712132857</v>
      </c>
      <c r="BK321" s="25">
        <f t="shared" si="644"/>
        <v>17.431485863057485</v>
      </c>
      <c r="BL321" s="32">
        <f t="shared" si="645"/>
        <v>-26.273914849075371</v>
      </c>
      <c r="BM321" s="33">
        <f t="shared" si="646"/>
        <v>-0.60115945446031771</v>
      </c>
      <c r="BO321" s="62"/>
      <c r="BP321" s="62"/>
      <c r="BQ321" s="62"/>
      <c r="BR321" s="63"/>
    </row>
    <row r="322" spans="1:70">
      <c r="A322" s="1"/>
      <c r="B322" s="1284"/>
      <c r="D322" s="5" t="s">
        <v>169</v>
      </c>
      <c r="E322" s="87">
        <v>31.021361988593501</v>
      </c>
      <c r="F322" s="87">
        <v>39.614811408885814</v>
      </c>
      <c r="G322" s="87">
        <v>39.094005691854704</v>
      </c>
      <c r="H322" s="87">
        <v>26.813621067612409</v>
      </c>
      <c r="I322" s="87">
        <v>20.524036821347224</v>
      </c>
      <c r="J322" s="87">
        <v>20.367144984085069</v>
      </c>
      <c r="K322" s="87">
        <v>29.611622052027535</v>
      </c>
      <c r="L322" s="87">
        <v>27.154480292258011</v>
      </c>
      <c r="N322" s="29">
        <v>27.448003642056136</v>
      </c>
      <c r="O322" s="29">
        <v>35.521145992337203</v>
      </c>
      <c r="P322" s="29">
        <v>36.117163994415101</v>
      </c>
      <c r="Q322" s="29">
        <v>26.048017001197756</v>
      </c>
      <c r="R322" s="29">
        <v>20.884539185049974</v>
      </c>
      <c r="S322" s="29">
        <v>20.623069211628245</v>
      </c>
      <c r="T322" s="29">
        <v>27.799905010102016</v>
      </c>
      <c r="U322" s="29">
        <v>25.715018669613617</v>
      </c>
      <c r="W322" s="30">
        <v>6.1690187591957493</v>
      </c>
      <c r="X322" s="30">
        <v>9.3202399826885447</v>
      </c>
      <c r="Y322" s="30">
        <v>12.322819328629976</v>
      </c>
      <c r="Z322" s="30">
        <v>12.956900325252715</v>
      </c>
      <c r="AA322" s="30">
        <v>11.696460889448218</v>
      </c>
      <c r="AB322" s="85">
        <v>5.8503139986443253</v>
      </c>
      <c r="AC322" s="85">
        <v>15.980370612531267</v>
      </c>
      <c r="AD322" s="90">
        <v>0</v>
      </c>
      <c r="AF322" s="29">
        <f t="shared" si="647"/>
        <v>27.448003642056136</v>
      </c>
      <c r="AG322" s="30">
        <f t="shared" si="648"/>
        <v>6.1690187591957493</v>
      </c>
      <c r="AH322" s="32">
        <f t="shared" si="649"/>
        <v>-21.278984882860385</v>
      </c>
      <c r="AI322" s="33">
        <f t="shared" si="650"/>
        <v>-0.77524708756073202</v>
      </c>
      <c r="AK322" s="29">
        <f t="shared" si="639"/>
        <v>35.521145992337203</v>
      </c>
      <c r="AL322" s="30">
        <f t="shared" si="640"/>
        <v>9.3202399826885447</v>
      </c>
      <c r="AM322" s="32">
        <f t="shared" si="651"/>
        <v>-26.200906009648659</v>
      </c>
      <c r="AN322" s="33">
        <f t="shared" si="652"/>
        <v>-0.73761432177049824</v>
      </c>
      <c r="AP322" s="29">
        <f t="shared" si="653"/>
        <v>36.117163994415101</v>
      </c>
      <c r="AQ322" s="30">
        <f t="shared" si="654"/>
        <v>12.322819328629976</v>
      </c>
      <c r="AR322" s="32">
        <f t="shared" si="655"/>
        <v>-23.794344665785125</v>
      </c>
      <c r="AS322" s="33">
        <f t="shared" si="656"/>
        <v>-0.65880988522422501</v>
      </c>
      <c r="AU322" s="31">
        <f t="shared" si="657"/>
        <v>26.048017001197756</v>
      </c>
      <c r="AV322" s="25">
        <f t="shared" si="658"/>
        <v>12.956900325252715</v>
      </c>
      <c r="AW322" s="32">
        <f t="shared" si="659"/>
        <v>-13.091116675945042</v>
      </c>
      <c r="AX322" s="33">
        <f t="shared" si="660"/>
        <v>-0.50257632568894117</v>
      </c>
      <c r="AZ322" s="31">
        <f t="shared" si="641"/>
        <v>20.884539185049974</v>
      </c>
      <c r="BA322" s="25">
        <f t="shared" si="642"/>
        <v>11.696460889448218</v>
      </c>
      <c r="BB322" s="32">
        <f t="shared" si="661"/>
        <v>-9.1880782956017555</v>
      </c>
      <c r="BC322" s="33">
        <f t="shared" si="662"/>
        <v>-0.4399464222882622</v>
      </c>
      <c r="BE322" s="31">
        <f t="shared" si="663"/>
        <v>20.623069211628245</v>
      </c>
      <c r="BF322" s="25">
        <f t="shared" si="664"/>
        <v>5.8503139986443253</v>
      </c>
      <c r="BG322" s="32">
        <f t="shared" si="665"/>
        <v>-14.77275521298392</v>
      </c>
      <c r="BH322" s="33">
        <f t="shared" si="666"/>
        <v>-0.71632185594636677</v>
      </c>
      <c r="BJ322" s="31">
        <f t="shared" si="643"/>
        <v>27.799905010102016</v>
      </c>
      <c r="BK322" s="25">
        <f t="shared" si="644"/>
        <v>15.980370612531267</v>
      </c>
      <c r="BL322" s="32">
        <f t="shared" si="645"/>
        <v>-11.819534397570749</v>
      </c>
      <c r="BM322" s="33">
        <f t="shared" si="646"/>
        <v>-0.42516456057226559</v>
      </c>
      <c r="BO322" s="62"/>
      <c r="BP322" s="62"/>
      <c r="BQ322" s="62"/>
      <c r="BR322" s="63"/>
    </row>
    <row r="323" spans="1:70">
      <c r="A323" s="1"/>
      <c r="B323" s="1284"/>
      <c r="D323" s="5" t="s">
        <v>170</v>
      </c>
      <c r="E323" s="87">
        <v>44.380852320812153</v>
      </c>
      <c r="F323" s="87">
        <v>48.471143511116473</v>
      </c>
      <c r="G323" s="87">
        <v>46.208132134768377</v>
      </c>
      <c r="H323" s="87">
        <v>40.677960830278231</v>
      </c>
      <c r="I323" s="87">
        <v>44.665437498934708</v>
      </c>
      <c r="J323" s="87">
        <v>50.967822310251911</v>
      </c>
      <c r="K323" s="87">
        <v>53.934399680925431</v>
      </c>
      <c r="L323" s="87">
        <v>46.061880590804726</v>
      </c>
      <c r="N323" s="29">
        <v>46.360500095771158</v>
      </c>
      <c r="O323" s="29">
        <v>50.053529865502533</v>
      </c>
      <c r="P323" s="29">
        <v>48.933568207650097</v>
      </c>
      <c r="Q323" s="29">
        <v>42.437015843140806</v>
      </c>
      <c r="R323" s="29">
        <v>45.499472129462298</v>
      </c>
      <c r="S323" s="29">
        <v>50.525067292739536</v>
      </c>
      <c r="T323" s="29">
        <v>53.004977768473474</v>
      </c>
      <c r="U323" s="29">
        <v>46.417501097417578</v>
      </c>
      <c r="W323" s="30">
        <v>15.458150988323796</v>
      </c>
      <c r="X323" s="30">
        <v>16.938793490807949</v>
      </c>
      <c r="Y323" s="30">
        <v>26.888265018125491</v>
      </c>
      <c r="Z323" s="30">
        <v>7.7361802678364624</v>
      </c>
      <c r="AA323" s="30">
        <v>4.3254719950703908</v>
      </c>
      <c r="AB323" s="85">
        <v>12.973525534199133</v>
      </c>
      <c r="AC323" s="85">
        <v>9.8358349945882466</v>
      </c>
      <c r="AD323" s="90">
        <v>0</v>
      </c>
      <c r="AF323" s="29">
        <f t="shared" si="647"/>
        <v>46.360500095771158</v>
      </c>
      <c r="AG323" s="30">
        <f t="shared" si="648"/>
        <v>15.458150988323796</v>
      </c>
      <c r="AH323" s="32">
        <f t="shared" si="649"/>
        <v>-30.902349107447364</v>
      </c>
      <c r="AI323" s="33">
        <f t="shared" si="650"/>
        <v>-0.66656634513453339</v>
      </c>
      <c r="AK323" s="29">
        <f t="shared" si="639"/>
        <v>50.053529865502533</v>
      </c>
      <c r="AL323" s="30">
        <f t="shared" si="640"/>
        <v>16.938793490807949</v>
      </c>
      <c r="AM323" s="32">
        <f t="shared" si="651"/>
        <v>-33.114736374694587</v>
      </c>
      <c r="AN323" s="33">
        <f t="shared" si="652"/>
        <v>-0.6615864348363899</v>
      </c>
      <c r="AP323" s="29">
        <f t="shared" si="653"/>
        <v>48.933568207650097</v>
      </c>
      <c r="AQ323" s="30">
        <f t="shared" si="654"/>
        <v>26.888265018125491</v>
      </c>
      <c r="AR323" s="32">
        <f t="shared" si="655"/>
        <v>-22.045303189524606</v>
      </c>
      <c r="AS323" s="33">
        <f t="shared" si="656"/>
        <v>-0.45051493273441939</v>
      </c>
      <c r="AU323" s="31">
        <f t="shared" si="657"/>
        <v>42.437015843140806</v>
      </c>
      <c r="AV323" s="25">
        <f t="shared" si="658"/>
        <v>7.7361802678364624</v>
      </c>
      <c r="AW323" s="32">
        <f t="shared" si="659"/>
        <v>-34.700835575304346</v>
      </c>
      <c r="AX323" s="33">
        <f t="shared" si="660"/>
        <v>-0.81770206707202109</v>
      </c>
      <c r="AZ323" s="31">
        <f t="shared" si="641"/>
        <v>45.499472129462298</v>
      </c>
      <c r="BA323" s="25">
        <f t="shared" si="642"/>
        <v>4.3254719950703908</v>
      </c>
      <c r="BB323" s="32">
        <f t="shared" si="661"/>
        <v>-41.174000134391903</v>
      </c>
      <c r="BC323" s="33">
        <f t="shared" si="662"/>
        <v>-0.90493357850915557</v>
      </c>
      <c r="BE323" s="31">
        <f t="shared" si="663"/>
        <v>50.525067292739536</v>
      </c>
      <c r="BF323" s="25">
        <f t="shared" si="664"/>
        <v>12.973525534199133</v>
      </c>
      <c r="BG323" s="32">
        <f t="shared" si="665"/>
        <v>-37.551541758540402</v>
      </c>
      <c r="BH323" s="33">
        <f t="shared" si="666"/>
        <v>-0.7432259622925147</v>
      </c>
      <c r="BJ323" s="31">
        <f t="shared" si="643"/>
        <v>53.004977768473474</v>
      </c>
      <c r="BK323" s="25">
        <f t="shared" si="644"/>
        <v>9.8358349945882466</v>
      </c>
      <c r="BL323" s="32">
        <f t="shared" si="645"/>
        <v>-43.169142773885227</v>
      </c>
      <c r="BM323" s="33">
        <f t="shared" si="646"/>
        <v>-0.81443563588402357</v>
      </c>
      <c r="BO323" s="62"/>
      <c r="BP323" s="62"/>
      <c r="BQ323" s="62"/>
      <c r="BR323" s="63"/>
    </row>
    <row r="324" spans="1:70">
      <c r="A324" s="1"/>
      <c r="B324" s="1284"/>
      <c r="D324" s="5" t="s">
        <v>171</v>
      </c>
      <c r="E324" s="87">
        <v>20.950778885851005</v>
      </c>
      <c r="F324" s="87">
        <v>23.964671791243322</v>
      </c>
      <c r="G324" s="87">
        <v>31.695878023298846</v>
      </c>
      <c r="H324" s="87">
        <v>25.240622052458161</v>
      </c>
      <c r="I324" s="87">
        <v>17.993299938344119</v>
      </c>
      <c r="J324" s="87">
        <v>17.183492226405779</v>
      </c>
      <c r="K324" s="87">
        <v>21.545382030377713</v>
      </c>
      <c r="L324" s="87">
        <v>18.965852746665377</v>
      </c>
      <c r="N324" s="29">
        <v>21.585775102595953</v>
      </c>
      <c r="O324" s="29">
        <v>23.932714421105302</v>
      </c>
      <c r="P324" s="29">
        <v>29.758555382195226</v>
      </c>
      <c r="Q324" s="29">
        <v>23.188334933177405</v>
      </c>
      <c r="R324" s="29">
        <v>16.911967548447326</v>
      </c>
      <c r="S324" s="29">
        <v>15.786895061108382</v>
      </c>
      <c r="T324" s="29">
        <v>17.310015751145279</v>
      </c>
      <c r="U324" s="29">
        <v>15.155155355560241</v>
      </c>
      <c r="W324" s="30">
        <v>9.6651242036783138</v>
      </c>
      <c r="X324" s="30">
        <v>6.9261002708792541</v>
      </c>
      <c r="Y324" s="30">
        <v>19.33210253586892</v>
      </c>
      <c r="Z324" s="30">
        <v>26.963249432117735</v>
      </c>
      <c r="AA324" s="30">
        <v>23.32655654265961</v>
      </c>
      <c r="AB324" s="85">
        <v>27.772355456769287</v>
      </c>
      <c r="AC324" s="85">
        <v>21.785221548498566</v>
      </c>
      <c r="AD324" s="90">
        <v>0</v>
      </c>
      <c r="AF324" s="29">
        <f t="shared" si="647"/>
        <v>21.585775102595953</v>
      </c>
      <c r="AG324" s="30">
        <f t="shared" si="648"/>
        <v>9.6651242036783138</v>
      </c>
      <c r="AH324" s="32">
        <f t="shared" si="649"/>
        <v>-11.920650898917639</v>
      </c>
      <c r="AI324" s="33">
        <f t="shared" si="650"/>
        <v>-0.55224567300731464</v>
      </c>
      <c r="AK324" s="29">
        <f t="shared" si="639"/>
        <v>23.932714421105302</v>
      </c>
      <c r="AL324" s="30">
        <f t="shared" si="640"/>
        <v>6.9261002708792541</v>
      </c>
      <c r="AM324" s="32">
        <f t="shared" si="651"/>
        <v>-17.006614150226049</v>
      </c>
      <c r="AN324" s="33">
        <f t="shared" si="652"/>
        <v>-0.71060113997050822</v>
      </c>
      <c r="AP324" s="29">
        <f t="shared" si="653"/>
        <v>29.758555382195226</v>
      </c>
      <c r="AQ324" s="30">
        <f t="shared" si="654"/>
        <v>19.33210253586892</v>
      </c>
      <c r="AR324" s="32">
        <f t="shared" si="655"/>
        <v>-10.426452846326306</v>
      </c>
      <c r="AS324" s="33">
        <f t="shared" si="656"/>
        <v>-0.35036824578401859</v>
      </c>
      <c r="AU324" s="31">
        <f t="shared" si="657"/>
        <v>23.188334933177405</v>
      </c>
      <c r="AV324" s="25">
        <f t="shared" si="658"/>
        <v>26.963249432117735</v>
      </c>
      <c r="AW324" s="32">
        <f t="shared" si="659"/>
        <v>3.7749144989403298</v>
      </c>
      <c r="AX324" s="33">
        <f t="shared" si="660"/>
        <v>0.16279368526539859</v>
      </c>
      <c r="AZ324" s="31">
        <f t="shared" si="641"/>
        <v>16.911967548447326</v>
      </c>
      <c r="BA324" s="25">
        <f t="shared" si="642"/>
        <v>23.32655654265961</v>
      </c>
      <c r="BB324" s="32">
        <f t="shared" si="661"/>
        <v>6.4145889942122842</v>
      </c>
      <c r="BC324" s="33">
        <f t="shared" si="662"/>
        <v>0.37929288687650081</v>
      </c>
      <c r="BE324" s="31">
        <f t="shared" si="663"/>
        <v>15.786895061108382</v>
      </c>
      <c r="BF324" s="25">
        <f t="shared" si="664"/>
        <v>27.772355456769287</v>
      </c>
      <c r="BG324" s="32">
        <f t="shared" si="665"/>
        <v>11.985460395660905</v>
      </c>
      <c r="BH324" s="33">
        <f t="shared" si="666"/>
        <v>0.75920314598071559</v>
      </c>
      <c r="BJ324" s="31">
        <f t="shared" si="643"/>
        <v>17.310015751145279</v>
      </c>
      <c r="BK324" s="25">
        <f t="shared" si="644"/>
        <v>21.785221548498566</v>
      </c>
      <c r="BL324" s="32">
        <f t="shared" si="645"/>
        <v>4.4752057973532864</v>
      </c>
      <c r="BM324" s="33">
        <f t="shared" si="646"/>
        <v>0.25853273975543289</v>
      </c>
      <c r="BO324" s="62"/>
      <c r="BP324" s="62"/>
      <c r="BQ324" s="62"/>
      <c r="BR324" s="63"/>
    </row>
    <row r="325" spans="1:70">
      <c r="A325" s="1"/>
      <c r="B325" s="1284"/>
      <c r="D325" s="5" t="s">
        <v>172</v>
      </c>
      <c r="E325" s="87">
        <v>32.265601757691655</v>
      </c>
      <c r="F325" s="87">
        <v>29.168486343154328</v>
      </c>
      <c r="G325" s="87">
        <v>23.875516732497449</v>
      </c>
      <c r="H325" s="87">
        <v>19.078179189361698</v>
      </c>
      <c r="I325" s="87">
        <v>18.227544281968395</v>
      </c>
      <c r="J325" s="87">
        <v>28.850578170589237</v>
      </c>
      <c r="K325" s="87">
        <v>30.891778685455645</v>
      </c>
      <c r="L325" s="87">
        <v>25.294626536828837</v>
      </c>
      <c r="N325" s="29">
        <v>31.105534391096455</v>
      </c>
      <c r="O325" s="29">
        <v>26.576174743981287</v>
      </c>
      <c r="P325" s="29">
        <v>21.944352473232769</v>
      </c>
      <c r="Q325" s="29">
        <v>17.164620761552779</v>
      </c>
      <c r="R325" s="29">
        <v>15.700260403682217</v>
      </c>
      <c r="S325" s="29">
        <v>25.133470192591254</v>
      </c>
      <c r="T325" s="29">
        <v>26.059747281717534</v>
      </c>
      <c r="U325" s="29">
        <v>19.843150822482212</v>
      </c>
      <c r="W325" s="30">
        <v>25.323867193462135</v>
      </c>
      <c r="X325" s="30">
        <v>25.72483211070244</v>
      </c>
      <c r="Y325" s="30">
        <v>21.79848956312123</v>
      </c>
      <c r="Z325" s="30">
        <v>19.772994469935941</v>
      </c>
      <c r="AA325" s="30">
        <v>14.526458785981131</v>
      </c>
      <c r="AB325" s="85">
        <v>10.144305885529526</v>
      </c>
      <c r="AC325" s="85">
        <v>25.387338800296941</v>
      </c>
      <c r="AD325" s="90">
        <v>0</v>
      </c>
      <c r="AF325" s="29">
        <f t="shared" si="647"/>
        <v>31.105534391096455</v>
      </c>
      <c r="AG325" s="30">
        <f t="shared" si="648"/>
        <v>25.323867193462135</v>
      </c>
      <c r="AH325" s="32">
        <f t="shared" si="649"/>
        <v>-5.7816671976343201</v>
      </c>
      <c r="AI325" s="33">
        <f t="shared" si="650"/>
        <v>-0.18587262076710198</v>
      </c>
      <c r="AK325" s="29">
        <f t="shared" si="639"/>
        <v>26.576174743981287</v>
      </c>
      <c r="AL325" s="30">
        <f t="shared" si="640"/>
        <v>25.72483211070244</v>
      </c>
      <c r="AM325" s="32">
        <f t="shared" si="651"/>
        <v>-0.85134263327884696</v>
      </c>
      <c r="AN325" s="33">
        <f t="shared" si="652"/>
        <v>-3.2034054617722997E-2</v>
      </c>
      <c r="AP325" s="29">
        <f t="shared" si="653"/>
        <v>21.944352473232769</v>
      </c>
      <c r="AQ325" s="30">
        <f t="shared" si="654"/>
        <v>21.79848956312123</v>
      </c>
      <c r="AR325" s="32">
        <f t="shared" si="655"/>
        <v>-0.14586291011153918</v>
      </c>
      <c r="AS325" s="33">
        <f t="shared" si="656"/>
        <v>-6.6469452807714196E-3</v>
      </c>
      <c r="AU325" s="31">
        <f t="shared" si="657"/>
        <v>17.164620761552779</v>
      </c>
      <c r="AV325" s="25">
        <f t="shared" si="658"/>
        <v>19.772994469935941</v>
      </c>
      <c r="AW325" s="32">
        <f t="shared" si="659"/>
        <v>2.6083737083831622</v>
      </c>
      <c r="AX325" s="33">
        <f t="shared" si="660"/>
        <v>0.15196221021239728</v>
      </c>
      <c r="AZ325" s="31">
        <f t="shared" si="641"/>
        <v>15.700260403682217</v>
      </c>
      <c r="BA325" s="25">
        <f t="shared" si="642"/>
        <v>14.526458785981131</v>
      </c>
      <c r="BB325" s="32">
        <f t="shared" si="661"/>
        <v>-1.1738016177010859</v>
      </c>
      <c r="BC325" s="33">
        <f t="shared" si="662"/>
        <v>-7.4763194209555378E-2</v>
      </c>
      <c r="BE325" s="31">
        <f t="shared" si="663"/>
        <v>25.133470192591254</v>
      </c>
      <c r="BF325" s="25">
        <f t="shared" si="664"/>
        <v>10.144305885529526</v>
      </c>
      <c r="BG325" s="32">
        <f t="shared" si="665"/>
        <v>-14.989164307061728</v>
      </c>
      <c r="BH325" s="33">
        <f t="shared" si="666"/>
        <v>-0.59638260026186818</v>
      </c>
      <c r="BJ325" s="31">
        <f t="shared" si="643"/>
        <v>26.059747281717534</v>
      </c>
      <c r="BK325" s="25">
        <f t="shared" si="644"/>
        <v>25.387338800296941</v>
      </c>
      <c r="BL325" s="32">
        <f t="shared" si="645"/>
        <v>-0.67240848142059306</v>
      </c>
      <c r="BM325" s="33">
        <f t="shared" si="646"/>
        <v>-2.5802571074521805E-2</v>
      </c>
      <c r="BO325" s="62"/>
      <c r="BP325" s="62"/>
      <c r="BQ325" s="62"/>
      <c r="BR325" s="63"/>
    </row>
    <row r="326" spans="1:70">
      <c r="A326" s="1"/>
      <c r="B326" s="1284"/>
      <c r="D326" s="5" t="s">
        <v>28</v>
      </c>
      <c r="E326" s="87">
        <v>7.3649908926725436</v>
      </c>
      <c r="F326" s="87">
        <v>8.1219006392955251</v>
      </c>
      <c r="G326" s="87">
        <v>10.658257860355192</v>
      </c>
      <c r="H326" s="87">
        <v>9.9429656454279609</v>
      </c>
      <c r="I326" s="87">
        <v>10.325376263412563</v>
      </c>
      <c r="J326" s="87">
        <v>8.5927220122227688</v>
      </c>
      <c r="K326" s="87">
        <v>11.016495261293079</v>
      </c>
      <c r="L326" s="87">
        <v>10.370720569930995</v>
      </c>
      <c r="N326" s="29">
        <v>5.3930826413264361</v>
      </c>
      <c r="O326" s="29">
        <v>6.2712087631042026</v>
      </c>
      <c r="P326" s="29">
        <v>8.3504028907894785</v>
      </c>
      <c r="Q326" s="29">
        <v>8.5721263544497255</v>
      </c>
      <c r="R326" s="29">
        <v>10.284481884176829</v>
      </c>
      <c r="S326" s="29">
        <v>9.6466378431725861</v>
      </c>
      <c r="T326" s="29">
        <v>11.717328331823042</v>
      </c>
      <c r="U326" s="29">
        <v>11.021991028084662</v>
      </c>
      <c r="W326" s="30">
        <v>3.2485018447411655</v>
      </c>
      <c r="X326" s="30">
        <v>3.889447887339168</v>
      </c>
      <c r="Y326" s="30">
        <v>1.4591302389473568</v>
      </c>
      <c r="Z326" s="30">
        <v>2.7126997011180061</v>
      </c>
      <c r="AA326" s="30">
        <v>7.2268175035817253</v>
      </c>
      <c r="AB326" s="85">
        <v>6.5709875861419453</v>
      </c>
      <c r="AC326" s="85">
        <v>13.655067839999999</v>
      </c>
      <c r="AD326" s="90">
        <v>0</v>
      </c>
      <c r="AF326" s="29">
        <f t="shared" si="647"/>
        <v>5.3930826413264361</v>
      </c>
      <c r="AG326" s="30">
        <f t="shared" si="648"/>
        <v>3.2485018447411655</v>
      </c>
      <c r="AH326" s="32">
        <f t="shared" si="649"/>
        <v>-2.1445807965852706</v>
      </c>
      <c r="AI326" s="33">
        <f t="shared" si="650"/>
        <v>-0.39765398367005328</v>
      </c>
      <c r="AK326" s="29">
        <f t="shared" si="639"/>
        <v>6.2712087631042026</v>
      </c>
      <c r="AL326" s="30">
        <f t="shared" si="640"/>
        <v>3.889447887339168</v>
      </c>
      <c r="AM326" s="32">
        <f t="shared" si="651"/>
        <v>-2.3817608757650346</v>
      </c>
      <c r="AN326" s="33">
        <f t="shared" si="652"/>
        <v>-0.37979294992981233</v>
      </c>
      <c r="AP326" s="29">
        <f t="shared" si="653"/>
        <v>8.3504028907894785</v>
      </c>
      <c r="AQ326" s="30">
        <f t="shared" si="654"/>
        <v>1.4591302389473568</v>
      </c>
      <c r="AR326" s="32">
        <f t="shared" si="655"/>
        <v>-6.8912726518421215</v>
      </c>
      <c r="AS326" s="33">
        <f t="shared" si="656"/>
        <v>-0.82526229476223445</v>
      </c>
      <c r="AU326" s="31">
        <f t="shared" si="657"/>
        <v>8.5721263544497255</v>
      </c>
      <c r="AV326" s="25">
        <f t="shared" si="658"/>
        <v>2.7126997011180061</v>
      </c>
      <c r="AW326" s="32">
        <f t="shared" si="659"/>
        <v>-5.8594266533317194</v>
      </c>
      <c r="AX326" s="33">
        <f t="shared" si="660"/>
        <v>-0.68354413024839933</v>
      </c>
      <c r="AZ326" s="31">
        <f t="shared" si="641"/>
        <v>10.284481884176829</v>
      </c>
      <c r="BA326" s="25">
        <f t="shared" si="642"/>
        <v>7.2268175035817253</v>
      </c>
      <c r="BB326" s="32">
        <f t="shared" si="661"/>
        <v>-3.0576643805951038</v>
      </c>
      <c r="BC326" s="33">
        <f t="shared" si="662"/>
        <v>-0.2973085484548782</v>
      </c>
      <c r="BE326" s="31">
        <f t="shared" si="663"/>
        <v>9.6466378431725861</v>
      </c>
      <c r="BF326" s="25">
        <f t="shared" si="664"/>
        <v>6.5709875861419453</v>
      </c>
      <c r="BG326" s="32">
        <f t="shared" si="665"/>
        <v>-3.0756502570306408</v>
      </c>
      <c r="BH326" s="33">
        <f t="shared" si="666"/>
        <v>-0.3188313179194795</v>
      </c>
      <c r="BJ326" s="31">
        <f t="shared" si="643"/>
        <v>11.717328331823042</v>
      </c>
      <c r="BK326" s="25">
        <f t="shared" si="644"/>
        <v>13.655067839999999</v>
      </c>
      <c r="BL326" s="32">
        <f t="shared" si="645"/>
        <v>1.9377395081769571</v>
      </c>
      <c r="BM326" s="33">
        <f t="shared" si="646"/>
        <v>0.16537383380426907</v>
      </c>
      <c r="BO326" s="62"/>
      <c r="BP326" s="62"/>
      <c r="BQ326" s="62"/>
      <c r="BR326" s="63"/>
    </row>
    <row r="327" spans="1:70">
      <c r="A327" s="1"/>
      <c r="B327" s="1284"/>
      <c r="D327" s="5" t="s">
        <v>173</v>
      </c>
      <c r="E327" s="87">
        <v>34.499924847281314</v>
      </c>
      <c r="F327" s="87">
        <v>44.902142363170775</v>
      </c>
      <c r="G327" s="87">
        <v>35.77716543106316</v>
      </c>
      <c r="H327" s="87">
        <v>41.826033360137806</v>
      </c>
      <c r="I327" s="87">
        <v>21.133407026693227</v>
      </c>
      <c r="J327" s="87">
        <v>37.46351347294793</v>
      </c>
      <c r="K327" s="87">
        <v>54.98683250969804</v>
      </c>
      <c r="L327" s="87">
        <v>48.452519722214376</v>
      </c>
      <c r="N327" s="29">
        <v>30.044152999761394</v>
      </c>
      <c r="O327" s="29">
        <v>38.198243532306272</v>
      </c>
      <c r="P327" s="29">
        <v>30.43076884176179</v>
      </c>
      <c r="Q327" s="29">
        <v>34.831114841174518</v>
      </c>
      <c r="R327" s="29">
        <v>20.046857310187065</v>
      </c>
      <c r="S327" s="29">
        <v>31.409107489711438</v>
      </c>
      <c r="T327" s="29">
        <v>44.682053960371341</v>
      </c>
      <c r="U327" s="29">
        <v>38.915204980036897</v>
      </c>
      <c r="W327" s="30">
        <v>15.164137901304819</v>
      </c>
      <c r="X327" s="30">
        <v>15.255877029244049</v>
      </c>
      <c r="Y327" s="30">
        <v>17.894178786955568</v>
      </c>
      <c r="Z327" s="30">
        <v>19.49132858810518</v>
      </c>
      <c r="AA327" s="30">
        <v>14.421190681702786</v>
      </c>
      <c r="AB327" s="85">
        <v>18.309207656982736</v>
      </c>
      <c r="AC327" s="85">
        <v>18.077543819999999</v>
      </c>
      <c r="AD327" s="90">
        <v>0</v>
      </c>
      <c r="AF327" s="29">
        <f t="shared" si="647"/>
        <v>30.044152999761394</v>
      </c>
      <c r="AG327" s="30">
        <f t="shared" si="648"/>
        <v>15.164137901304819</v>
      </c>
      <c r="AH327" s="32">
        <f t="shared" si="649"/>
        <v>-14.880015098456575</v>
      </c>
      <c r="AI327" s="33">
        <f t="shared" si="650"/>
        <v>-0.49527157908478064</v>
      </c>
      <c r="AK327" s="29">
        <f t="shared" si="639"/>
        <v>38.198243532306272</v>
      </c>
      <c r="AL327" s="30">
        <f t="shared" si="640"/>
        <v>15.255877029244049</v>
      </c>
      <c r="AM327" s="32">
        <f t="shared" si="651"/>
        <v>-22.942366503062225</v>
      </c>
      <c r="AN327" s="33">
        <f t="shared" si="652"/>
        <v>-0.60061312724127369</v>
      </c>
      <c r="AP327" s="29">
        <f t="shared" si="653"/>
        <v>30.43076884176179</v>
      </c>
      <c r="AQ327" s="30">
        <f t="shared" si="654"/>
        <v>17.894178786955568</v>
      </c>
      <c r="AR327" s="32">
        <f t="shared" si="655"/>
        <v>-12.536590054806222</v>
      </c>
      <c r="AS327" s="33">
        <f t="shared" si="656"/>
        <v>-0.41197086146576689</v>
      </c>
      <c r="AU327" s="31">
        <f t="shared" si="657"/>
        <v>34.831114841174518</v>
      </c>
      <c r="AV327" s="25">
        <f t="shared" si="658"/>
        <v>19.49132858810518</v>
      </c>
      <c r="AW327" s="32">
        <f t="shared" si="659"/>
        <v>-15.339786253069338</v>
      </c>
      <c r="AX327" s="33">
        <f t="shared" si="660"/>
        <v>-0.44040468767700447</v>
      </c>
      <c r="AZ327" s="31">
        <f t="shared" si="641"/>
        <v>20.046857310187065</v>
      </c>
      <c r="BA327" s="25">
        <f t="shared" si="642"/>
        <v>14.421190681702786</v>
      </c>
      <c r="BB327" s="32">
        <f t="shared" si="661"/>
        <v>-5.6256666284842787</v>
      </c>
      <c r="BC327" s="33">
        <f t="shared" si="662"/>
        <v>-0.28062586276929924</v>
      </c>
      <c r="BE327" s="31">
        <f t="shared" si="663"/>
        <v>31.409107489711438</v>
      </c>
      <c r="BF327" s="25">
        <f t="shared" si="664"/>
        <v>18.309207656982736</v>
      </c>
      <c r="BG327" s="32">
        <f t="shared" si="665"/>
        <v>-13.099899832728703</v>
      </c>
      <c r="BH327" s="33">
        <f t="shared" si="666"/>
        <v>-0.41707329114715491</v>
      </c>
      <c r="BJ327" s="31">
        <f t="shared" si="643"/>
        <v>44.682053960371341</v>
      </c>
      <c r="BK327" s="25">
        <f t="shared" si="644"/>
        <v>18.077543819999999</v>
      </c>
      <c r="BL327" s="32">
        <f t="shared" si="645"/>
        <v>-26.604510140371342</v>
      </c>
      <c r="BM327" s="33">
        <f t="shared" si="646"/>
        <v>-0.59541824473796501</v>
      </c>
      <c r="BO327" s="62"/>
      <c r="BP327" s="62"/>
      <c r="BQ327" s="62"/>
      <c r="BR327" s="63"/>
    </row>
    <row r="328" spans="1:70">
      <c r="A328" s="1"/>
      <c r="B328" s="1284"/>
      <c r="D328" s="4" t="s">
        <v>174</v>
      </c>
      <c r="E328" s="88">
        <f t="shared" ref="E328:L328" si="667">SUM(E314:E327)</f>
        <v>383.35547442387622</v>
      </c>
      <c r="F328" s="88">
        <f t="shared" si="667"/>
        <v>398.06454877625248</v>
      </c>
      <c r="G328" s="88">
        <f t="shared" si="667"/>
        <v>350.41459612386899</v>
      </c>
      <c r="H328" s="88">
        <f t="shared" si="667"/>
        <v>357.01421417773315</v>
      </c>
      <c r="I328" s="88">
        <f t="shared" si="667"/>
        <v>346.81860597105685</v>
      </c>
      <c r="J328" s="88">
        <f t="shared" si="667"/>
        <v>375.49938914063682</v>
      </c>
      <c r="K328" s="88">
        <f t="shared" si="667"/>
        <v>420.76864768902459</v>
      </c>
      <c r="L328" s="88">
        <f t="shared" si="667"/>
        <v>388.36571095709712</v>
      </c>
      <c r="M328" s="1"/>
      <c r="N328" s="81">
        <f t="shared" ref="N328:U328" si="668">SUM(N314:N327)</f>
        <v>359.22110295950711</v>
      </c>
      <c r="O328" s="81">
        <f t="shared" si="668"/>
        <v>371.07340967616176</v>
      </c>
      <c r="P328" s="81">
        <f t="shared" si="668"/>
        <v>328.7191368513794</v>
      </c>
      <c r="Q328" s="81">
        <f t="shared" si="668"/>
        <v>334.99410899519881</v>
      </c>
      <c r="R328" s="81">
        <f t="shared" si="668"/>
        <v>327.35620950376881</v>
      </c>
      <c r="S328" s="81">
        <f t="shared" si="668"/>
        <v>350.24146593041786</v>
      </c>
      <c r="T328" s="81">
        <f t="shared" si="668"/>
        <v>385.95615381519713</v>
      </c>
      <c r="U328" s="81">
        <f t="shared" si="668"/>
        <v>359.21726224861982</v>
      </c>
      <c r="V328" s="1"/>
      <c r="W328" s="85">
        <f t="shared" ref="W328:AD328" si="669">SUM(W314:W327)</f>
        <v>212.00187760252211</v>
      </c>
      <c r="X328" s="85">
        <f t="shared" si="669"/>
        <v>175.06820439924118</v>
      </c>
      <c r="Y328" s="85">
        <f t="shared" si="669"/>
        <v>193.50913866633013</v>
      </c>
      <c r="Z328" s="85">
        <f>SUM(Z314:Z327)</f>
        <v>161.94492577409082</v>
      </c>
      <c r="AA328" s="85">
        <f>SUM(AA314:AA327)</f>
        <v>149.04753112210835</v>
      </c>
      <c r="AB328" s="85">
        <f t="shared" si="669"/>
        <v>214.74684072309998</v>
      </c>
      <c r="AC328" s="85">
        <f t="shared" ref="AC328" si="670">SUM(AC314:AC327)</f>
        <v>278.19019274257914</v>
      </c>
      <c r="AD328" s="91">
        <f t="shared" si="669"/>
        <v>0</v>
      </c>
      <c r="AE328" s="1"/>
      <c r="AF328" s="81">
        <f t="shared" si="647"/>
        <v>359.22110295950711</v>
      </c>
      <c r="AG328" s="85">
        <f t="shared" si="648"/>
        <v>212.00187760252211</v>
      </c>
      <c r="AH328" s="34">
        <f t="shared" si="649"/>
        <v>-147.21922535698499</v>
      </c>
      <c r="AI328" s="35">
        <f t="shared" si="650"/>
        <v>-0.40982899986691529</v>
      </c>
      <c r="AK328" s="81">
        <f t="shared" si="639"/>
        <v>371.07340967616176</v>
      </c>
      <c r="AL328" s="85">
        <f t="shared" si="640"/>
        <v>175.06820439924118</v>
      </c>
      <c r="AM328" s="34">
        <f t="shared" si="651"/>
        <v>-196.00520527692058</v>
      </c>
      <c r="AN328" s="35">
        <f t="shared" si="652"/>
        <v>-0.52821140013232326</v>
      </c>
      <c r="AP328" s="81">
        <f t="shared" si="653"/>
        <v>328.7191368513794</v>
      </c>
      <c r="AQ328" s="85">
        <f t="shared" si="654"/>
        <v>193.50913866633013</v>
      </c>
      <c r="AR328" s="34">
        <f t="shared" si="655"/>
        <v>-135.20999818504927</v>
      </c>
      <c r="AS328" s="35">
        <f t="shared" si="656"/>
        <v>-0.41132378078183035</v>
      </c>
      <c r="AU328" s="949">
        <f t="shared" si="657"/>
        <v>334.99410899519881</v>
      </c>
      <c r="AV328" s="843">
        <f t="shared" si="658"/>
        <v>161.94492577409082</v>
      </c>
      <c r="AW328" s="34">
        <f t="shared" si="659"/>
        <v>-173.049183221108</v>
      </c>
      <c r="AX328" s="35">
        <f t="shared" si="660"/>
        <v>-0.51657381002956138</v>
      </c>
      <c r="AZ328" s="949">
        <f t="shared" si="641"/>
        <v>327.35620950376881</v>
      </c>
      <c r="BA328" s="843">
        <f t="shared" si="642"/>
        <v>149.04753112210835</v>
      </c>
      <c r="BB328" s="34">
        <f t="shared" si="661"/>
        <v>-178.30867838166046</v>
      </c>
      <c r="BC328" s="35">
        <f t="shared" si="662"/>
        <v>-0.54469313000646657</v>
      </c>
      <c r="BE328" s="31">
        <f t="shared" si="663"/>
        <v>350.24146593041786</v>
      </c>
      <c r="BF328" s="25">
        <f t="shared" si="664"/>
        <v>214.74684072309998</v>
      </c>
      <c r="BG328" s="32">
        <f t="shared" si="665"/>
        <v>-135.49462520731788</v>
      </c>
      <c r="BH328" s="33">
        <f t="shared" si="666"/>
        <v>-0.38686060443293274</v>
      </c>
      <c r="BJ328" s="31">
        <f t="shared" si="643"/>
        <v>385.95615381519713</v>
      </c>
      <c r="BK328" s="25">
        <f t="shared" si="644"/>
        <v>278.19019274257914</v>
      </c>
      <c r="BL328" s="32">
        <f t="shared" si="645"/>
        <v>-107.76596107261798</v>
      </c>
      <c r="BM328" s="33">
        <f t="shared" si="646"/>
        <v>-0.27921814436004122</v>
      </c>
      <c r="BO328" s="62"/>
      <c r="BP328" s="62"/>
      <c r="BQ328" s="62"/>
      <c r="BR328" s="63"/>
    </row>
    <row r="329" spans="1:70">
      <c r="A329" s="1"/>
      <c r="B329" s="1284"/>
      <c r="D329" s="4" t="s">
        <v>724</v>
      </c>
      <c r="E329" s="88">
        <f t="shared" ref="E329:L329" si="671">E328-SUM(E317:E320)</f>
        <v>281.88056416285019</v>
      </c>
      <c r="F329" s="88">
        <f t="shared" si="671"/>
        <v>302.56455451557576</v>
      </c>
      <c r="G329" s="88">
        <f t="shared" si="671"/>
        <v>285.9755071244731</v>
      </c>
      <c r="H329" s="88">
        <f t="shared" si="671"/>
        <v>265.6894896026804</v>
      </c>
      <c r="I329" s="88">
        <f t="shared" si="671"/>
        <v>255.04646210779435</v>
      </c>
      <c r="J329" s="88">
        <f t="shared" si="671"/>
        <v>277.0836099520933</v>
      </c>
      <c r="K329" s="88">
        <f t="shared" si="671"/>
        <v>303.65909541197783</v>
      </c>
      <c r="L329" s="88">
        <f t="shared" si="671"/>
        <v>271.70833117420347</v>
      </c>
      <c r="M329" s="1"/>
      <c r="N329" s="81">
        <f t="shared" ref="N329:U329" si="672">N328-SUM(N317:N320)</f>
        <v>257.74619269848108</v>
      </c>
      <c r="O329" s="81">
        <f t="shared" si="672"/>
        <v>275.5734154154851</v>
      </c>
      <c r="P329" s="81">
        <f t="shared" si="672"/>
        <v>264.28004785198351</v>
      </c>
      <c r="Q329" s="81">
        <f t="shared" si="672"/>
        <v>243.66938442014606</v>
      </c>
      <c r="R329" s="81">
        <f t="shared" si="672"/>
        <v>235.58406564050631</v>
      </c>
      <c r="S329" s="81">
        <f t="shared" si="672"/>
        <v>251.82568674187434</v>
      </c>
      <c r="T329" s="81">
        <f t="shared" si="672"/>
        <v>268.84660153815037</v>
      </c>
      <c r="U329" s="81">
        <f t="shared" si="672"/>
        <v>242.55988246572616</v>
      </c>
      <c r="V329" s="1"/>
      <c r="W329" s="85">
        <f t="shared" ref="W329:AD329" si="673">W328-SUM(W317:W320)</f>
        <v>133.0430448958117</v>
      </c>
      <c r="X329" s="85">
        <f t="shared" si="673"/>
        <v>121.06222638632005</v>
      </c>
      <c r="Y329" s="85">
        <f t="shared" si="673"/>
        <v>140.43011674845215</v>
      </c>
      <c r="Z329" s="85">
        <f>Z328-SUM(Z317:Z320)</f>
        <v>131.54840434793977</v>
      </c>
      <c r="AA329" s="85">
        <f>AA328-SUM(AA317:AA320)</f>
        <v>118.63018309807879</v>
      </c>
      <c r="AB329" s="85">
        <f t="shared" si="673"/>
        <v>124.11513299721636</v>
      </c>
      <c r="AC329" s="85">
        <f t="shared" ref="AC329" si="674">AC328-SUM(AC317:AC320)</f>
        <v>163.58079274257915</v>
      </c>
      <c r="AD329" s="91">
        <f t="shared" si="673"/>
        <v>0</v>
      </c>
      <c r="AE329" s="1"/>
      <c r="AF329" s="81">
        <f t="shared" si="647"/>
        <v>257.74619269848108</v>
      </c>
      <c r="AG329" s="85">
        <f t="shared" si="648"/>
        <v>133.0430448958117</v>
      </c>
      <c r="AH329" s="34">
        <f t="shared" si="649"/>
        <v>-124.70314780266938</v>
      </c>
      <c r="AI329" s="35">
        <f t="shared" si="650"/>
        <v>-0.48382149314054351</v>
      </c>
      <c r="AK329" s="81">
        <f t="shared" si="639"/>
        <v>275.5734154154851</v>
      </c>
      <c r="AL329" s="85">
        <f t="shared" si="640"/>
        <v>121.06222638632005</v>
      </c>
      <c r="AM329" s="34">
        <f t="shared" si="651"/>
        <v>-154.51118902916505</v>
      </c>
      <c r="AN329" s="35">
        <f t="shared" si="652"/>
        <v>-0.56068974866899557</v>
      </c>
      <c r="AP329" s="81">
        <f t="shared" si="653"/>
        <v>264.28004785198351</v>
      </c>
      <c r="AQ329" s="85">
        <f>Y329</f>
        <v>140.43011674845215</v>
      </c>
      <c r="AR329" s="34">
        <f t="shared" si="655"/>
        <v>-123.84993110353136</v>
      </c>
      <c r="AS329" s="35">
        <f t="shared" si="656"/>
        <v>-0.46863140865214514</v>
      </c>
      <c r="AU329" s="949">
        <f t="shared" si="657"/>
        <v>243.66938442014606</v>
      </c>
      <c r="AV329" s="843">
        <f t="shared" si="658"/>
        <v>131.54840434793977</v>
      </c>
      <c r="AW329" s="34">
        <f t="shared" si="659"/>
        <v>-112.12098007220629</v>
      </c>
      <c r="AX329" s="35">
        <f t="shared" si="660"/>
        <v>-0.46013568893366635</v>
      </c>
      <c r="AZ329" s="949">
        <f t="shared" si="641"/>
        <v>235.58406564050631</v>
      </c>
      <c r="BA329" s="843">
        <f t="shared" si="642"/>
        <v>118.63018309807879</v>
      </c>
      <c r="BB329" s="34">
        <f t="shared" si="661"/>
        <v>-116.95388254242752</v>
      </c>
      <c r="BC329" s="35">
        <f t="shared" si="662"/>
        <v>-0.49644224546534221</v>
      </c>
      <c r="BE329" s="31">
        <f t="shared" si="663"/>
        <v>251.82568674187434</v>
      </c>
      <c r="BF329" s="25">
        <f t="shared" si="664"/>
        <v>124.11513299721636</v>
      </c>
      <c r="BG329" s="32">
        <f t="shared" si="665"/>
        <v>-127.71055374465797</v>
      </c>
      <c r="BH329" s="33">
        <f t="shared" si="666"/>
        <v>-0.50713870930713867</v>
      </c>
      <c r="BJ329" s="31">
        <f t="shared" si="643"/>
        <v>268.84660153815037</v>
      </c>
      <c r="BK329" s="25">
        <f t="shared" si="644"/>
        <v>163.58079274257915</v>
      </c>
      <c r="BL329" s="32">
        <f t="shared" si="645"/>
        <v>-105.26580879557122</v>
      </c>
      <c r="BM329" s="33">
        <f t="shared" si="646"/>
        <v>-0.39154599014201635</v>
      </c>
      <c r="BO329" s="62"/>
      <c r="BP329" s="62"/>
      <c r="BQ329" s="62"/>
      <c r="BR329" s="63"/>
    </row>
    <row r="330" spans="1:70" ht="14.5" customHeight="1">
      <c r="A330" s="1"/>
      <c r="B330" s="1284"/>
    </row>
    <row r="331" spans="1:70" ht="14.5" customHeight="1">
      <c r="A331" s="1"/>
      <c r="B331" s="1284"/>
      <c r="D331" s="1" t="s">
        <v>64</v>
      </c>
      <c r="AA331" s="122"/>
      <c r="AB331" s="122"/>
    </row>
    <row r="332" spans="1:70" ht="14.5" customHeight="1">
      <c r="A332" s="1"/>
      <c r="B332" s="1284"/>
      <c r="E332" s="1300" t="s">
        <v>733</v>
      </c>
      <c r="F332" s="1301"/>
      <c r="G332" s="1301"/>
      <c r="H332" s="1301"/>
      <c r="I332" s="1301"/>
      <c r="J332" s="1301"/>
      <c r="K332" s="1301"/>
      <c r="L332" s="1302"/>
      <c r="N332" s="245" t="s">
        <v>291</v>
      </c>
      <c r="O332" s="246"/>
      <c r="P332" s="246"/>
      <c r="Q332" s="246"/>
      <c r="R332" s="246"/>
      <c r="S332" s="246"/>
      <c r="T332" s="246"/>
      <c r="U332" s="247"/>
      <c r="W332" s="1079" t="s">
        <v>292</v>
      </c>
      <c r="X332" s="1080"/>
      <c r="Y332" s="1080"/>
      <c r="Z332" s="1080"/>
      <c r="AA332" s="1080"/>
      <c r="AB332" s="1080"/>
      <c r="AC332" s="1080"/>
      <c r="AD332" s="1081"/>
      <c r="AF332" s="102" t="s">
        <v>297</v>
      </c>
      <c r="AG332" s="102" t="s">
        <v>298</v>
      </c>
      <c r="AH332" s="1304" t="s">
        <v>602</v>
      </c>
      <c r="AI332" s="1304"/>
      <c r="AK332" s="102" t="s">
        <v>297</v>
      </c>
      <c r="AL332" s="102" t="s">
        <v>298</v>
      </c>
      <c r="AM332" s="1304" t="s">
        <v>602</v>
      </c>
      <c r="AN332" s="1304"/>
      <c r="AP332" s="6" t="s">
        <v>297</v>
      </c>
      <c r="AQ332" s="5" t="s">
        <v>298</v>
      </c>
      <c r="AR332" s="1303" t="s">
        <v>602</v>
      </c>
      <c r="AS332" s="1303"/>
      <c r="AU332" s="6" t="s">
        <v>297</v>
      </c>
      <c r="AV332" s="5" t="s">
        <v>298</v>
      </c>
      <c r="AW332" s="1303" t="s">
        <v>602</v>
      </c>
      <c r="AX332" s="1303"/>
      <c r="AZ332" s="6" t="s">
        <v>297</v>
      </c>
      <c r="BA332" s="5" t="s">
        <v>298</v>
      </c>
      <c r="BB332" s="1303" t="s">
        <v>602</v>
      </c>
      <c r="BC332" s="1303"/>
      <c r="BE332" s="6" t="s">
        <v>297</v>
      </c>
      <c r="BF332" s="5" t="s">
        <v>298</v>
      </c>
      <c r="BG332" s="1082" t="s">
        <v>602</v>
      </c>
      <c r="BH332" s="1082"/>
      <c r="BJ332" s="6" t="s">
        <v>297</v>
      </c>
      <c r="BK332" s="5" t="s">
        <v>298</v>
      </c>
      <c r="BL332" s="1082" t="s">
        <v>602</v>
      </c>
      <c r="BM332" s="1082"/>
      <c r="BO332" s="6" t="s">
        <v>297</v>
      </c>
      <c r="BP332" s="5" t="s">
        <v>298</v>
      </c>
      <c r="BQ332" s="1303" t="s">
        <v>602</v>
      </c>
      <c r="BR332" s="1303"/>
    </row>
    <row r="333" spans="1:70" ht="14.5" customHeight="1">
      <c r="A333" s="1"/>
      <c r="B333" s="1284"/>
      <c r="E333" s="196" t="s">
        <v>137</v>
      </c>
      <c r="F333" s="102" t="s">
        <v>138</v>
      </c>
      <c r="G333" s="102" t="s">
        <v>139</v>
      </c>
      <c r="H333" s="102" t="s">
        <v>740</v>
      </c>
      <c r="I333" s="102" t="s">
        <v>141</v>
      </c>
      <c r="J333" s="102" t="s">
        <v>126</v>
      </c>
      <c r="K333" s="102" t="s">
        <v>142</v>
      </c>
      <c r="L333" s="197" t="s">
        <v>143</v>
      </c>
      <c r="N333" s="196" t="s">
        <v>137</v>
      </c>
      <c r="O333" s="102" t="s">
        <v>138</v>
      </c>
      <c r="P333" s="102" t="s">
        <v>139</v>
      </c>
      <c r="Q333" s="102" t="s">
        <v>140</v>
      </c>
      <c r="R333" s="102" t="s">
        <v>141</v>
      </c>
      <c r="S333" s="102" t="s">
        <v>126</v>
      </c>
      <c r="T333" s="102" t="s">
        <v>142</v>
      </c>
      <c r="U333" s="197" t="s">
        <v>143</v>
      </c>
      <c r="W333" s="196" t="s">
        <v>137</v>
      </c>
      <c r="X333" s="1078" t="s">
        <v>138</v>
      </c>
      <c r="Y333" s="1078" t="s">
        <v>139</v>
      </c>
      <c r="Z333" s="1078" t="s">
        <v>140</v>
      </c>
      <c r="AA333" s="1078" t="s">
        <v>141</v>
      </c>
      <c r="AB333" s="1078" t="s">
        <v>126</v>
      </c>
      <c r="AC333" s="1078" t="s">
        <v>142</v>
      </c>
      <c r="AD333" s="197" t="s">
        <v>143</v>
      </c>
      <c r="AF333" s="102" t="s">
        <v>734</v>
      </c>
      <c r="AG333" s="102" t="s">
        <v>734</v>
      </c>
      <c r="AH333" s="102" t="s">
        <v>734</v>
      </c>
      <c r="AI333" s="102" t="s">
        <v>606</v>
      </c>
      <c r="AK333" s="102" t="s">
        <v>734</v>
      </c>
      <c r="AL333" s="102" t="s">
        <v>734</v>
      </c>
      <c r="AM333" s="102" t="s">
        <v>734</v>
      </c>
      <c r="AN333" s="102" t="s">
        <v>606</v>
      </c>
      <c r="AP333" s="5" t="s">
        <v>734</v>
      </c>
      <c r="AQ333" s="5" t="s">
        <v>734</v>
      </c>
      <c r="AR333" s="5" t="s">
        <v>734</v>
      </c>
      <c r="AS333" s="5" t="s">
        <v>606</v>
      </c>
      <c r="AU333" s="5" t="s">
        <v>734</v>
      </c>
      <c r="AV333" s="5" t="s">
        <v>734</v>
      </c>
      <c r="AW333" s="5" t="s">
        <v>734</v>
      </c>
      <c r="AX333" s="5" t="s">
        <v>606</v>
      </c>
      <c r="AZ333" s="5" t="s">
        <v>734</v>
      </c>
      <c r="BA333" s="5" t="s">
        <v>734</v>
      </c>
      <c r="BB333" s="5" t="s">
        <v>734</v>
      </c>
      <c r="BC333" s="5" t="s">
        <v>606</v>
      </c>
      <c r="BE333" s="5" t="s">
        <v>734</v>
      </c>
      <c r="BF333" s="5" t="s">
        <v>734</v>
      </c>
      <c r="BG333" s="5" t="s">
        <v>734</v>
      </c>
      <c r="BH333" s="5" t="s">
        <v>606</v>
      </c>
      <c r="BJ333" s="5" t="s">
        <v>734</v>
      </c>
      <c r="BK333" s="5" t="s">
        <v>734</v>
      </c>
      <c r="BL333" s="5" t="s">
        <v>734</v>
      </c>
      <c r="BM333" s="5" t="s">
        <v>606</v>
      </c>
      <c r="BO333" s="5" t="s">
        <v>734</v>
      </c>
      <c r="BP333" s="5" t="s">
        <v>734</v>
      </c>
      <c r="BQ333" s="5" t="s">
        <v>734</v>
      </c>
      <c r="BR333" s="5" t="s">
        <v>606</v>
      </c>
    </row>
    <row r="334" spans="1:70">
      <c r="A334" s="1"/>
      <c r="B334" s="1284"/>
      <c r="D334" s="5" t="s">
        <v>161</v>
      </c>
      <c r="E334" s="87">
        <v>0</v>
      </c>
      <c r="F334" s="87">
        <v>0</v>
      </c>
      <c r="G334" s="87">
        <v>0</v>
      </c>
      <c r="H334" s="87">
        <v>0</v>
      </c>
      <c r="I334" s="87">
        <v>0</v>
      </c>
      <c r="J334" s="87">
        <v>2.1325916732666923</v>
      </c>
      <c r="K334" s="87">
        <v>2.1273672099705889</v>
      </c>
      <c r="L334" s="87">
        <v>4.2307799091355971</v>
      </c>
      <c r="N334" s="29">
        <v>0.66483278848525929</v>
      </c>
      <c r="O334" s="29">
        <v>0.82928002541265311</v>
      </c>
      <c r="P334" s="29">
        <v>0.54689706638172941</v>
      </c>
      <c r="Q334" s="29">
        <v>0.70692829928864853</v>
      </c>
      <c r="R334" s="29">
        <v>0.66062831688302504</v>
      </c>
      <c r="S334" s="29">
        <v>1.2447912236112291</v>
      </c>
      <c r="T334" s="29">
        <v>1.4924815556941813</v>
      </c>
      <c r="U334" s="29">
        <v>1.8869715320700005</v>
      </c>
      <c r="W334" s="30">
        <v>0</v>
      </c>
      <c r="X334" s="30">
        <v>0</v>
      </c>
      <c r="Y334" s="30">
        <v>0</v>
      </c>
      <c r="Z334" s="30">
        <v>0</v>
      </c>
      <c r="AA334" s="30">
        <v>0</v>
      </c>
      <c r="AB334" s="85">
        <v>0</v>
      </c>
      <c r="AC334" s="85">
        <v>0</v>
      </c>
      <c r="AD334" s="90">
        <v>0</v>
      </c>
      <c r="AF334" s="29">
        <f>N334</f>
        <v>0.66483278848525929</v>
      </c>
      <c r="AG334" s="30">
        <f>W334</f>
        <v>0</v>
      </c>
      <c r="AH334" s="32">
        <f>AG334-AF334</f>
        <v>-0.66483278848525929</v>
      </c>
      <c r="AI334" s="33">
        <f>AH334/AF334</f>
        <v>-1</v>
      </c>
      <c r="AK334" s="29">
        <f t="shared" ref="AK334:AK349" si="675">O334</f>
        <v>0.82928002541265311</v>
      </c>
      <c r="AL334" s="30">
        <f t="shared" ref="AL334:AL349" si="676">X334</f>
        <v>0</v>
      </c>
      <c r="AM334" s="32">
        <f>AL334-AK334</f>
        <v>-0.82928002541265311</v>
      </c>
      <c r="AN334" s="33">
        <f>AM334/AK334</f>
        <v>-1</v>
      </c>
      <c r="AP334" s="29">
        <f>P334</f>
        <v>0.54689706638172941</v>
      </c>
      <c r="AQ334" s="30">
        <f>Y334</f>
        <v>0</v>
      </c>
      <c r="AR334" s="32">
        <f>AQ334-AP334</f>
        <v>-0.54689706638172941</v>
      </c>
      <c r="AS334" s="33">
        <f>AR334/AP334</f>
        <v>-1</v>
      </c>
      <c r="AU334" s="31">
        <f>Q334</f>
        <v>0.70692829928864853</v>
      </c>
      <c r="AV334" s="25">
        <f>Z334</f>
        <v>0</v>
      </c>
      <c r="AW334" s="32">
        <f>AV334-AU334</f>
        <v>-0.70692829928864853</v>
      </c>
      <c r="AX334" s="33">
        <f>AW334/AU334</f>
        <v>-1</v>
      </c>
      <c r="AZ334" s="31">
        <f t="shared" ref="AZ334:AZ349" si="677">R334</f>
        <v>0.66062831688302504</v>
      </c>
      <c r="BA334" s="25">
        <f t="shared" ref="BA334:BA349" si="678">AA334</f>
        <v>0</v>
      </c>
      <c r="BB334" s="32">
        <f>BA334-AZ334</f>
        <v>-0.66062831688302504</v>
      </c>
      <c r="BC334" s="33">
        <f>BB334/AZ334</f>
        <v>-1</v>
      </c>
      <c r="BE334" s="31">
        <f>S334</f>
        <v>1.2447912236112291</v>
      </c>
      <c r="BF334" s="25">
        <f>AB334</f>
        <v>0</v>
      </c>
      <c r="BG334" s="32">
        <f>BF334-BE334</f>
        <v>-1.2447912236112291</v>
      </c>
      <c r="BH334" s="33">
        <f>BG334/BE334</f>
        <v>-1</v>
      </c>
      <c r="BJ334" s="31">
        <f t="shared" ref="BJ334:BJ349" si="679">T334</f>
        <v>1.4924815556941813</v>
      </c>
      <c r="BK334" s="25">
        <f t="shared" ref="BK334:BK349" si="680">AC334</f>
        <v>0</v>
      </c>
      <c r="BL334" s="32">
        <f t="shared" ref="BL334:BL349" si="681">BK334-BJ334</f>
        <v>-1.4924815556941813</v>
      </c>
      <c r="BM334" s="33">
        <f t="shared" ref="BM334:BM349" si="682">BL334/BJ334</f>
        <v>-1</v>
      </c>
      <c r="BO334" s="62"/>
      <c r="BP334" s="62"/>
      <c r="BQ334" s="62"/>
      <c r="BR334" s="63"/>
    </row>
    <row r="335" spans="1:70">
      <c r="A335" s="1"/>
      <c r="B335" s="1284"/>
      <c r="D335" s="5" t="s">
        <v>162</v>
      </c>
      <c r="E335" s="87">
        <v>0.60481742992574461</v>
      </c>
      <c r="F335" s="87">
        <v>2.5461522990739422</v>
      </c>
      <c r="G335" s="87">
        <v>2.5811187134020543</v>
      </c>
      <c r="H335" s="87">
        <v>1.2669614157730722</v>
      </c>
      <c r="I335" s="87">
        <v>1.2859888100780854</v>
      </c>
      <c r="J335" s="87">
        <v>1.305275869155522</v>
      </c>
      <c r="K335" s="87">
        <v>1.3258315328086718</v>
      </c>
      <c r="L335" s="87">
        <v>1.3459562748366389</v>
      </c>
      <c r="N335" s="29">
        <v>1.7137553336079885</v>
      </c>
      <c r="O335" s="29">
        <v>1.9916017727629345</v>
      </c>
      <c r="P335" s="29">
        <v>1.7719550539612239</v>
      </c>
      <c r="Q335" s="29">
        <v>1.3802347703060287</v>
      </c>
      <c r="R335" s="29">
        <v>1.6284939992940632</v>
      </c>
      <c r="S335" s="29">
        <v>1.4083762448236727</v>
      </c>
      <c r="T335" s="29">
        <v>0.99296800947648378</v>
      </c>
      <c r="U335" s="29">
        <v>0.97527919306474731</v>
      </c>
      <c r="W335" s="30">
        <v>0.51287530124223779</v>
      </c>
      <c r="X335" s="30">
        <v>1.1369813386736958</v>
      </c>
      <c r="Y335" s="30">
        <v>0.65942077769100937</v>
      </c>
      <c r="Z335" s="30">
        <v>1.0037561603089218</v>
      </c>
      <c r="AA335" s="30">
        <v>1.0003937073003899</v>
      </c>
      <c r="AB335" s="85">
        <v>0.99268319972097518</v>
      </c>
      <c r="AC335" s="85">
        <v>0.69089155000000024</v>
      </c>
      <c r="AD335" s="90">
        <v>0</v>
      </c>
      <c r="AF335" s="29">
        <f t="shared" ref="AF335:AF349" si="683">N335</f>
        <v>1.7137553336079885</v>
      </c>
      <c r="AG335" s="30">
        <f t="shared" ref="AG335:AG349" si="684">W335</f>
        <v>0.51287530124223779</v>
      </c>
      <c r="AH335" s="32">
        <f t="shared" ref="AH335:AH347" si="685">AG335-AF335</f>
        <v>-1.2008800323657507</v>
      </c>
      <c r="AI335" s="33">
        <f t="shared" ref="AI335:AI347" si="686">AH335/AF335</f>
        <v>-0.70073015022367535</v>
      </c>
      <c r="AK335" s="29">
        <f t="shared" si="675"/>
        <v>1.9916017727629345</v>
      </c>
      <c r="AL335" s="30">
        <f t="shared" si="676"/>
        <v>1.1369813386736958</v>
      </c>
      <c r="AM335" s="32">
        <f t="shared" ref="AM335:AM347" si="687">AL335-AK335</f>
        <v>-0.85462043408923871</v>
      </c>
      <c r="AN335" s="33">
        <f t="shared" ref="AN335:AN347" si="688">AM335/AK335</f>
        <v>-0.42911210753926476</v>
      </c>
      <c r="AP335" s="29">
        <f t="shared" ref="AP335:AP349" si="689">P335</f>
        <v>1.7719550539612239</v>
      </c>
      <c r="AQ335" s="30">
        <f t="shared" ref="AQ335:AQ348" si="690">Y335</f>
        <v>0.65942077769100937</v>
      </c>
      <c r="AR335" s="32">
        <f t="shared" ref="AR335:AR349" si="691">AQ335-AP335</f>
        <v>-1.1125342762702144</v>
      </c>
      <c r="AS335" s="33">
        <f t="shared" ref="AS335:AS349" si="692">AR335/AP335</f>
        <v>-0.6278569390251364</v>
      </c>
      <c r="AU335" s="31">
        <f t="shared" ref="AU335:AU349" si="693">Q335</f>
        <v>1.3802347703060287</v>
      </c>
      <c r="AV335" s="25">
        <f t="shared" ref="AV335:AV349" si="694">Z335</f>
        <v>1.0037561603089218</v>
      </c>
      <c r="AW335" s="32">
        <f t="shared" ref="AW335:AW349" si="695">AV335-AU335</f>
        <v>-0.37647860999710692</v>
      </c>
      <c r="AX335" s="33">
        <f t="shared" ref="AX335:AX349" si="696">AW335/AU335</f>
        <v>-0.27276418338137737</v>
      </c>
      <c r="AZ335" s="31">
        <f t="shared" si="677"/>
        <v>1.6284939992940632</v>
      </c>
      <c r="BA335" s="25">
        <f t="shared" si="678"/>
        <v>1.0003937073003899</v>
      </c>
      <c r="BB335" s="32">
        <f t="shared" ref="BB335:BB349" si="697">BA335-AZ335</f>
        <v>-0.62810029199367334</v>
      </c>
      <c r="BC335" s="33">
        <f t="shared" ref="BC335:BC349" si="698">BB335/AZ335</f>
        <v>-0.3856939554373236</v>
      </c>
      <c r="BE335" s="31">
        <f t="shared" ref="BE335:BE349" si="699">S335</f>
        <v>1.4083762448236727</v>
      </c>
      <c r="BF335" s="25">
        <f t="shared" ref="BF335:BF349" si="700">AB335</f>
        <v>0.99268319972097518</v>
      </c>
      <c r="BG335" s="32">
        <f t="shared" ref="BG335:BG349" si="701">BF335-BE335</f>
        <v>-0.41569304510269756</v>
      </c>
      <c r="BH335" s="33">
        <f t="shared" ref="BH335:BH349" si="702">BG335/BE335</f>
        <v>-0.29515766587978903</v>
      </c>
      <c r="BJ335" s="31">
        <f t="shared" si="679"/>
        <v>0.99296800947648378</v>
      </c>
      <c r="BK335" s="25">
        <f t="shared" si="680"/>
        <v>0.69089155000000024</v>
      </c>
      <c r="BL335" s="32">
        <f t="shared" si="681"/>
        <v>-0.30207645947648354</v>
      </c>
      <c r="BM335" s="33">
        <f t="shared" si="682"/>
        <v>-0.30421570140587451</v>
      </c>
      <c r="BO335" s="62"/>
      <c r="BP335" s="62"/>
      <c r="BQ335" s="62"/>
      <c r="BR335" s="63"/>
    </row>
    <row r="336" spans="1:70">
      <c r="A336" s="1"/>
      <c r="B336" s="1284"/>
      <c r="D336" s="5" t="s">
        <v>163</v>
      </c>
      <c r="E336" s="87">
        <v>0</v>
      </c>
      <c r="F336" s="87">
        <v>0</v>
      </c>
      <c r="G336" s="87">
        <v>0</v>
      </c>
      <c r="H336" s="87">
        <v>0</v>
      </c>
      <c r="I336" s="87">
        <v>0</v>
      </c>
      <c r="J336" s="87">
        <v>0</v>
      </c>
      <c r="K336" s="87">
        <v>0</v>
      </c>
      <c r="L336" s="87">
        <v>0</v>
      </c>
      <c r="N336" s="29">
        <v>0</v>
      </c>
      <c r="O336" s="29">
        <v>0</v>
      </c>
      <c r="P336" s="29">
        <v>0</v>
      </c>
      <c r="Q336" s="29">
        <v>0</v>
      </c>
      <c r="R336" s="29">
        <v>0</v>
      </c>
      <c r="S336" s="29">
        <v>0</v>
      </c>
      <c r="T336" s="29">
        <v>0</v>
      </c>
      <c r="U336" s="29">
        <v>0</v>
      </c>
      <c r="W336" s="30">
        <v>0</v>
      </c>
      <c r="X336" s="30">
        <v>2.7645990005736022E-2</v>
      </c>
      <c r="Y336" s="30">
        <v>5.147709721070321E-3</v>
      </c>
      <c r="Z336" s="30">
        <v>1.0476887159134227E-2</v>
      </c>
      <c r="AA336" s="30">
        <v>0</v>
      </c>
      <c r="AB336" s="85">
        <v>0</v>
      </c>
      <c r="AC336" s="85">
        <v>0</v>
      </c>
      <c r="AD336" s="90">
        <v>0</v>
      </c>
      <c r="AF336" s="29">
        <f t="shared" si="683"/>
        <v>0</v>
      </c>
      <c r="AG336" s="30">
        <f t="shared" si="684"/>
        <v>0</v>
      </c>
      <c r="AH336" s="32">
        <f t="shared" si="685"/>
        <v>0</v>
      </c>
      <c r="AI336" s="33" t="e">
        <f t="shared" si="686"/>
        <v>#DIV/0!</v>
      </c>
      <c r="AK336" s="29">
        <f t="shared" si="675"/>
        <v>0</v>
      </c>
      <c r="AL336" s="30">
        <f t="shared" si="676"/>
        <v>2.7645990005736022E-2</v>
      </c>
      <c r="AM336" s="32">
        <f t="shared" si="687"/>
        <v>2.7645990005736022E-2</v>
      </c>
      <c r="AN336" s="33" t="e">
        <f t="shared" si="688"/>
        <v>#DIV/0!</v>
      </c>
      <c r="AP336" s="29">
        <f t="shared" si="689"/>
        <v>0</v>
      </c>
      <c r="AQ336" s="30">
        <f t="shared" si="690"/>
        <v>5.147709721070321E-3</v>
      </c>
      <c r="AR336" s="32">
        <f t="shared" si="691"/>
        <v>5.147709721070321E-3</v>
      </c>
      <c r="AS336" s="33" t="e">
        <f t="shared" si="692"/>
        <v>#DIV/0!</v>
      </c>
      <c r="AU336" s="31">
        <f t="shared" si="693"/>
        <v>0</v>
      </c>
      <c r="AV336" s="25">
        <f t="shared" si="694"/>
        <v>1.0476887159134227E-2</v>
      </c>
      <c r="AW336" s="32">
        <f t="shared" si="695"/>
        <v>1.0476887159134227E-2</v>
      </c>
      <c r="AX336" s="33" t="e">
        <f t="shared" si="696"/>
        <v>#DIV/0!</v>
      </c>
      <c r="AZ336" s="31">
        <f t="shared" si="677"/>
        <v>0</v>
      </c>
      <c r="BA336" s="25">
        <f t="shared" si="678"/>
        <v>0</v>
      </c>
      <c r="BB336" s="32">
        <f t="shared" si="697"/>
        <v>0</v>
      </c>
      <c r="BC336" s="33" t="e">
        <f t="shared" si="698"/>
        <v>#DIV/0!</v>
      </c>
      <c r="BE336" s="31">
        <f t="shared" si="699"/>
        <v>0</v>
      </c>
      <c r="BF336" s="25">
        <f t="shared" si="700"/>
        <v>0</v>
      </c>
      <c r="BG336" s="32">
        <f t="shared" si="701"/>
        <v>0</v>
      </c>
      <c r="BH336" s="33" t="e">
        <f t="shared" si="702"/>
        <v>#DIV/0!</v>
      </c>
      <c r="BJ336" s="31">
        <f t="shared" si="679"/>
        <v>0</v>
      </c>
      <c r="BK336" s="25">
        <f t="shared" si="680"/>
        <v>0</v>
      </c>
      <c r="BL336" s="32">
        <f t="shared" si="681"/>
        <v>0</v>
      </c>
      <c r="BM336" s="33" t="e">
        <f t="shared" si="682"/>
        <v>#DIV/0!</v>
      </c>
      <c r="BO336" s="62"/>
      <c r="BP336" s="62"/>
      <c r="BQ336" s="62"/>
      <c r="BR336" s="63"/>
    </row>
    <row r="337" spans="1:70">
      <c r="A337" s="1"/>
      <c r="B337" s="1284"/>
      <c r="D337" s="5" t="s">
        <v>164</v>
      </c>
      <c r="E337" s="87">
        <v>0</v>
      </c>
      <c r="F337" s="87">
        <v>0</v>
      </c>
      <c r="G337" s="87">
        <v>0</v>
      </c>
      <c r="H337" s="87">
        <v>0.50440583042197007</v>
      </c>
      <c r="I337" s="87">
        <v>0.51189316448519107</v>
      </c>
      <c r="J337" s="87">
        <v>0.51857803208163478</v>
      </c>
      <c r="K337" s="87">
        <v>0.52641806169741179</v>
      </c>
      <c r="L337" s="87">
        <v>0.53498199150327974</v>
      </c>
      <c r="N337" s="29">
        <v>0</v>
      </c>
      <c r="O337" s="29">
        <v>0</v>
      </c>
      <c r="P337" s="29">
        <v>0</v>
      </c>
      <c r="Q337" s="29">
        <v>0.50440583042197007</v>
      </c>
      <c r="R337" s="29">
        <v>0.51189316448519107</v>
      </c>
      <c r="S337" s="29">
        <v>0.51857803208163478</v>
      </c>
      <c r="T337" s="29">
        <v>0.52641806169741179</v>
      </c>
      <c r="U337" s="29">
        <v>0.53498199150327974</v>
      </c>
      <c r="W337" s="30">
        <v>0</v>
      </c>
      <c r="X337" s="30">
        <v>0</v>
      </c>
      <c r="Y337" s="30">
        <v>0</v>
      </c>
      <c r="Z337" s="30">
        <v>0</v>
      </c>
      <c r="AA337" s="30">
        <v>0</v>
      </c>
      <c r="AB337" s="85">
        <v>0</v>
      </c>
      <c r="AC337" s="85">
        <v>0</v>
      </c>
      <c r="AD337" s="90">
        <v>0</v>
      </c>
      <c r="AF337" s="29">
        <f t="shared" si="683"/>
        <v>0</v>
      </c>
      <c r="AG337" s="30">
        <f t="shared" si="684"/>
        <v>0</v>
      </c>
      <c r="AH337" s="32">
        <f t="shared" si="685"/>
        <v>0</v>
      </c>
      <c r="AI337" s="33" t="e">
        <f t="shared" si="686"/>
        <v>#DIV/0!</v>
      </c>
      <c r="AK337" s="29">
        <f t="shared" si="675"/>
        <v>0</v>
      </c>
      <c r="AL337" s="30">
        <f t="shared" si="676"/>
        <v>0</v>
      </c>
      <c r="AM337" s="32">
        <f t="shared" si="687"/>
        <v>0</v>
      </c>
      <c r="AN337" s="33" t="e">
        <f t="shared" si="688"/>
        <v>#DIV/0!</v>
      </c>
      <c r="AP337" s="29">
        <f t="shared" si="689"/>
        <v>0</v>
      </c>
      <c r="AQ337" s="30">
        <f t="shared" si="690"/>
        <v>0</v>
      </c>
      <c r="AR337" s="32">
        <f t="shared" si="691"/>
        <v>0</v>
      </c>
      <c r="AS337" s="33" t="e">
        <f t="shared" si="692"/>
        <v>#DIV/0!</v>
      </c>
      <c r="AU337" s="31">
        <f t="shared" si="693"/>
        <v>0.50440583042197007</v>
      </c>
      <c r="AV337" s="25">
        <f t="shared" si="694"/>
        <v>0</v>
      </c>
      <c r="AW337" s="32">
        <f t="shared" si="695"/>
        <v>-0.50440583042197007</v>
      </c>
      <c r="AX337" s="33">
        <f t="shared" si="696"/>
        <v>-1</v>
      </c>
      <c r="AZ337" s="31">
        <f t="shared" si="677"/>
        <v>0.51189316448519107</v>
      </c>
      <c r="BA337" s="25">
        <f t="shared" si="678"/>
        <v>0</v>
      </c>
      <c r="BB337" s="32">
        <f t="shared" si="697"/>
        <v>-0.51189316448519107</v>
      </c>
      <c r="BC337" s="33">
        <f t="shared" si="698"/>
        <v>-1</v>
      </c>
      <c r="BE337" s="31">
        <f t="shared" si="699"/>
        <v>0.51857803208163478</v>
      </c>
      <c r="BF337" s="25">
        <f t="shared" si="700"/>
        <v>0</v>
      </c>
      <c r="BG337" s="32">
        <f t="shared" si="701"/>
        <v>-0.51857803208163478</v>
      </c>
      <c r="BH337" s="33">
        <f t="shared" si="702"/>
        <v>-1</v>
      </c>
      <c r="BJ337" s="31">
        <f t="shared" si="679"/>
        <v>0.52641806169741179</v>
      </c>
      <c r="BK337" s="25">
        <f t="shared" si="680"/>
        <v>0</v>
      </c>
      <c r="BL337" s="32">
        <f t="shared" si="681"/>
        <v>-0.52641806169741179</v>
      </c>
      <c r="BM337" s="33">
        <f t="shared" si="682"/>
        <v>-1</v>
      </c>
      <c r="BO337" s="62"/>
      <c r="BP337" s="62"/>
      <c r="BQ337" s="62"/>
      <c r="BR337" s="63"/>
    </row>
    <row r="338" spans="1:70">
      <c r="A338" s="1"/>
      <c r="B338" s="1284"/>
      <c r="D338" s="5" t="s">
        <v>165</v>
      </c>
      <c r="E338" s="87">
        <v>0</v>
      </c>
      <c r="F338" s="87">
        <v>0</v>
      </c>
      <c r="G338" s="87">
        <v>0</v>
      </c>
      <c r="H338" s="87">
        <v>0</v>
      </c>
      <c r="I338" s="87">
        <v>0</v>
      </c>
      <c r="J338" s="87">
        <v>0</v>
      </c>
      <c r="K338" s="87">
        <v>0.52923671252376858</v>
      </c>
      <c r="L338" s="87">
        <v>0.53621552012617846</v>
      </c>
      <c r="N338" s="29">
        <v>0</v>
      </c>
      <c r="O338" s="29">
        <v>0</v>
      </c>
      <c r="P338" s="29">
        <v>0</v>
      </c>
      <c r="Q338" s="29">
        <v>0</v>
      </c>
      <c r="R338" s="29">
        <v>0</v>
      </c>
      <c r="S338" s="29">
        <v>0</v>
      </c>
      <c r="T338" s="29">
        <v>0.52923671252376858</v>
      </c>
      <c r="U338" s="29">
        <v>0.53621552012617846</v>
      </c>
      <c r="W338" s="30">
        <v>0</v>
      </c>
      <c r="X338" s="30">
        <v>0</v>
      </c>
      <c r="Y338" s="30">
        <v>0</v>
      </c>
      <c r="Z338" s="30">
        <v>0</v>
      </c>
      <c r="AA338" s="30">
        <v>0</v>
      </c>
      <c r="AB338" s="85">
        <v>0</v>
      </c>
      <c r="AC338" s="85">
        <v>0</v>
      </c>
      <c r="AD338" s="90">
        <v>0</v>
      </c>
      <c r="AF338" s="29">
        <f t="shared" si="683"/>
        <v>0</v>
      </c>
      <c r="AG338" s="30">
        <f t="shared" si="684"/>
        <v>0</v>
      </c>
      <c r="AH338" s="32">
        <f t="shared" si="685"/>
        <v>0</v>
      </c>
      <c r="AI338" s="33" t="e">
        <f t="shared" si="686"/>
        <v>#DIV/0!</v>
      </c>
      <c r="AK338" s="29">
        <f t="shared" si="675"/>
        <v>0</v>
      </c>
      <c r="AL338" s="30">
        <f t="shared" si="676"/>
        <v>0</v>
      </c>
      <c r="AM338" s="32">
        <f t="shared" si="687"/>
        <v>0</v>
      </c>
      <c r="AN338" s="33" t="e">
        <f t="shared" si="688"/>
        <v>#DIV/0!</v>
      </c>
      <c r="AP338" s="29">
        <f t="shared" si="689"/>
        <v>0</v>
      </c>
      <c r="AQ338" s="30">
        <f t="shared" si="690"/>
        <v>0</v>
      </c>
      <c r="AR338" s="32">
        <f t="shared" si="691"/>
        <v>0</v>
      </c>
      <c r="AS338" s="33" t="e">
        <f t="shared" si="692"/>
        <v>#DIV/0!</v>
      </c>
      <c r="AU338" s="31">
        <f t="shared" si="693"/>
        <v>0</v>
      </c>
      <c r="AV338" s="25">
        <f t="shared" si="694"/>
        <v>0</v>
      </c>
      <c r="AW338" s="32">
        <f t="shared" si="695"/>
        <v>0</v>
      </c>
      <c r="AX338" s="33" t="e">
        <f t="shared" si="696"/>
        <v>#DIV/0!</v>
      </c>
      <c r="AZ338" s="31">
        <f t="shared" si="677"/>
        <v>0</v>
      </c>
      <c r="BA338" s="25">
        <f t="shared" si="678"/>
        <v>0</v>
      </c>
      <c r="BB338" s="32">
        <f t="shared" si="697"/>
        <v>0</v>
      </c>
      <c r="BC338" s="33" t="e">
        <f t="shared" si="698"/>
        <v>#DIV/0!</v>
      </c>
      <c r="BE338" s="31">
        <f t="shared" si="699"/>
        <v>0</v>
      </c>
      <c r="BF338" s="25">
        <f t="shared" si="700"/>
        <v>0</v>
      </c>
      <c r="BG338" s="32">
        <f t="shared" si="701"/>
        <v>0</v>
      </c>
      <c r="BH338" s="33" t="e">
        <f t="shared" si="702"/>
        <v>#DIV/0!</v>
      </c>
      <c r="BJ338" s="31">
        <f t="shared" si="679"/>
        <v>0.52923671252376858</v>
      </c>
      <c r="BK338" s="25">
        <f t="shared" si="680"/>
        <v>0</v>
      </c>
      <c r="BL338" s="32">
        <f t="shared" si="681"/>
        <v>-0.52923671252376858</v>
      </c>
      <c r="BM338" s="33">
        <f t="shared" si="682"/>
        <v>-1</v>
      </c>
      <c r="BO338" s="62"/>
      <c r="BP338" s="62"/>
      <c r="BQ338" s="62"/>
      <c r="BR338" s="63"/>
    </row>
    <row r="339" spans="1:70">
      <c r="A339" s="1"/>
      <c r="B339" s="1284"/>
      <c r="D339" s="5" t="s">
        <v>166</v>
      </c>
      <c r="E339" s="87">
        <v>0</v>
      </c>
      <c r="F339" s="87">
        <v>0</v>
      </c>
      <c r="G339" s="87">
        <v>0</v>
      </c>
      <c r="H339" s="87">
        <v>0</v>
      </c>
      <c r="I339" s="87">
        <v>0</v>
      </c>
      <c r="J339" s="87">
        <v>0</v>
      </c>
      <c r="K339" s="87">
        <v>0</v>
      </c>
      <c r="L339" s="87">
        <v>0</v>
      </c>
      <c r="N339" s="29">
        <v>0</v>
      </c>
      <c r="O339" s="29">
        <v>0</v>
      </c>
      <c r="P339" s="29">
        <v>0</v>
      </c>
      <c r="Q339" s="29">
        <v>0</v>
      </c>
      <c r="R339" s="29">
        <v>0</v>
      </c>
      <c r="S339" s="29">
        <v>0</v>
      </c>
      <c r="T339" s="29">
        <v>0</v>
      </c>
      <c r="U339" s="29">
        <v>0</v>
      </c>
      <c r="W339" s="30">
        <v>0</v>
      </c>
      <c r="X339" s="30">
        <v>0</v>
      </c>
      <c r="Y339" s="30">
        <v>0</v>
      </c>
      <c r="Z339" s="30">
        <v>0</v>
      </c>
      <c r="AA339" s="30">
        <v>0</v>
      </c>
      <c r="AB339" s="85">
        <v>0</v>
      </c>
      <c r="AC339" s="85">
        <v>0</v>
      </c>
      <c r="AD339" s="90">
        <v>0</v>
      </c>
      <c r="AF339" s="29">
        <f t="shared" si="683"/>
        <v>0</v>
      </c>
      <c r="AG339" s="30">
        <f t="shared" si="684"/>
        <v>0</v>
      </c>
      <c r="AH339" s="32">
        <f t="shared" si="685"/>
        <v>0</v>
      </c>
      <c r="AI339" s="33" t="e">
        <f t="shared" si="686"/>
        <v>#DIV/0!</v>
      </c>
      <c r="AK339" s="29">
        <f t="shared" si="675"/>
        <v>0</v>
      </c>
      <c r="AL339" s="30">
        <f t="shared" si="676"/>
        <v>0</v>
      </c>
      <c r="AM339" s="32">
        <f t="shared" si="687"/>
        <v>0</v>
      </c>
      <c r="AN339" s="33" t="e">
        <f t="shared" si="688"/>
        <v>#DIV/0!</v>
      </c>
      <c r="AP339" s="29">
        <f t="shared" si="689"/>
        <v>0</v>
      </c>
      <c r="AQ339" s="30">
        <f t="shared" si="690"/>
        <v>0</v>
      </c>
      <c r="AR339" s="32">
        <f t="shared" si="691"/>
        <v>0</v>
      </c>
      <c r="AS339" s="33" t="e">
        <f t="shared" si="692"/>
        <v>#DIV/0!</v>
      </c>
      <c r="AU339" s="31">
        <f t="shared" si="693"/>
        <v>0</v>
      </c>
      <c r="AV339" s="25">
        <f t="shared" si="694"/>
        <v>0</v>
      </c>
      <c r="AW339" s="32">
        <f t="shared" si="695"/>
        <v>0</v>
      </c>
      <c r="AX339" s="33" t="e">
        <f t="shared" si="696"/>
        <v>#DIV/0!</v>
      </c>
      <c r="AZ339" s="31">
        <f t="shared" si="677"/>
        <v>0</v>
      </c>
      <c r="BA339" s="25">
        <f t="shared" si="678"/>
        <v>0</v>
      </c>
      <c r="BB339" s="32">
        <f t="shared" si="697"/>
        <v>0</v>
      </c>
      <c r="BC339" s="33" t="e">
        <f t="shared" si="698"/>
        <v>#DIV/0!</v>
      </c>
      <c r="BE339" s="31">
        <f t="shared" si="699"/>
        <v>0</v>
      </c>
      <c r="BF339" s="25">
        <f t="shared" si="700"/>
        <v>0</v>
      </c>
      <c r="BG339" s="32">
        <f t="shared" si="701"/>
        <v>0</v>
      </c>
      <c r="BH339" s="33" t="e">
        <f t="shared" si="702"/>
        <v>#DIV/0!</v>
      </c>
      <c r="BJ339" s="31">
        <f t="shared" si="679"/>
        <v>0</v>
      </c>
      <c r="BK339" s="25">
        <f t="shared" si="680"/>
        <v>0</v>
      </c>
      <c r="BL339" s="32">
        <f t="shared" si="681"/>
        <v>0</v>
      </c>
      <c r="BM339" s="33" t="e">
        <f t="shared" si="682"/>
        <v>#DIV/0!</v>
      </c>
      <c r="BO339" s="62"/>
      <c r="BP339" s="62"/>
      <c r="BQ339" s="62"/>
      <c r="BR339" s="63"/>
    </row>
    <row r="340" spans="1:70">
      <c r="A340" s="1"/>
      <c r="B340" s="1284"/>
      <c r="D340" s="5" t="s">
        <v>167</v>
      </c>
      <c r="E340" s="87">
        <v>0</v>
      </c>
      <c r="F340" s="87">
        <v>0</v>
      </c>
      <c r="G340" s="87">
        <v>0</v>
      </c>
      <c r="H340" s="87">
        <v>0</v>
      </c>
      <c r="I340" s="87">
        <v>0</v>
      </c>
      <c r="J340" s="87">
        <v>0</v>
      </c>
      <c r="K340" s="87">
        <v>0</v>
      </c>
      <c r="L340" s="87">
        <v>0</v>
      </c>
      <c r="N340" s="29">
        <v>0</v>
      </c>
      <c r="O340" s="29">
        <v>0</v>
      </c>
      <c r="P340" s="29">
        <v>0</v>
      </c>
      <c r="Q340" s="29">
        <v>0</v>
      </c>
      <c r="R340" s="29">
        <v>0</v>
      </c>
      <c r="S340" s="29">
        <v>0</v>
      </c>
      <c r="T340" s="29">
        <v>0</v>
      </c>
      <c r="U340" s="29">
        <v>0</v>
      </c>
      <c r="W340" s="30">
        <v>0</v>
      </c>
      <c r="X340" s="30">
        <v>0</v>
      </c>
      <c r="Y340" s="30">
        <v>0</v>
      </c>
      <c r="Z340" s="30">
        <v>0</v>
      </c>
      <c r="AA340" s="30">
        <v>0</v>
      </c>
      <c r="AB340" s="85">
        <v>0</v>
      </c>
      <c r="AC340" s="85">
        <v>0</v>
      </c>
      <c r="AD340" s="90">
        <v>0</v>
      </c>
      <c r="AF340" s="29">
        <f t="shared" si="683"/>
        <v>0</v>
      </c>
      <c r="AG340" s="30">
        <f t="shared" si="684"/>
        <v>0</v>
      </c>
      <c r="AH340" s="32">
        <f t="shared" si="685"/>
        <v>0</v>
      </c>
      <c r="AI340" s="33" t="e">
        <f t="shared" si="686"/>
        <v>#DIV/0!</v>
      </c>
      <c r="AK340" s="29">
        <f t="shared" si="675"/>
        <v>0</v>
      </c>
      <c r="AL340" s="30">
        <f t="shared" si="676"/>
        <v>0</v>
      </c>
      <c r="AM340" s="32">
        <f t="shared" si="687"/>
        <v>0</v>
      </c>
      <c r="AN340" s="33" t="e">
        <f t="shared" si="688"/>
        <v>#DIV/0!</v>
      </c>
      <c r="AP340" s="29">
        <f t="shared" si="689"/>
        <v>0</v>
      </c>
      <c r="AQ340" s="30">
        <f t="shared" si="690"/>
        <v>0</v>
      </c>
      <c r="AR340" s="32">
        <f t="shared" si="691"/>
        <v>0</v>
      </c>
      <c r="AS340" s="33" t="e">
        <f t="shared" si="692"/>
        <v>#DIV/0!</v>
      </c>
      <c r="AU340" s="31">
        <f t="shared" si="693"/>
        <v>0</v>
      </c>
      <c r="AV340" s="25">
        <f t="shared" si="694"/>
        <v>0</v>
      </c>
      <c r="AW340" s="32">
        <f t="shared" si="695"/>
        <v>0</v>
      </c>
      <c r="AX340" s="33" t="e">
        <f t="shared" si="696"/>
        <v>#DIV/0!</v>
      </c>
      <c r="AZ340" s="31">
        <f t="shared" si="677"/>
        <v>0</v>
      </c>
      <c r="BA340" s="25">
        <f t="shared" si="678"/>
        <v>0</v>
      </c>
      <c r="BB340" s="32">
        <f t="shared" si="697"/>
        <v>0</v>
      </c>
      <c r="BC340" s="33" t="e">
        <f t="shared" si="698"/>
        <v>#DIV/0!</v>
      </c>
      <c r="BE340" s="31">
        <f t="shared" si="699"/>
        <v>0</v>
      </c>
      <c r="BF340" s="25">
        <f t="shared" si="700"/>
        <v>0</v>
      </c>
      <c r="BG340" s="32">
        <f t="shared" si="701"/>
        <v>0</v>
      </c>
      <c r="BH340" s="33" t="e">
        <f t="shared" si="702"/>
        <v>#DIV/0!</v>
      </c>
      <c r="BJ340" s="31">
        <f t="shared" si="679"/>
        <v>0</v>
      </c>
      <c r="BK340" s="25">
        <f t="shared" si="680"/>
        <v>0</v>
      </c>
      <c r="BL340" s="32">
        <f t="shared" si="681"/>
        <v>0</v>
      </c>
      <c r="BM340" s="33" t="e">
        <f t="shared" si="682"/>
        <v>#DIV/0!</v>
      </c>
      <c r="BO340" s="62"/>
      <c r="BP340" s="62"/>
      <c r="BQ340" s="62"/>
      <c r="BR340" s="63"/>
    </row>
    <row r="341" spans="1:70">
      <c r="A341" s="1"/>
      <c r="B341" s="1284"/>
      <c r="D341" s="5" t="s">
        <v>168</v>
      </c>
      <c r="E341" s="87">
        <v>0</v>
      </c>
      <c r="F341" s="87">
        <v>3.0217169272803903</v>
      </c>
      <c r="G341" s="87">
        <v>7.1292395370631754</v>
      </c>
      <c r="H341" s="87">
        <v>8.0376564513456348</v>
      </c>
      <c r="I341" s="87">
        <v>8.1128980995417095</v>
      </c>
      <c r="J341" s="87">
        <v>8.1891095691241169</v>
      </c>
      <c r="K341" s="87">
        <v>9.0915793167348031</v>
      </c>
      <c r="L341" s="87">
        <v>11.553904776768279</v>
      </c>
      <c r="N341" s="29">
        <v>5.1153467029675426</v>
      </c>
      <c r="O341" s="29">
        <v>5.4900417467427536</v>
      </c>
      <c r="P341" s="29">
        <v>6.8832800177531723</v>
      </c>
      <c r="Q341" s="29">
        <v>6.6321095394624541</v>
      </c>
      <c r="R341" s="29">
        <v>7.3054385658035139</v>
      </c>
      <c r="S341" s="29">
        <v>7.1644955279625293</v>
      </c>
      <c r="T341" s="29">
        <v>6.733032019014674</v>
      </c>
      <c r="U341" s="29">
        <v>7.2412253825858404</v>
      </c>
      <c r="W341" s="30">
        <v>0</v>
      </c>
      <c r="X341" s="30">
        <v>0</v>
      </c>
      <c r="Y341" s="30">
        <v>0</v>
      </c>
      <c r="Z341" s="30">
        <v>0</v>
      </c>
      <c r="AA341" s="30">
        <v>0</v>
      </c>
      <c r="AB341" s="85">
        <v>3.9531594118036359</v>
      </c>
      <c r="AC341" s="85">
        <v>5.9584010000000003</v>
      </c>
      <c r="AD341" s="90">
        <v>0</v>
      </c>
      <c r="AF341" s="29">
        <f t="shared" si="683"/>
        <v>5.1153467029675426</v>
      </c>
      <c r="AG341" s="30">
        <f t="shared" si="684"/>
        <v>0</v>
      </c>
      <c r="AH341" s="32">
        <f t="shared" si="685"/>
        <v>-5.1153467029675426</v>
      </c>
      <c r="AI341" s="33">
        <f t="shared" si="686"/>
        <v>-1</v>
      </c>
      <c r="AK341" s="29">
        <f t="shared" si="675"/>
        <v>5.4900417467427536</v>
      </c>
      <c r="AL341" s="30">
        <f t="shared" si="676"/>
        <v>0</v>
      </c>
      <c r="AM341" s="32">
        <f t="shared" si="687"/>
        <v>-5.4900417467427536</v>
      </c>
      <c r="AN341" s="33">
        <f t="shared" si="688"/>
        <v>-1</v>
      </c>
      <c r="AP341" s="29">
        <f t="shared" si="689"/>
        <v>6.8832800177531723</v>
      </c>
      <c r="AQ341" s="30">
        <f t="shared" si="690"/>
        <v>0</v>
      </c>
      <c r="AR341" s="32">
        <f t="shared" si="691"/>
        <v>-6.8832800177531723</v>
      </c>
      <c r="AS341" s="33">
        <f t="shared" si="692"/>
        <v>-1</v>
      </c>
      <c r="AU341" s="31">
        <f t="shared" si="693"/>
        <v>6.6321095394624541</v>
      </c>
      <c r="AV341" s="25">
        <f t="shared" si="694"/>
        <v>0</v>
      </c>
      <c r="AW341" s="32">
        <f t="shared" si="695"/>
        <v>-6.6321095394624541</v>
      </c>
      <c r="AX341" s="33">
        <f t="shared" si="696"/>
        <v>-1</v>
      </c>
      <c r="AZ341" s="31">
        <f t="shared" si="677"/>
        <v>7.3054385658035139</v>
      </c>
      <c r="BA341" s="25">
        <f t="shared" si="678"/>
        <v>0</v>
      </c>
      <c r="BB341" s="32">
        <f t="shared" si="697"/>
        <v>-7.3054385658035139</v>
      </c>
      <c r="BC341" s="33">
        <f t="shared" si="698"/>
        <v>-1</v>
      </c>
      <c r="BE341" s="31">
        <f t="shared" si="699"/>
        <v>7.1644955279625293</v>
      </c>
      <c r="BF341" s="25">
        <f t="shared" si="700"/>
        <v>3.9531594118036359</v>
      </c>
      <c r="BG341" s="32">
        <f t="shared" si="701"/>
        <v>-3.2113361161588934</v>
      </c>
      <c r="BH341" s="33">
        <f t="shared" si="702"/>
        <v>-0.44822920240863728</v>
      </c>
      <c r="BJ341" s="31">
        <f t="shared" si="679"/>
        <v>6.733032019014674</v>
      </c>
      <c r="BK341" s="25">
        <f t="shared" si="680"/>
        <v>5.9584010000000003</v>
      </c>
      <c r="BL341" s="32">
        <f t="shared" si="681"/>
        <v>-0.77463101901467368</v>
      </c>
      <c r="BM341" s="33">
        <f t="shared" si="682"/>
        <v>-0.11504935916345677</v>
      </c>
      <c r="BO341" s="62"/>
      <c r="BP341" s="62"/>
      <c r="BQ341" s="62"/>
      <c r="BR341" s="63"/>
    </row>
    <row r="342" spans="1:70">
      <c r="A342" s="1"/>
      <c r="B342" s="1284"/>
      <c r="D342" s="5" t="s">
        <v>169</v>
      </c>
      <c r="E342" s="87">
        <v>0</v>
      </c>
      <c r="F342" s="87">
        <v>2.2210910747531076</v>
      </c>
      <c r="G342" s="87">
        <v>4.4704372234235272</v>
      </c>
      <c r="H342" s="87">
        <v>4.5121377460090883</v>
      </c>
      <c r="I342" s="87">
        <v>4.5543765108720233</v>
      </c>
      <c r="J342" s="87">
        <v>4.5971597090173022</v>
      </c>
      <c r="K342" s="87">
        <v>4.6404936095833893</v>
      </c>
      <c r="L342" s="87">
        <v>4.6843845607937595</v>
      </c>
      <c r="N342" s="29">
        <v>2.5881982258836156</v>
      </c>
      <c r="O342" s="29">
        <v>3.9282857025012237</v>
      </c>
      <c r="P342" s="29">
        <v>4.5889235508432726</v>
      </c>
      <c r="Q342" s="29">
        <v>3.6711910321437786</v>
      </c>
      <c r="R342" s="29">
        <v>3.2058867042353762</v>
      </c>
      <c r="S342" s="29">
        <v>3.1876790589699224</v>
      </c>
      <c r="T342" s="29">
        <v>3.8445243849791901</v>
      </c>
      <c r="U342" s="29">
        <v>3.6611518086228072</v>
      </c>
      <c r="W342" s="30">
        <v>0</v>
      </c>
      <c r="X342" s="30">
        <v>0</v>
      </c>
      <c r="Y342" s="30">
        <v>0</v>
      </c>
      <c r="Z342" s="30">
        <v>0</v>
      </c>
      <c r="AA342" s="30">
        <v>0</v>
      </c>
      <c r="AB342" s="85">
        <v>0</v>
      </c>
      <c r="AC342" s="85">
        <v>0</v>
      </c>
      <c r="AD342" s="90">
        <v>0</v>
      </c>
      <c r="AF342" s="29">
        <f t="shared" si="683"/>
        <v>2.5881982258836156</v>
      </c>
      <c r="AG342" s="30">
        <f t="shared" si="684"/>
        <v>0</v>
      </c>
      <c r="AH342" s="32">
        <f t="shared" si="685"/>
        <v>-2.5881982258836156</v>
      </c>
      <c r="AI342" s="33">
        <f t="shared" si="686"/>
        <v>-1</v>
      </c>
      <c r="AK342" s="29">
        <f t="shared" si="675"/>
        <v>3.9282857025012237</v>
      </c>
      <c r="AL342" s="30">
        <f t="shared" si="676"/>
        <v>0</v>
      </c>
      <c r="AM342" s="32">
        <f t="shared" si="687"/>
        <v>-3.9282857025012237</v>
      </c>
      <c r="AN342" s="33">
        <f t="shared" si="688"/>
        <v>-1</v>
      </c>
      <c r="AP342" s="29">
        <f t="shared" si="689"/>
        <v>4.5889235508432726</v>
      </c>
      <c r="AQ342" s="30">
        <f t="shared" si="690"/>
        <v>0</v>
      </c>
      <c r="AR342" s="32">
        <f t="shared" si="691"/>
        <v>-4.5889235508432726</v>
      </c>
      <c r="AS342" s="33">
        <f t="shared" si="692"/>
        <v>-1</v>
      </c>
      <c r="AU342" s="31">
        <f t="shared" si="693"/>
        <v>3.6711910321437786</v>
      </c>
      <c r="AV342" s="25">
        <f t="shared" si="694"/>
        <v>0</v>
      </c>
      <c r="AW342" s="32">
        <f t="shared" si="695"/>
        <v>-3.6711910321437786</v>
      </c>
      <c r="AX342" s="33">
        <f t="shared" si="696"/>
        <v>-1</v>
      </c>
      <c r="AZ342" s="31">
        <f t="shared" si="677"/>
        <v>3.2058867042353762</v>
      </c>
      <c r="BA342" s="25">
        <f t="shared" si="678"/>
        <v>0</v>
      </c>
      <c r="BB342" s="32">
        <f t="shared" si="697"/>
        <v>-3.2058867042353762</v>
      </c>
      <c r="BC342" s="33">
        <f t="shared" si="698"/>
        <v>-1</v>
      </c>
      <c r="BE342" s="31">
        <f t="shared" si="699"/>
        <v>3.1876790589699224</v>
      </c>
      <c r="BF342" s="25">
        <f t="shared" si="700"/>
        <v>0</v>
      </c>
      <c r="BG342" s="32">
        <f t="shared" si="701"/>
        <v>-3.1876790589699224</v>
      </c>
      <c r="BH342" s="33">
        <f t="shared" si="702"/>
        <v>-1</v>
      </c>
      <c r="BJ342" s="31">
        <f t="shared" si="679"/>
        <v>3.8445243849791901</v>
      </c>
      <c r="BK342" s="25">
        <f t="shared" si="680"/>
        <v>0</v>
      </c>
      <c r="BL342" s="32">
        <f t="shared" si="681"/>
        <v>-3.8445243849791901</v>
      </c>
      <c r="BM342" s="33">
        <f t="shared" si="682"/>
        <v>-1</v>
      </c>
      <c r="BO342" s="62"/>
      <c r="BP342" s="62"/>
      <c r="BQ342" s="62"/>
      <c r="BR342" s="63"/>
    </row>
    <row r="343" spans="1:70">
      <c r="A343" s="1"/>
      <c r="B343" s="1284"/>
      <c r="D343" s="5" t="s">
        <v>170</v>
      </c>
      <c r="E343" s="87">
        <v>0</v>
      </c>
      <c r="F343" s="87">
        <v>0.81353917272933596</v>
      </c>
      <c r="G343" s="87">
        <v>3.2583361686760401</v>
      </c>
      <c r="H343" s="87">
        <v>2.302111094902596</v>
      </c>
      <c r="I343" s="87">
        <v>2.3236614851387873</v>
      </c>
      <c r="J343" s="87">
        <v>2.3454896474578075</v>
      </c>
      <c r="K343" s="87">
        <v>3.2064052054555781</v>
      </c>
      <c r="L343" s="87">
        <v>5.0531262026055135</v>
      </c>
      <c r="N343" s="29">
        <v>1.6113759948086908</v>
      </c>
      <c r="O343" s="29">
        <v>1.9370814044592928</v>
      </c>
      <c r="P343" s="29">
        <v>2.5230548843059974</v>
      </c>
      <c r="Q343" s="29">
        <v>2.0495164678401405</v>
      </c>
      <c r="R343" s="29">
        <v>2.1497319796720724</v>
      </c>
      <c r="S343" s="29">
        <v>2.3136917842928071</v>
      </c>
      <c r="T343" s="29">
        <v>2.6086967154760621</v>
      </c>
      <c r="U343" s="29">
        <v>2.8588001202450997</v>
      </c>
      <c r="W343" s="30">
        <v>0</v>
      </c>
      <c r="X343" s="30">
        <v>0</v>
      </c>
      <c r="Y343" s="30">
        <v>0</v>
      </c>
      <c r="Z343" s="30">
        <v>0</v>
      </c>
      <c r="AA343" s="30">
        <v>0</v>
      </c>
      <c r="AB343" s="85">
        <v>0</v>
      </c>
      <c r="AC343" s="85">
        <v>1.55836409</v>
      </c>
      <c r="AD343" s="90">
        <v>0</v>
      </c>
      <c r="AF343" s="29">
        <f t="shared" si="683"/>
        <v>1.6113759948086908</v>
      </c>
      <c r="AG343" s="30">
        <f t="shared" si="684"/>
        <v>0</v>
      </c>
      <c r="AH343" s="32">
        <f t="shared" si="685"/>
        <v>-1.6113759948086908</v>
      </c>
      <c r="AI343" s="33">
        <f t="shared" si="686"/>
        <v>-1</v>
      </c>
      <c r="AK343" s="29">
        <f t="shared" si="675"/>
        <v>1.9370814044592928</v>
      </c>
      <c r="AL343" s="30">
        <f t="shared" si="676"/>
        <v>0</v>
      </c>
      <c r="AM343" s="32">
        <f t="shared" si="687"/>
        <v>-1.9370814044592928</v>
      </c>
      <c r="AN343" s="33">
        <f t="shared" si="688"/>
        <v>-1</v>
      </c>
      <c r="AP343" s="29">
        <f t="shared" si="689"/>
        <v>2.5230548843059974</v>
      </c>
      <c r="AQ343" s="30">
        <f t="shared" si="690"/>
        <v>0</v>
      </c>
      <c r="AR343" s="32">
        <f t="shared" si="691"/>
        <v>-2.5230548843059974</v>
      </c>
      <c r="AS343" s="33">
        <f t="shared" si="692"/>
        <v>-1</v>
      </c>
      <c r="AU343" s="31">
        <f t="shared" si="693"/>
        <v>2.0495164678401405</v>
      </c>
      <c r="AV343" s="25">
        <f t="shared" si="694"/>
        <v>0</v>
      </c>
      <c r="AW343" s="32">
        <f t="shared" si="695"/>
        <v>-2.0495164678401405</v>
      </c>
      <c r="AX343" s="33">
        <f t="shared" si="696"/>
        <v>-1</v>
      </c>
      <c r="AZ343" s="31">
        <f t="shared" si="677"/>
        <v>2.1497319796720724</v>
      </c>
      <c r="BA343" s="25">
        <f t="shared" si="678"/>
        <v>0</v>
      </c>
      <c r="BB343" s="32">
        <f t="shared" si="697"/>
        <v>-2.1497319796720724</v>
      </c>
      <c r="BC343" s="33">
        <f t="shared" si="698"/>
        <v>-1</v>
      </c>
      <c r="BE343" s="31">
        <f t="shared" si="699"/>
        <v>2.3136917842928071</v>
      </c>
      <c r="BF343" s="25">
        <f t="shared" si="700"/>
        <v>0</v>
      </c>
      <c r="BG343" s="32">
        <f t="shared" si="701"/>
        <v>-2.3136917842928071</v>
      </c>
      <c r="BH343" s="33">
        <f t="shared" si="702"/>
        <v>-1</v>
      </c>
      <c r="BJ343" s="31">
        <f t="shared" si="679"/>
        <v>2.6086967154760621</v>
      </c>
      <c r="BK343" s="25">
        <f t="shared" si="680"/>
        <v>1.55836409</v>
      </c>
      <c r="BL343" s="32">
        <f t="shared" si="681"/>
        <v>-1.0503326254760621</v>
      </c>
      <c r="BM343" s="33">
        <f t="shared" si="682"/>
        <v>-0.4026273423219251</v>
      </c>
      <c r="BO343" s="62"/>
      <c r="BP343" s="62"/>
      <c r="BQ343" s="62"/>
      <c r="BR343" s="63"/>
    </row>
    <row r="344" spans="1:70">
      <c r="A344" s="1"/>
      <c r="B344" s="1284"/>
      <c r="D344" s="5" t="s">
        <v>171</v>
      </c>
      <c r="E344" s="87">
        <v>0.25636867046135975</v>
      </c>
      <c r="F344" s="87">
        <v>0.89924747309748265</v>
      </c>
      <c r="G344" s="87">
        <v>0</v>
      </c>
      <c r="H344" s="87">
        <v>0.51201468847377374</v>
      </c>
      <c r="I344" s="87">
        <v>2.5684874300260101</v>
      </c>
      <c r="J344" s="87">
        <v>3.2878136562478057</v>
      </c>
      <c r="K344" s="87">
        <v>0.77393569532244411</v>
      </c>
      <c r="L344" s="87">
        <v>2.3288990535844971</v>
      </c>
      <c r="N344" s="29">
        <v>1.0929210331490766</v>
      </c>
      <c r="O344" s="29">
        <v>1.3534425809226402</v>
      </c>
      <c r="P344" s="29">
        <v>1.372747772603528</v>
      </c>
      <c r="Q344" s="29">
        <v>1.1897862662568945</v>
      </c>
      <c r="R344" s="29">
        <v>1.4238643243584159</v>
      </c>
      <c r="S344" s="29">
        <v>1.5457076498170879</v>
      </c>
      <c r="T344" s="29">
        <v>0.9442051304878315</v>
      </c>
      <c r="U344" s="29">
        <v>1.2381591391781264</v>
      </c>
      <c r="W344" s="30">
        <v>0.1632632242225267</v>
      </c>
      <c r="X344" s="30">
        <v>0.34882376784996277</v>
      </c>
      <c r="Y344" s="30">
        <v>0.90140001545396597</v>
      </c>
      <c r="Z344" s="30">
        <v>1.5382119430672385</v>
      </c>
      <c r="AA344" s="30">
        <v>2.0471598767288937</v>
      </c>
      <c r="AB344" s="85">
        <v>2.8505501556274466</v>
      </c>
      <c r="AC344" s="85">
        <v>1.7061945802835252</v>
      </c>
      <c r="AD344" s="90">
        <v>0</v>
      </c>
      <c r="AF344" s="29">
        <f t="shared" si="683"/>
        <v>1.0929210331490766</v>
      </c>
      <c r="AG344" s="30">
        <f t="shared" si="684"/>
        <v>0.1632632242225267</v>
      </c>
      <c r="AH344" s="32">
        <f t="shared" si="685"/>
        <v>-0.92965780892654992</v>
      </c>
      <c r="AI344" s="33">
        <f t="shared" si="686"/>
        <v>-0.85061754758977426</v>
      </c>
      <c r="AK344" s="29">
        <f t="shared" si="675"/>
        <v>1.3534425809226402</v>
      </c>
      <c r="AL344" s="30">
        <f t="shared" si="676"/>
        <v>0.34882376784996277</v>
      </c>
      <c r="AM344" s="32">
        <f t="shared" si="687"/>
        <v>-1.0046188130726774</v>
      </c>
      <c r="AN344" s="33">
        <f t="shared" si="688"/>
        <v>-0.74226925266961086</v>
      </c>
      <c r="AP344" s="29">
        <f t="shared" si="689"/>
        <v>1.372747772603528</v>
      </c>
      <c r="AQ344" s="30">
        <f t="shared" si="690"/>
        <v>0.90140001545396597</v>
      </c>
      <c r="AR344" s="32">
        <f t="shared" si="691"/>
        <v>-0.47134775714956201</v>
      </c>
      <c r="AS344" s="33">
        <f t="shared" si="692"/>
        <v>-0.3433607881625716</v>
      </c>
      <c r="AU344" s="31">
        <f t="shared" si="693"/>
        <v>1.1897862662568945</v>
      </c>
      <c r="AV344" s="25">
        <f t="shared" si="694"/>
        <v>1.5382119430672385</v>
      </c>
      <c r="AW344" s="32">
        <f t="shared" si="695"/>
        <v>0.34842567681034398</v>
      </c>
      <c r="AX344" s="33">
        <f t="shared" si="696"/>
        <v>0.29284728416516542</v>
      </c>
      <c r="AZ344" s="31">
        <f t="shared" si="677"/>
        <v>1.4238643243584159</v>
      </c>
      <c r="BA344" s="25">
        <f t="shared" si="678"/>
        <v>2.0471598767288937</v>
      </c>
      <c r="BB344" s="32">
        <f t="shared" si="697"/>
        <v>0.62329555237047773</v>
      </c>
      <c r="BC344" s="33">
        <f t="shared" si="698"/>
        <v>0.43774925862499625</v>
      </c>
      <c r="BE344" s="31">
        <f t="shared" si="699"/>
        <v>1.5457076498170879</v>
      </c>
      <c r="BF344" s="25">
        <f t="shared" si="700"/>
        <v>2.8505501556274466</v>
      </c>
      <c r="BG344" s="32">
        <f t="shared" si="701"/>
        <v>1.3048425058103588</v>
      </c>
      <c r="BH344" s="33">
        <f t="shared" si="702"/>
        <v>0.84417160383774259</v>
      </c>
      <c r="BJ344" s="31">
        <f t="shared" si="679"/>
        <v>0.9442051304878315</v>
      </c>
      <c r="BK344" s="25">
        <f t="shared" si="680"/>
        <v>1.7061945802835252</v>
      </c>
      <c r="BL344" s="32">
        <f t="shared" si="681"/>
        <v>0.76198944979569372</v>
      </c>
      <c r="BM344" s="33">
        <f t="shared" si="682"/>
        <v>0.80701684961402986</v>
      </c>
      <c r="BO344" s="62"/>
      <c r="BP344" s="62"/>
      <c r="BQ344" s="62"/>
      <c r="BR344" s="63"/>
    </row>
    <row r="345" spans="1:70">
      <c r="A345" s="1"/>
      <c r="B345" s="1284"/>
      <c r="D345" s="5" t="s">
        <v>172</v>
      </c>
      <c r="E345" s="87">
        <v>0</v>
      </c>
      <c r="F345" s="87">
        <v>0</v>
      </c>
      <c r="G345" s="87">
        <v>0</v>
      </c>
      <c r="H345" s="87">
        <v>0</v>
      </c>
      <c r="I345" s="87">
        <v>0</v>
      </c>
      <c r="J345" s="87">
        <v>0</v>
      </c>
      <c r="K345" s="87">
        <v>0</v>
      </c>
      <c r="L345" s="87">
        <v>0</v>
      </c>
      <c r="N345" s="29">
        <v>0</v>
      </c>
      <c r="O345" s="29">
        <v>0</v>
      </c>
      <c r="P345" s="29">
        <v>0</v>
      </c>
      <c r="Q345" s="29">
        <v>0</v>
      </c>
      <c r="R345" s="29">
        <v>0</v>
      </c>
      <c r="S345" s="29">
        <v>0</v>
      </c>
      <c r="T345" s="29">
        <v>0</v>
      </c>
      <c r="U345" s="29">
        <v>0</v>
      </c>
      <c r="W345" s="30">
        <v>0</v>
      </c>
      <c r="X345" s="30">
        <v>0</v>
      </c>
      <c r="Y345" s="30">
        <v>0</v>
      </c>
      <c r="Z345" s="30">
        <v>0</v>
      </c>
      <c r="AA345" s="30">
        <v>0</v>
      </c>
      <c r="AB345" s="85">
        <v>0</v>
      </c>
      <c r="AC345" s="85">
        <v>0</v>
      </c>
      <c r="AD345" s="90">
        <v>0</v>
      </c>
      <c r="AF345" s="29">
        <f t="shared" si="683"/>
        <v>0</v>
      </c>
      <c r="AG345" s="30">
        <f t="shared" si="684"/>
        <v>0</v>
      </c>
      <c r="AH345" s="32">
        <f t="shared" si="685"/>
        <v>0</v>
      </c>
      <c r="AI345" s="33" t="e">
        <f t="shared" si="686"/>
        <v>#DIV/0!</v>
      </c>
      <c r="AK345" s="29">
        <f t="shared" si="675"/>
        <v>0</v>
      </c>
      <c r="AL345" s="30">
        <f t="shared" si="676"/>
        <v>0</v>
      </c>
      <c r="AM345" s="32">
        <f t="shared" si="687"/>
        <v>0</v>
      </c>
      <c r="AN345" s="33" t="e">
        <f t="shared" si="688"/>
        <v>#DIV/0!</v>
      </c>
      <c r="AP345" s="29">
        <f t="shared" si="689"/>
        <v>0</v>
      </c>
      <c r="AQ345" s="30">
        <f t="shared" si="690"/>
        <v>0</v>
      </c>
      <c r="AR345" s="32">
        <f t="shared" si="691"/>
        <v>0</v>
      </c>
      <c r="AS345" s="33" t="e">
        <f t="shared" si="692"/>
        <v>#DIV/0!</v>
      </c>
      <c r="AU345" s="31">
        <f t="shared" si="693"/>
        <v>0</v>
      </c>
      <c r="AV345" s="25">
        <f t="shared" si="694"/>
        <v>0</v>
      </c>
      <c r="AW345" s="32">
        <f t="shared" si="695"/>
        <v>0</v>
      </c>
      <c r="AX345" s="33" t="e">
        <f t="shared" si="696"/>
        <v>#DIV/0!</v>
      </c>
      <c r="AZ345" s="31">
        <f t="shared" si="677"/>
        <v>0</v>
      </c>
      <c r="BA345" s="25">
        <f t="shared" si="678"/>
        <v>0</v>
      </c>
      <c r="BB345" s="32">
        <f t="shared" si="697"/>
        <v>0</v>
      </c>
      <c r="BC345" s="33" t="e">
        <f t="shared" si="698"/>
        <v>#DIV/0!</v>
      </c>
      <c r="BE345" s="31">
        <f t="shared" si="699"/>
        <v>0</v>
      </c>
      <c r="BF345" s="25">
        <f t="shared" si="700"/>
        <v>0</v>
      </c>
      <c r="BG345" s="32">
        <f t="shared" si="701"/>
        <v>0</v>
      </c>
      <c r="BH345" s="33" t="e">
        <f t="shared" si="702"/>
        <v>#DIV/0!</v>
      </c>
      <c r="BJ345" s="31">
        <f t="shared" si="679"/>
        <v>0</v>
      </c>
      <c r="BK345" s="25">
        <f t="shared" si="680"/>
        <v>0</v>
      </c>
      <c r="BL345" s="32">
        <f t="shared" si="681"/>
        <v>0</v>
      </c>
      <c r="BM345" s="33" t="e">
        <f t="shared" si="682"/>
        <v>#DIV/0!</v>
      </c>
      <c r="BO345" s="62"/>
      <c r="BP345" s="62"/>
      <c r="BQ345" s="62"/>
      <c r="BR345" s="63"/>
    </row>
    <row r="346" spans="1:70">
      <c r="A346" s="1"/>
      <c r="B346" s="1284"/>
      <c r="D346" s="5" t="s">
        <v>28</v>
      </c>
      <c r="E346" s="87">
        <v>0.64339022330072571</v>
      </c>
      <c r="F346" s="87">
        <v>3.7771667158728075</v>
      </c>
      <c r="G346" s="87">
        <v>4.5873238414026041</v>
      </c>
      <c r="H346" s="87">
        <v>6.7093683758009455</v>
      </c>
      <c r="I346" s="87">
        <v>10.659343537984615</v>
      </c>
      <c r="J346" s="87">
        <v>13.6702948716979</v>
      </c>
      <c r="K346" s="87">
        <v>15.041299968623452</v>
      </c>
      <c r="L346" s="87">
        <v>16.430946739240422</v>
      </c>
      <c r="N346" s="29">
        <v>3.422387328162237</v>
      </c>
      <c r="O346" s="29">
        <v>4.8546219243579003</v>
      </c>
      <c r="P346" s="29">
        <v>6.4188257702258138</v>
      </c>
      <c r="Q346" s="29">
        <v>7.3266973101130031</v>
      </c>
      <c r="R346" s="29">
        <v>9.8368773284010782</v>
      </c>
      <c r="S346" s="29">
        <v>10.397797071648306</v>
      </c>
      <c r="T346" s="29">
        <v>12.11878152164171</v>
      </c>
      <c r="U346" s="29">
        <v>11.966028444837271</v>
      </c>
      <c r="W346" s="30">
        <v>0</v>
      </c>
      <c r="X346" s="30">
        <v>4.0626524574326764E-2</v>
      </c>
      <c r="Y346" s="30">
        <v>0.31853152484869846</v>
      </c>
      <c r="Z346" s="30">
        <v>0.52071533690654692</v>
      </c>
      <c r="AA346" s="30">
        <v>2.6575616590542541</v>
      </c>
      <c r="AB346" s="85">
        <v>2.6557199694006854</v>
      </c>
      <c r="AC346" s="85">
        <v>2.072129577114886</v>
      </c>
      <c r="AD346" s="90">
        <v>0</v>
      </c>
      <c r="AF346" s="29">
        <f t="shared" si="683"/>
        <v>3.422387328162237</v>
      </c>
      <c r="AG346" s="30">
        <f t="shared" si="684"/>
        <v>0</v>
      </c>
      <c r="AH346" s="32">
        <f t="shared" si="685"/>
        <v>-3.422387328162237</v>
      </c>
      <c r="AI346" s="33">
        <f t="shared" si="686"/>
        <v>-1</v>
      </c>
      <c r="AK346" s="29">
        <f t="shared" si="675"/>
        <v>4.8546219243579003</v>
      </c>
      <c r="AL346" s="30">
        <f t="shared" si="676"/>
        <v>4.0626524574326764E-2</v>
      </c>
      <c r="AM346" s="32">
        <f t="shared" si="687"/>
        <v>-4.8139953997835736</v>
      </c>
      <c r="AN346" s="33">
        <f t="shared" si="688"/>
        <v>-0.99163137208059715</v>
      </c>
      <c r="AP346" s="29">
        <f t="shared" si="689"/>
        <v>6.4188257702258138</v>
      </c>
      <c r="AQ346" s="30">
        <f t="shared" si="690"/>
        <v>0.31853152484869846</v>
      </c>
      <c r="AR346" s="32">
        <f t="shared" si="691"/>
        <v>-6.100294245377115</v>
      </c>
      <c r="AS346" s="33">
        <f t="shared" si="692"/>
        <v>-0.95037542126065633</v>
      </c>
      <c r="AU346" s="31">
        <f t="shared" si="693"/>
        <v>7.3266973101130031</v>
      </c>
      <c r="AV346" s="25">
        <f t="shared" si="694"/>
        <v>0.52071533690654692</v>
      </c>
      <c r="AW346" s="32">
        <f t="shared" si="695"/>
        <v>-6.8059819732064559</v>
      </c>
      <c r="AX346" s="33">
        <f t="shared" si="696"/>
        <v>-0.92892905017547178</v>
      </c>
      <c r="AZ346" s="31">
        <f t="shared" si="677"/>
        <v>9.8368773284010782</v>
      </c>
      <c r="BA346" s="25">
        <f t="shared" si="678"/>
        <v>2.6575616590542541</v>
      </c>
      <c r="BB346" s="32">
        <f t="shared" si="697"/>
        <v>-7.1793156693468241</v>
      </c>
      <c r="BC346" s="33">
        <f t="shared" si="698"/>
        <v>-0.72983686079104293</v>
      </c>
      <c r="BE346" s="31">
        <f t="shared" si="699"/>
        <v>10.397797071648306</v>
      </c>
      <c r="BF346" s="25">
        <f t="shared" si="700"/>
        <v>2.6557199694006854</v>
      </c>
      <c r="BG346" s="32">
        <f t="shared" si="701"/>
        <v>-7.7420771022476202</v>
      </c>
      <c r="BH346" s="33">
        <f t="shared" si="702"/>
        <v>-0.74458820930040626</v>
      </c>
      <c r="BJ346" s="31">
        <f t="shared" si="679"/>
        <v>12.11878152164171</v>
      </c>
      <c r="BK346" s="25">
        <f t="shared" si="680"/>
        <v>2.072129577114886</v>
      </c>
      <c r="BL346" s="32">
        <f t="shared" si="681"/>
        <v>-10.046651944526824</v>
      </c>
      <c r="BM346" s="33">
        <f t="shared" si="682"/>
        <v>-0.82901502321710485</v>
      </c>
      <c r="BO346" s="62"/>
      <c r="BP346" s="62"/>
      <c r="BQ346" s="62"/>
      <c r="BR346" s="63"/>
    </row>
    <row r="347" spans="1:70">
      <c r="A347" s="1"/>
      <c r="B347" s="1284"/>
      <c r="D347" s="5" t="s">
        <v>173</v>
      </c>
      <c r="E347" s="87">
        <v>0</v>
      </c>
      <c r="F347" s="87">
        <v>0</v>
      </c>
      <c r="G347" s="87">
        <v>0</v>
      </c>
      <c r="H347" s="87">
        <v>0</v>
      </c>
      <c r="I347" s="87">
        <v>3.6758314605042712</v>
      </c>
      <c r="J347" s="87">
        <v>0.69424246231512488</v>
      </c>
      <c r="K347" s="87">
        <v>0.69087744953482566</v>
      </c>
      <c r="L347" s="87">
        <v>0.68876769904011514</v>
      </c>
      <c r="N347" s="29">
        <v>0.46397590331902905</v>
      </c>
      <c r="O347" s="29">
        <v>0.58633686572782395</v>
      </c>
      <c r="P347" s="29">
        <v>0.46573297400411162</v>
      </c>
      <c r="Q347" s="29">
        <v>0.52946646210777992</v>
      </c>
      <c r="R347" s="29">
        <v>1.2370758599154406</v>
      </c>
      <c r="S347" s="29">
        <v>0.65221579242181915</v>
      </c>
      <c r="T347" s="29">
        <v>0.84722307260446128</v>
      </c>
      <c r="U347" s="29">
        <v>0.755770372676974</v>
      </c>
      <c r="W347" s="30">
        <v>0</v>
      </c>
      <c r="X347" s="30">
        <v>0</v>
      </c>
      <c r="Y347" s="30">
        <v>3.1692144280995822E-2</v>
      </c>
      <c r="Z347" s="30">
        <v>2.9275463578367218E-4</v>
      </c>
      <c r="AA347" s="30">
        <v>0.32282851443200461</v>
      </c>
      <c r="AB347" s="85">
        <v>0.32734871349082106</v>
      </c>
      <c r="AC347" s="85">
        <v>9.6743483986663631E-3</v>
      </c>
      <c r="AD347" s="90">
        <v>0</v>
      </c>
      <c r="AF347" s="29">
        <f t="shared" si="683"/>
        <v>0.46397590331902905</v>
      </c>
      <c r="AG347" s="30">
        <f t="shared" si="684"/>
        <v>0</v>
      </c>
      <c r="AH347" s="32">
        <f t="shared" si="685"/>
        <v>-0.46397590331902905</v>
      </c>
      <c r="AI347" s="33">
        <f t="shared" si="686"/>
        <v>-1</v>
      </c>
      <c r="AK347" s="29">
        <f t="shared" si="675"/>
        <v>0.58633686572782395</v>
      </c>
      <c r="AL347" s="30">
        <f t="shared" si="676"/>
        <v>0</v>
      </c>
      <c r="AM347" s="32">
        <f t="shared" si="687"/>
        <v>-0.58633686572782395</v>
      </c>
      <c r="AN347" s="33">
        <f t="shared" si="688"/>
        <v>-1</v>
      </c>
      <c r="AP347" s="29">
        <f t="shared" si="689"/>
        <v>0.46573297400411162</v>
      </c>
      <c r="AQ347" s="30">
        <f t="shared" si="690"/>
        <v>3.1692144280995822E-2</v>
      </c>
      <c r="AR347" s="32">
        <f t="shared" si="691"/>
        <v>-0.43404082972311581</v>
      </c>
      <c r="AS347" s="33">
        <f t="shared" si="692"/>
        <v>-0.93195211408691014</v>
      </c>
      <c r="AU347" s="31">
        <f t="shared" si="693"/>
        <v>0.52946646210777992</v>
      </c>
      <c r="AV347" s="25">
        <f t="shared" si="694"/>
        <v>2.9275463578367218E-4</v>
      </c>
      <c r="AW347" s="32">
        <f t="shared" si="695"/>
        <v>-0.52917370747199621</v>
      </c>
      <c r="AX347" s="33">
        <f t="shared" si="696"/>
        <v>-0.99944707614790507</v>
      </c>
      <c r="AZ347" s="31">
        <f t="shared" si="677"/>
        <v>1.2370758599154406</v>
      </c>
      <c r="BA347" s="25">
        <f t="shared" si="678"/>
        <v>0.32282851443200461</v>
      </c>
      <c r="BB347" s="32">
        <f t="shared" si="697"/>
        <v>-0.91424734548343589</v>
      </c>
      <c r="BC347" s="33">
        <f t="shared" si="698"/>
        <v>-0.73903903156426365</v>
      </c>
      <c r="BE347" s="31">
        <f t="shared" si="699"/>
        <v>0.65221579242181915</v>
      </c>
      <c r="BF347" s="25">
        <f t="shared" si="700"/>
        <v>0.32734871349082106</v>
      </c>
      <c r="BG347" s="32">
        <f t="shared" si="701"/>
        <v>-0.32486707893099809</v>
      </c>
      <c r="BH347" s="33">
        <f t="shared" si="702"/>
        <v>-0.49809753567097165</v>
      </c>
      <c r="BJ347" s="31">
        <f t="shared" si="679"/>
        <v>0.84722307260446128</v>
      </c>
      <c r="BK347" s="25">
        <f t="shared" si="680"/>
        <v>9.6743483986663631E-3</v>
      </c>
      <c r="BL347" s="32">
        <f t="shared" si="681"/>
        <v>-0.83754872420579496</v>
      </c>
      <c r="BM347" s="33">
        <f t="shared" si="682"/>
        <v>-0.98858110843354841</v>
      </c>
      <c r="BO347" s="62"/>
      <c r="BP347" s="62"/>
      <c r="BQ347" s="62"/>
      <c r="BR347" s="63"/>
    </row>
    <row r="348" spans="1:70">
      <c r="A348" s="1"/>
      <c r="B348" s="1284"/>
      <c r="D348" s="4" t="s">
        <v>174</v>
      </c>
      <c r="E348" s="88">
        <f t="shared" ref="E348:L348" si="703">SUM(E334:E347)</f>
        <v>1.50457632368783</v>
      </c>
      <c r="F348" s="88">
        <f t="shared" si="703"/>
        <v>13.278913662807065</v>
      </c>
      <c r="G348" s="88">
        <f t="shared" si="703"/>
        <v>22.0264554839674</v>
      </c>
      <c r="H348" s="88">
        <f t="shared" si="703"/>
        <v>23.84465560272708</v>
      </c>
      <c r="I348" s="88">
        <f t="shared" si="703"/>
        <v>33.692480498630694</v>
      </c>
      <c r="J348" s="88">
        <f t="shared" si="703"/>
        <v>36.740555490363903</v>
      </c>
      <c r="K348" s="88">
        <f t="shared" si="703"/>
        <v>37.953444762254932</v>
      </c>
      <c r="L348" s="88">
        <f t="shared" si="703"/>
        <v>47.387962727634275</v>
      </c>
      <c r="M348" s="1"/>
      <c r="N348" s="81">
        <f t="shared" ref="N348:U348" si="704">SUM(N334:N347)</f>
        <v>16.67279331038344</v>
      </c>
      <c r="O348" s="81">
        <f t="shared" si="704"/>
        <v>20.970692022887221</v>
      </c>
      <c r="P348" s="81">
        <f t="shared" si="704"/>
        <v>24.571417090078846</v>
      </c>
      <c r="Q348" s="81">
        <f t="shared" si="704"/>
        <v>23.990335977940699</v>
      </c>
      <c r="R348" s="81">
        <f t="shared" si="704"/>
        <v>27.959890243048175</v>
      </c>
      <c r="S348" s="81">
        <f t="shared" si="704"/>
        <v>28.433332385629011</v>
      </c>
      <c r="T348" s="81">
        <f t="shared" si="704"/>
        <v>30.637567183595774</v>
      </c>
      <c r="U348" s="81">
        <f t="shared" si="704"/>
        <v>31.654583504910324</v>
      </c>
      <c r="V348" s="1"/>
      <c r="W348" s="85">
        <f t="shared" ref="W348:AD348" si="705">SUM(W334:W347)</f>
        <v>0.67613852546476449</v>
      </c>
      <c r="X348" s="85">
        <f t="shared" si="705"/>
        <v>1.5540776211037213</v>
      </c>
      <c r="Y348" s="85">
        <f t="shared" si="705"/>
        <v>1.91619217199574</v>
      </c>
      <c r="Z348" s="85">
        <f>SUM(Z334:Z347)</f>
        <v>3.0734530820776249</v>
      </c>
      <c r="AA348" s="85">
        <f>SUM(AA334:AA347)</f>
        <v>6.0279437575155423</v>
      </c>
      <c r="AB348" s="85">
        <f t="shared" si="705"/>
        <v>10.779461450043565</v>
      </c>
      <c r="AC348" s="85">
        <f t="shared" ref="AC348" si="706">SUM(AC334:AC347)</f>
        <v>11.995655145797079</v>
      </c>
      <c r="AD348" s="91">
        <f t="shared" si="705"/>
        <v>0</v>
      </c>
      <c r="AE348" s="1"/>
      <c r="AF348" s="81">
        <f t="shared" si="683"/>
        <v>16.67279331038344</v>
      </c>
      <c r="AG348" s="85">
        <f t="shared" si="684"/>
        <v>0.67613852546476449</v>
      </c>
      <c r="AH348" s="34">
        <f>IF(AG348&gt;0,AG348-AF348,"")</f>
        <v>-15.996654784918675</v>
      </c>
      <c r="AI348" s="35">
        <f>IF(AG348&gt;0,AH348/AF348,"")</f>
        <v>-0.95944659584763869</v>
      </c>
      <c r="AK348" s="81">
        <f t="shared" si="675"/>
        <v>20.970692022887221</v>
      </c>
      <c r="AL348" s="85">
        <f t="shared" si="676"/>
        <v>1.5540776211037213</v>
      </c>
      <c r="AM348" s="34">
        <f>IF(AL348&gt;0,AL348-AK348,"")</f>
        <v>-19.416614401783498</v>
      </c>
      <c r="AN348" s="35">
        <f>IF(AL348&gt;0,AM348/AK348,"")</f>
        <v>-0.92589287852744118</v>
      </c>
      <c r="AP348" s="81">
        <f t="shared" si="689"/>
        <v>24.571417090078846</v>
      </c>
      <c r="AQ348" s="85">
        <f t="shared" si="690"/>
        <v>1.91619217199574</v>
      </c>
      <c r="AR348" s="34">
        <f t="shared" si="691"/>
        <v>-22.655224918083107</v>
      </c>
      <c r="AS348" s="35">
        <f t="shared" si="692"/>
        <v>-0.92201539842122349</v>
      </c>
      <c r="AU348" s="949">
        <f t="shared" si="693"/>
        <v>23.990335977940699</v>
      </c>
      <c r="AV348" s="843">
        <f t="shared" si="694"/>
        <v>3.0734530820776249</v>
      </c>
      <c r="AW348" s="34">
        <f t="shared" si="695"/>
        <v>-20.916882895863075</v>
      </c>
      <c r="AX348" s="35">
        <f t="shared" si="696"/>
        <v>-0.87188786831065279</v>
      </c>
      <c r="AZ348" s="949">
        <f t="shared" si="677"/>
        <v>27.959890243048175</v>
      </c>
      <c r="BA348" s="843">
        <f t="shared" si="678"/>
        <v>6.0279437575155423</v>
      </c>
      <c r="BB348" s="34">
        <f t="shared" si="697"/>
        <v>-21.931946485532634</v>
      </c>
      <c r="BC348" s="35">
        <f t="shared" si="698"/>
        <v>-0.78440745993220407</v>
      </c>
      <c r="BE348" s="31">
        <f t="shared" si="699"/>
        <v>28.433332385629011</v>
      </c>
      <c r="BF348" s="25">
        <f t="shared" si="700"/>
        <v>10.779461450043565</v>
      </c>
      <c r="BG348" s="32">
        <f t="shared" si="701"/>
        <v>-17.653870935585445</v>
      </c>
      <c r="BH348" s="33">
        <f t="shared" si="702"/>
        <v>-0.62088645453700664</v>
      </c>
      <c r="BJ348" s="31">
        <f t="shared" si="679"/>
        <v>30.637567183595774</v>
      </c>
      <c r="BK348" s="25">
        <f t="shared" si="680"/>
        <v>11.995655145797079</v>
      </c>
      <c r="BL348" s="32">
        <f t="shared" si="681"/>
        <v>-18.641912037798697</v>
      </c>
      <c r="BM348" s="33">
        <f t="shared" si="682"/>
        <v>-0.60846580689931895</v>
      </c>
      <c r="BO348" s="62"/>
      <c r="BP348" s="62"/>
      <c r="BQ348" s="62"/>
      <c r="BR348" s="63"/>
    </row>
    <row r="349" spans="1:70">
      <c r="A349" s="1"/>
      <c r="B349" s="1284"/>
      <c r="D349" s="4" t="s">
        <v>724</v>
      </c>
      <c r="E349" s="88">
        <f t="shared" ref="E349:L349" si="707">E348-SUM(E337:E340)</f>
        <v>1.50457632368783</v>
      </c>
      <c r="F349" s="88">
        <f t="shared" si="707"/>
        <v>13.278913662807065</v>
      </c>
      <c r="G349" s="88">
        <f t="shared" si="707"/>
        <v>22.0264554839674</v>
      </c>
      <c r="H349" s="88">
        <f t="shared" si="707"/>
        <v>23.340249772305111</v>
      </c>
      <c r="I349" s="88">
        <f t="shared" si="707"/>
        <v>33.1805873341455</v>
      </c>
      <c r="J349" s="88">
        <f t="shared" si="707"/>
        <v>36.221977458282268</v>
      </c>
      <c r="K349" s="88">
        <f t="shared" si="707"/>
        <v>36.89778998803375</v>
      </c>
      <c r="L349" s="88">
        <f t="shared" si="707"/>
        <v>46.316765216004818</v>
      </c>
      <c r="M349" s="1"/>
      <c r="N349" s="81">
        <f t="shared" ref="N349:U349" si="708">N348-SUM(N337:N340)</f>
        <v>16.67279331038344</v>
      </c>
      <c r="O349" s="81">
        <f t="shared" si="708"/>
        <v>20.970692022887221</v>
      </c>
      <c r="P349" s="81">
        <f t="shared" si="708"/>
        <v>24.571417090078846</v>
      </c>
      <c r="Q349" s="81">
        <f t="shared" si="708"/>
        <v>23.485930147518729</v>
      </c>
      <c r="R349" s="81">
        <f t="shared" si="708"/>
        <v>27.447997078562985</v>
      </c>
      <c r="S349" s="81">
        <f t="shared" si="708"/>
        <v>27.914754353547377</v>
      </c>
      <c r="T349" s="81">
        <f t="shared" si="708"/>
        <v>29.581912409374592</v>
      </c>
      <c r="U349" s="81">
        <f t="shared" si="708"/>
        <v>30.583385993280867</v>
      </c>
      <c r="V349" s="1"/>
      <c r="W349" s="85">
        <f t="shared" ref="W349:AD349" si="709">W348-SUM(W337:W340)</f>
        <v>0.67613852546476449</v>
      </c>
      <c r="X349" s="85">
        <f t="shared" si="709"/>
        <v>1.5540776211037213</v>
      </c>
      <c r="Y349" s="85">
        <f t="shared" si="709"/>
        <v>1.91619217199574</v>
      </c>
      <c r="Z349" s="85">
        <f>Z348-SUM(Z337:Z340)</f>
        <v>3.0734530820776249</v>
      </c>
      <c r="AA349" s="85">
        <f>AA348-SUM(AA337:AA340)</f>
        <v>6.0279437575155423</v>
      </c>
      <c r="AB349" s="85">
        <f t="shared" si="709"/>
        <v>10.779461450043565</v>
      </c>
      <c r="AC349" s="85">
        <f t="shared" ref="AC349" si="710">AC348-SUM(AC337:AC340)</f>
        <v>11.995655145797079</v>
      </c>
      <c r="AD349" s="91">
        <f t="shared" si="709"/>
        <v>0</v>
      </c>
      <c r="AE349" s="1"/>
      <c r="AF349" s="81">
        <f t="shared" si="683"/>
        <v>16.67279331038344</v>
      </c>
      <c r="AG349" s="85">
        <f t="shared" si="684"/>
        <v>0.67613852546476449</v>
      </c>
      <c r="AH349" s="34">
        <f>IF(AG349&gt;0,AG349-AF349,"")</f>
        <v>-15.996654784918675</v>
      </c>
      <c r="AI349" s="35">
        <f>IF(AG349&gt;0,AH349/AF349,"")</f>
        <v>-0.95944659584763869</v>
      </c>
      <c r="AK349" s="81">
        <f t="shared" si="675"/>
        <v>20.970692022887221</v>
      </c>
      <c r="AL349" s="85">
        <f t="shared" si="676"/>
        <v>1.5540776211037213</v>
      </c>
      <c r="AM349" s="34">
        <f>IF(AL349&gt;0,AL349-AK349,"")</f>
        <v>-19.416614401783498</v>
      </c>
      <c r="AN349" s="35">
        <f>IF(AL349&gt;0,AM349/AK349,"")</f>
        <v>-0.92589287852744118</v>
      </c>
      <c r="AP349" s="81">
        <f t="shared" si="689"/>
        <v>24.571417090078846</v>
      </c>
      <c r="AQ349" s="85">
        <f>Y349</f>
        <v>1.91619217199574</v>
      </c>
      <c r="AR349" s="34">
        <f t="shared" si="691"/>
        <v>-22.655224918083107</v>
      </c>
      <c r="AS349" s="35">
        <f t="shared" si="692"/>
        <v>-0.92201539842122349</v>
      </c>
      <c r="AU349" s="949">
        <f t="shared" si="693"/>
        <v>23.485930147518729</v>
      </c>
      <c r="AV349" s="843">
        <f t="shared" si="694"/>
        <v>3.0734530820776249</v>
      </c>
      <c r="AW349" s="34">
        <f t="shared" si="695"/>
        <v>-20.412477065441106</v>
      </c>
      <c r="AX349" s="35">
        <f t="shared" si="696"/>
        <v>-0.86913641219347948</v>
      </c>
      <c r="AZ349" s="949">
        <f t="shared" si="677"/>
        <v>27.447997078562985</v>
      </c>
      <c r="BA349" s="843">
        <f t="shared" si="678"/>
        <v>6.0279437575155423</v>
      </c>
      <c r="BB349" s="34">
        <f t="shared" si="697"/>
        <v>-21.42005332104744</v>
      </c>
      <c r="BC349" s="35">
        <f t="shared" si="698"/>
        <v>-0.78038675316592054</v>
      </c>
      <c r="BE349" s="31">
        <f t="shared" si="699"/>
        <v>27.914754353547377</v>
      </c>
      <c r="BF349" s="25">
        <f t="shared" si="700"/>
        <v>10.779461450043565</v>
      </c>
      <c r="BG349" s="32">
        <f t="shared" si="701"/>
        <v>-17.13529290350381</v>
      </c>
      <c r="BH349" s="33">
        <f t="shared" si="702"/>
        <v>-0.61384358559925056</v>
      </c>
      <c r="BJ349" s="31">
        <f t="shared" si="679"/>
        <v>29.581912409374592</v>
      </c>
      <c r="BK349" s="25">
        <f t="shared" si="680"/>
        <v>11.995655145797079</v>
      </c>
      <c r="BL349" s="32">
        <f t="shared" si="681"/>
        <v>-17.586257263577515</v>
      </c>
      <c r="BM349" s="33">
        <f t="shared" si="682"/>
        <v>-0.59449358852149059</v>
      </c>
      <c r="BO349" s="62"/>
      <c r="BP349" s="62"/>
      <c r="BQ349" s="62"/>
      <c r="BR349" s="63"/>
    </row>
    <row r="350" spans="1:70" ht="14.5" customHeight="1">
      <c r="A350" s="1"/>
      <c r="B350" s="1284"/>
    </row>
    <row r="351" spans="1:70" ht="14.5" customHeight="1">
      <c r="A351" s="1"/>
      <c r="B351" s="1284"/>
      <c r="D351" s="1" t="s">
        <v>66</v>
      </c>
    </row>
    <row r="352" spans="1:70" ht="14.5" customHeight="1">
      <c r="B352" s="1284"/>
      <c r="E352" s="1300" t="s">
        <v>733</v>
      </c>
      <c r="F352" s="1301"/>
      <c r="G352" s="1301"/>
      <c r="H352" s="1301"/>
      <c r="I352" s="1301"/>
      <c r="J352" s="1301"/>
      <c r="K352" s="1301"/>
      <c r="L352" s="1302"/>
      <c r="N352" s="245" t="s">
        <v>291</v>
      </c>
      <c r="O352" s="246"/>
      <c r="P352" s="246"/>
      <c r="Q352" s="246"/>
      <c r="R352" s="246"/>
      <c r="S352" s="246"/>
      <c r="T352" s="246"/>
      <c r="U352" s="247"/>
      <c r="W352" s="1079" t="s">
        <v>292</v>
      </c>
      <c r="X352" s="1080"/>
      <c r="Y352" s="1080"/>
      <c r="Z352" s="1080"/>
      <c r="AA352" s="1080"/>
      <c r="AB352" s="1080"/>
      <c r="AC352" s="1080"/>
      <c r="AD352" s="1081"/>
      <c r="AF352" s="102" t="s">
        <v>297</v>
      </c>
      <c r="AG352" s="102" t="s">
        <v>298</v>
      </c>
      <c r="AH352" s="1304" t="s">
        <v>602</v>
      </c>
      <c r="AI352" s="1304"/>
      <c r="AK352" s="102" t="s">
        <v>297</v>
      </c>
      <c r="AL352" s="102" t="s">
        <v>298</v>
      </c>
      <c r="AM352" s="1304" t="s">
        <v>602</v>
      </c>
      <c r="AN352" s="1304"/>
      <c r="AP352" s="6" t="s">
        <v>297</v>
      </c>
      <c r="AQ352" s="5" t="s">
        <v>298</v>
      </c>
      <c r="AR352" s="1303" t="s">
        <v>602</v>
      </c>
      <c r="AS352" s="1303"/>
      <c r="AU352" s="6" t="s">
        <v>297</v>
      </c>
      <c r="AV352" s="5" t="s">
        <v>298</v>
      </c>
      <c r="AW352" s="1303" t="s">
        <v>602</v>
      </c>
      <c r="AX352" s="1303"/>
      <c r="AZ352" s="6" t="s">
        <v>297</v>
      </c>
      <c r="BA352" s="5" t="s">
        <v>298</v>
      </c>
      <c r="BB352" s="1303" t="s">
        <v>602</v>
      </c>
      <c r="BC352" s="1303"/>
      <c r="BE352" s="6" t="s">
        <v>297</v>
      </c>
      <c r="BF352" s="5" t="s">
        <v>298</v>
      </c>
      <c r="BG352" s="1082" t="s">
        <v>602</v>
      </c>
      <c r="BH352" s="1082"/>
      <c r="BJ352" s="6" t="s">
        <v>297</v>
      </c>
      <c r="BK352" s="5" t="s">
        <v>298</v>
      </c>
      <c r="BL352" s="1082" t="s">
        <v>602</v>
      </c>
      <c r="BM352" s="1082"/>
      <c r="BO352" s="6" t="s">
        <v>297</v>
      </c>
      <c r="BP352" s="5" t="s">
        <v>298</v>
      </c>
      <c r="BQ352" s="1303" t="s">
        <v>602</v>
      </c>
      <c r="BR352" s="1303"/>
    </row>
    <row r="353" spans="1:70" ht="14.5" customHeight="1">
      <c r="A353" s="1"/>
      <c r="B353" s="1284"/>
      <c r="E353" s="196" t="s">
        <v>137</v>
      </c>
      <c r="F353" s="102" t="s">
        <v>138</v>
      </c>
      <c r="G353" s="102" t="s">
        <v>139</v>
      </c>
      <c r="H353" s="102" t="s">
        <v>140</v>
      </c>
      <c r="I353" s="102" t="s">
        <v>141</v>
      </c>
      <c r="J353" s="102" t="s">
        <v>126</v>
      </c>
      <c r="K353" s="102" t="s">
        <v>142</v>
      </c>
      <c r="L353" s="197" t="s">
        <v>143</v>
      </c>
      <c r="N353" s="196" t="s">
        <v>137</v>
      </c>
      <c r="O353" s="102" t="s">
        <v>138</v>
      </c>
      <c r="P353" s="102" t="s">
        <v>139</v>
      </c>
      <c r="Q353" s="102" t="s">
        <v>140</v>
      </c>
      <c r="R353" s="102" t="s">
        <v>141</v>
      </c>
      <c r="S353" s="102" t="s">
        <v>126</v>
      </c>
      <c r="T353" s="102" t="s">
        <v>142</v>
      </c>
      <c r="U353" s="197" t="s">
        <v>143</v>
      </c>
      <c r="W353" s="196" t="s">
        <v>137</v>
      </c>
      <c r="X353" s="1078" t="s">
        <v>138</v>
      </c>
      <c r="Y353" s="1078" t="s">
        <v>139</v>
      </c>
      <c r="Z353" s="1078" t="s">
        <v>140</v>
      </c>
      <c r="AA353" s="1078" t="s">
        <v>141</v>
      </c>
      <c r="AB353" s="1078" t="s">
        <v>126</v>
      </c>
      <c r="AC353" s="1078" t="s">
        <v>142</v>
      </c>
      <c r="AD353" s="197" t="s">
        <v>143</v>
      </c>
      <c r="AF353" s="102" t="s">
        <v>734</v>
      </c>
      <c r="AG353" s="102" t="s">
        <v>734</v>
      </c>
      <c r="AH353" s="102" t="s">
        <v>734</v>
      </c>
      <c r="AI353" s="102" t="s">
        <v>606</v>
      </c>
      <c r="AK353" s="102" t="s">
        <v>734</v>
      </c>
      <c r="AL353" s="102" t="s">
        <v>734</v>
      </c>
      <c r="AM353" s="102" t="s">
        <v>734</v>
      </c>
      <c r="AN353" s="102" t="s">
        <v>606</v>
      </c>
      <c r="AP353" s="5" t="s">
        <v>734</v>
      </c>
      <c r="AQ353" s="5" t="s">
        <v>734</v>
      </c>
      <c r="AR353" s="5" t="s">
        <v>734</v>
      </c>
      <c r="AS353" s="5" t="s">
        <v>606</v>
      </c>
      <c r="AU353" s="5" t="s">
        <v>734</v>
      </c>
      <c r="AV353" s="5" t="s">
        <v>734</v>
      </c>
      <c r="AW353" s="5" t="s">
        <v>734</v>
      </c>
      <c r="AX353" s="5" t="s">
        <v>606</v>
      </c>
      <c r="AZ353" s="5" t="s">
        <v>734</v>
      </c>
      <c r="BA353" s="5" t="s">
        <v>734</v>
      </c>
      <c r="BB353" s="5" t="s">
        <v>734</v>
      </c>
      <c r="BC353" s="5" t="s">
        <v>606</v>
      </c>
      <c r="BE353" s="5" t="s">
        <v>734</v>
      </c>
      <c r="BF353" s="5" t="s">
        <v>734</v>
      </c>
      <c r="BG353" s="5" t="s">
        <v>734</v>
      </c>
      <c r="BH353" s="5" t="s">
        <v>606</v>
      </c>
      <c r="BJ353" s="5" t="s">
        <v>734</v>
      </c>
      <c r="BK353" s="5" t="s">
        <v>734</v>
      </c>
      <c r="BL353" s="5" t="s">
        <v>734</v>
      </c>
      <c r="BM353" s="5" t="s">
        <v>606</v>
      </c>
      <c r="BO353" s="5" t="s">
        <v>734</v>
      </c>
      <c r="BP353" s="5" t="s">
        <v>734</v>
      </c>
      <c r="BQ353" s="5" t="s">
        <v>734</v>
      </c>
      <c r="BR353" s="5" t="s">
        <v>606</v>
      </c>
    </row>
    <row r="354" spans="1:70">
      <c r="B354" s="1284"/>
      <c r="D354" s="5" t="s">
        <v>161</v>
      </c>
      <c r="E354" s="87">
        <v>3.9590724861392141</v>
      </c>
      <c r="F354" s="87">
        <v>4.0349703980244147</v>
      </c>
      <c r="G354" s="87">
        <v>4.1027721232648142</v>
      </c>
      <c r="H354" s="87">
        <v>6.6510330462743603</v>
      </c>
      <c r="I354" s="87">
        <v>4.0846196589835495</v>
      </c>
      <c r="J354" s="87">
        <v>4.1275569967052546</v>
      </c>
      <c r="K354" s="87">
        <v>4.1329439894154856</v>
      </c>
      <c r="L354" s="87">
        <v>4.1413577888631385</v>
      </c>
      <c r="N354" s="29">
        <v>4.601406775956832</v>
      </c>
      <c r="O354" s="29">
        <v>4.209769878453387</v>
      </c>
      <c r="P354" s="29">
        <v>4.5121796686795497</v>
      </c>
      <c r="Q354" s="29">
        <v>4.9879118849644675</v>
      </c>
      <c r="R354" s="29">
        <v>4.4944801705794521</v>
      </c>
      <c r="S354" s="29">
        <v>4.4966948873348631</v>
      </c>
      <c r="T354" s="29">
        <v>4.4576688212390918</v>
      </c>
      <c r="U354" s="29">
        <v>4.3560696626815387</v>
      </c>
      <c r="W354" s="30">
        <v>5.1154472720164978</v>
      </c>
      <c r="X354" s="30">
        <v>5.7034955832810859</v>
      </c>
      <c r="Y354" s="30">
        <v>3.2825513238633177</v>
      </c>
      <c r="Z354" s="30">
        <v>4.1690927773161013</v>
      </c>
      <c r="AA354" s="30">
        <v>3.9554833590547229</v>
      </c>
      <c r="AB354" s="85">
        <v>3.9717164502680693</v>
      </c>
      <c r="AC354" s="85">
        <v>5.2962082473672361</v>
      </c>
      <c r="AD354" s="90">
        <v>0</v>
      </c>
      <c r="AF354" s="29">
        <f>N354</f>
        <v>4.601406775956832</v>
      </c>
      <c r="AG354" s="30">
        <f>W354</f>
        <v>5.1154472720164978</v>
      </c>
      <c r="AH354" s="32">
        <f>IF(AG354&gt;0,AG354-AF354,"")</f>
        <v>0.51404049605966584</v>
      </c>
      <c r="AI354" s="33">
        <f>IF(AG354&gt;0,AH354/AF354,"")</f>
        <v>0.11171376952492415</v>
      </c>
      <c r="AK354" s="29">
        <f t="shared" ref="AK354:AK369" si="711">O354</f>
        <v>4.209769878453387</v>
      </c>
      <c r="AL354" s="30">
        <f t="shared" ref="AL354:AL369" si="712">X354</f>
        <v>5.7034955832810859</v>
      </c>
      <c r="AM354" s="32">
        <f>IF(AL354&gt;0,AL354-AK354,"")</f>
        <v>1.4937257048276988</v>
      </c>
      <c r="AN354" s="33">
        <f>IF(AL354&gt;0,AM354/AK354,"")</f>
        <v>0.35482360032859411</v>
      </c>
      <c r="AP354" s="29">
        <f>P354</f>
        <v>4.5121796686795497</v>
      </c>
      <c r="AQ354" s="30">
        <f>Y354</f>
        <v>3.2825513238633177</v>
      </c>
      <c r="AR354" s="32">
        <f>AQ354-AP354</f>
        <v>-1.229628344816232</v>
      </c>
      <c r="AS354" s="33">
        <f>AR354/AP354</f>
        <v>-0.27251316106746964</v>
      </c>
      <c r="AU354" s="31">
        <f>Q354</f>
        <v>4.9879118849644675</v>
      </c>
      <c r="AV354" s="25">
        <f>Z354</f>
        <v>4.1690927773161013</v>
      </c>
      <c r="AW354" s="32">
        <f>AV354-AU354</f>
        <v>-0.81881910764836618</v>
      </c>
      <c r="AX354" s="33">
        <f>AW354/AU354</f>
        <v>-0.16416070021537665</v>
      </c>
      <c r="AZ354" s="31">
        <f t="shared" ref="AZ354:AZ369" si="713">R354</f>
        <v>4.4944801705794521</v>
      </c>
      <c r="BA354" s="25">
        <f t="shared" ref="BA354:BA369" si="714">AA354</f>
        <v>3.9554833590547229</v>
      </c>
      <c r="BB354" s="32">
        <f>BA354-AZ354</f>
        <v>-0.53899681152472922</v>
      </c>
      <c r="BC354" s="33">
        <f>BB354/AZ354</f>
        <v>-0.11992417166571655</v>
      </c>
      <c r="BE354" s="31">
        <f>S354</f>
        <v>4.4966948873348631</v>
      </c>
      <c r="BF354" s="25">
        <f>AB354</f>
        <v>3.9717164502680693</v>
      </c>
      <c r="BG354" s="32">
        <f>BF354-BE354</f>
        <v>-0.52497843706679381</v>
      </c>
      <c r="BH354" s="33">
        <f>BG354/BE354</f>
        <v>-0.11674762246943159</v>
      </c>
      <c r="BJ354" s="31">
        <f t="shared" ref="BJ354:BJ369" si="715">T354</f>
        <v>4.4576688212390918</v>
      </c>
      <c r="BK354" s="25">
        <f t="shared" ref="BK354:BK369" si="716">AC354</f>
        <v>5.2962082473672361</v>
      </c>
      <c r="BL354" s="32">
        <f t="shared" ref="BL354:BL369" si="717">BK354-BJ354</f>
        <v>0.83853942612814425</v>
      </c>
      <c r="BM354" s="33">
        <f t="shared" ref="BM354:BM369" si="718">BL354/BJ354</f>
        <v>0.18811164753487825</v>
      </c>
      <c r="BO354" s="62"/>
      <c r="BP354" s="62"/>
      <c r="BQ354" s="62"/>
      <c r="BR354" s="63"/>
    </row>
    <row r="355" spans="1:70">
      <c r="B355" s="1284"/>
      <c r="D355" s="5" t="s">
        <v>162</v>
      </c>
      <c r="E355" s="87">
        <v>5.2484650518300597</v>
      </c>
      <c r="F355" s="87">
        <v>3.8551153058636811</v>
      </c>
      <c r="G355" s="87">
        <v>3.8734766131231879</v>
      </c>
      <c r="H355" s="87">
        <v>3.8202541623336015</v>
      </c>
      <c r="I355" s="87">
        <v>3.7876393245276976</v>
      </c>
      <c r="J355" s="87">
        <v>3.8124468446805908</v>
      </c>
      <c r="K355" s="87">
        <v>3.8863119984066343</v>
      </c>
      <c r="L355" s="87">
        <v>3.8949989417645039</v>
      </c>
      <c r="N355" s="29">
        <v>4.950611299026348</v>
      </c>
      <c r="O355" s="29">
        <v>4.4623097572555217</v>
      </c>
      <c r="P355" s="29">
        <v>3.9965321768890334</v>
      </c>
      <c r="Q355" s="29">
        <v>3.9223390344763809</v>
      </c>
      <c r="R355" s="29">
        <v>3.7214321826054202</v>
      </c>
      <c r="S355" s="29">
        <v>3.3266741616478779</v>
      </c>
      <c r="T355" s="29">
        <v>3.0497198880958027</v>
      </c>
      <c r="U355" s="29">
        <v>3.0533925333634415</v>
      </c>
      <c r="W355" s="30">
        <v>8.4527652018810056</v>
      </c>
      <c r="X355" s="30">
        <v>4.1762615271407535</v>
      </c>
      <c r="Y355" s="30">
        <v>3.9939848739073347</v>
      </c>
      <c r="Z355" s="30">
        <v>4.7992963959285948</v>
      </c>
      <c r="AA355" s="30">
        <v>6.5742861514564108</v>
      </c>
      <c r="AB355" s="85">
        <v>6.7095866104546467</v>
      </c>
      <c r="AC355" s="85">
        <v>3.7467412518783738</v>
      </c>
      <c r="AD355" s="90">
        <v>0</v>
      </c>
      <c r="AF355" s="29">
        <f t="shared" ref="AF355:AF369" si="719">N355</f>
        <v>4.950611299026348</v>
      </c>
      <c r="AG355" s="30">
        <f t="shared" ref="AG355:AG369" si="720">W355</f>
        <v>8.4527652018810056</v>
      </c>
      <c r="AH355" s="32">
        <f t="shared" ref="AH355:AH369" si="721">IF(AG355&gt;0,AG355-AF355,"")</f>
        <v>3.5021539028546576</v>
      </c>
      <c r="AI355" s="33">
        <f t="shared" ref="AI355:AI369" si="722">IF(AG355&gt;0,AH355/AF355,"")</f>
        <v>0.70741847649065825</v>
      </c>
      <c r="AK355" s="29">
        <f t="shared" si="711"/>
        <v>4.4623097572555217</v>
      </c>
      <c r="AL355" s="30">
        <f t="shared" si="712"/>
        <v>4.1762615271407535</v>
      </c>
      <c r="AM355" s="32">
        <f t="shared" ref="AM355:AM369" si="723">IF(AL355&gt;0,AL355-AK355,"")</f>
        <v>-0.28604823011476821</v>
      </c>
      <c r="AN355" s="33">
        <f t="shared" ref="AN355:AN369" si="724">IF(AL355&gt;0,AM355/AK355,"")</f>
        <v>-6.410317653310961E-2</v>
      </c>
      <c r="AP355" s="29">
        <f t="shared" ref="AP355:AP369" si="725">P355</f>
        <v>3.9965321768890334</v>
      </c>
      <c r="AQ355" s="30">
        <f t="shared" ref="AQ355:AQ368" si="726">Y355</f>
        <v>3.9939848739073347</v>
      </c>
      <c r="AR355" s="32">
        <f t="shared" ref="AR355:AR369" si="727">AQ355-AP355</f>
        <v>-2.5473029816986958E-3</v>
      </c>
      <c r="AS355" s="33">
        <f t="shared" ref="AS355:AS369" si="728">AR355/AP355</f>
        <v>-6.373783242454859E-4</v>
      </c>
      <c r="AU355" s="31">
        <f t="shared" ref="AU355:AU369" si="729">Q355</f>
        <v>3.9223390344763809</v>
      </c>
      <c r="AV355" s="25">
        <f t="shared" ref="AV355:AV369" si="730">Z355</f>
        <v>4.7992963959285948</v>
      </c>
      <c r="AW355" s="32">
        <f t="shared" ref="AW355:AW369" si="731">AV355-AU355</f>
        <v>0.87695736145221392</v>
      </c>
      <c r="AX355" s="33">
        <f t="shared" ref="AX355:AX369" si="732">AW355/AU355</f>
        <v>0.22358020399154119</v>
      </c>
      <c r="AZ355" s="31">
        <f t="shared" si="713"/>
        <v>3.7214321826054202</v>
      </c>
      <c r="BA355" s="25">
        <f t="shared" si="714"/>
        <v>6.5742861514564108</v>
      </c>
      <c r="BB355" s="32">
        <f t="shared" ref="BB355:BB369" si="733">BA355-AZ355</f>
        <v>2.8528539688509906</v>
      </c>
      <c r="BC355" s="33">
        <f t="shared" ref="BC355:BC369" si="734">BB355/AZ355</f>
        <v>0.76660109035056301</v>
      </c>
      <c r="BE355" s="31">
        <f t="shared" ref="BE355:BE369" si="735">S355</f>
        <v>3.3266741616478779</v>
      </c>
      <c r="BF355" s="25">
        <f t="shared" ref="BF355:BF369" si="736">AB355</f>
        <v>6.7095866104546467</v>
      </c>
      <c r="BG355" s="32">
        <f t="shared" ref="BG355:BG369" si="737">BF355-BE355</f>
        <v>3.3829124488067688</v>
      </c>
      <c r="BH355" s="33">
        <f t="shared" ref="BH355:BH369" si="738">BG355/BE355</f>
        <v>1.0169052586535956</v>
      </c>
      <c r="BJ355" s="31">
        <f t="shared" si="715"/>
        <v>3.0497198880958027</v>
      </c>
      <c r="BK355" s="25">
        <f t="shared" si="716"/>
        <v>3.7467412518783738</v>
      </c>
      <c r="BL355" s="32">
        <f t="shared" si="717"/>
        <v>0.69702136378257107</v>
      </c>
      <c r="BM355" s="33">
        <f t="shared" si="718"/>
        <v>0.22855258494503253</v>
      </c>
      <c r="BO355" s="62"/>
      <c r="BP355" s="62"/>
      <c r="BQ355" s="62"/>
      <c r="BR355" s="63"/>
    </row>
    <row r="356" spans="1:70">
      <c r="B356" s="1284"/>
      <c r="D356" s="5" t="s">
        <v>163</v>
      </c>
      <c r="E356" s="87">
        <v>6.2934311590720426</v>
      </c>
      <c r="F356" s="87">
        <v>6.2262607507495691</v>
      </c>
      <c r="G356" s="87">
        <v>4.8155686610729704</v>
      </c>
      <c r="H356" s="87">
        <v>5.6452062806097372</v>
      </c>
      <c r="I356" s="87">
        <v>5.8555676925721087</v>
      </c>
      <c r="J356" s="87">
        <v>5.6631779740525587</v>
      </c>
      <c r="K356" s="87">
        <v>4.6529850025729633</v>
      </c>
      <c r="L356" s="87">
        <v>3.592967467085344</v>
      </c>
      <c r="N356" s="29">
        <v>6.5985168609353391</v>
      </c>
      <c r="O356" s="29">
        <v>6.373188136356184</v>
      </c>
      <c r="P356" s="29">
        <v>5.7579025936485211</v>
      </c>
      <c r="Q356" s="29">
        <v>5.8115168207813328</v>
      </c>
      <c r="R356" s="29">
        <v>5.1005566310210773</v>
      </c>
      <c r="S356" s="29">
        <v>4.9135628378144807</v>
      </c>
      <c r="T356" s="29">
        <v>4.0854522056096236</v>
      </c>
      <c r="U356" s="29">
        <v>4.1314679744705787</v>
      </c>
      <c r="W356" s="30">
        <v>4.1734796474366993</v>
      </c>
      <c r="X356" s="30">
        <v>7.1134755169363135</v>
      </c>
      <c r="Y356" s="30">
        <v>5.9047419102089806</v>
      </c>
      <c r="Z356" s="30">
        <v>7.2425325493149542</v>
      </c>
      <c r="AA356" s="30">
        <v>7.755138447937699</v>
      </c>
      <c r="AB356" s="85">
        <v>6.6722775465609807</v>
      </c>
      <c r="AC356" s="85">
        <v>7.663974916669039</v>
      </c>
      <c r="AD356" s="90">
        <v>0</v>
      </c>
      <c r="AF356" s="29">
        <f t="shared" si="719"/>
        <v>6.5985168609353391</v>
      </c>
      <c r="AG356" s="30">
        <f t="shared" si="720"/>
        <v>4.1734796474366993</v>
      </c>
      <c r="AH356" s="32">
        <f t="shared" si="721"/>
        <v>-2.4250372134986398</v>
      </c>
      <c r="AI356" s="33">
        <f t="shared" si="722"/>
        <v>-0.36751246751453948</v>
      </c>
      <c r="AK356" s="29">
        <f t="shared" si="711"/>
        <v>6.373188136356184</v>
      </c>
      <c r="AL356" s="30">
        <f t="shared" si="712"/>
        <v>7.1134755169363135</v>
      </c>
      <c r="AM356" s="32">
        <f t="shared" si="723"/>
        <v>0.74028738058012955</v>
      </c>
      <c r="AN356" s="33">
        <f t="shared" si="724"/>
        <v>0.11615652397849698</v>
      </c>
      <c r="AP356" s="29">
        <f t="shared" si="725"/>
        <v>5.7579025936485211</v>
      </c>
      <c r="AQ356" s="30">
        <f t="shared" si="726"/>
        <v>5.9047419102089806</v>
      </c>
      <c r="AR356" s="32">
        <f t="shared" si="727"/>
        <v>0.14683931656045957</v>
      </c>
      <c r="AS356" s="33">
        <f t="shared" si="728"/>
        <v>2.5502223105065443E-2</v>
      </c>
      <c r="AU356" s="31">
        <f t="shared" si="729"/>
        <v>5.8115168207813328</v>
      </c>
      <c r="AV356" s="25">
        <f t="shared" si="730"/>
        <v>7.2425325493149542</v>
      </c>
      <c r="AW356" s="32">
        <f t="shared" si="731"/>
        <v>1.4310157285336214</v>
      </c>
      <c r="AX356" s="33">
        <f t="shared" si="732"/>
        <v>0.24623790529461595</v>
      </c>
      <c r="AZ356" s="31">
        <f t="shared" si="713"/>
        <v>5.1005566310210773</v>
      </c>
      <c r="BA356" s="25">
        <f t="shared" si="714"/>
        <v>7.755138447937699</v>
      </c>
      <c r="BB356" s="32">
        <f t="shared" si="733"/>
        <v>2.6545818169166218</v>
      </c>
      <c r="BC356" s="33">
        <f t="shared" si="734"/>
        <v>0.52044943502278151</v>
      </c>
      <c r="BE356" s="31">
        <f t="shared" si="735"/>
        <v>4.9135628378144807</v>
      </c>
      <c r="BF356" s="25">
        <f t="shared" si="736"/>
        <v>6.6722775465609807</v>
      </c>
      <c r="BG356" s="32">
        <f t="shared" si="737"/>
        <v>1.7587147087465</v>
      </c>
      <c r="BH356" s="33">
        <f t="shared" si="738"/>
        <v>0.357930643567136</v>
      </c>
      <c r="BJ356" s="31">
        <f t="shared" si="715"/>
        <v>4.0854522056096236</v>
      </c>
      <c r="BK356" s="25">
        <f t="shared" si="716"/>
        <v>7.663974916669039</v>
      </c>
      <c r="BL356" s="32">
        <f t="shared" si="717"/>
        <v>3.5785227110594153</v>
      </c>
      <c r="BM356" s="33">
        <f t="shared" si="718"/>
        <v>0.87591838821314394</v>
      </c>
      <c r="BO356" s="62"/>
      <c r="BP356" s="62"/>
      <c r="BQ356" s="62"/>
      <c r="BR356" s="63"/>
    </row>
    <row r="357" spans="1:70">
      <c r="B357" s="1284"/>
      <c r="D357" s="5" t="s">
        <v>164</v>
      </c>
      <c r="E357" s="87">
        <v>12.048313413065394</v>
      </c>
      <c r="F357" s="87">
        <v>11.681330452403513</v>
      </c>
      <c r="G357" s="87">
        <v>11.419693679407896</v>
      </c>
      <c r="H357" s="87">
        <v>12.512275967255558</v>
      </c>
      <c r="I357" s="87">
        <v>11.658892153273658</v>
      </c>
      <c r="J357" s="87">
        <v>12.35973078381774</v>
      </c>
      <c r="K357" s="87">
        <v>11.667273106996145</v>
      </c>
      <c r="L357" s="87">
        <v>11.797135401312449</v>
      </c>
      <c r="N357" s="29">
        <v>12.048313413065394</v>
      </c>
      <c r="O357" s="29">
        <v>11.681330452403513</v>
      </c>
      <c r="P357" s="29">
        <v>11.419693679407896</v>
      </c>
      <c r="Q357" s="29">
        <v>12.512275967255558</v>
      </c>
      <c r="R357" s="29">
        <v>11.658892153273658</v>
      </c>
      <c r="S357" s="29">
        <v>12.35973078381774</v>
      </c>
      <c r="T357" s="29">
        <v>11.667273106996145</v>
      </c>
      <c r="U357" s="29">
        <v>11.797135401312449</v>
      </c>
      <c r="W357" s="30">
        <v>9.4597270879186546</v>
      </c>
      <c r="X357" s="30">
        <v>9.5088058658374592</v>
      </c>
      <c r="Y357" s="30">
        <v>10.786874050955229</v>
      </c>
      <c r="Z357" s="30">
        <v>13.188531138548859</v>
      </c>
      <c r="AA357" s="30">
        <v>8.8279661996545595</v>
      </c>
      <c r="AB357" s="85">
        <v>5.9180597898472644</v>
      </c>
      <c r="AC357" s="85">
        <v>9.1849999999999987</v>
      </c>
      <c r="AD357" s="90">
        <v>0</v>
      </c>
      <c r="AF357" s="29">
        <f t="shared" si="719"/>
        <v>12.048313413065394</v>
      </c>
      <c r="AG357" s="30">
        <f t="shared" si="720"/>
        <v>9.4597270879186546</v>
      </c>
      <c r="AH357" s="32">
        <f t="shared" si="721"/>
        <v>-2.5885863251467391</v>
      </c>
      <c r="AI357" s="33">
        <f t="shared" si="722"/>
        <v>-0.21485051362787697</v>
      </c>
      <c r="AK357" s="29">
        <f t="shared" si="711"/>
        <v>11.681330452403513</v>
      </c>
      <c r="AL357" s="30">
        <f t="shared" si="712"/>
        <v>9.5088058658374592</v>
      </c>
      <c r="AM357" s="32">
        <f t="shared" si="723"/>
        <v>-2.1725245865660536</v>
      </c>
      <c r="AN357" s="33">
        <f t="shared" si="724"/>
        <v>-0.18598263232242027</v>
      </c>
      <c r="AP357" s="29">
        <f t="shared" si="725"/>
        <v>11.419693679407896</v>
      </c>
      <c r="AQ357" s="30">
        <f t="shared" si="726"/>
        <v>10.786874050955229</v>
      </c>
      <c r="AR357" s="32">
        <f t="shared" si="727"/>
        <v>-0.63281962845266726</v>
      </c>
      <c r="AS357" s="33">
        <f t="shared" si="728"/>
        <v>-5.5414763847280231E-2</v>
      </c>
      <c r="AU357" s="31">
        <f t="shared" si="729"/>
        <v>12.512275967255558</v>
      </c>
      <c r="AV357" s="25">
        <f t="shared" si="730"/>
        <v>13.188531138548859</v>
      </c>
      <c r="AW357" s="32">
        <f t="shared" si="731"/>
        <v>0.67625517129330071</v>
      </c>
      <c r="AX357" s="33">
        <f t="shared" si="732"/>
        <v>5.4047335038249676E-2</v>
      </c>
      <c r="AZ357" s="31">
        <f t="shared" si="713"/>
        <v>11.658892153273658</v>
      </c>
      <c r="BA357" s="25">
        <f t="shared" si="714"/>
        <v>8.8279661996545595</v>
      </c>
      <c r="BB357" s="32">
        <f t="shared" si="733"/>
        <v>-2.8309259536190989</v>
      </c>
      <c r="BC357" s="33">
        <f t="shared" si="734"/>
        <v>-0.24281260315322614</v>
      </c>
      <c r="BE357" s="31">
        <f t="shared" si="735"/>
        <v>12.35973078381774</v>
      </c>
      <c r="BF357" s="25">
        <f t="shared" si="736"/>
        <v>5.9180597898472644</v>
      </c>
      <c r="BG357" s="32">
        <f t="shared" si="737"/>
        <v>-6.4416709939704759</v>
      </c>
      <c r="BH357" s="33">
        <f t="shared" si="738"/>
        <v>-0.52118214438815935</v>
      </c>
      <c r="BJ357" s="31">
        <f t="shared" si="715"/>
        <v>11.667273106996145</v>
      </c>
      <c r="BK357" s="25">
        <f t="shared" si="716"/>
        <v>9.1849999999999987</v>
      </c>
      <c r="BL357" s="32">
        <f t="shared" si="717"/>
        <v>-2.4822731069961463</v>
      </c>
      <c r="BM357" s="33">
        <f t="shared" si="718"/>
        <v>-0.21275520717070384</v>
      </c>
      <c r="BO357" s="62"/>
      <c r="BP357" s="62"/>
      <c r="BQ357" s="62"/>
      <c r="BR357" s="63"/>
    </row>
    <row r="358" spans="1:70">
      <c r="B358" s="1284"/>
      <c r="D358" s="5" t="s">
        <v>165</v>
      </c>
      <c r="E358" s="87">
        <v>11.867626324697065</v>
      </c>
      <c r="F358" s="87">
        <v>11.527323970843378</v>
      </c>
      <c r="G358" s="87">
        <v>11.345012732577832</v>
      </c>
      <c r="H358" s="87">
        <v>11.22386861362587</v>
      </c>
      <c r="I358" s="87">
        <v>11.532725036870255</v>
      </c>
      <c r="J358" s="87">
        <v>11.546084686883185</v>
      </c>
      <c r="K358" s="87">
        <v>11.735904439405521</v>
      </c>
      <c r="L358" s="87">
        <v>11.986205196444072</v>
      </c>
      <c r="N358" s="29">
        <v>11.867626324697065</v>
      </c>
      <c r="O358" s="29">
        <v>11.527323970843378</v>
      </c>
      <c r="P358" s="29">
        <v>11.345012732577832</v>
      </c>
      <c r="Q358" s="29">
        <v>11.22386861362587</v>
      </c>
      <c r="R358" s="29">
        <v>11.532725036870255</v>
      </c>
      <c r="S358" s="29">
        <v>11.546084686883185</v>
      </c>
      <c r="T358" s="29">
        <v>11.735904439405521</v>
      </c>
      <c r="U358" s="29">
        <v>11.986205196444072</v>
      </c>
      <c r="W358" s="30">
        <v>14.402600005396385</v>
      </c>
      <c r="X358" s="30">
        <v>11.930157875709455</v>
      </c>
      <c r="Y358" s="30">
        <v>16.292365443712079</v>
      </c>
      <c r="Z358" s="30">
        <v>14.554160973216428</v>
      </c>
      <c r="AA358" s="30">
        <v>19.717457728752212</v>
      </c>
      <c r="AB358" s="85">
        <v>2.5682405708322156</v>
      </c>
      <c r="AC358" s="85">
        <v>0.45200000000000051</v>
      </c>
      <c r="AD358" s="90">
        <v>0</v>
      </c>
      <c r="AF358" s="29">
        <f t="shared" si="719"/>
        <v>11.867626324697065</v>
      </c>
      <c r="AG358" s="30">
        <f t="shared" si="720"/>
        <v>14.402600005396385</v>
      </c>
      <c r="AH358" s="32">
        <f t="shared" si="721"/>
        <v>2.5349736806993199</v>
      </c>
      <c r="AI358" s="33">
        <f t="shared" si="722"/>
        <v>0.2136041034106311</v>
      </c>
      <c r="AK358" s="29">
        <f t="shared" si="711"/>
        <v>11.527323970843378</v>
      </c>
      <c r="AL358" s="30">
        <f t="shared" si="712"/>
        <v>11.930157875709455</v>
      </c>
      <c r="AM358" s="32">
        <f t="shared" si="723"/>
        <v>0.40283390486607651</v>
      </c>
      <c r="AN358" s="33">
        <f t="shared" si="724"/>
        <v>3.4946003589817025E-2</v>
      </c>
      <c r="AP358" s="29">
        <f t="shared" si="725"/>
        <v>11.345012732577832</v>
      </c>
      <c r="AQ358" s="30">
        <f t="shared" si="726"/>
        <v>16.292365443712079</v>
      </c>
      <c r="AR358" s="32">
        <f t="shared" si="727"/>
        <v>4.947352711134247</v>
      </c>
      <c r="AS358" s="33">
        <f t="shared" si="728"/>
        <v>0.43608172399204542</v>
      </c>
      <c r="AU358" s="31">
        <f t="shared" si="729"/>
        <v>11.22386861362587</v>
      </c>
      <c r="AV358" s="25">
        <f t="shared" si="730"/>
        <v>14.554160973216428</v>
      </c>
      <c r="AW358" s="32">
        <f t="shared" si="731"/>
        <v>3.3302923595905582</v>
      </c>
      <c r="AX358" s="33">
        <f t="shared" si="732"/>
        <v>0.2967151945762761</v>
      </c>
      <c r="AZ358" s="31">
        <f t="shared" si="713"/>
        <v>11.532725036870255</v>
      </c>
      <c r="BA358" s="25">
        <f t="shared" si="714"/>
        <v>19.717457728752212</v>
      </c>
      <c r="BB358" s="32">
        <f t="shared" si="733"/>
        <v>8.1847326918819565</v>
      </c>
      <c r="BC358" s="33">
        <f t="shared" si="734"/>
        <v>0.70969633505656915</v>
      </c>
      <c r="BE358" s="31">
        <f t="shared" si="735"/>
        <v>11.546084686883185</v>
      </c>
      <c r="BF358" s="25">
        <f t="shared" si="736"/>
        <v>2.5682405708322156</v>
      </c>
      <c r="BG358" s="32">
        <f t="shared" si="737"/>
        <v>-8.9778441160509708</v>
      </c>
      <c r="BH358" s="33">
        <f t="shared" si="738"/>
        <v>-0.77756610656512515</v>
      </c>
      <c r="BJ358" s="31">
        <f t="shared" si="715"/>
        <v>11.735904439405521</v>
      </c>
      <c r="BK358" s="25">
        <f t="shared" si="716"/>
        <v>0.45200000000000051</v>
      </c>
      <c r="BL358" s="32">
        <f t="shared" si="717"/>
        <v>-11.283904439405521</v>
      </c>
      <c r="BM358" s="33">
        <f t="shared" si="718"/>
        <v>-0.96148571229991231</v>
      </c>
      <c r="BO358" s="62"/>
      <c r="BP358" s="62"/>
      <c r="BQ358" s="62"/>
      <c r="BR358" s="63"/>
    </row>
    <row r="359" spans="1:70">
      <c r="B359" s="1284"/>
      <c r="D359" s="5" t="s">
        <v>166</v>
      </c>
      <c r="E359" s="87">
        <v>4.8455563811405717</v>
      </c>
      <c r="F359" s="87">
        <v>4.7657801509343862</v>
      </c>
      <c r="G359" s="87">
        <v>4.6924082370681743</v>
      </c>
      <c r="H359" s="87">
        <v>4.6486910867344751</v>
      </c>
      <c r="I359" s="87">
        <v>4.8981038890836652</v>
      </c>
      <c r="J359" s="87">
        <v>5.0462443737271832</v>
      </c>
      <c r="K359" s="87">
        <v>5.2247634434256076</v>
      </c>
      <c r="L359" s="87">
        <v>5.4396176662251268</v>
      </c>
      <c r="N359" s="29">
        <v>4.8455563811405717</v>
      </c>
      <c r="O359" s="29">
        <v>4.7657801509343862</v>
      </c>
      <c r="P359" s="29">
        <v>4.6924082370681743</v>
      </c>
      <c r="Q359" s="29">
        <v>4.6486910867344751</v>
      </c>
      <c r="R359" s="29">
        <v>4.8981038890836652</v>
      </c>
      <c r="S359" s="29">
        <v>5.0462443737271832</v>
      </c>
      <c r="T359" s="29">
        <v>5.2247634434256076</v>
      </c>
      <c r="U359" s="29">
        <v>5.4396176662251268</v>
      </c>
      <c r="W359" s="30">
        <v>5.2211284054071765</v>
      </c>
      <c r="X359" s="30">
        <v>5.0444344282091533</v>
      </c>
      <c r="Y359" s="30">
        <v>4.1439742371993535</v>
      </c>
      <c r="Z359" s="30">
        <v>6.7764191064142212</v>
      </c>
      <c r="AA359" s="30">
        <v>3.0414350376064023</v>
      </c>
      <c r="AB359" s="85">
        <v>5.1736085074124585</v>
      </c>
      <c r="AC359" s="85">
        <v>3.4264000000000001</v>
      </c>
      <c r="AD359" s="90">
        <v>0</v>
      </c>
      <c r="AF359" s="29">
        <f t="shared" si="719"/>
        <v>4.8455563811405717</v>
      </c>
      <c r="AG359" s="30">
        <f t="shared" si="720"/>
        <v>5.2211284054071765</v>
      </c>
      <c r="AH359" s="32">
        <f t="shared" si="721"/>
        <v>0.37557202426660474</v>
      </c>
      <c r="AI359" s="33">
        <f t="shared" si="722"/>
        <v>7.7508544886273859E-2</v>
      </c>
      <c r="AK359" s="29">
        <f t="shared" si="711"/>
        <v>4.7657801509343862</v>
      </c>
      <c r="AL359" s="30">
        <f t="shared" si="712"/>
        <v>5.0444344282091533</v>
      </c>
      <c r="AM359" s="32">
        <f t="shared" si="723"/>
        <v>0.2786542772747671</v>
      </c>
      <c r="AN359" s="33">
        <f t="shared" si="724"/>
        <v>5.8469813640088644E-2</v>
      </c>
      <c r="AP359" s="29">
        <f t="shared" si="725"/>
        <v>4.6924082370681743</v>
      </c>
      <c r="AQ359" s="30">
        <f t="shared" si="726"/>
        <v>4.1439742371993535</v>
      </c>
      <c r="AR359" s="32">
        <f t="shared" si="727"/>
        <v>-0.5484339998688208</v>
      </c>
      <c r="AS359" s="33">
        <f t="shared" si="728"/>
        <v>-0.1168768726336316</v>
      </c>
      <c r="AU359" s="31">
        <f t="shared" si="729"/>
        <v>4.6486910867344751</v>
      </c>
      <c r="AV359" s="25">
        <f t="shared" si="730"/>
        <v>6.7764191064142212</v>
      </c>
      <c r="AW359" s="32">
        <f t="shared" si="731"/>
        <v>2.1277280196797461</v>
      </c>
      <c r="AX359" s="33">
        <f t="shared" si="732"/>
        <v>0.45770475602292438</v>
      </c>
      <c r="AZ359" s="31">
        <f t="shared" si="713"/>
        <v>4.8981038890836652</v>
      </c>
      <c r="BA359" s="25">
        <f t="shared" si="714"/>
        <v>3.0414350376064023</v>
      </c>
      <c r="BB359" s="32">
        <f t="shared" si="733"/>
        <v>-1.8566688514772629</v>
      </c>
      <c r="BC359" s="33">
        <f t="shared" si="734"/>
        <v>-0.37905869159190242</v>
      </c>
      <c r="BE359" s="31">
        <f t="shared" si="735"/>
        <v>5.0462443737271832</v>
      </c>
      <c r="BF359" s="25">
        <f t="shared" si="736"/>
        <v>5.1736085074124585</v>
      </c>
      <c r="BG359" s="32">
        <f t="shared" si="737"/>
        <v>0.12736413368527533</v>
      </c>
      <c r="BH359" s="33">
        <f t="shared" si="738"/>
        <v>2.5239390773143137E-2</v>
      </c>
      <c r="BJ359" s="31">
        <f t="shared" si="715"/>
        <v>5.2247634434256076</v>
      </c>
      <c r="BK359" s="25">
        <f t="shared" si="716"/>
        <v>3.4264000000000001</v>
      </c>
      <c r="BL359" s="32">
        <f t="shared" si="717"/>
        <v>-1.7983634434256075</v>
      </c>
      <c r="BM359" s="33">
        <f t="shared" si="718"/>
        <v>-0.34419997439090055</v>
      </c>
      <c r="BO359" s="62"/>
      <c r="BP359" s="62"/>
      <c r="BQ359" s="62"/>
      <c r="BR359" s="63"/>
    </row>
    <row r="360" spans="1:70">
      <c r="B360" s="1284"/>
      <c r="D360" s="5" t="s">
        <v>167</v>
      </c>
      <c r="E360" s="87">
        <v>10.21617059636695</v>
      </c>
      <c r="F360" s="87">
        <v>10.128297012721513</v>
      </c>
      <c r="G360" s="87">
        <v>10.082643392692434</v>
      </c>
      <c r="H360" s="87">
        <v>10.066597632300837</v>
      </c>
      <c r="I360" s="87">
        <v>10.278804722440148</v>
      </c>
      <c r="J360" s="87">
        <v>10.502536397156021</v>
      </c>
      <c r="K360" s="87">
        <v>10.922374138151664</v>
      </c>
      <c r="L360" s="87">
        <v>11.097168606435719</v>
      </c>
      <c r="N360" s="29">
        <v>10.21617059636695</v>
      </c>
      <c r="O360" s="29">
        <v>10.128297012721513</v>
      </c>
      <c r="P360" s="29">
        <v>10.082643392692434</v>
      </c>
      <c r="Q360" s="29">
        <v>10.066597632300837</v>
      </c>
      <c r="R360" s="29">
        <v>10.278804722440148</v>
      </c>
      <c r="S360" s="29">
        <v>10.502536397156021</v>
      </c>
      <c r="T360" s="29">
        <v>10.922374138151664</v>
      </c>
      <c r="U360" s="29">
        <v>11.097168606435719</v>
      </c>
      <c r="W360" s="30">
        <v>7.5846209248630663</v>
      </c>
      <c r="X360" s="30">
        <v>15.871650670208915</v>
      </c>
      <c r="Y360" s="30">
        <v>13.30447535539162</v>
      </c>
      <c r="Z360" s="30">
        <v>7.8426515686108393</v>
      </c>
      <c r="AA360" s="30">
        <v>21.859812494408928</v>
      </c>
      <c r="AB360" s="85">
        <v>4.0525947689577704</v>
      </c>
      <c r="AC360" s="85">
        <v>-0.21379999999999952</v>
      </c>
      <c r="AD360" s="90">
        <v>0</v>
      </c>
      <c r="AF360" s="29">
        <f t="shared" si="719"/>
        <v>10.21617059636695</v>
      </c>
      <c r="AG360" s="30">
        <f t="shared" si="720"/>
        <v>7.5846209248630663</v>
      </c>
      <c r="AH360" s="32">
        <f t="shared" si="721"/>
        <v>-2.6315496715038842</v>
      </c>
      <c r="AI360" s="33">
        <f t="shared" si="722"/>
        <v>-0.25758670009286155</v>
      </c>
      <c r="AK360" s="29">
        <f t="shared" si="711"/>
        <v>10.128297012721513</v>
      </c>
      <c r="AL360" s="30">
        <f t="shared" si="712"/>
        <v>15.871650670208915</v>
      </c>
      <c r="AM360" s="32">
        <f t="shared" si="723"/>
        <v>5.7433536574874022</v>
      </c>
      <c r="AN360" s="33">
        <f t="shared" si="724"/>
        <v>0.56706015337756577</v>
      </c>
      <c r="AP360" s="29">
        <f t="shared" si="725"/>
        <v>10.082643392692434</v>
      </c>
      <c r="AQ360" s="30">
        <f t="shared" si="726"/>
        <v>13.30447535539162</v>
      </c>
      <c r="AR360" s="32">
        <f t="shared" si="727"/>
        <v>3.221831962699186</v>
      </c>
      <c r="AS360" s="33">
        <f t="shared" si="728"/>
        <v>0.31954238955175812</v>
      </c>
      <c r="AU360" s="31">
        <f t="shared" si="729"/>
        <v>10.066597632300837</v>
      </c>
      <c r="AV360" s="25">
        <f t="shared" si="730"/>
        <v>7.8426515686108393</v>
      </c>
      <c r="AW360" s="32">
        <f t="shared" si="731"/>
        <v>-2.2239460636899979</v>
      </c>
      <c r="AX360" s="33">
        <f t="shared" si="732"/>
        <v>-0.22092330943614852</v>
      </c>
      <c r="AZ360" s="31">
        <f t="shared" si="713"/>
        <v>10.278804722440148</v>
      </c>
      <c r="BA360" s="25">
        <f t="shared" si="714"/>
        <v>21.859812494408928</v>
      </c>
      <c r="BB360" s="32">
        <f t="shared" si="733"/>
        <v>11.58100777196878</v>
      </c>
      <c r="BC360" s="33">
        <f t="shared" si="734"/>
        <v>1.1266881787028924</v>
      </c>
      <c r="BE360" s="31">
        <f t="shared" si="735"/>
        <v>10.502536397156021</v>
      </c>
      <c r="BF360" s="25">
        <f t="shared" si="736"/>
        <v>4.0525947689577704</v>
      </c>
      <c r="BG360" s="32">
        <f t="shared" si="737"/>
        <v>-6.4499416281982507</v>
      </c>
      <c r="BH360" s="33">
        <f t="shared" si="738"/>
        <v>-0.61413180438439885</v>
      </c>
      <c r="BJ360" s="31">
        <f t="shared" si="715"/>
        <v>10.922374138151664</v>
      </c>
      <c r="BK360" s="25">
        <f t="shared" si="716"/>
        <v>-0.21379999999999952</v>
      </c>
      <c r="BL360" s="32">
        <f t="shared" si="717"/>
        <v>-11.136174138151663</v>
      </c>
      <c r="BM360" s="33">
        <f t="shared" si="718"/>
        <v>-1.0195744988494031</v>
      </c>
      <c r="BO360" s="62"/>
      <c r="BP360" s="62"/>
      <c r="BQ360" s="62"/>
      <c r="BR360" s="63"/>
    </row>
    <row r="361" spans="1:70">
      <c r="B361" s="1284"/>
      <c r="D361" s="5" t="s">
        <v>168</v>
      </c>
      <c r="E361" s="87">
        <v>5.0112611511498111</v>
      </c>
      <c r="F361" s="87">
        <v>4.9887576108005804</v>
      </c>
      <c r="G361" s="87">
        <v>5.0502829744409583</v>
      </c>
      <c r="H361" s="87">
        <v>5.1128123025213901</v>
      </c>
      <c r="I361" s="87">
        <v>5.1763623575035398</v>
      </c>
      <c r="J361" s="87">
        <v>5.2409502056601909</v>
      </c>
      <c r="K361" s="87">
        <v>5.3065932227703865</v>
      </c>
      <c r="L361" s="87">
        <v>5.2260705623495554</v>
      </c>
      <c r="N361" s="29">
        <v>5.7495194456609608</v>
      </c>
      <c r="O361" s="29">
        <v>5.694247970326904</v>
      </c>
      <c r="P361" s="29">
        <v>4.7107910402409523</v>
      </c>
      <c r="Q361" s="29">
        <v>4.3702385220424071</v>
      </c>
      <c r="R361" s="29">
        <v>4.4649856295008776</v>
      </c>
      <c r="S361" s="29">
        <v>4.4154245557727183</v>
      </c>
      <c r="T361" s="29">
        <v>4.0398501955360091</v>
      </c>
      <c r="U361" s="29">
        <v>3.8158011255386226</v>
      </c>
      <c r="W361" s="30">
        <v>1.3667728881137453</v>
      </c>
      <c r="X361" s="30">
        <v>2.4040410490352557</v>
      </c>
      <c r="Y361" s="30">
        <v>2.7762469714406586</v>
      </c>
      <c r="Z361" s="30">
        <v>1.6848768901347462</v>
      </c>
      <c r="AA361" s="30">
        <v>0.29369361909899511</v>
      </c>
      <c r="AB361" s="85">
        <v>4.2321787621575373</v>
      </c>
      <c r="AC361" s="85">
        <v>2.4379488278842096</v>
      </c>
      <c r="AD361" s="90">
        <v>0</v>
      </c>
      <c r="AF361" s="29">
        <f t="shared" si="719"/>
        <v>5.7495194456609608</v>
      </c>
      <c r="AG361" s="30">
        <f t="shared" si="720"/>
        <v>1.3667728881137453</v>
      </c>
      <c r="AH361" s="32">
        <f t="shared" si="721"/>
        <v>-4.3827465575472155</v>
      </c>
      <c r="AI361" s="33">
        <f t="shared" si="722"/>
        <v>-0.76228049995635383</v>
      </c>
      <c r="AK361" s="29">
        <f t="shared" si="711"/>
        <v>5.694247970326904</v>
      </c>
      <c r="AL361" s="30">
        <f t="shared" si="712"/>
        <v>2.4040410490352557</v>
      </c>
      <c r="AM361" s="32">
        <f t="shared" si="723"/>
        <v>-3.2902069212916483</v>
      </c>
      <c r="AN361" s="33">
        <f t="shared" si="724"/>
        <v>-0.57781237108695127</v>
      </c>
      <c r="AP361" s="29">
        <f t="shared" si="725"/>
        <v>4.7107910402409523</v>
      </c>
      <c r="AQ361" s="30">
        <f t="shared" si="726"/>
        <v>2.7762469714406586</v>
      </c>
      <c r="AR361" s="32">
        <f t="shared" si="727"/>
        <v>-1.9345440688002937</v>
      </c>
      <c r="AS361" s="33">
        <f t="shared" si="728"/>
        <v>-0.41066225444407395</v>
      </c>
      <c r="AU361" s="31">
        <f t="shared" si="729"/>
        <v>4.3702385220424071</v>
      </c>
      <c r="AV361" s="25">
        <f t="shared" si="730"/>
        <v>1.6848768901347462</v>
      </c>
      <c r="AW361" s="32">
        <f t="shared" si="731"/>
        <v>-2.6853616319076608</v>
      </c>
      <c r="AX361" s="33">
        <f t="shared" si="732"/>
        <v>-0.61446569068561308</v>
      </c>
      <c r="AZ361" s="31">
        <f t="shared" si="713"/>
        <v>4.4649856295008776</v>
      </c>
      <c r="BA361" s="25">
        <f t="shared" si="714"/>
        <v>0.29369361909899511</v>
      </c>
      <c r="BB361" s="32">
        <f t="shared" si="733"/>
        <v>-4.1712920104018822</v>
      </c>
      <c r="BC361" s="33">
        <f t="shared" si="734"/>
        <v>-0.93422294191530775</v>
      </c>
      <c r="BE361" s="31">
        <f t="shared" si="735"/>
        <v>4.4154245557727183</v>
      </c>
      <c r="BF361" s="25">
        <f t="shared" si="736"/>
        <v>4.2321787621575373</v>
      </c>
      <c r="BG361" s="32">
        <f t="shared" si="737"/>
        <v>-0.18324579361518101</v>
      </c>
      <c r="BH361" s="33">
        <f t="shared" si="738"/>
        <v>-4.1501285165342884E-2</v>
      </c>
      <c r="BJ361" s="31">
        <f t="shared" si="715"/>
        <v>4.0398501955360091</v>
      </c>
      <c r="BK361" s="25">
        <f t="shared" si="716"/>
        <v>2.4379488278842096</v>
      </c>
      <c r="BL361" s="32">
        <f t="shared" si="717"/>
        <v>-1.6019013676517995</v>
      </c>
      <c r="BM361" s="33">
        <f t="shared" si="718"/>
        <v>-0.39652494278671108</v>
      </c>
      <c r="BO361" s="62"/>
      <c r="BP361" s="62"/>
      <c r="BQ361" s="62"/>
      <c r="BR361" s="63"/>
    </row>
    <row r="362" spans="1:70">
      <c r="B362" s="1284"/>
      <c r="D362" s="5" t="s">
        <v>169</v>
      </c>
      <c r="E362" s="87">
        <v>8.121912010663598</v>
      </c>
      <c r="F362" s="87">
        <v>8.2111125555621367</v>
      </c>
      <c r="G362" s="87">
        <v>8.1618603269734535</v>
      </c>
      <c r="H362" s="87">
        <v>8.1589931026133051</v>
      </c>
      <c r="I362" s="87">
        <v>8.7264759704820598</v>
      </c>
      <c r="J362" s="87">
        <v>11.685678894144523</v>
      </c>
      <c r="K362" s="87">
        <v>14.131078616353399</v>
      </c>
      <c r="L362" s="87">
        <v>10.232211551370499</v>
      </c>
      <c r="N362" s="29">
        <v>9.0789685427089033</v>
      </c>
      <c r="O362" s="29">
        <v>10.055644021957812</v>
      </c>
      <c r="P362" s="29">
        <v>9.0780337637124511</v>
      </c>
      <c r="Q362" s="29">
        <v>9.031313099979112</v>
      </c>
      <c r="R362" s="29">
        <v>8.9705401939976621</v>
      </c>
      <c r="S362" s="29">
        <v>9.59289862273857</v>
      </c>
      <c r="T362" s="29">
        <v>9.7270873171606151</v>
      </c>
      <c r="U362" s="29">
        <v>8.4944494237916413</v>
      </c>
      <c r="W362" s="30">
        <v>7.0855560008071601</v>
      </c>
      <c r="X362" s="30">
        <v>11.355773182961071</v>
      </c>
      <c r="Y362" s="30">
        <v>12.183186821911688</v>
      </c>
      <c r="Z362" s="30">
        <v>11.544976315580447</v>
      </c>
      <c r="AA362" s="30">
        <v>9.688758328395437</v>
      </c>
      <c r="AB362" s="85">
        <v>8.084224667046028</v>
      </c>
      <c r="AC362" s="85">
        <v>7.4030491268314895</v>
      </c>
      <c r="AD362" s="90">
        <v>0</v>
      </c>
      <c r="AF362" s="29">
        <f t="shared" si="719"/>
        <v>9.0789685427089033</v>
      </c>
      <c r="AG362" s="30">
        <f t="shared" si="720"/>
        <v>7.0855560008071601</v>
      </c>
      <c r="AH362" s="32">
        <f t="shared" si="721"/>
        <v>-1.9934125419017432</v>
      </c>
      <c r="AI362" s="33">
        <f t="shared" si="722"/>
        <v>-0.21956376790209323</v>
      </c>
      <c r="AK362" s="29">
        <f t="shared" si="711"/>
        <v>10.055644021957812</v>
      </c>
      <c r="AL362" s="30">
        <f t="shared" si="712"/>
        <v>11.355773182961071</v>
      </c>
      <c r="AM362" s="32">
        <f t="shared" si="723"/>
        <v>1.3001291610032588</v>
      </c>
      <c r="AN362" s="33">
        <f t="shared" si="724"/>
        <v>0.12929347520300608</v>
      </c>
      <c r="AP362" s="29">
        <f t="shared" si="725"/>
        <v>9.0780337637124511</v>
      </c>
      <c r="AQ362" s="30">
        <f t="shared" si="726"/>
        <v>12.183186821911688</v>
      </c>
      <c r="AR362" s="32">
        <f t="shared" si="727"/>
        <v>3.105153058199237</v>
      </c>
      <c r="AS362" s="33">
        <f t="shared" si="728"/>
        <v>0.34205127883655156</v>
      </c>
      <c r="AU362" s="31">
        <f t="shared" si="729"/>
        <v>9.031313099979112</v>
      </c>
      <c r="AV362" s="25">
        <f t="shared" si="730"/>
        <v>11.544976315580447</v>
      </c>
      <c r="AW362" s="32">
        <f t="shared" si="731"/>
        <v>2.5136632156013352</v>
      </c>
      <c r="AX362" s="33">
        <f t="shared" si="732"/>
        <v>0.27832754636832918</v>
      </c>
      <c r="AZ362" s="31">
        <f t="shared" si="713"/>
        <v>8.9705401939976621</v>
      </c>
      <c r="BA362" s="25">
        <f t="shared" si="714"/>
        <v>9.688758328395437</v>
      </c>
      <c r="BB362" s="32">
        <f t="shared" si="733"/>
        <v>0.71821813439777493</v>
      </c>
      <c r="BC362" s="33">
        <f t="shared" si="734"/>
        <v>8.0064089660770554E-2</v>
      </c>
      <c r="BE362" s="31">
        <f t="shared" si="735"/>
        <v>9.59289862273857</v>
      </c>
      <c r="BF362" s="25">
        <f t="shared" si="736"/>
        <v>8.084224667046028</v>
      </c>
      <c r="BG362" s="32">
        <f t="shared" si="737"/>
        <v>-1.5086739556925419</v>
      </c>
      <c r="BH362" s="33">
        <f t="shared" si="738"/>
        <v>-0.15726987379147842</v>
      </c>
      <c r="BJ362" s="31">
        <f t="shared" si="715"/>
        <v>9.7270873171606151</v>
      </c>
      <c r="BK362" s="25">
        <f t="shared" si="716"/>
        <v>7.4030491268314895</v>
      </c>
      <c r="BL362" s="32">
        <f t="shared" si="717"/>
        <v>-2.3240381903291256</v>
      </c>
      <c r="BM362" s="33">
        <f t="shared" si="718"/>
        <v>-0.2389243680612424</v>
      </c>
      <c r="BO362" s="62"/>
      <c r="BP362" s="62"/>
      <c r="BQ362" s="62"/>
      <c r="BR362" s="63"/>
    </row>
    <row r="363" spans="1:70">
      <c r="B363" s="1284"/>
      <c r="D363" s="5" t="s">
        <v>170</v>
      </c>
      <c r="E363" s="87">
        <v>19.166126842606086</v>
      </c>
      <c r="F363" s="87">
        <v>19.336109972909924</v>
      </c>
      <c r="G363" s="87">
        <v>19.612412225942311</v>
      </c>
      <c r="H363" s="87">
        <v>19.802721038186121</v>
      </c>
      <c r="I363" s="87">
        <v>19.192806562959074</v>
      </c>
      <c r="J363" s="87">
        <v>16.262541803962801</v>
      </c>
      <c r="K363" s="87">
        <v>16.301156978688841</v>
      </c>
      <c r="L363" s="87">
        <v>16.565061431282338</v>
      </c>
      <c r="N363" s="29">
        <v>16.689888366595113</v>
      </c>
      <c r="O363" s="29">
        <v>17.062912949307851</v>
      </c>
      <c r="P363" s="29">
        <v>17.649164383894501</v>
      </c>
      <c r="Q363" s="29">
        <v>18.238073461717978</v>
      </c>
      <c r="R363" s="29">
        <v>17.703342117286955</v>
      </c>
      <c r="S363" s="29">
        <v>15.705827015622345</v>
      </c>
      <c r="T363" s="29">
        <v>15.322565996056463</v>
      </c>
      <c r="U363" s="29">
        <v>14.484659595786276</v>
      </c>
      <c r="W363" s="30">
        <v>12.266275338442535</v>
      </c>
      <c r="X363" s="30">
        <v>27.960789016384268</v>
      </c>
      <c r="Y363" s="30">
        <v>20.134190610810652</v>
      </c>
      <c r="Z363" s="30">
        <v>18.878489116548458</v>
      </c>
      <c r="AA363" s="30">
        <v>17.224323407652822</v>
      </c>
      <c r="AB363" s="85">
        <v>14.56279635783617</v>
      </c>
      <c r="AC363" s="85">
        <v>17.125129352941919</v>
      </c>
      <c r="AD363" s="90">
        <v>0</v>
      </c>
      <c r="AF363" s="29">
        <f t="shared" si="719"/>
        <v>16.689888366595113</v>
      </c>
      <c r="AG363" s="30">
        <f t="shared" si="720"/>
        <v>12.266275338442535</v>
      </c>
      <c r="AH363" s="32">
        <f t="shared" si="721"/>
        <v>-4.4236130281525785</v>
      </c>
      <c r="AI363" s="33">
        <f t="shared" si="722"/>
        <v>-0.26504749049169557</v>
      </c>
      <c r="AK363" s="29">
        <f t="shared" si="711"/>
        <v>17.062912949307851</v>
      </c>
      <c r="AL363" s="30">
        <f t="shared" si="712"/>
        <v>27.960789016384268</v>
      </c>
      <c r="AM363" s="32">
        <f t="shared" si="723"/>
        <v>10.897876067076417</v>
      </c>
      <c r="AN363" s="33">
        <f t="shared" si="724"/>
        <v>0.63868790161755384</v>
      </c>
      <c r="AP363" s="29">
        <f t="shared" si="725"/>
        <v>17.649164383894501</v>
      </c>
      <c r="AQ363" s="30">
        <f t="shared" si="726"/>
        <v>20.134190610810652</v>
      </c>
      <c r="AR363" s="32">
        <f t="shared" si="727"/>
        <v>2.4850262269161512</v>
      </c>
      <c r="AS363" s="33">
        <f t="shared" si="728"/>
        <v>0.14080135313283315</v>
      </c>
      <c r="AU363" s="31">
        <f t="shared" si="729"/>
        <v>18.238073461717978</v>
      </c>
      <c r="AV363" s="25">
        <f t="shared" si="730"/>
        <v>18.878489116548458</v>
      </c>
      <c r="AW363" s="32">
        <f t="shared" si="731"/>
        <v>0.64041565483048046</v>
      </c>
      <c r="AX363" s="33">
        <f t="shared" si="732"/>
        <v>3.5114216212294776E-2</v>
      </c>
      <c r="AZ363" s="31">
        <f t="shared" si="713"/>
        <v>17.703342117286955</v>
      </c>
      <c r="BA363" s="25">
        <f t="shared" si="714"/>
        <v>17.224323407652822</v>
      </c>
      <c r="BB363" s="32">
        <f t="shared" si="733"/>
        <v>-0.47901870963413273</v>
      </c>
      <c r="BC363" s="33">
        <f t="shared" si="734"/>
        <v>-2.705809481964316E-2</v>
      </c>
      <c r="BE363" s="31">
        <f t="shared" si="735"/>
        <v>15.705827015622345</v>
      </c>
      <c r="BF363" s="25">
        <f t="shared" si="736"/>
        <v>14.56279635783617</v>
      </c>
      <c r="BG363" s="32">
        <f t="shared" si="737"/>
        <v>-1.1430306577861753</v>
      </c>
      <c r="BH363" s="33">
        <f t="shared" si="738"/>
        <v>-7.2777489313311558E-2</v>
      </c>
      <c r="BJ363" s="31">
        <f t="shared" si="715"/>
        <v>15.322565996056463</v>
      </c>
      <c r="BK363" s="25">
        <f t="shared" si="716"/>
        <v>17.125129352941919</v>
      </c>
      <c r="BL363" s="32">
        <f t="shared" si="717"/>
        <v>1.8025633568854555</v>
      </c>
      <c r="BM363" s="33">
        <f t="shared" si="718"/>
        <v>0.11764108944607433</v>
      </c>
      <c r="BO363" s="62"/>
      <c r="BP363" s="62"/>
      <c r="BQ363" s="62"/>
      <c r="BR363" s="63"/>
    </row>
    <row r="364" spans="1:70">
      <c r="B364" s="1284"/>
      <c r="D364" s="5" t="s">
        <v>171</v>
      </c>
      <c r="E364" s="87">
        <v>1.8375205584770993</v>
      </c>
      <c r="F364" s="87">
        <v>1.8479472657547782</v>
      </c>
      <c r="G364" s="87">
        <v>1.8556833900935175</v>
      </c>
      <c r="H364" s="87">
        <v>1.8586493996890221</v>
      </c>
      <c r="I364" s="87">
        <v>1.8721558156760851</v>
      </c>
      <c r="J364" s="87">
        <v>1.884527569805946</v>
      </c>
      <c r="K364" s="87">
        <v>1.897448269154496</v>
      </c>
      <c r="L364" s="87">
        <v>1.9243935853246588</v>
      </c>
      <c r="N364" s="29">
        <v>1.8459782321044109</v>
      </c>
      <c r="O364" s="29">
        <v>1.8416676516126846</v>
      </c>
      <c r="P364" s="29">
        <v>1.8369933703659134</v>
      </c>
      <c r="Q364" s="29">
        <v>1.7765683483222241</v>
      </c>
      <c r="R364" s="29">
        <v>1.7355203396386918</v>
      </c>
      <c r="S364" s="29">
        <v>1.698941679109397</v>
      </c>
      <c r="T364" s="29">
        <v>1.5477353845993824</v>
      </c>
      <c r="U364" s="29">
        <v>1.5000508678831694</v>
      </c>
      <c r="W364" s="30">
        <v>2.738684284039008</v>
      </c>
      <c r="X364" s="30">
        <v>2.5950322840241347</v>
      </c>
      <c r="Y364" s="30">
        <v>1.5508557029147934</v>
      </c>
      <c r="Z364" s="30">
        <v>1.4432063298989206</v>
      </c>
      <c r="AA364" s="30">
        <v>2.6401237015204342</v>
      </c>
      <c r="AB364" s="85">
        <v>3.4579937975901447</v>
      </c>
      <c r="AC364" s="85">
        <v>4.8794151902552194</v>
      </c>
      <c r="AD364" s="90">
        <v>0</v>
      </c>
      <c r="AF364" s="29">
        <f t="shared" si="719"/>
        <v>1.8459782321044109</v>
      </c>
      <c r="AG364" s="30">
        <f t="shared" si="720"/>
        <v>2.738684284039008</v>
      </c>
      <c r="AH364" s="32">
        <f t="shared" si="721"/>
        <v>0.89270605193459707</v>
      </c>
      <c r="AI364" s="33">
        <f t="shared" si="722"/>
        <v>0.48359511309996012</v>
      </c>
      <c r="AK364" s="29">
        <f t="shared" si="711"/>
        <v>1.8416676516126846</v>
      </c>
      <c r="AL364" s="30">
        <f t="shared" si="712"/>
        <v>2.5950322840241347</v>
      </c>
      <c r="AM364" s="32">
        <f t="shared" si="723"/>
        <v>0.75336463241145002</v>
      </c>
      <c r="AN364" s="33">
        <f t="shared" si="724"/>
        <v>0.40906654995636954</v>
      </c>
      <c r="AP364" s="29">
        <f t="shared" si="725"/>
        <v>1.8369933703659134</v>
      </c>
      <c r="AQ364" s="30">
        <f t="shared" si="726"/>
        <v>1.5508557029147934</v>
      </c>
      <c r="AR364" s="32">
        <f t="shared" si="727"/>
        <v>-0.28613766745112001</v>
      </c>
      <c r="AS364" s="33">
        <f t="shared" si="728"/>
        <v>-0.15576412635290232</v>
      </c>
      <c r="AU364" s="31">
        <f t="shared" si="729"/>
        <v>1.7765683483222241</v>
      </c>
      <c r="AV364" s="25">
        <f t="shared" si="730"/>
        <v>1.4432063298989206</v>
      </c>
      <c r="AW364" s="32">
        <f t="shared" si="731"/>
        <v>-0.33336201842330349</v>
      </c>
      <c r="AX364" s="33">
        <f t="shared" si="732"/>
        <v>-0.18764379019705474</v>
      </c>
      <c r="AZ364" s="31">
        <f t="shared" si="713"/>
        <v>1.7355203396386918</v>
      </c>
      <c r="BA364" s="25">
        <f t="shared" si="714"/>
        <v>2.6401237015204342</v>
      </c>
      <c r="BB364" s="32">
        <f t="shared" si="733"/>
        <v>0.9046033618817424</v>
      </c>
      <c r="BC364" s="33">
        <f t="shared" si="734"/>
        <v>0.52122890249161047</v>
      </c>
      <c r="BE364" s="31">
        <f t="shared" si="735"/>
        <v>1.698941679109397</v>
      </c>
      <c r="BF364" s="25">
        <f t="shared" si="736"/>
        <v>3.4579937975901447</v>
      </c>
      <c r="BG364" s="32">
        <f t="shared" si="737"/>
        <v>1.7590521184807477</v>
      </c>
      <c r="BH364" s="33">
        <f t="shared" si="738"/>
        <v>1.0353811081984057</v>
      </c>
      <c r="BJ364" s="31">
        <f t="shared" si="715"/>
        <v>1.5477353845993824</v>
      </c>
      <c r="BK364" s="25">
        <f t="shared" si="716"/>
        <v>4.8794151902552194</v>
      </c>
      <c r="BL364" s="32">
        <f t="shared" si="717"/>
        <v>3.331679805655837</v>
      </c>
      <c r="BM364" s="33">
        <f t="shared" si="718"/>
        <v>2.1526159050232043</v>
      </c>
      <c r="BO364" s="62"/>
      <c r="BP364" s="62"/>
      <c r="BQ364" s="62"/>
      <c r="BR364" s="63"/>
    </row>
    <row r="365" spans="1:70">
      <c r="B365" s="1284"/>
      <c r="D365" s="5" t="s">
        <v>172</v>
      </c>
      <c r="E365" s="87">
        <v>4.2520935459524898</v>
      </c>
      <c r="F365" s="87">
        <v>3.9853568945353635</v>
      </c>
      <c r="G365" s="87">
        <v>3.6855025896074682</v>
      </c>
      <c r="H365" s="87">
        <v>3.7116206589024641</v>
      </c>
      <c r="I365" s="87">
        <v>3.7570471083284942</v>
      </c>
      <c r="J365" s="87">
        <v>3.8015604029149546</v>
      </c>
      <c r="K365" s="87">
        <v>3.8473671454189344</v>
      </c>
      <c r="L365" s="87">
        <v>3.8945173495925309</v>
      </c>
      <c r="N365" s="29">
        <v>3.8218623067687947</v>
      </c>
      <c r="O365" s="29">
        <v>4.1056940167723681</v>
      </c>
      <c r="P365" s="29">
        <v>3.7550743286090493</v>
      </c>
      <c r="Q365" s="29">
        <v>3.5070572706457472</v>
      </c>
      <c r="R365" s="29">
        <v>3.4395338314963002</v>
      </c>
      <c r="S365" s="29">
        <v>3.466706607433768</v>
      </c>
      <c r="T365" s="29">
        <v>3.0128747533976088</v>
      </c>
      <c r="U365" s="29">
        <v>2.6406842473707015</v>
      </c>
      <c r="W365" s="30">
        <v>4.3411892095774203</v>
      </c>
      <c r="X365" s="30">
        <v>4.1677035615335996</v>
      </c>
      <c r="Y365" s="30">
        <v>6.854868066875019</v>
      </c>
      <c r="Z365" s="30">
        <v>5.6742781932697577</v>
      </c>
      <c r="AA365" s="30">
        <v>7.0556956071553003</v>
      </c>
      <c r="AB365" s="85">
        <v>7.7761054505941267</v>
      </c>
      <c r="AC365" s="85">
        <v>4.2781401045111611</v>
      </c>
      <c r="AD365" s="90">
        <v>0</v>
      </c>
      <c r="AF365" s="29">
        <f t="shared" si="719"/>
        <v>3.8218623067687947</v>
      </c>
      <c r="AG365" s="30">
        <f t="shared" si="720"/>
        <v>4.3411892095774203</v>
      </c>
      <c r="AH365" s="32">
        <f t="shared" si="721"/>
        <v>0.51932690280862559</v>
      </c>
      <c r="AI365" s="33">
        <f t="shared" si="722"/>
        <v>0.13588320591478664</v>
      </c>
      <c r="AK365" s="29">
        <f t="shared" si="711"/>
        <v>4.1056940167723681</v>
      </c>
      <c r="AL365" s="30">
        <f t="shared" si="712"/>
        <v>4.1677035615335996</v>
      </c>
      <c r="AM365" s="32">
        <f t="shared" si="723"/>
        <v>6.2009544761231439E-2</v>
      </c>
      <c r="AN365" s="33">
        <f t="shared" si="724"/>
        <v>1.5103303974410481E-2</v>
      </c>
      <c r="AP365" s="29">
        <f t="shared" si="725"/>
        <v>3.7550743286090493</v>
      </c>
      <c r="AQ365" s="30">
        <f t="shared" si="726"/>
        <v>6.854868066875019</v>
      </c>
      <c r="AR365" s="32">
        <f t="shared" si="727"/>
        <v>3.0997937382659697</v>
      </c>
      <c r="AS365" s="33">
        <f t="shared" si="728"/>
        <v>0.82549464191676658</v>
      </c>
      <c r="AU365" s="31">
        <f t="shared" si="729"/>
        <v>3.5070572706457472</v>
      </c>
      <c r="AV365" s="25">
        <f t="shared" si="730"/>
        <v>5.6742781932697577</v>
      </c>
      <c r="AW365" s="32">
        <f t="shared" si="731"/>
        <v>2.1672209226240104</v>
      </c>
      <c r="AX365" s="33">
        <f t="shared" si="732"/>
        <v>0.61795994629564877</v>
      </c>
      <c r="AZ365" s="31">
        <f t="shared" si="713"/>
        <v>3.4395338314963002</v>
      </c>
      <c r="BA365" s="25">
        <f t="shared" si="714"/>
        <v>7.0556956071553003</v>
      </c>
      <c r="BB365" s="32">
        <f t="shared" si="733"/>
        <v>3.6161617756590001</v>
      </c>
      <c r="BC365" s="33">
        <f t="shared" si="734"/>
        <v>1.051352291565006</v>
      </c>
      <c r="BE365" s="31">
        <f t="shared" si="735"/>
        <v>3.466706607433768</v>
      </c>
      <c r="BF365" s="25">
        <f t="shared" si="736"/>
        <v>7.7761054505941267</v>
      </c>
      <c r="BG365" s="32">
        <f t="shared" si="737"/>
        <v>4.3093988431603591</v>
      </c>
      <c r="BH365" s="33">
        <f t="shared" si="738"/>
        <v>1.2430814981341598</v>
      </c>
      <c r="BJ365" s="31">
        <f t="shared" si="715"/>
        <v>3.0128747533976088</v>
      </c>
      <c r="BK365" s="25">
        <f t="shared" si="716"/>
        <v>4.2781401045111611</v>
      </c>
      <c r="BL365" s="32">
        <f t="shared" si="717"/>
        <v>1.2652653511135523</v>
      </c>
      <c r="BM365" s="33">
        <f t="shared" si="718"/>
        <v>0.41995285389368303</v>
      </c>
      <c r="BO365" s="62"/>
      <c r="BP365" s="62"/>
      <c r="BQ365" s="62"/>
      <c r="BR365" s="63"/>
    </row>
    <row r="366" spans="1:70">
      <c r="B366" s="1284"/>
      <c r="D366" s="5" t="s">
        <v>28</v>
      </c>
      <c r="E366" s="87">
        <v>0.44729975404842676</v>
      </c>
      <c r="F366" s="87">
        <v>0.5640442869919603</v>
      </c>
      <c r="G366" s="87">
        <v>0.58443212768115027</v>
      </c>
      <c r="H366" s="87">
        <v>0.59982948133238323</v>
      </c>
      <c r="I366" s="87">
        <v>0.60686373546782646</v>
      </c>
      <c r="J366" s="87">
        <v>0.65176802094989505</v>
      </c>
      <c r="K366" s="87">
        <v>0.57238402783926912</v>
      </c>
      <c r="L366" s="87">
        <v>0.64482477308913666</v>
      </c>
      <c r="N366" s="29">
        <v>0.65885107159652945</v>
      </c>
      <c r="O366" s="29">
        <v>0.67711231504059866</v>
      </c>
      <c r="P366" s="29">
        <v>0.65069871667105916</v>
      </c>
      <c r="Q366" s="29">
        <v>0.65164815174203616</v>
      </c>
      <c r="R366" s="29">
        <v>0.65468603460031882</v>
      </c>
      <c r="S366" s="29">
        <v>0.66079934498895021</v>
      </c>
      <c r="T366" s="29">
        <v>0.64181470222152026</v>
      </c>
      <c r="U366" s="29">
        <v>0.64531725990942101</v>
      </c>
      <c r="W366" s="30">
        <v>0.66883315659140363</v>
      </c>
      <c r="X366" s="30">
        <v>1.364281193833474</v>
      </c>
      <c r="Y366" s="30">
        <v>1.8511945934256553</v>
      </c>
      <c r="Z366" s="30">
        <v>3.2850632045004029</v>
      </c>
      <c r="AA366" s="30">
        <v>3.0608172619396381</v>
      </c>
      <c r="AB366" s="85">
        <v>3.1454615560410928</v>
      </c>
      <c r="AC366" s="85">
        <v>3.3973637299999995</v>
      </c>
      <c r="AD366" s="90">
        <v>0</v>
      </c>
      <c r="AF366" s="29">
        <f t="shared" si="719"/>
        <v>0.65885107159652945</v>
      </c>
      <c r="AG366" s="30">
        <f t="shared" si="720"/>
        <v>0.66883315659140363</v>
      </c>
      <c r="AH366" s="32">
        <f t="shared" si="721"/>
        <v>9.9820849948741852E-3</v>
      </c>
      <c r="AI366" s="33">
        <f t="shared" si="722"/>
        <v>1.5150745631612277E-2</v>
      </c>
      <c r="AK366" s="29">
        <f t="shared" si="711"/>
        <v>0.67711231504059866</v>
      </c>
      <c r="AL366" s="30">
        <f t="shared" si="712"/>
        <v>1.364281193833474</v>
      </c>
      <c r="AM366" s="32">
        <f t="shared" si="723"/>
        <v>0.68716887879287536</v>
      </c>
      <c r="AN366" s="33">
        <f t="shared" si="724"/>
        <v>1.0148521353531632</v>
      </c>
      <c r="AP366" s="29">
        <f t="shared" si="725"/>
        <v>0.65069871667105916</v>
      </c>
      <c r="AQ366" s="30">
        <f t="shared" si="726"/>
        <v>1.8511945934256553</v>
      </c>
      <c r="AR366" s="32">
        <f t="shared" si="727"/>
        <v>1.2004958767545961</v>
      </c>
      <c r="AS366" s="33">
        <f t="shared" si="728"/>
        <v>1.8449335245292486</v>
      </c>
      <c r="AU366" s="31">
        <f t="shared" si="729"/>
        <v>0.65164815174203616</v>
      </c>
      <c r="AV366" s="25">
        <f t="shared" si="730"/>
        <v>3.2850632045004029</v>
      </c>
      <c r="AW366" s="32">
        <f t="shared" si="731"/>
        <v>2.6334150527583668</v>
      </c>
      <c r="AX366" s="33">
        <f t="shared" si="732"/>
        <v>4.0411609328109321</v>
      </c>
      <c r="AZ366" s="31">
        <f t="shared" si="713"/>
        <v>0.65468603460031882</v>
      </c>
      <c r="BA366" s="25">
        <f t="shared" si="714"/>
        <v>3.0608172619396381</v>
      </c>
      <c r="BB366" s="32">
        <f t="shared" si="733"/>
        <v>2.4061312273393192</v>
      </c>
      <c r="BC366" s="33">
        <f t="shared" si="734"/>
        <v>3.6752444686073762</v>
      </c>
      <c r="BE366" s="31">
        <f t="shared" si="735"/>
        <v>0.66079934498895021</v>
      </c>
      <c r="BF366" s="25">
        <f t="shared" si="736"/>
        <v>3.1454615560410928</v>
      </c>
      <c r="BG366" s="32">
        <f t="shared" si="737"/>
        <v>2.4846622110521426</v>
      </c>
      <c r="BH366" s="33">
        <f t="shared" si="738"/>
        <v>3.7600857656626321</v>
      </c>
      <c r="BJ366" s="31">
        <f t="shared" si="715"/>
        <v>0.64181470222152026</v>
      </c>
      <c r="BK366" s="25">
        <f t="shared" si="716"/>
        <v>3.3973637299999995</v>
      </c>
      <c r="BL366" s="32">
        <f t="shared" si="717"/>
        <v>2.7555490277784793</v>
      </c>
      <c r="BM366" s="33">
        <f t="shared" si="718"/>
        <v>4.2933716199405643</v>
      </c>
      <c r="BO366" s="62"/>
      <c r="BP366" s="62"/>
      <c r="BQ366" s="62"/>
      <c r="BR366" s="63"/>
    </row>
    <row r="367" spans="1:70">
      <c r="B367" s="1284"/>
      <c r="D367" s="5" t="s">
        <v>173</v>
      </c>
      <c r="E367" s="87">
        <v>9.7146975284563464</v>
      </c>
      <c r="F367" s="87">
        <v>8.6949856152047875</v>
      </c>
      <c r="G367" s="87">
        <v>7.0924609392977498</v>
      </c>
      <c r="H367" s="87">
        <v>8.9858572070391638</v>
      </c>
      <c r="I367" s="87">
        <v>9.2990048456925809</v>
      </c>
      <c r="J367" s="87">
        <v>9.6451131659302796</v>
      </c>
      <c r="K367" s="87">
        <v>9.6326411500262825</v>
      </c>
      <c r="L367" s="87">
        <v>10.383969857500698</v>
      </c>
      <c r="N367" s="29">
        <v>10.438982028450004</v>
      </c>
      <c r="O367" s="29">
        <v>10.117493003420785</v>
      </c>
      <c r="P367" s="29">
        <v>9.3678577965182477</v>
      </c>
      <c r="Q367" s="29">
        <v>9.5093546362132493</v>
      </c>
      <c r="R367" s="29">
        <v>9.1894423865408115</v>
      </c>
      <c r="S367" s="29">
        <v>8.8398523680224717</v>
      </c>
      <c r="T367" s="29">
        <v>8.6991387129679811</v>
      </c>
      <c r="U367" s="29">
        <v>8.9943113803736079</v>
      </c>
      <c r="W367" s="30">
        <v>7.2286458006498799</v>
      </c>
      <c r="X367" s="30">
        <v>9.0094669303649937</v>
      </c>
      <c r="Y367" s="30">
        <v>9.0353444035264143</v>
      </c>
      <c r="Z367" s="30">
        <v>14.103120918364466</v>
      </c>
      <c r="AA367" s="30">
        <v>15.142552953073608</v>
      </c>
      <c r="AB367" s="85">
        <v>14.902245296818615</v>
      </c>
      <c r="AC367" s="85">
        <v>13.889055719999998</v>
      </c>
      <c r="AD367" s="90">
        <v>0</v>
      </c>
      <c r="AF367" s="29">
        <f t="shared" si="719"/>
        <v>10.438982028450004</v>
      </c>
      <c r="AG367" s="30">
        <f t="shared" si="720"/>
        <v>7.2286458006498799</v>
      </c>
      <c r="AH367" s="32">
        <f t="shared" si="721"/>
        <v>-3.2103362278001244</v>
      </c>
      <c r="AI367" s="33">
        <f t="shared" si="722"/>
        <v>-0.30753345671549165</v>
      </c>
      <c r="AK367" s="29">
        <f t="shared" si="711"/>
        <v>10.117493003420785</v>
      </c>
      <c r="AL367" s="30">
        <f t="shared" si="712"/>
        <v>9.0094669303649937</v>
      </c>
      <c r="AM367" s="32">
        <f t="shared" si="723"/>
        <v>-1.1080260730557914</v>
      </c>
      <c r="AN367" s="33">
        <f t="shared" si="724"/>
        <v>-0.10951587242819551</v>
      </c>
      <c r="AP367" s="29">
        <f t="shared" si="725"/>
        <v>9.3678577965182477</v>
      </c>
      <c r="AQ367" s="30">
        <f t="shared" si="726"/>
        <v>9.0353444035264143</v>
      </c>
      <c r="AR367" s="32">
        <f t="shared" si="727"/>
        <v>-0.33251339299183336</v>
      </c>
      <c r="AS367" s="33">
        <f t="shared" si="728"/>
        <v>-3.5495136691274139E-2</v>
      </c>
      <c r="AU367" s="31">
        <f t="shared" si="729"/>
        <v>9.5093546362132493</v>
      </c>
      <c r="AV367" s="25">
        <f t="shared" si="730"/>
        <v>14.103120918364466</v>
      </c>
      <c r="AW367" s="32">
        <f t="shared" si="731"/>
        <v>4.5937662821512166</v>
      </c>
      <c r="AX367" s="33">
        <f t="shared" si="732"/>
        <v>0.48307865863550498</v>
      </c>
      <c r="AZ367" s="31">
        <f t="shared" si="713"/>
        <v>9.1894423865408115</v>
      </c>
      <c r="BA367" s="25">
        <f t="shared" si="714"/>
        <v>15.142552953073608</v>
      </c>
      <c r="BB367" s="32">
        <f t="shared" si="733"/>
        <v>5.9531105665327964</v>
      </c>
      <c r="BC367" s="33">
        <f t="shared" si="734"/>
        <v>0.64782065288879076</v>
      </c>
      <c r="BE367" s="31">
        <f t="shared" si="735"/>
        <v>8.8398523680224717</v>
      </c>
      <c r="BF367" s="25">
        <f t="shared" si="736"/>
        <v>14.902245296818615</v>
      </c>
      <c r="BG367" s="32">
        <f t="shared" si="737"/>
        <v>6.0623929287961431</v>
      </c>
      <c r="BH367" s="33">
        <f t="shared" si="738"/>
        <v>0.68580250850414792</v>
      </c>
      <c r="BJ367" s="31">
        <f t="shared" si="715"/>
        <v>8.6991387129679811</v>
      </c>
      <c r="BK367" s="25">
        <f t="shared" si="716"/>
        <v>13.889055719999998</v>
      </c>
      <c r="BL367" s="32">
        <f t="shared" si="717"/>
        <v>5.1899170070320171</v>
      </c>
      <c r="BM367" s="33">
        <f t="shared" si="718"/>
        <v>0.5966012473505341</v>
      </c>
      <c r="BO367" s="62"/>
      <c r="BP367" s="62"/>
      <c r="BQ367" s="62"/>
      <c r="BR367" s="63"/>
    </row>
    <row r="368" spans="1:70">
      <c r="A368" s="1"/>
      <c r="B368" s="1284"/>
      <c r="D368" s="4" t="s">
        <v>174</v>
      </c>
      <c r="E368" s="88">
        <f t="shared" ref="E368:L368" si="739">SUM(E354:E367)</f>
        <v>103.02954680366514</v>
      </c>
      <c r="F368" s="88">
        <f t="shared" si="739"/>
        <v>99.847392243299979</v>
      </c>
      <c r="G368" s="88">
        <f t="shared" si="739"/>
        <v>96.374210013243925</v>
      </c>
      <c r="H368" s="88">
        <f t="shared" si="739"/>
        <v>102.79840997941828</v>
      </c>
      <c r="I368" s="88">
        <f t="shared" si="739"/>
        <v>100.72706887386074</v>
      </c>
      <c r="J368" s="88">
        <f t="shared" si="739"/>
        <v>102.22991812039113</v>
      </c>
      <c r="K368" s="88">
        <f t="shared" si="739"/>
        <v>103.91122552862564</v>
      </c>
      <c r="L368" s="88">
        <f t="shared" si="739"/>
        <v>100.82050017863979</v>
      </c>
      <c r="M368" s="1"/>
      <c r="N368" s="81">
        <f t="shared" ref="N368:U368" si="740">SUM(N354:N367)</f>
        <v>103.41225164507321</v>
      </c>
      <c r="O368" s="81">
        <f t="shared" si="740"/>
        <v>102.70277128740689</v>
      </c>
      <c r="P368" s="81">
        <f t="shared" si="740"/>
        <v>98.854985880975633</v>
      </c>
      <c r="Q368" s="81">
        <f t="shared" si="740"/>
        <v>100.25745453080167</v>
      </c>
      <c r="R368" s="81">
        <f t="shared" si="740"/>
        <v>97.84304531893531</v>
      </c>
      <c r="S368" s="81">
        <f t="shared" si="740"/>
        <v>96.571978322069569</v>
      </c>
      <c r="T368" s="81">
        <f t="shared" si="740"/>
        <v>94.13422310486304</v>
      </c>
      <c r="U368" s="81">
        <f t="shared" si="740"/>
        <v>92.436330941586348</v>
      </c>
      <c r="V368" s="1"/>
      <c r="W368" s="85">
        <f t="shared" ref="W368:AD368" si="741">SUM(W354:W367)</f>
        <v>90.105725223140652</v>
      </c>
      <c r="X368" s="85">
        <f t="shared" si="741"/>
        <v>118.20536868545993</v>
      </c>
      <c r="Y368" s="85">
        <f t="shared" si="741"/>
        <v>112.09485436614278</v>
      </c>
      <c r="Z368" s="85">
        <f>SUM(Z354:Z367)</f>
        <v>115.18669547764719</v>
      </c>
      <c r="AA368" s="85">
        <f>SUM(AA354:AA367)</f>
        <v>126.83754429770715</v>
      </c>
      <c r="AB368" s="85">
        <f>SUM(AB354:AB367)</f>
        <v>91.227090132417132</v>
      </c>
      <c r="AC368" s="85">
        <f>SUM(AC354:AC367)</f>
        <v>82.966626468338646</v>
      </c>
      <c r="AD368" s="91">
        <f t="shared" si="741"/>
        <v>0</v>
      </c>
      <c r="AE368" s="1"/>
      <c r="AF368" s="81">
        <f t="shared" si="719"/>
        <v>103.41225164507321</v>
      </c>
      <c r="AG368" s="85">
        <f t="shared" si="720"/>
        <v>90.105725223140652</v>
      </c>
      <c r="AH368" s="34">
        <f t="shared" si="721"/>
        <v>-13.30652642193256</v>
      </c>
      <c r="AI368" s="35">
        <f t="shared" si="722"/>
        <v>-0.12867456428279514</v>
      </c>
      <c r="AK368" s="81">
        <f t="shared" si="711"/>
        <v>102.70277128740689</v>
      </c>
      <c r="AL368" s="85">
        <f t="shared" si="712"/>
        <v>118.20536868545993</v>
      </c>
      <c r="AM368" s="34">
        <f t="shared" si="723"/>
        <v>15.502597398053041</v>
      </c>
      <c r="AN368" s="35">
        <f t="shared" si="724"/>
        <v>0.15094624228464149</v>
      </c>
      <c r="AP368" s="81">
        <f t="shared" si="725"/>
        <v>98.854985880975633</v>
      </c>
      <c r="AQ368" s="85">
        <f t="shared" si="726"/>
        <v>112.09485436614278</v>
      </c>
      <c r="AR368" s="34">
        <f t="shared" si="727"/>
        <v>13.23986848516715</v>
      </c>
      <c r="AS368" s="35">
        <f t="shared" si="728"/>
        <v>0.13393222776955679</v>
      </c>
      <c r="AU368" s="949">
        <f t="shared" si="729"/>
        <v>100.25745453080167</v>
      </c>
      <c r="AV368" s="843">
        <f t="shared" si="730"/>
        <v>115.18669547764719</v>
      </c>
      <c r="AW368" s="34">
        <f t="shared" si="731"/>
        <v>14.929240946845525</v>
      </c>
      <c r="AX368" s="35">
        <f t="shared" si="732"/>
        <v>0.14890903640745115</v>
      </c>
      <c r="AZ368" s="949">
        <f t="shared" si="713"/>
        <v>97.84304531893531</v>
      </c>
      <c r="BA368" s="843">
        <f t="shared" si="714"/>
        <v>126.83754429770715</v>
      </c>
      <c r="BB368" s="34">
        <f t="shared" si="733"/>
        <v>28.994498978771844</v>
      </c>
      <c r="BC368" s="35">
        <f t="shared" si="734"/>
        <v>0.29633684115472453</v>
      </c>
      <c r="BE368" s="31">
        <f t="shared" si="735"/>
        <v>96.571978322069569</v>
      </c>
      <c r="BF368" s="25">
        <f t="shared" si="736"/>
        <v>91.227090132417132</v>
      </c>
      <c r="BG368" s="32">
        <f t="shared" si="737"/>
        <v>-5.3448881896524369</v>
      </c>
      <c r="BH368" s="33">
        <f t="shared" si="738"/>
        <v>-5.5346160268428209E-2</v>
      </c>
      <c r="BJ368" s="31">
        <f t="shared" si="715"/>
        <v>94.13422310486304</v>
      </c>
      <c r="BK368" s="25">
        <f t="shared" si="716"/>
        <v>82.966626468338646</v>
      </c>
      <c r="BL368" s="32">
        <f t="shared" si="717"/>
        <v>-11.167596636524394</v>
      </c>
      <c r="BM368" s="33">
        <f t="shared" si="718"/>
        <v>-0.11863482024049836</v>
      </c>
      <c r="BO368" s="62"/>
      <c r="BP368" s="62"/>
      <c r="BQ368" s="62"/>
      <c r="BR368" s="63"/>
    </row>
    <row r="369" spans="1:70">
      <c r="A369" s="1"/>
      <c r="B369" s="1284"/>
      <c r="D369" s="4" t="s">
        <v>724</v>
      </c>
      <c r="E369" s="88">
        <f t="shared" ref="E369:L369" si="742">E368-SUM(E357:E360)</f>
        <v>64.051880088395166</v>
      </c>
      <c r="F369" s="88">
        <f t="shared" si="742"/>
        <v>61.744660656397187</v>
      </c>
      <c r="G369" s="88">
        <f t="shared" si="742"/>
        <v>58.834451971497586</v>
      </c>
      <c r="H369" s="88">
        <f t="shared" si="742"/>
        <v>64.346976679501537</v>
      </c>
      <c r="I369" s="88">
        <f t="shared" si="742"/>
        <v>62.358543072193015</v>
      </c>
      <c r="J369" s="88">
        <f t="shared" si="742"/>
        <v>62.775321878807006</v>
      </c>
      <c r="K369" s="88">
        <f t="shared" si="742"/>
        <v>64.360910400646702</v>
      </c>
      <c r="L369" s="88">
        <f t="shared" si="742"/>
        <v>60.500373308222422</v>
      </c>
      <c r="M369" s="1"/>
      <c r="N369" s="81">
        <f t="shared" ref="N369:U369" si="743">N368-SUM(N357:N360)</f>
        <v>64.434584929803236</v>
      </c>
      <c r="O369" s="81">
        <f t="shared" si="743"/>
        <v>64.600039700504098</v>
      </c>
      <c r="P369" s="81">
        <f t="shared" si="743"/>
        <v>61.315227839229294</v>
      </c>
      <c r="Q369" s="81">
        <f t="shared" si="743"/>
        <v>61.806021230884923</v>
      </c>
      <c r="R369" s="81">
        <f t="shared" si="743"/>
        <v>59.474519517267581</v>
      </c>
      <c r="S369" s="81">
        <f t="shared" si="743"/>
        <v>57.117382080485442</v>
      </c>
      <c r="T369" s="81">
        <f t="shared" si="743"/>
        <v>54.583907976884106</v>
      </c>
      <c r="U369" s="81">
        <f t="shared" si="743"/>
        <v>52.11620407116898</v>
      </c>
      <c r="V369" s="1"/>
      <c r="W369" s="85">
        <f t="shared" ref="W369:AD369" si="744">W368-SUM(W357:W360)</f>
        <v>53.437648799555369</v>
      </c>
      <c r="X369" s="85">
        <f t="shared" si="744"/>
        <v>75.850319845494951</v>
      </c>
      <c r="Y369" s="85">
        <f t="shared" si="744"/>
        <v>67.567165278884502</v>
      </c>
      <c r="Z369" s="85">
        <f>Z368-SUM(Z357:Z360)</f>
        <v>72.824932690856841</v>
      </c>
      <c r="AA369" s="85">
        <f>AA368-SUM(AA357:AA360)</f>
        <v>73.390872837285059</v>
      </c>
      <c r="AB369" s="85">
        <f>AB368-SUM(AB357:AB360)</f>
        <v>73.514586495367425</v>
      </c>
      <c r="AC369" s="85">
        <f>AC368-SUM(AC357:AC360)</f>
        <v>70.117026468338651</v>
      </c>
      <c r="AD369" s="91">
        <f t="shared" si="744"/>
        <v>0</v>
      </c>
      <c r="AE369" s="1"/>
      <c r="AF369" s="81">
        <f t="shared" si="719"/>
        <v>64.434584929803236</v>
      </c>
      <c r="AG369" s="85">
        <f t="shared" si="720"/>
        <v>53.437648799555369</v>
      </c>
      <c r="AH369" s="34">
        <f t="shared" si="721"/>
        <v>-10.996936130247867</v>
      </c>
      <c r="AI369" s="35">
        <f t="shared" si="722"/>
        <v>-0.17066822331870726</v>
      </c>
      <c r="AK369" s="81">
        <f t="shared" si="711"/>
        <v>64.600039700504098</v>
      </c>
      <c r="AL369" s="85">
        <f t="shared" si="712"/>
        <v>75.850319845494951</v>
      </c>
      <c r="AM369" s="34">
        <f t="shared" si="723"/>
        <v>11.250280144990853</v>
      </c>
      <c r="AN369" s="35">
        <f t="shared" si="724"/>
        <v>0.17415283639373774</v>
      </c>
      <c r="AP369" s="81">
        <f t="shared" si="725"/>
        <v>61.315227839229294</v>
      </c>
      <c r="AQ369" s="85">
        <f>Y369</f>
        <v>67.567165278884502</v>
      </c>
      <c r="AR369" s="34">
        <f t="shared" si="727"/>
        <v>6.2519374396552081</v>
      </c>
      <c r="AS369" s="35">
        <f t="shared" si="728"/>
        <v>0.10196386215913623</v>
      </c>
      <c r="AU369" s="949">
        <f t="shared" si="729"/>
        <v>61.806021230884923</v>
      </c>
      <c r="AV369" s="843">
        <f t="shared" si="730"/>
        <v>72.824932690856841</v>
      </c>
      <c r="AW369" s="34">
        <f t="shared" si="731"/>
        <v>11.018911459971918</v>
      </c>
      <c r="AX369" s="35">
        <f t="shared" si="732"/>
        <v>0.17828216799151742</v>
      </c>
      <c r="AZ369" s="949">
        <f t="shared" si="713"/>
        <v>59.474519517267581</v>
      </c>
      <c r="BA369" s="843">
        <f t="shared" si="714"/>
        <v>73.390872837285059</v>
      </c>
      <c r="BB369" s="34">
        <f t="shared" si="733"/>
        <v>13.916353320017478</v>
      </c>
      <c r="BC369" s="35">
        <f t="shared" si="734"/>
        <v>0.23398849512314368</v>
      </c>
      <c r="BE369" s="31">
        <f t="shared" si="735"/>
        <v>57.117382080485442</v>
      </c>
      <c r="BF369" s="25">
        <f t="shared" si="736"/>
        <v>73.514586495367425</v>
      </c>
      <c r="BG369" s="32">
        <f t="shared" si="737"/>
        <v>16.397204414881983</v>
      </c>
      <c r="BH369" s="33">
        <f t="shared" si="738"/>
        <v>0.28707906100766833</v>
      </c>
      <c r="BJ369" s="31">
        <f t="shared" si="715"/>
        <v>54.583907976884106</v>
      </c>
      <c r="BK369" s="25">
        <f t="shared" si="716"/>
        <v>70.117026468338651</v>
      </c>
      <c r="BL369" s="32">
        <f t="shared" si="717"/>
        <v>15.533118491454545</v>
      </c>
      <c r="BM369" s="33">
        <f t="shared" si="718"/>
        <v>0.28457322070146956</v>
      </c>
      <c r="BO369" s="62"/>
      <c r="BP369" s="62"/>
      <c r="BQ369" s="62"/>
      <c r="BR369" s="63"/>
    </row>
    <row r="370" spans="1:70" ht="14.5" customHeight="1">
      <c r="B370" s="1284"/>
    </row>
    <row r="371" spans="1:70" ht="14.5" customHeight="1">
      <c r="B371" s="1284"/>
      <c r="D371" s="1" t="s">
        <v>68</v>
      </c>
    </row>
    <row r="372" spans="1:70" ht="14.5" customHeight="1">
      <c r="B372" s="1284"/>
      <c r="E372" s="1300" t="s">
        <v>733</v>
      </c>
      <c r="F372" s="1301"/>
      <c r="G372" s="1301"/>
      <c r="H372" s="1301"/>
      <c r="I372" s="1301"/>
      <c r="J372" s="1301"/>
      <c r="K372" s="1301"/>
      <c r="L372" s="1302"/>
      <c r="N372" s="245" t="s">
        <v>291</v>
      </c>
      <c r="O372" s="246"/>
      <c r="P372" s="246"/>
      <c r="Q372" s="246"/>
      <c r="R372" s="246"/>
      <c r="S372" s="246"/>
      <c r="T372" s="246"/>
      <c r="U372" s="247"/>
      <c r="W372" s="1079" t="s">
        <v>292</v>
      </c>
      <c r="X372" s="1080"/>
      <c r="Y372" s="1080"/>
      <c r="Z372" s="1080"/>
      <c r="AA372" s="1080"/>
      <c r="AB372" s="1080"/>
      <c r="AC372" s="1080"/>
      <c r="AD372" s="1081"/>
      <c r="AF372" s="102" t="s">
        <v>297</v>
      </c>
      <c r="AG372" s="102" t="s">
        <v>298</v>
      </c>
      <c r="AH372" s="1304" t="s">
        <v>602</v>
      </c>
      <c r="AI372" s="1304"/>
      <c r="AK372" s="102" t="s">
        <v>297</v>
      </c>
      <c r="AL372" s="102" t="s">
        <v>298</v>
      </c>
      <c r="AM372" s="1304" t="s">
        <v>602</v>
      </c>
      <c r="AN372" s="1304"/>
      <c r="AP372" s="6" t="s">
        <v>297</v>
      </c>
      <c r="AQ372" s="5" t="s">
        <v>298</v>
      </c>
      <c r="AR372" s="1303" t="s">
        <v>602</v>
      </c>
      <c r="AS372" s="1303"/>
      <c r="AU372" s="6" t="s">
        <v>297</v>
      </c>
      <c r="AV372" s="5" t="s">
        <v>298</v>
      </c>
      <c r="AW372" s="1303" t="s">
        <v>602</v>
      </c>
      <c r="AX372" s="1303"/>
      <c r="AZ372" s="6" t="s">
        <v>297</v>
      </c>
      <c r="BA372" s="5" t="s">
        <v>298</v>
      </c>
      <c r="BB372" s="1303" t="s">
        <v>602</v>
      </c>
      <c r="BC372" s="1303"/>
      <c r="BE372" s="6" t="s">
        <v>297</v>
      </c>
      <c r="BF372" s="5" t="s">
        <v>298</v>
      </c>
      <c r="BG372" s="1082" t="s">
        <v>602</v>
      </c>
      <c r="BH372" s="1082"/>
      <c r="BJ372" s="6" t="s">
        <v>297</v>
      </c>
      <c r="BK372" s="5" t="s">
        <v>298</v>
      </c>
      <c r="BL372" s="1082" t="s">
        <v>602</v>
      </c>
      <c r="BM372" s="1082"/>
      <c r="BO372" s="6" t="s">
        <v>297</v>
      </c>
      <c r="BP372" s="5" t="s">
        <v>298</v>
      </c>
      <c r="BQ372" s="1303" t="s">
        <v>602</v>
      </c>
      <c r="BR372" s="1303"/>
    </row>
    <row r="373" spans="1:70" ht="14.5" customHeight="1">
      <c r="A373" s="1"/>
      <c r="B373" s="1284"/>
      <c r="E373" s="196" t="s">
        <v>137</v>
      </c>
      <c r="F373" s="102" t="s">
        <v>138</v>
      </c>
      <c r="G373" s="102" t="s">
        <v>139</v>
      </c>
      <c r="H373" s="102" t="s">
        <v>140</v>
      </c>
      <c r="I373" s="102" t="s">
        <v>141</v>
      </c>
      <c r="J373" s="102" t="s">
        <v>126</v>
      </c>
      <c r="K373" s="102" t="s">
        <v>142</v>
      </c>
      <c r="L373" s="197" t="s">
        <v>143</v>
      </c>
      <c r="N373" s="196" t="s">
        <v>137</v>
      </c>
      <c r="O373" s="102" t="s">
        <v>138</v>
      </c>
      <c r="P373" s="102" t="s">
        <v>139</v>
      </c>
      <c r="Q373" s="102" t="s">
        <v>140</v>
      </c>
      <c r="R373" s="102" t="s">
        <v>141</v>
      </c>
      <c r="S373" s="102" t="s">
        <v>126</v>
      </c>
      <c r="T373" s="102" t="s">
        <v>142</v>
      </c>
      <c r="U373" s="197" t="s">
        <v>143</v>
      </c>
      <c r="W373" s="196" t="s">
        <v>137</v>
      </c>
      <c r="X373" s="1078" t="s">
        <v>138</v>
      </c>
      <c r="Y373" s="1078" t="s">
        <v>139</v>
      </c>
      <c r="Z373" s="1078" t="s">
        <v>140</v>
      </c>
      <c r="AA373" s="1078" t="s">
        <v>141</v>
      </c>
      <c r="AB373" s="1078" t="s">
        <v>126</v>
      </c>
      <c r="AC373" s="1078" t="s">
        <v>142</v>
      </c>
      <c r="AD373" s="197" t="s">
        <v>143</v>
      </c>
      <c r="AF373" s="102" t="s">
        <v>734</v>
      </c>
      <c r="AG373" s="102" t="s">
        <v>734</v>
      </c>
      <c r="AH373" s="102" t="s">
        <v>734</v>
      </c>
      <c r="AI373" s="102" t="s">
        <v>606</v>
      </c>
      <c r="AK373" s="102" t="s">
        <v>734</v>
      </c>
      <c r="AL373" s="102" t="s">
        <v>734</v>
      </c>
      <c r="AM373" s="102" t="s">
        <v>734</v>
      </c>
      <c r="AN373" s="102" t="s">
        <v>606</v>
      </c>
      <c r="AP373" s="5" t="s">
        <v>734</v>
      </c>
      <c r="AQ373" s="5" t="s">
        <v>734</v>
      </c>
      <c r="AR373" s="5" t="s">
        <v>734</v>
      </c>
      <c r="AS373" s="5" t="s">
        <v>606</v>
      </c>
      <c r="AU373" s="5" t="s">
        <v>734</v>
      </c>
      <c r="AV373" s="5" t="s">
        <v>734</v>
      </c>
      <c r="AW373" s="5" t="s">
        <v>734</v>
      </c>
      <c r="AX373" s="5" t="s">
        <v>606</v>
      </c>
      <c r="AZ373" s="5" t="s">
        <v>734</v>
      </c>
      <c r="BA373" s="5" t="s">
        <v>734</v>
      </c>
      <c r="BB373" s="5" t="s">
        <v>734</v>
      </c>
      <c r="BC373" s="5" t="s">
        <v>606</v>
      </c>
      <c r="BE373" s="5" t="s">
        <v>734</v>
      </c>
      <c r="BF373" s="5" t="s">
        <v>734</v>
      </c>
      <c r="BG373" s="5" t="s">
        <v>734</v>
      </c>
      <c r="BH373" s="5" t="s">
        <v>606</v>
      </c>
      <c r="BJ373" s="5" t="s">
        <v>734</v>
      </c>
      <c r="BK373" s="5" t="s">
        <v>734</v>
      </c>
      <c r="BL373" s="5" t="s">
        <v>734</v>
      </c>
      <c r="BM373" s="5" t="s">
        <v>606</v>
      </c>
      <c r="BO373" s="5" t="s">
        <v>734</v>
      </c>
      <c r="BP373" s="5" t="s">
        <v>734</v>
      </c>
      <c r="BQ373" s="5" t="s">
        <v>734</v>
      </c>
      <c r="BR373" s="5" t="s">
        <v>606</v>
      </c>
    </row>
    <row r="374" spans="1:70">
      <c r="B374" s="1284"/>
      <c r="D374" s="5" t="s">
        <v>161</v>
      </c>
      <c r="E374" s="87">
        <v>0.49610865242017976</v>
      </c>
      <c r="F374" s="87">
        <v>0.49675116487967058</v>
      </c>
      <c r="G374" s="87">
        <v>0</v>
      </c>
      <c r="H374" s="87">
        <v>0</v>
      </c>
      <c r="I374" s="87">
        <v>0</v>
      </c>
      <c r="J374" s="87">
        <v>0</v>
      </c>
      <c r="K374" s="87">
        <v>0</v>
      </c>
      <c r="L374" s="87">
        <v>0</v>
      </c>
      <c r="N374" s="29">
        <v>0</v>
      </c>
      <c r="O374" s="29">
        <v>0</v>
      </c>
      <c r="P374" s="29">
        <v>0</v>
      </c>
      <c r="Q374" s="29">
        <v>0</v>
      </c>
      <c r="R374" s="29">
        <v>0</v>
      </c>
      <c r="S374" s="29">
        <v>0</v>
      </c>
      <c r="T374" s="29">
        <v>0</v>
      </c>
      <c r="U374" s="29">
        <v>0</v>
      </c>
      <c r="W374" s="30">
        <v>0</v>
      </c>
      <c r="X374" s="30">
        <v>0.19752693866603302</v>
      </c>
      <c r="Y374" s="30">
        <v>2.546690165437164E-2</v>
      </c>
      <c r="Z374" s="30">
        <v>0</v>
      </c>
      <c r="AA374" s="30">
        <v>0</v>
      </c>
      <c r="AB374" s="85">
        <v>0</v>
      </c>
      <c r="AC374" s="85">
        <v>0</v>
      </c>
      <c r="AD374" s="90"/>
      <c r="AF374" s="29">
        <f>N374</f>
        <v>0</v>
      </c>
      <c r="AG374" s="30">
        <f>W374</f>
        <v>0</v>
      </c>
      <c r="AH374" s="32">
        <f>AG374-AF374</f>
        <v>0</v>
      </c>
      <c r="AI374" s="33" t="e">
        <f>AH374/AF374</f>
        <v>#DIV/0!</v>
      </c>
      <c r="AK374" s="29">
        <f t="shared" ref="AK374:AK389" si="745">O374</f>
        <v>0</v>
      </c>
      <c r="AL374" s="30">
        <f t="shared" ref="AL374:AL389" si="746">X374</f>
        <v>0.19752693866603302</v>
      </c>
      <c r="AM374" s="32">
        <f>AL374-AK374</f>
        <v>0.19752693866603302</v>
      </c>
      <c r="AN374" s="33" t="e">
        <f>AM374/AK374</f>
        <v>#DIV/0!</v>
      </c>
      <c r="AP374" s="29">
        <f>P374</f>
        <v>0</v>
      </c>
      <c r="AQ374" s="30">
        <f>Y374</f>
        <v>2.546690165437164E-2</v>
      </c>
      <c r="AR374" s="32">
        <f>AQ374-AP374</f>
        <v>2.546690165437164E-2</v>
      </c>
      <c r="AS374" s="33" t="e">
        <f>AR374/AP374</f>
        <v>#DIV/0!</v>
      </c>
      <c r="AU374" s="31">
        <f>Q374</f>
        <v>0</v>
      </c>
      <c r="AV374" s="25">
        <f>Z374</f>
        <v>0</v>
      </c>
      <c r="AW374" s="32">
        <f>AV374-AU374</f>
        <v>0</v>
      </c>
      <c r="AX374" s="33" t="e">
        <f>AW374/AU374</f>
        <v>#DIV/0!</v>
      </c>
      <c r="AZ374" s="31">
        <f t="shared" ref="AZ374:AZ389" si="747">R374</f>
        <v>0</v>
      </c>
      <c r="BA374" s="25">
        <f t="shared" ref="BA374:BA389" si="748">AA374</f>
        <v>0</v>
      </c>
      <c r="BB374" s="32">
        <f>BA374-AZ374</f>
        <v>0</v>
      </c>
      <c r="BC374" s="33" t="e">
        <f>BB374/AZ374</f>
        <v>#DIV/0!</v>
      </c>
      <c r="BE374" s="31">
        <f>S374</f>
        <v>0</v>
      </c>
      <c r="BF374" s="25">
        <f>AB374</f>
        <v>0</v>
      </c>
      <c r="BG374" s="32">
        <f>BF374-BE374</f>
        <v>0</v>
      </c>
      <c r="BH374" s="33" t="e">
        <f>BG374/BE374</f>
        <v>#DIV/0!</v>
      </c>
      <c r="BJ374" s="31">
        <f t="shared" ref="BJ374:BJ389" si="749">T374</f>
        <v>0</v>
      </c>
      <c r="BK374" s="25">
        <f t="shared" ref="BK374:BK389" si="750">AC374</f>
        <v>0</v>
      </c>
      <c r="BL374" s="32">
        <f t="shared" ref="BL374:BL389" si="751">BK374-BJ374</f>
        <v>0</v>
      </c>
      <c r="BM374" s="33" t="e">
        <f t="shared" ref="BM374:BM389" si="752">BL374/BJ374</f>
        <v>#DIV/0!</v>
      </c>
      <c r="BO374" s="62"/>
      <c r="BP374" s="62"/>
      <c r="BQ374" s="62"/>
      <c r="BR374" s="63"/>
    </row>
    <row r="375" spans="1:70">
      <c r="B375" s="1284"/>
      <c r="D375" s="5" t="s">
        <v>162</v>
      </c>
      <c r="E375" s="87">
        <v>0</v>
      </c>
      <c r="F375" s="87">
        <v>0</v>
      </c>
      <c r="G375" s="87">
        <v>0</v>
      </c>
      <c r="H375" s="87">
        <v>0</v>
      </c>
      <c r="I375" s="87">
        <v>14.056129242726227</v>
      </c>
      <c r="J375" s="87">
        <v>14.201556696026527</v>
      </c>
      <c r="K375" s="87">
        <v>11.31332378761978</v>
      </c>
      <c r="L375" s="87">
        <v>0</v>
      </c>
      <c r="N375" s="29">
        <v>0</v>
      </c>
      <c r="O375" s="29">
        <v>0</v>
      </c>
      <c r="P375" s="29">
        <v>0</v>
      </c>
      <c r="Q375" s="29">
        <v>0</v>
      </c>
      <c r="R375" s="29">
        <v>0</v>
      </c>
      <c r="S375" s="29">
        <v>0</v>
      </c>
      <c r="T375" s="29">
        <v>0</v>
      </c>
      <c r="U375" s="29">
        <v>0</v>
      </c>
      <c r="W375" s="30">
        <v>0</v>
      </c>
      <c r="X375" s="30">
        <v>0</v>
      </c>
      <c r="Y375" s="30">
        <v>0</v>
      </c>
      <c r="Z375" s="30">
        <v>0</v>
      </c>
      <c r="AA375" s="30">
        <v>0</v>
      </c>
      <c r="AB375" s="85">
        <v>0</v>
      </c>
      <c r="AC375" s="85">
        <v>0</v>
      </c>
      <c r="AD375" s="90"/>
      <c r="AF375" s="29">
        <f t="shared" ref="AF375:AF389" si="753">N375</f>
        <v>0</v>
      </c>
      <c r="AG375" s="30">
        <f t="shared" ref="AG375:AG389" si="754">W375</f>
        <v>0</v>
      </c>
      <c r="AH375" s="32">
        <f t="shared" ref="AH375:AH387" si="755">AG375-AF375</f>
        <v>0</v>
      </c>
      <c r="AI375" s="33" t="e">
        <f t="shared" ref="AI375:AI387" si="756">AH375/AF375</f>
        <v>#DIV/0!</v>
      </c>
      <c r="AK375" s="29">
        <f t="shared" si="745"/>
        <v>0</v>
      </c>
      <c r="AL375" s="30">
        <f t="shared" si="746"/>
        <v>0</v>
      </c>
      <c r="AM375" s="32">
        <f t="shared" ref="AM375:AM387" si="757">AL375-AK375</f>
        <v>0</v>
      </c>
      <c r="AN375" s="33" t="e">
        <f t="shared" ref="AN375:AN387" si="758">AM375/AK375</f>
        <v>#DIV/0!</v>
      </c>
      <c r="AP375" s="29">
        <f t="shared" ref="AP375:AP389" si="759">P375</f>
        <v>0</v>
      </c>
      <c r="AQ375" s="30">
        <f t="shared" ref="AQ375:AQ388" si="760">Y375</f>
        <v>0</v>
      </c>
      <c r="AR375" s="32">
        <f t="shared" ref="AR375:AR389" si="761">AQ375-AP375</f>
        <v>0</v>
      </c>
      <c r="AS375" s="33" t="e">
        <f t="shared" ref="AS375:AS389" si="762">AR375/AP375</f>
        <v>#DIV/0!</v>
      </c>
      <c r="AU375" s="31">
        <f t="shared" ref="AU375:AU389" si="763">Q375</f>
        <v>0</v>
      </c>
      <c r="AV375" s="25">
        <f t="shared" ref="AV375:AV389" si="764">Z375</f>
        <v>0</v>
      </c>
      <c r="AW375" s="32">
        <f t="shared" ref="AW375:AW389" si="765">AV375-AU375</f>
        <v>0</v>
      </c>
      <c r="AX375" s="33" t="e">
        <f t="shared" ref="AX375:AX389" si="766">AW375/AU375</f>
        <v>#DIV/0!</v>
      </c>
      <c r="AZ375" s="31">
        <f t="shared" si="747"/>
        <v>0</v>
      </c>
      <c r="BA375" s="25">
        <f t="shared" si="748"/>
        <v>0</v>
      </c>
      <c r="BB375" s="32">
        <f t="shared" ref="BB375:BB389" si="767">BA375-AZ375</f>
        <v>0</v>
      </c>
      <c r="BC375" s="33" t="e">
        <f t="shared" ref="BC375:BC389" si="768">BB375/AZ375</f>
        <v>#DIV/0!</v>
      </c>
      <c r="BE375" s="31">
        <f t="shared" ref="BE375:BE389" si="769">S375</f>
        <v>0</v>
      </c>
      <c r="BF375" s="25">
        <f t="shared" ref="BF375:BF389" si="770">AB375</f>
        <v>0</v>
      </c>
      <c r="BG375" s="32">
        <f t="shared" ref="BG375:BG389" si="771">BF375-BE375</f>
        <v>0</v>
      </c>
      <c r="BH375" s="33" t="e">
        <f t="shared" ref="BH375:BH389" si="772">BG375/BE375</f>
        <v>#DIV/0!</v>
      </c>
      <c r="BJ375" s="31">
        <f t="shared" si="749"/>
        <v>0</v>
      </c>
      <c r="BK375" s="25">
        <f t="shared" si="750"/>
        <v>0</v>
      </c>
      <c r="BL375" s="32">
        <f t="shared" si="751"/>
        <v>0</v>
      </c>
      <c r="BM375" s="33" t="e">
        <f t="shared" si="752"/>
        <v>#DIV/0!</v>
      </c>
      <c r="BO375" s="62"/>
      <c r="BP375" s="62"/>
      <c r="BQ375" s="62"/>
      <c r="BR375" s="63"/>
    </row>
    <row r="376" spans="1:70">
      <c r="B376" s="1284"/>
      <c r="D376" s="5" t="s">
        <v>163</v>
      </c>
      <c r="E376" s="87">
        <v>0</v>
      </c>
      <c r="F376" s="87">
        <v>0</v>
      </c>
      <c r="G376" s="87">
        <v>20.378307790154505</v>
      </c>
      <c r="H376" s="87">
        <v>12.347443407498481</v>
      </c>
      <c r="I376" s="87">
        <v>4.6621573636395865</v>
      </c>
      <c r="J376" s="87">
        <v>4.709544021491066</v>
      </c>
      <c r="K376" s="87">
        <v>0</v>
      </c>
      <c r="L376" s="87">
        <v>0</v>
      </c>
      <c r="N376" s="29">
        <v>0</v>
      </c>
      <c r="O376" s="29">
        <v>0</v>
      </c>
      <c r="P376" s="29">
        <v>0</v>
      </c>
      <c r="Q376" s="29">
        <v>0</v>
      </c>
      <c r="R376" s="29">
        <v>0</v>
      </c>
      <c r="S376" s="29">
        <v>0</v>
      </c>
      <c r="T376" s="29">
        <v>0</v>
      </c>
      <c r="U376" s="29">
        <v>0</v>
      </c>
      <c r="W376" s="30">
        <v>0</v>
      </c>
      <c r="X376" s="30">
        <v>0</v>
      </c>
      <c r="Y376" s="30">
        <v>0</v>
      </c>
      <c r="Z376" s="30">
        <v>0</v>
      </c>
      <c r="AA376" s="30">
        <v>0</v>
      </c>
      <c r="AB376" s="85">
        <v>0</v>
      </c>
      <c r="AC376" s="85">
        <v>0</v>
      </c>
      <c r="AD376" s="90"/>
      <c r="AF376" s="29">
        <f t="shared" si="753"/>
        <v>0</v>
      </c>
      <c r="AG376" s="30">
        <f t="shared" si="754"/>
        <v>0</v>
      </c>
      <c r="AH376" s="32">
        <f t="shared" si="755"/>
        <v>0</v>
      </c>
      <c r="AI376" s="33" t="e">
        <f t="shared" si="756"/>
        <v>#DIV/0!</v>
      </c>
      <c r="AK376" s="29">
        <f t="shared" si="745"/>
        <v>0</v>
      </c>
      <c r="AL376" s="30">
        <f t="shared" si="746"/>
        <v>0</v>
      </c>
      <c r="AM376" s="32">
        <f t="shared" si="757"/>
        <v>0</v>
      </c>
      <c r="AN376" s="33" t="e">
        <f t="shared" si="758"/>
        <v>#DIV/0!</v>
      </c>
      <c r="AP376" s="29">
        <f t="shared" si="759"/>
        <v>0</v>
      </c>
      <c r="AQ376" s="30">
        <f t="shared" si="760"/>
        <v>0</v>
      </c>
      <c r="AR376" s="32">
        <f t="shared" si="761"/>
        <v>0</v>
      </c>
      <c r="AS376" s="33" t="e">
        <f t="shared" si="762"/>
        <v>#DIV/0!</v>
      </c>
      <c r="AU376" s="31">
        <f t="shared" si="763"/>
        <v>0</v>
      </c>
      <c r="AV376" s="25">
        <f t="shared" si="764"/>
        <v>0</v>
      </c>
      <c r="AW376" s="32">
        <f t="shared" si="765"/>
        <v>0</v>
      </c>
      <c r="AX376" s="33" t="e">
        <f t="shared" si="766"/>
        <v>#DIV/0!</v>
      </c>
      <c r="AZ376" s="31">
        <f t="shared" si="747"/>
        <v>0</v>
      </c>
      <c r="BA376" s="25">
        <f t="shared" si="748"/>
        <v>0</v>
      </c>
      <c r="BB376" s="32">
        <f t="shared" si="767"/>
        <v>0</v>
      </c>
      <c r="BC376" s="33" t="e">
        <f t="shared" si="768"/>
        <v>#DIV/0!</v>
      </c>
      <c r="BE376" s="31">
        <f t="shared" si="769"/>
        <v>0</v>
      </c>
      <c r="BF376" s="25">
        <f t="shared" si="770"/>
        <v>0</v>
      </c>
      <c r="BG376" s="32">
        <f t="shared" si="771"/>
        <v>0</v>
      </c>
      <c r="BH376" s="33" t="e">
        <f t="shared" si="772"/>
        <v>#DIV/0!</v>
      </c>
      <c r="BJ376" s="31">
        <f t="shared" si="749"/>
        <v>0</v>
      </c>
      <c r="BK376" s="25">
        <f t="shared" si="750"/>
        <v>0</v>
      </c>
      <c r="BL376" s="32">
        <f t="shared" si="751"/>
        <v>0</v>
      </c>
      <c r="BM376" s="33" t="e">
        <f t="shared" si="752"/>
        <v>#DIV/0!</v>
      </c>
      <c r="BO376" s="62"/>
      <c r="BP376" s="62"/>
      <c r="BQ376" s="62"/>
      <c r="BR376" s="63"/>
    </row>
    <row r="377" spans="1:70">
      <c r="B377" s="1284"/>
      <c r="D377" s="5" t="s">
        <v>164</v>
      </c>
      <c r="E377" s="87">
        <v>0.67475682166356599</v>
      </c>
      <c r="F377" s="87">
        <v>0.18568034638530154</v>
      </c>
      <c r="G377" s="87">
        <v>0.18490730437229075</v>
      </c>
      <c r="H377" s="87">
        <v>0.18479328047232954</v>
      </c>
      <c r="I377" s="87">
        <v>1.5977857558437243</v>
      </c>
      <c r="J377" s="87">
        <v>7.3458397478671005</v>
      </c>
      <c r="K377" s="87">
        <v>7.3612978418377155</v>
      </c>
      <c r="L377" s="87">
        <v>7.5106238550647069</v>
      </c>
      <c r="N377" s="29">
        <v>0.63791125395556669</v>
      </c>
      <c r="O377" s="29">
        <v>0.1755411413337436</v>
      </c>
      <c r="P377" s="29">
        <v>0.17481031181998744</v>
      </c>
      <c r="Q377" s="29">
        <v>0.17470251427475353</v>
      </c>
      <c r="R377" s="29">
        <v>1.510537548252916</v>
      </c>
      <c r="S377" s="29">
        <v>-0.83641840243000631</v>
      </c>
      <c r="T377" s="29">
        <v>-0.82180440848142067</v>
      </c>
      <c r="U377" s="29">
        <v>-0.68063244654264898</v>
      </c>
      <c r="W377" s="30">
        <v>6.3686924176955137E-2</v>
      </c>
      <c r="X377" s="30">
        <v>0.29014891694843614</v>
      </c>
      <c r="Y377" s="30">
        <v>1.4261464926448121E-2</v>
      </c>
      <c r="Z377" s="30">
        <v>0</v>
      </c>
      <c r="AA377" s="30">
        <v>0</v>
      </c>
      <c r="AB377" s="85">
        <v>0</v>
      </c>
      <c r="AC377" s="85">
        <v>0</v>
      </c>
      <c r="AD377" s="90">
        <v>0</v>
      </c>
      <c r="AF377" s="29">
        <f t="shared" si="753"/>
        <v>0.63791125395556669</v>
      </c>
      <c r="AG377" s="30">
        <f t="shared" si="754"/>
        <v>6.3686924176955137E-2</v>
      </c>
      <c r="AH377" s="32">
        <f t="shared" si="755"/>
        <v>-0.5742243297786116</v>
      </c>
      <c r="AI377" s="33">
        <f t="shared" si="756"/>
        <v>-0.90016334751574834</v>
      </c>
      <c r="AK377" s="29">
        <f t="shared" si="745"/>
        <v>0.1755411413337436</v>
      </c>
      <c r="AL377" s="30">
        <f t="shared" si="746"/>
        <v>0.29014891694843614</v>
      </c>
      <c r="AM377" s="32">
        <f t="shared" si="757"/>
        <v>0.11460777561469254</v>
      </c>
      <c r="AN377" s="33">
        <f t="shared" si="758"/>
        <v>0.6528827074036001</v>
      </c>
      <c r="AP377" s="29">
        <f t="shared" si="759"/>
        <v>0.17481031181998744</v>
      </c>
      <c r="AQ377" s="30">
        <f t="shared" si="760"/>
        <v>1.4261464926448121E-2</v>
      </c>
      <c r="AR377" s="32">
        <f t="shared" si="761"/>
        <v>-0.16054884689353932</v>
      </c>
      <c r="AS377" s="33">
        <f t="shared" si="762"/>
        <v>-0.91841748476981155</v>
      </c>
      <c r="AU377" s="31">
        <f t="shared" si="763"/>
        <v>0.17470251427475353</v>
      </c>
      <c r="AV377" s="25">
        <f t="shared" si="764"/>
        <v>0</v>
      </c>
      <c r="AW377" s="32">
        <f t="shared" si="765"/>
        <v>-0.17470251427475353</v>
      </c>
      <c r="AX377" s="33">
        <f t="shared" si="766"/>
        <v>-1</v>
      </c>
      <c r="AZ377" s="31">
        <f t="shared" si="747"/>
        <v>1.510537548252916</v>
      </c>
      <c r="BA377" s="25">
        <f t="shared" si="748"/>
        <v>0</v>
      </c>
      <c r="BB377" s="32">
        <f t="shared" si="767"/>
        <v>-1.510537548252916</v>
      </c>
      <c r="BC377" s="33">
        <f t="shared" si="768"/>
        <v>-1</v>
      </c>
      <c r="BE377" s="31">
        <f t="shared" si="769"/>
        <v>-0.83641840243000631</v>
      </c>
      <c r="BF377" s="25">
        <f t="shared" si="770"/>
        <v>0</v>
      </c>
      <c r="BG377" s="32">
        <f t="shared" si="771"/>
        <v>0.83641840243000631</v>
      </c>
      <c r="BH377" s="33">
        <f t="shared" si="772"/>
        <v>-1</v>
      </c>
      <c r="BJ377" s="31">
        <f t="shared" si="749"/>
        <v>-0.82180440848142067</v>
      </c>
      <c r="BK377" s="25">
        <f t="shared" si="750"/>
        <v>0</v>
      </c>
      <c r="BL377" s="32">
        <f t="shared" si="751"/>
        <v>0.82180440848142067</v>
      </c>
      <c r="BM377" s="33">
        <f t="shared" si="752"/>
        <v>-1</v>
      </c>
      <c r="BO377" s="62"/>
      <c r="BP377" s="62"/>
      <c r="BQ377" s="62"/>
      <c r="BR377" s="63"/>
    </row>
    <row r="378" spans="1:70">
      <c r="B378" s="1284"/>
      <c r="D378" s="5" t="s">
        <v>165</v>
      </c>
      <c r="E378" s="87">
        <v>5.7457246527277333</v>
      </c>
      <c r="F378" s="87">
        <v>5.751693891769718</v>
      </c>
      <c r="G378" s="87">
        <v>5.741804466379147</v>
      </c>
      <c r="H378" s="87">
        <v>5.7574689383669311</v>
      </c>
      <c r="I378" s="87">
        <v>0</v>
      </c>
      <c r="J378" s="87">
        <v>0</v>
      </c>
      <c r="K378" s="87">
        <v>0</v>
      </c>
      <c r="L378" s="87">
        <v>0</v>
      </c>
      <c r="N378" s="29">
        <v>5.4319753434556048</v>
      </c>
      <c r="O378" s="29">
        <v>5.4376186280289192</v>
      </c>
      <c r="P378" s="29">
        <v>5.4282692216216661</v>
      </c>
      <c r="Q378" s="29">
        <v>5.4430783241715943</v>
      </c>
      <c r="R378" s="29">
        <v>0</v>
      </c>
      <c r="S378" s="29">
        <v>-4.0817286809032387</v>
      </c>
      <c r="T378" s="29">
        <v>-4.0817286809032387</v>
      </c>
      <c r="U378" s="29">
        <v>-4.0817286809032387</v>
      </c>
      <c r="W378" s="30">
        <v>0</v>
      </c>
      <c r="X378" s="30">
        <v>0</v>
      </c>
      <c r="Y378" s="30">
        <v>0</v>
      </c>
      <c r="Z378" s="30">
        <v>0.41449951713329669</v>
      </c>
      <c r="AA378" s="30">
        <v>0.38284246874161337</v>
      </c>
      <c r="AB378" s="85">
        <v>2.9617271821788312E-2</v>
      </c>
      <c r="AC378" s="85">
        <v>0.46819999999999995</v>
      </c>
      <c r="AD378" s="90">
        <v>0</v>
      </c>
      <c r="AF378" s="29">
        <f t="shared" si="753"/>
        <v>5.4319753434556048</v>
      </c>
      <c r="AG378" s="30">
        <f t="shared" si="754"/>
        <v>0</v>
      </c>
      <c r="AH378" s="32">
        <f t="shared" si="755"/>
        <v>-5.4319753434556048</v>
      </c>
      <c r="AI378" s="33">
        <f t="shared" si="756"/>
        <v>-1</v>
      </c>
      <c r="AK378" s="29">
        <f t="shared" si="745"/>
        <v>5.4376186280289192</v>
      </c>
      <c r="AL378" s="30">
        <f t="shared" si="746"/>
        <v>0</v>
      </c>
      <c r="AM378" s="32">
        <f t="shared" si="757"/>
        <v>-5.4376186280289192</v>
      </c>
      <c r="AN378" s="33">
        <f t="shared" si="758"/>
        <v>-1</v>
      </c>
      <c r="AP378" s="29">
        <f t="shared" si="759"/>
        <v>5.4282692216216661</v>
      </c>
      <c r="AQ378" s="30">
        <f t="shared" si="760"/>
        <v>0</v>
      </c>
      <c r="AR378" s="32">
        <f t="shared" si="761"/>
        <v>-5.4282692216216661</v>
      </c>
      <c r="AS378" s="33">
        <f t="shared" si="762"/>
        <v>-1</v>
      </c>
      <c r="AU378" s="31">
        <f t="shared" si="763"/>
        <v>5.4430783241715943</v>
      </c>
      <c r="AV378" s="25">
        <f t="shared" si="764"/>
        <v>0.41449951713329669</v>
      </c>
      <c r="AW378" s="32">
        <f t="shared" si="765"/>
        <v>-5.028578807038298</v>
      </c>
      <c r="AX378" s="33">
        <f t="shared" si="766"/>
        <v>-0.92384832764713509</v>
      </c>
      <c r="AZ378" s="31">
        <f t="shared" si="747"/>
        <v>0</v>
      </c>
      <c r="BA378" s="25">
        <f t="shared" si="748"/>
        <v>0.38284246874161337</v>
      </c>
      <c r="BB378" s="32">
        <f t="shared" si="767"/>
        <v>0.38284246874161337</v>
      </c>
      <c r="BC378" s="33" t="e">
        <f t="shared" si="768"/>
        <v>#DIV/0!</v>
      </c>
      <c r="BE378" s="31">
        <f t="shared" si="769"/>
        <v>-4.0817286809032387</v>
      </c>
      <c r="BF378" s="25">
        <f t="shared" si="770"/>
        <v>2.9617271821788312E-2</v>
      </c>
      <c r="BG378" s="32">
        <f t="shared" si="771"/>
        <v>4.1113459527250269</v>
      </c>
      <c r="BH378" s="33">
        <f t="shared" si="772"/>
        <v>-1.0072560608842904</v>
      </c>
      <c r="BJ378" s="31">
        <f t="shared" si="749"/>
        <v>-4.0817286809032387</v>
      </c>
      <c r="BK378" s="25">
        <f t="shared" si="750"/>
        <v>0.46819999999999995</v>
      </c>
      <c r="BL378" s="32">
        <f t="shared" si="751"/>
        <v>4.5499286809032391</v>
      </c>
      <c r="BM378" s="33">
        <f t="shared" si="752"/>
        <v>-1.1147063013253475</v>
      </c>
      <c r="BO378" s="62"/>
      <c r="BP378" s="62"/>
      <c r="BQ378" s="62"/>
      <c r="BR378" s="63"/>
    </row>
    <row r="379" spans="1:70">
      <c r="B379" s="1284"/>
      <c r="D379" s="5" t="s">
        <v>166</v>
      </c>
      <c r="E379" s="87">
        <v>18.121608925877538</v>
      </c>
      <c r="F379" s="87">
        <v>18.14166763657926</v>
      </c>
      <c r="G379" s="87">
        <v>7.2016525280701975</v>
      </c>
      <c r="H379" s="87">
        <v>7.2222088518575189</v>
      </c>
      <c r="I379" s="87">
        <v>0</v>
      </c>
      <c r="J379" s="87">
        <v>0</v>
      </c>
      <c r="K379" s="87">
        <v>0</v>
      </c>
      <c r="L379" s="87">
        <v>0</v>
      </c>
      <c r="N379" s="29">
        <v>17.132065808684391</v>
      </c>
      <c r="O379" s="29">
        <v>17.151029199472973</v>
      </c>
      <c r="P379" s="29">
        <v>6.808401259889914</v>
      </c>
      <c r="Q379" s="29">
        <v>6.8278350912538661</v>
      </c>
      <c r="R379" s="29">
        <v>0</v>
      </c>
      <c r="S379" s="29">
        <v>-15.297766048840298</v>
      </c>
      <c r="T379" s="29">
        <v>-15.297766048840298</v>
      </c>
      <c r="U379" s="29">
        <v>-15.297766048840298</v>
      </c>
      <c r="W379" s="30">
        <v>1.9918055551915141</v>
      </c>
      <c r="X379" s="30">
        <v>0.15405721531216032</v>
      </c>
      <c r="Y379" s="30">
        <v>0</v>
      </c>
      <c r="Z379" s="30">
        <v>0.1324553305942649</v>
      </c>
      <c r="AA379" s="30">
        <v>1.4988239827691799E-3</v>
      </c>
      <c r="AB379" s="85">
        <v>0</v>
      </c>
      <c r="AC379" s="85">
        <v>0</v>
      </c>
      <c r="AD379" s="90">
        <v>0</v>
      </c>
      <c r="AF379" s="29">
        <f t="shared" si="753"/>
        <v>17.132065808684391</v>
      </c>
      <c r="AG379" s="30">
        <f t="shared" si="754"/>
        <v>1.9918055551915141</v>
      </c>
      <c r="AH379" s="32">
        <f t="shared" si="755"/>
        <v>-15.140260253492878</v>
      </c>
      <c r="AI379" s="33">
        <f t="shared" si="756"/>
        <v>-0.88373815642350317</v>
      </c>
      <c r="AK379" s="29">
        <f t="shared" si="745"/>
        <v>17.151029199472973</v>
      </c>
      <c r="AL379" s="30">
        <f t="shared" si="746"/>
        <v>0.15405721531216032</v>
      </c>
      <c r="AM379" s="32">
        <f t="shared" si="757"/>
        <v>-16.996971984160812</v>
      </c>
      <c r="AN379" s="33">
        <f t="shared" si="758"/>
        <v>-0.99101761104127239</v>
      </c>
      <c r="AP379" s="29">
        <f t="shared" si="759"/>
        <v>6.808401259889914</v>
      </c>
      <c r="AQ379" s="30">
        <f t="shared" si="760"/>
        <v>0</v>
      </c>
      <c r="AR379" s="32">
        <f t="shared" si="761"/>
        <v>-6.808401259889914</v>
      </c>
      <c r="AS379" s="33">
        <f t="shared" si="762"/>
        <v>-1</v>
      </c>
      <c r="AU379" s="31">
        <f t="shared" si="763"/>
        <v>6.8278350912538661</v>
      </c>
      <c r="AV379" s="25">
        <f t="shared" si="764"/>
        <v>0.1324553305942649</v>
      </c>
      <c r="AW379" s="32">
        <f t="shared" si="765"/>
        <v>-6.6953797606596011</v>
      </c>
      <c r="AX379" s="33">
        <f t="shared" si="766"/>
        <v>-0.98060068399075218</v>
      </c>
      <c r="AZ379" s="31">
        <f t="shared" si="747"/>
        <v>0</v>
      </c>
      <c r="BA379" s="25">
        <f t="shared" si="748"/>
        <v>1.4988239827691799E-3</v>
      </c>
      <c r="BB379" s="32">
        <f t="shared" si="767"/>
        <v>1.4988239827691799E-3</v>
      </c>
      <c r="BC379" s="33" t="e">
        <f t="shared" si="768"/>
        <v>#DIV/0!</v>
      </c>
      <c r="BE379" s="31">
        <f t="shared" si="769"/>
        <v>-15.297766048840298</v>
      </c>
      <c r="BF379" s="25">
        <f t="shared" si="770"/>
        <v>0</v>
      </c>
      <c r="BG379" s="32">
        <f t="shared" si="771"/>
        <v>15.297766048840298</v>
      </c>
      <c r="BH379" s="33">
        <f t="shared" si="772"/>
        <v>-1</v>
      </c>
      <c r="BJ379" s="31">
        <f t="shared" si="749"/>
        <v>-15.297766048840298</v>
      </c>
      <c r="BK379" s="25">
        <f t="shared" si="750"/>
        <v>0</v>
      </c>
      <c r="BL379" s="32">
        <f t="shared" si="751"/>
        <v>15.297766048840298</v>
      </c>
      <c r="BM379" s="33">
        <f t="shared" si="752"/>
        <v>-1</v>
      </c>
      <c r="BO379" s="62"/>
      <c r="BP379" s="62"/>
      <c r="BQ379" s="62"/>
      <c r="BR379" s="63"/>
    </row>
    <row r="380" spans="1:70">
      <c r="B380" s="1284"/>
      <c r="D380" s="5" t="s">
        <v>167</v>
      </c>
      <c r="E380" s="87">
        <v>7.5682992980627875</v>
      </c>
      <c r="F380" s="87">
        <v>7.5882205398677511</v>
      </c>
      <c r="G380" s="87">
        <v>0</v>
      </c>
      <c r="H380" s="87">
        <v>0</v>
      </c>
      <c r="I380" s="87">
        <v>0</v>
      </c>
      <c r="J380" s="87">
        <v>0</v>
      </c>
      <c r="K380" s="87">
        <v>1.0007598434037932</v>
      </c>
      <c r="L380" s="87">
        <v>7.8398212226386326</v>
      </c>
      <c r="N380" s="29">
        <v>7.1550270268263585</v>
      </c>
      <c r="O380" s="29">
        <v>7.1738604553033403</v>
      </c>
      <c r="P380" s="29">
        <v>0</v>
      </c>
      <c r="Q380" s="29">
        <v>0</v>
      </c>
      <c r="R380" s="29">
        <v>0</v>
      </c>
      <c r="S380" s="29">
        <v>-3.7030115867988145</v>
      </c>
      <c r="T380" s="29">
        <v>-2.7568989338875487</v>
      </c>
      <c r="U380" s="29">
        <v>3.7087107201961476</v>
      </c>
      <c r="W380" s="30">
        <v>2.8115798051905503</v>
      </c>
      <c r="X380" s="30">
        <v>3.9923363724187901E-2</v>
      </c>
      <c r="Y380" s="30">
        <v>9.326545316978771E-2</v>
      </c>
      <c r="Z380" s="30">
        <v>0.61329234331540228</v>
      </c>
      <c r="AA380" s="30">
        <v>4.4872648866991005</v>
      </c>
      <c r="AB380" s="85">
        <v>3.093524041785789</v>
      </c>
      <c r="AC380" s="85">
        <v>3.7999999999999996E-3</v>
      </c>
      <c r="AD380" s="90">
        <v>0</v>
      </c>
      <c r="AF380" s="29">
        <f t="shared" si="753"/>
        <v>7.1550270268263585</v>
      </c>
      <c r="AG380" s="30">
        <f t="shared" si="754"/>
        <v>2.8115798051905503</v>
      </c>
      <c r="AH380" s="32">
        <f t="shared" si="755"/>
        <v>-4.3434472216358078</v>
      </c>
      <c r="AI380" s="33">
        <f t="shared" si="756"/>
        <v>-0.60704833194213126</v>
      </c>
      <c r="AK380" s="29">
        <f t="shared" si="745"/>
        <v>7.1738604553033403</v>
      </c>
      <c r="AL380" s="30">
        <f t="shared" si="746"/>
        <v>3.9923363724187901E-2</v>
      </c>
      <c r="AM380" s="32">
        <f t="shared" si="757"/>
        <v>-7.1339370915791527</v>
      </c>
      <c r="AN380" s="33">
        <f t="shared" si="758"/>
        <v>-0.99443488426169846</v>
      </c>
      <c r="AP380" s="29">
        <f t="shared" si="759"/>
        <v>0</v>
      </c>
      <c r="AQ380" s="30">
        <f t="shared" si="760"/>
        <v>9.326545316978771E-2</v>
      </c>
      <c r="AR380" s="32">
        <f t="shared" si="761"/>
        <v>9.326545316978771E-2</v>
      </c>
      <c r="AS380" s="33" t="e">
        <f t="shared" si="762"/>
        <v>#DIV/0!</v>
      </c>
      <c r="AU380" s="31">
        <f t="shared" si="763"/>
        <v>0</v>
      </c>
      <c r="AV380" s="25">
        <f t="shared" si="764"/>
        <v>0.61329234331540228</v>
      </c>
      <c r="AW380" s="32">
        <f t="shared" si="765"/>
        <v>0.61329234331540228</v>
      </c>
      <c r="AX380" s="33" t="e">
        <f t="shared" si="766"/>
        <v>#DIV/0!</v>
      </c>
      <c r="AZ380" s="31">
        <f t="shared" si="747"/>
        <v>0</v>
      </c>
      <c r="BA380" s="25">
        <f t="shared" si="748"/>
        <v>4.4872648866991005</v>
      </c>
      <c r="BB380" s="32">
        <f t="shared" si="767"/>
        <v>4.4872648866991005</v>
      </c>
      <c r="BC380" s="33" t="e">
        <f t="shared" si="768"/>
        <v>#DIV/0!</v>
      </c>
      <c r="BE380" s="31">
        <f t="shared" si="769"/>
        <v>-3.7030115867988145</v>
      </c>
      <c r="BF380" s="25">
        <f t="shared" si="770"/>
        <v>3.093524041785789</v>
      </c>
      <c r="BG380" s="32">
        <f t="shared" si="771"/>
        <v>6.7965356285846035</v>
      </c>
      <c r="BH380" s="33">
        <f t="shared" si="772"/>
        <v>-1.8354076052081931</v>
      </c>
      <c r="BJ380" s="31">
        <f t="shared" si="749"/>
        <v>-2.7568989338875487</v>
      </c>
      <c r="BK380" s="25">
        <f t="shared" si="750"/>
        <v>3.7999999999999996E-3</v>
      </c>
      <c r="BL380" s="32">
        <f t="shared" si="751"/>
        <v>2.7606989338875487</v>
      </c>
      <c r="BM380" s="33">
        <f t="shared" si="752"/>
        <v>-1.0013783602849169</v>
      </c>
      <c r="BO380" s="62"/>
      <c r="BP380" s="62"/>
      <c r="BQ380" s="62"/>
      <c r="BR380" s="63"/>
    </row>
    <row r="381" spans="1:70">
      <c r="B381" s="1284"/>
      <c r="D381" s="5" t="s">
        <v>168</v>
      </c>
      <c r="E381" s="87">
        <v>0</v>
      </c>
      <c r="F381" s="87">
        <v>0</v>
      </c>
      <c r="G381" s="87">
        <v>0</v>
      </c>
      <c r="H381" s="87">
        <v>0</v>
      </c>
      <c r="I381" s="87">
        <v>0</v>
      </c>
      <c r="J381" s="87">
        <v>0</v>
      </c>
      <c r="K381" s="87">
        <v>0</v>
      </c>
      <c r="L381" s="87">
        <v>0</v>
      </c>
      <c r="N381" s="29">
        <v>0</v>
      </c>
      <c r="O381" s="29">
        <v>0</v>
      </c>
      <c r="P381" s="29">
        <v>0</v>
      </c>
      <c r="Q381" s="29">
        <v>0</v>
      </c>
      <c r="R381" s="29">
        <v>0</v>
      </c>
      <c r="S381" s="29">
        <v>0</v>
      </c>
      <c r="T381" s="29">
        <v>0</v>
      </c>
      <c r="U381" s="29">
        <v>0</v>
      </c>
      <c r="W381" s="30">
        <v>0</v>
      </c>
      <c r="X381" s="30">
        <v>0</v>
      </c>
      <c r="Y381" s="30">
        <v>0</v>
      </c>
      <c r="Z381" s="30">
        <v>0</v>
      </c>
      <c r="AA381" s="30">
        <v>0</v>
      </c>
      <c r="AB381" s="85">
        <v>0</v>
      </c>
      <c r="AC381" s="85">
        <v>0</v>
      </c>
      <c r="AD381" s="90"/>
      <c r="AF381" s="29">
        <f t="shared" si="753"/>
        <v>0</v>
      </c>
      <c r="AG381" s="30">
        <f t="shared" si="754"/>
        <v>0</v>
      </c>
      <c r="AH381" s="32">
        <f t="shared" si="755"/>
        <v>0</v>
      </c>
      <c r="AI381" s="33" t="e">
        <f t="shared" si="756"/>
        <v>#DIV/0!</v>
      </c>
      <c r="AK381" s="29">
        <f t="shared" si="745"/>
        <v>0</v>
      </c>
      <c r="AL381" s="30">
        <f t="shared" si="746"/>
        <v>0</v>
      </c>
      <c r="AM381" s="32">
        <f t="shared" si="757"/>
        <v>0</v>
      </c>
      <c r="AN381" s="33" t="e">
        <f t="shared" si="758"/>
        <v>#DIV/0!</v>
      </c>
      <c r="AP381" s="29">
        <f t="shared" si="759"/>
        <v>0</v>
      </c>
      <c r="AQ381" s="30">
        <f t="shared" si="760"/>
        <v>0</v>
      </c>
      <c r="AR381" s="32">
        <f t="shared" si="761"/>
        <v>0</v>
      </c>
      <c r="AS381" s="33" t="e">
        <f t="shared" si="762"/>
        <v>#DIV/0!</v>
      </c>
      <c r="AU381" s="31">
        <f t="shared" si="763"/>
        <v>0</v>
      </c>
      <c r="AV381" s="25">
        <f t="shared" si="764"/>
        <v>0</v>
      </c>
      <c r="AW381" s="32">
        <f t="shared" si="765"/>
        <v>0</v>
      </c>
      <c r="AX381" s="33" t="e">
        <f t="shared" si="766"/>
        <v>#DIV/0!</v>
      </c>
      <c r="AZ381" s="31">
        <f t="shared" si="747"/>
        <v>0</v>
      </c>
      <c r="BA381" s="25">
        <f t="shared" si="748"/>
        <v>0</v>
      </c>
      <c r="BB381" s="32">
        <f t="shared" si="767"/>
        <v>0</v>
      </c>
      <c r="BC381" s="33" t="e">
        <f t="shared" si="768"/>
        <v>#DIV/0!</v>
      </c>
      <c r="BE381" s="31">
        <f t="shared" si="769"/>
        <v>0</v>
      </c>
      <c r="BF381" s="25">
        <f t="shared" si="770"/>
        <v>0</v>
      </c>
      <c r="BG381" s="32">
        <f t="shared" si="771"/>
        <v>0</v>
      </c>
      <c r="BH381" s="33" t="e">
        <f t="shared" si="772"/>
        <v>#DIV/0!</v>
      </c>
      <c r="BJ381" s="31">
        <f t="shared" si="749"/>
        <v>0</v>
      </c>
      <c r="BK381" s="25">
        <f t="shared" si="750"/>
        <v>0</v>
      </c>
      <c r="BL381" s="32">
        <f t="shared" si="751"/>
        <v>0</v>
      </c>
      <c r="BM381" s="33" t="e">
        <f t="shared" si="752"/>
        <v>#DIV/0!</v>
      </c>
      <c r="BO381" s="62"/>
      <c r="BP381" s="62"/>
      <c r="BQ381" s="62"/>
      <c r="BR381" s="63"/>
    </row>
    <row r="382" spans="1:70">
      <c r="B382" s="1284"/>
      <c r="D382" s="5" t="s">
        <v>169</v>
      </c>
      <c r="E382" s="87">
        <v>0</v>
      </c>
      <c r="F382" s="87">
        <v>0</v>
      </c>
      <c r="G382" s="87">
        <v>0</v>
      </c>
      <c r="H382" s="87">
        <v>0</v>
      </c>
      <c r="I382" s="87">
        <v>0</v>
      </c>
      <c r="J382" s="87">
        <v>0</v>
      </c>
      <c r="K382" s="87">
        <v>0</v>
      </c>
      <c r="L382" s="87">
        <v>0</v>
      </c>
      <c r="N382" s="29">
        <v>0</v>
      </c>
      <c r="O382" s="29">
        <v>0</v>
      </c>
      <c r="P382" s="29">
        <v>0</v>
      </c>
      <c r="Q382" s="29">
        <v>0</v>
      </c>
      <c r="R382" s="29">
        <v>0</v>
      </c>
      <c r="S382" s="29">
        <v>0</v>
      </c>
      <c r="T382" s="29">
        <v>0</v>
      </c>
      <c r="U382" s="29">
        <v>0</v>
      </c>
      <c r="W382" s="30">
        <v>0</v>
      </c>
      <c r="X382" s="30">
        <v>0</v>
      </c>
      <c r="Y382" s="30">
        <v>0</v>
      </c>
      <c r="Z382" s="30">
        <v>0</v>
      </c>
      <c r="AA382" s="30">
        <v>0</v>
      </c>
      <c r="AB382" s="85">
        <v>0</v>
      </c>
      <c r="AC382" s="85">
        <v>0</v>
      </c>
      <c r="AD382" s="90"/>
      <c r="AF382" s="29">
        <f t="shared" si="753"/>
        <v>0</v>
      </c>
      <c r="AG382" s="30">
        <f t="shared" si="754"/>
        <v>0</v>
      </c>
      <c r="AH382" s="32">
        <f t="shared" si="755"/>
        <v>0</v>
      </c>
      <c r="AI382" s="33" t="e">
        <f t="shared" si="756"/>
        <v>#DIV/0!</v>
      </c>
      <c r="AK382" s="29">
        <f t="shared" si="745"/>
        <v>0</v>
      </c>
      <c r="AL382" s="30">
        <f t="shared" si="746"/>
        <v>0</v>
      </c>
      <c r="AM382" s="32">
        <f t="shared" si="757"/>
        <v>0</v>
      </c>
      <c r="AN382" s="33" t="e">
        <f t="shared" si="758"/>
        <v>#DIV/0!</v>
      </c>
      <c r="AP382" s="29">
        <f t="shared" si="759"/>
        <v>0</v>
      </c>
      <c r="AQ382" s="30">
        <f t="shared" si="760"/>
        <v>0</v>
      </c>
      <c r="AR382" s="32">
        <f t="shared" si="761"/>
        <v>0</v>
      </c>
      <c r="AS382" s="33" t="e">
        <f t="shared" si="762"/>
        <v>#DIV/0!</v>
      </c>
      <c r="AU382" s="31">
        <f t="shared" si="763"/>
        <v>0</v>
      </c>
      <c r="AV382" s="25">
        <f t="shared" si="764"/>
        <v>0</v>
      </c>
      <c r="AW382" s="32">
        <f t="shared" si="765"/>
        <v>0</v>
      </c>
      <c r="AX382" s="33" t="e">
        <f t="shared" si="766"/>
        <v>#DIV/0!</v>
      </c>
      <c r="AZ382" s="31">
        <f t="shared" si="747"/>
        <v>0</v>
      </c>
      <c r="BA382" s="25">
        <f t="shared" si="748"/>
        <v>0</v>
      </c>
      <c r="BB382" s="32">
        <f t="shared" si="767"/>
        <v>0</v>
      </c>
      <c r="BC382" s="33" t="e">
        <f t="shared" si="768"/>
        <v>#DIV/0!</v>
      </c>
      <c r="BE382" s="31">
        <f t="shared" si="769"/>
        <v>0</v>
      </c>
      <c r="BF382" s="25">
        <f t="shared" si="770"/>
        <v>0</v>
      </c>
      <c r="BG382" s="32">
        <f t="shared" si="771"/>
        <v>0</v>
      </c>
      <c r="BH382" s="33" t="e">
        <f t="shared" si="772"/>
        <v>#DIV/0!</v>
      </c>
      <c r="BJ382" s="31">
        <f t="shared" si="749"/>
        <v>0</v>
      </c>
      <c r="BK382" s="25">
        <f t="shared" si="750"/>
        <v>0</v>
      </c>
      <c r="BL382" s="32">
        <f t="shared" si="751"/>
        <v>0</v>
      </c>
      <c r="BM382" s="33" t="e">
        <f t="shared" si="752"/>
        <v>#DIV/0!</v>
      </c>
      <c r="BO382" s="62"/>
      <c r="BP382" s="62"/>
      <c r="BQ382" s="62"/>
      <c r="BR382" s="63"/>
    </row>
    <row r="383" spans="1:70">
      <c r="B383" s="1284"/>
      <c r="D383" s="5" t="s">
        <v>170</v>
      </c>
      <c r="E383" s="87">
        <v>0</v>
      </c>
      <c r="F383" s="87">
        <v>0</v>
      </c>
      <c r="G383" s="87">
        <v>0</v>
      </c>
      <c r="H383" s="87">
        <v>0</v>
      </c>
      <c r="I383" s="87">
        <v>0</v>
      </c>
      <c r="J383" s="87">
        <v>0</v>
      </c>
      <c r="K383" s="87">
        <v>0</v>
      </c>
      <c r="L383" s="87">
        <v>0</v>
      </c>
      <c r="N383" s="29">
        <v>0</v>
      </c>
      <c r="O383" s="29">
        <v>0</v>
      </c>
      <c r="P383" s="29">
        <v>0</v>
      </c>
      <c r="Q383" s="29">
        <v>0</v>
      </c>
      <c r="R383" s="29">
        <v>0</v>
      </c>
      <c r="S383" s="29">
        <v>0</v>
      </c>
      <c r="T383" s="29">
        <v>0</v>
      </c>
      <c r="U383" s="29">
        <v>0</v>
      </c>
      <c r="W383" s="30">
        <v>0</v>
      </c>
      <c r="X383" s="30">
        <v>0</v>
      </c>
      <c r="Y383" s="30">
        <v>0</v>
      </c>
      <c r="Z383" s="30">
        <v>0</v>
      </c>
      <c r="AA383" s="30">
        <v>0</v>
      </c>
      <c r="AB383" s="85">
        <v>0</v>
      </c>
      <c r="AC383" s="85">
        <v>0</v>
      </c>
      <c r="AD383" s="90"/>
      <c r="AF383" s="29">
        <f t="shared" si="753"/>
        <v>0</v>
      </c>
      <c r="AG383" s="30">
        <f t="shared" si="754"/>
        <v>0</v>
      </c>
      <c r="AH383" s="32">
        <f t="shared" si="755"/>
        <v>0</v>
      </c>
      <c r="AI383" s="33" t="e">
        <f t="shared" si="756"/>
        <v>#DIV/0!</v>
      </c>
      <c r="AK383" s="29">
        <f t="shared" si="745"/>
        <v>0</v>
      </c>
      <c r="AL383" s="30">
        <f t="shared" si="746"/>
        <v>0</v>
      </c>
      <c r="AM383" s="32">
        <f t="shared" si="757"/>
        <v>0</v>
      </c>
      <c r="AN383" s="33" t="e">
        <f t="shared" si="758"/>
        <v>#DIV/0!</v>
      </c>
      <c r="AP383" s="29">
        <f t="shared" si="759"/>
        <v>0</v>
      </c>
      <c r="AQ383" s="30">
        <f t="shared" si="760"/>
        <v>0</v>
      </c>
      <c r="AR383" s="32">
        <f t="shared" si="761"/>
        <v>0</v>
      </c>
      <c r="AS383" s="33" t="e">
        <f t="shared" si="762"/>
        <v>#DIV/0!</v>
      </c>
      <c r="AU383" s="31">
        <f t="shared" si="763"/>
        <v>0</v>
      </c>
      <c r="AV383" s="25">
        <f t="shared" si="764"/>
        <v>0</v>
      </c>
      <c r="AW383" s="32">
        <f t="shared" si="765"/>
        <v>0</v>
      </c>
      <c r="AX383" s="33" t="e">
        <f t="shared" si="766"/>
        <v>#DIV/0!</v>
      </c>
      <c r="AZ383" s="31">
        <f t="shared" si="747"/>
        <v>0</v>
      </c>
      <c r="BA383" s="25">
        <f t="shared" si="748"/>
        <v>0</v>
      </c>
      <c r="BB383" s="32">
        <f t="shared" si="767"/>
        <v>0</v>
      </c>
      <c r="BC383" s="33" t="e">
        <f t="shared" si="768"/>
        <v>#DIV/0!</v>
      </c>
      <c r="BE383" s="31">
        <f t="shared" si="769"/>
        <v>0</v>
      </c>
      <c r="BF383" s="25">
        <f t="shared" si="770"/>
        <v>0</v>
      </c>
      <c r="BG383" s="32">
        <f t="shared" si="771"/>
        <v>0</v>
      </c>
      <c r="BH383" s="33" t="e">
        <f t="shared" si="772"/>
        <v>#DIV/0!</v>
      </c>
      <c r="BJ383" s="31">
        <f t="shared" si="749"/>
        <v>0</v>
      </c>
      <c r="BK383" s="25">
        <f t="shared" si="750"/>
        <v>0</v>
      </c>
      <c r="BL383" s="32">
        <f t="shared" si="751"/>
        <v>0</v>
      </c>
      <c r="BM383" s="33" t="e">
        <f t="shared" si="752"/>
        <v>#DIV/0!</v>
      </c>
      <c r="BO383" s="62"/>
      <c r="BP383" s="62"/>
      <c r="BQ383" s="62"/>
      <c r="BR383" s="63"/>
    </row>
    <row r="384" spans="1:70">
      <c r="B384" s="1284"/>
      <c r="D384" s="5" t="s">
        <v>171</v>
      </c>
      <c r="E384" s="87">
        <v>0</v>
      </c>
      <c r="F384" s="87">
        <v>0</v>
      </c>
      <c r="G384" s="87">
        <v>0</v>
      </c>
      <c r="H384" s="87">
        <v>0</v>
      </c>
      <c r="I384" s="87">
        <v>0</v>
      </c>
      <c r="J384" s="87">
        <v>0</v>
      </c>
      <c r="K384" s="87">
        <v>0</v>
      </c>
      <c r="L384" s="87">
        <v>0</v>
      </c>
      <c r="N384" s="29">
        <v>0</v>
      </c>
      <c r="O384" s="29">
        <v>0</v>
      </c>
      <c r="P384" s="29">
        <v>0</v>
      </c>
      <c r="Q384" s="29">
        <v>0</v>
      </c>
      <c r="R384" s="29">
        <v>0</v>
      </c>
      <c r="S384" s="29">
        <v>0</v>
      </c>
      <c r="T384" s="29">
        <v>0</v>
      </c>
      <c r="U384" s="29">
        <v>0</v>
      </c>
      <c r="W384" s="30">
        <v>0</v>
      </c>
      <c r="X384" s="30">
        <v>0</v>
      </c>
      <c r="Y384" s="30">
        <v>0</v>
      </c>
      <c r="Z384" s="30">
        <v>0</v>
      </c>
      <c r="AA384" s="30">
        <v>0</v>
      </c>
      <c r="AB384" s="85">
        <v>0</v>
      </c>
      <c r="AC384" s="85">
        <v>0</v>
      </c>
      <c r="AD384" s="90"/>
      <c r="AF384" s="29">
        <f t="shared" si="753"/>
        <v>0</v>
      </c>
      <c r="AG384" s="30">
        <f t="shared" si="754"/>
        <v>0</v>
      </c>
      <c r="AH384" s="32">
        <f t="shared" si="755"/>
        <v>0</v>
      </c>
      <c r="AI384" s="33" t="e">
        <f t="shared" si="756"/>
        <v>#DIV/0!</v>
      </c>
      <c r="AK384" s="29">
        <f t="shared" si="745"/>
        <v>0</v>
      </c>
      <c r="AL384" s="30">
        <f t="shared" si="746"/>
        <v>0</v>
      </c>
      <c r="AM384" s="32">
        <f t="shared" si="757"/>
        <v>0</v>
      </c>
      <c r="AN384" s="33" t="e">
        <f t="shared" si="758"/>
        <v>#DIV/0!</v>
      </c>
      <c r="AP384" s="29">
        <f t="shared" si="759"/>
        <v>0</v>
      </c>
      <c r="AQ384" s="30">
        <f t="shared" si="760"/>
        <v>0</v>
      </c>
      <c r="AR384" s="32">
        <f t="shared" si="761"/>
        <v>0</v>
      </c>
      <c r="AS384" s="33" t="e">
        <f t="shared" si="762"/>
        <v>#DIV/0!</v>
      </c>
      <c r="AU384" s="31">
        <f t="shared" si="763"/>
        <v>0</v>
      </c>
      <c r="AV384" s="25">
        <f t="shared" si="764"/>
        <v>0</v>
      </c>
      <c r="AW384" s="32">
        <f t="shared" si="765"/>
        <v>0</v>
      </c>
      <c r="AX384" s="33" t="e">
        <f t="shared" si="766"/>
        <v>#DIV/0!</v>
      </c>
      <c r="AZ384" s="31">
        <f t="shared" si="747"/>
        <v>0</v>
      </c>
      <c r="BA384" s="25">
        <f t="shared" si="748"/>
        <v>0</v>
      </c>
      <c r="BB384" s="32">
        <f t="shared" si="767"/>
        <v>0</v>
      </c>
      <c r="BC384" s="33" t="e">
        <f t="shared" si="768"/>
        <v>#DIV/0!</v>
      </c>
      <c r="BE384" s="31">
        <f t="shared" si="769"/>
        <v>0</v>
      </c>
      <c r="BF384" s="25">
        <f t="shared" si="770"/>
        <v>0</v>
      </c>
      <c r="BG384" s="32">
        <f t="shared" si="771"/>
        <v>0</v>
      </c>
      <c r="BH384" s="33" t="e">
        <f t="shared" si="772"/>
        <v>#DIV/0!</v>
      </c>
      <c r="BJ384" s="31">
        <f t="shared" si="749"/>
        <v>0</v>
      </c>
      <c r="BK384" s="25">
        <f t="shared" si="750"/>
        <v>0</v>
      </c>
      <c r="BL384" s="32">
        <f t="shared" si="751"/>
        <v>0</v>
      </c>
      <c r="BM384" s="33" t="e">
        <f t="shared" si="752"/>
        <v>#DIV/0!</v>
      </c>
      <c r="BO384" s="62"/>
      <c r="BP384" s="62"/>
      <c r="BQ384" s="62"/>
      <c r="BR384" s="63"/>
    </row>
    <row r="385" spans="1:70">
      <c r="B385" s="1284"/>
      <c r="D385" s="5" t="s">
        <v>172</v>
      </c>
      <c r="E385" s="87">
        <v>0</v>
      </c>
      <c r="F385" s="87">
        <v>0</v>
      </c>
      <c r="G385" s="87">
        <v>0</v>
      </c>
      <c r="H385" s="87">
        <v>0</v>
      </c>
      <c r="I385" s="87">
        <v>0</v>
      </c>
      <c r="J385" s="87">
        <v>0</v>
      </c>
      <c r="K385" s="87">
        <v>0</v>
      </c>
      <c r="L385" s="87">
        <v>0</v>
      </c>
      <c r="N385" s="29">
        <v>0</v>
      </c>
      <c r="O385" s="29">
        <v>0</v>
      </c>
      <c r="P385" s="29">
        <v>0</v>
      </c>
      <c r="Q385" s="29">
        <v>0</v>
      </c>
      <c r="R385" s="29">
        <v>0</v>
      </c>
      <c r="S385" s="29">
        <v>0</v>
      </c>
      <c r="T385" s="29">
        <v>0</v>
      </c>
      <c r="U385" s="29">
        <v>0</v>
      </c>
      <c r="W385" s="30">
        <v>0</v>
      </c>
      <c r="X385" s="30">
        <v>0</v>
      </c>
      <c r="Y385" s="30">
        <v>0</v>
      </c>
      <c r="Z385" s="30">
        <v>0</v>
      </c>
      <c r="AA385" s="30">
        <v>0</v>
      </c>
      <c r="AB385" s="85">
        <v>0</v>
      </c>
      <c r="AC385" s="85">
        <v>0</v>
      </c>
      <c r="AD385" s="90"/>
      <c r="AF385" s="29">
        <f t="shared" si="753"/>
        <v>0</v>
      </c>
      <c r="AG385" s="30">
        <f t="shared" si="754"/>
        <v>0</v>
      </c>
      <c r="AH385" s="32">
        <f t="shared" si="755"/>
        <v>0</v>
      </c>
      <c r="AI385" s="33" t="e">
        <f t="shared" si="756"/>
        <v>#DIV/0!</v>
      </c>
      <c r="AK385" s="29">
        <f t="shared" si="745"/>
        <v>0</v>
      </c>
      <c r="AL385" s="30">
        <f t="shared" si="746"/>
        <v>0</v>
      </c>
      <c r="AM385" s="32">
        <f t="shared" si="757"/>
        <v>0</v>
      </c>
      <c r="AN385" s="33" t="e">
        <f t="shared" si="758"/>
        <v>#DIV/0!</v>
      </c>
      <c r="AP385" s="29">
        <f t="shared" si="759"/>
        <v>0</v>
      </c>
      <c r="AQ385" s="30">
        <f t="shared" si="760"/>
        <v>0</v>
      </c>
      <c r="AR385" s="32">
        <f t="shared" si="761"/>
        <v>0</v>
      </c>
      <c r="AS385" s="33" t="e">
        <f t="shared" si="762"/>
        <v>#DIV/0!</v>
      </c>
      <c r="AU385" s="31">
        <f t="shared" si="763"/>
        <v>0</v>
      </c>
      <c r="AV385" s="25">
        <f t="shared" si="764"/>
        <v>0</v>
      </c>
      <c r="AW385" s="32">
        <f t="shared" si="765"/>
        <v>0</v>
      </c>
      <c r="AX385" s="33" t="e">
        <f t="shared" si="766"/>
        <v>#DIV/0!</v>
      </c>
      <c r="AZ385" s="31">
        <f t="shared" si="747"/>
        <v>0</v>
      </c>
      <c r="BA385" s="25">
        <f t="shared" si="748"/>
        <v>0</v>
      </c>
      <c r="BB385" s="32">
        <f t="shared" si="767"/>
        <v>0</v>
      </c>
      <c r="BC385" s="33" t="e">
        <f t="shared" si="768"/>
        <v>#DIV/0!</v>
      </c>
      <c r="BE385" s="31">
        <f t="shared" si="769"/>
        <v>0</v>
      </c>
      <c r="BF385" s="25">
        <f t="shared" si="770"/>
        <v>0</v>
      </c>
      <c r="BG385" s="32">
        <f t="shared" si="771"/>
        <v>0</v>
      </c>
      <c r="BH385" s="33" t="e">
        <f t="shared" si="772"/>
        <v>#DIV/0!</v>
      </c>
      <c r="BJ385" s="31">
        <f t="shared" si="749"/>
        <v>0</v>
      </c>
      <c r="BK385" s="25">
        <f t="shared" si="750"/>
        <v>0</v>
      </c>
      <c r="BL385" s="32">
        <f t="shared" si="751"/>
        <v>0</v>
      </c>
      <c r="BM385" s="33" t="e">
        <f t="shared" si="752"/>
        <v>#DIV/0!</v>
      </c>
      <c r="BO385" s="62"/>
      <c r="BP385" s="62"/>
      <c r="BQ385" s="62"/>
      <c r="BR385" s="63"/>
    </row>
    <row r="386" spans="1:70">
      <c r="B386" s="1284"/>
      <c r="D386" s="5" t="s">
        <v>28</v>
      </c>
      <c r="E386" s="87">
        <v>0</v>
      </c>
      <c r="F386" s="87">
        <v>0</v>
      </c>
      <c r="G386" s="87">
        <v>0</v>
      </c>
      <c r="H386" s="87">
        <v>0</v>
      </c>
      <c r="I386" s="87">
        <v>0</v>
      </c>
      <c r="J386" s="87">
        <v>0</v>
      </c>
      <c r="K386" s="87">
        <v>0</v>
      </c>
      <c r="L386" s="87">
        <v>0</v>
      </c>
      <c r="N386" s="29">
        <v>0</v>
      </c>
      <c r="O386" s="29">
        <v>0</v>
      </c>
      <c r="P386" s="29">
        <v>0</v>
      </c>
      <c r="Q386" s="29">
        <v>0</v>
      </c>
      <c r="R386" s="29">
        <v>0</v>
      </c>
      <c r="S386" s="29">
        <v>0</v>
      </c>
      <c r="T386" s="29">
        <v>0</v>
      </c>
      <c r="U386" s="29">
        <v>0</v>
      </c>
      <c r="W386" s="30">
        <v>0</v>
      </c>
      <c r="X386" s="30">
        <v>0</v>
      </c>
      <c r="Y386" s="30">
        <v>0</v>
      </c>
      <c r="Z386" s="30">
        <v>0</v>
      </c>
      <c r="AA386" s="30">
        <v>0</v>
      </c>
      <c r="AB386" s="85">
        <v>0</v>
      </c>
      <c r="AC386" s="85">
        <v>0</v>
      </c>
      <c r="AD386" s="90"/>
      <c r="AF386" s="29">
        <f t="shared" si="753"/>
        <v>0</v>
      </c>
      <c r="AG386" s="30">
        <f t="shared" si="754"/>
        <v>0</v>
      </c>
      <c r="AH386" s="32">
        <f t="shared" si="755"/>
        <v>0</v>
      </c>
      <c r="AI386" s="33" t="e">
        <f t="shared" si="756"/>
        <v>#DIV/0!</v>
      </c>
      <c r="AK386" s="29">
        <f t="shared" si="745"/>
        <v>0</v>
      </c>
      <c r="AL386" s="30">
        <f t="shared" si="746"/>
        <v>0</v>
      </c>
      <c r="AM386" s="32">
        <f t="shared" si="757"/>
        <v>0</v>
      </c>
      <c r="AN386" s="33" t="e">
        <f t="shared" si="758"/>
        <v>#DIV/0!</v>
      </c>
      <c r="AP386" s="29">
        <f t="shared" si="759"/>
        <v>0</v>
      </c>
      <c r="AQ386" s="30">
        <f t="shared" si="760"/>
        <v>0</v>
      </c>
      <c r="AR386" s="32">
        <f t="shared" si="761"/>
        <v>0</v>
      </c>
      <c r="AS386" s="33" t="e">
        <f t="shared" si="762"/>
        <v>#DIV/0!</v>
      </c>
      <c r="AU386" s="31">
        <f t="shared" si="763"/>
        <v>0</v>
      </c>
      <c r="AV386" s="25">
        <f t="shared" si="764"/>
        <v>0</v>
      </c>
      <c r="AW386" s="32">
        <f t="shared" si="765"/>
        <v>0</v>
      </c>
      <c r="AX386" s="33" t="e">
        <f t="shared" si="766"/>
        <v>#DIV/0!</v>
      </c>
      <c r="AZ386" s="31">
        <f t="shared" si="747"/>
        <v>0</v>
      </c>
      <c r="BA386" s="25">
        <f t="shared" si="748"/>
        <v>0</v>
      </c>
      <c r="BB386" s="32">
        <f t="shared" si="767"/>
        <v>0</v>
      </c>
      <c r="BC386" s="33" t="e">
        <f t="shared" si="768"/>
        <v>#DIV/0!</v>
      </c>
      <c r="BE386" s="31">
        <f t="shared" si="769"/>
        <v>0</v>
      </c>
      <c r="BF386" s="25">
        <f t="shared" si="770"/>
        <v>0</v>
      </c>
      <c r="BG386" s="32">
        <f t="shared" si="771"/>
        <v>0</v>
      </c>
      <c r="BH386" s="33" t="e">
        <f t="shared" si="772"/>
        <v>#DIV/0!</v>
      </c>
      <c r="BJ386" s="31">
        <f t="shared" si="749"/>
        <v>0</v>
      </c>
      <c r="BK386" s="25">
        <f t="shared" si="750"/>
        <v>0</v>
      </c>
      <c r="BL386" s="32">
        <f t="shared" si="751"/>
        <v>0</v>
      </c>
      <c r="BM386" s="33" t="e">
        <f t="shared" si="752"/>
        <v>#DIV/0!</v>
      </c>
      <c r="BO386" s="62"/>
      <c r="BP386" s="62"/>
      <c r="BQ386" s="62"/>
      <c r="BR386" s="63"/>
    </row>
    <row r="387" spans="1:70">
      <c r="B387" s="1284"/>
      <c r="D387" s="5" t="s">
        <v>173</v>
      </c>
      <c r="E387" s="87">
        <v>0</v>
      </c>
      <c r="F387" s="87">
        <v>0</v>
      </c>
      <c r="G387" s="87">
        <v>0</v>
      </c>
      <c r="H387" s="87">
        <v>0</v>
      </c>
      <c r="I387" s="87">
        <v>0</v>
      </c>
      <c r="J387" s="87">
        <v>0</v>
      </c>
      <c r="K387" s="87">
        <v>0</v>
      </c>
      <c r="L387" s="87">
        <v>0</v>
      </c>
      <c r="N387" s="29">
        <v>1.4427317870644731</v>
      </c>
      <c r="O387" s="29">
        <v>2.8854635741289463</v>
      </c>
      <c r="P387" s="29">
        <v>0.84159354245427598</v>
      </c>
      <c r="Q387" s="29">
        <v>5.0495612547256563</v>
      </c>
      <c r="R387" s="29">
        <v>1.5629594359865127</v>
      </c>
      <c r="S387" s="29">
        <v>7.4541142331664449</v>
      </c>
      <c r="T387" s="29">
        <v>0</v>
      </c>
      <c r="U387" s="29">
        <v>0</v>
      </c>
      <c r="W387" s="30">
        <v>0</v>
      </c>
      <c r="X387" s="30">
        <v>0</v>
      </c>
      <c r="Y387" s="30">
        <v>0</v>
      </c>
      <c r="Z387" s="30">
        <v>10.46900374954474</v>
      </c>
      <c r="AA387" s="30">
        <v>-0.27382168435374138</v>
      </c>
      <c r="AB387" s="85">
        <v>0.2685567594962725</v>
      </c>
      <c r="AC387" s="85">
        <v>3.4004191400000003</v>
      </c>
      <c r="AD387" s="90"/>
      <c r="AF387" s="29">
        <f t="shared" si="753"/>
        <v>1.4427317870644731</v>
      </c>
      <c r="AG387" s="30">
        <f t="shared" si="754"/>
        <v>0</v>
      </c>
      <c r="AH387" s="32">
        <f t="shared" si="755"/>
        <v>-1.4427317870644731</v>
      </c>
      <c r="AI387" s="33">
        <f t="shared" si="756"/>
        <v>-1</v>
      </c>
      <c r="AK387" s="29">
        <f t="shared" si="745"/>
        <v>2.8854635741289463</v>
      </c>
      <c r="AL387" s="30">
        <f t="shared" si="746"/>
        <v>0</v>
      </c>
      <c r="AM387" s="32">
        <f t="shared" si="757"/>
        <v>-2.8854635741289463</v>
      </c>
      <c r="AN387" s="33">
        <f t="shared" si="758"/>
        <v>-1</v>
      </c>
      <c r="AP387" s="29">
        <f t="shared" si="759"/>
        <v>0.84159354245427598</v>
      </c>
      <c r="AQ387" s="30">
        <f t="shared" si="760"/>
        <v>0</v>
      </c>
      <c r="AR387" s="32">
        <f t="shared" si="761"/>
        <v>-0.84159354245427598</v>
      </c>
      <c r="AS387" s="33">
        <f t="shared" si="762"/>
        <v>-1</v>
      </c>
      <c r="AU387" s="31">
        <f t="shared" si="763"/>
        <v>5.0495612547256563</v>
      </c>
      <c r="AV387" s="25">
        <f t="shared" si="764"/>
        <v>10.46900374954474</v>
      </c>
      <c r="AW387" s="32">
        <f t="shared" si="765"/>
        <v>5.4194424948190836</v>
      </c>
      <c r="AX387" s="33">
        <f t="shared" si="766"/>
        <v>1.0732501739130844</v>
      </c>
      <c r="AZ387" s="31">
        <f t="shared" si="747"/>
        <v>1.5629594359865127</v>
      </c>
      <c r="BA387" s="25">
        <f t="shared" si="748"/>
        <v>-0.27382168435374138</v>
      </c>
      <c r="BB387" s="32">
        <f t="shared" si="767"/>
        <v>-1.836781120340254</v>
      </c>
      <c r="BC387" s="33">
        <f t="shared" si="768"/>
        <v>-1.1751943640053011</v>
      </c>
      <c r="BE387" s="31">
        <f t="shared" si="769"/>
        <v>7.4541142331664449</v>
      </c>
      <c r="BF387" s="25">
        <f t="shared" si="770"/>
        <v>0.2685567594962725</v>
      </c>
      <c r="BG387" s="32">
        <f t="shared" si="771"/>
        <v>-7.1855574736701726</v>
      </c>
      <c r="BH387" s="33">
        <f t="shared" si="772"/>
        <v>-0.96397200913539105</v>
      </c>
      <c r="BJ387" s="31">
        <f t="shared" si="749"/>
        <v>0</v>
      </c>
      <c r="BK387" s="25">
        <f t="shared" si="750"/>
        <v>3.4004191400000003</v>
      </c>
      <c r="BL387" s="32">
        <f t="shared" si="751"/>
        <v>3.4004191400000003</v>
      </c>
      <c r="BM387" s="33" t="e">
        <f t="shared" si="752"/>
        <v>#DIV/0!</v>
      </c>
      <c r="BO387" s="62"/>
      <c r="BP387" s="62"/>
      <c r="BQ387" s="62"/>
      <c r="BR387" s="63"/>
    </row>
    <row r="388" spans="1:70">
      <c r="A388" s="1"/>
      <c r="B388" s="1284"/>
      <c r="D388" s="4" t="s">
        <v>174</v>
      </c>
      <c r="E388" s="88">
        <f t="shared" ref="E388:L388" si="773">SUM(E374:E387)</f>
        <v>32.606498350751806</v>
      </c>
      <c r="F388" s="88">
        <f t="shared" si="773"/>
        <v>32.164013579481697</v>
      </c>
      <c r="G388" s="88">
        <f t="shared" si="773"/>
        <v>33.506672088976138</v>
      </c>
      <c r="H388" s="88">
        <f t="shared" si="773"/>
        <v>25.511914478195262</v>
      </c>
      <c r="I388" s="88">
        <f t="shared" si="773"/>
        <v>20.316072362209539</v>
      </c>
      <c r="J388" s="88">
        <f t="shared" si="773"/>
        <v>26.256940465384691</v>
      </c>
      <c r="K388" s="88">
        <f t="shared" si="773"/>
        <v>19.675381472861286</v>
      </c>
      <c r="L388" s="88">
        <f t="shared" si="773"/>
        <v>15.350445077703339</v>
      </c>
      <c r="M388" s="1"/>
      <c r="N388" s="81">
        <f t="shared" ref="N388:U388" si="774">SUM(N374:N387)</f>
        <v>31.799711219986399</v>
      </c>
      <c r="O388" s="81">
        <f t="shared" si="774"/>
        <v>32.823512998267923</v>
      </c>
      <c r="P388" s="81">
        <f t="shared" si="774"/>
        <v>13.253074335785843</v>
      </c>
      <c r="Q388" s="81">
        <f t="shared" si="774"/>
        <v>17.49517718442587</v>
      </c>
      <c r="R388" s="81">
        <f t="shared" si="774"/>
        <v>3.0734969842394286</v>
      </c>
      <c r="S388" s="81">
        <f t="shared" si="774"/>
        <v>-16.464810485805913</v>
      </c>
      <c r="T388" s="81">
        <f t="shared" si="774"/>
        <v>-22.958198072112506</v>
      </c>
      <c r="U388" s="81">
        <f t="shared" si="774"/>
        <v>-16.351416456090039</v>
      </c>
      <c r="V388" s="1"/>
      <c r="W388" s="85">
        <f t="shared" ref="W388:AD388" si="775">SUM(W374:W387)</f>
        <v>4.8670722845590202</v>
      </c>
      <c r="X388" s="85">
        <f t="shared" si="775"/>
        <v>0.68165643465081738</v>
      </c>
      <c r="Y388" s="85">
        <f t="shared" si="775"/>
        <v>0.13299381975060748</v>
      </c>
      <c r="Z388" s="85">
        <f>SUM(Z374:Z387)</f>
        <v>11.629250940587704</v>
      </c>
      <c r="AA388" s="85">
        <f>SUM(AA374:AA387)</f>
        <v>4.5977844950697415</v>
      </c>
      <c r="AB388" s="85">
        <f t="shared" si="775"/>
        <v>3.3916980731038495</v>
      </c>
      <c r="AC388" s="85">
        <f t="shared" ref="AC388" si="776">SUM(AC374:AC387)</f>
        <v>3.8724191400000003</v>
      </c>
      <c r="AD388" s="91">
        <f t="shared" si="775"/>
        <v>0</v>
      </c>
      <c r="AE388" s="1"/>
      <c r="AF388" s="81">
        <f t="shared" si="753"/>
        <v>31.799711219986399</v>
      </c>
      <c r="AG388" s="85">
        <f t="shared" si="754"/>
        <v>4.8670722845590202</v>
      </c>
      <c r="AH388" s="34">
        <f>IF(AG388&gt;0,AG388-AF388,"")</f>
        <v>-26.932638935427377</v>
      </c>
      <c r="AI388" s="35">
        <f>IF(AG388&gt;0,AH388/AF388,"")</f>
        <v>-0.8469460225318014</v>
      </c>
      <c r="AK388" s="81">
        <f t="shared" si="745"/>
        <v>32.823512998267923</v>
      </c>
      <c r="AL388" s="85">
        <f t="shared" si="746"/>
        <v>0.68165643465081738</v>
      </c>
      <c r="AM388" s="34">
        <f>IF(AL388&gt;0,AL388-AK388,"")</f>
        <v>-32.141856563617104</v>
      </c>
      <c r="AN388" s="35">
        <f>IF(AL388&gt;0,AM388/AK388,"")</f>
        <v>-0.97923267888215415</v>
      </c>
      <c r="AP388" s="81">
        <f t="shared" si="759"/>
        <v>13.253074335785843</v>
      </c>
      <c r="AQ388" s="85">
        <f t="shared" si="760"/>
        <v>0.13299381975060748</v>
      </c>
      <c r="AR388" s="34">
        <f t="shared" si="761"/>
        <v>-13.120080516035236</v>
      </c>
      <c r="AS388" s="35">
        <f t="shared" si="762"/>
        <v>-0.98996505894549325</v>
      </c>
      <c r="AU388" s="949">
        <f t="shared" si="763"/>
        <v>17.49517718442587</v>
      </c>
      <c r="AV388" s="843">
        <f t="shared" si="764"/>
        <v>11.629250940587704</v>
      </c>
      <c r="AW388" s="34">
        <f t="shared" si="765"/>
        <v>-5.8659262438381656</v>
      </c>
      <c r="AX388" s="35">
        <f t="shared" si="766"/>
        <v>-0.33528818725311266</v>
      </c>
      <c r="AZ388" s="949">
        <f t="shared" si="747"/>
        <v>3.0734969842394286</v>
      </c>
      <c r="BA388" s="843">
        <f t="shared" si="748"/>
        <v>4.5977844950697415</v>
      </c>
      <c r="BB388" s="34">
        <f t="shared" si="767"/>
        <v>1.5242875108303129</v>
      </c>
      <c r="BC388" s="35">
        <f t="shared" si="768"/>
        <v>0.49594566666136325</v>
      </c>
      <c r="BE388" s="31">
        <f t="shared" si="769"/>
        <v>-16.464810485805913</v>
      </c>
      <c r="BF388" s="25">
        <f t="shared" si="770"/>
        <v>3.3916980731038495</v>
      </c>
      <c r="BG388" s="32">
        <f t="shared" si="771"/>
        <v>19.856508558909763</v>
      </c>
      <c r="BH388" s="33">
        <f t="shared" si="772"/>
        <v>-1.205996787878475</v>
      </c>
      <c r="BJ388" s="31">
        <f t="shared" si="749"/>
        <v>-22.958198072112506</v>
      </c>
      <c r="BK388" s="25">
        <f t="shared" si="750"/>
        <v>3.8724191400000003</v>
      </c>
      <c r="BL388" s="32">
        <f t="shared" si="751"/>
        <v>26.830617212112507</v>
      </c>
      <c r="BM388" s="33">
        <f t="shared" si="752"/>
        <v>-1.1686726078343168</v>
      </c>
      <c r="BO388" s="62"/>
      <c r="BP388" s="62"/>
      <c r="BQ388" s="62"/>
      <c r="BR388" s="63"/>
    </row>
    <row r="389" spans="1:70">
      <c r="A389" s="1"/>
      <c r="B389" s="1284"/>
      <c r="D389" s="4" t="s">
        <v>724</v>
      </c>
      <c r="E389" s="88">
        <f t="shared" ref="E389:L389" si="777">E388-SUM(E377:E380)</f>
        <v>0.4961086524201832</v>
      </c>
      <c r="F389" s="88">
        <f t="shared" si="777"/>
        <v>0.4967511648796652</v>
      </c>
      <c r="G389" s="88">
        <f t="shared" si="777"/>
        <v>20.378307790154501</v>
      </c>
      <c r="H389" s="88">
        <f t="shared" si="777"/>
        <v>12.347443407498481</v>
      </c>
      <c r="I389" s="88">
        <f t="shared" si="777"/>
        <v>18.718286606365815</v>
      </c>
      <c r="J389" s="88">
        <f t="shared" si="777"/>
        <v>18.911100717517591</v>
      </c>
      <c r="K389" s="88">
        <f t="shared" si="777"/>
        <v>11.313323787619778</v>
      </c>
      <c r="L389" s="88">
        <f t="shared" si="777"/>
        <v>0</v>
      </c>
      <c r="M389" s="1"/>
      <c r="N389" s="81">
        <f t="shared" ref="N389:U389" si="778">N388-SUM(N377:N380)</f>
        <v>1.4427317870644742</v>
      </c>
      <c r="O389" s="81">
        <f t="shared" si="778"/>
        <v>2.8854635741289449</v>
      </c>
      <c r="P389" s="81">
        <f t="shared" si="778"/>
        <v>0.84159354245427664</v>
      </c>
      <c r="Q389" s="81">
        <f t="shared" si="778"/>
        <v>5.0495612547256563</v>
      </c>
      <c r="R389" s="81">
        <f t="shared" si="778"/>
        <v>1.5629594359865127</v>
      </c>
      <c r="S389" s="81">
        <f t="shared" si="778"/>
        <v>7.4541142331664467</v>
      </c>
      <c r="T389" s="81">
        <f t="shared" si="778"/>
        <v>0</v>
      </c>
      <c r="U389" s="81">
        <f t="shared" si="778"/>
        <v>0</v>
      </c>
      <c r="V389" s="1"/>
      <c r="W389" s="85">
        <f t="shared" ref="W389:AD389" si="779">W388-SUM(W377:W380)</f>
        <v>0</v>
      </c>
      <c r="X389" s="85">
        <f t="shared" si="779"/>
        <v>0.19752693866603299</v>
      </c>
      <c r="Y389" s="85">
        <f t="shared" si="779"/>
        <v>2.5466901654371654E-2</v>
      </c>
      <c r="Z389" s="85">
        <f>Z388-SUM(Z377:Z380)</f>
        <v>10.46900374954474</v>
      </c>
      <c r="AA389" s="85">
        <f>AA388-SUM(AA377:AA380)</f>
        <v>-0.27382168435374155</v>
      </c>
      <c r="AB389" s="85">
        <f t="shared" si="779"/>
        <v>0.26855675949627233</v>
      </c>
      <c r="AC389" s="85">
        <f t="shared" ref="AC389" si="780">AC388-SUM(AC377:AC380)</f>
        <v>3.4004191400000003</v>
      </c>
      <c r="AD389" s="91">
        <f t="shared" si="779"/>
        <v>0</v>
      </c>
      <c r="AE389" s="1"/>
      <c r="AF389" s="81">
        <f t="shared" si="753"/>
        <v>1.4427317870644742</v>
      </c>
      <c r="AG389" s="85">
        <f t="shared" si="754"/>
        <v>0</v>
      </c>
      <c r="AH389" s="34">
        <f>AG389-AF389</f>
        <v>-1.4427317870644742</v>
      </c>
      <c r="AI389" s="35">
        <f>AH389/AF389</f>
        <v>-1</v>
      </c>
      <c r="AK389" s="81">
        <f t="shared" si="745"/>
        <v>2.8854635741289449</v>
      </c>
      <c r="AL389" s="85">
        <f t="shared" si="746"/>
        <v>0.19752693866603299</v>
      </c>
      <c r="AM389" s="34">
        <f>IF(AL389&gt;0,AL389-AK389,"")</f>
        <v>-2.6879366354629122</v>
      </c>
      <c r="AN389" s="35">
        <f>IF(AL389&gt;0,AM389/AK389,"")</f>
        <v>-0.93154412329545289</v>
      </c>
      <c r="AP389" s="81">
        <f t="shared" si="759"/>
        <v>0.84159354245427664</v>
      </c>
      <c r="AQ389" s="85">
        <f>Y389</f>
        <v>2.5466901654371654E-2</v>
      </c>
      <c r="AR389" s="34">
        <f t="shared" si="761"/>
        <v>-0.81612664079990505</v>
      </c>
      <c r="AS389" s="35">
        <f t="shared" si="762"/>
        <v>-0.96973966603866235</v>
      </c>
      <c r="AU389" s="949">
        <f t="shared" si="763"/>
        <v>5.0495612547256563</v>
      </c>
      <c r="AV389" s="843">
        <f t="shared" si="764"/>
        <v>10.46900374954474</v>
      </c>
      <c r="AW389" s="34">
        <f t="shared" si="765"/>
        <v>5.4194424948190836</v>
      </c>
      <c r="AX389" s="35">
        <f t="shared" si="766"/>
        <v>1.0732501739130844</v>
      </c>
      <c r="AZ389" s="949">
        <f t="shared" si="747"/>
        <v>1.5629594359865127</v>
      </c>
      <c r="BA389" s="843">
        <f t="shared" si="748"/>
        <v>-0.27382168435374155</v>
      </c>
      <c r="BB389" s="34">
        <f t="shared" si="767"/>
        <v>-1.8367811203402542</v>
      </c>
      <c r="BC389" s="35">
        <f t="shared" si="768"/>
        <v>-1.1751943640053013</v>
      </c>
      <c r="BE389" s="31">
        <f t="shared" si="769"/>
        <v>7.4541142331664467</v>
      </c>
      <c r="BF389" s="25">
        <f t="shared" si="770"/>
        <v>0.26855675949627233</v>
      </c>
      <c r="BG389" s="32">
        <f t="shared" si="771"/>
        <v>-7.1855574736701744</v>
      </c>
      <c r="BH389" s="33">
        <f t="shared" si="772"/>
        <v>-0.96397200913539105</v>
      </c>
      <c r="BJ389" s="31">
        <f t="shared" si="749"/>
        <v>0</v>
      </c>
      <c r="BK389" s="25">
        <f t="shared" si="750"/>
        <v>3.4004191400000003</v>
      </c>
      <c r="BL389" s="32">
        <f t="shared" si="751"/>
        <v>3.4004191400000003</v>
      </c>
      <c r="BM389" s="33" t="e">
        <f t="shared" si="752"/>
        <v>#DIV/0!</v>
      </c>
      <c r="BO389" s="62"/>
      <c r="BP389" s="62"/>
      <c r="BQ389" s="62"/>
      <c r="BR389" s="63"/>
    </row>
    <row r="390" spans="1:70" ht="14.5" customHeight="1">
      <c r="B390" s="1284"/>
    </row>
    <row r="391" spans="1:70" ht="14.5" customHeight="1">
      <c r="B391" s="1284"/>
      <c r="D391" s="1" t="s">
        <v>70</v>
      </c>
    </row>
    <row r="392" spans="1:70" ht="14.5" customHeight="1">
      <c r="B392" s="1284"/>
      <c r="E392" s="1300" t="s">
        <v>733</v>
      </c>
      <c r="F392" s="1301"/>
      <c r="G392" s="1301"/>
      <c r="H392" s="1301"/>
      <c r="I392" s="1301"/>
      <c r="J392" s="1301"/>
      <c r="K392" s="1301"/>
      <c r="L392" s="1302"/>
      <c r="N392" s="245" t="s">
        <v>291</v>
      </c>
      <c r="O392" s="246"/>
      <c r="P392" s="246"/>
      <c r="Q392" s="246"/>
      <c r="R392" s="246"/>
      <c r="S392" s="246"/>
      <c r="T392" s="246"/>
      <c r="U392" s="247"/>
      <c r="W392" s="1079" t="s">
        <v>292</v>
      </c>
      <c r="X392" s="1080"/>
      <c r="Y392" s="1080"/>
      <c r="Z392" s="1080"/>
      <c r="AA392" s="1080"/>
      <c r="AB392" s="1080"/>
      <c r="AC392" s="1080"/>
      <c r="AD392" s="1081"/>
      <c r="AF392" s="102" t="s">
        <v>297</v>
      </c>
      <c r="AG392" s="102" t="s">
        <v>298</v>
      </c>
      <c r="AH392" s="1304" t="s">
        <v>602</v>
      </c>
      <c r="AI392" s="1304"/>
      <c r="AK392" s="102" t="s">
        <v>297</v>
      </c>
      <c r="AL392" s="102" t="s">
        <v>298</v>
      </c>
      <c r="AM392" s="1304" t="s">
        <v>602</v>
      </c>
      <c r="AN392" s="1304"/>
      <c r="AP392" s="6" t="s">
        <v>297</v>
      </c>
      <c r="AQ392" s="5" t="s">
        <v>298</v>
      </c>
      <c r="AR392" s="1303" t="s">
        <v>602</v>
      </c>
      <c r="AS392" s="1303"/>
      <c r="AU392" s="6" t="s">
        <v>297</v>
      </c>
      <c r="AV392" s="5" t="s">
        <v>298</v>
      </c>
      <c r="AW392" s="1303" t="s">
        <v>602</v>
      </c>
      <c r="AX392" s="1303"/>
      <c r="AZ392" s="6" t="s">
        <v>297</v>
      </c>
      <c r="BA392" s="5" t="s">
        <v>298</v>
      </c>
      <c r="BB392" s="1303" t="s">
        <v>602</v>
      </c>
      <c r="BC392" s="1303"/>
      <c r="BE392" s="6" t="s">
        <v>297</v>
      </c>
      <c r="BF392" s="5" t="s">
        <v>298</v>
      </c>
      <c r="BG392" s="1082" t="s">
        <v>602</v>
      </c>
      <c r="BH392" s="1082"/>
      <c r="BJ392" s="6" t="s">
        <v>297</v>
      </c>
      <c r="BK392" s="5" t="s">
        <v>298</v>
      </c>
      <c r="BL392" s="1082" t="s">
        <v>602</v>
      </c>
      <c r="BM392" s="1082"/>
      <c r="BO392" s="6" t="s">
        <v>297</v>
      </c>
      <c r="BP392" s="5" t="s">
        <v>298</v>
      </c>
      <c r="BQ392" s="1303" t="s">
        <v>602</v>
      </c>
      <c r="BR392" s="1303"/>
    </row>
    <row r="393" spans="1:70" ht="14.5" customHeight="1">
      <c r="A393" s="1"/>
      <c r="B393" s="1284"/>
      <c r="E393" s="196" t="s">
        <v>137</v>
      </c>
      <c r="F393" s="102" t="s">
        <v>138</v>
      </c>
      <c r="G393" s="102" t="s">
        <v>139</v>
      </c>
      <c r="H393" s="102" t="s">
        <v>140</v>
      </c>
      <c r="I393" s="102" t="s">
        <v>141</v>
      </c>
      <c r="J393" s="102" t="s">
        <v>126</v>
      </c>
      <c r="K393" s="102" t="s">
        <v>142</v>
      </c>
      <c r="L393" s="197" t="s">
        <v>143</v>
      </c>
      <c r="N393" s="196" t="s">
        <v>137</v>
      </c>
      <c r="O393" s="102" t="s">
        <v>138</v>
      </c>
      <c r="P393" s="102" t="s">
        <v>139</v>
      </c>
      <c r="Q393" s="102" t="s">
        <v>140</v>
      </c>
      <c r="R393" s="102" t="s">
        <v>141</v>
      </c>
      <c r="S393" s="102" t="s">
        <v>126</v>
      </c>
      <c r="T393" s="102" t="s">
        <v>142</v>
      </c>
      <c r="U393" s="197" t="s">
        <v>143</v>
      </c>
      <c r="W393" s="196" t="s">
        <v>137</v>
      </c>
      <c r="X393" s="1078" t="s">
        <v>138</v>
      </c>
      <c r="Y393" s="1078" t="s">
        <v>139</v>
      </c>
      <c r="Z393" s="1078" t="s">
        <v>140</v>
      </c>
      <c r="AA393" s="1078" t="s">
        <v>141</v>
      </c>
      <c r="AB393" s="1078" t="s">
        <v>126</v>
      </c>
      <c r="AC393" s="1078" t="s">
        <v>142</v>
      </c>
      <c r="AD393" s="197" t="s">
        <v>143</v>
      </c>
      <c r="AF393" s="102" t="s">
        <v>734</v>
      </c>
      <c r="AG393" s="102" t="s">
        <v>734</v>
      </c>
      <c r="AH393" s="102" t="s">
        <v>734</v>
      </c>
      <c r="AI393" s="102" t="s">
        <v>606</v>
      </c>
      <c r="AK393" s="102" t="s">
        <v>734</v>
      </c>
      <c r="AL393" s="102" t="s">
        <v>734</v>
      </c>
      <c r="AM393" s="102" t="s">
        <v>734</v>
      </c>
      <c r="AN393" s="102" t="s">
        <v>606</v>
      </c>
      <c r="AP393" s="5" t="s">
        <v>734</v>
      </c>
      <c r="AQ393" s="5" t="s">
        <v>734</v>
      </c>
      <c r="AR393" s="5" t="s">
        <v>734</v>
      </c>
      <c r="AS393" s="5" t="s">
        <v>606</v>
      </c>
      <c r="AU393" s="5" t="s">
        <v>734</v>
      </c>
      <c r="AV393" s="5" t="s">
        <v>734</v>
      </c>
      <c r="AW393" s="5" t="s">
        <v>734</v>
      </c>
      <c r="AX393" s="5" t="s">
        <v>606</v>
      </c>
      <c r="AZ393" s="5" t="s">
        <v>734</v>
      </c>
      <c r="BA393" s="5" t="s">
        <v>734</v>
      </c>
      <c r="BB393" s="5" t="s">
        <v>734</v>
      </c>
      <c r="BC393" s="5" t="s">
        <v>606</v>
      </c>
      <c r="BE393" s="5" t="s">
        <v>734</v>
      </c>
      <c r="BF393" s="5" t="s">
        <v>734</v>
      </c>
      <c r="BG393" s="5" t="s">
        <v>734</v>
      </c>
      <c r="BH393" s="5" t="s">
        <v>606</v>
      </c>
      <c r="BJ393" s="5" t="s">
        <v>734</v>
      </c>
      <c r="BK393" s="5" t="s">
        <v>734</v>
      </c>
      <c r="BL393" s="5" t="s">
        <v>734</v>
      </c>
      <c r="BM393" s="5" t="s">
        <v>606</v>
      </c>
      <c r="BO393" s="5" t="s">
        <v>734</v>
      </c>
      <c r="BP393" s="5" t="s">
        <v>734</v>
      </c>
      <c r="BQ393" s="5" t="s">
        <v>734</v>
      </c>
      <c r="BR393" s="5" t="s">
        <v>606</v>
      </c>
    </row>
    <row r="394" spans="1:70">
      <c r="B394" s="1284"/>
      <c r="D394" s="5" t="s">
        <v>161</v>
      </c>
      <c r="E394" s="87">
        <v>66.898469966839954</v>
      </c>
      <c r="F394" s="87">
        <v>57.997389770409036</v>
      </c>
      <c r="G394" s="87">
        <v>67.109083777342491</v>
      </c>
      <c r="H394" s="87">
        <v>58.974171357315178</v>
      </c>
      <c r="I394" s="87">
        <v>72.483611202632105</v>
      </c>
      <c r="J394" s="87">
        <v>69.424874601273615</v>
      </c>
      <c r="K394" s="87">
        <v>70.393661715430113</v>
      </c>
      <c r="L394" s="87">
        <v>66.673772542825375</v>
      </c>
      <c r="N394" s="29">
        <v>67.251776708403227</v>
      </c>
      <c r="O394" s="29">
        <v>59.290447641441745</v>
      </c>
      <c r="P394" s="29">
        <v>64.888352641310348</v>
      </c>
      <c r="Q394" s="29">
        <v>60.675850424381331</v>
      </c>
      <c r="R394" s="29">
        <v>66.043443153902118</v>
      </c>
      <c r="S394" s="29">
        <v>65.175455456065393</v>
      </c>
      <c r="T394" s="29">
        <v>64.865031225860463</v>
      </c>
      <c r="U394" s="29">
        <v>62.572452339917746</v>
      </c>
      <c r="W394" s="30">
        <v>52.291666930154854</v>
      </c>
      <c r="X394" s="30">
        <v>52.310977999350619</v>
      </c>
      <c r="Y394" s="30">
        <v>57.732937123012668</v>
      </c>
      <c r="Z394" s="30">
        <v>50.745649874597326</v>
      </c>
      <c r="AA394" s="30">
        <v>37.410231464549533</v>
      </c>
      <c r="AB394" s="85">
        <v>32.928579218244629</v>
      </c>
      <c r="AC394" s="85">
        <v>27.265076452012245</v>
      </c>
      <c r="AD394" s="90">
        <v>0</v>
      </c>
      <c r="AF394" s="29">
        <f>N394</f>
        <v>67.251776708403227</v>
      </c>
      <c r="AG394" s="30">
        <f>W394</f>
        <v>52.291666930154854</v>
      </c>
      <c r="AH394" s="32">
        <f>IF(AG394&gt;0,AG394-AF394,"")</f>
        <v>-14.960109778248373</v>
      </c>
      <c r="AI394" s="33">
        <f>IF(AG394&gt;0,AH394/AF394,"")</f>
        <v>-0.22244928699971553</v>
      </c>
      <c r="AK394" s="29">
        <f t="shared" ref="AK394:AK409" si="781">O394</f>
        <v>59.290447641441745</v>
      </c>
      <c r="AL394" s="30">
        <f t="shared" ref="AL394:AL409" si="782">X394</f>
        <v>52.310977999350619</v>
      </c>
      <c r="AM394" s="32">
        <f>IF(AL394&gt;0,AL394-AK394,"")</f>
        <v>-6.9794696420911251</v>
      </c>
      <c r="AN394" s="33">
        <f>IF(AL394&gt;0,AM394/AK394,"")</f>
        <v>-0.11771659550117385</v>
      </c>
      <c r="AP394" s="29">
        <f>P394</f>
        <v>64.888352641310348</v>
      </c>
      <c r="AQ394" s="30">
        <f>Y394</f>
        <v>57.732937123012668</v>
      </c>
      <c r="AR394" s="32">
        <f>AQ394-AP394</f>
        <v>-7.15541551829768</v>
      </c>
      <c r="AS394" s="33">
        <f>AR394/AP394</f>
        <v>-0.11027272579797742</v>
      </c>
      <c r="AU394" s="31">
        <f>Q394</f>
        <v>60.675850424381331</v>
      </c>
      <c r="AV394" s="25">
        <f>Z394</f>
        <v>50.745649874597326</v>
      </c>
      <c r="AW394" s="32">
        <f>AV394-AU394</f>
        <v>-9.9302005497840042</v>
      </c>
      <c r="AX394" s="33">
        <f>AW394/AU394</f>
        <v>-0.1636598495172267</v>
      </c>
      <c r="AZ394" s="31">
        <f t="shared" ref="AZ394:AZ409" si="783">R394</f>
        <v>66.043443153902118</v>
      </c>
      <c r="BA394" s="25">
        <f t="shared" ref="BA394:BA409" si="784">AA394</f>
        <v>37.410231464549533</v>
      </c>
      <c r="BB394" s="32">
        <f>BA394-AZ394</f>
        <v>-28.633211689352585</v>
      </c>
      <c r="BC394" s="33">
        <f>BB394/AZ394</f>
        <v>-0.43355116453616965</v>
      </c>
      <c r="BE394" s="31">
        <f>S394</f>
        <v>65.175455456065393</v>
      </c>
      <c r="BF394" s="25">
        <f>AB394</f>
        <v>32.928579218244629</v>
      </c>
      <c r="BG394" s="32">
        <f>BF394-BE394</f>
        <v>-32.246876237820764</v>
      </c>
      <c r="BH394" s="33">
        <f>BG394/BE394</f>
        <v>-0.49477024766721117</v>
      </c>
      <c r="BJ394" s="31">
        <f t="shared" ref="BJ394:BJ409" si="785">T394</f>
        <v>64.865031225860463</v>
      </c>
      <c r="BK394" s="25">
        <f t="shared" ref="BK394:BK409" si="786">AC394</f>
        <v>27.265076452012245</v>
      </c>
      <c r="BL394" s="32">
        <f t="shared" ref="BL394:BL409" si="787">BK394-BJ394</f>
        <v>-37.599954773848218</v>
      </c>
      <c r="BM394" s="33">
        <f t="shared" ref="BM394:BM409" si="788">BL394/BJ394</f>
        <v>-0.57966448274610294</v>
      </c>
      <c r="BO394" s="62"/>
      <c r="BP394" s="62"/>
      <c r="BQ394" s="62"/>
      <c r="BR394" s="63"/>
    </row>
    <row r="395" spans="1:70">
      <c r="B395" s="1284"/>
      <c r="D395" s="5" t="s">
        <v>162</v>
      </c>
      <c r="E395" s="87">
        <v>52.165114941677615</v>
      </c>
      <c r="F395" s="87">
        <v>56.30821770499557</v>
      </c>
      <c r="G395" s="87">
        <v>55.681448569341526</v>
      </c>
      <c r="H395" s="87">
        <v>55.791786077911979</v>
      </c>
      <c r="I395" s="87">
        <v>51.966561819214029</v>
      </c>
      <c r="J395" s="87">
        <v>45.03909135286213</v>
      </c>
      <c r="K395" s="87">
        <v>37.751265590004415</v>
      </c>
      <c r="L395" s="87">
        <v>36.816913341394041</v>
      </c>
      <c r="N395" s="29">
        <v>55.917582788486378</v>
      </c>
      <c r="O395" s="29">
        <v>55.705265635314575</v>
      </c>
      <c r="P395" s="29">
        <v>50.122554982920946</v>
      </c>
      <c r="Q395" s="29">
        <v>49.395201447847981</v>
      </c>
      <c r="R395" s="29">
        <v>45.997457365445861</v>
      </c>
      <c r="S395" s="29">
        <v>39.401313160542671</v>
      </c>
      <c r="T395" s="29">
        <v>33.946404889638742</v>
      </c>
      <c r="U395" s="29">
        <v>33.618376065651653</v>
      </c>
      <c r="W395" s="30">
        <v>51.829084834989722</v>
      </c>
      <c r="X395" s="30">
        <v>56.911839331501376</v>
      </c>
      <c r="Y395" s="30">
        <v>45.380260979128686</v>
      </c>
      <c r="Z395" s="30">
        <v>45.659641504776637</v>
      </c>
      <c r="AA395" s="30">
        <v>55.903144617139048</v>
      </c>
      <c r="AB395" s="85">
        <v>57.126926596041564</v>
      </c>
      <c r="AC395" s="85">
        <v>35.474261869999999</v>
      </c>
      <c r="AD395" s="90">
        <v>0</v>
      </c>
      <c r="AF395" s="29">
        <f t="shared" ref="AF395:AF409" si="789">N395</f>
        <v>55.917582788486378</v>
      </c>
      <c r="AG395" s="30">
        <f t="shared" ref="AG395:AG409" si="790">W395</f>
        <v>51.829084834989722</v>
      </c>
      <c r="AH395" s="32">
        <f t="shared" ref="AH395:AH409" si="791">IF(AG395&gt;0,AG395-AF395,"")</f>
        <v>-4.0884979534966561</v>
      </c>
      <c r="AI395" s="33">
        <f t="shared" ref="AI395:AI409" si="792">IF(AG395&gt;0,AH395/AF395,"")</f>
        <v>-7.3116500206416149E-2</v>
      </c>
      <c r="AK395" s="29">
        <f t="shared" si="781"/>
        <v>55.705265635314575</v>
      </c>
      <c r="AL395" s="30">
        <f t="shared" si="782"/>
        <v>56.911839331501376</v>
      </c>
      <c r="AM395" s="32">
        <f t="shared" ref="AM395:AM409" si="793">IF(AL395&gt;0,AL395-AK395,"")</f>
        <v>1.2065736961868012</v>
      </c>
      <c r="AN395" s="33">
        <f t="shared" ref="AN395:AN409" si="794">IF(AL395&gt;0,AM395/AK395,"")</f>
        <v>2.1659957679510445E-2</v>
      </c>
      <c r="AP395" s="29">
        <f t="shared" ref="AP395:AP409" si="795">P395</f>
        <v>50.122554982920946</v>
      </c>
      <c r="AQ395" s="30">
        <f t="shared" ref="AQ395:AQ408" si="796">Y395</f>
        <v>45.380260979128686</v>
      </c>
      <c r="AR395" s="32">
        <f t="shared" ref="AR395:AR409" si="797">AQ395-AP395</f>
        <v>-4.7422940037922601</v>
      </c>
      <c r="AS395" s="33">
        <f t="shared" ref="AS395:AS409" si="798">AR395/AP395</f>
        <v>-9.4613971801879956E-2</v>
      </c>
      <c r="AU395" s="31">
        <f t="shared" ref="AU395:AU409" si="799">Q395</f>
        <v>49.395201447847981</v>
      </c>
      <c r="AV395" s="25">
        <f t="shared" ref="AV395:AV409" si="800">Z395</f>
        <v>45.659641504776637</v>
      </c>
      <c r="AW395" s="32">
        <f t="shared" ref="AW395:AW409" si="801">AV395-AU395</f>
        <v>-3.735559943071344</v>
      </c>
      <c r="AX395" s="33">
        <f t="shared" ref="AX395:AX409" si="802">AW395/AU395</f>
        <v>-7.5625968385115122E-2</v>
      </c>
      <c r="AZ395" s="31">
        <f t="shared" si="783"/>
        <v>45.997457365445861</v>
      </c>
      <c r="BA395" s="25">
        <f t="shared" si="784"/>
        <v>55.903144617139048</v>
      </c>
      <c r="BB395" s="32">
        <f t="shared" ref="BB395:BB409" si="803">BA395-AZ395</f>
        <v>9.9056872516931875</v>
      </c>
      <c r="BC395" s="33">
        <f t="shared" ref="BC395:BC409" si="804">BB395/AZ395</f>
        <v>0.21535293077165876</v>
      </c>
      <c r="BE395" s="31">
        <f t="shared" ref="BE395:BE409" si="805">S395</f>
        <v>39.401313160542671</v>
      </c>
      <c r="BF395" s="25">
        <f t="shared" ref="BF395:BF409" si="806">AB395</f>
        <v>57.126926596041564</v>
      </c>
      <c r="BG395" s="32">
        <f t="shared" ref="BG395:BG409" si="807">BF395-BE395</f>
        <v>17.725613435498893</v>
      </c>
      <c r="BH395" s="33">
        <f t="shared" ref="BH395:BH409" si="808">BG395/BE395</f>
        <v>0.44987367205948114</v>
      </c>
      <c r="BJ395" s="31">
        <f t="shared" si="785"/>
        <v>33.946404889638742</v>
      </c>
      <c r="BK395" s="25">
        <f t="shared" si="786"/>
        <v>35.474261869999999</v>
      </c>
      <c r="BL395" s="32">
        <f t="shared" si="787"/>
        <v>1.5278569803612569</v>
      </c>
      <c r="BM395" s="33">
        <f t="shared" si="788"/>
        <v>4.5007917195602515E-2</v>
      </c>
      <c r="BO395" s="62"/>
      <c r="BP395" s="62"/>
      <c r="BQ395" s="62"/>
      <c r="BR395" s="63"/>
    </row>
    <row r="396" spans="1:70">
      <c r="B396" s="1284"/>
      <c r="D396" s="5" t="s">
        <v>163</v>
      </c>
      <c r="E396" s="87">
        <v>77.887947813024027</v>
      </c>
      <c r="F396" s="87">
        <v>73.962197104762581</v>
      </c>
      <c r="G396" s="87">
        <v>74.083798373896144</v>
      </c>
      <c r="H396" s="87">
        <v>76.11475455849002</v>
      </c>
      <c r="I396" s="87">
        <v>61.200287498265538</v>
      </c>
      <c r="J396" s="87">
        <v>57.69723805263208</v>
      </c>
      <c r="K396" s="87">
        <v>46.031006101588332</v>
      </c>
      <c r="L396" s="87">
        <v>52.136616096088161</v>
      </c>
      <c r="N396" s="29">
        <v>72.137257304125967</v>
      </c>
      <c r="O396" s="29">
        <v>69.34109828578886</v>
      </c>
      <c r="P396" s="29">
        <v>66.36186352535104</v>
      </c>
      <c r="Q396" s="29">
        <v>65.670882790027306</v>
      </c>
      <c r="R396" s="29">
        <v>53.375869265508065</v>
      </c>
      <c r="S396" s="29">
        <v>50.679897821975125</v>
      </c>
      <c r="T396" s="29">
        <v>41.436597988157899</v>
      </c>
      <c r="U396" s="29">
        <v>46.599237907423934</v>
      </c>
      <c r="W396" s="30">
        <v>58.859298451905175</v>
      </c>
      <c r="X396" s="30">
        <v>49.657453361363814</v>
      </c>
      <c r="Y396" s="30">
        <v>47.015159389177398</v>
      </c>
      <c r="Z396" s="30">
        <v>64.334070185695069</v>
      </c>
      <c r="AA396" s="30">
        <v>80.070466825478519</v>
      </c>
      <c r="AB396" s="85">
        <v>78.771285917098709</v>
      </c>
      <c r="AC396" s="85">
        <v>68.964270679999984</v>
      </c>
      <c r="AD396" s="90">
        <v>0</v>
      </c>
      <c r="AF396" s="29">
        <f t="shared" si="789"/>
        <v>72.137257304125967</v>
      </c>
      <c r="AG396" s="30">
        <f t="shared" si="790"/>
        <v>58.859298451905175</v>
      </c>
      <c r="AH396" s="32">
        <f t="shared" si="791"/>
        <v>-13.277958852220792</v>
      </c>
      <c r="AI396" s="33">
        <f t="shared" si="792"/>
        <v>-0.18406520220531514</v>
      </c>
      <c r="AK396" s="29">
        <f t="shared" si="781"/>
        <v>69.34109828578886</v>
      </c>
      <c r="AL396" s="30">
        <f t="shared" si="782"/>
        <v>49.657453361363814</v>
      </c>
      <c r="AM396" s="32">
        <f t="shared" si="793"/>
        <v>-19.683644924425046</v>
      </c>
      <c r="AN396" s="33">
        <f t="shared" si="794"/>
        <v>-0.28386693333438473</v>
      </c>
      <c r="AP396" s="29">
        <f t="shared" si="795"/>
        <v>66.36186352535104</v>
      </c>
      <c r="AQ396" s="30">
        <f t="shared" si="796"/>
        <v>47.015159389177398</v>
      </c>
      <c r="AR396" s="32">
        <f t="shared" si="797"/>
        <v>-19.346704136173642</v>
      </c>
      <c r="AS396" s="33">
        <f t="shared" si="798"/>
        <v>-0.2915334667897469</v>
      </c>
      <c r="AU396" s="31">
        <f t="shared" si="799"/>
        <v>65.670882790027306</v>
      </c>
      <c r="AV396" s="25">
        <f t="shared" si="800"/>
        <v>64.334070185695069</v>
      </c>
      <c r="AW396" s="32">
        <f t="shared" si="801"/>
        <v>-1.3368126043322377</v>
      </c>
      <c r="AX396" s="33">
        <f t="shared" si="802"/>
        <v>-2.0356245379044065E-2</v>
      </c>
      <c r="AZ396" s="31">
        <f t="shared" si="783"/>
        <v>53.375869265508065</v>
      </c>
      <c r="BA396" s="25">
        <f t="shared" si="784"/>
        <v>80.070466825478519</v>
      </c>
      <c r="BB396" s="32">
        <f t="shared" si="803"/>
        <v>26.694597559970454</v>
      </c>
      <c r="BC396" s="33">
        <f t="shared" si="804"/>
        <v>0.50012483032703936</v>
      </c>
      <c r="BE396" s="31">
        <f t="shared" si="805"/>
        <v>50.679897821975125</v>
      </c>
      <c r="BF396" s="25">
        <f t="shared" si="806"/>
        <v>78.771285917098709</v>
      </c>
      <c r="BG396" s="32">
        <f t="shared" si="807"/>
        <v>28.091388095123584</v>
      </c>
      <c r="BH396" s="33">
        <f t="shared" si="808"/>
        <v>0.55429054324065707</v>
      </c>
      <c r="BJ396" s="31">
        <f t="shared" si="785"/>
        <v>41.436597988157899</v>
      </c>
      <c r="BK396" s="25">
        <f t="shared" si="786"/>
        <v>68.964270679999984</v>
      </c>
      <c r="BL396" s="32">
        <f t="shared" si="787"/>
        <v>27.527672691842085</v>
      </c>
      <c r="BM396" s="33">
        <f t="shared" si="788"/>
        <v>0.66433235420796788</v>
      </c>
      <c r="BO396" s="62"/>
      <c r="BP396" s="62"/>
      <c r="BQ396" s="62"/>
      <c r="BR396" s="63"/>
    </row>
    <row r="397" spans="1:70">
      <c r="B397" s="1284"/>
      <c r="D397" s="5" t="s">
        <v>164</v>
      </c>
      <c r="E397" s="87">
        <v>71.286618800905572</v>
      </c>
      <c r="F397" s="87">
        <v>72.798333867427019</v>
      </c>
      <c r="G397" s="87">
        <v>72.06344268394632</v>
      </c>
      <c r="H397" s="87">
        <v>73.257466616910946</v>
      </c>
      <c r="I397" s="87">
        <v>73.60690678390813</v>
      </c>
      <c r="J397" s="87">
        <v>74.186036861031852</v>
      </c>
      <c r="K397" s="87">
        <v>74.820285436626136</v>
      </c>
      <c r="L397" s="87">
        <v>74.894585362079241</v>
      </c>
      <c r="N397" s="29">
        <v>71.286618800905572</v>
      </c>
      <c r="O397" s="29">
        <v>72.798333867427019</v>
      </c>
      <c r="P397" s="29">
        <v>72.06344268394632</v>
      </c>
      <c r="Q397" s="29">
        <v>73.257466616910946</v>
      </c>
      <c r="R397" s="29">
        <v>73.60690678390813</v>
      </c>
      <c r="S397" s="29">
        <v>74.186036861031852</v>
      </c>
      <c r="T397" s="29">
        <v>74.820285436626136</v>
      </c>
      <c r="U397" s="29">
        <v>74.894585362079241</v>
      </c>
      <c r="W397" s="30">
        <v>68.294571194104066</v>
      </c>
      <c r="X397" s="30">
        <v>74.463766380117121</v>
      </c>
      <c r="Y397" s="30">
        <v>62.065555801213499</v>
      </c>
      <c r="Z397" s="30">
        <v>41.637212358987391</v>
      </c>
      <c r="AA397" s="30">
        <v>53.17559843725271</v>
      </c>
      <c r="AB397" s="85">
        <v>63.70283797774735</v>
      </c>
      <c r="AC397" s="85">
        <v>66.489800000000002</v>
      </c>
      <c r="AD397" s="90">
        <v>0</v>
      </c>
      <c r="AF397" s="29">
        <f t="shared" si="789"/>
        <v>71.286618800905572</v>
      </c>
      <c r="AG397" s="30">
        <f t="shared" si="790"/>
        <v>68.294571194104066</v>
      </c>
      <c r="AH397" s="32">
        <f t="shared" si="791"/>
        <v>-2.9920476068015063</v>
      </c>
      <c r="AI397" s="33">
        <f t="shared" si="792"/>
        <v>-4.1972079152160564E-2</v>
      </c>
      <c r="AK397" s="29">
        <f t="shared" si="781"/>
        <v>72.798333867427019</v>
      </c>
      <c r="AL397" s="30">
        <f t="shared" si="782"/>
        <v>74.463766380117121</v>
      </c>
      <c r="AM397" s="32">
        <f t="shared" si="793"/>
        <v>1.6654325126901028</v>
      </c>
      <c r="AN397" s="33">
        <f t="shared" si="794"/>
        <v>2.2877343810134728E-2</v>
      </c>
      <c r="AP397" s="29">
        <f t="shared" si="795"/>
        <v>72.06344268394632</v>
      </c>
      <c r="AQ397" s="30">
        <f t="shared" si="796"/>
        <v>62.065555801213499</v>
      </c>
      <c r="AR397" s="32">
        <f t="shared" si="797"/>
        <v>-9.9978868827328213</v>
      </c>
      <c r="AS397" s="33">
        <f t="shared" si="798"/>
        <v>-0.1387372918968256</v>
      </c>
      <c r="AU397" s="31">
        <f t="shared" si="799"/>
        <v>73.257466616910946</v>
      </c>
      <c r="AV397" s="25">
        <f t="shared" si="800"/>
        <v>41.637212358987391</v>
      </c>
      <c r="AW397" s="32">
        <f t="shared" si="801"/>
        <v>-31.620254257923555</v>
      </c>
      <c r="AX397" s="33">
        <f t="shared" si="802"/>
        <v>-0.43163182837425956</v>
      </c>
      <c r="AZ397" s="31">
        <f t="shared" si="783"/>
        <v>73.60690678390813</v>
      </c>
      <c r="BA397" s="25">
        <f t="shared" si="784"/>
        <v>53.17559843725271</v>
      </c>
      <c r="BB397" s="32">
        <f t="shared" si="803"/>
        <v>-20.43130834665542</v>
      </c>
      <c r="BC397" s="33">
        <f t="shared" si="804"/>
        <v>-0.27757325011138889</v>
      </c>
      <c r="BE397" s="31">
        <f t="shared" si="805"/>
        <v>74.186036861031852</v>
      </c>
      <c r="BF397" s="25">
        <f t="shared" si="806"/>
        <v>63.70283797774735</v>
      </c>
      <c r="BG397" s="32">
        <f t="shared" si="807"/>
        <v>-10.483198883284501</v>
      </c>
      <c r="BH397" s="33">
        <f t="shared" si="808"/>
        <v>-0.14130959580604144</v>
      </c>
      <c r="BJ397" s="31">
        <f t="shared" si="785"/>
        <v>74.820285436626136</v>
      </c>
      <c r="BK397" s="25">
        <f t="shared" si="786"/>
        <v>66.489800000000002</v>
      </c>
      <c r="BL397" s="32">
        <f t="shared" si="787"/>
        <v>-8.3304854366261338</v>
      </c>
      <c r="BM397" s="33">
        <f t="shared" si="788"/>
        <v>-0.11133993125009094</v>
      </c>
      <c r="BO397" s="62"/>
      <c r="BP397" s="62"/>
      <c r="BQ397" s="62"/>
      <c r="BR397" s="63"/>
    </row>
    <row r="398" spans="1:70">
      <c r="B398" s="1284"/>
      <c r="D398" s="5" t="s">
        <v>165</v>
      </c>
      <c r="E398" s="87">
        <v>59.910211084057067</v>
      </c>
      <c r="F398" s="87">
        <v>60.415367875080442</v>
      </c>
      <c r="G398" s="87">
        <v>60.606424237144182</v>
      </c>
      <c r="H398" s="87">
        <v>61.217244191626193</v>
      </c>
      <c r="I398" s="87">
        <v>61.547323624521567</v>
      </c>
      <c r="J398" s="87">
        <v>63.214034128471994</v>
      </c>
      <c r="K398" s="87">
        <v>63.893025876589796</v>
      </c>
      <c r="L398" s="87">
        <v>64.398718827966817</v>
      </c>
      <c r="N398" s="29">
        <v>59.910211084057067</v>
      </c>
      <c r="O398" s="29">
        <v>60.415367875080442</v>
      </c>
      <c r="P398" s="29">
        <v>60.606424237144182</v>
      </c>
      <c r="Q398" s="29">
        <v>61.217244191626193</v>
      </c>
      <c r="R398" s="29">
        <v>61.547323624521567</v>
      </c>
      <c r="S398" s="29">
        <v>63.214034128471994</v>
      </c>
      <c r="T398" s="29">
        <v>63.893025876589796</v>
      </c>
      <c r="U398" s="29">
        <v>64.398718827966817</v>
      </c>
      <c r="W398" s="30">
        <v>61.391796152378468</v>
      </c>
      <c r="X398" s="30">
        <v>70.042136426005314</v>
      </c>
      <c r="Y398" s="30">
        <v>54.098037542741565</v>
      </c>
      <c r="Z398" s="30">
        <v>39.850712850325444</v>
      </c>
      <c r="AA398" s="30">
        <v>51.253677855918973</v>
      </c>
      <c r="AB398" s="85">
        <v>63.253078549939332</v>
      </c>
      <c r="AC398" s="85">
        <v>68.771299999999997</v>
      </c>
      <c r="AD398" s="90">
        <v>0</v>
      </c>
      <c r="AF398" s="29">
        <f t="shared" si="789"/>
        <v>59.910211084057067</v>
      </c>
      <c r="AG398" s="30">
        <f t="shared" si="790"/>
        <v>61.391796152378468</v>
      </c>
      <c r="AH398" s="32">
        <f t="shared" si="791"/>
        <v>1.4815850683214009</v>
      </c>
      <c r="AI398" s="33">
        <f t="shared" si="792"/>
        <v>2.4730092608798555E-2</v>
      </c>
      <c r="AK398" s="29">
        <f t="shared" si="781"/>
        <v>60.415367875080442</v>
      </c>
      <c r="AL398" s="30">
        <f t="shared" si="782"/>
        <v>70.042136426005314</v>
      </c>
      <c r="AM398" s="32">
        <f t="shared" si="793"/>
        <v>9.6267685509248722</v>
      </c>
      <c r="AN398" s="33">
        <f t="shared" si="794"/>
        <v>0.15934304283026024</v>
      </c>
      <c r="AP398" s="29">
        <f t="shared" si="795"/>
        <v>60.606424237144182</v>
      </c>
      <c r="AQ398" s="30">
        <f t="shared" si="796"/>
        <v>54.098037542741565</v>
      </c>
      <c r="AR398" s="32">
        <f t="shared" si="797"/>
        <v>-6.508386694402617</v>
      </c>
      <c r="AS398" s="33">
        <f t="shared" si="798"/>
        <v>-0.10738773614058206</v>
      </c>
      <c r="AU398" s="31">
        <f t="shared" si="799"/>
        <v>61.217244191626193</v>
      </c>
      <c r="AV398" s="25">
        <f t="shared" si="800"/>
        <v>39.850712850325444</v>
      </c>
      <c r="AW398" s="32">
        <f t="shared" si="801"/>
        <v>-21.36653134130075</v>
      </c>
      <c r="AX398" s="33">
        <f t="shared" si="802"/>
        <v>-0.3490279842460377</v>
      </c>
      <c r="AZ398" s="31">
        <f t="shared" si="783"/>
        <v>61.547323624521567</v>
      </c>
      <c r="BA398" s="25">
        <f t="shared" si="784"/>
        <v>51.253677855918973</v>
      </c>
      <c r="BB398" s="32">
        <f t="shared" si="803"/>
        <v>-10.293645768602595</v>
      </c>
      <c r="BC398" s="33">
        <f t="shared" si="804"/>
        <v>-0.16724765858870619</v>
      </c>
      <c r="BE398" s="31">
        <f t="shared" si="805"/>
        <v>63.214034128471994</v>
      </c>
      <c r="BF398" s="25">
        <f t="shared" si="806"/>
        <v>63.253078549939332</v>
      </c>
      <c r="BG398" s="32">
        <f t="shared" si="807"/>
        <v>3.9044421467337997E-2</v>
      </c>
      <c r="BH398" s="33">
        <f t="shared" si="808"/>
        <v>6.1765432321542267E-4</v>
      </c>
      <c r="BJ398" s="31">
        <f t="shared" si="785"/>
        <v>63.893025876589796</v>
      </c>
      <c r="BK398" s="25">
        <f t="shared" si="786"/>
        <v>68.771299999999997</v>
      </c>
      <c r="BL398" s="32">
        <f t="shared" si="787"/>
        <v>4.8782741234102005</v>
      </c>
      <c r="BM398" s="33">
        <f t="shared" si="788"/>
        <v>7.6350651052787044E-2</v>
      </c>
      <c r="BO398" s="62"/>
      <c r="BP398" s="62"/>
      <c r="BQ398" s="62"/>
      <c r="BR398" s="63"/>
    </row>
    <row r="399" spans="1:70">
      <c r="B399" s="1284"/>
      <c r="D399" s="5" t="s">
        <v>166</v>
      </c>
      <c r="E399" s="87">
        <v>40.191391266387257</v>
      </c>
      <c r="F399" s="87">
        <v>41.774342838365534</v>
      </c>
      <c r="G399" s="87">
        <v>41.682677980415278</v>
      </c>
      <c r="H399" s="87">
        <v>43.736417281126556</v>
      </c>
      <c r="I399" s="87">
        <v>43.773821045484624</v>
      </c>
      <c r="J399" s="87">
        <v>43.564278623978531</v>
      </c>
      <c r="K399" s="87">
        <v>44.632886863608789</v>
      </c>
      <c r="L399" s="87">
        <v>44.729366755320576</v>
      </c>
      <c r="N399" s="29">
        <v>40.191391266387257</v>
      </c>
      <c r="O399" s="29">
        <v>41.774342838365534</v>
      </c>
      <c r="P399" s="29">
        <v>41.682677980415278</v>
      </c>
      <c r="Q399" s="29">
        <v>43.736417281126556</v>
      </c>
      <c r="R399" s="29">
        <v>43.773821045484624</v>
      </c>
      <c r="S399" s="29">
        <v>43.564278623978531</v>
      </c>
      <c r="T399" s="29">
        <v>44.632886863608789</v>
      </c>
      <c r="U399" s="29">
        <v>44.729366755320576</v>
      </c>
      <c r="W399" s="30">
        <v>37.303746288251695</v>
      </c>
      <c r="X399" s="30">
        <v>38.445259893128849</v>
      </c>
      <c r="Y399" s="30">
        <v>37.045966126122188</v>
      </c>
      <c r="Z399" s="30">
        <v>34.133716728083925</v>
      </c>
      <c r="AA399" s="30">
        <v>29.351255936857029</v>
      </c>
      <c r="AB399" s="85">
        <v>32.548535524379012</v>
      </c>
      <c r="AC399" s="85">
        <v>37.414400000000008</v>
      </c>
      <c r="AD399" s="90">
        <v>0</v>
      </c>
      <c r="AF399" s="29">
        <f t="shared" si="789"/>
        <v>40.191391266387257</v>
      </c>
      <c r="AG399" s="30">
        <f t="shared" si="790"/>
        <v>37.303746288251695</v>
      </c>
      <c r="AH399" s="32">
        <f t="shared" si="791"/>
        <v>-2.8876449781355618</v>
      </c>
      <c r="AI399" s="33">
        <f t="shared" si="792"/>
        <v>-7.1847350568094132E-2</v>
      </c>
      <c r="AK399" s="29">
        <f t="shared" si="781"/>
        <v>41.774342838365534</v>
      </c>
      <c r="AL399" s="30">
        <f t="shared" si="782"/>
        <v>38.445259893128849</v>
      </c>
      <c r="AM399" s="32">
        <f t="shared" si="793"/>
        <v>-3.329082945236685</v>
      </c>
      <c r="AN399" s="33">
        <f t="shared" si="794"/>
        <v>-7.9692048253581546E-2</v>
      </c>
      <c r="AP399" s="29">
        <f t="shared" si="795"/>
        <v>41.682677980415278</v>
      </c>
      <c r="AQ399" s="30">
        <f t="shared" si="796"/>
        <v>37.045966126122188</v>
      </c>
      <c r="AR399" s="32">
        <f t="shared" si="797"/>
        <v>-4.6367118542930896</v>
      </c>
      <c r="AS399" s="33">
        <f t="shared" si="798"/>
        <v>-0.11123833877640159</v>
      </c>
      <c r="AU399" s="31">
        <f t="shared" si="799"/>
        <v>43.736417281126556</v>
      </c>
      <c r="AV399" s="25">
        <f t="shared" si="800"/>
        <v>34.133716728083925</v>
      </c>
      <c r="AW399" s="32">
        <f t="shared" si="801"/>
        <v>-9.6027005530426308</v>
      </c>
      <c r="AX399" s="33">
        <f t="shared" si="802"/>
        <v>-0.21955846294676851</v>
      </c>
      <c r="AZ399" s="31">
        <f t="shared" si="783"/>
        <v>43.773821045484624</v>
      </c>
      <c r="BA399" s="25">
        <f t="shared" si="784"/>
        <v>29.351255936857029</v>
      </c>
      <c r="BB399" s="32">
        <f t="shared" si="803"/>
        <v>-14.422565108627595</v>
      </c>
      <c r="BC399" s="33">
        <f t="shared" si="804"/>
        <v>-0.32947923585746275</v>
      </c>
      <c r="BE399" s="31">
        <f t="shared" si="805"/>
        <v>43.564278623978531</v>
      </c>
      <c r="BF399" s="25">
        <f t="shared" si="806"/>
        <v>32.548535524379012</v>
      </c>
      <c r="BG399" s="32">
        <f t="shared" si="807"/>
        <v>-11.015743099599518</v>
      </c>
      <c r="BH399" s="33">
        <f t="shared" si="808"/>
        <v>-0.25286182733980272</v>
      </c>
      <c r="BJ399" s="31">
        <f t="shared" si="785"/>
        <v>44.632886863608789</v>
      </c>
      <c r="BK399" s="25">
        <f t="shared" si="786"/>
        <v>37.414400000000008</v>
      </c>
      <c r="BL399" s="32">
        <f t="shared" si="787"/>
        <v>-7.2184868636087813</v>
      </c>
      <c r="BM399" s="33">
        <f t="shared" si="788"/>
        <v>-0.16173022564431835</v>
      </c>
      <c r="BO399" s="62"/>
      <c r="BP399" s="62"/>
      <c r="BQ399" s="62"/>
      <c r="BR399" s="63"/>
    </row>
    <row r="400" spans="1:70">
      <c r="B400" s="1284"/>
      <c r="D400" s="5" t="s">
        <v>167</v>
      </c>
      <c r="E400" s="87">
        <v>63.57258907565739</v>
      </c>
      <c r="F400" s="87">
        <v>63.849115567503233</v>
      </c>
      <c r="G400" s="87">
        <v>64.108505206399315</v>
      </c>
      <c r="H400" s="87">
        <v>64.322075754378758</v>
      </c>
      <c r="I400" s="87">
        <v>65.580225318966455</v>
      </c>
      <c r="J400" s="87">
        <v>66.459185715245496</v>
      </c>
      <c r="K400" s="87">
        <v>66.755725395883516</v>
      </c>
      <c r="L400" s="87">
        <v>67.176434737826597</v>
      </c>
      <c r="N400" s="29">
        <v>63.57258907565739</v>
      </c>
      <c r="O400" s="29">
        <v>63.849115567503233</v>
      </c>
      <c r="P400" s="29">
        <v>64.108505206399315</v>
      </c>
      <c r="Q400" s="29">
        <v>64.322075754378758</v>
      </c>
      <c r="R400" s="29">
        <v>65.580225318966455</v>
      </c>
      <c r="S400" s="29">
        <v>66.459185715245496</v>
      </c>
      <c r="T400" s="29">
        <v>66.755725395883516</v>
      </c>
      <c r="U400" s="29">
        <v>67.176434737826597</v>
      </c>
      <c r="W400" s="30">
        <v>50.899885129493939</v>
      </c>
      <c r="X400" s="30">
        <v>66.566220505524697</v>
      </c>
      <c r="Y400" s="30">
        <v>62.593569562180811</v>
      </c>
      <c r="Z400" s="30">
        <v>57.368204897143741</v>
      </c>
      <c r="AA400" s="30">
        <v>55.096448430027316</v>
      </c>
      <c r="AB400" s="85">
        <v>54.288353473367181</v>
      </c>
      <c r="AC400" s="85">
        <v>56.602799999999995</v>
      </c>
      <c r="AD400" s="90">
        <v>0</v>
      </c>
      <c r="AF400" s="29">
        <f t="shared" si="789"/>
        <v>63.57258907565739</v>
      </c>
      <c r="AG400" s="30">
        <f t="shared" si="790"/>
        <v>50.899885129493939</v>
      </c>
      <c r="AH400" s="32">
        <f t="shared" si="791"/>
        <v>-12.672703946163452</v>
      </c>
      <c r="AI400" s="33">
        <f t="shared" si="792"/>
        <v>-0.19934226575358974</v>
      </c>
      <c r="AK400" s="29">
        <f t="shared" si="781"/>
        <v>63.849115567503233</v>
      </c>
      <c r="AL400" s="30">
        <f t="shared" si="782"/>
        <v>66.566220505524697</v>
      </c>
      <c r="AM400" s="32">
        <f t="shared" si="793"/>
        <v>2.717104938021464</v>
      </c>
      <c r="AN400" s="33">
        <f t="shared" si="794"/>
        <v>4.2555091231433861E-2</v>
      </c>
      <c r="AP400" s="29">
        <f t="shared" si="795"/>
        <v>64.108505206399315</v>
      </c>
      <c r="AQ400" s="30">
        <f t="shared" si="796"/>
        <v>62.593569562180811</v>
      </c>
      <c r="AR400" s="32">
        <f t="shared" si="797"/>
        <v>-1.5149356442185038</v>
      </c>
      <c r="AS400" s="33">
        <f t="shared" si="798"/>
        <v>-2.363080591789064E-2</v>
      </c>
      <c r="AU400" s="31">
        <f t="shared" si="799"/>
        <v>64.322075754378758</v>
      </c>
      <c r="AV400" s="25">
        <f t="shared" si="800"/>
        <v>57.368204897143741</v>
      </c>
      <c r="AW400" s="32">
        <f t="shared" si="801"/>
        <v>-6.9538708572350174</v>
      </c>
      <c r="AX400" s="33">
        <f t="shared" si="802"/>
        <v>-0.10811017486110325</v>
      </c>
      <c r="AZ400" s="31">
        <f t="shared" si="783"/>
        <v>65.580225318966455</v>
      </c>
      <c r="BA400" s="25">
        <f t="shared" si="784"/>
        <v>55.096448430027316</v>
      </c>
      <c r="BB400" s="32">
        <f t="shared" si="803"/>
        <v>-10.48377688893914</v>
      </c>
      <c r="BC400" s="33">
        <f t="shared" si="804"/>
        <v>-0.1598618613758731</v>
      </c>
      <c r="BE400" s="31">
        <f t="shared" si="805"/>
        <v>66.459185715245496</v>
      </c>
      <c r="BF400" s="25">
        <f t="shared" si="806"/>
        <v>54.288353473367181</v>
      </c>
      <c r="BG400" s="32">
        <f t="shared" si="807"/>
        <v>-12.170832241878315</v>
      </c>
      <c r="BH400" s="33">
        <f t="shared" si="808"/>
        <v>-0.18313243099345364</v>
      </c>
      <c r="BJ400" s="31">
        <f t="shared" si="785"/>
        <v>66.755725395883516</v>
      </c>
      <c r="BK400" s="25">
        <f t="shared" si="786"/>
        <v>56.602799999999995</v>
      </c>
      <c r="BL400" s="32">
        <f t="shared" si="787"/>
        <v>-10.152925395883521</v>
      </c>
      <c r="BM400" s="33">
        <f t="shared" si="788"/>
        <v>-0.15209070586340448</v>
      </c>
      <c r="BO400" s="62"/>
      <c r="BP400" s="62"/>
      <c r="BQ400" s="62"/>
      <c r="BR400" s="63"/>
    </row>
    <row r="401" spans="1:70">
      <c r="B401" s="1284"/>
      <c r="D401" s="5" t="s">
        <v>168</v>
      </c>
      <c r="E401" s="87">
        <v>61.819932487844696</v>
      </c>
      <c r="F401" s="87">
        <v>64.710062344214748</v>
      </c>
      <c r="G401" s="87">
        <v>48.761201997180663</v>
      </c>
      <c r="H401" s="87">
        <v>47.225049165139609</v>
      </c>
      <c r="I401" s="87">
        <v>49.640169407901546</v>
      </c>
      <c r="J401" s="87">
        <v>50.384147071677525</v>
      </c>
      <c r="K401" s="87">
        <v>46.017727252275151</v>
      </c>
      <c r="L401" s="87">
        <v>42.850181071050471</v>
      </c>
      <c r="N401" s="29">
        <v>53.013309470933997</v>
      </c>
      <c r="O401" s="29">
        <v>53.771286268446225</v>
      </c>
      <c r="P401" s="29">
        <v>41.524007267407143</v>
      </c>
      <c r="Q401" s="29">
        <v>38.463930561856571</v>
      </c>
      <c r="R401" s="29">
        <v>39.481355124372691</v>
      </c>
      <c r="S401" s="29">
        <v>38.896751079976852</v>
      </c>
      <c r="T401" s="29">
        <v>34.615647913035438</v>
      </c>
      <c r="U401" s="29">
        <v>32.01975427955891</v>
      </c>
      <c r="W401" s="30">
        <v>24.981319354881968</v>
      </c>
      <c r="X401" s="30">
        <v>27.902713023910874</v>
      </c>
      <c r="Y401" s="30">
        <v>30.401917669633228</v>
      </c>
      <c r="Z401" s="30">
        <v>30.277626449050654</v>
      </c>
      <c r="AA401" s="30">
        <v>19.557250851550581</v>
      </c>
      <c r="AB401" s="85">
        <v>31.056435302529263</v>
      </c>
      <c r="AC401" s="85">
        <v>42.611823432730262</v>
      </c>
      <c r="AD401" s="90">
        <v>0</v>
      </c>
      <c r="AF401" s="29">
        <f t="shared" si="789"/>
        <v>53.013309470933997</v>
      </c>
      <c r="AG401" s="30">
        <f t="shared" si="790"/>
        <v>24.981319354881968</v>
      </c>
      <c r="AH401" s="32">
        <f t="shared" si="791"/>
        <v>-28.031990116052029</v>
      </c>
      <c r="AI401" s="33">
        <f t="shared" si="792"/>
        <v>-0.52877268738374728</v>
      </c>
      <c r="AK401" s="29">
        <f t="shared" si="781"/>
        <v>53.771286268446225</v>
      </c>
      <c r="AL401" s="30">
        <f t="shared" si="782"/>
        <v>27.902713023910874</v>
      </c>
      <c r="AM401" s="32">
        <f t="shared" si="793"/>
        <v>-25.868573244535352</v>
      </c>
      <c r="AN401" s="33">
        <f t="shared" si="794"/>
        <v>-0.48108526017751985</v>
      </c>
      <c r="AP401" s="29">
        <f t="shared" si="795"/>
        <v>41.524007267407143</v>
      </c>
      <c r="AQ401" s="30">
        <f t="shared" si="796"/>
        <v>30.401917669633228</v>
      </c>
      <c r="AR401" s="32">
        <f t="shared" si="797"/>
        <v>-11.122089597773915</v>
      </c>
      <c r="AS401" s="33">
        <f t="shared" si="798"/>
        <v>-0.26784721248480803</v>
      </c>
      <c r="AU401" s="31">
        <f t="shared" si="799"/>
        <v>38.463930561856571</v>
      </c>
      <c r="AV401" s="25">
        <f t="shared" si="800"/>
        <v>30.277626449050654</v>
      </c>
      <c r="AW401" s="32">
        <f t="shared" si="801"/>
        <v>-8.1863041128059173</v>
      </c>
      <c r="AX401" s="33">
        <f t="shared" si="802"/>
        <v>-0.21283067001280437</v>
      </c>
      <c r="AZ401" s="31">
        <f t="shared" si="783"/>
        <v>39.481355124372691</v>
      </c>
      <c r="BA401" s="25">
        <f t="shared" si="784"/>
        <v>19.557250851550581</v>
      </c>
      <c r="BB401" s="32">
        <f t="shared" si="803"/>
        <v>-19.92410427282211</v>
      </c>
      <c r="BC401" s="33">
        <f t="shared" si="804"/>
        <v>-0.50464590716448154</v>
      </c>
      <c r="BE401" s="31">
        <f t="shared" si="805"/>
        <v>38.896751079976852</v>
      </c>
      <c r="BF401" s="25">
        <f t="shared" si="806"/>
        <v>31.056435302529263</v>
      </c>
      <c r="BG401" s="32">
        <f t="shared" si="807"/>
        <v>-7.8403157774475893</v>
      </c>
      <c r="BH401" s="33">
        <f t="shared" si="808"/>
        <v>-0.20156736898994124</v>
      </c>
      <c r="BJ401" s="31">
        <f t="shared" si="785"/>
        <v>34.615647913035438</v>
      </c>
      <c r="BK401" s="25">
        <f t="shared" si="786"/>
        <v>42.611823432730262</v>
      </c>
      <c r="BL401" s="32">
        <f t="shared" si="787"/>
        <v>7.9961755196948232</v>
      </c>
      <c r="BM401" s="33">
        <f t="shared" si="788"/>
        <v>0.23099886906012965</v>
      </c>
      <c r="BO401" s="62"/>
      <c r="BP401" s="62"/>
      <c r="BQ401" s="62"/>
      <c r="BR401" s="63"/>
    </row>
    <row r="402" spans="1:70">
      <c r="B402" s="1284"/>
      <c r="D402" s="5" t="s">
        <v>169</v>
      </c>
      <c r="E402" s="87">
        <v>49.415040081163738</v>
      </c>
      <c r="F402" s="87">
        <v>60.712165038845882</v>
      </c>
      <c r="G402" s="87">
        <v>53.762860676988183</v>
      </c>
      <c r="H402" s="87">
        <v>54.492289026943965</v>
      </c>
      <c r="I402" s="87">
        <v>52.883397706184532</v>
      </c>
      <c r="J402" s="87">
        <v>49.460037945549658</v>
      </c>
      <c r="K402" s="87">
        <v>42.744741219883736</v>
      </c>
      <c r="L402" s="87">
        <v>45.679390277127538</v>
      </c>
      <c r="N402" s="29">
        <v>46.330536644380743</v>
      </c>
      <c r="O402" s="29">
        <v>54.854671933659709</v>
      </c>
      <c r="P402" s="29">
        <v>48.715868219220987</v>
      </c>
      <c r="Q402" s="29">
        <v>48.67368750513733</v>
      </c>
      <c r="R402" s="29">
        <v>47.382658890459467</v>
      </c>
      <c r="S402" s="29">
        <v>45.322283992304087</v>
      </c>
      <c r="T402" s="29">
        <v>40.687334030106619</v>
      </c>
      <c r="U402" s="29">
        <v>40.16700320495093</v>
      </c>
      <c r="W402" s="30">
        <v>18.954726083958683</v>
      </c>
      <c r="X402" s="30">
        <v>31.836152468180689</v>
      </c>
      <c r="Y402" s="30">
        <v>33.948678854891369</v>
      </c>
      <c r="Z402" s="30">
        <v>32.138970973128046</v>
      </c>
      <c r="AA402" s="30">
        <v>24.684181229242604</v>
      </c>
      <c r="AB402" s="85">
        <v>20.397371736967575</v>
      </c>
      <c r="AC402" s="85">
        <v>16.660359981309252</v>
      </c>
      <c r="AD402" s="90">
        <v>0</v>
      </c>
      <c r="AF402" s="29">
        <f t="shared" si="789"/>
        <v>46.330536644380743</v>
      </c>
      <c r="AG402" s="30">
        <f t="shared" si="790"/>
        <v>18.954726083958683</v>
      </c>
      <c r="AH402" s="32">
        <f t="shared" si="791"/>
        <v>-27.37581056042206</v>
      </c>
      <c r="AI402" s="33">
        <f t="shared" si="792"/>
        <v>-0.59088049790034902</v>
      </c>
      <c r="AK402" s="29">
        <f t="shared" si="781"/>
        <v>54.854671933659709</v>
      </c>
      <c r="AL402" s="30">
        <f t="shared" si="782"/>
        <v>31.836152468180689</v>
      </c>
      <c r="AM402" s="32">
        <f t="shared" si="793"/>
        <v>-23.01851946547902</v>
      </c>
      <c r="AN402" s="33">
        <f t="shared" si="794"/>
        <v>-0.41962732897787119</v>
      </c>
      <c r="AP402" s="29">
        <f t="shared" si="795"/>
        <v>48.715868219220987</v>
      </c>
      <c r="AQ402" s="30">
        <f t="shared" si="796"/>
        <v>33.948678854891369</v>
      </c>
      <c r="AR402" s="32">
        <f t="shared" si="797"/>
        <v>-14.767189364329617</v>
      </c>
      <c r="AS402" s="33">
        <f t="shared" si="798"/>
        <v>-0.30312893732853929</v>
      </c>
      <c r="AU402" s="31">
        <f t="shared" si="799"/>
        <v>48.67368750513733</v>
      </c>
      <c r="AV402" s="25">
        <f t="shared" si="800"/>
        <v>32.138970973128046</v>
      </c>
      <c r="AW402" s="32">
        <f t="shared" si="801"/>
        <v>-16.534716532009284</v>
      </c>
      <c r="AX402" s="33">
        <f t="shared" si="802"/>
        <v>-0.33970544208848169</v>
      </c>
      <c r="AZ402" s="31">
        <f t="shared" si="783"/>
        <v>47.382658890459467</v>
      </c>
      <c r="BA402" s="25">
        <f t="shared" si="784"/>
        <v>24.684181229242604</v>
      </c>
      <c r="BB402" s="32">
        <f t="shared" si="803"/>
        <v>-22.698477661216863</v>
      </c>
      <c r="BC402" s="33">
        <f t="shared" si="804"/>
        <v>-0.47904609392418918</v>
      </c>
      <c r="BE402" s="31">
        <f t="shared" si="805"/>
        <v>45.322283992304087</v>
      </c>
      <c r="BF402" s="25">
        <f t="shared" si="806"/>
        <v>20.397371736967575</v>
      </c>
      <c r="BG402" s="32">
        <f t="shared" si="807"/>
        <v>-24.924912255336512</v>
      </c>
      <c r="BH402" s="33">
        <f t="shared" si="808"/>
        <v>-0.54994828282636565</v>
      </c>
      <c r="BJ402" s="31">
        <f t="shared" si="785"/>
        <v>40.687334030106619</v>
      </c>
      <c r="BK402" s="25">
        <f t="shared" si="786"/>
        <v>16.660359981309252</v>
      </c>
      <c r="BL402" s="32">
        <f t="shared" si="787"/>
        <v>-24.026974048797367</v>
      </c>
      <c r="BM402" s="33">
        <f t="shared" si="788"/>
        <v>-0.59052711664565172</v>
      </c>
      <c r="BO402" s="62"/>
      <c r="BP402" s="62"/>
      <c r="BQ402" s="62"/>
      <c r="BR402" s="63"/>
    </row>
    <row r="403" spans="1:70">
      <c r="B403" s="1284"/>
      <c r="D403" s="5" t="s">
        <v>170</v>
      </c>
      <c r="E403" s="87">
        <v>69.211698947751472</v>
      </c>
      <c r="F403" s="87">
        <v>74.578871757032658</v>
      </c>
      <c r="G403" s="87">
        <v>85.211532160209018</v>
      </c>
      <c r="H403" s="87">
        <v>92.529704731005708</v>
      </c>
      <c r="I403" s="87">
        <v>90.066149431037132</v>
      </c>
      <c r="J403" s="87">
        <v>82.561981399644196</v>
      </c>
      <c r="K403" s="87">
        <v>79.75024757292023</v>
      </c>
      <c r="L403" s="87">
        <v>71.190854144631587</v>
      </c>
      <c r="N403" s="29">
        <v>60.92056433748013</v>
      </c>
      <c r="O403" s="29">
        <v>64.099034639529961</v>
      </c>
      <c r="P403" s="29">
        <v>69.649876870395744</v>
      </c>
      <c r="Q403" s="29">
        <v>73.589955617718715</v>
      </c>
      <c r="R403" s="29">
        <v>71.484588960348219</v>
      </c>
      <c r="S403" s="29">
        <v>64.776926067006102</v>
      </c>
      <c r="T403" s="29">
        <v>62.112260735894573</v>
      </c>
      <c r="U403" s="29">
        <v>56.257375523972321</v>
      </c>
      <c r="W403" s="30">
        <v>36.877134552272672</v>
      </c>
      <c r="X403" s="30">
        <v>36.166032849656141</v>
      </c>
      <c r="Y403" s="30">
        <v>37.200039340881375</v>
      </c>
      <c r="Z403" s="30">
        <v>41.372891282988725</v>
      </c>
      <c r="AA403" s="30">
        <v>33.501175910585488</v>
      </c>
      <c r="AB403" s="85">
        <v>41.141386236163861</v>
      </c>
      <c r="AC403" s="85">
        <v>31.027743763963421</v>
      </c>
      <c r="AD403" s="90">
        <v>0</v>
      </c>
      <c r="AF403" s="29">
        <f t="shared" si="789"/>
        <v>60.92056433748013</v>
      </c>
      <c r="AG403" s="30">
        <f t="shared" si="790"/>
        <v>36.877134552272672</v>
      </c>
      <c r="AH403" s="32">
        <f t="shared" si="791"/>
        <v>-24.043429785207458</v>
      </c>
      <c r="AI403" s="33">
        <f t="shared" si="792"/>
        <v>-0.3946685334694976</v>
      </c>
      <c r="AK403" s="29">
        <f t="shared" si="781"/>
        <v>64.099034639529961</v>
      </c>
      <c r="AL403" s="30">
        <f t="shared" si="782"/>
        <v>36.166032849656141</v>
      </c>
      <c r="AM403" s="32">
        <f t="shared" si="793"/>
        <v>-27.933001789873821</v>
      </c>
      <c r="AN403" s="33">
        <f t="shared" si="794"/>
        <v>-0.43577882173981292</v>
      </c>
      <c r="AP403" s="29">
        <f t="shared" si="795"/>
        <v>69.649876870395744</v>
      </c>
      <c r="AQ403" s="30">
        <f t="shared" si="796"/>
        <v>37.200039340881375</v>
      </c>
      <c r="AR403" s="32">
        <f t="shared" si="797"/>
        <v>-32.449837529514369</v>
      </c>
      <c r="AS403" s="33">
        <f t="shared" si="798"/>
        <v>-0.4658994241999439</v>
      </c>
      <c r="AU403" s="31">
        <f t="shared" si="799"/>
        <v>73.589955617718715</v>
      </c>
      <c r="AV403" s="25">
        <f t="shared" si="800"/>
        <v>41.372891282988725</v>
      </c>
      <c r="AW403" s="32">
        <f t="shared" si="801"/>
        <v>-32.21706433472999</v>
      </c>
      <c r="AX403" s="33">
        <f t="shared" si="802"/>
        <v>-0.43779159892539582</v>
      </c>
      <c r="AZ403" s="31">
        <f t="shared" si="783"/>
        <v>71.484588960348219</v>
      </c>
      <c r="BA403" s="25">
        <f t="shared" si="784"/>
        <v>33.501175910585488</v>
      </c>
      <c r="BB403" s="32">
        <f t="shared" si="803"/>
        <v>-37.983413049762731</v>
      </c>
      <c r="BC403" s="33">
        <f t="shared" si="804"/>
        <v>-0.53135107303801865</v>
      </c>
      <c r="BE403" s="31">
        <f t="shared" si="805"/>
        <v>64.776926067006102</v>
      </c>
      <c r="BF403" s="25">
        <f t="shared" si="806"/>
        <v>41.141386236163861</v>
      </c>
      <c r="BG403" s="32">
        <f t="shared" si="807"/>
        <v>-23.635539830842241</v>
      </c>
      <c r="BH403" s="33">
        <f t="shared" si="808"/>
        <v>-0.36487590977060763</v>
      </c>
      <c r="BJ403" s="31">
        <f t="shared" si="785"/>
        <v>62.112260735894573</v>
      </c>
      <c r="BK403" s="25">
        <f t="shared" si="786"/>
        <v>31.027743763963421</v>
      </c>
      <c r="BL403" s="32">
        <f t="shared" si="787"/>
        <v>-31.084516971931151</v>
      </c>
      <c r="BM403" s="33">
        <f t="shared" si="788"/>
        <v>-0.5004570209431688</v>
      </c>
      <c r="BO403" s="62"/>
      <c r="BP403" s="62"/>
      <c r="BQ403" s="62"/>
      <c r="BR403" s="63"/>
    </row>
    <row r="404" spans="1:70">
      <c r="B404" s="1284"/>
      <c r="D404" s="5" t="s">
        <v>171</v>
      </c>
      <c r="E404" s="87">
        <v>41.619614839669502</v>
      </c>
      <c r="F404" s="87">
        <v>43.162749280659177</v>
      </c>
      <c r="G404" s="87">
        <v>44.850346752807347</v>
      </c>
      <c r="H404" s="87">
        <v>43.916776723636069</v>
      </c>
      <c r="I404" s="87">
        <v>42.854523528832587</v>
      </c>
      <c r="J404" s="87">
        <v>41.886907221121945</v>
      </c>
      <c r="K404" s="87">
        <v>43.589192102017464</v>
      </c>
      <c r="L404" s="87">
        <v>41.556381290769735</v>
      </c>
      <c r="N404" s="29">
        <v>41.321341216241841</v>
      </c>
      <c r="O404" s="29">
        <v>41.695810976610126</v>
      </c>
      <c r="P404" s="29">
        <v>42.037715742626936</v>
      </c>
      <c r="Q404" s="29">
        <v>40.418985569163901</v>
      </c>
      <c r="R404" s="29">
        <v>39.055750152828729</v>
      </c>
      <c r="S404" s="29">
        <v>37.815947856889487</v>
      </c>
      <c r="T404" s="29">
        <v>34.910339017264619</v>
      </c>
      <c r="U404" s="29">
        <v>33.017136197109686</v>
      </c>
      <c r="W404" s="30">
        <v>43.781615060925688</v>
      </c>
      <c r="X404" s="30">
        <v>50.82513108192606</v>
      </c>
      <c r="Y404" s="30">
        <v>43.769394370157158</v>
      </c>
      <c r="Z404" s="30">
        <v>45.793010711288474</v>
      </c>
      <c r="AA404" s="30">
        <v>46.843020903789096</v>
      </c>
      <c r="AB404" s="85">
        <v>34.653768603787135</v>
      </c>
      <c r="AC404" s="85">
        <v>27.603440510962699</v>
      </c>
      <c r="AD404" s="90">
        <v>0</v>
      </c>
      <c r="AF404" s="29">
        <f t="shared" si="789"/>
        <v>41.321341216241841</v>
      </c>
      <c r="AG404" s="30">
        <f t="shared" si="790"/>
        <v>43.781615060925688</v>
      </c>
      <c r="AH404" s="32">
        <f t="shared" si="791"/>
        <v>2.4602738446838472</v>
      </c>
      <c r="AI404" s="33">
        <f t="shared" si="792"/>
        <v>5.9540028766462388E-2</v>
      </c>
      <c r="AK404" s="29">
        <f t="shared" si="781"/>
        <v>41.695810976610126</v>
      </c>
      <c r="AL404" s="30">
        <f t="shared" si="782"/>
        <v>50.82513108192606</v>
      </c>
      <c r="AM404" s="32">
        <f t="shared" si="793"/>
        <v>9.1293201053159336</v>
      </c>
      <c r="AN404" s="33">
        <f t="shared" si="794"/>
        <v>0.21895053463373476</v>
      </c>
      <c r="AP404" s="29">
        <f t="shared" si="795"/>
        <v>42.037715742626936</v>
      </c>
      <c r="AQ404" s="30">
        <f t="shared" si="796"/>
        <v>43.769394370157158</v>
      </c>
      <c r="AR404" s="32">
        <f t="shared" si="797"/>
        <v>1.7316786275302221</v>
      </c>
      <c r="AS404" s="33">
        <f t="shared" si="798"/>
        <v>4.1193452045118414E-2</v>
      </c>
      <c r="AU404" s="31">
        <f t="shared" si="799"/>
        <v>40.418985569163901</v>
      </c>
      <c r="AV404" s="25">
        <f t="shared" si="800"/>
        <v>45.793010711288474</v>
      </c>
      <c r="AW404" s="32">
        <f t="shared" si="801"/>
        <v>5.3740251421245731</v>
      </c>
      <c r="AX404" s="33">
        <f t="shared" si="802"/>
        <v>0.13295794207721229</v>
      </c>
      <c r="AZ404" s="31">
        <f t="shared" si="783"/>
        <v>39.055750152828729</v>
      </c>
      <c r="BA404" s="25">
        <f t="shared" si="784"/>
        <v>46.843020903789096</v>
      </c>
      <c r="BB404" s="32">
        <f t="shared" si="803"/>
        <v>7.7872707509603671</v>
      </c>
      <c r="BC404" s="33">
        <f t="shared" si="804"/>
        <v>0.19938858479194646</v>
      </c>
      <c r="BE404" s="31">
        <f t="shared" si="805"/>
        <v>37.815947856889487</v>
      </c>
      <c r="BF404" s="25">
        <f t="shared" si="806"/>
        <v>34.653768603787135</v>
      </c>
      <c r="BG404" s="32">
        <f t="shared" si="807"/>
        <v>-3.1621792531023516</v>
      </c>
      <c r="BH404" s="33">
        <f t="shared" si="808"/>
        <v>-8.3620256328607423E-2</v>
      </c>
      <c r="BJ404" s="31">
        <f t="shared" si="785"/>
        <v>34.910339017264619</v>
      </c>
      <c r="BK404" s="25">
        <f t="shared" si="786"/>
        <v>27.603440510962699</v>
      </c>
      <c r="BL404" s="32">
        <f t="shared" si="787"/>
        <v>-7.3068985063019198</v>
      </c>
      <c r="BM404" s="33">
        <f t="shared" si="788"/>
        <v>-0.20930471350302138</v>
      </c>
      <c r="BO404" s="62"/>
      <c r="BP404" s="62"/>
      <c r="BQ404" s="62"/>
      <c r="BR404" s="63"/>
    </row>
    <row r="405" spans="1:70">
      <c r="B405" s="1284"/>
      <c r="D405" s="5" t="s">
        <v>172</v>
      </c>
      <c r="E405" s="87">
        <v>73.854937308824745</v>
      </c>
      <c r="F405" s="87">
        <v>90.305490506909933</v>
      </c>
      <c r="G405" s="87">
        <v>81.977613074681543</v>
      </c>
      <c r="H405" s="87">
        <v>77.910469235993446</v>
      </c>
      <c r="I405" s="87">
        <v>78.114515385170066</v>
      </c>
      <c r="J405" s="87">
        <v>79.622485646098681</v>
      </c>
      <c r="K405" s="87">
        <v>73.426433476509004</v>
      </c>
      <c r="L405" s="87">
        <v>59.664325150083954</v>
      </c>
      <c r="N405" s="29">
        <v>66.432978636518172</v>
      </c>
      <c r="O405" s="29">
        <v>78.223192969473558</v>
      </c>
      <c r="P405" s="29">
        <v>69.489210578986075</v>
      </c>
      <c r="Q405" s="29">
        <v>65.179635005636612</v>
      </c>
      <c r="R405" s="29">
        <v>62.470812918765589</v>
      </c>
      <c r="S405" s="29">
        <v>63.273499326644838</v>
      </c>
      <c r="T405" s="29">
        <v>53.812173555979044</v>
      </c>
      <c r="U405" s="29">
        <v>43.73669394248892</v>
      </c>
      <c r="W405" s="30">
        <v>58.919001028675808</v>
      </c>
      <c r="X405" s="30">
        <v>55.897596014910491</v>
      </c>
      <c r="Y405" s="30">
        <v>63.469982908178693</v>
      </c>
      <c r="Z405" s="30">
        <v>70.43679451461297</v>
      </c>
      <c r="AA405" s="30">
        <v>56.593256495805569</v>
      </c>
      <c r="AB405" s="85">
        <v>40.221706252208072</v>
      </c>
      <c r="AC405" s="85">
        <v>39.66852908295553</v>
      </c>
      <c r="AD405" s="90">
        <v>0</v>
      </c>
      <c r="AF405" s="29">
        <f t="shared" si="789"/>
        <v>66.432978636518172</v>
      </c>
      <c r="AG405" s="30">
        <f t="shared" si="790"/>
        <v>58.919001028675808</v>
      </c>
      <c r="AH405" s="32">
        <f t="shared" si="791"/>
        <v>-7.5139776078423637</v>
      </c>
      <c r="AI405" s="33">
        <f t="shared" si="792"/>
        <v>-0.11310613737424584</v>
      </c>
      <c r="AK405" s="29">
        <f t="shared" si="781"/>
        <v>78.223192969473558</v>
      </c>
      <c r="AL405" s="30">
        <f t="shared" si="782"/>
        <v>55.897596014910491</v>
      </c>
      <c r="AM405" s="32">
        <f t="shared" si="793"/>
        <v>-22.325596954563068</v>
      </c>
      <c r="AN405" s="33">
        <f t="shared" si="794"/>
        <v>-0.28540891910760519</v>
      </c>
      <c r="AP405" s="29">
        <f t="shared" si="795"/>
        <v>69.489210578986075</v>
      </c>
      <c r="AQ405" s="30">
        <f t="shared" si="796"/>
        <v>63.469982908178693</v>
      </c>
      <c r="AR405" s="32">
        <f t="shared" si="797"/>
        <v>-6.019227670807382</v>
      </c>
      <c r="AS405" s="33">
        <f t="shared" si="798"/>
        <v>-8.6621039736313105E-2</v>
      </c>
      <c r="AU405" s="31">
        <f t="shared" si="799"/>
        <v>65.179635005636612</v>
      </c>
      <c r="AV405" s="25">
        <f t="shared" si="800"/>
        <v>70.43679451461297</v>
      </c>
      <c r="AW405" s="32">
        <f t="shared" si="801"/>
        <v>5.2571595089763576</v>
      </c>
      <c r="AX405" s="33">
        <f t="shared" si="802"/>
        <v>8.0656473582917859E-2</v>
      </c>
      <c r="AZ405" s="31">
        <f t="shared" si="783"/>
        <v>62.470812918765589</v>
      </c>
      <c r="BA405" s="25">
        <f t="shared" si="784"/>
        <v>56.593256495805569</v>
      </c>
      <c r="BB405" s="32">
        <f t="shared" si="803"/>
        <v>-5.8775564229600192</v>
      </c>
      <c r="BC405" s="33">
        <f t="shared" si="804"/>
        <v>-9.4084839757134997E-2</v>
      </c>
      <c r="BE405" s="31">
        <f t="shared" si="805"/>
        <v>63.273499326644838</v>
      </c>
      <c r="BF405" s="25">
        <f t="shared" si="806"/>
        <v>40.221706252208072</v>
      </c>
      <c r="BG405" s="32">
        <f t="shared" si="807"/>
        <v>-23.051793074436766</v>
      </c>
      <c r="BH405" s="33">
        <f t="shared" si="808"/>
        <v>-0.3643198703999847</v>
      </c>
      <c r="BJ405" s="31">
        <f t="shared" si="785"/>
        <v>53.812173555979044</v>
      </c>
      <c r="BK405" s="25">
        <f t="shared" si="786"/>
        <v>39.66852908295553</v>
      </c>
      <c r="BL405" s="32">
        <f t="shared" si="787"/>
        <v>-14.143644473023514</v>
      </c>
      <c r="BM405" s="33">
        <f t="shared" si="788"/>
        <v>-0.2628335474743525</v>
      </c>
      <c r="BO405" s="62"/>
      <c r="BP405" s="62"/>
      <c r="BQ405" s="62"/>
      <c r="BR405" s="63"/>
    </row>
    <row r="406" spans="1:70">
      <c r="B406" s="1284"/>
      <c r="D406" s="5" t="s">
        <v>28</v>
      </c>
      <c r="E406" s="87">
        <v>33.814284607057708</v>
      </c>
      <c r="F406" s="87">
        <v>33.715424706261487</v>
      </c>
      <c r="G406" s="87">
        <v>33.37574257713262</v>
      </c>
      <c r="H406" s="87">
        <v>33.940388268681232</v>
      </c>
      <c r="I406" s="87">
        <v>36.390245083527518</v>
      </c>
      <c r="J406" s="87">
        <v>36.940592470128294</v>
      </c>
      <c r="K406" s="87">
        <v>38.0009603456432</v>
      </c>
      <c r="L406" s="87">
        <v>37.919155354227016</v>
      </c>
      <c r="N406" s="29">
        <v>31.824570237888782</v>
      </c>
      <c r="O406" s="29">
        <v>31.337249999926399</v>
      </c>
      <c r="P406" s="29">
        <v>29.917860418334062</v>
      </c>
      <c r="Q406" s="29">
        <v>29.933980801036316</v>
      </c>
      <c r="R406" s="29">
        <v>30.588614507490266</v>
      </c>
      <c r="S406" s="29">
        <v>30.528646785473303</v>
      </c>
      <c r="T406" s="29">
        <v>30.826753160826225</v>
      </c>
      <c r="U406" s="29">
        <v>30.18228700889842</v>
      </c>
      <c r="W406" s="30">
        <v>26.013513674030971</v>
      </c>
      <c r="X406" s="30">
        <v>31.751144077473256</v>
      </c>
      <c r="Y406" s="30">
        <v>29.034583479472488</v>
      </c>
      <c r="Z406" s="30">
        <v>37.231583413319676</v>
      </c>
      <c r="AA406" s="30">
        <v>21.277447390728391</v>
      </c>
      <c r="AB406" s="85">
        <v>44.847492873884647</v>
      </c>
      <c r="AC406" s="85">
        <v>32.884969669999997</v>
      </c>
      <c r="AD406" s="90">
        <v>0</v>
      </c>
      <c r="AF406" s="29">
        <f t="shared" si="789"/>
        <v>31.824570237888782</v>
      </c>
      <c r="AG406" s="30">
        <f t="shared" si="790"/>
        <v>26.013513674030971</v>
      </c>
      <c r="AH406" s="32">
        <f t="shared" si="791"/>
        <v>-5.8110565638578109</v>
      </c>
      <c r="AI406" s="33">
        <f t="shared" si="792"/>
        <v>-0.1825965447583468</v>
      </c>
      <c r="AK406" s="29">
        <f t="shared" si="781"/>
        <v>31.337249999926399</v>
      </c>
      <c r="AL406" s="30">
        <f t="shared" si="782"/>
        <v>31.751144077473256</v>
      </c>
      <c r="AM406" s="32">
        <f t="shared" si="793"/>
        <v>0.41389407754685692</v>
      </c>
      <c r="AN406" s="33">
        <f t="shared" si="794"/>
        <v>1.3207734486843262E-2</v>
      </c>
      <c r="AP406" s="29">
        <f t="shared" si="795"/>
        <v>29.917860418334062</v>
      </c>
      <c r="AQ406" s="30">
        <f t="shared" si="796"/>
        <v>29.034583479472488</v>
      </c>
      <c r="AR406" s="32">
        <f t="shared" si="797"/>
        <v>-0.88327693886157377</v>
      </c>
      <c r="AS406" s="33">
        <f t="shared" si="798"/>
        <v>-2.9523399284271341E-2</v>
      </c>
      <c r="AU406" s="31">
        <f t="shared" si="799"/>
        <v>29.933980801036316</v>
      </c>
      <c r="AV406" s="25">
        <f t="shared" si="800"/>
        <v>37.231583413319676</v>
      </c>
      <c r="AW406" s="32">
        <f t="shared" si="801"/>
        <v>7.2976026122833595</v>
      </c>
      <c r="AX406" s="33">
        <f t="shared" si="802"/>
        <v>0.24378991423789234</v>
      </c>
      <c r="AZ406" s="31">
        <f t="shared" si="783"/>
        <v>30.588614507490266</v>
      </c>
      <c r="BA406" s="25">
        <f t="shared" si="784"/>
        <v>21.277447390728391</v>
      </c>
      <c r="BB406" s="32">
        <f t="shared" si="803"/>
        <v>-9.3111671167618759</v>
      </c>
      <c r="BC406" s="33">
        <f t="shared" si="804"/>
        <v>-0.30439976660210749</v>
      </c>
      <c r="BE406" s="31">
        <f t="shared" si="805"/>
        <v>30.528646785473303</v>
      </c>
      <c r="BF406" s="25">
        <f t="shared" si="806"/>
        <v>44.847492873884647</v>
      </c>
      <c r="BG406" s="32">
        <f t="shared" si="807"/>
        <v>14.318846088411345</v>
      </c>
      <c r="BH406" s="33">
        <f t="shared" si="808"/>
        <v>0.46902983250554031</v>
      </c>
      <c r="BJ406" s="31">
        <f t="shared" si="785"/>
        <v>30.826753160826225</v>
      </c>
      <c r="BK406" s="25">
        <f t="shared" si="786"/>
        <v>32.884969669999997</v>
      </c>
      <c r="BL406" s="32">
        <f t="shared" si="787"/>
        <v>2.0582165091737714</v>
      </c>
      <c r="BM406" s="33">
        <f t="shared" si="788"/>
        <v>6.6767216723598879E-2</v>
      </c>
      <c r="BO406" s="62"/>
      <c r="BP406" s="62"/>
      <c r="BQ406" s="62"/>
      <c r="BR406" s="63"/>
    </row>
    <row r="407" spans="1:70">
      <c r="B407" s="1284"/>
      <c r="D407" s="5" t="s">
        <v>173</v>
      </c>
      <c r="E407" s="87">
        <v>79.296364821309481</v>
      </c>
      <c r="F407" s="87">
        <v>82.751447729498921</v>
      </c>
      <c r="G407" s="87">
        <v>82.063338367506844</v>
      </c>
      <c r="H407" s="87">
        <v>78.360139137178308</v>
      </c>
      <c r="I407" s="87">
        <v>80.311205367863693</v>
      </c>
      <c r="J407" s="87">
        <v>76.278264382241574</v>
      </c>
      <c r="K407" s="87">
        <v>77.70367588514776</v>
      </c>
      <c r="L407" s="87">
        <v>76.133753735415368</v>
      </c>
      <c r="N407" s="29">
        <v>80.227778200758195</v>
      </c>
      <c r="O407" s="29">
        <v>80.840389726963309</v>
      </c>
      <c r="P407" s="29">
        <v>77.834202410518273</v>
      </c>
      <c r="Q407" s="29">
        <v>74.590070479668</v>
      </c>
      <c r="R407" s="29">
        <v>72.129504492819365</v>
      </c>
      <c r="S407" s="29">
        <v>67.768859629582096</v>
      </c>
      <c r="T407" s="29">
        <v>67.11899700828917</v>
      </c>
      <c r="U407" s="29">
        <v>67.436945377843458</v>
      </c>
      <c r="W407" s="30">
        <v>46.494433334179668</v>
      </c>
      <c r="X407" s="30">
        <v>53.609188119952144</v>
      </c>
      <c r="Y407" s="30">
        <v>73.448799151694445</v>
      </c>
      <c r="Z407" s="30">
        <v>50.150885872751132</v>
      </c>
      <c r="AA407" s="30">
        <v>72.382620481728296</v>
      </c>
      <c r="AB407" s="85">
        <v>79.273427783454537</v>
      </c>
      <c r="AC407" s="85">
        <v>53.848192209999993</v>
      </c>
      <c r="AD407" s="90">
        <v>0</v>
      </c>
      <c r="AF407" s="29">
        <f t="shared" si="789"/>
        <v>80.227778200758195</v>
      </c>
      <c r="AG407" s="30">
        <f t="shared" si="790"/>
        <v>46.494433334179668</v>
      </c>
      <c r="AH407" s="32">
        <f t="shared" si="791"/>
        <v>-33.733344866578527</v>
      </c>
      <c r="AI407" s="33">
        <f t="shared" si="792"/>
        <v>-0.42046963811169991</v>
      </c>
      <c r="AK407" s="29">
        <f t="shared" si="781"/>
        <v>80.840389726963309</v>
      </c>
      <c r="AL407" s="30">
        <f t="shared" si="782"/>
        <v>53.609188119952144</v>
      </c>
      <c r="AM407" s="32">
        <f t="shared" si="793"/>
        <v>-27.231201607011165</v>
      </c>
      <c r="AN407" s="33">
        <f t="shared" si="794"/>
        <v>-0.33685143897727321</v>
      </c>
      <c r="AP407" s="29">
        <f t="shared" si="795"/>
        <v>77.834202410518273</v>
      </c>
      <c r="AQ407" s="30">
        <f t="shared" si="796"/>
        <v>73.448799151694445</v>
      </c>
      <c r="AR407" s="32">
        <f t="shared" si="797"/>
        <v>-4.3854032588238283</v>
      </c>
      <c r="AS407" s="33">
        <f t="shared" si="798"/>
        <v>-5.634288170249431E-2</v>
      </c>
      <c r="AU407" s="31">
        <f t="shared" si="799"/>
        <v>74.590070479668</v>
      </c>
      <c r="AV407" s="25">
        <f t="shared" si="800"/>
        <v>50.150885872751132</v>
      </c>
      <c r="AW407" s="32">
        <f t="shared" si="801"/>
        <v>-24.439184606916868</v>
      </c>
      <c r="AX407" s="33">
        <f t="shared" si="802"/>
        <v>-0.32764662172532172</v>
      </c>
      <c r="AZ407" s="31">
        <f t="shared" si="783"/>
        <v>72.129504492819365</v>
      </c>
      <c r="BA407" s="25">
        <f t="shared" si="784"/>
        <v>72.382620481728296</v>
      </c>
      <c r="BB407" s="32">
        <f t="shared" si="803"/>
        <v>0.25311598890893094</v>
      </c>
      <c r="BC407" s="33">
        <f t="shared" si="804"/>
        <v>3.5091879625227308E-3</v>
      </c>
      <c r="BE407" s="31">
        <f t="shared" si="805"/>
        <v>67.768859629582096</v>
      </c>
      <c r="BF407" s="25">
        <f t="shared" si="806"/>
        <v>79.273427783454537</v>
      </c>
      <c r="BG407" s="32">
        <f t="shared" si="807"/>
        <v>11.504568153872441</v>
      </c>
      <c r="BH407" s="33">
        <f t="shared" si="808"/>
        <v>0.16976186727584433</v>
      </c>
      <c r="BJ407" s="31">
        <f t="shared" si="785"/>
        <v>67.11899700828917</v>
      </c>
      <c r="BK407" s="25">
        <f t="shared" si="786"/>
        <v>53.848192209999993</v>
      </c>
      <c r="BL407" s="32">
        <f t="shared" si="787"/>
        <v>-13.270804798289177</v>
      </c>
      <c r="BM407" s="33">
        <f t="shared" si="788"/>
        <v>-0.19772054693621596</v>
      </c>
      <c r="BO407" s="62"/>
      <c r="BP407" s="62"/>
      <c r="BQ407" s="62"/>
      <c r="BR407" s="63"/>
    </row>
    <row r="408" spans="1:70">
      <c r="B408" s="1284"/>
      <c r="D408" s="4" t="s">
        <v>174</v>
      </c>
      <c r="E408" s="88">
        <f t="shared" ref="E408:L408" si="809">SUM(E394:E407)</f>
        <v>840.94421604217018</v>
      </c>
      <c r="F408" s="88">
        <f t="shared" si="809"/>
        <v>877.04117609196624</v>
      </c>
      <c r="G408" s="88">
        <f t="shared" si="809"/>
        <v>865.33801643499146</v>
      </c>
      <c r="H408" s="88">
        <f t="shared" si="809"/>
        <v>861.78873212633789</v>
      </c>
      <c r="I408" s="88">
        <f t="shared" si="809"/>
        <v>860.41894320350957</v>
      </c>
      <c r="J408" s="88">
        <f t="shared" si="809"/>
        <v>836.71915547195761</v>
      </c>
      <c r="K408" s="88">
        <f t="shared" si="809"/>
        <v>805.51083483412765</v>
      </c>
      <c r="L408" s="88">
        <f t="shared" si="809"/>
        <v>781.82044868680646</v>
      </c>
      <c r="M408" s="1"/>
      <c r="N408" s="81">
        <f t="shared" ref="N408:U408" si="810">SUM(N394:N407)</f>
        <v>810.33850577222483</v>
      </c>
      <c r="O408" s="81">
        <f t="shared" si="810"/>
        <v>827.99560822553053</v>
      </c>
      <c r="P408" s="81">
        <f t="shared" si="810"/>
        <v>799.00256276497657</v>
      </c>
      <c r="Q408" s="81">
        <f t="shared" si="810"/>
        <v>789.12538404651639</v>
      </c>
      <c r="R408" s="81">
        <f t="shared" si="810"/>
        <v>772.51833160482113</v>
      </c>
      <c r="S408" s="81">
        <f t="shared" si="810"/>
        <v>751.06311650518774</v>
      </c>
      <c r="T408" s="81">
        <f t="shared" si="810"/>
        <v>714.43346309776109</v>
      </c>
      <c r="U408" s="81">
        <f t="shared" si="810"/>
        <v>696.80636753100941</v>
      </c>
      <c r="V408" s="1"/>
      <c r="W408" s="85">
        <f t="shared" ref="W408:AD408" si="811">SUM(W394:W407)</f>
        <v>636.89179207020334</v>
      </c>
      <c r="X408" s="85">
        <f t="shared" si="811"/>
        <v>696.38561153300134</v>
      </c>
      <c r="Y408" s="85">
        <f t="shared" si="811"/>
        <v>677.20488229848559</v>
      </c>
      <c r="Z408" s="85">
        <f>SUM(Z394:Z407)</f>
        <v>641.13097161674921</v>
      </c>
      <c r="AA408" s="85">
        <f>SUM(AA394:AA407)</f>
        <v>637.09977683065324</v>
      </c>
      <c r="AB408" s="85">
        <f t="shared" si="811"/>
        <v>674.21118604581284</v>
      </c>
      <c r="AC408" s="85">
        <f t="shared" ref="AC408" si="812">SUM(AC394:AC407)</f>
        <v>605.2869676539334</v>
      </c>
      <c r="AD408" s="91">
        <f t="shared" si="811"/>
        <v>0</v>
      </c>
      <c r="AE408" s="1"/>
      <c r="AF408" s="81">
        <f t="shared" si="789"/>
        <v>810.33850577222483</v>
      </c>
      <c r="AG408" s="85">
        <f t="shared" si="790"/>
        <v>636.89179207020334</v>
      </c>
      <c r="AH408" s="34">
        <f t="shared" si="791"/>
        <v>-173.4467137020215</v>
      </c>
      <c r="AI408" s="35">
        <f t="shared" si="792"/>
        <v>-0.21404229524639548</v>
      </c>
      <c r="AK408" s="81">
        <f t="shared" si="781"/>
        <v>827.99560822553053</v>
      </c>
      <c r="AL408" s="85">
        <f t="shared" si="782"/>
        <v>696.38561153300134</v>
      </c>
      <c r="AM408" s="34">
        <f t="shared" si="793"/>
        <v>-131.60999669252919</v>
      </c>
      <c r="AN408" s="35">
        <f t="shared" si="794"/>
        <v>-0.15895011445118812</v>
      </c>
      <c r="AP408" s="81">
        <f t="shared" si="795"/>
        <v>799.00256276497657</v>
      </c>
      <c r="AQ408" s="85">
        <f t="shared" si="796"/>
        <v>677.20488229848559</v>
      </c>
      <c r="AR408" s="34">
        <f t="shared" si="797"/>
        <v>-121.79768046649099</v>
      </c>
      <c r="AS408" s="35">
        <f t="shared" si="798"/>
        <v>-0.15243715870573157</v>
      </c>
      <c r="AU408" s="949">
        <f t="shared" si="799"/>
        <v>789.12538404651639</v>
      </c>
      <c r="AV408" s="843">
        <f t="shared" si="800"/>
        <v>641.13097161674921</v>
      </c>
      <c r="AW408" s="34">
        <f t="shared" si="801"/>
        <v>-147.99441242976718</v>
      </c>
      <c r="AX408" s="35">
        <f t="shared" si="802"/>
        <v>-0.18754232904139273</v>
      </c>
      <c r="AZ408" s="949">
        <f t="shared" si="783"/>
        <v>772.51833160482113</v>
      </c>
      <c r="BA408" s="843">
        <f t="shared" si="784"/>
        <v>637.09977683065324</v>
      </c>
      <c r="BB408" s="34">
        <f t="shared" si="803"/>
        <v>-135.41855477416789</v>
      </c>
      <c r="BC408" s="35">
        <f t="shared" si="804"/>
        <v>-0.17529494024154851</v>
      </c>
      <c r="BE408" s="31">
        <f t="shared" si="805"/>
        <v>751.06311650518774</v>
      </c>
      <c r="BF408" s="25">
        <f t="shared" si="806"/>
        <v>674.21118604581284</v>
      </c>
      <c r="BG408" s="32">
        <f t="shared" si="807"/>
        <v>-76.851930459374898</v>
      </c>
      <c r="BH408" s="33">
        <f t="shared" si="808"/>
        <v>-0.10232419722190428</v>
      </c>
      <c r="BJ408" s="31">
        <f t="shared" si="785"/>
        <v>714.43346309776109</v>
      </c>
      <c r="BK408" s="25">
        <f t="shared" si="786"/>
        <v>605.2869676539334</v>
      </c>
      <c r="BL408" s="32">
        <f t="shared" si="787"/>
        <v>-109.14649544382769</v>
      </c>
      <c r="BM408" s="33">
        <f t="shared" si="788"/>
        <v>-0.15277349267848109</v>
      </c>
      <c r="BO408" s="62"/>
      <c r="BP408" s="62"/>
      <c r="BQ408" s="62"/>
      <c r="BR408" s="63"/>
    </row>
    <row r="409" spans="1:70">
      <c r="B409" s="1284"/>
      <c r="D409" s="4" t="s">
        <v>724</v>
      </c>
      <c r="E409" s="88">
        <f t="shared" ref="E409:L409" si="813">E408-SUM(E397:E400)</f>
        <v>605.98340581516288</v>
      </c>
      <c r="F409" s="88">
        <f t="shared" si="813"/>
        <v>638.20401594359009</v>
      </c>
      <c r="G409" s="88">
        <f t="shared" si="813"/>
        <v>626.87696632708639</v>
      </c>
      <c r="H409" s="88">
        <f t="shared" si="813"/>
        <v>619.25552828229547</v>
      </c>
      <c r="I409" s="88">
        <f t="shared" si="813"/>
        <v>615.91066643062879</v>
      </c>
      <c r="J409" s="88">
        <f t="shared" si="813"/>
        <v>589.29562014322971</v>
      </c>
      <c r="K409" s="88">
        <f t="shared" si="813"/>
        <v>555.40891126141946</v>
      </c>
      <c r="L409" s="88">
        <f t="shared" si="813"/>
        <v>530.62134300361322</v>
      </c>
      <c r="M409" s="1"/>
      <c r="N409" s="81">
        <f t="shared" ref="N409:U409" si="814">N408-SUM(N397:N400)</f>
        <v>575.37769554521753</v>
      </c>
      <c r="O409" s="81">
        <f t="shared" si="814"/>
        <v>589.15844807715439</v>
      </c>
      <c r="P409" s="81">
        <f t="shared" si="814"/>
        <v>560.54151265707151</v>
      </c>
      <c r="Q409" s="81">
        <f t="shared" si="814"/>
        <v>546.59218020247386</v>
      </c>
      <c r="R409" s="81">
        <f t="shared" si="814"/>
        <v>528.01005483194035</v>
      </c>
      <c r="S409" s="81">
        <f t="shared" si="814"/>
        <v>503.63958117645984</v>
      </c>
      <c r="T409" s="81">
        <f t="shared" si="814"/>
        <v>464.33153952505285</v>
      </c>
      <c r="U409" s="81">
        <f t="shared" si="814"/>
        <v>445.60726184781618</v>
      </c>
      <c r="V409" s="1"/>
      <c r="W409" s="85">
        <f t="shared" ref="W409:AD409" si="815">W408-SUM(W397:W400)</f>
        <v>419.00179330597518</v>
      </c>
      <c r="X409" s="85">
        <f t="shared" si="815"/>
        <v>446.86822832822537</v>
      </c>
      <c r="Y409" s="85">
        <f t="shared" si="815"/>
        <v>461.4017532662275</v>
      </c>
      <c r="Z409" s="85">
        <f>Z408-SUM(Z397:Z400)</f>
        <v>468.14112478220869</v>
      </c>
      <c r="AA409" s="85">
        <f>AA408-SUM(AA397:AA400)</f>
        <v>448.22279617059723</v>
      </c>
      <c r="AB409" s="85">
        <f t="shared" si="815"/>
        <v>460.41838052037997</v>
      </c>
      <c r="AC409" s="85">
        <f t="shared" ref="AC409" si="816">AC408-SUM(AC397:AC400)</f>
        <v>376.0086676539334</v>
      </c>
      <c r="AD409" s="91">
        <f t="shared" si="815"/>
        <v>0</v>
      </c>
      <c r="AE409" s="1"/>
      <c r="AF409" s="81">
        <f t="shared" si="789"/>
        <v>575.37769554521753</v>
      </c>
      <c r="AG409" s="85">
        <f t="shared" si="790"/>
        <v>419.00179330597518</v>
      </c>
      <c r="AH409" s="34">
        <f t="shared" si="791"/>
        <v>-156.37590223924235</v>
      </c>
      <c r="AI409" s="35">
        <f t="shared" si="792"/>
        <v>-0.27177956922897989</v>
      </c>
      <c r="AK409" s="81">
        <f t="shared" si="781"/>
        <v>589.15844807715439</v>
      </c>
      <c r="AL409" s="85">
        <f t="shared" si="782"/>
        <v>446.86822832822537</v>
      </c>
      <c r="AM409" s="34">
        <f t="shared" si="793"/>
        <v>-142.29021974892902</v>
      </c>
      <c r="AN409" s="35">
        <f t="shared" si="794"/>
        <v>-0.24151435019445758</v>
      </c>
      <c r="AP409" s="81">
        <f t="shared" si="795"/>
        <v>560.54151265707151</v>
      </c>
      <c r="AQ409" s="85">
        <f>Y409</f>
        <v>461.4017532662275</v>
      </c>
      <c r="AR409" s="34">
        <f t="shared" si="797"/>
        <v>-99.139759390844006</v>
      </c>
      <c r="AS409" s="35">
        <f t="shared" si="798"/>
        <v>-0.17686425920696403</v>
      </c>
      <c r="AU409" s="949">
        <f t="shared" si="799"/>
        <v>546.59218020247386</v>
      </c>
      <c r="AV409" s="843">
        <f t="shared" si="800"/>
        <v>468.14112478220869</v>
      </c>
      <c r="AW409" s="34">
        <f t="shared" si="801"/>
        <v>-78.451055420265163</v>
      </c>
      <c r="AX409" s="35">
        <f t="shared" si="802"/>
        <v>-0.14352758466322108</v>
      </c>
      <c r="AZ409" s="949">
        <f t="shared" si="783"/>
        <v>528.01005483194035</v>
      </c>
      <c r="BA409" s="843">
        <f t="shared" si="784"/>
        <v>448.22279617059723</v>
      </c>
      <c r="BB409" s="34">
        <f t="shared" si="803"/>
        <v>-79.787258661343117</v>
      </c>
      <c r="BC409" s="35">
        <f t="shared" si="804"/>
        <v>-0.15110935470109277</v>
      </c>
      <c r="BE409" s="31">
        <f t="shared" si="805"/>
        <v>503.63958117645984</v>
      </c>
      <c r="BF409" s="25">
        <f t="shared" si="806"/>
        <v>460.41838052037997</v>
      </c>
      <c r="BG409" s="32">
        <f t="shared" si="807"/>
        <v>-43.221200656079873</v>
      </c>
      <c r="BH409" s="33">
        <f t="shared" si="808"/>
        <v>-8.5817720194109395E-2</v>
      </c>
      <c r="BJ409" s="31">
        <f t="shared" si="785"/>
        <v>464.33153952505285</v>
      </c>
      <c r="BK409" s="25">
        <f t="shared" si="786"/>
        <v>376.0086676539334</v>
      </c>
      <c r="BL409" s="32">
        <f t="shared" si="787"/>
        <v>-88.322871871119446</v>
      </c>
      <c r="BM409" s="33">
        <f t="shared" si="788"/>
        <v>-0.19021510354748156</v>
      </c>
      <c r="BO409" s="62"/>
      <c r="BP409" s="62"/>
      <c r="BQ409" s="62"/>
      <c r="BR409" s="63"/>
    </row>
    <row r="410" spans="1:70" ht="14.5" customHeight="1">
      <c r="B410" s="1284"/>
    </row>
    <row r="411" spans="1:70" ht="14.5" customHeight="1">
      <c r="B411" s="1284"/>
      <c r="D411" s="1" t="s">
        <v>741</v>
      </c>
    </row>
    <row r="412" spans="1:70" ht="14.5" customHeight="1">
      <c r="B412" s="1284"/>
      <c r="E412" s="1300" t="s">
        <v>733</v>
      </c>
      <c r="F412" s="1301"/>
      <c r="G412" s="1301"/>
      <c r="H412" s="1301"/>
      <c r="I412" s="1301"/>
      <c r="J412" s="1301"/>
      <c r="K412" s="1301"/>
      <c r="L412" s="1302"/>
      <c r="N412" s="245" t="s">
        <v>291</v>
      </c>
      <c r="O412" s="246"/>
      <c r="P412" s="246"/>
      <c r="Q412" s="246"/>
      <c r="R412" s="246"/>
      <c r="S412" s="246"/>
      <c r="T412" s="246"/>
      <c r="U412" s="247"/>
      <c r="W412" s="1079" t="s">
        <v>292</v>
      </c>
      <c r="X412" s="1080"/>
      <c r="Y412" s="1080"/>
      <c r="Z412" s="1080"/>
      <c r="AA412" s="1080"/>
      <c r="AB412" s="1080"/>
      <c r="AC412" s="1080"/>
      <c r="AD412" s="1081"/>
      <c r="AF412" s="102" t="s">
        <v>297</v>
      </c>
      <c r="AG412" s="102" t="s">
        <v>298</v>
      </c>
      <c r="AH412" s="1304" t="s">
        <v>602</v>
      </c>
      <c r="AI412" s="1304"/>
      <c r="AK412" s="102" t="s">
        <v>297</v>
      </c>
      <c r="AL412" s="102" t="s">
        <v>298</v>
      </c>
      <c r="AM412" s="1304" t="s">
        <v>602</v>
      </c>
      <c r="AN412" s="1304"/>
      <c r="AP412" s="6" t="s">
        <v>297</v>
      </c>
      <c r="AQ412" s="5" t="s">
        <v>298</v>
      </c>
      <c r="AR412" s="1303" t="s">
        <v>602</v>
      </c>
      <c r="AS412" s="1303"/>
      <c r="AU412" s="6" t="s">
        <v>297</v>
      </c>
      <c r="AV412" s="5" t="s">
        <v>298</v>
      </c>
      <c r="AW412" s="1303" t="s">
        <v>602</v>
      </c>
      <c r="AX412" s="1303"/>
      <c r="AZ412" s="6" t="s">
        <v>297</v>
      </c>
      <c r="BA412" s="5" t="s">
        <v>298</v>
      </c>
      <c r="BB412" s="1303" t="s">
        <v>602</v>
      </c>
      <c r="BC412" s="1303"/>
      <c r="BE412" s="6" t="s">
        <v>297</v>
      </c>
      <c r="BF412" s="5" t="s">
        <v>298</v>
      </c>
      <c r="BG412" s="1082" t="s">
        <v>602</v>
      </c>
      <c r="BH412" s="1082"/>
      <c r="BJ412" s="6" t="s">
        <v>297</v>
      </c>
      <c r="BK412" s="5" t="s">
        <v>298</v>
      </c>
      <c r="BL412" s="1082" t="s">
        <v>602</v>
      </c>
      <c r="BM412" s="1082"/>
      <c r="BO412" s="6" t="s">
        <v>297</v>
      </c>
      <c r="BP412" s="5" t="s">
        <v>298</v>
      </c>
      <c r="BQ412" s="1303" t="s">
        <v>602</v>
      </c>
      <c r="BR412" s="1303"/>
    </row>
    <row r="413" spans="1:70" ht="14.5" customHeight="1">
      <c r="A413" s="1"/>
      <c r="B413" s="1284"/>
      <c r="E413" s="196" t="s">
        <v>137</v>
      </c>
      <c r="F413" s="102" t="s">
        <v>138</v>
      </c>
      <c r="G413" s="102" t="s">
        <v>139</v>
      </c>
      <c r="H413" s="102" t="s">
        <v>140</v>
      </c>
      <c r="I413" s="102" t="s">
        <v>141</v>
      </c>
      <c r="J413" s="102" t="s">
        <v>126</v>
      </c>
      <c r="K413" s="102" t="s">
        <v>142</v>
      </c>
      <c r="L413" s="197" t="s">
        <v>143</v>
      </c>
      <c r="N413" s="196" t="s">
        <v>137</v>
      </c>
      <c r="O413" s="102" t="s">
        <v>138</v>
      </c>
      <c r="P413" s="102" t="s">
        <v>139</v>
      </c>
      <c r="Q413" s="102" t="s">
        <v>140</v>
      </c>
      <c r="R413" s="102" t="s">
        <v>141</v>
      </c>
      <c r="S413" s="102" t="s">
        <v>126</v>
      </c>
      <c r="T413" s="102" t="s">
        <v>142</v>
      </c>
      <c r="U413" s="197" t="s">
        <v>143</v>
      </c>
      <c r="W413" s="196" t="s">
        <v>137</v>
      </c>
      <c r="X413" s="1078" t="s">
        <v>138</v>
      </c>
      <c r="Y413" s="1078" t="s">
        <v>139</v>
      </c>
      <c r="Z413" s="1078" t="s">
        <v>140</v>
      </c>
      <c r="AA413" s="1078" t="s">
        <v>141</v>
      </c>
      <c r="AB413" s="1078" t="s">
        <v>126</v>
      </c>
      <c r="AC413" s="1078" t="s">
        <v>142</v>
      </c>
      <c r="AD413" s="197" t="s">
        <v>143</v>
      </c>
      <c r="AF413" s="102" t="s">
        <v>734</v>
      </c>
      <c r="AG413" s="102" t="s">
        <v>734</v>
      </c>
      <c r="AH413" s="102" t="s">
        <v>734</v>
      </c>
      <c r="AI413" s="102" t="s">
        <v>606</v>
      </c>
      <c r="AK413" s="102" t="s">
        <v>734</v>
      </c>
      <c r="AL413" s="102" t="s">
        <v>734</v>
      </c>
      <c r="AM413" s="102" t="s">
        <v>734</v>
      </c>
      <c r="AN413" s="102" t="s">
        <v>606</v>
      </c>
      <c r="AP413" s="5" t="s">
        <v>734</v>
      </c>
      <c r="AQ413" s="5" t="s">
        <v>734</v>
      </c>
      <c r="AR413" s="5" t="s">
        <v>734</v>
      </c>
      <c r="AS413" s="5" t="s">
        <v>606</v>
      </c>
      <c r="AU413" s="5" t="s">
        <v>734</v>
      </c>
      <c r="AV413" s="5" t="s">
        <v>734</v>
      </c>
      <c r="AW413" s="5" t="s">
        <v>734</v>
      </c>
      <c r="AX413" s="5" t="s">
        <v>606</v>
      </c>
      <c r="AZ413" s="5" t="s">
        <v>734</v>
      </c>
      <c r="BA413" s="5" t="s">
        <v>734</v>
      </c>
      <c r="BB413" s="5" t="s">
        <v>734</v>
      </c>
      <c r="BC413" s="5" t="s">
        <v>606</v>
      </c>
      <c r="BE413" s="5" t="s">
        <v>734</v>
      </c>
      <c r="BF413" s="5" t="s">
        <v>734</v>
      </c>
      <c r="BG413" s="5" t="s">
        <v>734</v>
      </c>
      <c r="BH413" s="5" t="s">
        <v>606</v>
      </c>
      <c r="BJ413" s="5" t="s">
        <v>734</v>
      </c>
      <c r="BK413" s="5" t="s">
        <v>734</v>
      </c>
      <c r="BL413" s="5" t="s">
        <v>734</v>
      </c>
      <c r="BM413" s="5" t="s">
        <v>606</v>
      </c>
      <c r="BO413" s="5" t="s">
        <v>734</v>
      </c>
      <c r="BP413" s="5" t="s">
        <v>734</v>
      </c>
      <c r="BQ413" s="5" t="s">
        <v>734</v>
      </c>
      <c r="BR413" s="5" t="s">
        <v>606</v>
      </c>
    </row>
    <row r="414" spans="1:70">
      <c r="B414" s="1284"/>
      <c r="D414" s="5" t="s">
        <v>161</v>
      </c>
      <c r="E414" s="87">
        <v>18.506409027243553</v>
      </c>
      <c r="F414" s="87">
        <v>18.582481401444998</v>
      </c>
      <c r="G414" s="87">
        <v>17.575525169027426</v>
      </c>
      <c r="H414" s="87">
        <v>18.182406655396072</v>
      </c>
      <c r="I414" s="87">
        <v>17.570523296726009</v>
      </c>
      <c r="J414" s="87">
        <v>18.377378213583757</v>
      </c>
      <c r="K414" s="87">
        <v>17.751626844007465</v>
      </c>
      <c r="L414" s="87">
        <v>18.500836991732772</v>
      </c>
      <c r="N414" s="29">
        <v>17.196854817064793</v>
      </c>
      <c r="O414" s="29">
        <v>15.798157049631993</v>
      </c>
      <c r="P414" s="29">
        <v>16.52243319137871</v>
      </c>
      <c r="Q414" s="29">
        <v>16.122024205808618</v>
      </c>
      <c r="R414" s="29">
        <v>16.473004665059079</v>
      </c>
      <c r="S414" s="29">
        <v>16.644067866714824</v>
      </c>
      <c r="T414" s="29">
        <v>16.35235481998016</v>
      </c>
      <c r="U414" s="29">
        <v>16.179719625076277</v>
      </c>
      <c r="W414" s="30">
        <v>8.1491159463296174</v>
      </c>
      <c r="X414" s="30">
        <v>9.4165231120936372</v>
      </c>
      <c r="Y414" s="30">
        <v>12.462389304298309</v>
      </c>
      <c r="Z414" s="30">
        <v>12.983763163441111</v>
      </c>
      <c r="AA414" s="30">
        <v>10.638502099410344</v>
      </c>
      <c r="AB414" s="85">
        <v>8.0009453212205841</v>
      </c>
      <c r="AC414" s="85">
        <v>6.6676058844303441</v>
      </c>
      <c r="AD414" s="90">
        <v>0</v>
      </c>
      <c r="AF414" s="29">
        <f>N414</f>
        <v>17.196854817064793</v>
      </c>
      <c r="AG414" s="30">
        <f>W414</f>
        <v>8.1491159463296174</v>
      </c>
      <c r="AH414" s="32">
        <f>IF(AG414&gt;0,AG414-AF414,"")</f>
        <v>-9.0477388707351754</v>
      </c>
      <c r="AI414" s="33">
        <f>IF(AG414&gt;0,AH414/AF414,"")</f>
        <v>-0.52612753709805804</v>
      </c>
      <c r="AK414" s="29">
        <f t="shared" ref="AK414:AK429" si="817">O414</f>
        <v>15.798157049631993</v>
      </c>
      <c r="AL414" s="30">
        <f t="shared" ref="AL414:AL429" si="818">X414</f>
        <v>9.4165231120936372</v>
      </c>
      <c r="AM414" s="32">
        <f>IF(AL414&gt;0,AL414-AK414,"")</f>
        <v>-6.3816339375383553</v>
      </c>
      <c r="AN414" s="33">
        <f>IF(AL414&gt;0,AM414/AK414,"")</f>
        <v>-0.40394799959828298</v>
      </c>
      <c r="AP414" s="29">
        <f>P414</f>
        <v>16.52243319137871</v>
      </c>
      <c r="AQ414" s="30">
        <f>Y414</f>
        <v>12.462389304298309</v>
      </c>
      <c r="AR414" s="32">
        <f>AQ414-AP414</f>
        <v>-4.0600438870804005</v>
      </c>
      <c r="AS414" s="33">
        <f>AR414/AP414</f>
        <v>-0.24572917560343976</v>
      </c>
      <c r="AU414" s="31">
        <f>Q414</f>
        <v>16.122024205808618</v>
      </c>
      <c r="AV414" s="25">
        <f>Z414</f>
        <v>12.983763163441111</v>
      </c>
      <c r="AW414" s="32">
        <f>AV414-AU414</f>
        <v>-3.1382610423675068</v>
      </c>
      <c r="AX414" s="33">
        <f>AW414/AU414</f>
        <v>-0.19465676284227509</v>
      </c>
      <c r="AZ414" s="31">
        <f t="shared" ref="AZ414:AZ429" si="819">R414</f>
        <v>16.473004665059079</v>
      </c>
      <c r="BA414" s="25">
        <f t="shared" ref="BA414:BA429" si="820">AA414</f>
        <v>10.638502099410344</v>
      </c>
      <c r="BB414" s="32">
        <f>BA414-AZ414</f>
        <v>-5.8345025656487355</v>
      </c>
      <c r="BC414" s="33">
        <f>BB414/AZ414</f>
        <v>-0.35418569254850696</v>
      </c>
      <c r="BE414" s="31">
        <f>S414</f>
        <v>16.644067866714824</v>
      </c>
      <c r="BF414" s="25">
        <f>AB414</f>
        <v>8.0009453212205841</v>
      </c>
      <c r="BG414" s="32">
        <f>BF414-BE414</f>
        <v>-8.64312254549424</v>
      </c>
      <c r="BH414" s="33">
        <f>BG414/BE414</f>
        <v>-0.51929147457869651</v>
      </c>
      <c r="BJ414" s="31">
        <f t="shared" ref="BJ414:BJ429" si="821">T414</f>
        <v>16.35235481998016</v>
      </c>
      <c r="BK414" s="25">
        <f t="shared" ref="BK414:BK429" si="822">AC414</f>
        <v>6.6676058844303441</v>
      </c>
      <c r="BL414" s="32">
        <f t="shared" ref="BL414:BL429" si="823">BK414-BJ414</f>
        <v>-9.6847489355498162</v>
      </c>
      <c r="BM414" s="33">
        <f t="shared" ref="BM414:BM429" si="824">BL414/BJ414</f>
        <v>-0.5922540846359623</v>
      </c>
      <c r="BO414" s="62"/>
      <c r="BP414" s="62"/>
      <c r="BQ414" s="62"/>
      <c r="BR414" s="63"/>
    </row>
    <row r="415" spans="1:70">
      <c r="B415" s="1284"/>
      <c r="D415" s="5" t="s">
        <v>162</v>
      </c>
      <c r="E415" s="87">
        <v>14.6139739808416</v>
      </c>
      <c r="F415" s="87">
        <v>13.289475715214188</v>
      </c>
      <c r="G415" s="87">
        <v>8.8444903142066185</v>
      </c>
      <c r="H415" s="87">
        <v>8.669512464812664</v>
      </c>
      <c r="I415" s="87">
        <v>11.069474228860795</v>
      </c>
      <c r="J415" s="87">
        <v>8.0536452172848598</v>
      </c>
      <c r="K415" s="87">
        <v>7.8479986644246669</v>
      </c>
      <c r="L415" s="87">
        <v>9.40568354644331</v>
      </c>
      <c r="N415" s="29">
        <v>10.568605660793352</v>
      </c>
      <c r="O415" s="29">
        <v>9.9723553785680625</v>
      </c>
      <c r="P415" s="29">
        <v>7.9710256559708084</v>
      </c>
      <c r="Q415" s="29">
        <v>7.8122290703622363</v>
      </c>
      <c r="R415" s="29">
        <v>8.046877613081147</v>
      </c>
      <c r="S415" s="29">
        <v>6.5338215600538554</v>
      </c>
      <c r="T415" s="29">
        <v>5.9242384130778412</v>
      </c>
      <c r="U415" s="29">
        <v>6.3155148182460188</v>
      </c>
      <c r="W415" s="30">
        <v>6.634050837671305</v>
      </c>
      <c r="X415" s="30">
        <v>4.8164132857156252</v>
      </c>
      <c r="Y415" s="30">
        <v>4.2903845199115942</v>
      </c>
      <c r="Z415" s="30">
        <v>7.0339071389158567</v>
      </c>
      <c r="AA415" s="30">
        <v>8.149872037365526</v>
      </c>
      <c r="AB415" s="85">
        <v>10.332983408824036</v>
      </c>
      <c r="AC415" s="85">
        <v>5.8690606899999995</v>
      </c>
      <c r="AD415" s="90">
        <v>0</v>
      </c>
      <c r="AF415" s="29">
        <f t="shared" ref="AF415:AF429" si="825">N415</f>
        <v>10.568605660793352</v>
      </c>
      <c r="AG415" s="30">
        <f t="shared" ref="AG415:AG429" si="826">W415</f>
        <v>6.634050837671305</v>
      </c>
      <c r="AH415" s="32">
        <f t="shared" ref="AH415:AH429" si="827">IF(AG415&gt;0,AG415-AF415,"")</f>
        <v>-3.9345548231220473</v>
      </c>
      <c r="AI415" s="33">
        <f t="shared" ref="AI415:AI429" si="828">IF(AG415&gt;0,AH415/AF415,"")</f>
        <v>-0.37228703098632715</v>
      </c>
      <c r="AK415" s="29">
        <f t="shared" si="817"/>
        <v>9.9723553785680625</v>
      </c>
      <c r="AL415" s="30">
        <f t="shared" si="818"/>
        <v>4.8164132857156252</v>
      </c>
      <c r="AM415" s="32">
        <f t="shared" ref="AM415:AM429" si="829">IF(AL415&gt;0,AL415-AK415,"")</f>
        <v>-5.1559420928524373</v>
      </c>
      <c r="AN415" s="33">
        <f t="shared" ref="AN415:AN429" si="830">IF(AL415&gt;0,AM415/AK415,"")</f>
        <v>-0.51702350118140117</v>
      </c>
      <c r="AP415" s="29">
        <f t="shared" ref="AP415:AP429" si="831">P415</f>
        <v>7.9710256559708084</v>
      </c>
      <c r="AQ415" s="30">
        <f t="shared" ref="AQ415:AQ428" si="832">Y415</f>
        <v>4.2903845199115942</v>
      </c>
      <c r="AR415" s="32">
        <f t="shared" ref="AR415:AR429" si="833">AQ415-AP415</f>
        <v>-3.6806411360592142</v>
      </c>
      <c r="AS415" s="33">
        <f t="shared" ref="AS415:AS429" si="834">AR415/AP415</f>
        <v>-0.46175251403214068</v>
      </c>
      <c r="AU415" s="31">
        <f t="shared" ref="AU415:AU429" si="835">Q415</f>
        <v>7.8122290703622363</v>
      </c>
      <c r="AV415" s="25">
        <f t="shared" ref="AV415:AV429" si="836">Z415</f>
        <v>7.0339071389158567</v>
      </c>
      <c r="AW415" s="32">
        <f t="shared" ref="AW415:AW429" si="837">AV415-AU415</f>
        <v>-0.77832193144637962</v>
      </c>
      <c r="AX415" s="33">
        <f t="shared" ref="AX415:AX429" si="838">AW415/AU415</f>
        <v>-9.9628662246880384E-2</v>
      </c>
      <c r="AZ415" s="31">
        <f t="shared" si="819"/>
        <v>8.046877613081147</v>
      </c>
      <c r="BA415" s="25">
        <f t="shared" si="820"/>
        <v>8.149872037365526</v>
      </c>
      <c r="BB415" s="32">
        <f t="shared" ref="BB415:BB429" si="839">BA415-AZ415</f>
        <v>0.10299442428437899</v>
      </c>
      <c r="BC415" s="33">
        <f t="shared" ref="BC415:BC429" si="840">BB415/AZ415</f>
        <v>1.2799302939185931E-2</v>
      </c>
      <c r="BE415" s="31">
        <f t="shared" ref="BE415:BE429" si="841">S415</f>
        <v>6.5338215600538554</v>
      </c>
      <c r="BF415" s="25">
        <f t="shared" ref="BF415:BF429" si="842">AB415</f>
        <v>10.332983408824036</v>
      </c>
      <c r="BG415" s="32">
        <f t="shared" ref="BG415:BG429" si="843">BF415-BE415</f>
        <v>3.799161848770181</v>
      </c>
      <c r="BH415" s="33">
        <f t="shared" ref="BH415:BH429" si="844">BG415/BE415</f>
        <v>0.58146091285952817</v>
      </c>
      <c r="BJ415" s="31">
        <f t="shared" si="821"/>
        <v>5.9242384130778412</v>
      </c>
      <c r="BK415" s="25">
        <f t="shared" si="822"/>
        <v>5.8690606899999995</v>
      </c>
      <c r="BL415" s="32">
        <f t="shared" si="823"/>
        <v>-5.5177723077841634E-2</v>
      </c>
      <c r="BM415" s="33">
        <f t="shared" si="824"/>
        <v>-9.3138930661595294E-3</v>
      </c>
      <c r="BO415" s="62"/>
      <c r="BP415" s="62"/>
      <c r="BQ415" s="62"/>
      <c r="BR415" s="63"/>
    </row>
    <row r="416" spans="1:70">
      <c r="B416" s="1284"/>
      <c r="D416" s="5" t="s">
        <v>163</v>
      </c>
      <c r="E416" s="87">
        <v>9.8372058004369389</v>
      </c>
      <c r="F416" s="87">
        <v>12.289622515252082</v>
      </c>
      <c r="G416" s="87">
        <v>12.313689023948703</v>
      </c>
      <c r="H416" s="87">
        <v>11.67738793700499</v>
      </c>
      <c r="I416" s="87">
        <v>13.668366060196947</v>
      </c>
      <c r="J416" s="87">
        <v>14.847542975608262</v>
      </c>
      <c r="K416" s="87">
        <v>13.162485790858851</v>
      </c>
      <c r="L416" s="87">
        <v>17.231584055016388</v>
      </c>
      <c r="N416" s="29">
        <v>11.309816631961029</v>
      </c>
      <c r="O416" s="29">
        <v>11.555999919931919</v>
      </c>
      <c r="P416" s="29">
        <v>11.100052731677398</v>
      </c>
      <c r="Q416" s="29">
        <v>10.670606982091074</v>
      </c>
      <c r="R416" s="29">
        <v>9.8255491595060818</v>
      </c>
      <c r="S416" s="29">
        <v>9.8758063955889224</v>
      </c>
      <c r="T416" s="29">
        <v>8.4427799438803977</v>
      </c>
      <c r="U416" s="29">
        <v>10.006432652257709</v>
      </c>
      <c r="W416" s="30">
        <v>3.5968823873699045</v>
      </c>
      <c r="X416" s="30">
        <v>3.5359213557164324</v>
      </c>
      <c r="Y416" s="30">
        <v>6.9590021990748854</v>
      </c>
      <c r="Z416" s="30">
        <v>7.4390365024000289</v>
      </c>
      <c r="AA416" s="30">
        <v>12.145496612008735</v>
      </c>
      <c r="AB416" s="85">
        <v>11.804601746384742</v>
      </c>
      <c r="AC416" s="85">
        <v>10.666990389999999</v>
      </c>
      <c r="AD416" s="90">
        <v>0</v>
      </c>
      <c r="AF416" s="29">
        <f t="shared" si="825"/>
        <v>11.309816631961029</v>
      </c>
      <c r="AG416" s="30">
        <f t="shared" si="826"/>
        <v>3.5968823873699045</v>
      </c>
      <c r="AH416" s="32">
        <f t="shared" si="827"/>
        <v>-7.7129342445911249</v>
      </c>
      <c r="AI416" s="33">
        <f t="shared" si="828"/>
        <v>-0.68196810749298287</v>
      </c>
      <c r="AK416" s="29">
        <f t="shared" si="817"/>
        <v>11.555999919931919</v>
      </c>
      <c r="AL416" s="30">
        <f t="shared" si="818"/>
        <v>3.5359213557164324</v>
      </c>
      <c r="AM416" s="32">
        <f t="shared" si="829"/>
        <v>-8.0200785642154866</v>
      </c>
      <c r="AN416" s="33">
        <f t="shared" si="830"/>
        <v>-0.69401857215162877</v>
      </c>
      <c r="AP416" s="29">
        <f t="shared" si="831"/>
        <v>11.100052731677398</v>
      </c>
      <c r="AQ416" s="30">
        <f t="shared" si="832"/>
        <v>6.9590021990748854</v>
      </c>
      <c r="AR416" s="32">
        <f t="shared" si="833"/>
        <v>-4.1410505326025122</v>
      </c>
      <c r="AS416" s="33">
        <f t="shared" si="834"/>
        <v>-0.37306584326259612</v>
      </c>
      <c r="AU416" s="31">
        <f t="shared" si="835"/>
        <v>10.670606982091074</v>
      </c>
      <c r="AV416" s="25">
        <f t="shared" si="836"/>
        <v>7.4390365024000289</v>
      </c>
      <c r="AW416" s="32">
        <f t="shared" si="837"/>
        <v>-3.2315704796910456</v>
      </c>
      <c r="AX416" s="33">
        <f t="shared" si="838"/>
        <v>-0.30284785908755946</v>
      </c>
      <c r="AZ416" s="31">
        <f t="shared" si="819"/>
        <v>9.8255491595060818</v>
      </c>
      <c r="BA416" s="25">
        <f t="shared" si="820"/>
        <v>12.145496612008735</v>
      </c>
      <c r="BB416" s="32">
        <f t="shared" si="839"/>
        <v>2.3199474525026531</v>
      </c>
      <c r="BC416" s="33">
        <f t="shared" si="840"/>
        <v>0.2361137698098163</v>
      </c>
      <c r="BE416" s="31">
        <f t="shared" si="841"/>
        <v>9.8758063955889224</v>
      </c>
      <c r="BF416" s="25">
        <f t="shared" si="842"/>
        <v>11.804601746384742</v>
      </c>
      <c r="BG416" s="32">
        <f t="shared" si="843"/>
        <v>1.92879535079582</v>
      </c>
      <c r="BH416" s="33">
        <f t="shared" si="844"/>
        <v>0.19530509950633762</v>
      </c>
      <c r="BJ416" s="31">
        <f t="shared" si="821"/>
        <v>8.4427799438803977</v>
      </c>
      <c r="BK416" s="25">
        <f t="shared" si="822"/>
        <v>10.666990389999999</v>
      </c>
      <c r="BL416" s="32">
        <f t="shared" si="823"/>
        <v>2.2242104461196011</v>
      </c>
      <c r="BM416" s="33">
        <f t="shared" si="824"/>
        <v>0.26344527050379674</v>
      </c>
      <c r="BO416" s="62"/>
      <c r="BP416" s="62"/>
      <c r="BQ416" s="62"/>
      <c r="BR416" s="63"/>
    </row>
    <row r="417" spans="2:70">
      <c r="B417" s="1284"/>
      <c r="D417" s="5" t="s">
        <v>164</v>
      </c>
      <c r="E417" s="87">
        <v>4.6178792600262701</v>
      </c>
      <c r="F417" s="87">
        <v>4.8192249446441506</v>
      </c>
      <c r="G417" s="87">
        <v>4.7107337066274066</v>
      </c>
      <c r="H417" s="87">
        <v>4.9115539571332469</v>
      </c>
      <c r="I417" s="87">
        <v>4.9708433684631581</v>
      </c>
      <c r="J417" s="87">
        <v>5.0213879241118295</v>
      </c>
      <c r="K417" s="87">
        <v>5.0895319596610422</v>
      </c>
      <c r="L417" s="87">
        <v>5.1094647521674261</v>
      </c>
      <c r="N417" s="29">
        <v>4.6178792600262701</v>
      </c>
      <c r="O417" s="29">
        <v>4.8192249446441506</v>
      </c>
      <c r="P417" s="29">
        <v>4.7107337066274066</v>
      </c>
      <c r="Q417" s="29">
        <v>4.9115539571332469</v>
      </c>
      <c r="R417" s="29">
        <v>4.9708433684631581</v>
      </c>
      <c r="S417" s="29">
        <v>5.0213879241118295</v>
      </c>
      <c r="T417" s="29">
        <v>5.0895319596610422</v>
      </c>
      <c r="U417" s="29">
        <v>5.1094647521674261</v>
      </c>
      <c r="W417" s="30">
        <v>9.2228501100476823</v>
      </c>
      <c r="X417" s="30">
        <v>9.2763109829730706</v>
      </c>
      <c r="Y417" s="30">
        <v>9.2796862179347261</v>
      </c>
      <c r="Z417" s="30">
        <v>7.9427069634461427</v>
      </c>
      <c r="AA417" s="30">
        <v>7.950618875455028</v>
      </c>
      <c r="AB417" s="85">
        <v>6.4250440178538053</v>
      </c>
      <c r="AC417" s="85">
        <v>7.1996000000000002</v>
      </c>
      <c r="AD417" s="90">
        <v>0</v>
      </c>
      <c r="AF417" s="29">
        <f t="shared" si="825"/>
        <v>4.6178792600262701</v>
      </c>
      <c r="AG417" s="30">
        <f t="shared" si="826"/>
        <v>9.2228501100476823</v>
      </c>
      <c r="AH417" s="32">
        <f t="shared" si="827"/>
        <v>4.6049708500214122</v>
      </c>
      <c r="AI417" s="33">
        <f t="shared" si="828"/>
        <v>0.99720468871574941</v>
      </c>
      <c r="AK417" s="29">
        <f t="shared" si="817"/>
        <v>4.8192249446441506</v>
      </c>
      <c r="AL417" s="30">
        <f t="shared" si="818"/>
        <v>9.2763109829730706</v>
      </c>
      <c r="AM417" s="32">
        <f t="shared" si="829"/>
        <v>4.4570860383289199</v>
      </c>
      <c r="AN417" s="33">
        <f t="shared" si="830"/>
        <v>0.92485536357507159</v>
      </c>
      <c r="AP417" s="29">
        <f t="shared" si="831"/>
        <v>4.7107337066274066</v>
      </c>
      <c r="AQ417" s="30">
        <f t="shared" si="832"/>
        <v>9.2796862179347261</v>
      </c>
      <c r="AR417" s="32">
        <f t="shared" si="833"/>
        <v>4.5689525113073195</v>
      </c>
      <c r="AS417" s="33">
        <f t="shared" si="834"/>
        <v>0.96990252386361409</v>
      </c>
      <c r="AU417" s="31">
        <f t="shared" si="835"/>
        <v>4.9115539571332469</v>
      </c>
      <c r="AV417" s="25">
        <f t="shared" si="836"/>
        <v>7.9427069634461427</v>
      </c>
      <c r="AW417" s="32">
        <f t="shared" si="837"/>
        <v>3.0311530063128957</v>
      </c>
      <c r="AX417" s="33">
        <f t="shared" si="838"/>
        <v>0.61714745124822068</v>
      </c>
      <c r="AZ417" s="31">
        <f t="shared" si="819"/>
        <v>4.9708433684631581</v>
      </c>
      <c r="BA417" s="25">
        <f t="shared" si="820"/>
        <v>7.950618875455028</v>
      </c>
      <c r="BB417" s="32">
        <f t="shared" si="839"/>
        <v>2.9797755069918699</v>
      </c>
      <c r="BC417" s="33">
        <f t="shared" si="840"/>
        <v>0.59945069400026796</v>
      </c>
      <c r="BE417" s="31">
        <f t="shared" si="841"/>
        <v>5.0213879241118295</v>
      </c>
      <c r="BF417" s="25">
        <f t="shared" si="842"/>
        <v>6.4250440178538053</v>
      </c>
      <c r="BG417" s="32">
        <f t="shared" si="843"/>
        <v>1.4036560937419758</v>
      </c>
      <c r="BH417" s="33">
        <f t="shared" si="844"/>
        <v>0.27953548201322265</v>
      </c>
      <c r="BJ417" s="31">
        <f t="shared" si="821"/>
        <v>5.0895319596610422</v>
      </c>
      <c r="BK417" s="25">
        <f t="shared" si="822"/>
        <v>7.1996000000000002</v>
      </c>
      <c r="BL417" s="32">
        <f t="shared" si="823"/>
        <v>2.110068040338958</v>
      </c>
      <c r="BM417" s="33">
        <f t="shared" si="824"/>
        <v>0.41458980060702605</v>
      </c>
      <c r="BO417" s="62"/>
      <c r="BP417" s="62"/>
      <c r="BQ417" s="62"/>
      <c r="BR417" s="63"/>
    </row>
    <row r="418" spans="2:70">
      <c r="B418" s="1284"/>
      <c r="D418" s="5" t="s">
        <v>165</v>
      </c>
      <c r="E418" s="87">
        <v>4.002570572257361</v>
      </c>
      <c r="F418" s="87">
        <v>4.0371487625122651</v>
      </c>
      <c r="G418" s="87">
        <v>4.0753152182034507</v>
      </c>
      <c r="H418" s="87">
        <v>4.2128019250951132</v>
      </c>
      <c r="I418" s="87">
        <v>4.3284999340617567</v>
      </c>
      <c r="J418" s="87">
        <v>4.3851978364885635</v>
      </c>
      <c r="K418" s="87">
        <v>4.444891005032666</v>
      </c>
      <c r="L418" s="87">
        <v>4.5037282293698127</v>
      </c>
      <c r="N418" s="29">
        <v>4.002570572257361</v>
      </c>
      <c r="O418" s="29">
        <v>4.0371487625122651</v>
      </c>
      <c r="P418" s="29">
        <v>4.0753152182034507</v>
      </c>
      <c r="Q418" s="29">
        <v>4.2128019250951132</v>
      </c>
      <c r="R418" s="29">
        <v>4.3284999340617567</v>
      </c>
      <c r="S418" s="29">
        <v>4.3851978364885635</v>
      </c>
      <c r="T418" s="29">
        <v>4.444891005032666</v>
      </c>
      <c r="U418" s="29">
        <v>4.5037282293698127</v>
      </c>
      <c r="W418" s="30">
        <v>8.1910259882127558</v>
      </c>
      <c r="X418" s="30">
        <v>8.8420856916435202</v>
      </c>
      <c r="Y418" s="30">
        <v>7.291117350531815</v>
      </c>
      <c r="Z418" s="30">
        <v>4.4561443849097095</v>
      </c>
      <c r="AA418" s="30">
        <v>4.873426179973988</v>
      </c>
      <c r="AB418" s="85">
        <v>2.7114612352847196</v>
      </c>
      <c r="AC418" s="85">
        <v>2.7203999999999997</v>
      </c>
      <c r="AD418" s="90">
        <v>0</v>
      </c>
      <c r="AF418" s="29">
        <f t="shared" si="825"/>
        <v>4.002570572257361</v>
      </c>
      <c r="AG418" s="30">
        <f t="shared" si="826"/>
        <v>8.1910259882127558</v>
      </c>
      <c r="AH418" s="32">
        <f t="shared" si="827"/>
        <v>4.1884554159553948</v>
      </c>
      <c r="AI418" s="33">
        <f t="shared" si="828"/>
        <v>1.046441365702941</v>
      </c>
      <c r="AK418" s="29">
        <f t="shared" si="817"/>
        <v>4.0371487625122651</v>
      </c>
      <c r="AL418" s="30">
        <f t="shared" si="818"/>
        <v>8.8420856916435202</v>
      </c>
      <c r="AM418" s="32">
        <f t="shared" si="829"/>
        <v>4.8049369291312551</v>
      </c>
      <c r="AN418" s="33">
        <f t="shared" si="830"/>
        <v>1.1901807963452913</v>
      </c>
      <c r="AP418" s="29">
        <f t="shared" si="831"/>
        <v>4.0753152182034507</v>
      </c>
      <c r="AQ418" s="30">
        <f t="shared" si="832"/>
        <v>7.291117350531815</v>
      </c>
      <c r="AR418" s="32">
        <f t="shared" si="833"/>
        <v>3.2158021323283643</v>
      </c>
      <c r="AS418" s="33">
        <f t="shared" si="834"/>
        <v>0.7890928578884282</v>
      </c>
      <c r="AU418" s="31">
        <f t="shared" si="835"/>
        <v>4.2128019250951132</v>
      </c>
      <c r="AV418" s="25">
        <f t="shared" si="836"/>
        <v>4.4561443849097095</v>
      </c>
      <c r="AW418" s="32">
        <f t="shared" si="837"/>
        <v>0.24334245981459635</v>
      </c>
      <c r="AX418" s="33">
        <f t="shared" si="838"/>
        <v>5.7762615983684623E-2</v>
      </c>
      <c r="AZ418" s="31">
        <f t="shared" si="819"/>
        <v>4.3284999340617567</v>
      </c>
      <c r="BA418" s="25">
        <f t="shared" si="820"/>
        <v>4.873426179973988</v>
      </c>
      <c r="BB418" s="32">
        <f t="shared" si="839"/>
        <v>0.54492624591223127</v>
      </c>
      <c r="BC418" s="33">
        <f t="shared" si="840"/>
        <v>0.12589263121482505</v>
      </c>
      <c r="BE418" s="31">
        <f t="shared" si="841"/>
        <v>4.3851978364885635</v>
      </c>
      <c r="BF418" s="25">
        <f t="shared" si="842"/>
        <v>2.7114612352847196</v>
      </c>
      <c r="BG418" s="32">
        <f t="shared" si="843"/>
        <v>-1.6737366012038439</v>
      </c>
      <c r="BH418" s="33">
        <f t="shared" si="844"/>
        <v>-0.38167869811412758</v>
      </c>
      <c r="BJ418" s="31">
        <f t="shared" si="821"/>
        <v>4.444891005032666</v>
      </c>
      <c r="BK418" s="25">
        <f t="shared" si="822"/>
        <v>2.7203999999999997</v>
      </c>
      <c r="BL418" s="32">
        <f t="shared" si="823"/>
        <v>-1.7244910050326663</v>
      </c>
      <c r="BM418" s="33">
        <f t="shared" si="824"/>
        <v>-0.38797149425714494</v>
      </c>
      <c r="BO418" s="62"/>
      <c r="BP418" s="62"/>
      <c r="BQ418" s="62"/>
      <c r="BR418" s="63"/>
    </row>
    <row r="419" spans="2:70">
      <c r="B419" s="1284"/>
      <c r="D419" s="5" t="s">
        <v>166</v>
      </c>
      <c r="E419" s="87">
        <v>3.2654352952749117</v>
      </c>
      <c r="F419" s="87">
        <v>3.3022259766469393</v>
      </c>
      <c r="G419" s="87">
        <v>3.3036315143032438</v>
      </c>
      <c r="H419" s="87">
        <v>3.5274836884594341</v>
      </c>
      <c r="I419" s="87">
        <v>3.5470774412354285</v>
      </c>
      <c r="J419" s="87">
        <v>3.4349236651740265</v>
      </c>
      <c r="K419" s="87">
        <v>3.466087928289578</v>
      </c>
      <c r="L419" s="87">
        <v>3.5037164874262707</v>
      </c>
      <c r="N419" s="29">
        <v>3.2654352952749117</v>
      </c>
      <c r="O419" s="29">
        <v>3.3022259766469393</v>
      </c>
      <c r="P419" s="29">
        <v>3.3036315143032438</v>
      </c>
      <c r="Q419" s="29">
        <v>3.5274836884594341</v>
      </c>
      <c r="R419" s="29">
        <v>3.5470774412354285</v>
      </c>
      <c r="S419" s="29">
        <v>3.4349236651740265</v>
      </c>
      <c r="T419" s="29">
        <v>3.466087928289578</v>
      </c>
      <c r="U419" s="29">
        <v>3.5037164874262707</v>
      </c>
      <c r="W419" s="30">
        <v>4.2371594299877042</v>
      </c>
      <c r="X419" s="30">
        <v>4.2860079391075958</v>
      </c>
      <c r="Y419" s="30">
        <v>4.6679132939019592</v>
      </c>
      <c r="Z419" s="30">
        <v>3.7751965825179661</v>
      </c>
      <c r="AA419" s="30">
        <v>4.6038519807873604</v>
      </c>
      <c r="AB419" s="85">
        <v>5.3878048482664616</v>
      </c>
      <c r="AC419" s="85">
        <v>2.8508</v>
      </c>
      <c r="AD419" s="90">
        <v>0</v>
      </c>
      <c r="AF419" s="29">
        <f t="shared" si="825"/>
        <v>3.2654352952749117</v>
      </c>
      <c r="AG419" s="30">
        <f t="shared" si="826"/>
        <v>4.2371594299877042</v>
      </c>
      <c r="AH419" s="32">
        <f t="shared" si="827"/>
        <v>0.97172413471279251</v>
      </c>
      <c r="AI419" s="33">
        <f t="shared" si="828"/>
        <v>0.29757874428529585</v>
      </c>
      <c r="AK419" s="29">
        <f t="shared" si="817"/>
        <v>3.3022259766469393</v>
      </c>
      <c r="AL419" s="30">
        <f t="shared" si="818"/>
        <v>4.2860079391075958</v>
      </c>
      <c r="AM419" s="32">
        <f t="shared" si="829"/>
        <v>0.98378196246065652</v>
      </c>
      <c r="AN419" s="33">
        <f t="shared" si="830"/>
        <v>0.29791479124017517</v>
      </c>
      <c r="AP419" s="29">
        <f t="shared" si="831"/>
        <v>3.3036315143032438</v>
      </c>
      <c r="AQ419" s="30">
        <f t="shared" si="832"/>
        <v>4.6679132939019592</v>
      </c>
      <c r="AR419" s="32">
        <f t="shared" si="833"/>
        <v>1.3642817795987154</v>
      </c>
      <c r="AS419" s="33">
        <f t="shared" si="834"/>
        <v>0.4129642708915891</v>
      </c>
      <c r="AU419" s="31">
        <f t="shared" si="835"/>
        <v>3.5274836884594341</v>
      </c>
      <c r="AV419" s="25">
        <f t="shared" si="836"/>
        <v>3.7751965825179661</v>
      </c>
      <c r="AW419" s="32">
        <f t="shared" si="837"/>
        <v>0.24771289405853203</v>
      </c>
      <c r="AX419" s="33">
        <f t="shared" si="838"/>
        <v>7.0223682357186526E-2</v>
      </c>
      <c r="AZ419" s="31">
        <f t="shared" si="819"/>
        <v>3.5470774412354285</v>
      </c>
      <c r="BA419" s="25">
        <f t="shared" si="820"/>
        <v>4.6038519807873604</v>
      </c>
      <c r="BB419" s="32">
        <f t="shared" si="839"/>
        <v>1.0567745395519319</v>
      </c>
      <c r="BC419" s="33">
        <f t="shared" si="840"/>
        <v>0.29792824009612345</v>
      </c>
      <c r="BE419" s="31">
        <f t="shared" si="841"/>
        <v>3.4349236651740265</v>
      </c>
      <c r="BF419" s="25">
        <f t="shared" si="842"/>
        <v>5.3878048482664616</v>
      </c>
      <c r="BG419" s="32">
        <f t="shared" si="843"/>
        <v>1.9528811830924351</v>
      </c>
      <c r="BH419" s="33">
        <f t="shared" si="844"/>
        <v>0.56853699629260745</v>
      </c>
      <c r="BJ419" s="31">
        <f t="shared" si="821"/>
        <v>3.466087928289578</v>
      </c>
      <c r="BK419" s="25">
        <f t="shared" si="822"/>
        <v>2.8508</v>
      </c>
      <c r="BL419" s="32">
        <f t="shared" si="823"/>
        <v>-0.61528792828957801</v>
      </c>
      <c r="BM419" s="33">
        <f t="shared" si="824"/>
        <v>-0.17751653766995062</v>
      </c>
      <c r="BO419" s="62"/>
      <c r="BP419" s="62"/>
      <c r="BQ419" s="62"/>
      <c r="BR419" s="63"/>
    </row>
    <row r="420" spans="2:70">
      <c r="B420" s="1284"/>
      <c r="D420" s="5" t="s">
        <v>167</v>
      </c>
      <c r="E420" s="87">
        <v>4.6515986179091611</v>
      </c>
      <c r="F420" s="87">
        <v>4.5920836796780291</v>
      </c>
      <c r="G420" s="87">
        <v>4.5869731120491375</v>
      </c>
      <c r="H420" s="87">
        <v>4.5828521562618665</v>
      </c>
      <c r="I420" s="87">
        <v>4.5853490485973341</v>
      </c>
      <c r="J420" s="87">
        <v>4.4210402276127159</v>
      </c>
      <c r="K420" s="87">
        <v>4.4538941170495088</v>
      </c>
      <c r="L420" s="87">
        <v>4.4216927783638242</v>
      </c>
      <c r="N420" s="29">
        <v>4.6515986179091611</v>
      </c>
      <c r="O420" s="29">
        <v>4.5920836796780291</v>
      </c>
      <c r="P420" s="29">
        <v>4.5869731120491375</v>
      </c>
      <c r="Q420" s="29">
        <v>4.5828521562618665</v>
      </c>
      <c r="R420" s="29">
        <v>4.5853490485973341</v>
      </c>
      <c r="S420" s="29">
        <v>4.4210402276127159</v>
      </c>
      <c r="T420" s="29">
        <v>4.4538941170495088</v>
      </c>
      <c r="U420" s="29">
        <v>4.4216927783638242</v>
      </c>
      <c r="W420" s="30">
        <v>6.2966098537965491</v>
      </c>
      <c r="X420" s="30">
        <v>5.8872870894215676</v>
      </c>
      <c r="Y420" s="30">
        <v>7.3565389912261558</v>
      </c>
      <c r="Z420" s="30">
        <v>4.9931046761828108</v>
      </c>
      <c r="AA420" s="30">
        <v>5.3319592598454459</v>
      </c>
      <c r="AB420" s="85">
        <v>5.7945134559620897</v>
      </c>
      <c r="AC420" s="85">
        <v>6.5902000000000003</v>
      </c>
      <c r="AD420" s="90">
        <v>0</v>
      </c>
      <c r="AF420" s="29">
        <f t="shared" si="825"/>
        <v>4.6515986179091611</v>
      </c>
      <c r="AG420" s="30">
        <f t="shared" si="826"/>
        <v>6.2966098537965491</v>
      </c>
      <c r="AH420" s="32">
        <f t="shared" si="827"/>
        <v>1.6450112358873881</v>
      </c>
      <c r="AI420" s="33">
        <f t="shared" si="828"/>
        <v>0.35364427823886518</v>
      </c>
      <c r="AK420" s="29">
        <f t="shared" si="817"/>
        <v>4.5920836796780291</v>
      </c>
      <c r="AL420" s="30">
        <f t="shared" si="818"/>
        <v>5.8872870894215676</v>
      </c>
      <c r="AM420" s="32">
        <f t="shared" si="829"/>
        <v>1.2952034097435385</v>
      </c>
      <c r="AN420" s="33">
        <f t="shared" si="830"/>
        <v>0.28205135186786295</v>
      </c>
      <c r="AP420" s="29">
        <f t="shared" si="831"/>
        <v>4.5869731120491375</v>
      </c>
      <c r="AQ420" s="30">
        <f t="shared" si="832"/>
        <v>7.3565389912261558</v>
      </c>
      <c r="AR420" s="32">
        <f t="shared" si="833"/>
        <v>2.7695658791770184</v>
      </c>
      <c r="AS420" s="33">
        <f t="shared" si="834"/>
        <v>0.60378942965719085</v>
      </c>
      <c r="AU420" s="31">
        <f t="shared" si="835"/>
        <v>4.5828521562618665</v>
      </c>
      <c r="AV420" s="25">
        <f t="shared" si="836"/>
        <v>4.9931046761828108</v>
      </c>
      <c r="AW420" s="32">
        <f t="shared" si="837"/>
        <v>0.41025251992094436</v>
      </c>
      <c r="AX420" s="33">
        <f t="shared" si="838"/>
        <v>8.9519038784698315E-2</v>
      </c>
      <c r="AZ420" s="31">
        <f t="shared" si="819"/>
        <v>4.5853490485973341</v>
      </c>
      <c r="BA420" s="25">
        <f t="shared" si="820"/>
        <v>5.3319592598454459</v>
      </c>
      <c r="BB420" s="32">
        <f t="shared" si="839"/>
        <v>0.74661021124811189</v>
      </c>
      <c r="BC420" s="33">
        <f t="shared" si="840"/>
        <v>0.162825164090071</v>
      </c>
      <c r="BE420" s="31">
        <f t="shared" si="841"/>
        <v>4.4210402276127159</v>
      </c>
      <c r="BF420" s="25">
        <f t="shared" si="842"/>
        <v>5.7945134559620897</v>
      </c>
      <c r="BG420" s="32">
        <f t="shared" si="843"/>
        <v>1.3734732283493738</v>
      </c>
      <c r="BH420" s="33">
        <f t="shared" si="844"/>
        <v>0.31066743518210987</v>
      </c>
      <c r="BJ420" s="31">
        <f t="shared" si="821"/>
        <v>4.4538941170495088</v>
      </c>
      <c r="BK420" s="25">
        <f t="shared" si="822"/>
        <v>6.5902000000000003</v>
      </c>
      <c r="BL420" s="32">
        <f t="shared" si="823"/>
        <v>2.1363058829504915</v>
      </c>
      <c r="BM420" s="33">
        <f t="shared" si="824"/>
        <v>0.47964900529914073</v>
      </c>
      <c r="BO420" s="62"/>
      <c r="BP420" s="62"/>
      <c r="BQ420" s="62"/>
      <c r="BR420" s="63"/>
    </row>
    <row r="421" spans="2:70">
      <c r="B421" s="1284"/>
      <c r="D421" s="5" t="s">
        <v>168</v>
      </c>
      <c r="E421" s="87">
        <v>1.9421483110044768</v>
      </c>
      <c r="F421" s="87">
        <v>1.7716135922862408</v>
      </c>
      <c r="G421" s="87">
        <v>1.7640255752631999</v>
      </c>
      <c r="H421" s="87">
        <v>2.2406138519009375</v>
      </c>
      <c r="I421" s="87">
        <v>3.0513287964181033</v>
      </c>
      <c r="J421" s="87">
        <v>2.2638224915763518</v>
      </c>
      <c r="K421" s="87">
        <v>3.3447690705669788</v>
      </c>
      <c r="L421" s="87">
        <v>3.1600913065967977</v>
      </c>
      <c r="N421" s="29">
        <v>2.7286848144954843</v>
      </c>
      <c r="O421" s="29">
        <v>2.661259412385804</v>
      </c>
      <c r="P421" s="29">
        <v>2.1625290847502932</v>
      </c>
      <c r="Q421" s="29">
        <v>2.1045192250009652</v>
      </c>
      <c r="R421" s="29">
        <v>2.3462197260074618</v>
      </c>
      <c r="S421" s="29">
        <v>2.1165170555068467</v>
      </c>
      <c r="T421" s="29">
        <v>2.1918446083310696</v>
      </c>
      <c r="U421" s="29">
        <v>2.0440177252814649</v>
      </c>
      <c r="W421" s="30">
        <v>3.507069532187566</v>
      </c>
      <c r="X421" s="30">
        <v>1.9810516360258177</v>
      </c>
      <c r="Y421" s="30">
        <v>2.8036996935971281</v>
      </c>
      <c r="Z421" s="30">
        <v>2.6725333947959267</v>
      </c>
      <c r="AA421" s="30">
        <v>1.6758462504126168</v>
      </c>
      <c r="AB421" s="85">
        <v>1.259671699429999</v>
      </c>
      <c r="AC421" s="85">
        <v>1.6714482899650285</v>
      </c>
      <c r="AD421" s="90">
        <v>0</v>
      </c>
      <c r="AF421" s="29">
        <f t="shared" si="825"/>
        <v>2.7286848144954843</v>
      </c>
      <c r="AG421" s="30">
        <f t="shared" si="826"/>
        <v>3.507069532187566</v>
      </c>
      <c r="AH421" s="32">
        <f t="shared" si="827"/>
        <v>0.77838471769208173</v>
      </c>
      <c r="AI421" s="33">
        <f t="shared" si="828"/>
        <v>0.28526003207006517</v>
      </c>
      <c r="AK421" s="29">
        <f t="shared" si="817"/>
        <v>2.661259412385804</v>
      </c>
      <c r="AL421" s="30">
        <f t="shared" si="818"/>
        <v>1.9810516360258177</v>
      </c>
      <c r="AM421" s="32">
        <f t="shared" si="829"/>
        <v>-0.6802077763599863</v>
      </c>
      <c r="AN421" s="33">
        <f t="shared" si="830"/>
        <v>-0.25559619373978426</v>
      </c>
      <c r="AP421" s="29">
        <f t="shared" si="831"/>
        <v>2.1625290847502932</v>
      </c>
      <c r="AQ421" s="30">
        <f t="shared" si="832"/>
        <v>2.8036996935971281</v>
      </c>
      <c r="AR421" s="32">
        <f t="shared" si="833"/>
        <v>0.64117060884683497</v>
      </c>
      <c r="AS421" s="33">
        <f t="shared" si="834"/>
        <v>0.29649109155027659</v>
      </c>
      <c r="AU421" s="31">
        <f t="shared" si="835"/>
        <v>2.1045192250009652</v>
      </c>
      <c r="AV421" s="25">
        <f t="shared" si="836"/>
        <v>2.6725333947959267</v>
      </c>
      <c r="AW421" s="32">
        <f t="shared" si="837"/>
        <v>0.56801416979496144</v>
      </c>
      <c r="AX421" s="33">
        <f t="shared" si="838"/>
        <v>0.26990210545342058</v>
      </c>
      <c r="AZ421" s="31">
        <f t="shared" si="819"/>
        <v>2.3462197260074618</v>
      </c>
      <c r="BA421" s="25">
        <f t="shared" si="820"/>
        <v>1.6758462504126168</v>
      </c>
      <c r="BB421" s="32">
        <f t="shared" si="839"/>
        <v>-0.67037347559484495</v>
      </c>
      <c r="BC421" s="33">
        <f t="shared" si="840"/>
        <v>-0.28572493367260732</v>
      </c>
      <c r="BE421" s="31">
        <f t="shared" si="841"/>
        <v>2.1165170555068467</v>
      </c>
      <c r="BF421" s="25">
        <f t="shared" si="842"/>
        <v>1.259671699429999</v>
      </c>
      <c r="BG421" s="32">
        <f t="shared" si="843"/>
        <v>-0.85684535607684764</v>
      </c>
      <c r="BH421" s="33">
        <f t="shared" si="844"/>
        <v>-0.40483744454006165</v>
      </c>
      <c r="BJ421" s="31">
        <f t="shared" si="821"/>
        <v>2.1918446083310696</v>
      </c>
      <c r="BK421" s="25">
        <f t="shared" si="822"/>
        <v>1.6714482899650285</v>
      </c>
      <c r="BL421" s="32">
        <f t="shared" si="823"/>
        <v>-0.52039631836604117</v>
      </c>
      <c r="BM421" s="33">
        <f t="shared" si="824"/>
        <v>-0.23742391061302706</v>
      </c>
      <c r="BO421" s="62"/>
      <c r="BP421" s="62"/>
      <c r="BQ421" s="62"/>
      <c r="BR421" s="63"/>
    </row>
    <row r="422" spans="2:70">
      <c r="B422" s="1284"/>
      <c r="D422" s="5" t="s">
        <v>169</v>
      </c>
      <c r="E422" s="87">
        <v>2.9292312815228083</v>
      </c>
      <c r="F422" s="87">
        <v>3.1332415685229122</v>
      </c>
      <c r="G422" s="87">
        <v>3.7819749109025094</v>
      </c>
      <c r="H422" s="87">
        <v>3.5883595476506853</v>
      </c>
      <c r="I422" s="87">
        <v>4.5443293164108027</v>
      </c>
      <c r="J422" s="87">
        <v>5.0034043388023548</v>
      </c>
      <c r="K422" s="87">
        <v>5.2438412945843496</v>
      </c>
      <c r="L422" s="87">
        <v>3.6560019416331819</v>
      </c>
      <c r="N422" s="29">
        <v>3.4156269271227191</v>
      </c>
      <c r="O422" s="29">
        <v>3.8271775291703141</v>
      </c>
      <c r="P422" s="29">
        <v>3.623776488637795</v>
      </c>
      <c r="Q422" s="29">
        <v>3.5574751264173878</v>
      </c>
      <c r="R422" s="29">
        <v>3.7194846027631163</v>
      </c>
      <c r="S422" s="29">
        <v>3.789308957527719</v>
      </c>
      <c r="T422" s="29">
        <v>3.669395649200033</v>
      </c>
      <c r="U422" s="29">
        <v>3.1744221870173028</v>
      </c>
      <c r="W422" s="30">
        <v>2.6089524712032417</v>
      </c>
      <c r="X422" s="30">
        <v>1.2061110708674911</v>
      </c>
      <c r="Y422" s="30">
        <v>2.3688852190919913</v>
      </c>
      <c r="Z422" s="30">
        <v>3.6017136533566365</v>
      </c>
      <c r="AA422" s="30">
        <v>1.1678981548563012</v>
      </c>
      <c r="AB422" s="85">
        <v>0.69313105061640579</v>
      </c>
      <c r="AC422" s="85">
        <v>0.97828320883341435</v>
      </c>
      <c r="AD422" s="90">
        <v>0</v>
      </c>
      <c r="AF422" s="29">
        <f t="shared" si="825"/>
        <v>3.4156269271227191</v>
      </c>
      <c r="AG422" s="30">
        <f t="shared" si="826"/>
        <v>2.6089524712032417</v>
      </c>
      <c r="AH422" s="32">
        <f t="shared" si="827"/>
        <v>-0.8066744559194774</v>
      </c>
      <c r="AI422" s="33">
        <f t="shared" si="828"/>
        <v>-0.23617171111805521</v>
      </c>
      <c r="AK422" s="29">
        <f t="shared" si="817"/>
        <v>3.8271775291703141</v>
      </c>
      <c r="AL422" s="30">
        <f t="shared" si="818"/>
        <v>1.2061110708674911</v>
      </c>
      <c r="AM422" s="32">
        <f t="shared" si="829"/>
        <v>-2.6210664583028231</v>
      </c>
      <c r="AN422" s="33">
        <f t="shared" si="830"/>
        <v>-0.6848562519834398</v>
      </c>
      <c r="AP422" s="29">
        <f t="shared" si="831"/>
        <v>3.623776488637795</v>
      </c>
      <c r="AQ422" s="30">
        <f t="shared" si="832"/>
        <v>2.3688852190919913</v>
      </c>
      <c r="AR422" s="32">
        <f t="shared" si="833"/>
        <v>-1.2548912695458037</v>
      </c>
      <c r="AS422" s="33">
        <f t="shared" si="834"/>
        <v>-0.34629378315148979</v>
      </c>
      <c r="AU422" s="31">
        <f t="shared" si="835"/>
        <v>3.5574751264173878</v>
      </c>
      <c r="AV422" s="25">
        <f t="shared" si="836"/>
        <v>3.6017136533566365</v>
      </c>
      <c r="AW422" s="32">
        <f t="shared" si="837"/>
        <v>4.4238526939248679E-2</v>
      </c>
      <c r="AX422" s="33">
        <f t="shared" si="838"/>
        <v>1.2435372101617418E-2</v>
      </c>
      <c r="AZ422" s="31">
        <f t="shared" si="819"/>
        <v>3.7194846027631163</v>
      </c>
      <c r="BA422" s="25">
        <f t="shared" si="820"/>
        <v>1.1678981548563012</v>
      </c>
      <c r="BB422" s="32">
        <f t="shared" si="839"/>
        <v>-2.5515864479068151</v>
      </c>
      <c r="BC422" s="33">
        <f t="shared" si="840"/>
        <v>-0.6860053798881981</v>
      </c>
      <c r="BE422" s="31">
        <f t="shared" si="841"/>
        <v>3.789308957527719</v>
      </c>
      <c r="BF422" s="25">
        <f t="shared" si="842"/>
        <v>0.69313105061640579</v>
      </c>
      <c r="BG422" s="32">
        <f t="shared" si="843"/>
        <v>-3.0961779069113131</v>
      </c>
      <c r="BH422" s="33">
        <f t="shared" si="844"/>
        <v>-0.81708246585714417</v>
      </c>
      <c r="BJ422" s="31">
        <f t="shared" si="821"/>
        <v>3.669395649200033</v>
      </c>
      <c r="BK422" s="25">
        <f t="shared" si="822"/>
        <v>0.97828320883341435</v>
      </c>
      <c r="BL422" s="32">
        <f t="shared" si="823"/>
        <v>-2.6911124403666187</v>
      </c>
      <c r="BM422" s="33">
        <f t="shared" si="824"/>
        <v>-0.7333939148680545</v>
      </c>
      <c r="BO422" s="62"/>
      <c r="BP422" s="62"/>
      <c r="BQ422" s="62"/>
      <c r="BR422" s="63"/>
    </row>
    <row r="423" spans="2:70">
      <c r="B423" s="1284"/>
      <c r="D423" s="5" t="s">
        <v>170</v>
      </c>
      <c r="E423" s="87">
        <v>6.0762154834240016</v>
      </c>
      <c r="F423" s="87">
        <v>4.6440990992613438</v>
      </c>
      <c r="G423" s="87">
        <v>4.2736333971410092</v>
      </c>
      <c r="H423" s="87">
        <v>4.333350688589575</v>
      </c>
      <c r="I423" s="87">
        <v>4.8789153878501619</v>
      </c>
      <c r="J423" s="87">
        <v>4.9785993745904964</v>
      </c>
      <c r="K423" s="87">
        <v>5.4629522650403777</v>
      </c>
      <c r="L423" s="87">
        <v>5.7125504115649335</v>
      </c>
      <c r="N423" s="29">
        <v>4.640513264208086</v>
      </c>
      <c r="O423" s="29">
        <v>4.3691143078963783</v>
      </c>
      <c r="P423" s="29">
        <v>4.4113629562791967</v>
      </c>
      <c r="Q423" s="29">
        <v>4.5678857707453879</v>
      </c>
      <c r="R423" s="29">
        <v>4.6040777045285211</v>
      </c>
      <c r="S423" s="29">
        <v>4.2976059795353745</v>
      </c>
      <c r="T423" s="29">
        <v>4.3157967074486283</v>
      </c>
      <c r="U423" s="29">
        <v>4.1414781951479096</v>
      </c>
      <c r="W423" s="30">
        <v>3.359016455856652</v>
      </c>
      <c r="X423" s="30">
        <v>1.3367931213937985</v>
      </c>
      <c r="Y423" s="30">
        <v>2.0353000786449127</v>
      </c>
      <c r="Z423" s="30">
        <v>2.6375369225539993</v>
      </c>
      <c r="AA423" s="30">
        <v>2.5882366237694829</v>
      </c>
      <c r="AB423" s="85">
        <v>3.2529400246326268</v>
      </c>
      <c r="AC423" s="85">
        <v>2.9120125828107883</v>
      </c>
      <c r="AD423" s="90">
        <v>0</v>
      </c>
      <c r="AF423" s="29">
        <f t="shared" si="825"/>
        <v>4.640513264208086</v>
      </c>
      <c r="AG423" s="30">
        <f t="shared" si="826"/>
        <v>3.359016455856652</v>
      </c>
      <c r="AH423" s="32">
        <f t="shared" si="827"/>
        <v>-1.281496808351434</v>
      </c>
      <c r="AI423" s="33">
        <f t="shared" si="828"/>
        <v>-0.27615410955411296</v>
      </c>
      <c r="AK423" s="29">
        <f t="shared" si="817"/>
        <v>4.3691143078963783</v>
      </c>
      <c r="AL423" s="30">
        <f t="shared" si="818"/>
        <v>1.3367931213937985</v>
      </c>
      <c r="AM423" s="32">
        <f t="shared" si="829"/>
        <v>-3.0323211865025801</v>
      </c>
      <c r="AN423" s="33">
        <f t="shared" si="830"/>
        <v>-0.69403567240669617</v>
      </c>
      <c r="AP423" s="29">
        <f t="shared" si="831"/>
        <v>4.4113629562791967</v>
      </c>
      <c r="AQ423" s="30">
        <f t="shared" si="832"/>
        <v>2.0353000786449127</v>
      </c>
      <c r="AR423" s="32">
        <f t="shared" si="833"/>
        <v>-2.376062877634284</v>
      </c>
      <c r="AS423" s="33">
        <f t="shared" si="834"/>
        <v>-0.53862330104852574</v>
      </c>
      <c r="AU423" s="31">
        <f t="shared" si="835"/>
        <v>4.5678857707453879</v>
      </c>
      <c r="AV423" s="25">
        <f t="shared" si="836"/>
        <v>2.6375369225539993</v>
      </c>
      <c r="AW423" s="32">
        <f t="shared" si="837"/>
        <v>-1.9303488481913886</v>
      </c>
      <c r="AX423" s="33">
        <f t="shared" si="838"/>
        <v>-0.42259131359066238</v>
      </c>
      <c r="AZ423" s="31">
        <f t="shared" si="819"/>
        <v>4.6040777045285211</v>
      </c>
      <c r="BA423" s="25">
        <f t="shared" si="820"/>
        <v>2.5882366237694829</v>
      </c>
      <c r="BB423" s="32">
        <f t="shared" si="839"/>
        <v>-2.0158410807590381</v>
      </c>
      <c r="BC423" s="33">
        <f t="shared" si="840"/>
        <v>-0.43783819694795301</v>
      </c>
      <c r="BE423" s="31">
        <f t="shared" si="841"/>
        <v>4.2976059795353745</v>
      </c>
      <c r="BF423" s="25">
        <f t="shared" si="842"/>
        <v>3.2529400246326268</v>
      </c>
      <c r="BG423" s="32">
        <f t="shared" si="843"/>
        <v>-1.0446659549027477</v>
      </c>
      <c r="BH423" s="33">
        <f t="shared" si="844"/>
        <v>-0.24308090594561424</v>
      </c>
      <c r="BJ423" s="31">
        <f t="shared" si="821"/>
        <v>4.3157967074486283</v>
      </c>
      <c r="BK423" s="25">
        <f t="shared" si="822"/>
        <v>2.9120125828107883</v>
      </c>
      <c r="BL423" s="32">
        <f t="shared" si="823"/>
        <v>-1.40378412463784</v>
      </c>
      <c r="BM423" s="33">
        <f t="shared" si="824"/>
        <v>-0.32526650808529761</v>
      </c>
      <c r="BO423" s="62"/>
      <c r="BP423" s="62"/>
      <c r="BQ423" s="62"/>
      <c r="BR423" s="63"/>
    </row>
    <row r="424" spans="2:70">
      <c r="B424" s="1284"/>
      <c r="D424" s="5" t="s">
        <v>171</v>
      </c>
      <c r="E424" s="87">
        <v>9.2392398966789706</v>
      </c>
      <c r="F424" s="87">
        <v>9.256010750921071</v>
      </c>
      <c r="G424" s="87">
        <v>9.1718847500507348</v>
      </c>
      <c r="H424" s="87">
        <v>7.9148125636949107</v>
      </c>
      <c r="I424" s="87">
        <v>7.9672726845237181</v>
      </c>
      <c r="J424" s="87">
        <v>8.198916159728908</v>
      </c>
      <c r="K424" s="87">
        <v>8.2574125073832843</v>
      </c>
      <c r="L424" s="87">
        <v>8.2786272224863833</v>
      </c>
      <c r="N424" s="29">
        <v>7.8241309362910565</v>
      </c>
      <c r="O424" s="29">
        <v>7.7913906237362651</v>
      </c>
      <c r="P424" s="29">
        <v>7.7414537331515669</v>
      </c>
      <c r="Q424" s="29">
        <v>7.1877991811608704</v>
      </c>
      <c r="R424" s="29">
        <v>7.0306952692128313</v>
      </c>
      <c r="S424" s="29">
        <v>6.9290938988381212</v>
      </c>
      <c r="T424" s="29">
        <v>6.3467004054987513</v>
      </c>
      <c r="U424" s="29">
        <v>6.1398204853234128</v>
      </c>
      <c r="W424" s="30">
        <v>2.6519745020177465</v>
      </c>
      <c r="X424" s="30">
        <v>3.9974716100802787</v>
      </c>
      <c r="Y424" s="30">
        <v>4.4711654416903013</v>
      </c>
      <c r="Z424" s="30">
        <v>5.8523761950152497</v>
      </c>
      <c r="AA424" s="30">
        <v>6.003125571518126</v>
      </c>
      <c r="AB424" s="85">
        <v>5.6778252229286483</v>
      </c>
      <c r="AC424" s="85">
        <v>4.0764267029922436</v>
      </c>
      <c r="AD424" s="90">
        <v>0</v>
      </c>
      <c r="AF424" s="29">
        <f t="shared" si="825"/>
        <v>7.8241309362910565</v>
      </c>
      <c r="AG424" s="30">
        <f t="shared" si="826"/>
        <v>2.6519745020177465</v>
      </c>
      <c r="AH424" s="32">
        <f t="shared" si="827"/>
        <v>-5.17215643427331</v>
      </c>
      <c r="AI424" s="33">
        <f t="shared" si="828"/>
        <v>-0.66105187609821803</v>
      </c>
      <c r="AK424" s="29">
        <f t="shared" si="817"/>
        <v>7.7913906237362651</v>
      </c>
      <c r="AL424" s="30">
        <f t="shared" si="818"/>
        <v>3.9974716100802787</v>
      </c>
      <c r="AM424" s="32">
        <f t="shared" si="829"/>
        <v>-3.7939190136559864</v>
      </c>
      <c r="AN424" s="33">
        <f t="shared" si="830"/>
        <v>-0.48693733851540089</v>
      </c>
      <c r="AP424" s="29">
        <f t="shared" si="831"/>
        <v>7.7414537331515669</v>
      </c>
      <c r="AQ424" s="30">
        <f t="shared" si="832"/>
        <v>4.4711654416903013</v>
      </c>
      <c r="AR424" s="32">
        <f t="shared" si="833"/>
        <v>-3.2702882914612657</v>
      </c>
      <c r="AS424" s="33">
        <f t="shared" si="834"/>
        <v>-0.42243852436355289</v>
      </c>
      <c r="AU424" s="31">
        <f t="shared" si="835"/>
        <v>7.1877991811608704</v>
      </c>
      <c r="AV424" s="25">
        <f t="shared" si="836"/>
        <v>5.8523761950152497</v>
      </c>
      <c r="AW424" s="32">
        <f t="shared" si="837"/>
        <v>-1.3354229861456206</v>
      </c>
      <c r="AX424" s="33">
        <f t="shared" si="838"/>
        <v>-0.18579024712400802</v>
      </c>
      <c r="AZ424" s="31">
        <f t="shared" si="819"/>
        <v>7.0306952692128313</v>
      </c>
      <c r="BA424" s="25">
        <f t="shared" si="820"/>
        <v>6.003125571518126</v>
      </c>
      <c r="BB424" s="32">
        <f t="shared" si="839"/>
        <v>-1.0275696976947053</v>
      </c>
      <c r="BC424" s="33">
        <f t="shared" si="840"/>
        <v>-0.1461547767820911</v>
      </c>
      <c r="BE424" s="31">
        <f t="shared" si="841"/>
        <v>6.9290938988381212</v>
      </c>
      <c r="BF424" s="25">
        <f t="shared" si="842"/>
        <v>5.6778252229286483</v>
      </c>
      <c r="BG424" s="32">
        <f t="shared" si="843"/>
        <v>-1.2512686759094729</v>
      </c>
      <c r="BH424" s="33">
        <f t="shared" si="844"/>
        <v>-0.18058186166582144</v>
      </c>
      <c r="BJ424" s="31">
        <f t="shared" si="821"/>
        <v>6.3467004054987513</v>
      </c>
      <c r="BK424" s="25">
        <f t="shared" si="822"/>
        <v>4.0764267029922436</v>
      </c>
      <c r="BL424" s="32">
        <f t="shared" si="823"/>
        <v>-2.2702737025065076</v>
      </c>
      <c r="BM424" s="33">
        <f t="shared" si="824"/>
        <v>-0.35770929104193311</v>
      </c>
      <c r="BO424" s="62"/>
      <c r="BP424" s="62"/>
      <c r="BQ424" s="62"/>
      <c r="BR424" s="63"/>
    </row>
    <row r="425" spans="2:70">
      <c r="B425" s="1284"/>
      <c r="D425" s="5" t="s">
        <v>172</v>
      </c>
      <c r="E425" s="87">
        <v>17.415395503157082</v>
      </c>
      <c r="F425" s="87">
        <v>21.48352524074042</v>
      </c>
      <c r="G425" s="87">
        <v>19.695968306101847</v>
      </c>
      <c r="H425" s="87">
        <v>14.038268623696126</v>
      </c>
      <c r="I425" s="87">
        <v>13.230876196341308</v>
      </c>
      <c r="J425" s="87">
        <v>15.949501966763389</v>
      </c>
      <c r="K425" s="87">
        <v>14.721542926910461</v>
      </c>
      <c r="L425" s="87">
        <v>11.077062512178724</v>
      </c>
      <c r="N425" s="29">
        <v>10.358081469608427</v>
      </c>
      <c r="O425" s="29">
        <v>12.101624646505737</v>
      </c>
      <c r="P425" s="29">
        <v>11.059399791480496</v>
      </c>
      <c r="Q425" s="29">
        <v>9.0985720868156292</v>
      </c>
      <c r="R425" s="29">
        <v>8.735529759645015</v>
      </c>
      <c r="S425" s="29">
        <v>9.4329962421814439</v>
      </c>
      <c r="T425" s="29">
        <v>8.1593576829171344</v>
      </c>
      <c r="U425" s="29">
        <v>6.4486645601165371</v>
      </c>
      <c r="W425" s="30">
        <v>5.143488550103541</v>
      </c>
      <c r="X425" s="30">
        <v>5.2279320648218972</v>
      </c>
      <c r="Y425" s="30">
        <v>9.2593354701229718</v>
      </c>
      <c r="Z425" s="30">
        <v>9.1204838697417721</v>
      </c>
      <c r="AA425" s="30">
        <v>8.1282021031219429</v>
      </c>
      <c r="AB425" s="85">
        <v>3.8359847130033167</v>
      </c>
      <c r="AC425" s="85">
        <v>3.4079534910996019</v>
      </c>
      <c r="AD425" s="90">
        <v>0</v>
      </c>
      <c r="AF425" s="29">
        <f t="shared" si="825"/>
        <v>10.358081469608427</v>
      </c>
      <c r="AG425" s="30">
        <f t="shared" si="826"/>
        <v>5.143488550103541</v>
      </c>
      <c r="AH425" s="32">
        <f t="shared" si="827"/>
        <v>-5.2145929195048861</v>
      </c>
      <c r="AI425" s="33">
        <f t="shared" si="828"/>
        <v>-0.50343231367748809</v>
      </c>
      <c r="AK425" s="29">
        <f t="shared" si="817"/>
        <v>12.101624646505737</v>
      </c>
      <c r="AL425" s="30">
        <f t="shared" si="818"/>
        <v>5.2279320648218972</v>
      </c>
      <c r="AM425" s="32">
        <f t="shared" si="829"/>
        <v>-6.8736925816838399</v>
      </c>
      <c r="AN425" s="33">
        <f t="shared" si="830"/>
        <v>-0.56799750301861929</v>
      </c>
      <c r="AP425" s="29">
        <f t="shared" si="831"/>
        <v>11.059399791480496</v>
      </c>
      <c r="AQ425" s="30">
        <f t="shared" si="832"/>
        <v>9.2593354701229718</v>
      </c>
      <c r="AR425" s="32">
        <f t="shared" si="833"/>
        <v>-1.8000643213575245</v>
      </c>
      <c r="AS425" s="33">
        <f t="shared" si="834"/>
        <v>-0.16276329233926301</v>
      </c>
      <c r="AU425" s="31">
        <f t="shared" si="835"/>
        <v>9.0985720868156292</v>
      </c>
      <c r="AV425" s="25">
        <f t="shared" si="836"/>
        <v>9.1204838697417721</v>
      </c>
      <c r="AW425" s="32">
        <f t="shared" si="837"/>
        <v>2.191178292614282E-2</v>
      </c>
      <c r="AX425" s="33">
        <f t="shared" si="838"/>
        <v>2.4082661231968798E-3</v>
      </c>
      <c r="AZ425" s="31">
        <f t="shared" si="819"/>
        <v>8.735529759645015</v>
      </c>
      <c r="BA425" s="25">
        <f t="shared" si="820"/>
        <v>8.1282021031219429</v>
      </c>
      <c r="BB425" s="32">
        <f t="shared" si="839"/>
        <v>-0.60732765652307208</v>
      </c>
      <c r="BC425" s="33">
        <f t="shared" si="840"/>
        <v>-6.9523849524124562E-2</v>
      </c>
      <c r="BE425" s="31">
        <f t="shared" si="841"/>
        <v>9.4329962421814439</v>
      </c>
      <c r="BF425" s="25">
        <f t="shared" si="842"/>
        <v>3.8359847130033167</v>
      </c>
      <c r="BG425" s="32">
        <f t="shared" si="843"/>
        <v>-5.5970115291781273</v>
      </c>
      <c r="BH425" s="33">
        <f t="shared" si="844"/>
        <v>-0.59334397952476881</v>
      </c>
      <c r="BJ425" s="31">
        <f t="shared" si="821"/>
        <v>8.1593576829171344</v>
      </c>
      <c r="BK425" s="25">
        <f t="shared" si="822"/>
        <v>3.4079534910996019</v>
      </c>
      <c r="BL425" s="32">
        <f t="shared" si="823"/>
        <v>-4.7514041918175325</v>
      </c>
      <c r="BM425" s="33">
        <f t="shared" si="824"/>
        <v>-0.5823257634317619</v>
      </c>
      <c r="BO425" s="62"/>
      <c r="BP425" s="62"/>
      <c r="BQ425" s="62"/>
      <c r="BR425" s="63"/>
    </row>
    <row r="426" spans="2:70">
      <c r="B426" s="1284"/>
      <c r="D426" s="5" t="s">
        <v>28</v>
      </c>
      <c r="E426" s="87">
        <v>4.8025989521001371</v>
      </c>
      <c r="F426" s="87">
        <v>4.7139837566387781</v>
      </c>
      <c r="G426" s="87">
        <v>4.7850951953658019</v>
      </c>
      <c r="H426" s="87">
        <v>4.6738500106638252</v>
      </c>
      <c r="I426" s="87">
        <v>4.7364507603056296</v>
      </c>
      <c r="J426" s="87">
        <v>4.6485773138300983</v>
      </c>
      <c r="K426" s="87">
        <v>4.7144347981153345</v>
      </c>
      <c r="L426" s="87">
        <v>4.6001494697098702</v>
      </c>
      <c r="N426" s="29">
        <v>4.8962782432274992</v>
      </c>
      <c r="O426" s="29">
        <v>4.8012125221245547</v>
      </c>
      <c r="P426" s="29">
        <v>4.6086521392077895</v>
      </c>
      <c r="Q426" s="29">
        <v>4.5610020986810476</v>
      </c>
      <c r="R426" s="29">
        <v>4.5825998628050906</v>
      </c>
      <c r="S426" s="29">
        <v>4.5261442855495169</v>
      </c>
      <c r="T426" s="29">
        <v>4.5476031772380177</v>
      </c>
      <c r="U426" s="29">
        <v>4.4204922058129323</v>
      </c>
      <c r="W426" s="30">
        <v>1.8993507556192157</v>
      </c>
      <c r="X426" s="30">
        <v>0.40937325573889016</v>
      </c>
      <c r="Y426" s="30">
        <v>0.98826294892531319</v>
      </c>
      <c r="Z426" s="30">
        <v>1.2248174513551333</v>
      </c>
      <c r="AA426" s="30">
        <v>2.3334807102911492</v>
      </c>
      <c r="AB426" s="85">
        <v>1.5384872724737992</v>
      </c>
      <c r="AC426" s="85">
        <v>1.16658222</v>
      </c>
      <c r="AD426" s="90">
        <v>0</v>
      </c>
      <c r="AF426" s="29">
        <f t="shared" si="825"/>
        <v>4.8962782432274992</v>
      </c>
      <c r="AG426" s="30">
        <f t="shared" si="826"/>
        <v>1.8993507556192157</v>
      </c>
      <c r="AH426" s="32">
        <f t="shared" si="827"/>
        <v>-2.9969274876082834</v>
      </c>
      <c r="AI426" s="33">
        <f t="shared" si="828"/>
        <v>-0.61208275729705808</v>
      </c>
      <c r="AK426" s="29">
        <f t="shared" si="817"/>
        <v>4.8012125221245547</v>
      </c>
      <c r="AL426" s="30">
        <f t="shared" si="818"/>
        <v>0.40937325573889016</v>
      </c>
      <c r="AM426" s="32">
        <f t="shared" si="829"/>
        <v>-4.3918392663856647</v>
      </c>
      <c r="AN426" s="33">
        <f t="shared" si="830"/>
        <v>-0.91473544362961445</v>
      </c>
      <c r="AP426" s="29">
        <f t="shared" si="831"/>
        <v>4.6086521392077895</v>
      </c>
      <c r="AQ426" s="30">
        <f t="shared" si="832"/>
        <v>0.98826294892531319</v>
      </c>
      <c r="AR426" s="32">
        <f t="shared" si="833"/>
        <v>-3.6203891902824763</v>
      </c>
      <c r="AS426" s="33">
        <f t="shared" si="834"/>
        <v>-0.78556356195388788</v>
      </c>
      <c r="AU426" s="31">
        <f t="shared" si="835"/>
        <v>4.5610020986810476</v>
      </c>
      <c r="AV426" s="25">
        <f t="shared" si="836"/>
        <v>1.2248174513551333</v>
      </c>
      <c r="AW426" s="32">
        <f t="shared" si="837"/>
        <v>-3.336184647325914</v>
      </c>
      <c r="AX426" s="33">
        <f t="shared" si="838"/>
        <v>-0.731458695949882</v>
      </c>
      <c r="AZ426" s="31">
        <f t="shared" si="819"/>
        <v>4.5825998628050906</v>
      </c>
      <c r="BA426" s="25">
        <f t="shared" si="820"/>
        <v>2.3334807102911492</v>
      </c>
      <c r="BB426" s="32">
        <f t="shared" si="839"/>
        <v>-2.2491191525139413</v>
      </c>
      <c r="BC426" s="33">
        <f t="shared" si="840"/>
        <v>-0.49079544796590985</v>
      </c>
      <c r="BE426" s="31">
        <f t="shared" si="841"/>
        <v>4.5261442855495169</v>
      </c>
      <c r="BF426" s="25">
        <f t="shared" si="842"/>
        <v>1.5384872724737992</v>
      </c>
      <c r="BG426" s="32">
        <f t="shared" si="843"/>
        <v>-2.9876570130757178</v>
      </c>
      <c r="BH426" s="33">
        <f t="shared" si="844"/>
        <v>-0.66008876973151731</v>
      </c>
      <c r="BJ426" s="31">
        <f t="shared" si="821"/>
        <v>4.5476031772380177</v>
      </c>
      <c r="BK426" s="25">
        <f t="shared" si="822"/>
        <v>1.16658222</v>
      </c>
      <c r="BL426" s="32">
        <f t="shared" si="823"/>
        <v>-3.3810209572380177</v>
      </c>
      <c r="BM426" s="33">
        <f t="shared" si="824"/>
        <v>-0.74347317157331161</v>
      </c>
      <c r="BO426" s="62"/>
      <c r="BP426" s="62"/>
      <c r="BQ426" s="62"/>
      <c r="BR426" s="63"/>
    </row>
    <row r="427" spans="2:70">
      <c r="B427" s="1284"/>
      <c r="D427" s="5" t="s">
        <v>173</v>
      </c>
      <c r="E427" s="87">
        <v>15.88011311123342</v>
      </c>
      <c r="F427" s="87">
        <v>15.191260353981376</v>
      </c>
      <c r="G427" s="87">
        <v>17.942957442122747</v>
      </c>
      <c r="H427" s="87">
        <v>15.883102168996626</v>
      </c>
      <c r="I427" s="87">
        <v>15.451345136004496</v>
      </c>
      <c r="J427" s="87">
        <v>14.098987499779506</v>
      </c>
      <c r="K427" s="87">
        <v>13.595497123564</v>
      </c>
      <c r="L427" s="87">
        <v>17.432189814121195</v>
      </c>
      <c r="N427" s="29">
        <v>15.11514900922551</v>
      </c>
      <c r="O427" s="29">
        <v>14.850067326293985</v>
      </c>
      <c r="P427" s="29">
        <v>15.057830960129683</v>
      </c>
      <c r="Q427" s="29">
        <v>14.088773257886558</v>
      </c>
      <c r="R427" s="29">
        <v>13.430577445894652</v>
      </c>
      <c r="S427" s="29">
        <v>12.493360928893049</v>
      </c>
      <c r="T427" s="29">
        <v>12.179855682349219</v>
      </c>
      <c r="U427" s="29">
        <v>13.280272533347803</v>
      </c>
      <c r="W427" s="30">
        <v>10.855590678594814</v>
      </c>
      <c r="X427" s="30">
        <v>5.2912829228068015</v>
      </c>
      <c r="Y427" s="30">
        <v>9.5939841510852339</v>
      </c>
      <c r="Z427" s="30">
        <v>20.251957113187768</v>
      </c>
      <c r="AA427" s="30">
        <v>10.72278436055519</v>
      </c>
      <c r="AB427" s="85">
        <v>7.8243687950377181</v>
      </c>
      <c r="AC427" s="85">
        <v>6.3719969199999991</v>
      </c>
      <c r="AD427" s="90">
        <v>0</v>
      </c>
      <c r="AF427" s="29">
        <f t="shared" si="825"/>
        <v>15.11514900922551</v>
      </c>
      <c r="AG427" s="30">
        <f t="shared" si="826"/>
        <v>10.855590678594814</v>
      </c>
      <c r="AH427" s="32">
        <f t="shared" si="827"/>
        <v>-4.2595583306306963</v>
      </c>
      <c r="AI427" s="33">
        <f t="shared" si="828"/>
        <v>-0.2818072337911377</v>
      </c>
      <c r="AK427" s="29">
        <f t="shared" si="817"/>
        <v>14.850067326293985</v>
      </c>
      <c r="AL427" s="30">
        <f t="shared" si="818"/>
        <v>5.2912829228068015</v>
      </c>
      <c r="AM427" s="32">
        <f t="shared" si="829"/>
        <v>-9.5587844034871843</v>
      </c>
      <c r="AN427" s="33">
        <f t="shared" si="830"/>
        <v>-0.64368626710278321</v>
      </c>
      <c r="AP427" s="29">
        <f t="shared" si="831"/>
        <v>15.057830960129683</v>
      </c>
      <c r="AQ427" s="30">
        <f t="shared" si="832"/>
        <v>9.5939841510852339</v>
      </c>
      <c r="AR427" s="32">
        <f t="shared" si="833"/>
        <v>-5.4638468090444494</v>
      </c>
      <c r="AS427" s="33">
        <f t="shared" si="834"/>
        <v>-0.36285749411795715</v>
      </c>
      <c r="AU427" s="31">
        <f t="shared" si="835"/>
        <v>14.088773257886558</v>
      </c>
      <c r="AV427" s="25">
        <f t="shared" si="836"/>
        <v>20.251957113187768</v>
      </c>
      <c r="AW427" s="32">
        <f t="shared" si="837"/>
        <v>6.1631838553012095</v>
      </c>
      <c r="AX427" s="33">
        <f t="shared" si="838"/>
        <v>0.43745354847351287</v>
      </c>
      <c r="AZ427" s="31">
        <f t="shared" si="819"/>
        <v>13.430577445894652</v>
      </c>
      <c r="BA427" s="25">
        <f t="shared" si="820"/>
        <v>10.72278436055519</v>
      </c>
      <c r="BB427" s="32">
        <f t="shared" si="839"/>
        <v>-2.7077930853394623</v>
      </c>
      <c r="BC427" s="33">
        <f t="shared" si="840"/>
        <v>-0.2016140479624097</v>
      </c>
      <c r="BE427" s="31">
        <f t="shared" si="841"/>
        <v>12.493360928893049</v>
      </c>
      <c r="BF427" s="25">
        <f t="shared" si="842"/>
        <v>7.8243687950377181</v>
      </c>
      <c r="BG427" s="32">
        <f t="shared" si="843"/>
        <v>-4.6689921338553306</v>
      </c>
      <c r="BH427" s="33">
        <f t="shared" si="844"/>
        <v>-0.37371786186513528</v>
      </c>
      <c r="BJ427" s="31">
        <f t="shared" si="821"/>
        <v>12.179855682349219</v>
      </c>
      <c r="BK427" s="25">
        <f t="shared" si="822"/>
        <v>6.3719969199999991</v>
      </c>
      <c r="BL427" s="32">
        <f t="shared" si="823"/>
        <v>-5.8078587623492197</v>
      </c>
      <c r="BM427" s="33">
        <f t="shared" si="824"/>
        <v>-0.47684134474317641</v>
      </c>
      <c r="BO427" s="62"/>
      <c r="BP427" s="62"/>
      <c r="BQ427" s="62"/>
      <c r="BR427" s="63"/>
    </row>
    <row r="428" spans="2:70">
      <c r="B428" s="1284"/>
      <c r="D428" s="4" t="s">
        <v>174</v>
      </c>
      <c r="E428" s="88">
        <f t="shared" ref="E428:L428" si="845">SUM(E414:E427)</f>
        <v>117.78001509311071</v>
      </c>
      <c r="F428" s="88">
        <f t="shared" si="845"/>
        <v>121.10599735774478</v>
      </c>
      <c r="G428" s="88">
        <f t="shared" si="845"/>
        <v>116.82589763531384</v>
      </c>
      <c r="H428" s="88">
        <f t="shared" si="845"/>
        <v>108.43635623935607</v>
      </c>
      <c r="I428" s="88">
        <f t="shared" si="845"/>
        <v>113.60065165599565</v>
      </c>
      <c r="J428" s="88">
        <f t="shared" si="845"/>
        <v>113.68292520493513</v>
      </c>
      <c r="K428" s="88">
        <f t="shared" si="845"/>
        <v>111.55696629548855</v>
      </c>
      <c r="L428" s="88">
        <f t="shared" si="845"/>
        <v>116.59337951881091</v>
      </c>
      <c r="M428" s="1"/>
      <c r="N428" s="81">
        <f t="shared" ref="N428:U428" si="846">SUM(N414:N427)</f>
        <v>104.59122551946565</v>
      </c>
      <c r="O428" s="81">
        <f t="shared" si="846"/>
        <v>104.4790420797264</v>
      </c>
      <c r="P428" s="81">
        <f t="shared" si="846"/>
        <v>100.93517028384699</v>
      </c>
      <c r="Q428" s="81">
        <f t="shared" si="846"/>
        <v>97.005578731919428</v>
      </c>
      <c r="R428" s="81">
        <f t="shared" si="846"/>
        <v>96.226385600860695</v>
      </c>
      <c r="S428" s="81">
        <f t="shared" si="846"/>
        <v>93.901272823776821</v>
      </c>
      <c r="T428" s="81">
        <f t="shared" si="846"/>
        <v>89.584332099954025</v>
      </c>
      <c r="U428" s="81">
        <f t="shared" si="846"/>
        <v>89.68943723495471</v>
      </c>
      <c r="V428" s="1"/>
      <c r="W428" s="85">
        <f t="shared" ref="W428:AD428" si="847">SUM(W414:W427)</f>
        <v>76.353137498998279</v>
      </c>
      <c r="X428" s="85">
        <f t="shared" si="847"/>
        <v>65.510565138406434</v>
      </c>
      <c r="Y428" s="85">
        <f t="shared" si="847"/>
        <v>83.827664880037304</v>
      </c>
      <c r="Z428" s="85">
        <f>SUM(Z414:Z427)</f>
        <v>93.985278011820114</v>
      </c>
      <c r="AA428" s="85">
        <f>SUM(AA414:AA427)</f>
        <v>86.313300819371264</v>
      </c>
      <c r="AB428" s="85">
        <f t="shared" si="847"/>
        <v>74.539762811918962</v>
      </c>
      <c r="AC428" s="85">
        <f t="shared" ref="AC428" si="848">SUM(AC414:AC427)</f>
        <v>63.149360380131434</v>
      </c>
      <c r="AD428" s="91">
        <f t="shared" si="847"/>
        <v>0</v>
      </c>
      <c r="AE428" s="1"/>
      <c r="AF428" s="81">
        <f t="shared" si="825"/>
        <v>104.59122551946565</v>
      </c>
      <c r="AG428" s="85">
        <f t="shared" si="826"/>
        <v>76.353137498998279</v>
      </c>
      <c r="AH428" s="34">
        <f t="shared" si="827"/>
        <v>-28.238088020467373</v>
      </c>
      <c r="AI428" s="35">
        <f t="shared" si="828"/>
        <v>-0.26998524857337991</v>
      </c>
      <c r="AK428" s="81">
        <f t="shared" si="817"/>
        <v>104.4790420797264</v>
      </c>
      <c r="AL428" s="85">
        <f t="shared" si="818"/>
        <v>65.510565138406434</v>
      </c>
      <c r="AM428" s="34">
        <f t="shared" si="829"/>
        <v>-38.968476941319963</v>
      </c>
      <c r="AN428" s="35">
        <f t="shared" si="830"/>
        <v>-0.37297888806813234</v>
      </c>
      <c r="AP428" s="81">
        <f t="shared" si="831"/>
        <v>100.93517028384699</v>
      </c>
      <c r="AQ428" s="85">
        <f t="shared" si="832"/>
        <v>83.827664880037304</v>
      </c>
      <c r="AR428" s="34">
        <f t="shared" si="833"/>
        <v>-17.107505403809682</v>
      </c>
      <c r="AS428" s="35">
        <f t="shared" si="834"/>
        <v>-0.16949003360969667</v>
      </c>
      <c r="AU428" s="949">
        <f t="shared" si="835"/>
        <v>97.005578731919428</v>
      </c>
      <c r="AV428" s="843">
        <f t="shared" si="836"/>
        <v>93.985278011820114</v>
      </c>
      <c r="AW428" s="34">
        <f t="shared" si="837"/>
        <v>-3.0203007200993142</v>
      </c>
      <c r="AX428" s="35">
        <f t="shared" si="838"/>
        <v>-3.1135330148857637E-2</v>
      </c>
      <c r="AZ428" s="949">
        <f t="shared" si="819"/>
        <v>96.226385600860695</v>
      </c>
      <c r="BA428" s="843">
        <f t="shared" si="820"/>
        <v>86.313300819371264</v>
      </c>
      <c r="BB428" s="34">
        <f t="shared" si="839"/>
        <v>-9.913084781489431</v>
      </c>
      <c r="BC428" s="35">
        <f t="shared" si="840"/>
        <v>-0.10301836361814637</v>
      </c>
      <c r="BE428" s="31">
        <f t="shared" si="841"/>
        <v>93.901272823776821</v>
      </c>
      <c r="BF428" s="25">
        <f t="shared" si="842"/>
        <v>74.539762811918962</v>
      </c>
      <c r="BG428" s="32">
        <f t="shared" si="843"/>
        <v>-19.36151001185786</v>
      </c>
      <c r="BH428" s="33">
        <f t="shared" si="844"/>
        <v>-0.20619006994924691</v>
      </c>
      <c r="BJ428" s="31">
        <f t="shared" si="821"/>
        <v>89.584332099954025</v>
      </c>
      <c r="BK428" s="25">
        <f t="shared" si="822"/>
        <v>63.149360380131434</v>
      </c>
      <c r="BL428" s="32">
        <f t="shared" si="823"/>
        <v>-26.434971719822592</v>
      </c>
      <c r="BM428" s="33">
        <f t="shared" si="824"/>
        <v>-0.29508476650054927</v>
      </c>
      <c r="BO428" s="62"/>
      <c r="BP428" s="62"/>
      <c r="BQ428" s="62"/>
      <c r="BR428" s="63"/>
    </row>
    <row r="429" spans="2:70">
      <c r="B429" s="1284"/>
      <c r="D429" s="4" t="s">
        <v>724</v>
      </c>
      <c r="E429" s="88">
        <f t="shared" ref="E429:L429" si="849">E428-SUM(E417:E420)</f>
        <v>101.24253134764299</v>
      </c>
      <c r="F429" s="88">
        <f t="shared" si="849"/>
        <v>104.3553139942634</v>
      </c>
      <c r="G429" s="88">
        <f t="shared" si="849"/>
        <v>100.1492440841306</v>
      </c>
      <c r="H429" s="88">
        <f t="shared" si="849"/>
        <v>91.20166451240641</v>
      </c>
      <c r="I429" s="88">
        <f t="shared" si="849"/>
        <v>96.168881863637978</v>
      </c>
      <c r="J429" s="88">
        <f t="shared" si="849"/>
        <v>96.420375551548005</v>
      </c>
      <c r="K429" s="88">
        <f t="shared" si="849"/>
        <v>94.102561285455749</v>
      </c>
      <c r="L429" s="88">
        <f t="shared" si="849"/>
        <v>99.054777271483573</v>
      </c>
      <c r="M429" s="1"/>
      <c r="N429" s="81">
        <f t="shared" ref="N429:U429" si="850">N428-SUM(N417:N420)</f>
        <v>88.053741773997956</v>
      </c>
      <c r="O429" s="81">
        <f t="shared" si="850"/>
        <v>87.728358716245012</v>
      </c>
      <c r="P429" s="81">
        <f t="shared" si="850"/>
        <v>84.25851673266375</v>
      </c>
      <c r="Q429" s="81">
        <f t="shared" si="850"/>
        <v>79.770887004969765</v>
      </c>
      <c r="R429" s="81">
        <f t="shared" si="850"/>
        <v>78.794615808503011</v>
      </c>
      <c r="S429" s="81">
        <f t="shared" si="850"/>
        <v>76.638723170389682</v>
      </c>
      <c r="T429" s="81">
        <f t="shared" si="850"/>
        <v>72.129927089921239</v>
      </c>
      <c r="U429" s="81">
        <f t="shared" si="850"/>
        <v>72.150834987627377</v>
      </c>
      <c r="V429" s="1"/>
      <c r="W429" s="85">
        <f t="shared" ref="W429:AD429" si="851">W428-SUM(W417:W420)</f>
        <v>48.405492116953582</v>
      </c>
      <c r="X429" s="85">
        <f t="shared" si="851"/>
        <v>37.218873435260683</v>
      </c>
      <c r="Y429" s="85">
        <f t="shared" si="851"/>
        <v>55.232409026442653</v>
      </c>
      <c r="Z429" s="85">
        <f>Z428-SUM(Z417:Z420)</f>
        <v>72.818125404763492</v>
      </c>
      <c r="AA429" s="85">
        <f>AA428-SUM(AA417:AA420)</f>
        <v>63.553444523309444</v>
      </c>
      <c r="AB429" s="85">
        <f t="shared" si="851"/>
        <v>54.220939254551887</v>
      </c>
      <c r="AC429" s="85">
        <f t="shared" ref="AC429" si="852">AC428-SUM(AC417:AC420)</f>
        <v>43.788360380131437</v>
      </c>
      <c r="AD429" s="91">
        <f t="shared" si="851"/>
        <v>0</v>
      </c>
      <c r="AE429" s="1"/>
      <c r="AF429" s="81">
        <f t="shared" si="825"/>
        <v>88.053741773997956</v>
      </c>
      <c r="AG429" s="85">
        <f t="shared" si="826"/>
        <v>48.405492116953582</v>
      </c>
      <c r="AH429" s="34">
        <f t="shared" si="827"/>
        <v>-39.648249657044374</v>
      </c>
      <c r="AI429" s="35">
        <f t="shared" si="828"/>
        <v>-0.45027330875736166</v>
      </c>
      <c r="AK429" s="81">
        <f t="shared" si="817"/>
        <v>87.728358716245012</v>
      </c>
      <c r="AL429" s="85">
        <f t="shared" si="818"/>
        <v>37.218873435260683</v>
      </c>
      <c r="AM429" s="34">
        <f t="shared" si="829"/>
        <v>-50.509485280984329</v>
      </c>
      <c r="AN429" s="35">
        <f t="shared" si="830"/>
        <v>-0.57574866348925879</v>
      </c>
      <c r="AP429" s="81">
        <f t="shared" si="831"/>
        <v>84.25851673266375</v>
      </c>
      <c r="AQ429" s="85">
        <f>Y429</f>
        <v>55.232409026442653</v>
      </c>
      <c r="AR429" s="34">
        <f t="shared" si="833"/>
        <v>-29.026107706221097</v>
      </c>
      <c r="AS429" s="35">
        <f t="shared" si="834"/>
        <v>-0.34448870964955886</v>
      </c>
      <c r="AU429" s="949">
        <f t="shared" si="835"/>
        <v>79.770887004969765</v>
      </c>
      <c r="AV429" s="843">
        <f t="shared" si="836"/>
        <v>72.818125404763492</v>
      </c>
      <c r="AW429" s="34">
        <f t="shared" si="837"/>
        <v>-6.9527616002062729</v>
      </c>
      <c r="AX429" s="35">
        <f t="shared" si="838"/>
        <v>-8.7159136136634813E-2</v>
      </c>
      <c r="AZ429" s="949">
        <f t="shared" si="819"/>
        <v>78.794615808503011</v>
      </c>
      <c r="BA429" s="843">
        <f t="shared" si="820"/>
        <v>63.553444523309444</v>
      </c>
      <c r="BB429" s="34">
        <f t="shared" si="839"/>
        <v>-15.241171285193566</v>
      </c>
      <c r="BC429" s="35">
        <f t="shared" si="840"/>
        <v>-0.19342909574220979</v>
      </c>
      <c r="BE429" s="31">
        <f t="shared" si="841"/>
        <v>76.638723170389682</v>
      </c>
      <c r="BF429" s="25">
        <f t="shared" si="842"/>
        <v>54.220939254551887</v>
      </c>
      <c r="BG429" s="32">
        <f t="shared" si="843"/>
        <v>-22.417783915837795</v>
      </c>
      <c r="BH429" s="33">
        <f t="shared" si="844"/>
        <v>-0.29251249222924403</v>
      </c>
      <c r="BJ429" s="31">
        <f t="shared" si="821"/>
        <v>72.129927089921239</v>
      </c>
      <c r="BK429" s="25">
        <f t="shared" si="822"/>
        <v>43.788360380131437</v>
      </c>
      <c r="BL429" s="32">
        <f t="shared" si="823"/>
        <v>-28.341566709789802</v>
      </c>
      <c r="BM429" s="33">
        <f t="shared" si="824"/>
        <v>-0.39292382306802565</v>
      </c>
      <c r="BO429" s="62"/>
      <c r="BP429" s="62"/>
      <c r="BQ429" s="62"/>
      <c r="BR429" s="63"/>
    </row>
    <row r="430" spans="2:70" ht="14.5" customHeight="1">
      <c r="B430" s="1284"/>
    </row>
    <row r="431" spans="2:70" ht="14.5" customHeight="1">
      <c r="B431" s="1284"/>
      <c r="D431" s="1" t="s">
        <v>73</v>
      </c>
    </row>
    <row r="432" spans="2:70" ht="14.5" customHeight="1">
      <c r="B432" s="1284"/>
      <c r="E432" s="1300" t="s">
        <v>733</v>
      </c>
      <c r="F432" s="1301"/>
      <c r="G432" s="1301"/>
      <c r="H432" s="1301"/>
      <c r="I432" s="1301"/>
      <c r="J432" s="1301"/>
      <c r="K432" s="1301"/>
      <c r="L432" s="1302"/>
      <c r="N432" s="245" t="s">
        <v>291</v>
      </c>
      <c r="O432" s="246"/>
      <c r="P432" s="246"/>
      <c r="Q432" s="246"/>
      <c r="R432" s="246"/>
      <c r="S432" s="246"/>
      <c r="T432" s="246"/>
      <c r="U432" s="247"/>
      <c r="W432" s="1079" t="s">
        <v>292</v>
      </c>
      <c r="X432" s="1080"/>
      <c r="Y432" s="1080"/>
      <c r="Z432" s="1080"/>
      <c r="AA432" s="1080"/>
      <c r="AB432" s="1080"/>
      <c r="AC432" s="1080"/>
      <c r="AD432" s="1081"/>
      <c r="AF432" s="102" t="s">
        <v>297</v>
      </c>
      <c r="AG432" s="102" t="s">
        <v>298</v>
      </c>
      <c r="AH432" s="1304" t="s">
        <v>602</v>
      </c>
      <c r="AI432" s="1304"/>
      <c r="AK432" s="102" t="s">
        <v>297</v>
      </c>
      <c r="AL432" s="102" t="s">
        <v>298</v>
      </c>
      <c r="AM432" s="1304" t="s">
        <v>602</v>
      </c>
      <c r="AN432" s="1304"/>
      <c r="AP432" s="6" t="s">
        <v>297</v>
      </c>
      <c r="AQ432" s="5" t="s">
        <v>298</v>
      </c>
      <c r="AR432" s="1303" t="s">
        <v>602</v>
      </c>
      <c r="AS432" s="1303"/>
      <c r="AU432" s="6" t="s">
        <v>297</v>
      </c>
      <c r="AV432" s="5" t="s">
        <v>298</v>
      </c>
      <c r="AW432" s="1303" t="s">
        <v>602</v>
      </c>
      <c r="AX432" s="1303"/>
      <c r="AZ432" s="6" t="s">
        <v>297</v>
      </c>
      <c r="BA432" s="5" t="s">
        <v>298</v>
      </c>
      <c r="BB432" s="1303" t="s">
        <v>602</v>
      </c>
      <c r="BC432" s="1303"/>
      <c r="BE432" s="6" t="s">
        <v>297</v>
      </c>
      <c r="BF432" s="5" t="s">
        <v>298</v>
      </c>
      <c r="BG432" s="1082" t="s">
        <v>602</v>
      </c>
      <c r="BH432" s="1082"/>
      <c r="BJ432" s="6" t="s">
        <v>297</v>
      </c>
      <c r="BK432" s="5" t="s">
        <v>298</v>
      </c>
      <c r="BL432" s="1082" t="s">
        <v>602</v>
      </c>
      <c r="BM432" s="1082"/>
      <c r="BO432" s="6" t="s">
        <v>297</v>
      </c>
      <c r="BP432" s="5" t="s">
        <v>298</v>
      </c>
      <c r="BQ432" s="1303" t="s">
        <v>602</v>
      </c>
      <c r="BR432" s="1303"/>
    </row>
    <row r="433" spans="1:70" ht="14.5" customHeight="1">
      <c r="A433" s="1"/>
      <c r="B433" s="1284"/>
      <c r="E433" s="196" t="s">
        <v>137</v>
      </c>
      <c r="F433" s="102" t="s">
        <v>138</v>
      </c>
      <c r="G433" s="102" t="s">
        <v>139</v>
      </c>
      <c r="H433" s="102" t="s">
        <v>140</v>
      </c>
      <c r="I433" s="102" t="s">
        <v>141</v>
      </c>
      <c r="J433" s="102" t="s">
        <v>126</v>
      </c>
      <c r="K433" s="102" t="s">
        <v>142</v>
      </c>
      <c r="L433" s="197" t="s">
        <v>143</v>
      </c>
      <c r="N433" s="196" t="s">
        <v>137</v>
      </c>
      <c r="O433" s="102" t="s">
        <v>138</v>
      </c>
      <c r="P433" s="102" t="s">
        <v>139</v>
      </c>
      <c r="Q433" s="102" t="s">
        <v>140</v>
      </c>
      <c r="R433" s="102" t="s">
        <v>141</v>
      </c>
      <c r="S433" s="102" t="s">
        <v>126</v>
      </c>
      <c r="T433" s="102" t="s">
        <v>142</v>
      </c>
      <c r="U433" s="197" t="s">
        <v>143</v>
      </c>
      <c r="W433" s="196" t="s">
        <v>137</v>
      </c>
      <c r="X433" s="1078" t="s">
        <v>138</v>
      </c>
      <c r="Y433" s="1078" t="s">
        <v>139</v>
      </c>
      <c r="Z433" s="1078" t="s">
        <v>140</v>
      </c>
      <c r="AA433" s="1078" t="s">
        <v>141</v>
      </c>
      <c r="AB433" s="1078" t="s">
        <v>126</v>
      </c>
      <c r="AC433" s="1078" t="s">
        <v>142</v>
      </c>
      <c r="AD433" s="197" t="s">
        <v>143</v>
      </c>
      <c r="AF433" s="102" t="s">
        <v>734</v>
      </c>
      <c r="AG433" s="102" t="s">
        <v>734</v>
      </c>
      <c r="AH433" s="102" t="s">
        <v>734</v>
      </c>
      <c r="AI433" s="102" t="s">
        <v>606</v>
      </c>
      <c r="AK433" s="102" t="s">
        <v>734</v>
      </c>
      <c r="AL433" s="102" t="s">
        <v>734</v>
      </c>
      <c r="AM433" s="102" t="s">
        <v>734</v>
      </c>
      <c r="AN433" s="102" t="s">
        <v>606</v>
      </c>
      <c r="AP433" s="5" t="s">
        <v>734</v>
      </c>
      <c r="AQ433" s="5" t="s">
        <v>734</v>
      </c>
      <c r="AR433" s="5" t="s">
        <v>734</v>
      </c>
      <c r="AS433" s="5" t="s">
        <v>606</v>
      </c>
      <c r="AU433" s="5" t="s">
        <v>734</v>
      </c>
      <c r="AV433" s="5" t="s">
        <v>734</v>
      </c>
      <c r="AW433" s="5" t="s">
        <v>734</v>
      </c>
      <c r="AX433" s="5" t="s">
        <v>606</v>
      </c>
      <c r="AZ433" s="5" t="s">
        <v>734</v>
      </c>
      <c r="BA433" s="5" t="s">
        <v>734</v>
      </c>
      <c r="BB433" s="5" t="s">
        <v>734</v>
      </c>
      <c r="BC433" s="5" t="s">
        <v>606</v>
      </c>
      <c r="BE433" s="5" t="s">
        <v>734</v>
      </c>
      <c r="BF433" s="5" t="s">
        <v>734</v>
      </c>
      <c r="BG433" s="5" t="s">
        <v>734</v>
      </c>
      <c r="BH433" s="5" t="s">
        <v>606</v>
      </c>
      <c r="BJ433" s="5" t="s">
        <v>734</v>
      </c>
      <c r="BK433" s="5" t="s">
        <v>734</v>
      </c>
      <c r="BL433" s="5" t="s">
        <v>734</v>
      </c>
      <c r="BM433" s="5" t="s">
        <v>606</v>
      </c>
      <c r="BO433" s="5" t="s">
        <v>734</v>
      </c>
      <c r="BP433" s="5" t="s">
        <v>734</v>
      </c>
      <c r="BQ433" s="5" t="s">
        <v>734</v>
      </c>
      <c r="BR433" s="5" t="s">
        <v>606</v>
      </c>
    </row>
    <row r="434" spans="1:70">
      <c r="B434" s="1284"/>
      <c r="D434" s="5" t="s">
        <v>161</v>
      </c>
      <c r="E434" s="87">
        <v>6.0959942167020449</v>
      </c>
      <c r="F434" s="87">
        <v>6.1228307953972783</v>
      </c>
      <c r="G434" s="87">
        <v>7.8152852850924743</v>
      </c>
      <c r="H434" s="87">
        <v>7.7947685547725571</v>
      </c>
      <c r="I434" s="87">
        <v>7.808985584675689</v>
      </c>
      <c r="J434" s="87">
        <v>7.8762942601648849</v>
      </c>
      <c r="K434" s="87">
        <v>7.9008386268924848</v>
      </c>
      <c r="L434" s="87">
        <v>7.6965666029556896</v>
      </c>
      <c r="N434" s="29">
        <v>7.1960134825996676</v>
      </c>
      <c r="O434" s="29">
        <v>6.5881748352850034</v>
      </c>
      <c r="P434" s="29">
        <v>8.0737279769662749</v>
      </c>
      <c r="Q434" s="29">
        <v>7.7688121725756396</v>
      </c>
      <c r="R434" s="29">
        <v>8.0478487080679706</v>
      </c>
      <c r="S434" s="29">
        <v>8.0320203615037862</v>
      </c>
      <c r="T434" s="29">
        <v>7.9803503846307047</v>
      </c>
      <c r="U434" s="29">
        <v>7.6816038538308051</v>
      </c>
      <c r="W434" s="30">
        <v>6.5114762778943636</v>
      </c>
      <c r="X434" s="30">
        <v>6.4725785445984387</v>
      </c>
      <c r="Y434" s="30">
        <v>6.0090543795440201</v>
      </c>
      <c r="Z434" s="30">
        <v>3.9773852624415129</v>
      </c>
      <c r="AA434" s="30">
        <v>3.3859284602143824</v>
      </c>
      <c r="AB434" s="85">
        <v>3.4628086813511483</v>
      </c>
      <c r="AC434" s="85">
        <v>3.3403279752019843</v>
      </c>
      <c r="AD434" s="90">
        <v>0</v>
      </c>
      <c r="AF434" s="29">
        <f>N434</f>
        <v>7.1960134825996676</v>
      </c>
      <c r="AG434" s="30">
        <f>W434</f>
        <v>6.5114762778943636</v>
      </c>
      <c r="AH434" s="32">
        <f>IF(AG434&gt;0,AG434-AF434,"")</f>
        <v>-0.68453720470530399</v>
      </c>
      <c r="AI434" s="33">
        <f>IF(AG434&gt;0,AH434/AF434,"")</f>
        <v>-9.512728212093409E-2</v>
      </c>
      <c r="AK434" s="29">
        <f t="shared" ref="AK434:AK449" si="853">O434</f>
        <v>6.5881748352850034</v>
      </c>
      <c r="AL434" s="30">
        <f t="shared" ref="AL434:AL449" si="854">X434</f>
        <v>6.4725785445984387</v>
      </c>
      <c r="AM434" s="32">
        <f>IF(AL434&gt;0,AL434-AK434,"")</f>
        <v>-0.11559629068656463</v>
      </c>
      <c r="AN434" s="33">
        <f>IF(AL434&gt;0,AM434/AK434,"")</f>
        <v>-1.754602656678949E-2</v>
      </c>
      <c r="AP434" s="29">
        <f>P434</f>
        <v>8.0737279769662749</v>
      </c>
      <c r="AQ434" s="30">
        <f>Y434</f>
        <v>6.0090543795440201</v>
      </c>
      <c r="AR434" s="32">
        <f>AQ434-AP434</f>
        <v>-2.0646735974222548</v>
      </c>
      <c r="AS434" s="33">
        <f>AR434/AP434</f>
        <v>-0.25572741654321396</v>
      </c>
      <c r="AU434" s="31">
        <f>Q434</f>
        <v>7.7688121725756396</v>
      </c>
      <c r="AV434" s="25">
        <f>Z434</f>
        <v>3.9773852624415129</v>
      </c>
      <c r="AW434" s="32">
        <f>AV434-AU434</f>
        <v>-3.7914269101341267</v>
      </c>
      <c r="AX434" s="33">
        <f>AW434/AU434</f>
        <v>-0.48803173843204561</v>
      </c>
      <c r="AZ434" s="31">
        <f t="shared" ref="AZ434:AZ449" si="855">R434</f>
        <v>8.0478487080679706</v>
      </c>
      <c r="BA434" s="25">
        <f t="shared" ref="BA434:BA449" si="856">AA434</f>
        <v>3.3859284602143824</v>
      </c>
      <c r="BB434" s="32">
        <f>BA434-AZ434</f>
        <v>-4.6619202478535886</v>
      </c>
      <c r="BC434" s="33">
        <f>BB434/AZ434</f>
        <v>-0.57927533393862296</v>
      </c>
      <c r="BE434" s="31">
        <f>S434</f>
        <v>8.0320203615037862</v>
      </c>
      <c r="BF434" s="25">
        <f>AB434</f>
        <v>3.4628086813511483</v>
      </c>
      <c r="BG434" s="32">
        <f>BF434-BE434</f>
        <v>-4.5692116801526375</v>
      </c>
      <c r="BH434" s="33">
        <f>BG434/BE434</f>
        <v>-0.56887451407022727</v>
      </c>
      <c r="BJ434" s="31">
        <f t="shared" ref="BJ434:BJ449" si="857">T434</f>
        <v>7.9803503846307047</v>
      </c>
      <c r="BK434" s="25">
        <f t="shared" ref="BK434:BK449" si="858">AC434</f>
        <v>3.3403279752019843</v>
      </c>
      <c r="BL434" s="32">
        <f t="shared" ref="BL434:BL449" si="859">BK434-BJ434</f>
        <v>-4.6400224094287204</v>
      </c>
      <c r="BM434" s="33">
        <f t="shared" ref="BM434:BM449" si="860">BL434/BJ434</f>
        <v>-0.58143091290388749</v>
      </c>
      <c r="BO434" s="62"/>
      <c r="BP434" s="62"/>
      <c r="BQ434" s="62"/>
      <c r="BR434" s="63"/>
    </row>
    <row r="435" spans="1:70">
      <c r="B435" s="1284"/>
      <c r="D435" s="5" t="s">
        <v>162</v>
      </c>
      <c r="E435" s="87">
        <v>2.3062739972705502</v>
      </c>
      <c r="F435" s="87">
        <v>2.3017357317248424</v>
      </c>
      <c r="G435" s="87">
        <v>2.3107244690633664</v>
      </c>
      <c r="H435" s="87">
        <v>2.3185344999482118</v>
      </c>
      <c r="I435" s="87">
        <v>2.3284899414117239</v>
      </c>
      <c r="J435" s="87">
        <v>2.3453510747147273</v>
      </c>
      <c r="K435" s="87">
        <v>2.3754979124783602</v>
      </c>
      <c r="L435" s="87">
        <v>2.3850180035962825</v>
      </c>
      <c r="N435" s="29">
        <v>2.4916762628659166</v>
      </c>
      <c r="O435" s="29">
        <v>2.0174298386917617</v>
      </c>
      <c r="P435" s="29">
        <v>1.663222608880778</v>
      </c>
      <c r="Q435" s="29">
        <v>1.671933027210829</v>
      </c>
      <c r="R435" s="29">
        <v>1.7450291966651854</v>
      </c>
      <c r="S435" s="29">
        <v>1.6835823788410873</v>
      </c>
      <c r="T435" s="29">
        <v>1.6940759053502952</v>
      </c>
      <c r="U435" s="29">
        <v>1.8073236861626787</v>
      </c>
      <c r="W435" s="30">
        <v>2.0876256328517035</v>
      </c>
      <c r="X435" s="30">
        <v>4.3074157871769652</v>
      </c>
      <c r="Y435" s="30">
        <v>1.4699753577000381</v>
      </c>
      <c r="Z435" s="30">
        <v>1.6979499818941948</v>
      </c>
      <c r="AA435" s="30">
        <v>1.5563753688240911</v>
      </c>
      <c r="AB435" s="85">
        <v>1.4474338147971728</v>
      </c>
      <c r="AC435" s="85">
        <v>0.61726011999999997</v>
      </c>
      <c r="AD435" s="90">
        <v>0</v>
      </c>
      <c r="AF435" s="29">
        <f t="shared" ref="AF435:AF449" si="861">N435</f>
        <v>2.4916762628659166</v>
      </c>
      <c r="AG435" s="30">
        <f t="shared" ref="AG435:AG449" si="862">W435</f>
        <v>2.0876256328517035</v>
      </c>
      <c r="AH435" s="32">
        <f t="shared" ref="AH435:AH449" si="863">IF(AG435&gt;0,AG435-AF435,"")</f>
        <v>-0.40405063001421304</v>
      </c>
      <c r="AI435" s="33">
        <f t="shared" ref="AI435:AI449" si="864">IF(AG435&gt;0,AH435/AF435,"")</f>
        <v>-0.16216016343530743</v>
      </c>
      <c r="AK435" s="29">
        <f t="shared" si="853"/>
        <v>2.0174298386917617</v>
      </c>
      <c r="AL435" s="30">
        <f t="shared" si="854"/>
        <v>4.3074157871769652</v>
      </c>
      <c r="AM435" s="32">
        <f t="shared" ref="AM435:AM449" si="865">IF(AL435&gt;0,AL435-AK435,"")</f>
        <v>2.2899859484852034</v>
      </c>
      <c r="AN435" s="33">
        <f t="shared" ref="AN435:AN449" si="866">IF(AL435&gt;0,AM435/AK435,"")</f>
        <v>1.1351006635106506</v>
      </c>
      <c r="AP435" s="29">
        <f t="shared" ref="AP435:AP449" si="867">P435</f>
        <v>1.663222608880778</v>
      </c>
      <c r="AQ435" s="30">
        <f t="shared" ref="AQ435:AQ448" si="868">Y435</f>
        <v>1.4699753577000381</v>
      </c>
      <c r="AR435" s="32">
        <f t="shared" ref="AR435:AR449" si="869">AQ435-AP435</f>
        <v>-0.19324725118073993</v>
      </c>
      <c r="AS435" s="33">
        <f t="shared" ref="AS435:AS449" si="870">AR435/AP435</f>
        <v>-0.1161884465428116</v>
      </c>
      <c r="AU435" s="31">
        <f t="shared" ref="AU435:AU449" si="871">Q435</f>
        <v>1.671933027210829</v>
      </c>
      <c r="AV435" s="25">
        <f t="shared" ref="AV435:AV449" si="872">Z435</f>
        <v>1.6979499818941948</v>
      </c>
      <c r="AW435" s="32">
        <f t="shared" ref="AW435:AW449" si="873">AV435-AU435</f>
        <v>2.6016954683365734E-2</v>
      </c>
      <c r="AX435" s="33">
        <f t="shared" ref="AX435:AX449" si="874">AW435/AU435</f>
        <v>1.5561002899002498E-2</v>
      </c>
      <c r="AZ435" s="31">
        <f t="shared" si="855"/>
        <v>1.7450291966651854</v>
      </c>
      <c r="BA435" s="25">
        <f t="shared" si="856"/>
        <v>1.5563753688240911</v>
      </c>
      <c r="BB435" s="32">
        <f t="shared" ref="BB435:BB449" si="875">BA435-AZ435</f>
        <v>-0.1886538278410943</v>
      </c>
      <c r="BC435" s="33">
        <f t="shared" ref="BC435:BC449" si="876">BB435/AZ435</f>
        <v>-0.10810926728424869</v>
      </c>
      <c r="BE435" s="31">
        <f t="shared" ref="BE435:BE449" si="877">S435</f>
        <v>1.6835823788410873</v>
      </c>
      <c r="BF435" s="25">
        <f t="shared" ref="BF435:BF449" si="878">AB435</f>
        <v>1.4474338147971728</v>
      </c>
      <c r="BG435" s="32">
        <f t="shared" ref="BG435:BG449" si="879">BF435-BE435</f>
        <v>-0.23614856404391449</v>
      </c>
      <c r="BH435" s="33">
        <f t="shared" ref="BH435:BH449" si="880">BG435/BE435</f>
        <v>-0.14026552369030496</v>
      </c>
      <c r="BJ435" s="31">
        <f t="shared" si="857"/>
        <v>1.6940759053502952</v>
      </c>
      <c r="BK435" s="25">
        <f t="shared" si="858"/>
        <v>0.61726011999999997</v>
      </c>
      <c r="BL435" s="32">
        <f t="shared" si="859"/>
        <v>-1.0768157853502953</v>
      </c>
      <c r="BM435" s="33">
        <f t="shared" si="860"/>
        <v>-0.63563609041923952</v>
      </c>
      <c r="BO435" s="62"/>
      <c r="BP435" s="62"/>
      <c r="BQ435" s="62"/>
      <c r="BR435" s="63"/>
    </row>
    <row r="436" spans="1:70">
      <c r="B436" s="1284"/>
      <c r="D436" s="5" t="s">
        <v>163</v>
      </c>
      <c r="E436" s="87">
        <v>3.7663977327304257</v>
      </c>
      <c r="F436" s="87">
        <v>3.7694482990785567</v>
      </c>
      <c r="G436" s="87">
        <v>3.7825962633858223</v>
      </c>
      <c r="H436" s="87">
        <v>3.7958034570216195</v>
      </c>
      <c r="I436" s="87">
        <v>3.8135250154988372</v>
      </c>
      <c r="J436" s="87">
        <v>3.8288581714909178</v>
      </c>
      <c r="K436" s="87">
        <v>3.8821871617733761</v>
      </c>
      <c r="L436" s="87">
        <v>3.9024739979131042</v>
      </c>
      <c r="N436" s="29">
        <v>3.4821991009033364</v>
      </c>
      <c r="O436" s="29">
        <v>3.0039241199871038</v>
      </c>
      <c r="P436" s="29">
        <v>3.127469152948787</v>
      </c>
      <c r="Q436" s="29">
        <v>2.6360365071215717</v>
      </c>
      <c r="R436" s="29">
        <v>2.8031135524388877</v>
      </c>
      <c r="S436" s="29">
        <v>3.1005342104265909</v>
      </c>
      <c r="T436" s="29">
        <v>3.102481201252806</v>
      </c>
      <c r="U436" s="29">
        <v>2.8990326532467434</v>
      </c>
      <c r="W436" s="30">
        <v>4.9824769810370837</v>
      </c>
      <c r="X436" s="30">
        <v>7.5201076288465414</v>
      </c>
      <c r="Y436" s="30">
        <v>2.9467061996727413</v>
      </c>
      <c r="Z436" s="30">
        <v>2.7707568087394989</v>
      </c>
      <c r="AA436" s="30">
        <v>2.409896741413708</v>
      </c>
      <c r="AB436" s="85">
        <v>2.0836128346843803</v>
      </c>
      <c r="AC436" s="85">
        <v>1.6223996399999996</v>
      </c>
      <c r="AD436" s="90">
        <v>0</v>
      </c>
      <c r="AF436" s="29">
        <f t="shared" si="861"/>
        <v>3.4821991009033364</v>
      </c>
      <c r="AG436" s="30">
        <f t="shared" si="862"/>
        <v>4.9824769810370837</v>
      </c>
      <c r="AH436" s="32">
        <f t="shared" si="863"/>
        <v>1.5002778801337473</v>
      </c>
      <c r="AI436" s="33">
        <f t="shared" si="864"/>
        <v>0.43084207325897933</v>
      </c>
      <c r="AK436" s="29">
        <f t="shared" si="853"/>
        <v>3.0039241199871038</v>
      </c>
      <c r="AL436" s="30">
        <f t="shared" si="854"/>
        <v>7.5201076288465414</v>
      </c>
      <c r="AM436" s="32">
        <f t="shared" si="865"/>
        <v>4.516183508859438</v>
      </c>
      <c r="AN436" s="33">
        <f t="shared" si="866"/>
        <v>1.5034279590520503</v>
      </c>
      <c r="AP436" s="29">
        <f t="shared" si="867"/>
        <v>3.127469152948787</v>
      </c>
      <c r="AQ436" s="30">
        <f t="shared" si="868"/>
        <v>2.9467061996727413</v>
      </c>
      <c r="AR436" s="32">
        <f t="shared" si="869"/>
        <v>-0.18076295327604575</v>
      </c>
      <c r="AS436" s="33">
        <f t="shared" si="870"/>
        <v>-5.7798476798919134E-2</v>
      </c>
      <c r="AU436" s="31">
        <f t="shared" si="871"/>
        <v>2.6360365071215717</v>
      </c>
      <c r="AV436" s="25">
        <f t="shared" si="872"/>
        <v>2.7707568087394989</v>
      </c>
      <c r="AW436" s="32">
        <f t="shared" si="873"/>
        <v>0.13472030161792725</v>
      </c>
      <c r="AX436" s="33">
        <f t="shared" si="874"/>
        <v>5.110714561576217E-2</v>
      </c>
      <c r="AZ436" s="31">
        <f t="shared" si="855"/>
        <v>2.8031135524388877</v>
      </c>
      <c r="BA436" s="25">
        <f t="shared" si="856"/>
        <v>2.409896741413708</v>
      </c>
      <c r="BB436" s="32">
        <f t="shared" si="875"/>
        <v>-0.39321681102517969</v>
      </c>
      <c r="BC436" s="33">
        <f t="shared" si="876"/>
        <v>-0.1402785879591128</v>
      </c>
      <c r="BE436" s="31">
        <f t="shared" si="877"/>
        <v>3.1005342104265909</v>
      </c>
      <c r="BF436" s="25">
        <f t="shared" si="878"/>
        <v>2.0836128346843803</v>
      </c>
      <c r="BG436" s="32">
        <f t="shared" si="879"/>
        <v>-1.0169213757422106</v>
      </c>
      <c r="BH436" s="33">
        <f t="shared" si="880"/>
        <v>-0.32798263354826723</v>
      </c>
      <c r="BJ436" s="31">
        <f t="shared" si="857"/>
        <v>3.102481201252806</v>
      </c>
      <c r="BK436" s="25">
        <f t="shared" si="858"/>
        <v>1.6223996399999996</v>
      </c>
      <c r="BL436" s="32">
        <f t="shared" si="859"/>
        <v>-1.4800815612528064</v>
      </c>
      <c r="BM436" s="33">
        <f t="shared" si="860"/>
        <v>-0.47706382899439909</v>
      </c>
      <c r="BO436" s="62"/>
      <c r="BP436" s="62"/>
      <c r="BQ436" s="62"/>
      <c r="BR436" s="63"/>
    </row>
    <row r="437" spans="1:70">
      <c r="B437" s="1284"/>
      <c r="D437" s="5" t="s">
        <v>164</v>
      </c>
      <c r="E437" s="87">
        <v>8.7376568410989375</v>
      </c>
      <c r="F437" s="87">
        <v>8.7444334066924068</v>
      </c>
      <c r="G437" s="87">
        <v>8.7325110385197569</v>
      </c>
      <c r="H437" s="87">
        <v>8.7577655964644787</v>
      </c>
      <c r="I437" s="87">
        <v>8.7826616754966409</v>
      </c>
      <c r="J437" s="87">
        <v>8.8149274279968068</v>
      </c>
      <c r="K437" s="87">
        <v>8.8391247052526172</v>
      </c>
      <c r="L437" s="87">
        <v>8.8656318440980346</v>
      </c>
      <c r="N437" s="29">
        <v>8.7376568410989375</v>
      </c>
      <c r="O437" s="29">
        <v>8.7444334066924068</v>
      </c>
      <c r="P437" s="29">
        <v>8.7325110385197569</v>
      </c>
      <c r="Q437" s="29">
        <v>8.7577655964644787</v>
      </c>
      <c r="R437" s="29">
        <v>8.7826616754966409</v>
      </c>
      <c r="S437" s="29">
        <v>8.8149274279968068</v>
      </c>
      <c r="T437" s="29">
        <v>8.8391247052526172</v>
      </c>
      <c r="U437" s="29">
        <v>8.8656318440980346</v>
      </c>
      <c r="W437" s="30">
        <v>7.9645835911391387</v>
      </c>
      <c r="X437" s="30">
        <v>6.7751122456526982</v>
      </c>
      <c r="Y437" s="30">
        <v>4.8569342972921845</v>
      </c>
      <c r="Z437" s="30">
        <v>5.5444527355387061</v>
      </c>
      <c r="AA437" s="30">
        <v>6.5148525588180659</v>
      </c>
      <c r="AB437" s="85">
        <v>8.4260080573279819</v>
      </c>
      <c r="AC437" s="85">
        <v>5.5779000000000005</v>
      </c>
      <c r="AD437" s="90">
        <v>0</v>
      </c>
      <c r="AF437" s="29">
        <f t="shared" si="861"/>
        <v>8.7376568410989375</v>
      </c>
      <c r="AG437" s="30">
        <f t="shared" si="862"/>
        <v>7.9645835911391387</v>
      </c>
      <c r="AH437" s="32">
        <f t="shared" si="863"/>
        <v>-0.77307324995979876</v>
      </c>
      <c r="AI437" s="33">
        <f t="shared" si="864"/>
        <v>-8.8476036999247623E-2</v>
      </c>
      <c r="AK437" s="29">
        <f t="shared" si="853"/>
        <v>8.7444334066924068</v>
      </c>
      <c r="AL437" s="30">
        <f t="shared" si="854"/>
        <v>6.7751122456526982</v>
      </c>
      <c r="AM437" s="32">
        <f t="shared" si="865"/>
        <v>-1.9693211610397086</v>
      </c>
      <c r="AN437" s="33">
        <f t="shared" si="866"/>
        <v>-0.22520854919342417</v>
      </c>
      <c r="AP437" s="29">
        <f t="shared" si="867"/>
        <v>8.7325110385197569</v>
      </c>
      <c r="AQ437" s="30">
        <f t="shared" si="868"/>
        <v>4.8569342972921845</v>
      </c>
      <c r="AR437" s="32">
        <f t="shared" si="869"/>
        <v>-3.8755767412275723</v>
      </c>
      <c r="AS437" s="33">
        <f t="shared" si="870"/>
        <v>-0.44381011648678309</v>
      </c>
      <c r="AU437" s="31">
        <f t="shared" si="871"/>
        <v>8.7577655964644787</v>
      </c>
      <c r="AV437" s="25">
        <f t="shared" si="872"/>
        <v>5.5444527355387061</v>
      </c>
      <c r="AW437" s="32">
        <f t="shared" si="873"/>
        <v>-3.2133128609257726</v>
      </c>
      <c r="AX437" s="33">
        <f t="shared" si="874"/>
        <v>-0.36691012399589584</v>
      </c>
      <c r="AZ437" s="31">
        <f t="shared" si="855"/>
        <v>8.7826616754966409</v>
      </c>
      <c r="BA437" s="25">
        <f t="shared" si="856"/>
        <v>6.5148525588180659</v>
      </c>
      <c r="BB437" s="32">
        <f t="shared" si="875"/>
        <v>-2.267809116678575</v>
      </c>
      <c r="BC437" s="33">
        <f t="shared" si="876"/>
        <v>-0.25821433188138093</v>
      </c>
      <c r="BE437" s="31">
        <f t="shared" si="877"/>
        <v>8.8149274279968068</v>
      </c>
      <c r="BF437" s="25">
        <f t="shared" si="878"/>
        <v>8.4260080573279819</v>
      </c>
      <c r="BG437" s="32">
        <f t="shared" si="879"/>
        <v>-0.38891937066882498</v>
      </c>
      <c r="BH437" s="33">
        <f t="shared" si="880"/>
        <v>-4.4120541416324169E-2</v>
      </c>
      <c r="BJ437" s="31">
        <f t="shared" si="857"/>
        <v>8.8391247052526172</v>
      </c>
      <c r="BK437" s="25">
        <f t="shared" si="858"/>
        <v>5.5779000000000005</v>
      </c>
      <c r="BL437" s="32">
        <f t="shared" si="859"/>
        <v>-3.2612247052526167</v>
      </c>
      <c r="BM437" s="33">
        <f t="shared" si="860"/>
        <v>-0.36895335386711375</v>
      </c>
      <c r="BO437" s="62"/>
      <c r="BP437" s="62"/>
      <c r="BQ437" s="62"/>
      <c r="BR437" s="63"/>
    </row>
    <row r="438" spans="1:70">
      <c r="B438" s="1284"/>
      <c r="D438" s="5" t="s">
        <v>165</v>
      </c>
      <c r="E438" s="87">
        <v>6.8576782668206544</v>
      </c>
      <c r="F438" s="87">
        <v>6.8631714063759954</v>
      </c>
      <c r="G438" s="87">
        <v>6.8529751569501505</v>
      </c>
      <c r="H438" s="87">
        <v>6.8702615946781398</v>
      </c>
      <c r="I438" s="87">
        <v>6.8871372786813811</v>
      </c>
      <c r="J438" s="87">
        <v>6.9058932019055748</v>
      </c>
      <c r="K438" s="87">
        <v>6.9218122210811055</v>
      </c>
      <c r="L438" s="87">
        <v>6.9384544417138949</v>
      </c>
      <c r="N438" s="29">
        <v>6.8576782668206544</v>
      </c>
      <c r="O438" s="29">
        <v>6.8631714063759954</v>
      </c>
      <c r="P438" s="29">
        <v>6.8529751569501505</v>
      </c>
      <c r="Q438" s="29">
        <v>6.8702615946781398</v>
      </c>
      <c r="R438" s="29">
        <v>6.8871372786813811</v>
      </c>
      <c r="S438" s="29">
        <v>6.9058932019055748</v>
      </c>
      <c r="T438" s="29">
        <v>6.9218122210811055</v>
      </c>
      <c r="U438" s="29">
        <v>6.9384544417138949</v>
      </c>
      <c r="W438" s="30">
        <v>4.8932187054075618</v>
      </c>
      <c r="X438" s="30">
        <v>6.9297565692549217</v>
      </c>
      <c r="Y438" s="30">
        <v>5.2398433119443579</v>
      </c>
      <c r="Z438" s="30">
        <v>4.0061696838776184</v>
      </c>
      <c r="AA438" s="30">
        <v>3.6730822874876994</v>
      </c>
      <c r="AB438" s="85">
        <v>3.8421005870814886</v>
      </c>
      <c r="AC438" s="85">
        <v>3.4984999999999999</v>
      </c>
      <c r="AD438" s="90">
        <v>0</v>
      </c>
      <c r="AF438" s="29">
        <f t="shared" si="861"/>
        <v>6.8576782668206544</v>
      </c>
      <c r="AG438" s="30">
        <f t="shared" si="862"/>
        <v>4.8932187054075618</v>
      </c>
      <c r="AH438" s="32">
        <f t="shared" si="863"/>
        <v>-1.9644595614130926</v>
      </c>
      <c r="AI438" s="33">
        <f t="shared" si="864"/>
        <v>-0.28646131897404575</v>
      </c>
      <c r="AK438" s="29">
        <f t="shared" si="853"/>
        <v>6.8631714063759954</v>
      </c>
      <c r="AL438" s="30">
        <f t="shared" si="854"/>
        <v>6.9297565692549217</v>
      </c>
      <c r="AM438" s="32">
        <f t="shared" si="865"/>
        <v>6.6585162878926241E-2</v>
      </c>
      <c r="AN438" s="33">
        <f t="shared" si="866"/>
        <v>9.7018067794529452E-3</v>
      </c>
      <c r="AP438" s="29">
        <f t="shared" si="867"/>
        <v>6.8529751569501505</v>
      </c>
      <c r="AQ438" s="30">
        <f t="shared" si="868"/>
        <v>5.2398433119443579</v>
      </c>
      <c r="AR438" s="32">
        <f t="shared" si="869"/>
        <v>-1.6131318450057925</v>
      </c>
      <c r="AS438" s="33">
        <f t="shared" si="870"/>
        <v>-0.23539146254890278</v>
      </c>
      <c r="AU438" s="31">
        <f t="shared" si="871"/>
        <v>6.8702615946781398</v>
      </c>
      <c r="AV438" s="25">
        <f t="shared" si="872"/>
        <v>4.0061696838776184</v>
      </c>
      <c r="AW438" s="32">
        <f t="shared" si="873"/>
        <v>-2.8640919108005214</v>
      </c>
      <c r="AX438" s="33">
        <f t="shared" si="874"/>
        <v>-0.41688251187103442</v>
      </c>
      <c r="AZ438" s="31">
        <f t="shared" si="855"/>
        <v>6.8871372786813811</v>
      </c>
      <c r="BA438" s="25">
        <f t="shared" si="856"/>
        <v>3.6730822874876994</v>
      </c>
      <c r="BB438" s="32">
        <f t="shared" si="875"/>
        <v>-3.2140549911936818</v>
      </c>
      <c r="BC438" s="33">
        <f t="shared" si="876"/>
        <v>-0.46667502928140386</v>
      </c>
      <c r="BE438" s="31">
        <f t="shared" si="877"/>
        <v>6.9058932019055748</v>
      </c>
      <c r="BF438" s="25">
        <f t="shared" si="878"/>
        <v>3.8421005870814886</v>
      </c>
      <c r="BG438" s="32">
        <f t="shared" si="879"/>
        <v>-3.0637926148240862</v>
      </c>
      <c r="BH438" s="33">
        <f t="shared" si="880"/>
        <v>-0.44364900024499071</v>
      </c>
      <c r="BJ438" s="31">
        <f t="shared" si="857"/>
        <v>6.9218122210811055</v>
      </c>
      <c r="BK438" s="25">
        <f t="shared" si="858"/>
        <v>3.4984999999999999</v>
      </c>
      <c r="BL438" s="32">
        <f t="shared" si="859"/>
        <v>-3.4233122210811056</v>
      </c>
      <c r="BM438" s="33">
        <f t="shared" si="860"/>
        <v>-0.4945687793516052</v>
      </c>
      <c r="BO438" s="62"/>
      <c r="BP438" s="62"/>
      <c r="BQ438" s="62"/>
      <c r="BR438" s="63"/>
    </row>
    <row r="439" spans="1:70">
      <c r="B439" s="1284"/>
      <c r="D439" s="5" t="s">
        <v>166</v>
      </c>
      <c r="E439" s="87">
        <v>3.069280790915931</v>
      </c>
      <c r="F439" s="87">
        <v>3.073847484212247</v>
      </c>
      <c r="G439" s="87">
        <v>3.0686472637195346</v>
      </c>
      <c r="H439" s="87">
        <v>3.0772701787215961</v>
      </c>
      <c r="I439" s="87">
        <v>3.0848019678540495</v>
      </c>
      <c r="J439" s="87">
        <v>3.0920594898715428</v>
      </c>
      <c r="K439" s="87">
        <v>3.1017687870770829</v>
      </c>
      <c r="L439" s="87">
        <v>3.1088486227900143</v>
      </c>
      <c r="N439" s="29">
        <v>3.069280790915931</v>
      </c>
      <c r="O439" s="29">
        <v>3.073847484212247</v>
      </c>
      <c r="P439" s="29">
        <v>3.0686472637195346</v>
      </c>
      <c r="Q439" s="29">
        <v>3.0772701787215961</v>
      </c>
      <c r="R439" s="29">
        <v>3.0848019678540495</v>
      </c>
      <c r="S439" s="29">
        <v>3.0920594898715428</v>
      </c>
      <c r="T439" s="29">
        <v>3.1017687870770829</v>
      </c>
      <c r="U439" s="29">
        <v>3.1088486227900143</v>
      </c>
      <c r="W439" s="30">
        <v>1.6225173451334256</v>
      </c>
      <c r="X439" s="30">
        <v>2.0739013238135491</v>
      </c>
      <c r="Y439" s="30">
        <v>2.7033399071689437</v>
      </c>
      <c r="Z439" s="30">
        <v>2.3827681569175594</v>
      </c>
      <c r="AA439" s="30">
        <v>2.6144843202290105</v>
      </c>
      <c r="AB439" s="85">
        <v>2.3443128406653369</v>
      </c>
      <c r="AC439" s="85">
        <v>1.6272999999999997</v>
      </c>
      <c r="AD439" s="90">
        <v>0</v>
      </c>
      <c r="AF439" s="29">
        <f t="shared" si="861"/>
        <v>3.069280790915931</v>
      </c>
      <c r="AG439" s="30">
        <f t="shared" si="862"/>
        <v>1.6225173451334256</v>
      </c>
      <c r="AH439" s="32">
        <f t="shared" si="863"/>
        <v>-1.4467634457825054</v>
      </c>
      <c r="AI439" s="33">
        <f t="shared" si="864"/>
        <v>-0.47136887901050073</v>
      </c>
      <c r="AK439" s="29">
        <f t="shared" si="853"/>
        <v>3.073847484212247</v>
      </c>
      <c r="AL439" s="30">
        <f t="shared" si="854"/>
        <v>2.0739013238135491</v>
      </c>
      <c r="AM439" s="32">
        <f t="shared" si="865"/>
        <v>-0.99994616039869788</v>
      </c>
      <c r="AN439" s="33">
        <f t="shared" si="866"/>
        <v>-0.32530766914577741</v>
      </c>
      <c r="AP439" s="29">
        <f t="shared" si="867"/>
        <v>3.0686472637195346</v>
      </c>
      <c r="AQ439" s="30">
        <f t="shared" si="868"/>
        <v>2.7033399071689437</v>
      </c>
      <c r="AR439" s="32">
        <f t="shared" si="869"/>
        <v>-0.36530735655059088</v>
      </c>
      <c r="AS439" s="33">
        <f t="shared" si="870"/>
        <v>-0.11904507920138029</v>
      </c>
      <c r="AU439" s="31">
        <f t="shared" si="871"/>
        <v>3.0772701787215961</v>
      </c>
      <c r="AV439" s="25">
        <f t="shared" si="872"/>
        <v>2.3827681569175594</v>
      </c>
      <c r="AW439" s="32">
        <f t="shared" si="873"/>
        <v>-0.69450202180403675</v>
      </c>
      <c r="AX439" s="33">
        <f t="shared" si="874"/>
        <v>-0.22568769768943614</v>
      </c>
      <c r="AZ439" s="31">
        <f t="shared" si="855"/>
        <v>3.0848019678540495</v>
      </c>
      <c r="BA439" s="25">
        <f t="shared" si="856"/>
        <v>2.6144843202290105</v>
      </c>
      <c r="BB439" s="32">
        <f t="shared" si="875"/>
        <v>-0.47031764762503903</v>
      </c>
      <c r="BC439" s="33">
        <f t="shared" si="876"/>
        <v>-0.15246283311736109</v>
      </c>
      <c r="BE439" s="31">
        <f t="shared" si="877"/>
        <v>3.0920594898715428</v>
      </c>
      <c r="BF439" s="25">
        <f t="shared" si="878"/>
        <v>2.3443128406653369</v>
      </c>
      <c r="BG439" s="32">
        <f t="shared" si="879"/>
        <v>-0.74774664920620593</v>
      </c>
      <c r="BH439" s="33">
        <f t="shared" si="880"/>
        <v>-0.24182802810086634</v>
      </c>
      <c r="BJ439" s="31">
        <f t="shared" si="857"/>
        <v>3.1017687870770829</v>
      </c>
      <c r="BK439" s="25">
        <f t="shared" si="858"/>
        <v>1.6272999999999997</v>
      </c>
      <c r="BL439" s="32">
        <f t="shared" si="859"/>
        <v>-1.4744687870770832</v>
      </c>
      <c r="BM439" s="33">
        <f t="shared" si="860"/>
        <v>-0.47536386116856</v>
      </c>
      <c r="BO439" s="62"/>
      <c r="BP439" s="62"/>
      <c r="BQ439" s="62"/>
      <c r="BR439" s="63"/>
    </row>
    <row r="440" spans="1:70">
      <c r="B440" s="1284"/>
      <c r="D440" s="5" t="s">
        <v>167</v>
      </c>
      <c r="E440" s="87">
        <v>5.6471176426655791</v>
      </c>
      <c r="F440" s="87">
        <v>5.6523447193778713</v>
      </c>
      <c r="G440" s="87">
        <v>5.6417394819954101</v>
      </c>
      <c r="H440" s="87">
        <v>5.6577117734556079</v>
      </c>
      <c r="I440" s="87">
        <v>5.6738783020352885</v>
      </c>
      <c r="J440" s="87">
        <v>5.6896499079092173</v>
      </c>
      <c r="K440" s="87">
        <v>5.7036145729075374</v>
      </c>
      <c r="L440" s="87">
        <v>5.7217550468324827</v>
      </c>
      <c r="N440" s="29">
        <v>5.6471176426655791</v>
      </c>
      <c r="O440" s="29">
        <v>5.6523447193778713</v>
      </c>
      <c r="P440" s="29">
        <v>5.6417394819954101</v>
      </c>
      <c r="Q440" s="29">
        <v>5.6577117734556079</v>
      </c>
      <c r="R440" s="29">
        <v>5.6738783020352885</v>
      </c>
      <c r="S440" s="29">
        <v>5.6896499079092173</v>
      </c>
      <c r="T440" s="29">
        <v>5.7036145729075374</v>
      </c>
      <c r="U440" s="29">
        <v>5.7217550468324827</v>
      </c>
      <c r="W440" s="30">
        <v>3.0111561551537394</v>
      </c>
      <c r="X440" s="30">
        <v>2.8923302801594009</v>
      </c>
      <c r="Y440" s="30">
        <v>2.4189029122470056</v>
      </c>
      <c r="Z440" s="30">
        <v>2.0377912138026457</v>
      </c>
      <c r="AA440" s="30">
        <v>2.1804677183614207</v>
      </c>
      <c r="AB440" s="85">
        <v>1.776401653482546</v>
      </c>
      <c r="AC440" s="85">
        <v>1.9449999999999996</v>
      </c>
      <c r="AD440" s="90">
        <v>0</v>
      </c>
      <c r="AF440" s="29">
        <f t="shared" si="861"/>
        <v>5.6471176426655791</v>
      </c>
      <c r="AG440" s="30">
        <f t="shared" si="862"/>
        <v>3.0111561551537394</v>
      </c>
      <c r="AH440" s="32">
        <f t="shared" si="863"/>
        <v>-2.6359614875118398</v>
      </c>
      <c r="AI440" s="33">
        <f t="shared" si="864"/>
        <v>-0.46677998481852079</v>
      </c>
      <c r="AK440" s="29">
        <f t="shared" si="853"/>
        <v>5.6523447193778713</v>
      </c>
      <c r="AL440" s="30">
        <f t="shared" si="854"/>
        <v>2.8923302801594009</v>
      </c>
      <c r="AM440" s="32">
        <f t="shared" si="865"/>
        <v>-2.7600144392184705</v>
      </c>
      <c r="AN440" s="33">
        <f t="shared" si="866"/>
        <v>-0.4882954908529098</v>
      </c>
      <c r="AP440" s="29">
        <f t="shared" si="867"/>
        <v>5.6417394819954101</v>
      </c>
      <c r="AQ440" s="30">
        <f t="shared" si="868"/>
        <v>2.4189029122470056</v>
      </c>
      <c r="AR440" s="32">
        <f t="shared" si="869"/>
        <v>-3.2228365697484045</v>
      </c>
      <c r="AS440" s="33">
        <f t="shared" si="870"/>
        <v>-0.57124873986711078</v>
      </c>
      <c r="AU440" s="31">
        <f t="shared" si="871"/>
        <v>5.6577117734556079</v>
      </c>
      <c r="AV440" s="25">
        <f t="shared" si="872"/>
        <v>2.0377912138026457</v>
      </c>
      <c r="AW440" s="32">
        <f t="shared" si="873"/>
        <v>-3.6199205596529622</v>
      </c>
      <c r="AX440" s="33">
        <f t="shared" si="874"/>
        <v>-0.63982060320509981</v>
      </c>
      <c r="AZ440" s="31">
        <f t="shared" si="855"/>
        <v>5.6738783020352885</v>
      </c>
      <c r="BA440" s="25">
        <f t="shared" si="856"/>
        <v>2.1804677183614207</v>
      </c>
      <c r="BB440" s="32">
        <f t="shared" si="875"/>
        <v>-3.4934105836738678</v>
      </c>
      <c r="BC440" s="33">
        <f t="shared" si="876"/>
        <v>-0.61570065442199196</v>
      </c>
      <c r="BE440" s="31">
        <f t="shared" si="877"/>
        <v>5.6896499079092173</v>
      </c>
      <c r="BF440" s="25">
        <f t="shared" si="878"/>
        <v>1.776401653482546</v>
      </c>
      <c r="BG440" s="32">
        <f t="shared" si="879"/>
        <v>-3.9132482544266711</v>
      </c>
      <c r="BH440" s="33">
        <f t="shared" si="880"/>
        <v>-0.68778366292569959</v>
      </c>
      <c r="BJ440" s="31">
        <f t="shared" si="857"/>
        <v>5.7036145729075374</v>
      </c>
      <c r="BK440" s="25">
        <f t="shared" si="858"/>
        <v>1.9449999999999996</v>
      </c>
      <c r="BL440" s="32">
        <f t="shared" si="859"/>
        <v>-3.758614572907538</v>
      </c>
      <c r="BM440" s="33">
        <f t="shared" si="860"/>
        <v>-0.6589881775604457</v>
      </c>
      <c r="BO440" s="62"/>
      <c r="BP440" s="62"/>
      <c r="BQ440" s="62"/>
      <c r="BR440" s="63"/>
    </row>
    <row r="441" spans="1:70">
      <c r="B441" s="1284"/>
      <c r="D441" s="5" t="s">
        <v>168</v>
      </c>
      <c r="E441" s="87">
        <v>14.461540730771599</v>
      </c>
      <c r="F441" s="87">
        <v>13.788923692889645</v>
      </c>
      <c r="G441" s="87">
        <v>12.562752921238271</v>
      </c>
      <c r="H441" s="87">
        <v>6.1919558022643502</v>
      </c>
      <c r="I441" s="87">
        <v>5.9965811587966389</v>
      </c>
      <c r="J441" s="87">
        <v>6.0466210501811215</v>
      </c>
      <c r="K441" s="87">
        <v>6.1670080309456825</v>
      </c>
      <c r="L441" s="87">
        <v>6.019643264359015</v>
      </c>
      <c r="N441" s="29">
        <v>8.762943188303522</v>
      </c>
      <c r="O441" s="29">
        <v>8.0864338902058979</v>
      </c>
      <c r="P441" s="29">
        <v>6.6307276736857883</v>
      </c>
      <c r="Q441" s="29">
        <v>4.3594651670079312</v>
      </c>
      <c r="R441" s="29">
        <v>4.6288835960659345</v>
      </c>
      <c r="S441" s="29">
        <v>4.7853647289354804</v>
      </c>
      <c r="T441" s="29">
        <v>4.3160866852304283</v>
      </c>
      <c r="U441" s="29">
        <v>4.150144452180025</v>
      </c>
      <c r="W441" s="30">
        <v>2.1128489016090821</v>
      </c>
      <c r="X441" s="30">
        <v>3.1624403123381031</v>
      </c>
      <c r="Y441" s="30">
        <v>3.3066034426810367</v>
      </c>
      <c r="Z441" s="30">
        <v>2.009160612805637</v>
      </c>
      <c r="AA441" s="30">
        <v>1.2249390048507374</v>
      </c>
      <c r="AB441" s="85">
        <v>1.6496598076341542</v>
      </c>
      <c r="AC441" s="85">
        <v>2.4862505664720644</v>
      </c>
      <c r="AD441" s="90">
        <v>0</v>
      </c>
      <c r="AF441" s="29">
        <f t="shared" si="861"/>
        <v>8.762943188303522</v>
      </c>
      <c r="AG441" s="30">
        <f t="shared" si="862"/>
        <v>2.1128489016090821</v>
      </c>
      <c r="AH441" s="32">
        <f t="shared" si="863"/>
        <v>-6.6500942866944399</v>
      </c>
      <c r="AI441" s="33">
        <f t="shared" si="864"/>
        <v>-0.75888821184767685</v>
      </c>
      <c r="AK441" s="29">
        <f t="shared" si="853"/>
        <v>8.0864338902058979</v>
      </c>
      <c r="AL441" s="30">
        <f t="shared" si="854"/>
        <v>3.1624403123381031</v>
      </c>
      <c r="AM441" s="32">
        <f t="shared" si="865"/>
        <v>-4.9239935778677948</v>
      </c>
      <c r="AN441" s="33">
        <f t="shared" si="866"/>
        <v>-0.60892027866963983</v>
      </c>
      <c r="AP441" s="29">
        <f t="shared" si="867"/>
        <v>6.6307276736857883</v>
      </c>
      <c r="AQ441" s="30">
        <f t="shared" si="868"/>
        <v>3.3066034426810367</v>
      </c>
      <c r="AR441" s="32">
        <f t="shared" si="869"/>
        <v>-3.3241242310047516</v>
      </c>
      <c r="AS441" s="33">
        <f t="shared" si="870"/>
        <v>-0.50132118141371174</v>
      </c>
      <c r="AU441" s="31">
        <f t="shared" si="871"/>
        <v>4.3594651670079312</v>
      </c>
      <c r="AV441" s="25">
        <f t="shared" si="872"/>
        <v>2.009160612805637</v>
      </c>
      <c r="AW441" s="32">
        <f t="shared" si="873"/>
        <v>-2.3503045542022942</v>
      </c>
      <c r="AX441" s="33">
        <f t="shared" si="874"/>
        <v>-0.53912681124033357</v>
      </c>
      <c r="AZ441" s="31">
        <f t="shared" si="855"/>
        <v>4.6288835960659345</v>
      </c>
      <c r="BA441" s="25">
        <f t="shared" si="856"/>
        <v>1.2249390048507374</v>
      </c>
      <c r="BB441" s="32">
        <f t="shared" si="875"/>
        <v>-3.4039445912151969</v>
      </c>
      <c r="BC441" s="33">
        <f t="shared" si="876"/>
        <v>-0.73537053169973698</v>
      </c>
      <c r="BE441" s="31">
        <f t="shared" si="877"/>
        <v>4.7853647289354804</v>
      </c>
      <c r="BF441" s="25">
        <f t="shared" si="878"/>
        <v>1.6496598076341542</v>
      </c>
      <c r="BG441" s="32">
        <f t="shared" si="879"/>
        <v>-3.1357049213013264</v>
      </c>
      <c r="BH441" s="33">
        <f t="shared" si="880"/>
        <v>-0.65526978588294016</v>
      </c>
      <c r="BJ441" s="31">
        <f t="shared" si="857"/>
        <v>4.3160866852304283</v>
      </c>
      <c r="BK441" s="25">
        <f t="shared" si="858"/>
        <v>2.4862505664720644</v>
      </c>
      <c r="BL441" s="32">
        <f t="shared" si="859"/>
        <v>-1.8298361187583638</v>
      </c>
      <c r="BM441" s="33">
        <f t="shared" si="860"/>
        <v>-0.42395722148492299</v>
      </c>
      <c r="BO441" s="62"/>
      <c r="BP441" s="62"/>
      <c r="BQ441" s="62"/>
      <c r="BR441" s="63"/>
    </row>
    <row r="442" spans="1:70">
      <c r="B442" s="1284"/>
      <c r="D442" s="5" t="s">
        <v>169</v>
      </c>
      <c r="E442" s="87">
        <v>3.4383379860030443</v>
      </c>
      <c r="F442" s="87">
        <v>3.8709512956398338</v>
      </c>
      <c r="G442" s="87">
        <v>3.4684092671375937</v>
      </c>
      <c r="H442" s="87">
        <v>3.9433752170930707</v>
      </c>
      <c r="I442" s="87">
        <v>3.533532536811856</v>
      </c>
      <c r="J442" s="87">
        <v>4.0143136816924629</v>
      </c>
      <c r="K442" s="87">
        <v>3.5373324193995872</v>
      </c>
      <c r="L442" s="87">
        <v>3.6050812244898931</v>
      </c>
      <c r="N442" s="29">
        <v>5.5949326694380295</v>
      </c>
      <c r="O442" s="29">
        <v>5.1111038647940994</v>
      </c>
      <c r="P442" s="29">
        <v>4.2017631635402157</v>
      </c>
      <c r="Q442" s="29">
        <v>4.2738699354553384</v>
      </c>
      <c r="R442" s="29">
        <v>3.9550627492907258</v>
      </c>
      <c r="S442" s="29">
        <v>4.6234564972589505</v>
      </c>
      <c r="T442" s="29">
        <v>4.9181773497606569</v>
      </c>
      <c r="U442" s="29">
        <v>4.7809913276816074</v>
      </c>
      <c r="W442" s="30">
        <v>1.5048494361918734</v>
      </c>
      <c r="X442" s="30">
        <v>0.85124113330519091</v>
      </c>
      <c r="Y442" s="30">
        <v>1.3754806981769245</v>
      </c>
      <c r="Z442" s="30">
        <v>0.8542112471415485</v>
      </c>
      <c r="AA442" s="30">
        <v>1.8291890600672467</v>
      </c>
      <c r="AB442" s="85">
        <v>2.0232734398253576</v>
      </c>
      <c r="AC442" s="85">
        <v>2.1525270582936238</v>
      </c>
      <c r="AD442" s="90">
        <v>0</v>
      </c>
      <c r="AF442" s="29">
        <f t="shared" si="861"/>
        <v>5.5949326694380295</v>
      </c>
      <c r="AG442" s="30">
        <f t="shared" si="862"/>
        <v>1.5048494361918734</v>
      </c>
      <c r="AH442" s="32">
        <f t="shared" si="863"/>
        <v>-4.0900832332461565</v>
      </c>
      <c r="AI442" s="33">
        <f t="shared" si="864"/>
        <v>-0.73103350386823795</v>
      </c>
      <c r="AK442" s="29">
        <f t="shared" si="853"/>
        <v>5.1111038647940994</v>
      </c>
      <c r="AL442" s="30">
        <f t="shared" si="854"/>
        <v>0.85124113330519091</v>
      </c>
      <c r="AM442" s="32">
        <f t="shared" si="865"/>
        <v>-4.2598627314889086</v>
      </c>
      <c r="AN442" s="33">
        <f t="shared" si="866"/>
        <v>-0.83345258562076141</v>
      </c>
      <c r="AP442" s="29">
        <f t="shared" si="867"/>
        <v>4.2017631635402157</v>
      </c>
      <c r="AQ442" s="30">
        <f t="shared" si="868"/>
        <v>1.3754806981769245</v>
      </c>
      <c r="AR442" s="32">
        <f t="shared" si="869"/>
        <v>-2.826282465363291</v>
      </c>
      <c r="AS442" s="33">
        <f t="shared" si="870"/>
        <v>-0.67264202082775015</v>
      </c>
      <c r="AU442" s="31">
        <f t="shared" si="871"/>
        <v>4.2738699354553384</v>
      </c>
      <c r="AV442" s="25">
        <f t="shared" si="872"/>
        <v>0.8542112471415485</v>
      </c>
      <c r="AW442" s="32">
        <f t="shared" si="873"/>
        <v>-3.4196586883137901</v>
      </c>
      <c r="AX442" s="33">
        <f t="shared" si="874"/>
        <v>-0.80013166988186768</v>
      </c>
      <c r="AZ442" s="31">
        <f t="shared" si="855"/>
        <v>3.9550627492907258</v>
      </c>
      <c r="BA442" s="25">
        <f t="shared" si="856"/>
        <v>1.8291890600672467</v>
      </c>
      <c r="BB442" s="32">
        <f t="shared" si="875"/>
        <v>-2.1258736892234791</v>
      </c>
      <c r="BC442" s="33">
        <f t="shared" si="876"/>
        <v>-0.53750694337396265</v>
      </c>
      <c r="BE442" s="31">
        <f t="shared" si="877"/>
        <v>4.6234564972589505</v>
      </c>
      <c r="BF442" s="25">
        <f t="shared" si="878"/>
        <v>2.0232734398253576</v>
      </c>
      <c r="BG442" s="32">
        <f t="shared" si="879"/>
        <v>-2.6001830574335929</v>
      </c>
      <c r="BH442" s="33">
        <f t="shared" si="880"/>
        <v>-0.56238942855310314</v>
      </c>
      <c r="BJ442" s="31">
        <f t="shared" si="857"/>
        <v>4.9181773497606569</v>
      </c>
      <c r="BK442" s="25">
        <f t="shared" si="858"/>
        <v>2.1525270582936238</v>
      </c>
      <c r="BL442" s="32">
        <f t="shared" si="859"/>
        <v>-2.7656502914670331</v>
      </c>
      <c r="BM442" s="33">
        <f t="shared" si="860"/>
        <v>-0.56233236314701496</v>
      </c>
      <c r="BO442" s="62"/>
      <c r="BP442" s="62"/>
      <c r="BQ442" s="62"/>
      <c r="BR442" s="63"/>
    </row>
    <row r="443" spans="1:70">
      <c r="B443" s="1284"/>
      <c r="D443" s="5" t="s">
        <v>170</v>
      </c>
      <c r="E443" s="87">
        <v>5.7072587918446427</v>
      </c>
      <c r="F443" s="87">
        <v>5.3208340591354615</v>
      </c>
      <c r="G443" s="87">
        <v>5.5591268253323038</v>
      </c>
      <c r="H443" s="87">
        <v>5.4869337784799299</v>
      </c>
      <c r="I443" s="87">
        <v>6.0185052467698554</v>
      </c>
      <c r="J443" s="87">
        <v>5.5033594867984217</v>
      </c>
      <c r="K443" s="87">
        <v>5.5552372672896722</v>
      </c>
      <c r="L443" s="87">
        <v>5.6339949432291068</v>
      </c>
      <c r="N443" s="29">
        <v>6.5277718431572778</v>
      </c>
      <c r="O443" s="29">
        <v>5.9419730385825709</v>
      </c>
      <c r="P443" s="29">
        <v>5.1681412465784851</v>
      </c>
      <c r="Q443" s="29">
        <v>5.2258196731208519</v>
      </c>
      <c r="R443" s="29">
        <v>5.2889438019704613</v>
      </c>
      <c r="S443" s="29">
        <v>4.8452867794754173</v>
      </c>
      <c r="T443" s="29">
        <v>5.2241820222012807</v>
      </c>
      <c r="U443" s="29">
        <v>5.2873214024548023</v>
      </c>
      <c r="W443" s="30">
        <v>2.0756326066770638</v>
      </c>
      <c r="X443" s="30">
        <v>3.0049264785086329</v>
      </c>
      <c r="Y443" s="30">
        <v>2.6929281355271315</v>
      </c>
      <c r="Z443" s="30">
        <v>2.5117180796321255</v>
      </c>
      <c r="AA443" s="30">
        <v>4.0046764748724701</v>
      </c>
      <c r="AB443" s="85">
        <v>2.2454281869452641</v>
      </c>
      <c r="AC443" s="85">
        <v>3.6875382627967372</v>
      </c>
      <c r="AD443" s="90">
        <v>0</v>
      </c>
      <c r="AF443" s="29">
        <f t="shared" si="861"/>
        <v>6.5277718431572778</v>
      </c>
      <c r="AG443" s="30">
        <f t="shared" si="862"/>
        <v>2.0756326066770638</v>
      </c>
      <c r="AH443" s="32">
        <f t="shared" si="863"/>
        <v>-4.4521392364802139</v>
      </c>
      <c r="AI443" s="33">
        <f t="shared" si="864"/>
        <v>-0.68203046053871486</v>
      </c>
      <c r="AK443" s="29">
        <f t="shared" si="853"/>
        <v>5.9419730385825709</v>
      </c>
      <c r="AL443" s="30">
        <f t="shared" si="854"/>
        <v>3.0049264785086329</v>
      </c>
      <c r="AM443" s="32">
        <f t="shared" si="865"/>
        <v>-2.9370465600739379</v>
      </c>
      <c r="AN443" s="33">
        <f t="shared" si="866"/>
        <v>-0.49428809942472512</v>
      </c>
      <c r="AP443" s="29">
        <f t="shared" si="867"/>
        <v>5.1681412465784851</v>
      </c>
      <c r="AQ443" s="30">
        <f t="shared" si="868"/>
        <v>2.6929281355271315</v>
      </c>
      <c r="AR443" s="32">
        <f t="shared" si="869"/>
        <v>-2.4752131110513536</v>
      </c>
      <c r="AS443" s="33">
        <f t="shared" si="870"/>
        <v>-0.4789368155698227</v>
      </c>
      <c r="AU443" s="31">
        <f t="shared" si="871"/>
        <v>5.2258196731208519</v>
      </c>
      <c r="AV443" s="25">
        <f t="shared" si="872"/>
        <v>2.5117180796321255</v>
      </c>
      <c r="AW443" s="32">
        <f t="shared" si="873"/>
        <v>-2.7141015934887265</v>
      </c>
      <c r="AX443" s="33">
        <f t="shared" si="874"/>
        <v>-0.51936380572961272</v>
      </c>
      <c r="AZ443" s="31">
        <f t="shared" si="855"/>
        <v>5.2889438019704613</v>
      </c>
      <c r="BA443" s="25">
        <f t="shared" si="856"/>
        <v>4.0046764748724701</v>
      </c>
      <c r="BB443" s="32">
        <f t="shared" si="875"/>
        <v>-1.2842673270979912</v>
      </c>
      <c r="BC443" s="33">
        <f t="shared" si="876"/>
        <v>-0.24282113313806086</v>
      </c>
      <c r="BE443" s="31">
        <f t="shared" si="877"/>
        <v>4.8452867794754173</v>
      </c>
      <c r="BF443" s="25">
        <f t="shared" si="878"/>
        <v>2.2454281869452641</v>
      </c>
      <c r="BG443" s="32">
        <f t="shared" si="879"/>
        <v>-2.5998585925301532</v>
      </c>
      <c r="BH443" s="33">
        <f t="shared" si="880"/>
        <v>-0.53657476035126062</v>
      </c>
      <c r="BJ443" s="31">
        <f t="shared" si="857"/>
        <v>5.2241820222012807</v>
      </c>
      <c r="BK443" s="25">
        <f t="shared" si="858"/>
        <v>3.6875382627967372</v>
      </c>
      <c r="BL443" s="32">
        <f t="shared" si="859"/>
        <v>-1.5366437594045435</v>
      </c>
      <c r="BM443" s="33">
        <f t="shared" si="860"/>
        <v>-0.29414054733817591</v>
      </c>
      <c r="BO443" s="62"/>
      <c r="BP443" s="62"/>
      <c r="BQ443" s="62"/>
      <c r="BR443" s="63"/>
    </row>
    <row r="444" spans="1:70">
      <c r="B444" s="1284"/>
      <c r="D444" s="5" t="s">
        <v>171</v>
      </c>
      <c r="E444" s="87">
        <v>5.9528020922038802</v>
      </c>
      <c r="F444" s="87">
        <v>5.9760307024532775</v>
      </c>
      <c r="G444" s="87">
        <v>5.9948149575093304</v>
      </c>
      <c r="H444" s="87">
        <v>6.0351372524907507</v>
      </c>
      <c r="I444" s="87">
        <v>6.0334439953949479</v>
      </c>
      <c r="J444" s="87">
        <v>6.0683277851411415</v>
      </c>
      <c r="K444" s="87">
        <v>6.1297627332957951</v>
      </c>
      <c r="L444" s="87">
        <v>6.1670233894429805</v>
      </c>
      <c r="N444" s="29">
        <v>6.155197563335709</v>
      </c>
      <c r="O444" s="29">
        <v>5.9854220181497695</v>
      </c>
      <c r="P444" s="29">
        <v>5.8979139253557999</v>
      </c>
      <c r="Q444" s="29">
        <v>5.7275004420267779</v>
      </c>
      <c r="R444" s="29">
        <v>5.6911310852160373</v>
      </c>
      <c r="S444" s="29">
        <v>5.6779459479427468</v>
      </c>
      <c r="T444" s="29">
        <v>5.0783561874061984</v>
      </c>
      <c r="U444" s="29">
        <v>5.0803246334832401</v>
      </c>
      <c r="W444" s="30">
        <v>5.4378887667468963</v>
      </c>
      <c r="X444" s="30">
        <v>5.6683460730629944</v>
      </c>
      <c r="Y444" s="30">
        <v>5.959125596609022</v>
      </c>
      <c r="Z444" s="30">
        <v>5.5611770449094271</v>
      </c>
      <c r="AA444" s="30">
        <v>4.2713352344958135</v>
      </c>
      <c r="AB444" s="85">
        <v>4.1232093725275503</v>
      </c>
      <c r="AC444" s="85">
        <v>3.6448460826739861</v>
      </c>
      <c r="AD444" s="90">
        <v>0</v>
      </c>
      <c r="AF444" s="29">
        <f t="shared" si="861"/>
        <v>6.155197563335709</v>
      </c>
      <c r="AG444" s="30">
        <f t="shared" si="862"/>
        <v>5.4378887667468963</v>
      </c>
      <c r="AH444" s="32">
        <f t="shared" si="863"/>
        <v>-0.71730879658881275</v>
      </c>
      <c r="AI444" s="33">
        <f t="shared" si="864"/>
        <v>-0.11653708743023335</v>
      </c>
      <c r="AK444" s="29">
        <f t="shared" si="853"/>
        <v>5.9854220181497695</v>
      </c>
      <c r="AL444" s="30">
        <f t="shared" si="854"/>
        <v>5.6683460730629944</v>
      </c>
      <c r="AM444" s="32">
        <f t="shared" si="865"/>
        <v>-0.31707594508677506</v>
      </c>
      <c r="AN444" s="33">
        <f t="shared" si="866"/>
        <v>-5.2974701554092E-2</v>
      </c>
      <c r="AP444" s="29">
        <f t="shared" si="867"/>
        <v>5.8979139253557999</v>
      </c>
      <c r="AQ444" s="30">
        <f t="shared" si="868"/>
        <v>5.959125596609022</v>
      </c>
      <c r="AR444" s="32">
        <f t="shared" si="869"/>
        <v>6.1211671253222022E-2</v>
      </c>
      <c r="AS444" s="33">
        <f t="shared" si="870"/>
        <v>1.0378529091458272E-2</v>
      </c>
      <c r="AU444" s="31">
        <f t="shared" si="871"/>
        <v>5.7275004420267779</v>
      </c>
      <c r="AV444" s="25">
        <f t="shared" si="872"/>
        <v>5.5611770449094271</v>
      </c>
      <c r="AW444" s="32">
        <f t="shared" si="873"/>
        <v>-0.16632339711735078</v>
      </c>
      <c r="AX444" s="33">
        <f t="shared" si="874"/>
        <v>-2.9039438547558503E-2</v>
      </c>
      <c r="AZ444" s="31">
        <f t="shared" si="855"/>
        <v>5.6911310852160373</v>
      </c>
      <c r="BA444" s="25">
        <f t="shared" si="856"/>
        <v>4.2713352344958135</v>
      </c>
      <c r="BB444" s="32">
        <f t="shared" si="875"/>
        <v>-1.4197958507202237</v>
      </c>
      <c r="BC444" s="33">
        <f t="shared" si="876"/>
        <v>-0.24947516222363164</v>
      </c>
      <c r="BE444" s="31">
        <f t="shared" si="877"/>
        <v>5.6779459479427468</v>
      </c>
      <c r="BF444" s="25">
        <f t="shared" si="878"/>
        <v>4.1232093725275503</v>
      </c>
      <c r="BG444" s="32">
        <f t="shared" si="879"/>
        <v>-1.5547365754151965</v>
      </c>
      <c r="BH444" s="33">
        <f t="shared" si="880"/>
        <v>-0.27382024937706817</v>
      </c>
      <c r="BJ444" s="31">
        <f t="shared" si="857"/>
        <v>5.0783561874061984</v>
      </c>
      <c r="BK444" s="25">
        <f t="shared" si="858"/>
        <v>3.6448460826739861</v>
      </c>
      <c r="BL444" s="32">
        <f t="shared" si="859"/>
        <v>-1.4335101047322123</v>
      </c>
      <c r="BM444" s="33">
        <f t="shared" si="860"/>
        <v>-0.28227836958092267</v>
      </c>
      <c r="BO444" s="62"/>
      <c r="BP444" s="62"/>
      <c r="BQ444" s="62"/>
      <c r="BR444" s="63"/>
    </row>
    <row r="445" spans="1:70">
      <c r="B445" s="1284"/>
      <c r="D445" s="5" t="s">
        <v>172</v>
      </c>
      <c r="E445" s="87">
        <v>8.3783106191479586</v>
      </c>
      <c r="F445" s="87">
        <v>8.397135967778425</v>
      </c>
      <c r="G445" s="87">
        <v>8.4195635213839193</v>
      </c>
      <c r="H445" s="87">
        <v>8.4289757335079702</v>
      </c>
      <c r="I445" s="87">
        <v>8.4947520319425784</v>
      </c>
      <c r="J445" s="87">
        <v>8.5387661282398053</v>
      </c>
      <c r="K445" s="87">
        <v>8.6148405478968115</v>
      </c>
      <c r="L445" s="87">
        <v>8.6668091322315668</v>
      </c>
      <c r="N445" s="29">
        <v>6.6867949063776564</v>
      </c>
      <c r="O445" s="29">
        <v>5.6519438618430362</v>
      </c>
      <c r="P445" s="29">
        <v>7.0628140918022275</v>
      </c>
      <c r="Q445" s="29">
        <v>5.516680073179649</v>
      </c>
      <c r="R445" s="29">
        <v>6.8016713155779769</v>
      </c>
      <c r="S445" s="29">
        <v>6.6738196907635112</v>
      </c>
      <c r="T445" s="29">
        <v>5.7911898874646628</v>
      </c>
      <c r="U445" s="29">
        <v>5.1633332391226059</v>
      </c>
      <c r="W445" s="30">
        <v>9.4547734586531824</v>
      </c>
      <c r="X445" s="30">
        <v>8.3311141308401329</v>
      </c>
      <c r="Y445" s="30">
        <v>7.8171464190459758</v>
      </c>
      <c r="Z445" s="30">
        <v>7.2594734539860486</v>
      </c>
      <c r="AA445" s="30">
        <v>5.9750586033114486</v>
      </c>
      <c r="AB445" s="85">
        <v>3.9575260797525762</v>
      </c>
      <c r="AC445" s="85">
        <v>3.6812350936092639</v>
      </c>
      <c r="AD445" s="90">
        <v>0</v>
      </c>
      <c r="AF445" s="29">
        <f t="shared" si="861"/>
        <v>6.6867949063776564</v>
      </c>
      <c r="AG445" s="30">
        <f t="shared" si="862"/>
        <v>9.4547734586531824</v>
      </c>
      <c r="AH445" s="32">
        <f t="shared" si="863"/>
        <v>2.767978552275526</v>
      </c>
      <c r="AI445" s="33">
        <f t="shared" si="864"/>
        <v>0.41394697923746915</v>
      </c>
      <c r="AK445" s="29">
        <f t="shared" si="853"/>
        <v>5.6519438618430362</v>
      </c>
      <c r="AL445" s="30">
        <f t="shared" si="854"/>
        <v>8.3311141308401329</v>
      </c>
      <c r="AM445" s="32">
        <f t="shared" si="865"/>
        <v>2.6791702689970966</v>
      </c>
      <c r="AN445" s="33">
        <f t="shared" si="866"/>
        <v>0.47402634111150727</v>
      </c>
      <c r="AP445" s="29">
        <f t="shared" si="867"/>
        <v>7.0628140918022275</v>
      </c>
      <c r="AQ445" s="30">
        <f t="shared" si="868"/>
        <v>7.8171464190459758</v>
      </c>
      <c r="AR445" s="32">
        <f t="shared" si="869"/>
        <v>0.75433232724374832</v>
      </c>
      <c r="AS445" s="33">
        <f t="shared" si="870"/>
        <v>0.10680336724695869</v>
      </c>
      <c r="AU445" s="31">
        <f t="shared" si="871"/>
        <v>5.516680073179649</v>
      </c>
      <c r="AV445" s="25">
        <f t="shared" si="872"/>
        <v>7.2594734539860486</v>
      </c>
      <c r="AW445" s="32">
        <f t="shared" si="873"/>
        <v>1.7427933808063996</v>
      </c>
      <c r="AX445" s="33">
        <f t="shared" si="874"/>
        <v>0.31591344027349144</v>
      </c>
      <c r="AZ445" s="31">
        <f t="shared" si="855"/>
        <v>6.8016713155779769</v>
      </c>
      <c r="BA445" s="25">
        <f t="shared" si="856"/>
        <v>5.9750586033114486</v>
      </c>
      <c r="BB445" s="32">
        <f t="shared" si="875"/>
        <v>-0.82661271226652833</v>
      </c>
      <c r="BC445" s="33">
        <f t="shared" si="876"/>
        <v>-0.12153082292778894</v>
      </c>
      <c r="BE445" s="31">
        <f t="shared" si="877"/>
        <v>6.6738196907635112</v>
      </c>
      <c r="BF445" s="25">
        <f t="shared" si="878"/>
        <v>3.9575260797525762</v>
      </c>
      <c r="BG445" s="32">
        <f t="shared" si="879"/>
        <v>-2.716293611010935</v>
      </c>
      <c r="BH445" s="33">
        <f t="shared" si="880"/>
        <v>-0.40700734165327446</v>
      </c>
      <c r="BJ445" s="31">
        <f t="shared" si="857"/>
        <v>5.7911898874646628</v>
      </c>
      <c r="BK445" s="25">
        <f t="shared" si="858"/>
        <v>3.6812350936092639</v>
      </c>
      <c r="BL445" s="32">
        <f t="shared" si="859"/>
        <v>-2.1099547938553989</v>
      </c>
      <c r="BM445" s="33">
        <f t="shared" si="860"/>
        <v>-0.36433873432858899</v>
      </c>
      <c r="BO445" s="62"/>
      <c r="BP445" s="62"/>
      <c r="BQ445" s="62"/>
      <c r="BR445" s="63"/>
    </row>
    <row r="446" spans="1:70">
      <c r="B446" s="1284"/>
      <c r="D446" s="5" t="s">
        <v>28</v>
      </c>
      <c r="E446" s="87">
        <v>0.88028927379926292</v>
      </c>
      <c r="F446" s="87">
        <v>0.87817922809437654</v>
      </c>
      <c r="G446" s="87">
        <v>0.8773355626285988</v>
      </c>
      <c r="H446" s="87">
        <v>0.87095952987656311</v>
      </c>
      <c r="I446" s="87">
        <v>0.86866891029683269</v>
      </c>
      <c r="J446" s="87">
        <v>0.86650570424498874</v>
      </c>
      <c r="K446" s="87">
        <v>0.86445046522694458</v>
      </c>
      <c r="L446" s="87">
        <v>0.86258955533823678</v>
      </c>
      <c r="N446" s="29">
        <v>1.210151142002114</v>
      </c>
      <c r="O446" s="29">
        <v>1.1898878802177804</v>
      </c>
      <c r="P446" s="29">
        <v>1.1327516837923584</v>
      </c>
      <c r="Q446" s="29">
        <v>1.1258986793310939</v>
      </c>
      <c r="R446" s="29">
        <v>1.1275284789676612</v>
      </c>
      <c r="S446" s="29">
        <v>1.0971040174037738</v>
      </c>
      <c r="T446" s="29">
        <v>1.0980797158228646</v>
      </c>
      <c r="U446" s="29">
        <v>1.0717870991144514</v>
      </c>
      <c r="W446" s="30">
        <v>2.4347355193826536</v>
      </c>
      <c r="X446" s="30">
        <v>1.4311873382967788</v>
      </c>
      <c r="Y446" s="30">
        <v>0.93948736932348276</v>
      </c>
      <c r="Z446" s="30">
        <v>0.67410138844106049</v>
      </c>
      <c r="AA446" s="30">
        <v>1.2008976972420367</v>
      </c>
      <c r="AB446" s="85">
        <v>0.80370827173938619</v>
      </c>
      <c r="AC446" s="85">
        <v>0.96003467000000009</v>
      </c>
      <c r="AD446" s="90">
        <v>0</v>
      </c>
      <c r="AF446" s="29">
        <f t="shared" si="861"/>
        <v>1.210151142002114</v>
      </c>
      <c r="AG446" s="30">
        <f t="shared" si="862"/>
        <v>2.4347355193826536</v>
      </c>
      <c r="AH446" s="32">
        <f t="shared" si="863"/>
        <v>1.2245843773805396</v>
      </c>
      <c r="AI446" s="33">
        <f t="shared" si="864"/>
        <v>1.0119268039152092</v>
      </c>
      <c r="AK446" s="29">
        <f t="shared" si="853"/>
        <v>1.1898878802177804</v>
      </c>
      <c r="AL446" s="30">
        <f t="shared" si="854"/>
        <v>1.4311873382967788</v>
      </c>
      <c r="AM446" s="32">
        <f t="shared" si="865"/>
        <v>0.24129945807899844</v>
      </c>
      <c r="AN446" s="33">
        <f t="shared" si="866"/>
        <v>0.20279176054371978</v>
      </c>
      <c r="AP446" s="29">
        <f t="shared" si="867"/>
        <v>1.1327516837923584</v>
      </c>
      <c r="AQ446" s="30">
        <f t="shared" si="868"/>
        <v>0.93948736932348276</v>
      </c>
      <c r="AR446" s="32">
        <f t="shared" si="869"/>
        <v>-0.1932643144688756</v>
      </c>
      <c r="AS446" s="33">
        <f t="shared" si="870"/>
        <v>-0.17061489930594739</v>
      </c>
      <c r="AU446" s="31">
        <f t="shared" si="871"/>
        <v>1.1258986793310939</v>
      </c>
      <c r="AV446" s="25">
        <f t="shared" si="872"/>
        <v>0.67410138844106049</v>
      </c>
      <c r="AW446" s="32">
        <f t="shared" si="873"/>
        <v>-0.4517972908900334</v>
      </c>
      <c r="AX446" s="33">
        <f t="shared" si="874"/>
        <v>-0.40127704133950143</v>
      </c>
      <c r="AZ446" s="31">
        <f t="shared" si="855"/>
        <v>1.1275284789676612</v>
      </c>
      <c r="BA446" s="25">
        <f t="shared" si="856"/>
        <v>1.2008976972420367</v>
      </c>
      <c r="BB446" s="32">
        <f t="shared" si="875"/>
        <v>7.3369218274375481E-2</v>
      </c>
      <c r="BC446" s="33">
        <f t="shared" si="876"/>
        <v>6.5070833813040921E-2</v>
      </c>
      <c r="BE446" s="31">
        <f t="shared" si="877"/>
        <v>1.0971040174037738</v>
      </c>
      <c r="BF446" s="25">
        <f t="shared" si="878"/>
        <v>0.80370827173938619</v>
      </c>
      <c r="BG446" s="32">
        <f t="shared" si="879"/>
        <v>-0.29339574566438764</v>
      </c>
      <c r="BH446" s="33">
        <f t="shared" si="880"/>
        <v>-0.2674274644975686</v>
      </c>
      <c r="BJ446" s="31">
        <f t="shared" si="857"/>
        <v>1.0980797158228646</v>
      </c>
      <c r="BK446" s="25">
        <f t="shared" si="858"/>
        <v>0.96003467000000009</v>
      </c>
      <c r="BL446" s="32">
        <f t="shared" si="859"/>
        <v>-0.13804504582286448</v>
      </c>
      <c r="BM446" s="33">
        <f t="shared" si="860"/>
        <v>-0.12571495842578068</v>
      </c>
      <c r="BO446" s="62"/>
      <c r="BP446" s="62"/>
      <c r="BQ446" s="62"/>
      <c r="BR446" s="63"/>
    </row>
    <row r="447" spans="1:70">
      <c r="B447" s="1284"/>
      <c r="D447" s="5" t="s">
        <v>173</v>
      </c>
      <c r="E447" s="87">
        <v>5.2603221778409308</v>
      </c>
      <c r="F447" s="87">
        <v>5.2473322828468412</v>
      </c>
      <c r="G447" s="87">
        <v>5.2427213720563257</v>
      </c>
      <c r="H447" s="87">
        <v>5.2044650043998546</v>
      </c>
      <c r="I447" s="87">
        <v>5.413834922983968</v>
      </c>
      <c r="J447" s="87">
        <v>5.1777842834524925</v>
      </c>
      <c r="K447" s="87">
        <v>5.1656013457733954</v>
      </c>
      <c r="L447" s="87">
        <v>5.1544209562194299</v>
      </c>
      <c r="N447" s="29">
        <v>6.799097029832776</v>
      </c>
      <c r="O447" s="29">
        <v>6.4991196703105301</v>
      </c>
      <c r="P447" s="29">
        <v>6.4698254966556092</v>
      </c>
      <c r="Q447" s="29">
        <v>6.0607759506953656</v>
      </c>
      <c r="R447" s="29">
        <v>5.7919542704057116</v>
      </c>
      <c r="S447" s="29">
        <v>5.5099717948884761</v>
      </c>
      <c r="T447" s="29">
        <v>5.3872561760757023</v>
      </c>
      <c r="U447" s="29">
        <v>5.5444225821235014</v>
      </c>
      <c r="W447" s="30">
        <v>4.4185052479831013</v>
      </c>
      <c r="X447" s="30">
        <v>4.9553613996619523</v>
      </c>
      <c r="Y447" s="30">
        <v>3.4683606949690535</v>
      </c>
      <c r="Z447" s="30">
        <v>3.2047144171002588</v>
      </c>
      <c r="AA447" s="30">
        <v>3.4246907214141795</v>
      </c>
      <c r="AB447" s="85">
        <v>2.7518204060011495</v>
      </c>
      <c r="AC447" s="85">
        <v>1.8351280599999999</v>
      </c>
      <c r="AD447" s="90">
        <v>0</v>
      </c>
      <c r="AF447" s="29">
        <f t="shared" si="861"/>
        <v>6.799097029832776</v>
      </c>
      <c r="AG447" s="30">
        <f t="shared" si="862"/>
        <v>4.4185052479831013</v>
      </c>
      <c r="AH447" s="32">
        <f t="shared" si="863"/>
        <v>-2.3805917818496747</v>
      </c>
      <c r="AI447" s="33">
        <f t="shared" si="864"/>
        <v>-0.35013352087846661</v>
      </c>
      <c r="AK447" s="29">
        <f t="shared" si="853"/>
        <v>6.4991196703105301</v>
      </c>
      <c r="AL447" s="30">
        <f t="shared" si="854"/>
        <v>4.9553613996619523</v>
      </c>
      <c r="AM447" s="32">
        <f t="shared" si="865"/>
        <v>-1.5437582706485777</v>
      </c>
      <c r="AN447" s="33">
        <f t="shared" si="866"/>
        <v>-0.23753344282931421</v>
      </c>
      <c r="AP447" s="29">
        <f t="shared" si="867"/>
        <v>6.4698254966556092</v>
      </c>
      <c r="AQ447" s="30">
        <f t="shared" si="868"/>
        <v>3.4683606949690535</v>
      </c>
      <c r="AR447" s="32">
        <f t="shared" si="869"/>
        <v>-3.0014648016865557</v>
      </c>
      <c r="AS447" s="33">
        <f t="shared" si="870"/>
        <v>-0.46391742763975269</v>
      </c>
      <c r="AU447" s="31">
        <f t="shared" si="871"/>
        <v>6.0607759506953656</v>
      </c>
      <c r="AV447" s="25">
        <f t="shared" si="872"/>
        <v>3.2047144171002588</v>
      </c>
      <c r="AW447" s="32">
        <f t="shared" si="873"/>
        <v>-2.8560615335951067</v>
      </c>
      <c r="AX447" s="33">
        <f t="shared" si="874"/>
        <v>-0.47123694339293715</v>
      </c>
      <c r="AZ447" s="31">
        <f t="shared" si="855"/>
        <v>5.7919542704057116</v>
      </c>
      <c r="BA447" s="25">
        <f t="shared" si="856"/>
        <v>3.4246907214141795</v>
      </c>
      <c r="BB447" s="32">
        <f t="shared" si="875"/>
        <v>-2.3672635489915321</v>
      </c>
      <c r="BC447" s="33">
        <f t="shared" si="876"/>
        <v>-0.40871585625031381</v>
      </c>
      <c r="BE447" s="31">
        <f t="shared" si="877"/>
        <v>5.5099717948884761</v>
      </c>
      <c r="BF447" s="25">
        <f t="shared" si="878"/>
        <v>2.7518204060011495</v>
      </c>
      <c r="BG447" s="32">
        <f t="shared" si="879"/>
        <v>-2.7581513888873266</v>
      </c>
      <c r="BH447" s="33">
        <f t="shared" si="880"/>
        <v>-0.50057450229527944</v>
      </c>
      <c r="BJ447" s="31">
        <f t="shared" si="857"/>
        <v>5.3872561760757023</v>
      </c>
      <c r="BK447" s="25">
        <f t="shared" si="858"/>
        <v>1.8351280599999999</v>
      </c>
      <c r="BL447" s="32">
        <f t="shared" si="859"/>
        <v>-3.5521281160757026</v>
      </c>
      <c r="BM447" s="33">
        <f t="shared" si="860"/>
        <v>-0.65935756533174894</v>
      </c>
      <c r="BO447" s="62"/>
      <c r="BP447" s="62"/>
      <c r="BQ447" s="62"/>
      <c r="BR447" s="63"/>
    </row>
    <row r="448" spans="1:70">
      <c r="A448" s="1"/>
      <c r="B448" s="1284"/>
      <c r="D448" s="4" t="s">
        <v>174</v>
      </c>
      <c r="E448" s="88">
        <f t="shared" ref="E448:L448" si="881">SUM(E434:E447)</f>
        <v>80.559261159815435</v>
      </c>
      <c r="F448" s="88">
        <f t="shared" si="881"/>
        <v>80.007199071697059</v>
      </c>
      <c r="G448" s="88">
        <f t="shared" si="881"/>
        <v>80.329203386012864</v>
      </c>
      <c r="H448" s="88">
        <f t="shared" si="881"/>
        <v>74.433917973174701</v>
      </c>
      <c r="I448" s="88">
        <f t="shared" si="881"/>
        <v>74.738798568650282</v>
      </c>
      <c r="J448" s="88">
        <f t="shared" si="881"/>
        <v>74.768711653804104</v>
      </c>
      <c r="K448" s="88">
        <f t="shared" si="881"/>
        <v>74.759076797290447</v>
      </c>
      <c r="L448" s="88">
        <f t="shared" si="881"/>
        <v>74.72831102520972</v>
      </c>
      <c r="M448" s="1"/>
      <c r="N448" s="81">
        <f t="shared" ref="N448:U448" si="882">SUM(N434:N447)</f>
        <v>79.218510730317121</v>
      </c>
      <c r="O448" s="81">
        <f t="shared" si="882"/>
        <v>74.409210034726073</v>
      </c>
      <c r="P448" s="81">
        <f t="shared" si="882"/>
        <v>73.724229961391188</v>
      </c>
      <c r="Q448" s="81">
        <f t="shared" si="882"/>
        <v>68.729800771044879</v>
      </c>
      <c r="R448" s="81">
        <f t="shared" si="882"/>
        <v>70.309645978733911</v>
      </c>
      <c r="S448" s="81">
        <f t="shared" si="882"/>
        <v>70.531616435122942</v>
      </c>
      <c r="T448" s="81">
        <f t="shared" si="882"/>
        <v>69.156555801513946</v>
      </c>
      <c r="U448" s="81">
        <f t="shared" si="882"/>
        <v>68.100974884834869</v>
      </c>
      <c r="V448" s="1"/>
      <c r="W448" s="85">
        <f t="shared" ref="W448:AD448" si="883">SUM(W434:W447)</f>
        <v>58.512288625860869</v>
      </c>
      <c r="X448" s="85">
        <f t="shared" si="883"/>
        <v>64.375819245516311</v>
      </c>
      <c r="Y448" s="85">
        <f t="shared" si="883"/>
        <v>51.203888721901919</v>
      </c>
      <c r="Z448" s="85">
        <f>SUM(Z434:Z447)</f>
        <v>44.491830087227839</v>
      </c>
      <c r="AA448" s="85">
        <f>SUM(AA434:AA447)</f>
        <v>44.265874251602305</v>
      </c>
      <c r="AB448" s="85">
        <f t="shared" si="883"/>
        <v>40.937304033815494</v>
      </c>
      <c r="AC448" s="85">
        <f t="shared" ref="AC448" si="884">SUM(AC434:AC447)</f>
        <v>36.676247529047664</v>
      </c>
      <c r="AD448" s="91">
        <f t="shared" si="883"/>
        <v>0</v>
      </c>
      <c r="AE448" s="1"/>
      <c r="AF448" s="81">
        <f t="shared" si="861"/>
        <v>79.218510730317121</v>
      </c>
      <c r="AG448" s="85">
        <f t="shared" si="862"/>
        <v>58.512288625860869</v>
      </c>
      <c r="AH448" s="34">
        <f t="shared" si="863"/>
        <v>-20.706222104456252</v>
      </c>
      <c r="AI448" s="35">
        <f t="shared" si="864"/>
        <v>-0.26138110794516528</v>
      </c>
      <c r="AK448" s="81">
        <f t="shared" si="853"/>
        <v>74.409210034726073</v>
      </c>
      <c r="AL448" s="85">
        <f t="shared" si="854"/>
        <v>64.375819245516311</v>
      </c>
      <c r="AM448" s="34">
        <f t="shared" si="865"/>
        <v>-10.033390789209761</v>
      </c>
      <c r="AN448" s="35">
        <f t="shared" si="866"/>
        <v>-0.13484071104272272</v>
      </c>
      <c r="AP448" s="81">
        <f t="shared" si="867"/>
        <v>73.724229961391188</v>
      </c>
      <c r="AQ448" s="85">
        <f t="shared" si="868"/>
        <v>51.203888721901919</v>
      </c>
      <c r="AR448" s="34">
        <f t="shared" si="869"/>
        <v>-22.520341239489269</v>
      </c>
      <c r="AS448" s="35">
        <f t="shared" si="870"/>
        <v>-0.3054672968613304</v>
      </c>
      <c r="AU448" s="949">
        <f t="shared" si="871"/>
        <v>68.729800771044879</v>
      </c>
      <c r="AV448" s="843">
        <f t="shared" si="872"/>
        <v>44.491830087227839</v>
      </c>
      <c r="AW448" s="34">
        <f t="shared" si="873"/>
        <v>-24.237970683817039</v>
      </c>
      <c r="AX448" s="35">
        <f t="shared" si="874"/>
        <v>-0.35265591361976178</v>
      </c>
      <c r="AZ448" s="949">
        <f t="shared" si="855"/>
        <v>70.309645978733911</v>
      </c>
      <c r="BA448" s="843">
        <f t="shared" si="856"/>
        <v>44.265874251602305</v>
      </c>
      <c r="BB448" s="34">
        <f t="shared" si="875"/>
        <v>-26.043771727131606</v>
      </c>
      <c r="BC448" s="35">
        <f t="shared" si="876"/>
        <v>-0.37041534436126861</v>
      </c>
      <c r="BE448" s="31">
        <f t="shared" si="877"/>
        <v>70.531616435122942</v>
      </c>
      <c r="BF448" s="25">
        <f t="shared" si="878"/>
        <v>40.937304033815494</v>
      </c>
      <c r="BG448" s="32">
        <f t="shared" si="879"/>
        <v>-29.594312401307448</v>
      </c>
      <c r="BH448" s="33">
        <f t="shared" si="880"/>
        <v>-0.41958931181634224</v>
      </c>
      <c r="BJ448" s="31">
        <f t="shared" si="857"/>
        <v>69.156555801513946</v>
      </c>
      <c r="BK448" s="25">
        <f t="shared" si="858"/>
        <v>36.676247529047664</v>
      </c>
      <c r="BL448" s="32">
        <f t="shared" si="859"/>
        <v>-32.480308272466281</v>
      </c>
      <c r="BM448" s="33">
        <f t="shared" si="860"/>
        <v>-0.46966347435936417</v>
      </c>
      <c r="BO448" s="62"/>
      <c r="BP448" s="62"/>
      <c r="BQ448" s="62"/>
      <c r="BR448" s="63"/>
    </row>
    <row r="449" spans="1:70">
      <c r="A449" s="1"/>
      <c r="B449" s="1284"/>
      <c r="D449" s="4" t="s">
        <v>724</v>
      </c>
      <c r="E449" s="88">
        <f t="shared" ref="E449:L449" si="885">E448-SUM(E437:E440)</f>
        <v>56.247527618314336</v>
      </c>
      <c r="F449" s="88">
        <f t="shared" si="885"/>
        <v>55.673402055038537</v>
      </c>
      <c r="G449" s="88">
        <f t="shared" si="885"/>
        <v>56.03333044482801</v>
      </c>
      <c r="H449" s="88">
        <f t="shared" si="885"/>
        <v>50.070908829854879</v>
      </c>
      <c r="I449" s="88">
        <f t="shared" si="885"/>
        <v>50.310319344582922</v>
      </c>
      <c r="J449" s="88">
        <f t="shared" si="885"/>
        <v>50.266181626120968</v>
      </c>
      <c r="K449" s="88">
        <f t="shared" si="885"/>
        <v>50.192756510972103</v>
      </c>
      <c r="L449" s="88">
        <f t="shared" si="885"/>
        <v>50.093621069775295</v>
      </c>
      <c r="M449" s="1"/>
      <c r="N449" s="81">
        <f t="shared" ref="N449:U449" si="886">N448-SUM(N437:N440)</f>
        <v>54.906777188816022</v>
      </c>
      <c r="O449" s="81">
        <f t="shared" si="886"/>
        <v>50.07541301806755</v>
      </c>
      <c r="P449" s="81">
        <f t="shared" si="886"/>
        <v>49.428357020206334</v>
      </c>
      <c r="Q449" s="81">
        <f t="shared" si="886"/>
        <v>44.366791627725057</v>
      </c>
      <c r="R449" s="81">
        <f t="shared" si="886"/>
        <v>45.881166754666552</v>
      </c>
      <c r="S449" s="81">
        <f t="shared" si="886"/>
        <v>46.029086407439806</v>
      </c>
      <c r="T449" s="81">
        <f t="shared" si="886"/>
        <v>44.590235515195602</v>
      </c>
      <c r="U449" s="81">
        <f t="shared" si="886"/>
        <v>43.466284929400445</v>
      </c>
      <c r="V449" s="1"/>
      <c r="W449" s="85">
        <f t="shared" ref="W449:AD449" si="887">W448-SUM(W437:W440)</f>
        <v>41.020812829027001</v>
      </c>
      <c r="X449" s="85">
        <f t="shared" si="887"/>
        <v>45.704718826635741</v>
      </c>
      <c r="Y449" s="85">
        <f t="shared" si="887"/>
        <v>35.984868293249427</v>
      </c>
      <c r="Z449" s="85">
        <f>Z448-SUM(Z437:Z440)</f>
        <v>30.520648297091309</v>
      </c>
      <c r="AA449" s="85">
        <f>AA448-SUM(AA437:AA440)</f>
        <v>29.282987366706109</v>
      </c>
      <c r="AB449" s="85">
        <f t="shared" si="887"/>
        <v>24.548480895258141</v>
      </c>
      <c r="AC449" s="85">
        <f t="shared" ref="AC449" si="888">AC448-SUM(AC437:AC440)</f>
        <v>24.027547529047666</v>
      </c>
      <c r="AD449" s="91">
        <f t="shared" si="887"/>
        <v>0</v>
      </c>
      <c r="AE449" s="1"/>
      <c r="AF449" s="81">
        <f t="shared" si="861"/>
        <v>54.906777188816022</v>
      </c>
      <c r="AG449" s="85">
        <f t="shared" si="862"/>
        <v>41.020812829027001</v>
      </c>
      <c r="AH449" s="34">
        <f t="shared" si="863"/>
        <v>-13.885964359789021</v>
      </c>
      <c r="AI449" s="35">
        <f t="shared" si="864"/>
        <v>-0.25290073595172613</v>
      </c>
      <c r="AK449" s="81">
        <f t="shared" si="853"/>
        <v>50.07541301806755</v>
      </c>
      <c r="AL449" s="85">
        <f t="shared" si="854"/>
        <v>45.704718826635741</v>
      </c>
      <c r="AM449" s="34">
        <f t="shared" si="865"/>
        <v>-4.3706941914318094</v>
      </c>
      <c r="AN449" s="35">
        <f t="shared" si="866"/>
        <v>-8.7282239486568644E-2</v>
      </c>
      <c r="AP449" s="81">
        <f t="shared" si="867"/>
        <v>49.428357020206334</v>
      </c>
      <c r="AQ449" s="85">
        <f>Y449</f>
        <v>35.984868293249427</v>
      </c>
      <c r="AR449" s="34">
        <f t="shared" si="869"/>
        <v>-13.443488726956907</v>
      </c>
      <c r="AS449" s="35">
        <f t="shared" si="870"/>
        <v>-0.2719792754078636</v>
      </c>
      <c r="AU449" s="949">
        <f t="shared" si="871"/>
        <v>44.366791627725057</v>
      </c>
      <c r="AV449" s="843">
        <f t="shared" si="872"/>
        <v>30.520648297091309</v>
      </c>
      <c r="AW449" s="34">
        <f t="shared" si="873"/>
        <v>-13.846143330633748</v>
      </c>
      <c r="AX449" s="35">
        <f t="shared" si="874"/>
        <v>-0.31208349359166226</v>
      </c>
      <c r="AZ449" s="949">
        <f t="shared" si="855"/>
        <v>45.881166754666552</v>
      </c>
      <c r="BA449" s="843">
        <f t="shared" si="856"/>
        <v>29.282987366706109</v>
      </c>
      <c r="BB449" s="34">
        <f t="shared" si="875"/>
        <v>-16.598179387960442</v>
      </c>
      <c r="BC449" s="35">
        <f t="shared" si="876"/>
        <v>-0.36176454440911204</v>
      </c>
      <c r="BE449" s="31">
        <f t="shared" si="877"/>
        <v>46.029086407439806</v>
      </c>
      <c r="BF449" s="25">
        <f t="shared" si="878"/>
        <v>24.548480895258141</v>
      </c>
      <c r="BG449" s="32">
        <f t="shared" si="879"/>
        <v>-21.480605512181665</v>
      </c>
      <c r="BH449" s="33">
        <f t="shared" si="880"/>
        <v>-0.46667460053497167</v>
      </c>
      <c r="BJ449" s="31">
        <f t="shared" si="857"/>
        <v>44.590235515195602</v>
      </c>
      <c r="BK449" s="25">
        <f t="shared" si="858"/>
        <v>24.027547529047666</v>
      </c>
      <c r="BL449" s="32">
        <f t="shared" si="859"/>
        <v>-20.562687986147935</v>
      </c>
      <c r="BM449" s="33">
        <f t="shared" si="860"/>
        <v>-0.46114777705402604</v>
      </c>
      <c r="BO449" s="62"/>
      <c r="BP449" s="62"/>
      <c r="BQ449" s="62"/>
      <c r="BR449" s="63"/>
    </row>
    <row r="450" spans="1:70" ht="14.5" customHeight="1">
      <c r="B450" s="1284"/>
    </row>
    <row r="451" spans="1:70" ht="14.5" customHeight="1">
      <c r="B451" s="1284"/>
      <c r="D451" s="1" t="s">
        <v>74</v>
      </c>
    </row>
    <row r="452" spans="1:70" ht="14.5" customHeight="1">
      <c r="B452" s="1284"/>
      <c r="E452" s="1300" t="s">
        <v>733</v>
      </c>
      <c r="F452" s="1301"/>
      <c r="G452" s="1301"/>
      <c r="H452" s="1301"/>
      <c r="I452" s="1301"/>
      <c r="J452" s="1301"/>
      <c r="K452" s="1301"/>
      <c r="L452" s="1302"/>
      <c r="N452" s="245" t="s">
        <v>291</v>
      </c>
      <c r="O452" s="246"/>
      <c r="P452" s="246"/>
      <c r="Q452" s="246"/>
      <c r="R452" s="246"/>
      <c r="S452" s="246"/>
      <c r="T452" s="246"/>
      <c r="U452" s="247"/>
      <c r="W452" s="1079" t="s">
        <v>292</v>
      </c>
      <c r="X452" s="1080"/>
      <c r="Y452" s="1080"/>
      <c r="Z452" s="1080"/>
      <c r="AA452" s="1080"/>
      <c r="AB452" s="1080"/>
      <c r="AC452" s="1080"/>
      <c r="AD452" s="1081"/>
      <c r="AF452" s="102" t="s">
        <v>297</v>
      </c>
      <c r="AG452" s="102" t="s">
        <v>298</v>
      </c>
      <c r="AH452" s="1304" t="s">
        <v>602</v>
      </c>
      <c r="AI452" s="1304"/>
      <c r="AK452" s="102" t="s">
        <v>297</v>
      </c>
      <c r="AL452" s="102" t="s">
        <v>298</v>
      </c>
      <c r="AM452" s="1304" t="s">
        <v>602</v>
      </c>
      <c r="AN452" s="1304"/>
      <c r="AP452" s="6" t="s">
        <v>297</v>
      </c>
      <c r="AQ452" s="5" t="s">
        <v>298</v>
      </c>
      <c r="AR452" s="1303" t="s">
        <v>602</v>
      </c>
      <c r="AS452" s="1303"/>
      <c r="AU452" s="6" t="s">
        <v>297</v>
      </c>
      <c r="AV452" s="5" t="s">
        <v>298</v>
      </c>
      <c r="AW452" s="1303" t="s">
        <v>602</v>
      </c>
      <c r="AX452" s="1303"/>
      <c r="AZ452" s="6" t="s">
        <v>297</v>
      </c>
      <c r="BA452" s="5" t="s">
        <v>298</v>
      </c>
      <c r="BB452" s="1303" t="s">
        <v>602</v>
      </c>
      <c r="BC452" s="1303"/>
      <c r="BE452" s="6" t="s">
        <v>297</v>
      </c>
      <c r="BF452" s="5" t="s">
        <v>298</v>
      </c>
      <c r="BG452" s="1082" t="s">
        <v>602</v>
      </c>
      <c r="BH452" s="1082"/>
      <c r="BJ452" s="6" t="s">
        <v>297</v>
      </c>
      <c r="BK452" s="5" t="s">
        <v>298</v>
      </c>
      <c r="BL452" s="1082" t="s">
        <v>602</v>
      </c>
      <c r="BM452" s="1082"/>
      <c r="BO452" s="6" t="s">
        <v>297</v>
      </c>
      <c r="BP452" s="5" t="s">
        <v>298</v>
      </c>
      <c r="BQ452" s="1303" t="s">
        <v>602</v>
      </c>
      <c r="BR452" s="1303"/>
    </row>
    <row r="453" spans="1:70" ht="14.5" customHeight="1">
      <c r="A453" s="1"/>
      <c r="B453" s="1284"/>
      <c r="E453" s="196" t="s">
        <v>137</v>
      </c>
      <c r="F453" s="102" t="s">
        <v>138</v>
      </c>
      <c r="G453" s="102" t="s">
        <v>139</v>
      </c>
      <c r="H453" s="102" t="s">
        <v>140</v>
      </c>
      <c r="I453" s="102" t="s">
        <v>141</v>
      </c>
      <c r="J453" s="102" t="s">
        <v>126</v>
      </c>
      <c r="K453" s="102" t="s">
        <v>142</v>
      </c>
      <c r="L453" s="197" t="s">
        <v>143</v>
      </c>
      <c r="N453" s="196" t="s">
        <v>137</v>
      </c>
      <c r="O453" s="102" t="s">
        <v>138</v>
      </c>
      <c r="P453" s="102" t="s">
        <v>139</v>
      </c>
      <c r="Q453" s="102" t="s">
        <v>140</v>
      </c>
      <c r="R453" s="102" t="s">
        <v>141</v>
      </c>
      <c r="S453" s="102" t="s">
        <v>126</v>
      </c>
      <c r="T453" s="102" t="s">
        <v>142</v>
      </c>
      <c r="U453" s="197" t="s">
        <v>143</v>
      </c>
      <c r="W453" s="196" t="s">
        <v>137</v>
      </c>
      <c r="X453" s="1078" t="s">
        <v>138</v>
      </c>
      <c r="Y453" s="1078" t="s">
        <v>139</v>
      </c>
      <c r="Z453" s="1078" t="s">
        <v>140</v>
      </c>
      <c r="AA453" s="1078" t="s">
        <v>141</v>
      </c>
      <c r="AB453" s="1078" t="s">
        <v>126</v>
      </c>
      <c r="AC453" s="1078" t="s">
        <v>142</v>
      </c>
      <c r="AD453" s="197" t="s">
        <v>143</v>
      </c>
      <c r="AF453" s="102" t="s">
        <v>734</v>
      </c>
      <c r="AG453" s="102" t="s">
        <v>734</v>
      </c>
      <c r="AH453" s="102" t="s">
        <v>734</v>
      </c>
      <c r="AI453" s="102" t="s">
        <v>606</v>
      </c>
      <c r="AK453" s="102" t="s">
        <v>734</v>
      </c>
      <c r="AL453" s="102" t="s">
        <v>734</v>
      </c>
      <c r="AM453" s="102" t="s">
        <v>734</v>
      </c>
      <c r="AN453" s="102" t="s">
        <v>606</v>
      </c>
      <c r="AP453" s="5" t="s">
        <v>734</v>
      </c>
      <c r="AQ453" s="5" t="s">
        <v>734</v>
      </c>
      <c r="AR453" s="5" t="s">
        <v>734</v>
      </c>
      <c r="AS453" s="5" t="s">
        <v>606</v>
      </c>
      <c r="AU453" s="5" t="s">
        <v>734</v>
      </c>
      <c r="AV453" s="5" t="s">
        <v>734</v>
      </c>
      <c r="AW453" s="5" t="s">
        <v>734</v>
      </c>
      <c r="AX453" s="5" t="s">
        <v>606</v>
      </c>
      <c r="AZ453" s="5" t="s">
        <v>734</v>
      </c>
      <c r="BA453" s="5" t="s">
        <v>734</v>
      </c>
      <c r="BB453" s="5" t="s">
        <v>734</v>
      </c>
      <c r="BC453" s="5" t="s">
        <v>606</v>
      </c>
      <c r="BE453" s="5" t="s">
        <v>734</v>
      </c>
      <c r="BF453" s="5" t="s">
        <v>734</v>
      </c>
      <c r="BG453" s="5" t="s">
        <v>734</v>
      </c>
      <c r="BH453" s="5" t="s">
        <v>606</v>
      </c>
      <c r="BJ453" s="5" t="s">
        <v>734</v>
      </c>
      <c r="BK453" s="5" t="s">
        <v>734</v>
      </c>
      <c r="BL453" s="5" t="s">
        <v>734</v>
      </c>
      <c r="BM453" s="5" t="s">
        <v>606</v>
      </c>
      <c r="BO453" s="5" t="s">
        <v>734</v>
      </c>
      <c r="BP453" s="5" t="s">
        <v>734</v>
      </c>
      <c r="BQ453" s="5" t="s">
        <v>734</v>
      </c>
      <c r="BR453" s="5" t="s">
        <v>606</v>
      </c>
    </row>
    <row r="454" spans="1:70">
      <c r="B454" s="1284"/>
      <c r="D454" s="5" t="s">
        <v>161</v>
      </c>
      <c r="E454" s="87">
        <v>11.601532292354443</v>
      </c>
      <c r="F454" s="87">
        <v>7.7933011426383114</v>
      </c>
      <c r="G454" s="87">
        <v>8.4472068006243131</v>
      </c>
      <c r="H454" s="87">
        <v>10.759606921426558</v>
      </c>
      <c r="I454" s="87">
        <v>9.30546207771072</v>
      </c>
      <c r="J454" s="87">
        <v>8.7331915277109591</v>
      </c>
      <c r="K454" s="87">
        <v>15.695690471520804</v>
      </c>
      <c r="L454" s="87">
        <v>15.687394087565941</v>
      </c>
      <c r="N454" s="29">
        <v>8.583313282732572</v>
      </c>
      <c r="O454" s="29">
        <v>6.4358023995656906</v>
      </c>
      <c r="P454" s="29">
        <v>6.7725855337350662</v>
      </c>
      <c r="Q454" s="29">
        <v>8.2211683739992303</v>
      </c>
      <c r="R454" s="29">
        <v>7.5940778367007615</v>
      </c>
      <c r="S454" s="29">
        <v>7.0663406611712967</v>
      </c>
      <c r="T454" s="29">
        <v>10.767182167049359</v>
      </c>
      <c r="U454" s="29">
        <v>10.66934505214129</v>
      </c>
      <c r="W454" s="30">
        <v>11.679614726682527</v>
      </c>
      <c r="X454" s="30">
        <v>11.597589870170689</v>
      </c>
      <c r="Y454" s="30">
        <v>9.8493048708517641</v>
      </c>
      <c r="Z454" s="30">
        <v>10.437584869562617</v>
      </c>
      <c r="AA454" s="30">
        <v>10.221564737647906</v>
      </c>
      <c r="AB454" s="85">
        <v>6.8895721657690814</v>
      </c>
      <c r="AC454" s="85">
        <v>5.966767296606494</v>
      </c>
      <c r="AD454" s="90">
        <v>0</v>
      </c>
      <c r="AF454" s="29">
        <f>N454</f>
        <v>8.583313282732572</v>
      </c>
      <c r="AG454" s="30">
        <f>W454</f>
        <v>11.679614726682527</v>
      </c>
      <c r="AH454" s="32">
        <f>IF(AG454&gt;0,AG454-AF454,"")</f>
        <v>3.0963014439499545</v>
      </c>
      <c r="AI454" s="33">
        <f>IF(AG454&gt;0,AH454/AF454,"")</f>
        <v>0.36073499148387372</v>
      </c>
      <c r="AK454" s="29">
        <f t="shared" ref="AK454:AK469" si="889">O454</f>
        <v>6.4358023995656906</v>
      </c>
      <c r="AL454" s="30">
        <f t="shared" ref="AL454:AL469" si="890">X454</f>
        <v>11.597589870170689</v>
      </c>
      <c r="AM454" s="32">
        <f>IF(AL454&gt;0,AL454-AK454,"")</f>
        <v>5.161787470604998</v>
      </c>
      <c r="AN454" s="33">
        <f>IF(AL454&gt;0,AM454/AK454,"")</f>
        <v>0.80204256596711743</v>
      </c>
      <c r="AP454" s="29">
        <f>P454</f>
        <v>6.7725855337350662</v>
      </c>
      <c r="AQ454" s="30">
        <f>Y454</f>
        <v>9.8493048708517641</v>
      </c>
      <c r="AR454" s="32">
        <f>AQ454-AP454</f>
        <v>3.0767193371166979</v>
      </c>
      <c r="AS454" s="33">
        <f>AR454/AP454</f>
        <v>0.45429021483614895</v>
      </c>
      <c r="AU454" s="31">
        <f>Q454</f>
        <v>8.2211683739992303</v>
      </c>
      <c r="AV454" s="25">
        <f>Z454</f>
        <v>10.437584869562617</v>
      </c>
      <c r="AW454" s="32">
        <f>AV454-AU454</f>
        <v>2.2164164955633865</v>
      </c>
      <c r="AX454" s="33">
        <f>AW454/AU454</f>
        <v>0.26959872304442284</v>
      </c>
      <c r="AZ454" s="31">
        <f t="shared" ref="AZ454:AZ469" si="891">R454</f>
        <v>7.5940778367007615</v>
      </c>
      <c r="BA454" s="25">
        <f t="shared" ref="BA454:BA469" si="892">AA454</f>
        <v>10.221564737647906</v>
      </c>
      <c r="BB454" s="32">
        <f>BA454-AZ454</f>
        <v>2.6274869009471447</v>
      </c>
      <c r="BC454" s="33">
        <f>BB454/AZ454</f>
        <v>0.34599156835725209</v>
      </c>
      <c r="BE454" s="31">
        <f>S454</f>
        <v>7.0663406611712967</v>
      </c>
      <c r="BF454" s="25">
        <f>AB454</f>
        <v>6.8895721657690814</v>
      </c>
      <c r="BG454" s="32">
        <f>BF454-BE454</f>
        <v>-0.17676849540221529</v>
      </c>
      <c r="BH454" s="33">
        <f>BG454/BE454</f>
        <v>-2.5015563766057472E-2</v>
      </c>
      <c r="BJ454" s="31">
        <f t="shared" ref="BJ454:BJ469" si="893">T454</f>
        <v>10.767182167049359</v>
      </c>
      <c r="BK454" s="25">
        <f t="shared" ref="BK454:BK469" si="894">AC454</f>
        <v>5.966767296606494</v>
      </c>
      <c r="BL454" s="32">
        <f t="shared" ref="BL454:BL469" si="895">BK454-BJ454</f>
        <v>-4.8004148704428653</v>
      </c>
      <c r="BM454" s="33">
        <f t="shared" ref="BM454:BM469" si="896">BL454/BJ454</f>
        <v>-0.4458376199051875</v>
      </c>
      <c r="BO454" s="62"/>
      <c r="BP454" s="62"/>
      <c r="BQ454" s="62"/>
      <c r="BR454" s="63"/>
    </row>
    <row r="455" spans="1:70">
      <c r="B455" s="1284"/>
      <c r="D455" s="5" t="s">
        <v>162</v>
      </c>
      <c r="E455" s="87">
        <v>3.3591355895371069</v>
      </c>
      <c r="F455" s="87">
        <v>4.7373736485835609</v>
      </c>
      <c r="G455" s="87">
        <v>4.3199665364414699</v>
      </c>
      <c r="H455" s="87">
        <v>4.2274989965956626</v>
      </c>
      <c r="I455" s="87">
        <v>3.117966978782742</v>
      </c>
      <c r="J455" s="87">
        <v>3.6224386063502454</v>
      </c>
      <c r="K455" s="87">
        <v>3.4705596268762124</v>
      </c>
      <c r="L455" s="87">
        <v>4.1791286929621005</v>
      </c>
      <c r="N455" s="29">
        <v>3.9874742913901366</v>
      </c>
      <c r="O455" s="29">
        <v>4.1380798462179635</v>
      </c>
      <c r="P455" s="29">
        <v>3.8189309134715761</v>
      </c>
      <c r="Q455" s="29">
        <v>3.9506673845267875</v>
      </c>
      <c r="R455" s="29">
        <v>3.3367222672264019</v>
      </c>
      <c r="S455" s="29">
        <v>3.2762776631663066</v>
      </c>
      <c r="T455" s="29">
        <v>3.9216485744356424</v>
      </c>
      <c r="U455" s="29">
        <v>3.7063647473565018</v>
      </c>
      <c r="W455" s="30">
        <v>1.0854601775258923</v>
      </c>
      <c r="X455" s="30">
        <v>0.28959367437348316</v>
      </c>
      <c r="Y455" s="30">
        <v>1.2310923893427135</v>
      </c>
      <c r="Z455" s="30">
        <v>1.6680448286642631</v>
      </c>
      <c r="AA455" s="30">
        <v>1.8273242701578802</v>
      </c>
      <c r="AB455" s="85">
        <v>1.6864174004738806</v>
      </c>
      <c r="AC455" s="85">
        <v>8.9969396099999965</v>
      </c>
      <c r="AD455" s="90">
        <v>0</v>
      </c>
      <c r="AF455" s="29">
        <f t="shared" ref="AF455:AF469" si="897">N455</f>
        <v>3.9874742913901366</v>
      </c>
      <c r="AG455" s="30">
        <f t="shared" ref="AG455:AG469" si="898">W455</f>
        <v>1.0854601775258923</v>
      </c>
      <c r="AH455" s="32">
        <f t="shared" ref="AH455:AH469" si="899">IF(AG455&gt;0,AG455-AF455,"")</f>
        <v>-2.9020141138642446</v>
      </c>
      <c r="AI455" s="33">
        <f t="shared" ref="AI455:AI469" si="900">IF(AG455&gt;0,AH455/AF455,"")</f>
        <v>-0.72778252643041552</v>
      </c>
      <c r="AK455" s="29">
        <f t="shared" si="889"/>
        <v>4.1380798462179635</v>
      </c>
      <c r="AL455" s="30">
        <f t="shared" si="890"/>
        <v>0.28959367437348316</v>
      </c>
      <c r="AM455" s="32">
        <f t="shared" ref="AM455:AM469" si="901">IF(AL455&gt;0,AL455-AK455,"")</f>
        <v>-3.8484861718444803</v>
      </c>
      <c r="AN455" s="33">
        <f t="shared" ref="AN455:AN469" si="902">IF(AL455&gt;0,AM455/AK455,"")</f>
        <v>-0.93001737879993784</v>
      </c>
      <c r="AP455" s="29">
        <f t="shared" ref="AP455:AP469" si="903">P455</f>
        <v>3.8189309134715761</v>
      </c>
      <c r="AQ455" s="30">
        <f t="shared" ref="AQ455:AQ468" si="904">Y455</f>
        <v>1.2310923893427135</v>
      </c>
      <c r="AR455" s="32">
        <f t="shared" ref="AR455:AR469" si="905">AQ455-AP455</f>
        <v>-2.5878385241288626</v>
      </c>
      <c r="AS455" s="33">
        <f t="shared" ref="AS455:AS469" si="906">AR455/AP455</f>
        <v>-0.67763428633915868</v>
      </c>
      <c r="AU455" s="31">
        <f t="shared" ref="AU455:AU469" si="907">Q455</f>
        <v>3.9506673845267875</v>
      </c>
      <c r="AV455" s="25">
        <f t="shared" ref="AV455:AV469" si="908">Z455</f>
        <v>1.6680448286642631</v>
      </c>
      <c r="AW455" s="32">
        <f t="shared" ref="AW455:AW469" si="909">AV455-AU455</f>
        <v>-2.2826225558625244</v>
      </c>
      <c r="AX455" s="33">
        <f t="shared" ref="AX455:AX469" si="910">AW455/AU455</f>
        <v>-0.57778150719614119</v>
      </c>
      <c r="AZ455" s="31">
        <f t="shared" si="891"/>
        <v>3.3367222672264019</v>
      </c>
      <c r="BA455" s="25">
        <f t="shared" si="892"/>
        <v>1.8273242701578802</v>
      </c>
      <c r="BB455" s="32">
        <f t="shared" ref="BB455:BB469" si="911">BA455-AZ455</f>
        <v>-1.5093979970685216</v>
      </c>
      <c r="BC455" s="33">
        <f t="shared" ref="BC455:BC469" si="912">BB455/AZ455</f>
        <v>-0.45235949419403881</v>
      </c>
      <c r="BE455" s="31">
        <f t="shared" ref="BE455:BE469" si="913">S455</f>
        <v>3.2762776631663066</v>
      </c>
      <c r="BF455" s="25">
        <f t="shared" ref="BF455:BF469" si="914">AB455</f>
        <v>1.6864174004738806</v>
      </c>
      <c r="BG455" s="32">
        <f t="shared" ref="BG455:BG469" si="915">BF455-BE455</f>
        <v>-1.5898602626924261</v>
      </c>
      <c r="BH455" s="33">
        <f t="shared" ref="BH455:BH469" si="916">BG455/BE455</f>
        <v>-0.48526420106772356</v>
      </c>
      <c r="BJ455" s="31">
        <f t="shared" si="893"/>
        <v>3.9216485744356424</v>
      </c>
      <c r="BK455" s="25">
        <f t="shared" si="894"/>
        <v>8.9969396099999965</v>
      </c>
      <c r="BL455" s="32">
        <f t="shared" si="895"/>
        <v>5.0752910355643541</v>
      </c>
      <c r="BM455" s="33">
        <f t="shared" si="896"/>
        <v>1.2941728304389768</v>
      </c>
      <c r="BO455" s="62"/>
      <c r="BP455" s="62"/>
      <c r="BQ455" s="62"/>
      <c r="BR455" s="63"/>
    </row>
    <row r="456" spans="1:70">
      <c r="B456" s="1284"/>
      <c r="D456" s="5" t="s">
        <v>163</v>
      </c>
      <c r="E456" s="87">
        <v>7.1979950080144182</v>
      </c>
      <c r="F456" s="87">
        <v>8.1993539671769202</v>
      </c>
      <c r="G456" s="87">
        <v>7.3700806059929578</v>
      </c>
      <c r="H456" s="87">
        <v>7.1824483438607825</v>
      </c>
      <c r="I456" s="87">
        <v>6.0755689707149081</v>
      </c>
      <c r="J456" s="87">
        <v>6.569591745847803</v>
      </c>
      <c r="K456" s="87">
        <v>6.4007011191943892</v>
      </c>
      <c r="L456" s="87">
        <v>6.3484495285705131</v>
      </c>
      <c r="N456" s="29">
        <v>7.4359134736180064</v>
      </c>
      <c r="O456" s="29">
        <v>7.3569342918392886</v>
      </c>
      <c r="P456" s="29">
        <v>6.8142469007664674</v>
      </c>
      <c r="Q456" s="29">
        <v>6.8617524394692992</v>
      </c>
      <c r="R456" s="29">
        <v>6.2334295479715154</v>
      </c>
      <c r="S456" s="29">
        <v>5.9202780557689829</v>
      </c>
      <c r="T456" s="29">
        <v>6.8430283691867499</v>
      </c>
      <c r="U456" s="29">
        <v>6.127948790346756</v>
      </c>
      <c r="W456" s="30">
        <v>0.99886869024873837</v>
      </c>
      <c r="X456" s="30">
        <v>0.62384374063985382</v>
      </c>
      <c r="Y456" s="30">
        <v>1.1298256888532345</v>
      </c>
      <c r="Z456" s="30">
        <v>2.8486655274254868</v>
      </c>
      <c r="AA456" s="30">
        <v>4.2942653099601493</v>
      </c>
      <c r="AB456" s="85">
        <v>3.4208370259857164</v>
      </c>
      <c r="AC456" s="85">
        <v>4.8622596800000002</v>
      </c>
      <c r="AD456" s="90">
        <v>0</v>
      </c>
      <c r="AF456" s="29">
        <f t="shared" si="897"/>
        <v>7.4359134736180064</v>
      </c>
      <c r="AG456" s="30">
        <f t="shared" si="898"/>
        <v>0.99886869024873837</v>
      </c>
      <c r="AH456" s="32">
        <f t="shared" si="899"/>
        <v>-6.4370447833692683</v>
      </c>
      <c r="AI456" s="33">
        <f t="shared" si="900"/>
        <v>-0.86566967275874851</v>
      </c>
      <c r="AK456" s="29">
        <f t="shared" si="889"/>
        <v>7.3569342918392886</v>
      </c>
      <c r="AL456" s="30">
        <f t="shared" si="890"/>
        <v>0.62384374063985382</v>
      </c>
      <c r="AM456" s="32">
        <f t="shared" si="901"/>
        <v>-6.7330905511994352</v>
      </c>
      <c r="AN456" s="33">
        <f t="shared" si="902"/>
        <v>-0.91520330128109817</v>
      </c>
      <c r="AP456" s="29">
        <f t="shared" si="903"/>
        <v>6.8142469007664674</v>
      </c>
      <c r="AQ456" s="30">
        <f t="shared" si="904"/>
        <v>1.1298256888532345</v>
      </c>
      <c r="AR456" s="32">
        <f t="shared" si="905"/>
        <v>-5.6844212119132331</v>
      </c>
      <c r="AS456" s="33">
        <f t="shared" si="906"/>
        <v>-0.83419654360834039</v>
      </c>
      <c r="AU456" s="31">
        <f t="shared" si="907"/>
        <v>6.8617524394692992</v>
      </c>
      <c r="AV456" s="25">
        <f t="shared" si="908"/>
        <v>2.8486655274254868</v>
      </c>
      <c r="AW456" s="32">
        <f t="shared" si="909"/>
        <v>-4.0130869120438124</v>
      </c>
      <c r="AX456" s="33">
        <f t="shared" si="910"/>
        <v>-0.58484868806403512</v>
      </c>
      <c r="AZ456" s="31">
        <f t="shared" si="891"/>
        <v>6.2334295479715154</v>
      </c>
      <c r="BA456" s="25">
        <f t="shared" si="892"/>
        <v>4.2942653099601493</v>
      </c>
      <c r="BB456" s="32">
        <f t="shared" si="911"/>
        <v>-1.9391642380113661</v>
      </c>
      <c r="BC456" s="33">
        <f t="shared" si="912"/>
        <v>-0.3110910652134361</v>
      </c>
      <c r="BE456" s="31">
        <f t="shared" si="913"/>
        <v>5.9202780557689829</v>
      </c>
      <c r="BF456" s="25">
        <f t="shared" si="914"/>
        <v>3.4208370259857164</v>
      </c>
      <c r="BG456" s="32">
        <f t="shared" si="915"/>
        <v>-2.4994410297832665</v>
      </c>
      <c r="BH456" s="33">
        <f t="shared" si="916"/>
        <v>-0.42218304718774141</v>
      </c>
      <c r="BJ456" s="31">
        <f t="shared" si="893"/>
        <v>6.8430283691867499</v>
      </c>
      <c r="BK456" s="25">
        <f t="shared" si="894"/>
        <v>4.8622596800000002</v>
      </c>
      <c r="BL456" s="32">
        <f t="shared" si="895"/>
        <v>-1.9807686891867498</v>
      </c>
      <c r="BM456" s="33">
        <f t="shared" si="896"/>
        <v>-0.28945790990811737</v>
      </c>
      <c r="BO456" s="62"/>
      <c r="BP456" s="62"/>
      <c r="BQ456" s="62"/>
      <c r="BR456" s="63"/>
    </row>
    <row r="457" spans="1:70">
      <c r="B457" s="1284"/>
      <c r="D457" s="5" t="s">
        <v>164</v>
      </c>
      <c r="E457" s="87">
        <v>7.4664545176611021</v>
      </c>
      <c r="F457" s="87">
        <v>5.2114576413683906</v>
      </c>
      <c r="G457" s="87">
        <v>9.0993955017031549</v>
      </c>
      <c r="H457" s="87">
        <v>1.5726282750918494</v>
      </c>
      <c r="I457" s="87">
        <v>2.264141210134651</v>
      </c>
      <c r="J457" s="87">
        <v>2.6355572076481386</v>
      </c>
      <c r="K457" s="87">
        <v>1.0589538411926898</v>
      </c>
      <c r="L457" s="87">
        <v>3.6193481711775668</v>
      </c>
      <c r="N457" s="29">
        <v>7.4664545176611021</v>
      </c>
      <c r="O457" s="29">
        <v>5.2114576413683906</v>
      </c>
      <c r="P457" s="29">
        <v>9.0993955017031549</v>
      </c>
      <c r="Q457" s="29">
        <v>1.5726282750918494</v>
      </c>
      <c r="R457" s="29">
        <v>2.264141210134651</v>
      </c>
      <c r="S457" s="29">
        <v>2.6355572076481386</v>
      </c>
      <c r="T457" s="29">
        <v>1.0589538411926898</v>
      </c>
      <c r="U457" s="29">
        <v>3.6193481711775668</v>
      </c>
      <c r="W457" s="30">
        <v>2.4287386338669328</v>
      </c>
      <c r="X457" s="30">
        <v>5.281273912419997</v>
      </c>
      <c r="Y457" s="30">
        <v>7.830110175767893</v>
      </c>
      <c r="Z457" s="30">
        <v>3.8443896656642242</v>
      </c>
      <c r="AA457" s="30">
        <v>2.8326702685778384</v>
      </c>
      <c r="AB457" s="85">
        <v>5.1867247277906765</v>
      </c>
      <c r="AC457" s="85">
        <v>3.0106000000000002</v>
      </c>
      <c r="AD457" s="90">
        <v>0</v>
      </c>
      <c r="AF457" s="29">
        <f t="shared" si="897"/>
        <v>7.4664545176611021</v>
      </c>
      <c r="AG457" s="30">
        <f t="shared" si="898"/>
        <v>2.4287386338669328</v>
      </c>
      <c r="AH457" s="32">
        <f t="shared" si="899"/>
        <v>-5.0377158837941689</v>
      </c>
      <c r="AI457" s="33">
        <f t="shared" si="900"/>
        <v>-0.67471326208148585</v>
      </c>
      <c r="AK457" s="29">
        <f t="shared" si="889"/>
        <v>5.2114576413683906</v>
      </c>
      <c r="AL457" s="30">
        <f t="shared" si="890"/>
        <v>5.281273912419997</v>
      </c>
      <c r="AM457" s="32">
        <f t="shared" si="901"/>
        <v>6.9816271051606371E-2</v>
      </c>
      <c r="AN457" s="33">
        <f t="shared" si="902"/>
        <v>1.3396687809070338E-2</v>
      </c>
      <c r="AP457" s="29">
        <f t="shared" si="903"/>
        <v>9.0993955017031549</v>
      </c>
      <c r="AQ457" s="30">
        <f t="shared" si="904"/>
        <v>7.830110175767893</v>
      </c>
      <c r="AR457" s="32">
        <f t="shared" si="905"/>
        <v>-1.2692853259352619</v>
      </c>
      <c r="AS457" s="33">
        <f t="shared" si="906"/>
        <v>-0.13949117012198084</v>
      </c>
      <c r="AU457" s="31">
        <f t="shared" si="907"/>
        <v>1.5726282750918494</v>
      </c>
      <c r="AV457" s="25">
        <f t="shared" si="908"/>
        <v>3.8443896656642242</v>
      </c>
      <c r="AW457" s="32">
        <f t="shared" si="909"/>
        <v>2.271761390572375</v>
      </c>
      <c r="AX457" s="33">
        <f t="shared" si="910"/>
        <v>1.4445634906568703</v>
      </c>
      <c r="AZ457" s="31">
        <f t="shared" si="891"/>
        <v>2.264141210134651</v>
      </c>
      <c r="BA457" s="25">
        <f t="shared" si="892"/>
        <v>2.8326702685778384</v>
      </c>
      <c r="BB457" s="32">
        <f t="shared" si="911"/>
        <v>0.56852905844318746</v>
      </c>
      <c r="BC457" s="33">
        <f t="shared" si="912"/>
        <v>0.25110141359485982</v>
      </c>
      <c r="BE457" s="31">
        <f t="shared" si="913"/>
        <v>2.6355572076481386</v>
      </c>
      <c r="BF457" s="25">
        <f t="shared" si="914"/>
        <v>5.1867247277906765</v>
      </c>
      <c r="BG457" s="32">
        <f t="shared" si="915"/>
        <v>2.5511675201425379</v>
      </c>
      <c r="BH457" s="33">
        <f t="shared" si="916"/>
        <v>0.96798032413763979</v>
      </c>
      <c r="BJ457" s="31">
        <f t="shared" si="893"/>
        <v>1.0589538411926898</v>
      </c>
      <c r="BK457" s="25">
        <f t="shared" si="894"/>
        <v>3.0106000000000002</v>
      </c>
      <c r="BL457" s="32">
        <f t="shared" si="895"/>
        <v>1.9516461588073104</v>
      </c>
      <c r="BM457" s="33">
        <f t="shared" si="896"/>
        <v>1.8429945507437695</v>
      </c>
      <c r="BO457" s="62"/>
      <c r="BP457" s="62"/>
      <c r="BQ457" s="62"/>
      <c r="BR457" s="63"/>
    </row>
    <row r="458" spans="1:70">
      <c r="B458" s="1284"/>
      <c r="D458" s="5" t="s">
        <v>165</v>
      </c>
      <c r="E458" s="87">
        <v>7.827317248497133</v>
      </c>
      <c r="F458" s="87">
        <v>5.3447811634532103</v>
      </c>
      <c r="G458" s="87">
        <v>9.2290733750265463</v>
      </c>
      <c r="H458" s="87">
        <v>1.7028923637425946</v>
      </c>
      <c r="I458" s="87">
        <v>2.623566246202671</v>
      </c>
      <c r="J458" s="87">
        <v>2.7674060343369393</v>
      </c>
      <c r="K458" s="87">
        <v>1.1891995703062208</v>
      </c>
      <c r="L458" s="87">
        <v>3.7506252627203431</v>
      </c>
      <c r="N458" s="29">
        <v>7.827317248497133</v>
      </c>
      <c r="O458" s="29">
        <v>5.3447811634532103</v>
      </c>
      <c r="P458" s="29">
        <v>9.2290733750265463</v>
      </c>
      <c r="Q458" s="29">
        <v>1.7028923637425946</v>
      </c>
      <c r="R458" s="29">
        <v>2.623566246202671</v>
      </c>
      <c r="S458" s="29">
        <v>2.7674060343369393</v>
      </c>
      <c r="T458" s="29">
        <v>1.1891995703062208</v>
      </c>
      <c r="U458" s="29">
        <v>3.7506252627203431</v>
      </c>
      <c r="W458" s="30">
        <v>2.7507713860611411</v>
      </c>
      <c r="X458" s="30">
        <v>3.5295776181922474</v>
      </c>
      <c r="Y458" s="30">
        <v>6.2476535000800268</v>
      </c>
      <c r="Z458" s="30">
        <v>1.1437726474367118</v>
      </c>
      <c r="AA458" s="30">
        <v>2.2850642205875271</v>
      </c>
      <c r="AB458" s="85">
        <v>4.6040049046969926</v>
      </c>
      <c r="AC458" s="85">
        <v>2.9646999999999997</v>
      </c>
      <c r="AD458" s="90">
        <v>0</v>
      </c>
      <c r="AF458" s="29">
        <f t="shared" si="897"/>
        <v>7.827317248497133</v>
      </c>
      <c r="AG458" s="30">
        <f t="shared" si="898"/>
        <v>2.7507713860611411</v>
      </c>
      <c r="AH458" s="32">
        <f t="shared" si="899"/>
        <v>-5.0765458624359923</v>
      </c>
      <c r="AI458" s="33">
        <f t="shared" si="900"/>
        <v>-0.64856779165437606</v>
      </c>
      <c r="AK458" s="29">
        <f t="shared" si="889"/>
        <v>5.3447811634532103</v>
      </c>
      <c r="AL458" s="30">
        <f t="shared" si="890"/>
        <v>3.5295776181922474</v>
      </c>
      <c r="AM458" s="32">
        <f t="shared" si="901"/>
        <v>-1.8152035452609629</v>
      </c>
      <c r="AN458" s="33">
        <f t="shared" si="902"/>
        <v>-0.33962167762321965</v>
      </c>
      <c r="AP458" s="29">
        <f t="shared" si="903"/>
        <v>9.2290733750265463</v>
      </c>
      <c r="AQ458" s="30">
        <f t="shared" si="904"/>
        <v>6.2476535000800268</v>
      </c>
      <c r="AR458" s="32">
        <f t="shared" si="905"/>
        <v>-2.9814198749465195</v>
      </c>
      <c r="AS458" s="33">
        <f t="shared" si="906"/>
        <v>-0.32304650248139821</v>
      </c>
      <c r="AU458" s="31">
        <f t="shared" si="907"/>
        <v>1.7028923637425946</v>
      </c>
      <c r="AV458" s="25">
        <f t="shared" si="908"/>
        <v>1.1437726474367118</v>
      </c>
      <c r="AW458" s="32">
        <f t="shared" si="909"/>
        <v>-0.55911971630588275</v>
      </c>
      <c r="AX458" s="33">
        <f t="shared" si="910"/>
        <v>-0.32833532418752337</v>
      </c>
      <c r="AZ458" s="31">
        <f t="shared" si="891"/>
        <v>2.623566246202671</v>
      </c>
      <c r="BA458" s="25">
        <f t="shared" si="892"/>
        <v>2.2850642205875271</v>
      </c>
      <c r="BB458" s="32">
        <f t="shared" si="911"/>
        <v>-0.33850202561514386</v>
      </c>
      <c r="BC458" s="33">
        <f t="shared" si="912"/>
        <v>-0.1290236242767222</v>
      </c>
      <c r="BE458" s="31">
        <f t="shared" si="913"/>
        <v>2.7674060343369393</v>
      </c>
      <c r="BF458" s="25">
        <f t="shared" si="914"/>
        <v>4.6040049046969926</v>
      </c>
      <c r="BG458" s="32">
        <f t="shared" si="915"/>
        <v>1.8365988703600533</v>
      </c>
      <c r="BH458" s="33">
        <f t="shared" si="916"/>
        <v>0.6636535613394714</v>
      </c>
      <c r="BJ458" s="31">
        <f t="shared" si="893"/>
        <v>1.1891995703062208</v>
      </c>
      <c r="BK458" s="25">
        <f t="shared" si="894"/>
        <v>2.9646999999999997</v>
      </c>
      <c r="BL458" s="32">
        <f t="shared" si="895"/>
        <v>1.7755004296937789</v>
      </c>
      <c r="BM458" s="33">
        <f t="shared" si="896"/>
        <v>1.4930214187990201</v>
      </c>
      <c r="BO458" s="62"/>
      <c r="BP458" s="62"/>
      <c r="BQ458" s="62"/>
      <c r="BR458" s="63"/>
    </row>
    <row r="459" spans="1:70">
      <c r="B459" s="1284"/>
      <c r="D459" s="5" t="s">
        <v>166</v>
      </c>
      <c r="E459" s="87">
        <v>4.9457811390124844</v>
      </c>
      <c r="F459" s="87">
        <v>2.7070063303253047</v>
      </c>
      <c r="G459" s="87">
        <v>7.6799445096646322</v>
      </c>
      <c r="H459" s="87">
        <v>7.0943379096309958</v>
      </c>
      <c r="I459" s="87">
        <v>1.7237383672079556</v>
      </c>
      <c r="J459" s="87">
        <v>3.0346863540731075</v>
      </c>
      <c r="K459" s="87">
        <v>1.2628352412898549</v>
      </c>
      <c r="L459" s="87">
        <v>3.8248716246899934</v>
      </c>
      <c r="N459" s="29">
        <v>4.9457811390124844</v>
      </c>
      <c r="O459" s="29">
        <v>2.7070063303253047</v>
      </c>
      <c r="P459" s="29">
        <v>7.6799445096646322</v>
      </c>
      <c r="Q459" s="29">
        <v>7.0943379096309958</v>
      </c>
      <c r="R459" s="29">
        <v>1.7237383672079556</v>
      </c>
      <c r="S459" s="29">
        <v>3.0346863540731075</v>
      </c>
      <c r="T459" s="29">
        <v>1.2628352412898549</v>
      </c>
      <c r="U459" s="29">
        <v>3.8248716246899934</v>
      </c>
      <c r="W459" s="30">
        <v>0.74505305647315478</v>
      </c>
      <c r="X459" s="30">
        <v>0.57066925793986234</v>
      </c>
      <c r="Y459" s="30">
        <v>1.3589138722772709</v>
      </c>
      <c r="Z459" s="30">
        <v>0.79319435949567241</v>
      </c>
      <c r="AA459" s="30">
        <v>0.99725324282106509</v>
      </c>
      <c r="AB459" s="85">
        <v>2.8349017931991018</v>
      </c>
      <c r="AC459" s="85">
        <v>2.1769999999999996</v>
      </c>
      <c r="AD459" s="90">
        <v>0</v>
      </c>
      <c r="AF459" s="29">
        <f t="shared" si="897"/>
        <v>4.9457811390124844</v>
      </c>
      <c r="AG459" s="30">
        <f t="shared" si="898"/>
        <v>0.74505305647315478</v>
      </c>
      <c r="AH459" s="32">
        <f t="shared" si="899"/>
        <v>-4.2007280825393298</v>
      </c>
      <c r="AI459" s="33">
        <f t="shared" si="900"/>
        <v>-0.84935583772679479</v>
      </c>
      <c r="AK459" s="29">
        <f t="shared" si="889"/>
        <v>2.7070063303253047</v>
      </c>
      <c r="AL459" s="30">
        <f t="shared" si="890"/>
        <v>0.57066925793986234</v>
      </c>
      <c r="AM459" s="32">
        <f t="shared" si="901"/>
        <v>-2.1363370723854422</v>
      </c>
      <c r="AN459" s="33">
        <f t="shared" si="902"/>
        <v>-0.7891880593159587</v>
      </c>
      <c r="AP459" s="29">
        <f t="shared" si="903"/>
        <v>7.6799445096646322</v>
      </c>
      <c r="AQ459" s="30">
        <f t="shared" si="904"/>
        <v>1.3589138722772709</v>
      </c>
      <c r="AR459" s="32">
        <f t="shared" si="905"/>
        <v>-6.321030637387361</v>
      </c>
      <c r="AS459" s="33">
        <f t="shared" si="906"/>
        <v>-0.82305681107888473</v>
      </c>
      <c r="AU459" s="31">
        <f t="shared" si="907"/>
        <v>7.0943379096309958</v>
      </c>
      <c r="AV459" s="25">
        <f t="shared" si="908"/>
        <v>0.79319435949567241</v>
      </c>
      <c r="AW459" s="32">
        <f t="shared" si="909"/>
        <v>-6.3011435501353237</v>
      </c>
      <c r="AX459" s="33">
        <f t="shared" si="910"/>
        <v>-0.88819332126555994</v>
      </c>
      <c r="AZ459" s="31">
        <f t="shared" si="891"/>
        <v>1.7237383672079556</v>
      </c>
      <c r="BA459" s="25">
        <f t="shared" si="892"/>
        <v>0.99725324282106509</v>
      </c>
      <c r="BB459" s="32">
        <f t="shared" si="911"/>
        <v>-0.7264851243868905</v>
      </c>
      <c r="BC459" s="33">
        <f t="shared" si="912"/>
        <v>-0.42145904402164169</v>
      </c>
      <c r="BE459" s="31">
        <f t="shared" si="913"/>
        <v>3.0346863540731075</v>
      </c>
      <c r="BF459" s="25">
        <f t="shared" si="914"/>
        <v>2.8349017931991018</v>
      </c>
      <c r="BG459" s="32">
        <f t="shared" si="915"/>
        <v>-0.19978456087400565</v>
      </c>
      <c r="BH459" s="33">
        <f t="shared" si="916"/>
        <v>-6.5833676882574049E-2</v>
      </c>
      <c r="BJ459" s="31">
        <f t="shared" si="893"/>
        <v>1.2628352412898549</v>
      </c>
      <c r="BK459" s="25">
        <f t="shared" si="894"/>
        <v>2.1769999999999996</v>
      </c>
      <c r="BL459" s="32">
        <f t="shared" si="895"/>
        <v>0.91416475871014469</v>
      </c>
      <c r="BM459" s="33">
        <f t="shared" si="896"/>
        <v>0.72389867563120935</v>
      </c>
      <c r="BO459" s="62"/>
      <c r="BP459" s="62"/>
      <c r="BQ459" s="62"/>
      <c r="BR459" s="63"/>
    </row>
    <row r="460" spans="1:70">
      <c r="B460" s="1284"/>
      <c r="D460" s="5" t="s">
        <v>167</v>
      </c>
      <c r="E460" s="87">
        <v>5.0816099413301838</v>
      </c>
      <c r="F460" s="87">
        <v>2.2577993905403031</v>
      </c>
      <c r="G460" s="87">
        <v>6.6599689471758028</v>
      </c>
      <c r="H460" s="87">
        <v>7.0722569906449584</v>
      </c>
      <c r="I460" s="87">
        <v>2.3574460263997694</v>
      </c>
      <c r="J460" s="87">
        <v>3.798873765207528</v>
      </c>
      <c r="K460" s="87">
        <v>1.6655755555344247</v>
      </c>
      <c r="L460" s="87">
        <v>4.240994174444821</v>
      </c>
      <c r="N460" s="29">
        <v>5.0816099413301838</v>
      </c>
      <c r="O460" s="29">
        <v>2.2577993905403031</v>
      </c>
      <c r="P460" s="29">
        <v>6.6599689471758028</v>
      </c>
      <c r="Q460" s="29">
        <v>7.0722569906449584</v>
      </c>
      <c r="R460" s="29">
        <v>2.3574460263997694</v>
      </c>
      <c r="S460" s="29">
        <v>3.798873765207528</v>
      </c>
      <c r="T460" s="29">
        <v>1.6655755555344247</v>
      </c>
      <c r="U460" s="29">
        <v>4.240994174444821</v>
      </c>
      <c r="W460" s="30">
        <v>1.6015282458284028</v>
      </c>
      <c r="X460" s="30">
        <v>0.9709596901038523</v>
      </c>
      <c r="Y460" s="30">
        <v>2.9246189859880389</v>
      </c>
      <c r="Z460" s="30">
        <v>0.23415817979019299</v>
      </c>
      <c r="AA460" s="30">
        <v>1.6310416698206043</v>
      </c>
      <c r="AB460" s="85">
        <v>4.7590724778782132</v>
      </c>
      <c r="AC460" s="85">
        <v>2.7907999999999999</v>
      </c>
      <c r="AD460" s="90">
        <v>0</v>
      </c>
      <c r="AF460" s="29">
        <f t="shared" si="897"/>
        <v>5.0816099413301838</v>
      </c>
      <c r="AG460" s="30">
        <f t="shared" si="898"/>
        <v>1.6015282458284028</v>
      </c>
      <c r="AH460" s="32">
        <f t="shared" si="899"/>
        <v>-3.4800816955017808</v>
      </c>
      <c r="AI460" s="33">
        <f t="shared" si="900"/>
        <v>-0.6848384145341978</v>
      </c>
      <c r="AK460" s="29">
        <f t="shared" si="889"/>
        <v>2.2577993905403031</v>
      </c>
      <c r="AL460" s="30">
        <f t="shared" si="890"/>
        <v>0.9709596901038523</v>
      </c>
      <c r="AM460" s="32">
        <f t="shared" si="901"/>
        <v>-1.2868397004364507</v>
      </c>
      <c r="AN460" s="33">
        <f t="shared" si="902"/>
        <v>-0.56995307281418983</v>
      </c>
      <c r="AP460" s="29">
        <f t="shared" si="903"/>
        <v>6.6599689471758028</v>
      </c>
      <c r="AQ460" s="30">
        <f t="shared" si="904"/>
        <v>2.9246189859880389</v>
      </c>
      <c r="AR460" s="32">
        <f t="shared" si="905"/>
        <v>-3.7353499611877639</v>
      </c>
      <c r="AS460" s="33">
        <f t="shared" si="906"/>
        <v>-0.56086597262165316</v>
      </c>
      <c r="AU460" s="31">
        <f t="shared" si="907"/>
        <v>7.0722569906449584</v>
      </c>
      <c r="AV460" s="25">
        <f t="shared" si="908"/>
        <v>0.23415817979019299</v>
      </c>
      <c r="AW460" s="32">
        <f t="shared" si="909"/>
        <v>-6.8380988108547651</v>
      </c>
      <c r="AX460" s="33">
        <f t="shared" si="910"/>
        <v>-0.96689060082234946</v>
      </c>
      <c r="AZ460" s="31">
        <f t="shared" si="891"/>
        <v>2.3574460263997694</v>
      </c>
      <c r="BA460" s="25">
        <f t="shared" si="892"/>
        <v>1.6310416698206043</v>
      </c>
      <c r="BB460" s="32">
        <f t="shared" si="911"/>
        <v>-0.72640435657916513</v>
      </c>
      <c r="BC460" s="33">
        <f t="shared" si="912"/>
        <v>-0.3081319141327325</v>
      </c>
      <c r="BE460" s="31">
        <f t="shared" si="913"/>
        <v>3.798873765207528</v>
      </c>
      <c r="BF460" s="25">
        <f t="shared" si="914"/>
        <v>4.7590724778782132</v>
      </c>
      <c r="BG460" s="32">
        <f t="shared" si="915"/>
        <v>0.96019871267068524</v>
      </c>
      <c r="BH460" s="33">
        <f t="shared" si="916"/>
        <v>0.25275878379134054</v>
      </c>
      <c r="BJ460" s="31">
        <f t="shared" si="893"/>
        <v>1.6655755555344247</v>
      </c>
      <c r="BK460" s="25">
        <f t="shared" si="894"/>
        <v>2.7907999999999999</v>
      </c>
      <c r="BL460" s="32">
        <f t="shared" si="895"/>
        <v>1.1252244444655752</v>
      </c>
      <c r="BM460" s="33">
        <f t="shared" si="896"/>
        <v>0.67557694439417382</v>
      </c>
      <c r="BO460" s="62"/>
      <c r="BP460" s="62"/>
      <c r="BQ460" s="62"/>
      <c r="BR460" s="63"/>
    </row>
    <row r="461" spans="1:70">
      <c r="B461" s="1284"/>
      <c r="D461" s="5" t="s">
        <v>168</v>
      </c>
      <c r="E461" s="87">
        <v>4.7343089684530151</v>
      </c>
      <c r="F461" s="87">
        <v>7.312241736583089</v>
      </c>
      <c r="G461" s="87">
        <v>8.758828843059451</v>
      </c>
      <c r="H461" s="87">
        <v>8.4031359883537995</v>
      </c>
      <c r="I461" s="87">
        <v>8.6213103074940296</v>
      </c>
      <c r="J461" s="87">
        <v>8.9363553223888594</v>
      </c>
      <c r="K461" s="87">
        <v>9.205487030095707</v>
      </c>
      <c r="L461" s="87">
        <v>8.9544178123993934</v>
      </c>
      <c r="N461" s="29">
        <v>6.2198133124781529</v>
      </c>
      <c r="O461" s="29">
        <v>7.656123263460608</v>
      </c>
      <c r="P461" s="29">
        <v>7.2249768992988468</v>
      </c>
      <c r="Q461" s="29">
        <v>6.8187509728798368</v>
      </c>
      <c r="R461" s="29">
        <v>6.7927073605124741</v>
      </c>
      <c r="S461" s="29">
        <v>6.910262590809479</v>
      </c>
      <c r="T461" s="29">
        <v>7.6692612545416861</v>
      </c>
      <c r="U461" s="29">
        <v>6.6309438747918827</v>
      </c>
      <c r="W461" s="30">
        <v>3.7810968725302541</v>
      </c>
      <c r="X461" s="30">
        <v>4.5292225295420145</v>
      </c>
      <c r="Y461" s="30">
        <v>4.8709525775879321</v>
      </c>
      <c r="Z461" s="30">
        <v>4.7744602237982861</v>
      </c>
      <c r="AA461" s="30">
        <v>6.9622931272584614</v>
      </c>
      <c r="AB461" s="85">
        <v>3.9195494506599764</v>
      </c>
      <c r="AC461" s="85">
        <v>5.1541619783120902</v>
      </c>
      <c r="AD461" s="90">
        <v>0</v>
      </c>
      <c r="AF461" s="29">
        <f t="shared" si="897"/>
        <v>6.2198133124781529</v>
      </c>
      <c r="AG461" s="30">
        <f t="shared" si="898"/>
        <v>3.7810968725302541</v>
      </c>
      <c r="AH461" s="32">
        <f t="shared" si="899"/>
        <v>-2.4387164399478989</v>
      </c>
      <c r="AI461" s="33">
        <f t="shared" si="900"/>
        <v>-0.3920883662304398</v>
      </c>
      <c r="AK461" s="29">
        <f t="shared" si="889"/>
        <v>7.656123263460608</v>
      </c>
      <c r="AL461" s="30">
        <f t="shared" si="890"/>
        <v>4.5292225295420145</v>
      </c>
      <c r="AM461" s="32">
        <f t="shared" si="901"/>
        <v>-3.1269007339185935</v>
      </c>
      <c r="AN461" s="33">
        <f t="shared" si="902"/>
        <v>-0.40841828511852069</v>
      </c>
      <c r="AP461" s="29">
        <f t="shared" si="903"/>
        <v>7.2249768992988468</v>
      </c>
      <c r="AQ461" s="30">
        <f t="shared" si="904"/>
        <v>4.8709525775879321</v>
      </c>
      <c r="AR461" s="32">
        <f t="shared" si="905"/>
        <v>-2.3540243217109147</v>
      </c>
      <c r="AS461" s="33">
        <f t="shared" si="906"/>
        <v>-0.32581755686158148</v>
      </c>
      <c r="AU461" s="31">
        <f t="shared" si="907"/>
        <v>6.8187509728798368</v>
      </c>
      <c r="AV461" s="25">
        <f t="shared" si="908"/>
        <v>4.7744602237982861</v>
      </c>
      <c r="AW461" s="32">
        <f t="shared" si="909"/>
        <v>-2.0442907490815507</v>
      </c>
      <c r="AX461" s="33">
        <f t="shared" si="910"/>
        <v>-0.29980428339622489</v>
      </c>
      <c r="AZ461" s="31">
        <f t="shared" si="891"/>
        <v>6.7927073605124741</v>
      </c>
      <c r="BA461" s="25">
        <f t="shared" si="892"/>
        <v>6.9622931272584614</v>
      </c>
      <c r="BB461" s="32">
        <f t="shared" si="911"/>
        <v>0.16958576674598724</v>
      </c>
      <c r="BC461" s="33">
        <f t="shared" si="912"/>
        <v>2.496585790399675E-2</v>
      </c>
      <c r="BE461" s="31">
        <f t="shared" si="913"/>
        <v>6.910262590809479</v>
      </c>
      <c r="BF461" s="25">
        <f t="shared" si="914"/>
        <v>3.9195494506599764</v>
      </c>
      <c r="BG461" s="32">
        <f t="shared" si="915"/>
        <v>-2.9907131401495026</v>
      </c>
      <c r="BH461" s="33">
        <f t="shared" si="916"/>
        <v>-0.43279298012887318</v>
      </c>
      <c r="BJ461" s="31">
        <f t="shared" si="893"/>
        <v>7.6692612545416861</v>
      </c>
      <c r="BK461" s="25">
        <f t="shared" si="894"/>
        <v>5.1541619783120902</v>
      </c>
      <c r="BL461" s="32">
        <f t="shared" si="895"/>
        <v>-2.5150992762295958</v>
      </c>
      <c r="BM461" s="33">
        <f t="shared" si="896"/>
        <v>-0.32794544256008629</v>
      </c>
      <c r="BO461" s="62"/>
      <c r="BP461" s="62"/>
      <c r="BQ461" s="62"/>
      <c r="BR461" s="63"/>
    </row>
    <row r="462" spans="1:70">
      <c r="B462" s="1284"/>
      <c r="D462" s="5" t="s">
        <v>169</v>
      </c>
      <c r="E462" s="87">
        <v>4.780574517621007</v>
      </c>
      <c r="F462" s="87">
        <v>4.9040387473796274</v>
      </c>
      <c r="G462" s="87">
        <v>5.6246912883840823</v>
      </c>
      <c r="H462" s="87">
        <v>6.0427999593966844</v>
      </c>
      <c r="I462" s="87">
        <v>6.5120961030517606</v>
      </c>
      <c r="J462" s="87">
        <v>6.517905109868857</v>
      </c>
      <c r="K462" s="87">
        <v>6.9011103809986212</v>
      </c>
      <c r="L462" s="87">
        <v>7.4164918972300828</v>
      </c>
      <c r="N462" s="29">
        <v>4.5030365101353453</v>
      </c>
      <c r="O462" s="29">
        <v>5.6149906330446742</v>
      </c>
      <c r="P462" s="29">
        <v>5.1804449010966502</v>
      </c>
      <c r="Q462" s="29">
        <v>4.992208735637333</v>
      </c>
      <c r="R462" s="29">
        <v>5.1266786922187269</v>
      </c>
      <c r="S462" s="29">
        <v>4.7972982876637502</v>
      </c>
      <c r="T462" s="29">
        <v>5.3291595470036155</v>
      </c>
      <c r="U462" s="29">
        <v>5.0893004116838787</v>
      </c>
      <c r="W462" s="30">
        <v>4.3540613443350615</v>
      </c>
      <c r="X462" s="30">
        <v>4.2372963902326122</v>
      </c>
      <c r="Y462" s="30">
        <v>4.3812305574421053</v>
      </c>
      <c r="Z462" s="30">
        <v>4.0353130298046276</v>
      </c>
      <c r="AA462" s="30">
        <v>6.0424944116166213</v>
      </c>
      <c r="AB462" s="85">
        <v>7.1007434424934424</v>
      </c>
      <c r="AC462" s="85">
        <v>6.0353012891735762</v>
      </c>
      <c r="AD462" s="90">
        <v>0</v>
      </c>
      <c r="AF462" s="29">
        <f t="shared" si="897"/>
        <v>4.5030365101353453</v>
      </c>
      <c r="AG462" s="30">
        <f t="shared" si="898"/>
        <v>4.3540613443350615</v>
      </c>
      <c r="AH462" s="32">
        <f t="shared" si="899"/>
        <v>-0.1489751658002838</v>
      </c>
      <c r="AI462" s="33">
        <f t="shared" si="900"/>
        <v>-3.3083268471169054E-2</v>
      </c>
      <c r="AK462" s="29">
        <f t="shared" si="889"/>
        <v>5.6149906330446742</v>
      </c>
      <c r="AL462" s="30">
        <f t="shared" si="890"/>
        <v>4.2372963902326122</v>
      </c>
      <c r="AM462" s="32">
        <f t="shared" si="901"/>
        <v>-1.377694242812062</v>
      </c>
      <c r="AN462" s="33">
        <f t="shared" si="902"/>
        <v>-0.24536002512706254</v>
      </c>
      <c r="AP462" s="29">
        <f t="shared" si="903"/>
        <v>5.1804449010966502</v>
      </c>
      <c r="AQ462" s="30">
        <f t="shared" si="904"/>
        <v>4.3812305574421053</v>
      </c>
      <c r="AR462" s="32">
        <f t="shared" si="905"/>
        <v>-0.79921434365454491</v>
      </c>
      <c r="AS462" s="33">
        <f t="shared" si="906"/>
        <v>-0.15427523290236306</v>
      </c>
      <c r="AU462" s="31">
        <f t="shared" si="907"/>
        <v>4.992208735637333</v>
      </c>
      <c r="AV462" s="25">
        <f t="shared" si="908"/>
        <v>4.0353130298046276</v>
      </c>
      <c r="AW462" s="32">
        <f t="shared" si="909"/>
        <v>-0.95689570583270545</v>
      </c>
      <c r="AX462" s="33">
        <f t="shared" si="910"/>
        <v>-0.19167782368590058</v>
      </c>
      <c r="AZ462" s="31">
        <f t="shared" si="891"/>
        <v>5.1266786922187269</v>
      </c>
      <c r="BA462" s="25">
        <f t="shared" si="892"/>
        <v>6.0424944116166213</v>
      </c>
      <c r="BB462" s="32">
        <f t="shared" si="911"/>
        <v>0.91581571939789441</v>
      </c>
      <c r="BC462" s="33">
        <f t="shared" si="912"/>
        <v>0.17863723755263219</v>
      </c>
      <c r="BE462" s="31">
        <f t="shared" si="913"/>
        <v>4.7972982876637502</v>
      </c>
      <c r="BF462" s="25">
        <f t="shared" si="914"/>
        <v>7.1007434424934424</v>
      </c>
      <c r="BG462" s="32">
        <f t="shared" si="915"/>
        <v>2.3034451548296921</v>
      </c>
      <c r="BH462" s="33">
        <f t="shared" si="916"/>
        <v>0.48015466554435443</v>
      </c>
      <c r="BJ462" s="31">
        <f t="shared" si="893"/>
        <v>5.3291595470036155</v>
      </c>
      <c r="BK462" s="25">
        <f t="shared" si="894"/>
        <v>6.0353012891735762</v>
      </c>
      <c r="BL462" s="32">
        <f t="shared" si="895"/>
        <v>0.70614174216996073</v>
      </c>
      <c r="BM462" s="33">
        <f t="shared" si="896"/>
        <v>0.13250527328779216</v>
      </c>
      <c r="BO462" s="62"/>
      <c r="BP462" s="62"/>
      <c r="BQ462" s="62"/>
      <c r="BR462" s="63"/>
    </row>
    <row r="463" spans="1:70">
      <c r="B463" s="1284"/>
      <c r="D463" s="5" t="s">
        <v>170</v>
      </c>
      <c r="E463" s="87">
        <v>5.983141350502863</v>
      </c>
      <c r="F463" s="87">
        <v>6.0769716561701088</v>
      </c>
      <c r="G463" s="87">
        <v>7.4622589385294695</v>
      </c>
      <c r="H463" s="87">
        <v>7.6417237510859808</v>
      </c>
      <c r="I463" s="87">
        <v>8.2574080938563377</v>
      </c>
      <c r="J463" s="87">
        <v>8.414282168188512</v>
      </c>
      <c r="K463" s="87">
        <v>9.0650130916766809</v>
      </c>
      <c r="L463" s="87">
        <v>9.1690401569271103</v>
      </c>
      <c r="N463" s="29">
        <v>6.6170822830635476</v>
      </c>
      <c r="O463" s="29">
        <v>8.7080852219218592</v>
      </c>
      <c r="P463" s="29">
        <v>6.9483140532270342</v>
      </c>
      <c r="Q463" s="29">
        <v>6.8511588846479485</v>
      </c>
      <c r="R463" s="29">
        <v>7.0968299105535477</v>
      </c>
      <c r="S463" s="29">
        <v>5.8564709407746962</v>
      </c>
      <c r="T463" s="29">
        <v>6.0882624211364078</v>
      </c>
      <c r="U463" s="29">
        <v>5.8849922492159843</v>
      </c>
      <c r="W463" s="30">
        <v>6.1936841630609907</v>
      </c>
      <c r="X463" s="30">
        <v>5.628582634717775</v>
      </c>
      <c r="Y463" s="30">
        <v>7.2429883074587265</v>
      </c>
      <c r="Z463" s="30">
        <v>5.8494879340790167</v>
      </c>
      <c r="AA463" s="30">
        <v>8.1191932114109377</v>
      </c>
      <c r="AB463" s="85">
        <v>9.4736227224511307</v>
      </c>
      <c r="AC463" s="85">
        <v>8.6302650698002683</v>
      </c>
      <c r="AD463" s="90">
        <v>0</v>
      </c>
      <c r="AF463" s="29">
        <f t="shared" si="897"/>
        <v>6.6170822830635476</v>
      </c>
      <c r="AG463" s="30">
        <f t="shared" si="898"/>
        <v>6.1936841630609907</v>
      </c>
      <c r="AH463" s="32">
        <f t="shared" si="899"/>
        <v>-0.42339812000255694</v>
      </c>
      <c r="AI463" s="33">
        <f t="shared" si="900"/>
        <v>-6.3985621137921528E-2</v>
      </c>
      <c r="AK463" s="29">
        <f t="shared" si="889"/>
        <v>8.7080852219218592</v>
      </c>
      <c r="AL463" s="30">
        <f t="shared" si="890"/>
        <v>5.628582634717775</v>
      </c>
      <c r="AM463" s="32">
        <f t="shared" si="901"/>
        <v>-3.0795025872040842</v>
      </c>
      <c r="AN463" s="33">
        <f t="shared" si="902"/>
        <v>-0.35363716692295338</v>
      </c>
      <c r="AP463" s="29">
        <f t="shared" si="903"/>
        <v>6.9483140532270342</v>
      </c>
      <c r="AQ463" s="30">
        <f t="shared" si="904"/>
        <v>7.2429883074587265</v>
      </c>
      <c r="AR463" s="32">
        <f t="shared" si="905"/>
        <v>0.29467425423169225</v>
      </c>
      <c r="AS463" s="33">
        <f t="shared" si="906"/>
        <v>4.240946105405749E-2</v>
      </c>
      <c r="AU463" s="31">
        <f t="shared" si="907"/>
        <v>6.8511588846479485</v>
      </c>
      <c r="AV463" s="25">
        <f t="shared" si="908"/>
        <v>5.8494879340790167</v>
      </c>
      <c r="AW463" s="32">
        <f t="shared" si="909"/>
        <v>-1.0016709505689319</v>
      </c>
      <c r="AX463" s="33">
        <f t="shared" si="910"/>
        <v>-0.1462046009199221</v>
      </c>
      <c r="AZ463" s="31">
        <f t="shared" si="891"/>
        <v>7.0968299105535477</v>
      </c>
      <c r="BA463" s="25">
        <f t="shared" si="892"/>
        <v>8.1191932114109377</v>
      </c>
      <c r="BB463" s="32">
        <f t="shared" si="911"/>
        <v>1.02236330085739</v>
      </c>
      <c r="BC463" s="33">
        <f t="shared" si="912"/>
        <v>0.14405915228953914</v>
      </c>
      <c r="BE463" s="31">
        <f t="shared" si="913"/>
        <v>5.8564709407746962</v>
      </c>
      <c r="BF463" s="25">
        <f t="shared" si="914"/>
        <v>9.4736227224511307</v>
      </c>
      <c r="BG463" s="32">
        <f t="shared" si="915"/>
        <v>3.6171517816764345</v>
      </c>
      <c r="BH463" s="33">
        <f t="shared" si="916"/>
        <v>0.61763335262070918</v>
      </c>
      <c r="BJ463" s="31">
        <f t="shared" si="893"/>
        <v>6.0882624211364078</v>
      </c>
      <c r="BK463" s="25">
        <f t="shared" si="894"/>
        <v>8.6302650698002683</v>
      </c>
      <c r="BL463" s="32">
        <f t="shared" si="895"/>
        <v>2.5420026486638605</v>
      </c>
      <c r="BM463" s="33">
        <f t="shared" si="896"/>
        <v>0.41752514475047575</v>
      </c>
      <c r="BO463" s="62"/>
      <c r="BP463" s="62"/>
      <c r="BQ463" s="62"/>
      <c r="BR463" s="63"/>
    </row>
    <row r="464" spans="1:70">
      <c r="B464" s="1284"/>
      <c r="D464" s="5" t="s">
        <v>171</v>
      </c>
      <c r="E464" s="87">
        <v>3.0933907170941071</v>
      </c>
      <c r="F464" s="87">
        <v>3.0875483560295187</v>
      </c>
      <c r="G464" s="87">
        <v>3.0600508699265885</v>
      </c>
      <c r="H464" s="87">
        <v>3.2226431375620881</v>
      </c>
      <c r="I464" s="87">
        <v>3.0362933993596175</v>
      </c>
      <c r="J464" s="87">
        <v>4.5789003429653361</v>
      </c>
      <c r="K464" s="87">
        <v>4.2497719983974047</v>
      </c>
      <c r="L464" s="87">
        <v>3.5101721820043004</v>
      </c>
      <c r="N464" s="29">
        <v>5.2304493159124679</v>
      </c>
      <c r="O464" s="29">
        <v>3.5614431382696603</v>
      </c>
      <c r="P464" s="29">
        <v>3.2719482271030857</v>
      </c>
      <c r="Q464" s="29">
        <v>3.2696898846113616</v>
      </c>
      <c r="R464" s="29">
        <v>3.5640624674275219</v>
      </c>
      <c r="S464" s="29">
        <v>2.8462581642993752</v>
      </c>
      <c r="T464" s="29">
        <v>2.7087354498103071</v>
      </c>
      <c r="U464" s="29">
        <v>2.3670105211416428</v>
      </c>
      <c r="W464" s="30">
        <v>3.4829553684247148</v>
      </c>
      <c r="X464" s="30">
        <v>4.106081117027446</v>
      </c>
      <c r="Y464" s="30">
        <v>3.2623047377766392</v>
      </c>
      <c r="Z464" s="30">
        <v>4.2526041910610894</v>
      </c>
      <c r="AA464" s="30">
        <v>4.5430420367467885</v>
      </c>
      <c r="AB464" s="85">
        <v>3.4330799599490769</v>
      </c>
      <c r="AC464" s="85">
        <v>5.7279613899999999</v>
      </c>
      <c r="AD464" s="90">
        <v>0</v>
      </c>
      <c r="AF464" s="29">
        <f t="shared" si="897"/>
        <v>5.2304493159124679</v>
      </c>
      <c r="AG464" s="30">
        <f t="shared" si="898"/>
        <v>3.4829553684247148</v>
      </c>
      <c r="AH464" s="32">
        <f t="shared" si="899"/>
        <v>-1.7474939474877531</v>
      </c>
      <c r="AI464" s="33">
        <f t="shared" si="900"/>
        <v>-0.33410015888527878</v>
      </c>
      <c r="AK464" s="29">
        <f t="shared" si="889"/>
        <v>3.5614431382696603</v>
      </c>
      <c r="AL464" s="30">
        <f t="shared" si="890"/>
        <v>4.106081117027446</v>
      </c>
      <c r="AM464" s="32">
        <f t="shared" si="901"/>
        <v>0.54463797875778575</v>
      </c>
      <c r="AN464" s="33">
        <f t="shared" si="902"/>
        <v>0.15292620368000598</v>
      </c>
      <c r="AP464" s="29">
        <f t="shared" si="903"/>
        <v>3.2719482271030857</v>
      </c>
      <c r="AQ464" s="30">
        <f t="shared" si="904"/>
        <v>3.2623047377766392</v>
      </c>
      <c r="AR464" s="32">
        <f t="shared" si="905"/>
        <v>-9.6434893264465416E-3</v>
      </c>
      <c r="AS464" s="33">
        <f t="shared" si="906"/>
        <v>-2.9473233245455978E-3</v>
      </c>
      <c r="AU464" s="31">
        <f t="shared" si="907"/>
        <v>3.2696898846113616</v>
      </c>
      <c r="AV464" s="25">
        <f t="shared" si="908"/>
        <v>4.2526041910610894</v>
      </c>
      <c r="AW464" s="32">
        <f t="shared" si="909"/>
        <v>0.98291430644972788</v>
      </c>
      <c r="AX464" s="33">
        <f t="shared" si="910"/>
        <v>0.3006139239919256</v>
      </c>
      <c r="AZ464" s="31">
        <f t="shared" si="891"/>
        <v>3.5640624674275219</v>
      </c>
      <c r="BA464" s="25">
        <f t="shared" si="892"/>
        <v>4.5430420367467885</v>
      </c>
      <c r="BB464" s="32">
        <f t="shared" si="911"/>
        <v>0.97897956931926666</v>
      </c>
      <c r="BC464" s="33">
        <f t="shared" si="912"/>
        <v>0.2746808110874322</v>
      </c>
      <c r="BE464" s="31">
        <f t="shared" si="913"/>
        <v>2.8462581642993752</v>
      </c>
      <c r="BF464" s="25">
        <f t="shared" si="914"/>
        <v>3.4330799599490769</v>
      </c>
      <c r="BG464" s="32">
        <f t="shared" si="915"/>
        <v>0.58682179564970172</v>
      </c>
      <c r="BH464" s="33">
        <f t="shared" si="916"/>
        <v>0.20617307418216987</v>
      </c>
      <c r="BJ464" s="31">
        <f t="shared" si="893"/>
        <v>2.7087354498103071</v>
      </c>
      <c r="BK464" s="25">
        <f t="shared" si="894"/>
        <v>5.7279613899999999</v>
      </c>
      <c r="BL464" s="32">
        <f t="shared" si="895"/>
        <v>3.0192259401896928</v>
      </c>
      <c r="BM464" s="33">
        <f t="shared" si="896"/>
        <v>1.1146256237024288</v>
      </c>
      <c r="BO464" s="62"/>
      <c r="BP464" s="62"/>
      <c r="BQ464" s="62"/>
      <c r="BR464" s="63"/>
    </row>
    <row r="465" spans="1:70">
      <c r="B465" s="1284"/>
      <c r="D465" s="5" t="s">
        <v>172</v>
      </c>
      <c r="E465" s="87">
        <v>3.6674792476584965</v>
      </c>
      <c r="F465" s="87">
        <v>4.128705013386047</v>
      </c>
      <c r="G465" s="87">
        <v>5.0892147757057371</v>
      </c>
      <c r="H465" s="87">
        <v>5.7085738483038853</v>
      </c>
      <c r="I465" s="87">
        <v>5.5904325310630956</v>
      </c>
      <c r="J465" s="87">
        <v>6.9760563735100973</v>
      </c>
      <c r="K465" s="87">
        <v>6.9241758654729599</v>
      </c>
      <c r="L465" s="87">
        <v>6.531381568055</v>
      </c>
      <c r="N465" s="29">
        <v>6.7356024693671586</v>
      </c>
      <c r="O465" s="29">
        <v>7.189850798523354</v>
      </c>
      <c r="P465" s="29">
        <v>5.3904772000421755</v>
      </c>
      <c r="Q465" s="29">
        <v>4.094071743219434</v>
      </c>
      <c r="R465" s="29">
        <v>4.7289473714005377</v>
      </c>
      <c r="S465" s="29">
        <v>3.7141539002518624</v>
      </c>
      <c r="T465" s="29">
        <v>3.5987083250664096</v>
      </c>
      <c r="U465" s="29">
        <v>3.3762478584342857</v>
      </c>
      <c r="W465" s="30">
        <v>3.8657540747317878</v>
      </c>
      <c r="X465" s="30">
        <v>6.6672256429490657</v>
      </c>
      <c r="Y465" s="30">
        <v>8.1096398930830276</v>
      </c>
      <c r="Z465" s="30">
        <v>8.3158598091762865</v>
      </c>
      <c r="AA465" s="30">
        <v>6.8633649995286286</v>
      </c>
      <c r="AB465" s="85">
        <v>6.6145525538752494</v>
      </c>
      <c r="AC465" s="85">
        <v>7.1376170734955666</v>
      </c>
      <c r="AD465" s="90">
        <v>0</v>
      </c>
      <c r="AF465" s="29">
        <f t="shared" si="897"/>
        <v>6.7356024693671586</v>
      </c>
      <c r="AG465" s="30">
        <f t="shared" si="898"/>
        <v>3.8657540747317878</v>
      </c>
      <c r="AH465" s="32">
        <f t="shared" si="899"/>
        <v>-2.8698483946353708</v>
      </c>
      <c r="AI465" s="33">
        <f t="shared" si="900"/>
        <v>-0.42607152184042218</v>
      </c>
      <c r="AK465" s="29">
        <f t="shared" si="889"/>
        <v>7.189850798523354</v>
      </c>
      <c r="AL465" s="30">
        <f t="shared" si="890"/>
        <v>6.6672256429490657</v>
      </c>
      <c r="AM465" s="32">
        <f t="shared" si="901"/>
        <v>-0.52262515557428824</v>
      </c>
      <c r="AN465" s="33">
        <f t="shared" si="902"/>
        <v>-7.2689290809987955E-2</v>
      </c>
      <c r="AP465" s="29">
        <f t="shared" si="903"/>
        <v>5.3904772000421755</v>
      </c>
      <c r="AQ465" s="30">
        <f t="shared" si="904"/>
        <v>8.1096398930830276</v>
      </c>
      <c r="AR465" s="32">
        <f t="shared" si="905"/>
        <v>2.7191626930408521</v>
      </c>
      <c r="AS465" s="33">
        <f t="shared" si="906"/>
        <v>0.50443821430495561</v>
      </c>
      <c r="AU465" s="31">
        <f t="shared" si="907"/>
        <v>4.094071743219434</v>
      </c>
      <c r="AV465" s="25">
        <f t="shared" si="908"/>
        <v>8.3158598091762865</v>
      </c>
      <c r="AW465" s="32">
        <f t="shared" si="909"/>
        <v>4.2217880659568525</v>
      </c>
      <c r="AX465" s="33">
        <f t="shared" si="910"/>
        <v>1.0311954285972007</v>
      </c>
      <c r="AZ465" s="31">
        <f t="shared" si="891"/>
        <v>4.7289473714005377</v>
      </c>
      <c r="BA465" s="25">
        <f t="shared" si="892"/>
        <v>6.8633649995286286</v>
      </c>
      <c r="BB465" s="32">
        <f t="shared" si="911"/>
        <v>2.1344176281280909</v>
      </c>
      <c r="BC465" s="33">
        <f t="shared" si="912"/>
        <v>0.45135152931421946</v>
      </c>
      <c r="BE465" s="31">
        <f t="shared" si="913"/>
        <v>3.7141539002518624</v>
      </c>
      <c r="BF465" s="25">
        <f t="shared" si="914"/>
        <v>6.6145525538752494</v>
      </c>
      <c r="BG465" s="32">
        <f t="shared" si="915"/>
        <v>2.900398653623387</v>
      </c>
      <c r="BH465" s="33">
        <f t="shared" si="916"/>
        <v>0.78090427362923942</v>
      </c>
      <c r="BJ465" s="31">
        <f t="shared" si="893"/>
        <v>3.5987083250664096</v>
      </c>
      <c r="BK465" s="25">
        <f t="shared" si="894"/>
        <v>7.1376170734955666</v>
      </c>
      <c r="BL465" s="32">
        <f t="shared" si="895"/>
        <v>3.538908748429157</v>
      </c>
      <c r="BM465" s="33">
        <f t="shared" si="896"/>
        <v>0.98338304434935031</v>
      </c>
      <c r="BO465" s="62"/>
      <c r="BP465" s="62"/>
      <c r="BQ465" s="62"/>
      <c r="BR465" s="63"/>
    </row>
    <row r="466" spans="1:70">
      <c r="B466" s="1284"/>
      <c r="D466" s="5" t="s">
        <v>28</v>
      </c>
      <c r="E466" s="87">
        <v>4.906747567563194</v>
      </c>
      <c r="F466" s="87">
        <v>4.1486197605601749</v>
      </c>
      <c r="G466" s="87">
        <v>3.4514890871098443</v>
      </c>
      <c r="H466" s="87">
        <v>3.5299058799835037</v>
      </c>
      <c r="I466" s="87">
        <v>2.6933561293933481</v>
      </c>
      <c r="J466" s="87">
        <v>2.363835311465559</v>
      </c>
      <c r="K466" s="87">
        <v>1.8825361959834204</v>
      </c>
      <c r="L466" s="87">
        <v>1.2805963029991303</v>
      </c>
      <c r="N466" s="29">
        <v>3.8010164076812663</v>
      </c>
      <c r="O466" s="29">
        <v>3.3618377701214981</v>
      </c>
      <c r="P466" s="29">
        <v>2.8354740551988176</v>
      </c>
      <c r="Q466" s="29">
        <v>2.9114109603798379</v>
      </c>
      <c r="R466" s="29">
        <v>2.5006224464776881</v>
      </c>
      <c r="S466" s="29">
        <v>2.3152917822938908</v>
      </c>
      <c r="T466" s="29">
        <v>1.9932593721956835</v>
      </c>
      <c r="U466" s="29">
        <v>1.7372349417581265</v>
      </c>
      <c r="W466" s="30">
        <v>1.7119261608783323</v>
      </c>
      <c r="X466" s="30">
        <v>1.3699331317543684</v>
      </c>
      <c r="Y466" s="30">
        <v>1.894020743850138</v>
      </c>
      <c r="Z466" s="30">
        <v>2.6921389848081971</v>
      </c>
      <c r="AA466" s="30">
        <v>3.196333652775897</v>
      </c>
      <c r="AB466" s="85">
        <v>3.1054587234150675</v>
      </c>
      <c r="AC466" s="85">
        <v>2.91089464</v>
      </c>
      <c r="AD466" s="90">
        <v>0</v>
      </c>
      <c r="AF466" s="29">
        <f t="shared" si="897"/>
        <v>3.8010164076812663</v>
      </c>
      <c r="AG466" s="30">
        <f t="shared" si="898"/>
        <v>1.7119261608783323</v>
      </c>
      <c r="AH466" s="32">
        <f t="shared" si="899"/>
        <v>-2.0890902468029342</v>
      </c>
      <c r="AI466" s="33">
        <f t="shared" si="900"/>
        <v>-0.54961358298301632</v>
      </c>
      <c r="AK466" s="29">
        <f t="shared" si="889"/>
        <v>3.3618377701214981</v>
      </c>
      <c r="AL466" s="30">
        <f t="shared" si="890"/>
        <v>1.3699331317543684</v>
      </c>
      <c r="AM466" s="32">
        <f t="shared" si="901"/>
        <v>-1.9919046383671297</v>
      </c>
      <c r="AN466" s="33">
        <f t="shared" si="902"/>
        <v>-0.5925046877842477</v>
      </c>
      <c r="AP466" s="29">
        <f t="shared" si="903"/>
        <v>2.8354740551988176</v>
      </c>
      <c r="AQ466" s="30">
        <f t="shared" si="904"/>
        <v>1.894020743850138</v>
      </c>
      <c r="AR466" s="32">
        <f t="shared" si="905"/>
        <v>-0.9414533113486796</v>
      </c>
      <c r="AS466" s="33">
        <f t="shared" si="906"/>
        <v>-0.33202677683561693</v>
      </c>
      <c r="AU466" s="31">
        <f t="shared" si="907"/>
        <v>2.9114109603798379</v>
      </c>
      <c r="AV466" s="25">
        <f t="shared" si="908"/>
        <v>2.6921389848081971</v>
      </c>
      <c r="AW466" s="32">
        <f t="shared" si="909"/>
        <v>-0.2192719755716408</v>
      </c>
      <c r="AX466" s="33">
        <f t="shared" si="910"/>
        <v>-7.5314676820146823E-2</v>
      </c>
      <c r="AZ466" s="31">
        <f t="shared" si="891"/>
        <v>2.5006224464776881</v>
      </c>
      <c r="BA466" s="25">
        <f t="shared" si="892"/>
        <v>3.196333652775897</v>
      </c>
      <c r="BB466" s="32">
        <f t="shared" si="911"/>
        <v>0.69571120629820893</v>
      </c>
      <c r="BC466" s="33">
        <f t="shared" si="912"/>
        <v>0.27821521288756312</v>
      </c>
      <c r="BE466" s="31">
        <f t="shared" si="913"/>
        <v>2.3152917822938908</v>
      </c>
      <c r="BF466" s="25">
        <f t="shared" si="914"/>
        <v>3.1054587234150675</v>
      </c>
      <c r="BG466" s="32">
        <f t="shared" si="915"/>
        <v>0.79016694112117669</v>
      </c>
      <c r="BH466" s="33">
        <f t="shared" si="916"/>
        <v>0.3412817974667165</v>
      </c>
      <c r="BJ466" s="31">
        <f t="shared" si="893"/>
        <v>1.9932593721956835</v>
      </c>
      <c r="BK466" s="25">
        <f t="shared" si="894"/>
        <v>2.91089464</v>
      </c>
      <c r="BL466" s="32">
        <f t="shared" si="895"/>
        <v>0.91763526780431648</v>
      </c>
      <c r="BM466" s="33">
        <f t="shared" si="896"/>
        <v>0.46036922269352804</v>
      </c>
      <c r="BO466" s="62"/>
      <c r="BP466" s="62"/>
      <c r="BQ466" s="62"/>
      <c r="BR466" s="63"/>
    </row>
    <row r="467" spans="1:70">
      <c r="B467" s="1284"/>
      <c r="D467" s="5" t="s">
        <v>173</v>
      </c>
      <c r="E467" s="87">
        <v>7.5618046236563004</v>
      </c>
      <c r="F467" s="87">
        <v>6.8267003871413365</v>
      </c>
      <c r="G467" s="87">
        <v>5.0355231427292759</v>
      </c>
      <c r="H467" s="87">
        <v>5.0452394098177908</v>
      </c>
      <c r="I467" s="87">
        <v>4.2630451794801765</v>
      </c>
      <c r="J467" s="87">
        <v>3.7355433106056384</v>
      </c>
      <c r="K467" s="87">
        <v>3.3759896455490921</v>
      </c>
      <c r="L467" s="87">
        <v>3.1094011452879893</v>
      </c>
      <c r="N467" s="29">
        <v>6.95329613584261</v>
      </c>
      <c r="O467" s="29">
        <v>6.9174146231673816</v>
      </c>
      <c r="P467" s="29">
        <v>5.6496842961114764</v>
      </c>
      <c r="Q467" s="29">
        <v>5.8953149885966925</v>
      </c>
      <c r="R467" s="29">
        <v>4.4764446549247072</v>
      </c>
      <c r="S467" s="29">
        <v>4.1756884603405036</v>
      </c>
      <c r="T467" s="29">
        <v>3.9846312757337565</v>
      </c>
      <c r="U467" s="29">
        <v>3.7539352880980692</v>
      </c>
      <c r="W467" s="30">
        <v>3.3083530720863892</v>
      </c>
      <c r="X467" s="30">
        <v>1.1724210846111316</v>
      </c>
      <c r="Y467" s="30">
        <v>1.6645156067869751</v>
      </c>
      <c r="Z467" s="30">
        <v>2.324306418809635</v>
      </c>
      <c r="AA467" s="30">
        <v>4.874618420688738</v>
      </c>
      <c r="AB467" s="85">
        <v>4.775575348668478</v>
      </c>
      <c r="AC467" s="85">
        <v>3.1512245999999999</v>
      </c>
      <c r="AD467" s="90">
        <v>0</v>
      </c>
      <c r="AF467" s="29">
        <f t="shared" si="897"/>
        <v>6.95329613584261</v>
      </c>
      <c r="AG467" s="30">
        <f t="shared" si="898"/>
        <v>3.3083530720863892</v>
      </c>
      <c r="AH467" s="32">
        <f t="shared" si="899"/>
        <v>-3.6449430637562208</v>
      </c>
      <c r="AI467" s="33">
        <f t="shared" si="900"/>
        <v>-0.52420362840112544</v>
      </c>
      <c r="AK467" s="29">
        <f t="shared" si="889"/>
        <v>6.9174146231673816</v>
      </c>
      <c r="AL467" s="30">
        <f t="shared" si="890"/>
        <v>1.1724210846111316</v>
      </c>
      <c r="AM467" s="32">
        <f t="shared" si="901"/>
        <v>-5.7449935385562503</v>
      </c>
      <c r="AN467" s="33">
        <f t="shared" si="902"/>
        <v>-0.83051166534321497</v>
      </c>
      <c r="AP467" s="29">
        <f t="shared" si="903"/>
        <v>5.6496842961114764</v>
      </c>
      <c r="AQ467" s="30">
        <f t="shared" si="904"/>
        <v>1.6645156067869751</v>
      </c>
      <c r="AR467" s="32">
        <f t="shared" si="905"/>
        <v>-3.9851686893245013</v>
      </c>
      <c r="AS467" s="33">
        <f t="shared" si="906"/>
        <v>-0.70537900534856157</v>
      </c>
      <c r="AU467" s="31">
        <f t="shared" si="907"/>
        <v>5.8953149885966925</v>
      </c>
      <c r="AV467" s="25">
        <f t="shared" si="908"/>
        <v>2.324306418809635</v>
      </c>
      <c r="AW467" s="32">
        <f t="shared" si="909"/>
        <v>-3.5710085697870575</v>
      </c>
      <c r="AX467" s="33">
        <f t="shared" si="910"/>
        <v>-0.60573668696150407</v>
      </c>
      <c r="AZ467" s="31">
        <f t="shared" si="891"/>
        <v>4.4764446549247072</v>
      </c>
      <c r="BA467" s="25">
        <f t="shared" si="892"/>
        <v>4.874618420688738</v>
      </c>
      <c r="BB467" s="32">
        <f t="shared" si="911"/>
        <v>0.39817376576403074</v>
      </c>
      <c r="BC467" s="33">
        <f t="shared" si="912"/>
        <v>8.8948662712937734E-2</v>
      </c>
      <c r="BE467" s="31">
        <f t="shared" si="913"/>
        <v>4.1756884603405036</v>
      </c>
      <c r="BF467" s="25">
        <f t="shared" si="914"/>
        <v>4.775575348668478</v>
      </c>
      <c r="BG467" s="32">
        <f t="shared" si="915"/>
        <v>0.59988688832797443</v>
      </c>
      <c r="BH467" s="33">
        <f t="shared" si="916"/>
        <v>0.1436617923069522</v>
      </c>
      <c r="BJ467" s="31">
        <f t="shared" si="893"/>
        <v>3.9846312757337565</v>
      </c>
      <c r="BK467" s="25">
        <f t="shared" si="894"/>
        <v>3.1512245999999999</v>
      </c>
      <c r="BL467" s="32">
        <f t="shared" si="895"/>
        <v>-0.8334066757337566</v>
      </c>
      <c r="BM467" s="33">
        <f t="shared" si="896"/>
        <v>-0.20915528139558848</v>
      </c>
      <c r="BO467" s="62"/>
      <c r="BP467" s="62"/>
      <c r="BQ467" s="62"/>
      <c r="BR467" s="63"/>
    </row>
    <row r="468" spans="1:70">
      <c r="A468" s="1"/>
      <c r="B468" s="1284"/>
      <c r="D468" s="4" t="s">
        <v>174</v>
      </c>
      <c r="E468" s="88">
        <f t="shared" ref="E468:L468" si="917">SUM(E454:E467)</f>
        <v>82.207272728955857</v>
      </c>
      <c r="F468" s="88">
        <f t="shared" si="917"/>
        <v>72.735898941335904</v>
      </c>
      <c r="G468" s="88">
        <f t="shared" si="917"/>
        <v>91.287693222073329</v>
      </c>
      <c r="H468" s="88">
        <f t="shared" si="917"/>
        <v>79.205691775497129</v>
      </c>
      <c r="I468" s="88">
        <f t="shared" si="917"/>
        <v>66.441831620851772</v>
      </c>
      <c r="J468" s="88">
        <f t="shared" si="917"/>
        <v>72.684623180167577</v>
      </c>
      <c r="K468" s="88">
        <f t="shared" si="917"/>
        <v>72.347599634088496</v>
      </c>
      <c r="L468" s="88">
        <f t="shared" si="917"/>
        <v>81.622312607034274</v>
      </c>
      <c r="M468" s="1042"/>
      <c r="N468" s="81">
        <f t="shared" ref="N468:U468" si="918">SUM(N454:N467)</f>
        <v>85.388160328722165</v>
      </c>
      <c r="O468" s="81">
        <f t="shared" si="918"/>
        <v>76.461606511819184</v>
      </c>
      <c r="P468" s="81">
        <f t="shared" si="918"/>
        <v>86.575465313621308</v>
      </c>
      <c r="Q468" s="81">
        <f t="shared" si="918"/>
        <v>71.308309907078169</v>
      </c>
      <c r="R468" s="81">
        <f t="shared" si="918"/>
        <v>60.419414405358914</v>
      </c>
      <c r="S468" s="81">
        <f t="shared" si="918"/>
        <v>59.11484386780586</v>
      </c>
      <c r="T468" s="81">
        <f t="shared" si="918"/>
        <v>58.080440964482804</v>
      </c>
      <c r="U468" s="81">
        <f t="shared" si="918"/>
        <v>64.779162968001131</v>
      </c>
      <c r="V468" s="1"/>
      <c r="W468" s="85">
        <f t="shared" ref="W468:AD468" si="919">SUM(W454:W467)</f>
        <v>47.987865972734319</v>
      </c>
      <c r="X468" s="85">
        <f t="shared" si="919"/>
        <v>50.574270294674385</v>
      </c>
      <c r="Y468" s="85">
        <f t="shared" si="919"/>
        <v>61.99717190714648</v>
      </c>
      <c r="Z468" s="85">
        <f>SUM(Z454:Z467)</f>
        <v>53.213980669576301</v>
      </c>
      <c r="AA468" s="85">
        <f>SUM(AA454:AA467)</f>
        <v>64.690523579599045</v>
      </c>
      <c r="AB468" s="85">
        <f t="shared" si="919"/>
        <v>67.804112697306081</v>
      </c>
      <c r="AC468" s="85">
        <f t="shared" ref="AC468" si="920">SUM(AC454:AC467)</f>
        <v>69.51649262738799</v>
      </c>
      <c r="AD468" s="91">
        <f t="shared" si="919"/>
        <v>0</v>
      </c>
      <c r="AE468" s="1"/>
      <c r="AF468" s="81">
        <f t="shared" si="897"/>
        <v>85.388160328722165</v>
      </c>
      <c r="AG468" s="85">
        <f t="shared" si="898"/>
        <v>47.987865972734319</v>
      </c>
      <c r="AH468" s="34">
        <f t="shared" si="899"/>
        <v>-37.400294355987846</v>
      </c>
      <c r="AI468" s="35">
        <f t="shared" si="900"/>
        <v>-0.43800328068910793</v>
      </c>
      <c r="AK468" s="81">
        <f t="shared" si="889"/>
        <v>76.461606511819184</v>
      </c>
      <c r="AL468" s="85">
        <f t="shared" si="890"/>
        <v>50.574270294674385</v>
      </c>
      <c r="AM468" s="34">
        <f t="shared" si="901"/>
        <v>-25.887336217144799</v>
      </c>
      <c r="AN468" s="35">
        <f t="shared" si="902"/>
        <v>-0.33856647012959662</v>
      </c>
      <c r="AP468" s="81">
        <f t="shared" si="903"/>
        <v>86.575465313621308</v>
      </c>
      <c r="AQ468" s="85">
        <f t="shared" si="904"/>
        <v>61.99717190714648</v>
      </c>
      <c r="AR468" s="34">
        <f t="shared" si="905"/>
        <v>-24.578293406474828</v>
      </c>
      <c r="AS468" s="35">
        <f t="shared" si="906"/>
        <v>-0.28389444188881319</v>
      </c>
      <c r="AU468" s="949">
        <f t="shared" si="907"/>
        <v>71.308309907078169</v>
      </c>
      <c r="AV468" s="843">
        <f t="shared" si="908"/>
        <v>53.213980669576301</v>
      </c>
      <c r="AW468" s="34">
        <f t="shared" si="909"/>
        <v>-18.094329237501867</v>
      </c>
      <c r="AX468" s="35">
        <f t="shared" si="910"/>
        <v>-0.25374783473455731</v>
      </c>
      <c r="AZ468" s="949">
        <f t="shared" si="891"/>
        <v>60.419414405358914</v>
      </c>
      <c r="BA468" s="843">
        <f t="shared" si="892"/>
        <v>64.690523579599045</v>
      </c>
      <c r="BB468" s="34">
        <f t="shared" si="911"/>
        <v>4.2711091742401308</v>
      </c>
      <c r="BC468" s="35">
        <f t="shared" si="912"/>
        <v>7.0691005801295947E-2</v>
      </c>
      <c r="BE468" s="31">
        <f t="shared" si="913"/>
        <v>59.11484386780586</v>
      </c>
      <c r="BF468" s="25">
        <f t="shared" si="914"/>
        <v>67.804112697306081</v>
      </c>
      <c r="BG468" s="32">
        <f t="shared" si="915"/>
        <v>8.6892688295002216</v>
      </c>
      <c r="BH468" s="33">
        <f t="shared" si="916"/>
        <v>0.14698962664828125</v>
      </c>
      <c r="BJ468" s="31">
        <f t="shared" si="893"/>
        <v>58.080440964482804</v>
      </c>
      <c r="BK468" s="25">
        <f t="shared" si="894"/>
        <v>69.51649262738799</v>
      </c>
      <c r="BL468" s="32">
        <f t="shared" si="895"/>
        <v>11.436051662905186</v>
      </c>
      <c r="BM468" s="33">
        <f t="shared" si="896"/>
        <v>0.19690022102102375</v>
      </c>
      <c r="BO468" s="62"/>
      <c r="BP468" s="62"/>
      <c r="BQ468" s="62"/>
      <c r="BR468" s="63"/>
    </row>
    <row r="469" spans="1:70">
      <c r="A469" s="1"/>
      <c r="B469" s="1284"/>
      <c r="D469" s="4" t="s">
        <v>724</v>
      </c>
      <c r="E469" s="88">
        <f t="shared" ref="E469:L469" si="921">E468-SUM(E457:E460)</f>
        <v>56.886109882454953</v>
      </c>
      <c r="F469" s="88">
        <f t="shared" si="921"/>
        <v>57.214854415648695</v>
      </c>
      <c r="G469" s="88">
        <f t="shared" si="921"/>
        <v>58.619310888503193</v>
      </c>
      <c r="H469" s="88">
        <f t="shared" si="921"/>
        <v>61.763576236386726</v>
      </c>
      <c r="I469" s="88">
        <f t="shared" si="921"/>
        <v>57.472939770906727</v>
      </c>
      <c r="J469" s="88">
        <f t="shared" si="921"/>
        <v>60.448099818901866</v>
      </c>
      <c r="K469" s="88">
        <f t="shared" si="921"/>
        <v>67.171035425765311</v>
      </c>
      <c r="L469" s="88">
        <f t="shared" si="921"/>
        <v>66.186473374001551</v>
      </c>
      <c r="M469" s="1"/>
      <c r="N469" s="81">
        <f t="shared" ref="N469:U469" si="922">N468-SUM(N457:N460)</f>
        <v>60.066997482221261</v>
      </c>
      <c r="O469" s="81">
        <f t="shared" si="922"/>
        <v>60.940561986131975</v>
      </c>
      <c r="P469" s="81">
        <f t="shared" si="922"/>
        <v>53.907082980051172</v>
      </c>
      <c r="Q469" s="81">
        <f t="shared" si="922"/>
        <v>53.866194367967765</v>
      </c>
      <c r="R469" s="81">
        <f t="shared" si="922"/>
        <v>51.450522555413869</v>
      </c>
      <c r="S469" s="81">
        <f t="shared" si="922"/>
        <v>46.878320506540149</v>
      </c>
      <c r="T469" s="81">
        <f t="shared" si="922"/>
        <v>52.903876756159612</v>
      </c>
      <c r="U469" s="81">
        <f t="shared" si="922"/>
        <v>49.343323734968408</v>
      </c>
      <c r="V469" s="1"/>
      <c r="W469" s="85">
        <f t="shared" ref="W469:AD469" si="923">W468-SUM(W457:W460)</f>
        <v>40.461774650504687</v>
      </c>
      <c r="X469" s="85">
        <f t="shared" si="923"/>
        <v>40.221789816018429</v>
      </c>
      <c r="Y469" s="85">
        <f t="shared" si="923"/>
        <v>43.635875373033251</v>
      </c>
      <c r="Z469" s="85">
        <f>Z468-SUM(Z457:Z460)</f>
        <v>47.198465817189501</v>
      </c>
      <c r="AA469" s="85">
        <f>AA468-SUM(AA457:AA460)</f>
        <v>56.944494177792009</v>
      </c>
      <c r="AB469" s="85">
        <f t="shared" si="923"/>
        <v>50.419408793741098</v>
      </c>
      <c r="AC469" s="85">
        <f t="shared" ref="AC469" si="924">AC468-SUM(AC457:AC460)</f>
        <v>58.573392627387989</v>
      </c>
      <c r="AD469" s="91">
        <f t="shared" si="923"/>
        <v>0</v>
      </c>
      <c r="AE469" s="1"/>
      <c r="AF469" s="81">
        <f t="shared" si="897"/>
        <v>60.066997482221261</v>
      </c>
      <c r="AG469" s="85">
        <f t="shared" si="898"/>
        <v>40.461774650504687</v>
      </c>
      <c r="AH469" s="34">
        <f t="shared" si="899"/>
        <v>-19.605222831716574</v>
      </c>
      <c r="AI469" s="35">
        <f t="shared" si="900"/>
        <v>-0.32638925955170911</v>
      </c>
      <c r="AK469" s="81">
        <f t="shared" si="889"/>
        <v>60.940561986131975</v>
      </c>
      <c r="AL469" s="85">
        <f t="shared" si="890"/>
        <v>40.221789816018429</v>
      </c>
      <c r="AM469" s="34">
        <f t="shared" si="901"/>
        <v>-20.718772170113546</v>
      </c>
      <c r="AN469" s="35">
        <f t="shared" si="902"/>
        <v>-0.33998328034500969</v>
      </c>
      <c r="AP469" s="81">
        <f t="shared" si="903"/>
        <v>53.907082980051172</v>
      </c>
      <c r="AQ469" s="85">
        <f>Y469</f>
        <v>43.635875373033251</v>
      </c>
      <c r="AR469" s="34">
        <f t="shared" si="905"/>
        <v>-10.271207607017921</v>
      </c>
      <c r="AS469" s="35">
        <f t="shared" si="906"/>
        <v>-0.19053539978816658</v>
      </c>
      <c r="AU469" s="949">
        <f t="shared" si="907"/>
        <v>53.866194367967765</v>
      </c>
      <c r="AV469" s="843">
        <f t="shared" si="908"/>
        <v>47.198465817189501</v>
      </c>
      <c r="AW469" s="34">
        <f t="shared" si="909"/>
        <v>-6.6677285507782642</v>
      </c>
      <c r="AX469" s="35">
        <f t="shared" si="910"/>
        <v>-0.12378317475391051</v>
      </c>
      <c r="AZ469" s="949">
        <f t="shared" si="891"/>
        <v>51.450522555413869</v>
      </c>
      <c r="BA469" s="843">
        <f t="shared" si="892"/>
        <v>56.944494177792009</v>
      </c>
      <c r="BB469" s="34">
        <f t="shared" si="911"/>
        <v>5.4939716223781403</v>
      </c>
      <c r="BC469" s="35">
        <f t="shared" si="912"/>
        <v>0.10678164865013676</v>
      </c>
      <c r="BE469" s="31">
        <f t="shared" si="913"/>
        <v>46.878320506540149</v>
      </c>
      <c r="BF469" s="25">
        <f t="shared" si="914"/>
        <v>50.419408793741098</v>
      </c>
      <c r="BG469" s="32">
        <f t="shared" si="915"/>
        <v>3.5410882872009495</v>
      </c>
      <c r="BH469" s="33">
        <f t="shared" si="916"/>
        <v>7.5537865882096197E-2</v>
      </c>
      <c r="BJ469" s="31">
        <f t="shared" si="893"/>
        <v>52.903876756159612</v>
      </c>
      <c r="BK469" s="25">
        <f t="shared" si="894"/>
        <v>58.573392627387989</v>
      </c>
      <c r="BL469" s="32">
        <f t="shared" si="895"/>
        <v>5.6695158712283771</v>
      </c>
      <c r="BM469" s="33">
        <f t="shared" si="896"/>
        <v>0.10716635942125496</v>
      </c>
      <c r="BO469" s="62"/>
      <c r="BP469" s="62"/>
      <c r="BQ469" s="62"/>
      <c r="BR469" s="63"/>
    </row>
    <row r="470" spans="1:70" ht="14.5" customHeight="1">
      <c r="B470" s="1284"/>
      <c r="S470" s="122"/>
      <c r="AB470" s="122"/>
    </row>
    <row r="471" spans="1:70" ht="14.5" customHeight="1">
      <c r="B471" s="1284"/>
      <c r="D471" s="1" t="s">
        <v>75</v>
      </c>
    </row>
    <row r="472" spans="1:70" ht="14.5" customHeight="1">
      <c r="B472" s="1284"/>
      <c r="E472" s="1300" t="s">
        <v>733</v>
      </c>
      <c r="F472" s="1301"/>
      <c r="G472" s="1301"/>
      <c r="H472" s="1301"/>
      <c r="I472" s="1301"/>
      <c r="J472" s="1301"/>
      <c r="K472" s="1301"/>
      <c r="L472" s="1302"/>
      <c r="N472" s="245" t="s">
        <v>291</v>
      </c>
      <c r="O472" s="246"/>
      <c r="P472" s="246"/>
      <c r="Q472" s="246"/>
      <c r="R472" s="246"/>
      <c r="S472" s="246"/>
      <c r="T472" s="246"/>
      <c r="U472" s="247"/>
      <c r="W472" s="1079" t="s">
        <v>292</v>
      </c>
      <c r="X472" s="1080"/>
      <c r="Y472" s="1080"/>
      <c r="Z472" s="1080"/>
      <c r="AA472" s="1080"/>
      <c r="AB472" s="1080"/>
      <c r="AC472" s="1080"/>
      <c r="AD472" s="1081"/>
      <c r="AF472" s="102" t="s">
        <v>297</v>
      </c>
      <c r="AG472" s="102" t="s">
        <v>298</v>
      </c>
      <c r="AH472" s="1304" t="s">
        <v>602</v>
      </c>
      <c r="AI472" s="1304"/>
      <c r="AK472" s="102" t="s">
        <v>297</v>
      </c>
      <c r="AL472" s="102" t="s">
        <v>298</v>
      </c>
      <c r="AM472" s="1304" t="s">
        <v>602</v>
      </c>
      <c r="AN472" s="1304"/>
      <c r="AP472" s="6" t="s">
        <v>297</v>
      </c>
      <c r="AQ472" s="5" t="s">
        <v>298</v>
      </c>
      <c r="AR472" s="1303" t="s">
        <v>602</v>
      </c>
      <c r="AS472" s="1303"/>
      <c r="AU472" s="6" t="s">
        <v>297</v>
      </c>
      <c r="AV472" s="5" t="s">
        <v>298</v>
      </c>
      <c r="AW472" s="1303" t="s">
        <v>602</v>
      </c>
      <c r="AX472" s="1303"/>
      <c r="AZ472" s="6" t="s">
        <v>297</v>
      </c>
      <c r="BA472" s="5" t="s">
        <v>298</v>
      </c>
      <c r="BB472" s="1303" t="s">
        <v>602</v>
      </c>
      <c r="BC472" s="1303"/>
      <c r="BE472" s="6" t="s">
        <v>297</v>
      </c>
      <c r="BF472" s="5" t="s">
        <v>298</v>
      </c>
      <c r="BG472" s="1082" t="s">
        <v>602</v>
      </c>
      <c r="BH472" s="1082"/>
      <c r="BJ472" s="6" t="s">
        <v>297</v>
      </c>
      <c r="BK472" s="5" t="s">
        <v>298</v>
      </c>
      <c r="BL472" s="1082" t="s">
        <v>602</v>
      </c>
      <c r="BM472" s="1082"/>
      <c r="BO472" s="6" t="s">
        <v>297</v>
      </c>
      <c r="BP472" s="5" t="s">
        <v>298</v>
      </c>
      <c r="BQ472" s="1303" t="s">
        <v>602</v>
      </c>
      <c r="BR472" s="1303"/>
    </row>
    <row r="473" spans="1:70" ht="14.5" customHeight="1">
      <c r="A473" s="1"/>
      <c r="B473" s="1284"/>
      <c r="E473" s="196" t="s">
        <v>137</v>
      </c>
      <c r="F473" s="102" t="s">
        <v>138</v>
      </c>
      <c r="G473" s="102" t="s">
        <v>139</v>
      </c>
      <c r="H473" s="102" t="s">
        <v>140</v>
      </c>
      <c r="I473" s="102" t="s">
        <v>141</v>
      </c>
      <c r="J473" s="102" t="s">
        <v>126</v>
      </c>
      <c r="K473" s="102" t="s">
        <v>142</v>
      </c>
      <c r="L473" s="197" t="s">
        <v>143</v>
      </c>
      <c r="N473" s="196" t="s">
        <v>137</v>
      </c>
      <c r="O473" s="102" t="s">
        <v>138</v>
      </c>
      <c r="P473" s="102" t="s">
        <v>139</v>
      </c>
      <c r="Q473" s="102" t="s">
        <v>140</v>
      </c>
      <c r="R473" s="102" t="s">
        <v>141</v>
      </c>
      <c r="S473" s="102" t="s">
        <v>126</v>
      </c>
      <c r="T473" s="102" t="s">
        <v>142</v>
      </c>
      <c r="U473" s="197" t="s">
        <v>143</v>
      </c>
      <c r="W473" s="196" t="s">
        <v>137</v>
      </c>
      <c r="X473" s="1078" t="s">
        <v>138</v>
      </c>
      <c r="Y473" s="1078" t="s">
        <v>139</v>
      </c>
      <c r="Z473" s="1078" t="s">
        <v>140</v>
      </c>
      <c r="AA473" s="1078" t="s">
        <v>141</v>
      </c>
      <c r="AB473" s="1078" t="s">
        <v>126</v>
      </c>
      <c r="AC473" s="1078" t="s">
        <v>142</v>
      </c>
      <c r="AD473" s="197" t="s">
        <v>143</v>
      </c>
      <c r="AF473" s="102" t="s">
        <v>734</v>
      </c>
      <c r="AG473" s="102" t="s">
        <v>734</v>
      </c>
      <c r="AH473" s="102" t="s">
        <v>734</v>
      </c>
      <c r="AI473" s="102" t="s">
        <v>606</v>
      </c>
      <c r="AK473" s="102" t="s">
        <v>734</v>
      </c>
      <c r="AL473" s="102" t="s">
        <v>734</v>
      </c>
      <c r="AM473" s="102" t="s">
        <v>734</v>
      </c>
      <c r="AN473" s="102" t="s">
        <v>606</v>
      </c>
      <c r="AP473" s="5" t="s">
        <v>734</v>
      </c>
      <c r="AQ473" s="5" t="s">
        <v>734</v>
      </c>
      <c r="AR473" s="5" t="s">
        <v>734</v>
      </c>
      <c r="AS473" s="5" t="s">
        <v>606</v>
      </c>
      <c r="AU473" s="5" t="s">
        <v>734</v>
      </c>
      <c r="AV473" s="5" t="s">
        <v>734</v>
      </c>
      <c r="AW473" s="5" t="s">
        <v>734</v>
      </c>
      <c r="AX473" s="5" t="s">
        <v>606</v>
      </c>
      <c r="AZ473" s="5" t="s">
        <v>734</v>
      </c>
      <c r="BA473" s="5" t="s">
        <v>734</v>
      </c>
      <c r="BB473" s="5" t="s">
        <v>734</v>
      </c>
      <c r="BC473" s="5" t="s">
        <v>606</v>
      </c>
      <c r="BE473" s="5" t="s">
        <v>734</v>
      </c>
      <c r="BF473" s="5" t="s">
        <v>734</v>
      </c>
      <c r="BG473" s="5" t="s">
        <v>734</v>
      </c>
      <c r="BH473" s="5" t="s">
        <v>606</v>
      </c>
      <c r="BJ473" s="5" t="s">
        <v>734</v>
      </c>
      <c r="BK473" s="5" t="s">
        <v>734</v>
      </c>
      <c r="BL473" s="5" t="s">
        <v>734</v>
      </c>
      <c r="BM473" s="5" t="s">
        <v>606</v>
      </c>
      <c r="BO473" s="5" t="s">
        <v>734</v>
      </c>
      <c r="BP473" s="5" t="s">
        <v>734</v>
      </c>
      <c r="BQ473" s="5" t="s">
        <v>734</v>
      </c>
      <c r="BR473" s="5" t="s">
        <v>606</v>
      </c>
    </row>
    <row r="474" spans="1:70">
      <c r="B474" s="1284"/>
      <c r="D474" s="5" t="s">
        <v>161</v>
      </c>
      <c r="E474" s="87">
        <v>0</v>
      </c>
      <c r="F474" s="87">
        <v>0</v>
      </c>
      <c r="G474" s="87">
        <v>0</v>
      </c>
      <c r="H474" s="87">
        <v>0</v>
      </c>
      <c r="I474" s="87">
        <v>0</v>
      </c>
      <c r="J474" s="87">
        <v>3.3966300820495832</v>
      </c>
      <c r="K474" s="87">
        <v>3.404375410806626</v>
      </c>
      <c r="L474" s="87">
        <v>3.4388629636017574</v>
      </c>
      <c r="N474" s="29">
        <v>1.0231135969828125</v>
      </c>
      <c r="O474" s="29">
        <v>0.90797460308216715</v>
      </c>
      <c r="P474" s="29">
        <v>0.98702830005077447</v>
      </c>
      <c r="Q474" s="29">
        <v>0.94229627814058525</v>
      </c>
      <c r="R474" s="29">
        <v>0.98305482443418402</v>
      </c>
      <c r="S474" s="29">
        <v>1.8296956712259498</v>
      </c>
      <c r="T474" s="29">
        <v>1.8207371436328925</v>
      </c>
      <c r="U474" s="29">
        <v>1.8000850708734804</v>
      </c>
      <c r="W474" s="30">
        <v>6.1680912721397405E-2</v>
      </c>
      <c r="X474" s="30">
        <v>8.2782268898683731E-3</v>
      </c>
      <c r="Y474" s="30">
        <v>0.15136285222840734</v>
      </c>
      <c r="Z474" s="30">
        <v>0.62367327504445336</v>
      </c>
      <c r="AA474" s="30">
        <v>1.4403735675211435</v>
      </c>
      <c r="AB474" s="85">
        <v>0.98425312202869275</v>
      </c>
      <c r="AC474" s="85">
        <v>0.29075524989060997</v>
      </c>
      <c r="AD474" s="90">
        <v>0</v>
      </c>
      <c r="AF474" s="29">
        <f>N474</f>
        <v>1.0231135969828125</v>
      </c>
      <c r="AG474" s="30">
        <f>W474</f>
        <v>6.1680912721397405E-2</v>
      </c>
      <c r="AH474" s="32">
        <f>AG474-AF474</f>
        <v>-0.96143268426141504</v>
      </c>
      <c r="AI474" s="33">
        <f>AH474/AF474</f>
        <v>-0.93971254716651609</v>
      </c>
      <c r="AK474" s="29">
        <f t="shared" ref="AK474:AK489" si="925">O474</f>
        <v>0.90797460308216715</v>
      </c>
      <c r="AL474" s="30">
        <f t="shared" ref="AL474:AL489" si="926">X474</f>
        <v>8.2782268898683731E-3</v>
      </c>
      <c r="AM474" s="32">
        <f>AL474-AK474</f>
        <v>-0.89969637619229881</v>
      </c>
      <c r="AN474" s="33">
        <f>AM474/AK474</f>
        <v>-0.99088275502225787</v>
      </c>
      <c r="AP474" s="29">
        <f>P474</f>
        <v>0.98702830005077447</v>
      </c>
      <c r="AQ474" s="30">
        <f>Y474</f>
        <v>0.15136285222840734</v>
      </c>
      <c r="AR474" s="32">
        <f>AQ474-AP474</f>
        <v>-0.83566544782236707</v>
      </c>
      <c r="AS474" s="33">
        <f>AR474/AP474</f>
        <v>-0.84664791047974919</v>
      </c>
      <c r="AU474" s="31">
        <f>Q474</f>
        <v>0.94229627814058525</v>
      </c>
      <c r="AV474" s="25">
        <f>Z474</f>
        <v>0.62367327504445336</v>
      </c>
      <c r="AW474" s="32">
        <f>AV474-AU474</f>
        <v>-0.3186230030961319</v>
      </c>
      <c r="AX474" s="33">
        <f>AW474/AU474</f>
        <v>-0.33813462972056346</v>
      </c>
      <c r="AZ474" s="31">
        <f t="shared" ref="AZ474:AZ489" si="927">R474</f>
        <v>0.98305482443418402</v>
      </c>
      <c r="BA474" s="25">
        <f t="shared" ref="BA474:BA489" si="928">AA474</f>
        <v>1.4403735675211435</v>
      </c>
      <c r="BB474" s="32">
        <f>BA474-AZ474</f>
        <v>0.45731874308695952</v>
      </c>
      <c r="BC474" s="33">
        <f>BB474/AZ474</f>
        <v>0.46520166700791898</v>
      </c>
      <c r="BE474" s="31">
        <f>S474</f>
        <v>1.8296956712259498</v>
      </c>
      <c r="BF474" s="25">
        <f>AB474</f>
        <v>0.98425312202869275</v>
      </c>
      <c r="BG474" s="32">
        <f>BF474-BE474</f>
        <v>-0.84544254919725703</v>
      </c>
      <c r="BH474" s="33">
        <f>BG474/BE474</f>
        <v>-0.4620673057781165</v>
      </c>
      <c r="BJ474" s="31">
        <f t="shared" ref="BJ474:BJ489" si="929">T474</f>
        <v>1.8207371436328925</v>
      </c>
      <c r="BK474" s="25">
        <f t="shared" ref="BK474:BK489" si="930">AC474</f>
        <v>0.29075524989060997</v>
      </c>
      <c r="BL474" s="32">
        <f t="shared" ref="BL474:BL489" si="931">BK474-BJ474</f>
        <v>-1.5299818937422827</v>
      </c>
      <c r="BM474" s="33">
        <f t="shared" ref="BM474:BM489" si="932">BL474/BJ474</f>
        <v>-0.84030904685644525</v>
      </c>
      <c r="BO474" s="62"/>
      <c r="BP474" s="62"/>
      <c r="BQ474" s="62"/>
      <c r="BR474" s="63"/>
    </row>
    <row r="475" spans="1:70">
      <c r="B475" s="1284"/>
      <c r="D475" s="5" t="s">
        <v>162</v>
      </c>
      <c r="E475" s="87">
        <v>2.2383493841291044</v>
      </c>
      <c r="F475" s="87">
        <v>2.1196614540485181</v>
      </c>
      <c r="G475" s="87">
        <v>0.8557548360668441</v>
      </c>
      <c r="H475" s="87">
        <v>0.13141456845238511</v>
      </c>
      <c r="I475" s="87">
        <v>0.13120390017954331</v>
      </c>
      <c r="J475" s="87">
        <v>0</v>
      </c>
      <c r="K475" s="87">
        <v>0</v>
      </c>
      <c r="L475" s="87">
        <v>0</v>
      </c>
      <c r="N475" s="29">
        <v>0.98632589963739714</v>
      </c>
      <c r="O475" s="29">
        <v>0.94021961360228767</v>
      </c>
      <c r="P475" s="29">
        <v>0.56899407756807274</v>
      </c>
      <c r="Q475" s="29">
        <v>0.38075370681258947</v>
      </c>
      <c r="R475" s="29">
        <v>0.35807304132116163</v>
      </c>
      <c r="S475" s="29">
        <v>0.27818334386942528</v>
      </c>
      <c r="T475" s="29">
        <v>0.24346541092742865</v>
      </c>
      <c r="U475" s="29">
        <v>0.24366259539774912</v>
      </c>
      <c r="W475" s="30">
        <v>0.8590293309405288</v>
      </c>
      <c r="X475" s="30">
        <v>1.4122945291592788</v>
      </c>
      <c r="Y475" s="30">
        <v>1.0932633940441985</v>
      </c>
      <c r="Z475" s="30">
        <v>0.71277749871801177</v>
      </c>
      <c r="AA475" s="30">
        <v>0.36271086493985411</v>
      </c>
      <c r="AB475" s="85">
        <v>0.32880013088368171</v>
      </c>
      <c r="AC475" s="85">
        <v>0.14376096999999999</v>
      </c>
      <c r="AD475" s="90">
        <v>0</v>
      </c>
      <c r="AF475" s="29">
        <f t="shared" ref="AF475:AF489" si="933">N475</f>
        <v>0.98632589963739714</v>
      </c>
      <c r="AG475" s="30">
        <f t="shared" ref="AG475:AG489" si="934">W475</f>
        <v>0.8590293309405288</v>
      </c>
      <c r="AH475" s="32">
        <f t="shared" ref="AH475:AH487" si="935">AG475-AF475</f>
        <v>-0.12729656869686834</v>
      </c>
      <c r="AI475" s="33">
        <f t="shared" ref="AI475:AI487" si="936">AH475/AF475</f>
        <v>-0.12906136677914101</v>
      </c>
      <c r="AK475" s="29">
        <f t="shared" si="925"/>
        <v>0.94021961360228767</v>
      </c>
      <c r="AL475" s="30">
        <f t="shared" si="926"/>
        <v>1.4122945291592788</v>
      </c>
      <c r="AM475" s="32">
        <f t="shared" ref="AM475:AM487" si="937">AL475-AK475</f>
        <v>0.4720749155569911</v>
      </c>
      <c r="AN475" s="33">
        <f t="shared" ref="AN475:AN487" si="938">AM475/AK475</f>
        <v>0.50209005292744135</v>
      </c>
      <c r="AP475" s="29">
        <f t="shared" ref="AP475:AP489" si="939">P475</f>
        <v>0.56899407756807274</v>
      </c>
      <c r="AQ475" s="30">
        <f t="shared" ref="AQ475:AQ488" si="940">Y475</f>
        <v>1.0932633940441985</v>
      </c>
      <c r="AR475" s="32">
        <f t="shared" ref="AR475:AR489" si="941">AQ475-AP475</f>
        <v>0.52426931647612574</v>
      </c>
      <c r="AS475" s="33">
        <f t="shared" ref="AS475:AS489" si="942">AR475/AP475</f>
        <v>0.92139678978188266</v>
      </c>
      <c r="AU475" s="31">
        <f t="shared" ref="AU475:AU489" si="943">Q475</f>
        <v>0.38075370681258947</v>
      </c>
      <c r="AV475" s="25">
        <f t="shared" ref="AV475:AV489" si="944">Z475</f>
        <v>0.71277749871801177</v>
      </c>
      <c r="AW475" s="32">
        <f t="shared" ref="AW475:AW489" si="945">AV475-AU475</f>
        <v>0.33202379190542231</v>
      </c>
      <c r="AX475" s="33">
        <f t="shared" ref="AX475:AX489" si="946">AW475/AU475</f>
        <v>0.87201722784237401</v>
      </c>
      <c r="AZ475" s="31">
        <f t="shared" si="927"/>
        <v>0.35807304132116163</v>
      </c>
      <c r="BA475" s="25">
        <f t="shared" si="928"/>
        <v>0.36271086493985411</v>
      </c>
      <c r="BB475" s="32">
        <f t="shared" ref="BB475:BB489" si="947">BA475-AZ475</f>
        <v>4.6378236186924715E-3</v>
      </c>
      <c r="BC475" s="33">
        <f t="shared" ref="BC475:BC489" si="948">BB475/AZ475</f>
        <v>1.2952171997033227E-2</v>
      </c>
      <c r="BE475" s="31">
        <f t="shared" ref="BE475:BE489" si="949">S475</f>
        <v>0.27818334386942528</v>
      </c>
      <c r="BF475" s="25">
        <f t="shared" ref="BF475:BF489" si="950">AB475</f>
        <v>0.32880013088368171</v>
      </c>
      <c r="BG475" s="32">
        <f t="shared" ref="BG475:BG489" si="951">BF475-BE475</f>
        <v>5.0616787014256426E-2</v>
      </c>
      <c r="BH475" s="33">
        <f t="shared" ref="BH475:BH489" si="952">BG475/BE475</f>
        <v>0.18195477238211327</v>
      </c>
      <c r="BJ475" s="31">
        <f t="shared" si="929"/>
        <v>0.24346541092742865</v>
      </c>
      <c r="BK475" s="25">
        <f t="shared" si="930"/>
        <v>0.14376096999999999</v>
      </c>
      <c r="BL475" s="32">
        <f t="shared" si="931"/>
        <v>-9.9704440927428667E-2</v>
      </c>
      <c r="BM475" s="33">
        <f t="shared" si="932"/>
        <v>-0.40952199553779006</v>
      </c>
      <c r="BO475" s="62"/>
      <c r="BP475" s="62"/>
      <c r="BQ475" s="62"/>
      <c r="BR475" s="63"/>
    </row>
    <row r="476" spans="1:70">
      <c r="B476" s="1284"/>
      <c r="D476" s="5" t="s">
        <v>163</v>
      </c>
      <c r="E476" s="87">
        <v>2.2336229293680292</v>
      </c>
      <c r="F476" s="87">
        <v>2.1774373847930311</v>
      </c>
      <c r="G476" s="87">
        <v>2.1629508365737418</v>
      </c>
      <c r="H476" s="87">
        <v>1.602697892725655</v>
      </c>
      <c r="I476" s="87">
        <v>0</v>
      </c>
      <c r="J476" s="87">
        <v>0</v>
      </c>
      <c r="K476" s="87">
        <v>0</v>
      </c>
      <c r="L476" s="87">
        <v>0</v>
      </c>
      <c r="N476" s="29">
        <v>1.2644149561267246</v>
      </c>
      <c r="O476" s="29">
        <v>1.2209757597084936</v>
      </c>
      <c r="P476" s="29">
        <v>1.1803118935597876</v>
      </c>
      <c r="Q476" s="29">
        <v>1.0185104595155632</v>
      </c>
      <c r="R476" s="29">
        <v>0.51003941253026941</v>
      </c>
      <c r="S476" s="29">
        <v>0.49050086694801265</v>
      </c>
      <c r="T476" s="29">
        <v>0.40912932714813738</v>
      </c>
      <c r="U476" s="29">
        <v>0.45319314745061035</v>
      </c>
      <c r="W476" s="30">
        <v>0.80536300836807684</v>
      </c>
      <c r="X476" s="30">
        <v>1.5766978513270038</v>
      </c>
      <c r="Y476" s="30">
        <v>1.6906437959838381</v>
      </c>
      <c r="Z476" s="30">
        <v>1.4124466778469076</v>
      </c>
      <c r="AA476" s="30">
        <v>0.49729663850506867</v>
      </c>
      <c r="AB476" s="85">
        <v>0.70339109204955008</v>
      </c>
      <c r="AC476" s="85">
        <v>0.44858133</v>
      </c>
      <c r="AD476" s="90">
        <v>0</v>
      </c>
      <c r="AF476" s="29">
        <f t="shared" si="933"/>
        <v>1.2644149561267246</v>
      </c>
      <c r="AG476" s="30">
        <f t="shared" si="934"/>
        <v>0.80536300836807684</v>
      </c>
      <c r="AH476" s="32">
        <f t="shared" si="935"/>
        <v>-0.45905194775864777</v>
      </c>
      <c r="AI476" s="33">
        <f t="shared" si="936"/>
        <v>-0.36305482273387457</v>
      </c>
      <c r="AK476" s="29">
        <f t="shared" si="925"/>
        <v>1.2209757597084936</v>
      </c>
      <c r="AL476" s="30">
        <f t="shared" si="926"/>
        <v>1.5766978513270038</v>
      </c>
      <c r="AM476" s="32">
        <f t="shared" si="937"/>
        <v>0.35572209161851021</v>
      </c>
      <c r="AN476" s="33">
        <f t="shared" si="938"/>
        <v>0.29134246834141769</v>
      </c>
      <c r="AP476" s="29">
        <f t="shared" si="939"/>
        <v>1.1803118935597876</v>
      </c>
      <c r="AQ476" s="30">
        <f t="shared" si="940"/>
        <v>1.6906437959838381</v>
      </c>
      <c r="AR476" s="32">
        <f t="shared" si="941"/>
        <v>0.51033190242405047</v>
      </c>
      <c r="AS476" s="33">
        <f t="shared" si="942"/>
        <v>0.43237038041267528</v>
      </c>
      <c r="AU476" s="31">
        <f t="shared" si="943"/>
        <v>1.0185104595155632</v>
      </c>
      <c r="AV476" s="25">
        <f t="shared" si="944"/>
        <v>1.4124466778469076</v>
      </c>
      <c r="AW476" s="32">
        <f t="shared" si="945"/>
        <v>0.3939362183313444</v>
      </c>
      <c r="AX476" s="33">
        <f t="shared" si="946"/>
        <v>0.3867768019964305</v>
      </c>
      <c r="AZ476" s="31">
        <f t="shared" si="927"/>
        <v>0.51003941253026941</v>
      </c>
      <c r="BA476" s="25">
        <f t="shared" si="928"/>
        <v>0.49729663850506867</v>
      </c>
      <c r="BB476" s="32">
        <f t="shared" si="947"/>
        <v>-1.2742774025200743E-2</v>
      </c>
      <c r="BC476" s="33">
        <f t="shared" si="948"/>
        <v>-2.4983900679331313E-2</v>
      </c>
      <c r="BE476" s="31">
        <f t="shared" si="949"/>
        <v>0.49050086694801265</v>
      </c>
      <c r="BF476" s="25">
        <f t="shared" si="950"/>
        <v>0.70339109204955008</v>
      </c>
      <c r="BG476" s="32">
        <f t="shared" si="951"/>
        <v>0.21289022510153743</v>
      </c>
      <c r="BH476" s="33">
        <f t="shared" si="952"/>
        <v>0.4340261953585931</v>
      </c>
      <c r="BJ476" s="31">
        <f t="shared" si="929"/>
        <v>0.40912932714813738</v>
      </c>
      <c r="BK476" s="25">
        <f t="shared" si="930"/>
        <v>0.44858133</v>
      </c>
      <c r="BL476" s="32">
        <f t="shared" si="931"/>
        <v>3.9452002851862622E-2</v>
      </c>
      <c r="BM476" s="33">
        <f t="shared" si="932"/>
        <v>9.6429173451987357E-2</v>
      </c>
      <c r="BO476" s="62"/>
      <c r="BP476" s="62"/>
      <c r="BQ476" s="62"/>
      <c r="BR476" s="63"/>
    </row>
    <row r="477" spans="1:70">
      <c r="B477" s="1284"/>
      <c r="D477" s="5" t="s">
        <v>164</v>
      </c>
      <c r="E477" s="87">
        <v>0.29310526019539673</v>
      </c>
      <c r="F477" s="87">
        <v>0.62025699754064401</v>
      </c>
      <c r="G477" s="87">
        <v>0.94441472413524252</v>
      </c>
      <c r="H477" s="87">
        <v>1.0442780480239542</v>
      </c>
      <c r="I477" s="87">
        <v>0.72090033588423452</v>
      </c>
      <c r="J477" s="87">
        <v>0.39511377234710016</v>
      </c>
      <c r="K477" s="87">
        <v>0.3971933414603101</v>
      </c>
      <c r="L477" s="87">
        <v>0.16476167406358741</v>
      </c>
      <c r="N477" s="29">
        <v>0.29310526019539673</v>
      </c>
      <c r="O477" s="29">
        <v>0.62025699754064401</v>
      </c>
      <c r="P477" s="29">
        <v>0.94441472413524252</v>
      </c>
      <c r="Q477" s="29">
        <v>1.0442780480239542</v>
      </c>
      <c r="R477" s="29">
        <v>0.72090033588423452</v>
      </c>
      <c r="S477" s="29">
        <v>0.39511377234710016</v>
      </c>
      <c r="T477" s="29">
        <v>0.3971933414603101</v>
      </c>
      <c r="U477" s="29">
        <v>0.16476167406358741</v>
      </c>
      <c r="W477" s="30">
        <v>0.64862313738036415</v>
      </c>
      <c r="X477" s="30">
        <v>1.5689881943605846</v>
      </c>
      <c r="Y477" s="30">
        <v>1.0947372124492558</v>
      </c>
      <c r="Z477" s="30">
        <v>0.87172301735213975</v>
      </c>
      <c r="AA477" s="30">
        <v>0.395047178315591</v>
      </c>
      <c r="AB477" s="85">
        <v>1.057759707921011E-3</v>
      </c>
      <c r="AC477" s="85">
        <v>8.8200000000000001E-2</v>
      </c>
      <c r="AD477" s="90">
        <v>0</v>
      </c>
      <c r="AF477" s="29">
        <f t="shared" si="933"/>
        <v>0.29310526019539673</v>
      </c>
      <c r="AG477" s="30">
        <f t="shared" si="934"/>
        <v>0.64862313738036415</v>
      </c>
      <c r="AH477" s="32">
        <f t="shared" si="935"/>
        <v>0.35551787718496741</v>
      </c>
      <c r="AI477" s="33">
        <f t="shared" si="936"/>
        <v>1.212935847510767</v>
      </c>
      <c r="AK477" s="29">
        <f t="shared" si="925"/>
        <v>0.62025699754064401</v>
      </c>
      <c r="AL477" s="30">
        <f t="shared" si="926"/>
        <v>1.5689881943605846</v>
      </c>
      <c r="AM477" s="32">
        <f t="shared" si="937"/>
        <v>0.94873119681994056</v>
      </c>
      <c r="AN477" s="33">
        <f t="shared" si="938"/>
        <v>1.5295775792642667</v>
      </c>
      <c r="AP477" s="29">
        <f t="shared" si="939"/>
        <v>0.94441472413524252</v>
      </c>
      <c r="AQ477" s="30">
        <f t="shared" si="940"/>
        <v>1.0947372124492558</v>
      </c>
      <c r="AR477" s="32">
        <f t="shared" si="941"/>
        <v>0.15032248831401329</v>
      </c>
      <c r="AS477" s="33">
        <f t="shared" si="942"/>
        <v>0.15916999647761393</v>
      </c>
      <c r="AU477" s="31">
        <f t="shared" si="943"/>
        <v>1.0442780480239542</v>
      </c>
      <c r="AV477" s="25">
        <f t="shared" si="944"/>
        <v>0.87172301735213975</v>
      </c>
      <c r="AW477" s="32">
        <f t="shared" si="945"/>
        <v>-0.17255503067181444</v>
      </c>
      <c r="AX477" s="33">
        <f t="shared" si="946"/>
        <v>-0.16523858851417345</v>
      </c>
      <c r="AZ477" s="31">
        <f t="shared" si="927"/>
        <v>0.72090033588423452</v>
      </c>
      <c r="BA477" s="25">
        <f t="shared" si="928"/>
        <v>0.395047178315591</v>
      </c>
      <c r="BB477" s="32">
        <f t="shared" si="947"/>
        <v>-0.32585315756864353</v>
      </c>
      <c r="BC477" s="33">
        <f t="shared" si="948"/>
        <v>-0.45200860833136097</v>
      </c>
      <c r="BE477" s="31">
        <f t="shared" si="949"/>
        <v>0.39511377234710016</v>
      </c>
      <c r="BF477" s="25">
        <f t="shared" si="950"/>
        <v>1.057759707921011E-3</v>
      </c>
      <c r="BG477" s="32">
        <f t="shared" si="951"/>
        <v>-0.39405601263917917</v>
      </c>
      <c r="BH477" s="33">
        <f t="shared" si="952"/>
        <v>-0.99732289841065891</v>
      </c>
      <c r="BJ477" s="31">
        <f t="shared" si="929"/>
        <v>0.3971933414603101</v>
      </c>
      <c r="BK477" s="25">
        <f t="shared" si="930"/>
        <v>8.8200000000000001E-2</v>
      </c>
      <c r="BL477" s="32">
        <f t="shared" si="931"/>
        <v>-0.3089933414603101</v>
      </c>
      <c r="BM477" s="33">
        <f t="shared" si="932"/>
        <v>-0.77794189682101333</v>
      </c>
      <c r="BO477" s="62"/>
      <c r="BP477" s="62"/>
      <c r="BQ477" s="62"/>
      <c r="BR477" s="63"/>
    </row>
    <row r="478" spans="1:70">
      <c r="B478" s="1284"/>
      <c r="D478" s="5" t="s">
        <v>165</v>
      </c>
      <c r="E478" s="87">
        <v>0.52908068248688034</v>
      </c>
      <c r="F478" s="87">
        <v>1.1798821167169296</v>
      </c>
      <c r="G478" s="87">
        <v>1.7786734679560345</v>
      </c>
      <c r="H478" s="87">
        <v>1.9928920577143547</v>
      </c>
      <c r="I478" s="87">
        <v>1.3940837045446857</v>
      </c>
      <c r="J478" s="87">
        <v>0.79228189587602704</v>
      </c>
      <c r="K478" s="87">
        <v>0.79475302353814059</v>
      </c>
      <c r="L478" s="87">
        <v>0.35320850375509638</v>
      </c>
      <c r="N478" s="29">
        <v>0.52908068248688034</v>
      </c>
      <c r="O478" s="29">
        <v>1.1798821167169296</v>
      </c>
      <c r="P478" s="29">
        <v>1.7786734679560345</v>
      </c>
      <c r="Q478" s="29">
        <v>1.9928920577143547</v>
      </c>
      <c r="R478" s="29">
        <v>1.3940837045446857</v>
      </c>
      <c r="S478" s="29">
        <v>0.79228189587602704</v>
      </c>
      <c r="T478" s="29">
        <v>0.79475302353814059</v>
      </c>
      <c r="U478" s="29">
        <v>0.35320850375509638</v>
      </c>
      <c r="W478" s="30">
        <v>0.97545339798714881</v>
      </c>
      <c r="X478" s="30">
        <v>2.0054444971923679</v>
      </c>
      <c r="Y478" s="30">
        <v>1.9541602536121176</v>
      </c>
      <c r="Z478" s="30">
        <v>1.0954473195250398</v>
      </c>
      <c r="AA478" s="30">
        <v>1.1517391719022028</v>
      </c>
      <c r="AB478" s="85">
        <v>0.35868631695601488</v>
      </c>
      <c r="AC478" s="85">
        <v>0.25559999999999999</v>
      </c>
      <c r="AD478" s="90">
        <v>0</v>
      </c>
      <c r="AF478" s="29">
        <f t="shared" si="933"/>
        <v>0.52908068248688034</v>
      </c>
      <c r="AG478" s="30">
        <f t="shared" si="934"/>
        <v>0.97545339798714881</v>
      </c>
      <c r="AH478" s="32">
        <f t="shared" si="935"/>
        <v>0.44637271550026847</v>
      </c>
      <c r="AI478" s="33">
        <f t="shared" si="936"/>
        <v>0.84367607866941396</v>
      </c>
      <c r="AK478" s="29">
        <f t="shared" si="925"/>
        <v>1.1798821167169296</v>
      </c>
      <c r="AL478" s="30">
        <f t="shared" si="926"/>
        <v>2.0054444971923679</v>
      </c>
      <c r="AM478" s="32">
        <f t="shared" si="937"/>
        <v>0.8255623804754384</v>
      </c>
      <c r="AN478" s="33">
        <f t="shared" si="938"/>
        <v>0.69969903669071587</v>
      </c>
      <c r="AP478" s="29">
        <f t="shared" si="939"/>
        <v>1.7786734679560345</v>
      </c>
      <c r="AQ478" s="30">
        <f t="shared" si="940"/>
        <v>1.9541602536121176</v>
      </c>
      <c r="AR478" s="32">
        <f t="shared" si="941"/>
        <v>0.17548678565608311</v>
      </c>
      <c r="AS478" s="33">
        <f t="shared" si="942"/>
        <v>9.8661608674999818E-2</v>
      </c>
      <c r="AU478" s="31">
        <f t="shared" si="943"/>
        <v>1.9928920577143547</v>
      </c>
      <c r="AV478" s="25">
        <f t="shared" si="944"/>
        <v>1.0954473195250398</v>
      </c>
      <c r="AW478" s="32">
        <f t="shared" si="945"/>
        <v>-0.89744473818931492</v>
      </c>
      <c r="AX478" s="33">
        <f t="shared" si="946"/>
        <v>-0.45032280334269237</v>
      </c>
      <c r="AZ478" s="31">
        <f t="shared" si="927"/>
        <v>1.3940837045446857</v>
      </c>
      <c r="BA478" s="25">
        <f t="shared" si="928"/>
        <v>1.1517391719022028</v>
      </c>
      <c r="BB478" s="32">
        <f t="shared" si="947"/>
        <v>-0.2423445326424829</v>
      </c>
      <c r="BC478" s="33">
        <f t="shared" si="948"/>
        <v>-0.1738378634313309</v>
      </c>
      <c r="BE478" s="31">
        <f t="shared" si="949"/>
        <v>0.79228189587602704</v>
      </c>
      <c r="BF478" s="25">
        <f t="shared" si="950"/>
        <v>0.35868631695601488</v>
      </c>
      <c r="BG478" s="32">
        <f t="shared" si="951"/>
        <v>-0.43359557892001216</v>
      </c>
      <c r="BH478" s="33">
        <f t="shared" si="952"/>
        <v>-0.54727437440759008</v>
      </c>
      <c r="BJ478" s="31">
        <f t="shared" si="929"/>
        <v>0.79475302353814059</v>
      </c>
      <c r="BK478" s="25">
        <f t="shared" si="930"/>
        <v>0.25559999999999999</v>
      </c>
      <c r="BL478" s="32">
        <f t="shared" si="931"/>
        <v>-0.53915302353814054</v>
      </c>
      <c r="BM478" s="33">
        <f t="shared" si="932"/>
        <v>-0.67839065416561617</v>
      </c>
      <c r="BO478" s="62"/>
      <c r="BP478" s="62"/>
      <c r="BQ478" s="62"/>
      <c r="BR478" s="63"/>
    </row>
    <row r="479" spans="1:70">
      <c r="B479" s="1284"/>
      <c r="D479" s="5" t="s">
        <v>166</v>
      </c>
      <c r="E479" s="87">
        <v>0.11094996115045777</v>
      </c>
      <c r="F479" s="87">
        <v>0.29136120529617182</v>
      </c>
      <c r="G479" s="87">
        <v>0.42561223418389182</v>
      </c>
      <c r="H479" s="87">
        <v>0.49212527791163008</v>
      </c>
      <c r="I479" s="87">
        <v>0.3584579340405768</v>
      </c>
      <c r="J479" s="87">
        <v>0.22489993884116866</v>
      </c>
      <c r="K479" s="87">
        <v>0.22611943614191093</v>
      </c>
      <c r="L479" s="87">
        <v>0.11283034211285412</v>
      </c>
      <c r="N479" s="29">
        <v>0.11094996115045777</v>
      </c>
      <c r="O479" s="29">
        <v>0.29136120529617182</v>
      </c>
      <c r="P479" s="29">
        <v>0.42561223418389182</v>
      </c>
      <c r="Q479" s="29">
        <v>0.49212527791163008</v>
      </c>
      <c r="R479" s="29">
        <v>0.3584579340405768</v>
      </c>
      <c r="S479" s="29">
        <v>0.22489993884116866</v>
      </c>
      <c r="T479" s="29">
        <v>0.22611943614191093</v>
      </c>
      <c r="U479" s="29">
        <v>0.11283034211285412</v>
      </c>
      <c r="W479" s="30">
        <v>0.95986149564627488</v>
      </c>
      <c r="X479" s="30">
        <v>1.2545329942035985</v>
      </c>
      <c r="Y479" s="30">
        <v>1.2302211292505127</v>
      </c>
      <c r="Z479" s="30">
        <v>0.36211046846541572</v>
      </c>
      <c r="AA479" s="30">
        <v>0.1049176787938426</v>
      </c>
      <c r="AB479" s="85">
        <v>4.707030700248499E-2</v>
      </c>
      <c r="AC479" s="85">
        <v>0</v>
      </c>
      <c r="AD479" s="90">
        <v>0</v>
      </c>
      <c r="AF479" s="29">
        <f t="shared" si="933"/>
        <v>0.11094996115045777</v>
      </c>
      <c r="AG479" s="30">
        <f t="shared" si="934"/>
        <v>0.95986149564627488</v>
      </c>
      <c r="AH479" s="32">
        <f t="shared" si="935"/>
        <v>0.84891153449581713</v>
      </c>
      <c r="AI479" s="33">
        <f t="shared" si="936"/>
        <v>7.6513008719725413</v>
      </c>
      <c r="AK479" s="29">
        <f t="shared" si="925"/>
        <v>0.29136120529617182</v>
      </c>
      <c r="AL479" s="30">
        <f t="shared" si="926"/>
        <v>1.2545329942035985</v>
      </c>
      <c r="AM479" s="32">
        <f t="shared" si="937"/>
        <v>0.96317178890742672</v>
      </c>
      <c r="AN479" s="33">
        <f t="shared" si="938"/>
        <v>3.3057653915467302</v>
      </c>
      <c r="AP479" s="29">
        <f t="shared" si="939"/>
        <v>0.42561223418389182</v>
      </c>
      <c r="AQ479" s="30">
        <f t="shared" si="940"/>
        <v>1.2302211292505127</v>
      </c>
      <c r="AR479" s="32">
        <f t="shared" si="941"/>
        <v>0.80460889506662092</v>
      </c>
      <c r="AS479" s="33">
        <f t="shared" si="942"/>
        <v>1.8904740757968395</v>
      </c>
      <c r="AU479" s="31">
        <f t="shared" si="943"/>
        <v>0.49212527791163008</v>
      </c>
      <c r="AV479" s="25">
        <f t="shared" si="944"/>
        <v>0.36211046846541572</v>
      </c>
      <c r="AW479" s="32">
        <f t="shared" si="945"/>
        <v>-0.13001480944621435</v>
      </c>
      <c r="AX479" s="33">
        <f t="shared" si="946"/>
        <v>-0.26419047198295076</v>
      </c>
      <c r="AZ479" s="31">
        <f t="shared" si="927"/>
        <v>0.3584579340405768</v>
      </c>
      <c r="BA479" s="25">
        <f t="shared" si="928"/>
        <v>0.1049176787938426</v>
      </c>
      <c r="BB479" s="32">
        <f t="shared" si="947"/>
        <v>-0.25354025524673418</v>
      </c>
      <c r="BC479" s="33">
        <f t="shared" si="948"/>
        <v>-0.70730825340870784</v>
      </c>
      <c r="BE479" s="31">
        <f t="shared" si="949"/>
        <v>0.22489993884116866</v>
      </c>
      <c r="BF479" s="25">
        <f t="shared" si="950"/>
        <v>4.707030700248499E-2</v>
      </c>
      <c r="BG479" s="32">
        <f t="shared" si="951"/>
        <v>-0.17782963183868367</v>
      </c>
      <c r="BH479" s="33">
        <f t="shared" si="952"/>
        <v>-0.79070555890311955</v>
      </c>
      <c r="BJ479" s="31">
        <f t="shared" si="929"/>
        <v>0.22611943614191093</v>
      </c>
      <c r="BK479" s="25">
        <f t="shared" si="930"/>
        <v>0</v>
      </c>
      <c r="BL479" s="32">
        <f t="shared" si="931"/>
        <v>-0.22611943614191093</v>
      </c>
      <c r="BM479" s="33">
        <f t="shared" si="932"/>
        <v>-1</v>
      </c>
      <c r="BO479" s="62"/>
      <c r="BP479" s="62"/>
      <c r="BQ479" s="62"/>
      <c r="BR479" s="63"/>
    </row>
    <row r="480" spans="1:70">
      <c r="B480" s="1284"/>
      <c r="D480" s="5" t="s">
        <v>167</v>
      </c>
      <c r="E480" s="87">
        <v>0.24685208931870709</v>
      </c>
      <c r="F480" s="87">
        <v>0.64030984196443763</v>
      </c>
      <c r="G480" s="87">
        <v>0.934709492122617</v>
      </c>
      <c r="H480" s="87">
        <v>1.0818558393062885</v>
      </c>
      <c r="I480" s="87">
        <v>0.78952939310485248</v>
      </c>
      <c r="J480" s="87">
        <v>0.49680531105875103</v>
      </c>
      <c r="K480" s="87">
        <v>0.49539227963523441</v>
      </c>
      <c r="L480" s="87">
        <v>0.25021463530500948</v>
      </c>
      <c r="N480" s="29">
        <v>0.24685208931870709</v>
      </c>
      <c r="O480" s="29">
        <v>0.64030984196443763</v>
      </c>
      <c r="P480" s="29">
        <v>0.934709492122617</v>
      </c>
      <c r="Q480" s="29">
        <v>1.0818558393062885</v>
      </c>
      <c r="R480" s="29">
        <v>0.78952939310485248</v>
      </c>
      <c r="S480" s="29">
        <v>0.49680531105875103</v>
      </c>
      <c r="T480" s="29">
        <v>0.49539227963523441</v>
      </c>
      <c r="U480" s="29">
        <v>0.25021463530500948</v>
      </c>
      <c r="W480" s="30">
        <v>0.98852660841142048</v>
      </c>
      <c r="X480" s="30">
        <v>1.5506704157106628</v>
      </c>
      <c r="Y480" s="30">
        <v>2.3566504859807642</v>
      </c>
      <c r="Z480" s="30">
        <v>1.1092859361542915</v>
      </c>
      <c r="AA480" s="30">
        <v>0.42202601000543621</v>
      </c>
      <c r="AB480" s="85">
        <v>0.5270816624570398</v>
      </c>
      <c r="AC480" s="85">
        <v>0.1462</v>
      </c>
      <c r="AD480" s="90">
        <v>0</v>
      </c>
      <c r="AF480" s="29">
        <f t="shared" si="933"/>
        <v>0.24685208931870709</v>
      </c>
      <c r="AG480" s="30">
        <f t="shared" si="934"/>
        <v>0.98852660841142048</v>
      </c>
      <c r="AH480" s="32">
        <f t="shared" si="935"/>
        <v>0.74167451909271342</v>
      </c>
      <c r="AI480" s="33">
        <f t="shared" si="936"/>
        <v>3.0045300452577837</v>
      </c>
      <c r="AK480" s="29">
        <f t="shared" si="925"/>
        <v>0.64030984196443763</v>
      </c>
      <c r="AL480" s="30">
        <f t="shared" si="926"/>
        <v>1.5506704157106628</v>
      </c>
      <c r="AM480" s="32">
        <f t="shared" si="937"/>
        <v>0.91036057374622514</v>
      </c>
      <c r="AN480" s="33">
        <f t="shared" si="938"/>
        <v>1.421750087353469</v>
      </c>
      <c r="AP480" s="29">
        <f t="shared" si="939"/>
        <v>0.934709492122617</v>
      </c>
      <c r="AQ480" s="30">
        <f t="shared" si="940"/>
        <v>2.3566504859807642</v>
      </c>
      <c r="AR480" s="32">
        <f t="shared" si="941"/>
        <v>1.4219409938581471</v>
      </c>
      <c r="AS480" s="33">
        <f t="shared" si="942"/>
        <v>1.5212651693833597</v>
      </c>
      <c r="AU480" s="31">
        <f t="shared" si="943"/>
        <v>1.0818558393062885</v>
      </c>
      <c r="AV480" s="25">
        <f t="shared" si="944"/>
        <v>1.1092859361542915</v>
      </c>
      <c r="AW480" s="32">
        <f t="shared" si="945"/>
        <v>2.7430096848003016E-2</v>
      </c>
      <c r="AX480" s="33">
        <f t="shared" si="946"/>
        <v>2.5354669126333728E-2</v>
      </c>
      <c r="AZ480" s="31">
        <f t="shared" si="927"/>
        <v>0.78952939310485248</v>
      </c>
      <c r="BA480" s="25">
        <f t="shared" si="928"/>
        <v>0.42202601000543621</v>
      </c>
      <c r="BB480" s="32">
        <f t="shared" si="947"/>
        <v>-0.36750338309941627</v>
      </c>
      <c r="BC480" s="33">
        <f t="shared" si="948"/>
        <v>-0.46547143945356628</v>
      </c>
      <c r="BE480" s="31">
        <f t="shared" si="949"/>
        <v>0.49680531105875103</v>
      </c>
      <c r="BF480" s="25">
        <f t="shared" si="950"/>
        <v>0.5270816624570398</v>
      </c>
      <c r="BG480" s="32">
        <f t="shared" si="951"/>
        <v>3.027635139828877E-2</v>
      </c>
      <c r="BH480" s="33">
        <f t="shared" si="952"/>
        <v>6.0942084805346131E-2</v>
      </c>
      <c r="BJ480" s="31">
        <f t="shared" si="929"/>
        <v>0.49539227963523441</v>
      </c>
      <c r="BK480" s="25">
        <f t="shared" si="930"/>
        <v>0.1462</v>
      </c>
      <c r="BL480" s="32">
        <f t="shared" si="931"/>
        <v>-0.34919227963523441</v>
      </c>
      <c r="BM480" s="33">
        <f t="shared" si="932"/>
        <v>-0.7048803422862191</v>
      </c>
      <c r="BO480" s="62"/>
      <c r="BP480" s="62"/>
      <c r="BQ480" s="62"/>
      <c r="BR480" s="63"/>
    </row>
    <row r="481" spans="1:70">
      <c r="B481" s="1284"/>
      <c r="D481" s="5" t="s">
        <v>168</v>
      </c>
      <c r="E481" s="87">
        <v>0.57831861722688827</v>
      </c>
      <c r="F481" s="87">
        <v>0.5823829928221691</v>
      </c>
      <c r="G481" s="87">
        <v>0.57977660756770044</v>
      </c>
      <c r="H481" s="87">
        <v>0.5742583237236184</v>
      </c>
      <c r="I481" s="87">
        <v>0.35302924194420643</v>
      </c>
      <c r="J481" s="87">
        <v>0</v>
      </c>
      <c r="K481" s="87">
        <v>0</v>
      </c>
      <c r="L481" s="87">
        <v>0</v>
      </c>
      <c r="N481" s="29">
        <v>0.44079192159919312</v>
      </c>
      <c r="O481" s="29">
        <v>0.43854493791209298</v>
      </c>
      <c r="P481" s="29">
        <v>0.37170456525466677</v>
      </c>
      <c r="Q481" s="29">
        <v>0.34671846051418326</v>
      </c>
      <c r="R481" s="29">
        <v>0.29669279311639896</v>
      </c>
      <c r="S481" s="29">
        <v>0.20412028227639614</v>
      </c>
      <c r="T481" s="29">
        <v>0.17812625429327988</v>
      </c>
      <c r="U481" s="29">
        <v>0.16467546564618837</v>
      </c>
      <c r="W481" s="30">
        <v>0</v>
      </c>
      <c r="X481" s="30">
        <v>0.7285433238421084</v>
      </c>
      <c r="Y481" s="30">
        <v>1.3759852747422321</v>
      </c>
      <c r="Z481" s="30">
        <v>1.1034318760701685</v>
      </c>
      <c r="AA481" s="30">
        <v>0.41131378973926913</v>
      </c>
      <c r="AB481" s="85">
        <v>0.25160346028548786</v>
      </c>
      <c r="AC481" s="85">
        <v>0.34952613375183789</v>
      </c>
      <c r="AD481" s="90">
        <v>0</v>
      </c>
      <c r="AF481" s="29">
        <f t="shared" si="933"/>
        <v>0.44079192159919312</v>
      </c>
      <c r="AG481" s="30">
        <f t="shared" si="934"/>
        <v>0</v>
      </c>
      <c r="AH481" s="32">
        <f t="shared" si="935"/>
        <v>-0.44079192159919312</v>
      </c>
      <c r="AI481" s="33">
        <f t="shared" si="936"/>
        <v>-1</v>
      </c>
      <c r="AK481" s="29">
        <f t="shared" si="925"/>
        <v>0.43854493791209298</v>
      </c>
      <c r="AL481" s="30">
        <f t="shared" si="926"/>
        <v>0.7285433238421084</v>
      </c>
      <c r="AM481" s="32">
        <f t="shared" si="937"/>
        <v>0.28999838593001542</v>
      </c>
      <c r="AN481" s="33">
        <f t="shared" si="938"/>
        <v>0.66127404710380233</v>
      </c>
      <c r="AP481" s="29">
        <f t="shared" si="939"/>
        <v>0.37170456525466677</v>
      </c>
      <c r="AQ481" s="30">
        <f t="shared" si="940"/>
        <v>1.3759852747422321</v>
      </c>
      <c r="AR481" s="32">
        <f t="shared" si="941"/>
        <v>1.0042807094875652</v>
      </c>
      <c r="AS481" s="33">
        <f t="shared" si="942"/>
        <v>2.7018250604468634</v>
      </c>
      <c r="AU481" s="31">
        <f t="shared" si="943"/>
        <v>0.34671846051418326</v>
      </c>
      <c r="AV481" s="25">
        <f t="shared" si="944"/>
        <v>1.1034318760701685</v>
      </c>
      <c r="AW481" s="32">
        <f t="shared" si="945"/>
        <v>0.75671341555598515</v>
      </c>
      <c r="AX481" s="33">
        <f t="shared" si="946"/>
        <v>2.1825010829644884</v>
      </c>
      <c r="AZ481" s="31">
        <f t="shared" si="927"/>
        <v>0.29669279311639896</v>
      </c>
      <c r="BA481" s="25">
        <f t="shared" si="928"/>
        <v>0.41131378973926913</v>
      </c>
      <c r="BB481" s="32">
        <f t="shared" si="947"/>
        <v>0.11462099662287017</v>
      </c>
      <c r="BC481" s="33">
        <f t="shared" si="948"/>
        <v>0.38632888726050685</v>
      </c>
      <c r="BE481" s="31">
        <f t="shared" si="949"/>
        <v>0.20412028227639614</v>
      </c>
      <c r="BF481" s="25">
        <f t="shared" si="950"/>
        <v>0.25160346028548786</v>
      </c>
      <c r="BG481" s="32">
        <f t="shared" si="951"/>
        <v>4.7483178009091714E-2</v>
      </c>
      <c r="BH481" s="33">
        <f t="shared" si="952"/>
        <v>0.23262351726907507</v>
      </c>
      <c r="BJ481" s="31">
        <f t="shared" si="929"/>
        <v>0.17812625429327988</v>
      </c>
      <c r="BK481" s="25">
        <f t="shared" si="930"/>
        <v>0.34952613375183789</v>
      </c>
      <c r="BL481" s="32">
        <f t="shared" si="931"/>
        <v>0.171399879458558</v>
      </c>
      <c r="BM481" s="33">
        <f t="shared" si="932"/>
        <v>0.96223816157023601</v>
      </c>
      <c r="BO481" s="62"/>
      <c r="BP481" s="62"/>
      <c r="BQ481" s="62"/>
      <c r="BR481" s="63"/>
    </row>
    <row r="482" spans="1:70">
      <c r="B482" s="1284"/>
      <c r="D482" s="5" t="s">
        <v>169</v>
      </c>
      <c r="E482" s="87">
        <v>0.93003824501482901</v>
      </c>
      <c r="F482" s="87">
        <v>0.92963766913646506</v>
      </c>
      <c r="G482" s="87">
        <v>0.93697496848230311</v>
      </c>
      <c r="H482" s="87">
        <v>0.94439963846702546</v>
      </c>
      <c r="I482" s="87">
        <v>0.6118545916637772</v>
      </c>
      <c r="J482" s="87">
        <v>0</v>
      </c>
      <c r="K482" s="87">
        <v>0</v>
      </c>
      <c r="L482" s="87">
        <v>0</v>
      </c>
      <c r="N482" s="29">
        <v>0.7362004982197079</v>
      </c>
      <c r="O482" s="29">
        <v>0.80436574116317006</v>
      </c>
      <c r="P482" s="29">
        <v>0.73717473597580563</v>
      </c>
      <c r="Q482" s="29">
        <v>0.73575241223351096</v>
      </c>
      <c r="R482" s="29">
        <v>0.6381312757485208</v>
      </c>
      <c r="S482" s="29">
        <v>0.47678059487334468</v>
      </c>
      <c r="T482" s="29">
        <v>0.44264414552108433</v>
      </c>
      <c r="U482" s="29">
        <v>0.42420878694514824</v>
      </c>
      <c r="W482" s="30">
        <v>0</v>
      </c>
      <c r="X482" s="30">
        <v>0.58609460584030948</v>
      </c>
      <c r="Y482" s="30">
        <v>1.225406656270015</v>
      </c>
      <c r="Z482" s="30">
        <v>2.3408300214314961</v>
      </c>
      <c r="AA482" s="30">
        <v>0.96422646547149726</v>
      </c>
      <c r="AB482" s="85">
        <v>0.94197623705630384</v>
      </c>
      <c r="AC482" s="85">
        <v>1.2098628339399866</v>
      </c>
      <c r="AD482" s="90">
        <v>0</v>
      </c>
      <c r="AF482" s="29">
        <f t="shared" si="933"/>
        <v>0.7362004982197079</v>
      </c>
      <c r="AG482" s="30">
        <f t="shared" si="934"/>
        <v>0</v>
      </c>
      <c r="AH482" s="32">
        <f t="shared" si="935"/>
        <v>-0.7362004982197079</v>
      </c>
      <c r="AI482" s="33">
        <f t="shared" si="936"/>
        <v>-1</v>
      </c>
      <c r="AK482" s="29">
        <f t="shared" si="925"/>
        <v>0.80436574116317006</v>
      </c>
      <c r="AL482" s="30">
        <f t="shared" si="926"/>
        <v>0.58609460584030948</v>
      </c>
      <c r="AM482" s="32">
        <f t="shared" si="937"/>
        <v>-0.21827113532286058</v>
      </c>
      <c r="AN482" s="33">
        <f t="shared" si="938"/>
        <v>-0.27135807028184095</v>
      </c>
      <c r="AP482" s="29">
        <f t="shared" si="939"/>
        <v>0.73717473597580563</v>
      </c>
      <c r="AQ482" s="30">
        <f t="shared" si="940"/>
        <v>1.225406656270015</v>
      </c>
      <c r="AR482" s="32">
        <f t="shared" si="941"/>
        <v>0.48823192029420936</v>
      </c>
      <c r="AS482" s="33">
        <f t="shared" si="942"/>
        <v>0.6623014822231148</v>
      </c>
      <c r="AU482" s="31">
        <f t="shared" si="943"/>
        <v>0.73575241223351096</v>
      </c>
      <c r="AV482" s="25">
        <f t="shared" si="944"/>
        <v>2.3408300214314961</v>
      </c>
      <c r="AW482" s="32">
        <f t="shared" si="945"/>
        <v>1.605077609197985</v>
      </c>
      <c r="AX482" s="33">
        <f t="shared" si="946"/>
        <v>2.1815458332314241</v>
      </c>
      <c r="AZ482" s="31">
        <f t="shared" si="927"/>
        <v>0.6381312757485208</v>
      </c>
      <c r="BA482" s="25">
        <f t="shared" si="928"/>
        <v>0.96422646547149726</v>
      </c>
      <c r="BB482" s="32">
        <f t="shared" si="947"/>
        <v>0.32609518972297646</v>
      </c>
      <c r="BC482" s="33">
        <f t="shared" si="948"/>
        <v>0.51101583971177478</v>
      </c>
      <c r="BE482" s="31">
        <f t="shared" si="949"/>
        <v>0.47678059487334468</v>
      </c>
      <c r="BF482" s="25">
        <f t="shared" si="950"/>
        <v>0.94197623705630384</v>
      </c>
      <c r="BG482" s="32">
        <f t="shared" si="951"/>
        <v>0.46519564218295917</v>
      </c>
      <c r="BH482" s="33">
        <f t="shared" si="952"/>
        <v>0.97570171098623881</v>
      </c>
      <c r="BJ482" s="31">
        <f t="shared" si="929"/>
        <v>0.44264414552108433</v>
      </c>
      <c r="BK482" s="25">
        <f t="shared" si="930"/>
        <v>1.2098628339399866</v>
      </c>
      <c r="BL482" s="32">
        <f t="shared" si="931"/>
        <v>0.76721868841890228</v>
      </c>
      <c r="BM482" s="33">
        <f t="shared" si="932"/>
        <v>1.7332629295610047</v>
      </c>
      <c r="BO482" s="62"/>
      <c r="BP482" s="62"/>
      <c r="BQ482" s="62"/>
      <c r="BR482" s="63"/>
    </row>
    <row r="483" spans="1:70">
      <c r="B483" s="1284"/>
      <c r="D483" s="5" t="s">
        <v>170</v>
      </c>
      <c r="E483" s="87">
        <v>1.2513725059459202</v>
      </c>
      <c r="F483" s="87">
        <v>1.2629612480041728</v>
      </c>
      <c r="G483" s="87">
        <v>1.2733966651295183</v>
      </c>
      <c r="H483" s="87">
        <v>1.2845774700494414</v>
      </c>
      <c r="I483" s="87">
        <v>0.78873025734563207</v>
      </c>
      <c r="J483" s="87">
        <v>0</v>
      </c>
      <c r="K483" s="87">
        <v>0</v>
      </c>
      <c r="L483" s="87">
        <v>0</v>
      </c>
      <c r="N483" s="29">
        <v>0.95853551031491802</v>
      </c>
      <c r="O483" s="29">
        <v>0.97943290844055131</v>
      </c>
      <c r="P483" s="29">
        <v>1.0107346664399752</v>
      </c>
      <c r="Q483" s="29">
        <v>1.0432317742860142</v>
      </c>
      <c r="R483" s="29">
        <v>0.89846257011822972</v>
      </c>
      <c r="S483" s="29">
        <v>0.63228063375785493</v>
      </c>
      <c r="T483" s="29">
        <v>0.61081833552455334</v>
      </c>
      <c r="U483" s="29">
        <v>0.56145076537064964</v>
      </c>
      <c r="W483" s="30">
        <v>4.4883075088965045E-2</v>
      </c>
      <c r="X483" s="30">
        <v>0.83916229349953086</v>
      </c>
      <c r="Y483" s="30">
        <v>0.69626532221068116</v>
      </c>
      <c r="Z483" s="30">
        <v>2.5388110358619231</v>
      </c>
      <c r="AA483" s="30">
        <v>2.1147981773545483</v>
      </c>
      <c r="AB483" s="85">
        <v>1.7978013541801714</v>
      </c>
      <c r="AC483" s="85">
        <v>1.8065587659876983</v>
      </c>
      <c r="AD483" s="90">
        <v>0</v>
      </c>
      <c r="AF483" s="29">
        <f t="shared" si="933"/>
        <v>0.95853551031491802</v>
      </c>
      <c r="AG483" s="30">
        <f t="shared" si="934"/>
        <v>4.4883075088965045E-2</v>
      </c>
      <c r="AH483" s="32">
        <f t="shared" si="935"/>
        <v>-0.91365243522595296</v>
      </c>
      <c r="AI483" s="33">
        <f t="shared" si="936"/>
        <v>-0.95317536532974234</v>
      </c>
      <c r="AK483" s="29">
        <f t="shared" si="925"/>
        <v>0.97943290844055131</v>
      </c>
      <c r="AL483" s="30">
        <f t="shared" si="926"/>
        <v>0.83916229349953086</v>
      </c>
      <c r="AM483" s="32">
        <f t="shared" si="937"/>
        <v>-0.14027061494102044</v>
      </c>
      <c r="AN483" s="33">
        <f t="shared" si="938"/>
        <v>-0.14321615470768559</v>
      </c>
      <c r="AP483" s="29">
        <f t="shared" si="939"/>
        <v>1.0107346664399752</v>
      </c>
      <c r="AQ483" s="30">
        <f t="shared" si="940"/>
        <v>0.69626532221068116</v>
      </c>
      <c r="AR483" s="32">
        <f t="shared" si="941"/>
        <v>-0.31446934422929407</v>
      </c>
      <c r="AS483" s="33">
        <f t="shared" si="942"/>
        <v>-0.31112947311575123</v>
      </c>
      <c r="AU483" s="31">
        <f t="shared" si="943"/>
        <v>1.0432317742860142</v>
      </c>
      <c r="AV483" s="25">
        <f t="shared" si="944"/>
        <v>2.5388110358619231</v>
      </c>
      <c r="AW483" s="32">
        <f t="shared" si="945"/>
        <v>1.4955792615759089</v>
      </c>
      <c r="AX483" s="33">
        <f t="shared" si="946"/>
        <v>1.4336020992070342</v>
      </c>
      <c r="AZ483" s="31">
        <f t="shared" si="927"/>
        <v>0.89846257011822972</v>
      </c>
      <c r="BA483" s="25">
        <f t="shared" si="928"/>
        <v>2.1147981773545483</v>
      </c>
      <c r="BB483" s="32">
        <f t="shared" si="947"/>
        <v>1.2163356072363185</v>
      </c>
      <c r="BC483" s="33">
        <f t="shared" si="948"/>
        <v>1.3537966384913058</v>
      </c>
      <c r="BE483" s="31">
        <f t="shared" si="949"/>
        <v>0.63228063375785493</v>
      </c>
      <c r="BF483" s="25">
        <f t="shared" si="950"/>
        <v>1.7978013541801714</v>
      </c>
      <c r="BG483" s="32">
        <f t="shared" si="951"/>
        <v>1.1655207204223164</v>
      </c>
      <c r="BH483" s="33">
        <f t="shared" si="952"/>
        <v>1.8433598282067214</v>
      </c>
      <c r="BJ483" s="31">
        <f t="shared" si="929"/>
        <v>0.61081833552455334</v>
      </c>
      <c r="BK483" s="25">
        <f t="shared" si="930"/>
        <v>1.8065587659876983</v>
      </c>
      <c r="BL483" s="32">
        <f t="shared" si="931"/>
        <v>1.1957404304631449</v>
      </c>
      <c r="BM483" s="33">
        <f t="shared" si="932"/>
        <v>1.9576040222110838</v>
      </c>
      <c r="BO483" s="62"/>
      <c r="BP483" s="62"/>
      <c r="BQ483" s="62"/>
      <c r="BR483" s="63"/>
    </row>
    <row r="484" spans="1:70">
      <c r="B484" s="1284"/>
      <c r="D484" s="5" t="s">
        <v>171</v>
      </c>
      <c r="E484" s="87">
        <v>0.30377322121376626</v>
      </c>
      <c r="F484" s="87">
        <v>0.25922724755624021</v>
      </c>
      <c r="G484" s="87">
        <v>0.28582861443617724</v>
      </c>
      <c r="H484" s="87">
        <v>0.28606487109867679</v>
      </c>
      <c r="I484" s="87">
        <v>0.26437019289591257</v>
      </c>
      <c r="J484" s="87">
        <v>0.2658927235925907</v>
      </c>
      <c r="K484" s="87">
        <v>0.25236197244525038</v>
      </c>
      <c r="L484" s="87">
        <v>0.23010611867767028</v>
      </c>
      <c r="N484" s="29">
        <v>0.30704088617963587</v>
      </c>
      <c r="O484" s="29">
        <v>0.29486783544198109</v>
      </c>
      <c r="P484" s="29">
        <v>0.30044919870599718</v>
      </c>
      <c r="Q484" s="29">
        <v>0.29026623601143442</v>
      </c>
      <c r="R484" s="29">
        <v>0.27735890293934623</v>
      </c>
      <c r="S484" s="29">
        <v>0.27114917950538497</v>
      </c>
      <c r="T484" s="29">
        <v>0.24181557626172767</v>
      </c>
      <c r="U484" s="29">
        <v>0.22712921235501438</v>
      </c>
      <c r="W484" s="30">
        <v>0</v>
      </c>
      <c r="X484" s="30">
        <v>0</v>
      </c>
      <c r="Y484" s="30">
        <v>0</v>
      </c>
      <c r="Z484" s="30">
        <v>0</v>
      </c>
      <c r="AA484" s="30">
        <v>1.5038824993117175E-2</v>
      </c>
      <c r="AB484" s="85">
        <v>4.1797088262962197E-3</v>
      </c>
      <c r="AC484" s="85">
        <v>3.5271433959091991E-2</v>
      </c>
      <c r="AD484" s="90">
        <v>0</v>
      </c>
      <c r="AF484" s="29">
        <f t="shared" si="933"/>
        <v>0.30704088617963587</v>
      </c>
      <c r="AG484" s="30">
        <f t="shared" si="934"/>
        <v>0</v>
      </c>
      <c r="AH484" s="32">
        <f t="shared" si="935"/>
        <v>-0.30704088617963587</v>
      </c>
      <c r="AI484" s="33">
        <f t="shared" si="936"/>
        <v>-1</v>
      </c>
      <c r="AK484" s="29">
        <f t="shared" si="925"/>
        <v>0.29486783544198109</v>
      </c>
      <c r="AL484" s="30">
        <f t="shared" si="926"/>
        <v>0</v>
      </c>
      <c r="AM484" s="32">
        <f t="shared" si="937"/>
        <v>-0.29486783544198109</v>
      </c>
      <c r="AN484" s="33">
        <f t="shared" si="938"/>
        <v>-1</v>
      </c>
      <c r="AP484" s="29">
        <f t="shared" si="939"/>
        <v>0.30044919870599718</v>
      </c>
      <c r="AQ484" s="30">
        <f t="shared" si="940"/>
        <v>0</v>
      </c>
      <c r="AR484" s="32">
        <f t="shared" si="941"/>
        <v>-0.30044919870599718</v>
      </c>
      <c r="AS484" s="33">
        <f t="shared" si="942"/>
        <v>-1</v>
      </c>
      <c r="AU484" s="31">
        <f t="shared" si="943"/>
        <v>0.29026623601143442</v>
      </c>
      <c r="AV484" s="25">
        <f t="shared" si="944"/>
        <v>0</v>
      </c>
      <c r="AW484" s="32">
        <f t="shared" si="945"/>
        <v>-0.29026623601143442</v>
      </c>
      <c r="AX484" s="33">
        <f t="shared" si="946"/>
        <v>-1</v>
      </c>
      <c r="AZ484" s="31">
        <f t="shared" si="927"/>
        <v>0.27735890293934623</v>
      </c>
      <c r="BA484" s="25">
        <f t="shared" si="928"/>
        <v>1.5038824993117175E-2</v>
      </c>
      <c r="BB484" s="32">
        <f t="shared" si="947"/>
        <v>-0.26232007794622908</v>
      </c>
      <c r="BC484" s="33">
        <f t="shared" si="948"/>
        <v>-0.94577846669516896</v>
      </c>
      <c r="BE484" s="31">
        <f t="shared" si="949"/>
        <v>0.27114917950538497</v>
      </c>
      <c r="BF484" s="25">
        <f t="shared" si="950"/>
        <v>4.1797088262962197E-3</v>
      </c>
      <c r="BG484" s="32">
        <f t="shared" si="951"/>
        <v>-0.26696947067908877</v>
      </c>
      <c r="BH484" s="33">
        <f t="shared" si="952"/>
        <v>-0.98458520570144969</v>
      </c>
      <c r="BJ484" s="31">
        <f t="shared" si="929"/>
        <v>0.24181557626172767</v>
      </c>
      <c r="BK484" s="25">
        <f t="shared" si="930"/>
        <v>3.5271433959091991E-2</v>
      </c>
      <c r="BL484" s="32">
        <f t="shared" si="931"/>
        <v>-0.20654414230263568</v>
      </c>
      <c r="BM484" s="33">
        <f t="shared" si="932"/>
        <v>-0.85413911500508077</v>
      </c>
      <c r="BO484" s="62"/>
      <c r="BP484" s="62"/>
      <c r="BQ484" s="62"/>
      <c r="BR484" s="63"/>
    </row>
    <row r="485" spans="1:70">
      <c r="B485" s="1284"/>
      <c r="D485" s="5" t="s">
        <v>172</v>
      </c>
      <c r="E485" s="87">
        <v>0.63755171906333175</v>
      </c>
      <c r="F485" s="87">
        <v>0.84154504960399212</v>
      </c>
      <c r="G485" s="87">
        <v>0.93346833863885781</v>
      </c>
      <c r="H485" s="87">
        <v>0.91362262528556726</v>
      </c>
      <c r="I485" s="87">
        <v>0.70733169925345485</v>
      </c>
      <c r="J485" s="87">
        <v>0.68533736931566391</v>
      </c>
      <c r="K485" s="87">
        <v>0.60960164772489056</v>
      </c>
      <c r="L485" s="87">
        <v>0.44570698059055902</v>
      </c>
      <c r="N485" s="29">
        <v>0.69361116614912077</v>
      </c>
      <c r="O485" s="29">
        <v>0.81263595098687547</v>
      </c>
      <c r="P485" s="29">
        <v>0.78221930595512124</v>
      </c>
      <c r="Q485" s="29">
        <v>0.72793553494924201</v>
      </c>
      <c r="R485" s="29">
        <v>0.66104449734158099</v>
      </c>
      <c r="S485" s="29">
        <v>0.65872449804625777</v>
      </c>
      <c r="T485" s="29">
        <v>0.54950002888237481</v>
      </c>
      <c r="U485" s="29">
        <v>0.4340212635911494</v>
      </c>
      <c r="W485" s="30">
        <v>0</v>
      </c>
      <c r="X485" s="30">
        <v>0.1635909643562794</v>
      </c>
      <c r="Y485" s="30">
        <v>0.128209327003448</v>
      </c>
      <c r="Z485" s="30">
        <v>0.24715873698885898</v>
      </c>
      <c r="AA485" s="30">
        <v>0.32672083763997078</v>
      </c>
      <c r="AB485" s="85">
        <v>0.1371977201915249</v>
      </c>
      <c r="AC485" s="85">
        <v>0.18224608660432504</v>
      </c>
      <c r="AD485" s="90">
        <v>0</v>
      </c>
      <c r="AF485" s="29">
        <f t="shared" si="933"/>
        <v>0.69361116614912077</v>
      </c>
      <c r="AG485" s="30">
        <f t="shared" si="934"/>
        <v>0</v>
      </c>
      <c r="AH485" s="32">
        <f t="shared" si="935"/>
        <v>-0.69361116614912077</v>
      </c>
      <c r="AI485" s="33">
        <f t="shared" si="936"/>
        <v>-1</v>
      </c>
      <c r="AK485" s="29">
        <f t="shared" si="925"/>
        <v>0.81263595098687547</v>
      </c>
      <c r="AL485" s="30">
        <f t="shared" si="926"/>
        <v>0.1635909643562794</v>
      </c>
      <c r="AM485" s="32">
        <f t="shared" si="937"/>
        <v>-0.64904498663059607</v>
      </c>
      <c r="AN485" s="33">
        <f t="shared" si="938"/>
        <v>-0.79869095853116956</v>
      </c>
      <c r="AP485" s="29">
        <f t="shared" si="939"/>
        <v>0.78221930595512124</v>
      </c>
      <c r="AQ485" s="30">
        <f t="shared" si="940"/>
        <v>0.128209327003448</v>
      </c>
      <c r="AR485" s="32">
        <f t="shared" si="941"/>
        <v>-0.65400997895167323</v>
      </c>
      <c r="AS485" s="33">
        <f t="shared" si="942"/>
        <v>-0.83609541975328872</v>
      </c>
      <c r="AU485" s="31">
        <f t="shared" si="943"/>
        <v>0.72793553494924201</v>
      </c>
      <c r="AV485" s="25">
        <f t="shared" si="944"/>
        <v>0.24715873698885898</v>
      </c>
      <c r="AW485" s="32">
        <f t="shared" si="945"/>
        <v>-0.48077679796038303</v>
      </c>
      <c r="AX485" s="33">
        <f t="shared" si="946"/>
        <v>-0.66046617437615129</v>
      </c>
      <c r="AZ485" s="31">
        <f t="shared" si="927"/>
        <v>0.66104449734158099</v>
      </c>
      <c r="BA485" s="25">
        <f t="shared" si="928"/>
        <v>0.32672083763997078</v>
      </c>
      <c r="BB485" s="32">
        <f t="shared" si="947"/>
        <v>-0.33432365970161021</v>
      </c>
      <c r="BC485" s="33">
        <f t="shared" si="948"/>
        <v>-0.50575061292561585</v>
      </c>
      <c r="BE485" s="31">
        <f t="shared" si="949"/>
        <v>0.65872449804625777</v>
      </c>
      <c r="BF485" s="25">
        <f t="shared" si="950"/>
        <v>0.1371977201915249</v>
      </c>
      <c r="BG485" s="32">
        <f t="shared" si="951"/>
        <v>-0.52152677785473289</v>
      </c>
      <c r="BH485" s="33">
        <f t="shared" si="952"/>
        <v>-0.79172215304205917</v>
      </c>
      <c r="BJ485" s="31">
        <f t="shared" si="929"/>
        <v>0.54950002888237481</v>
      </c>
      <c r="BK485" s="25">
        <f t="shared" si="930"/>
        <v>0.18224608660432504</v>
      </c>
      <c r="BL485" s="32">
        <f t="shared" si="931"/>
        <v>-0.36725394227804975</v>
      </c>
      <c r="BM485" s="33">
        <f t="shared" si="932"/>
        <v>-0.6683419890350244</v>
      </c>
      <c r="BO485" s="62"/>
      <c r="BP485" s="62"/>
      <c r="BQ485" s="62"/>
      <c r="BR485" s="63"/>
    </row>
    <row r="486" spans="1:70">
      <c r="B486" s="1284"/>
      <c r="D486" s="5" t="s">
        <v>28</v>
      </c>
      <c r="E486" s="87">
        <v>1.448774692359778</v>
      </c>
      <c r="F486" s="87">
        <v>1.4453019920691477</v>
      </c>
      <c r="G486" s="87">
        <v>1.4439134926155974</v>
      </c>
      <c r="H486" s="87">
        <v>1.4678452481133204</v>
      </c>
      <c r="I486" s="87">
        <v>0</v>
      </c>
      <c r="J486" s="87">
        <v>0</v>
      </c>
      <c r="K486" s="87">
        <v>0</v>
      </c>
      <c r="L486" s="87">
        <v>0</v>
      </c>
      <c r="N486" s="29">
        <v>0.84539117845025213</v>
      </c>
      <c r="O486" s="29">
        <v>0.83487286205075162</v>
      </c>
      <c r="P486" s="29">
        <v>0.80669192384818356</v>
      </c>
      <c r="Q486" s="29">
        <v>0.81011332868280883</v>
      </c>
      <c r="R486" s="29">
        <v>0.44428206121493591</v>
      </c>
      <c r="S486" s="29">
        <v>0.43976587231181896</v>
      </c>
      <c r="T486" s="29">
        <v>0.44052672231257317</v>
      </c>
      <c r="U486" s="29">
        <v>0.42762355501630284</v>
      </c>
      <c r="W486" s="30">
        <v>1.1406076250901003</v>
      </c>
      <c r="X486" s="30">
        <v>0.59286757580160887</v>
      </c>
      <c r="Y486" s="30">
        <v>0.16194642716821625</v>
      </c>
      <c r="Z486" s="30">
        <v>0.88649839190159163</v>
      </c>
      <c r="AA486" s="30">
        <v>1.9675094539467801E-2</v>
      </c>
      <c r="AB486" s="85">
        <v>1.384398021246435E-2</v>
      </c>
      <c r="AC486" s="85">
        <v>0</v>
      </c>
      <c r="AD486" s="90">
        <v>0</v>
      </c>
      <c r="AF486" s="29">
        <f t="shared" si="933"/>
        <v>0.84539117845025213</v>
      </c>
      <c r="AG486" s="30">
        <f t="shared" si="934"/>
        <v>1.1406076250901003</v>
      </c>
      <c r="AH486" s="32">
        <f t="shared" si="935"/>
        <v>0.29521644663984814</v>
      </c>
      <c r="AI486" s="33">
        <f t="shared" si="936"/>
        <v>0.34920691647271601</v>
      </c>
      <c r="AK486" s="29">
        <f t="shared" si="925"/>
        <v>0.83487286205075162</v>
      </c>
      <c r="AL486" s="30">
        <f t="shared" si="926"/>
        <v>0.59286757580160887</v>
      </c>
      <c r="AM486" s="32">
        <f t="shared" si="937"/>
        <v>-0.24200528624914275</v>
      </c>
      <c r="AN486" s="33">
        <f t="shared" si="938"/>
        <v>-0.28987082614553994</v>
      </c>
      <c r="AP486" s="29">
        <f t="shared" si="939"/>
        <v>0.80669192384818356</v>
      </c>
      <c r="AQ486" s="30">
        <f t="shared" si="940"/>
        <v>0.16194642716821625</v>
      </c>
      <c r="AR486" s="32">
        <f t="shared" si="941"/>
        <v>-0.64474549667996728</v>
      </c>
      <c r="AS486" s="33">
        <f t="shared" si="942"/>
        <v>-0.79924625203178057</v>
      </c>
      <c r="AU486" s="31">
        <f t="shared" si="943"/>
        <v>0.81011332868280883</v>
      </c>
      <c r="AV486" s="25">
        <f t="shared" si="944"/>
        <v>0.88649839190159163</v>
      </c>
      <c r="AW486" s="32">
        <f t="shared" si="945"/>
        <v>7.63850632187828E-2</v>
      </c>
      <c r="AX486" s="33">
        <f t="shared" si="946"/>
        <v>9.4289354975778394E-2</v>
      </c>
      <c r="AZ486" s="31">
        <f t="shared" si="927"/>
        <v>0.44428206121493591</v>
      </c>
      <c r="BA486" s="25">
        <f t="shared" si="928"/>
        <v>1.9675094539467801E-2</v>
      </c>
      <c r="BB486" s="32">
        <f t="shared" si="947"/>
        <v>-0.4246069666754681</v>
      </c>
      <c r="BC486" s="33">
        <f t="shared" si="948"/>
        <v>-0.95571485716604399</v>
      </c>
      <c r="BE486" s="31">
        <f t="shared" si="949"/>
        <v>0.43976587231181896</v>
      </c>
      <c r="BF486" s="25">
        <f t="shared" si="950"/>
        <v>1.384398021246435E-2</v>
      </c>
      <c r="BG486" s="32">
        <f t="shared" si="951"/>
        <v>-0.4259218920993546</v>
      </c>
      <c r="BH486" s="33">
        <f t="shared" si="952"/>
        <v>-0.96851965765399783</v>
      </c>
      <c r="BJ486" s="31">
        <f t="shared" si="929"/>
        <v>0.44052672231257317</v>
      </c>
      <c r="BK486" s="25">
        <f t="shared" si="930"/>
        <v>0</v>
      </c>
      <c r="BL486" s="32">
        <f t="shared" si="931"/>
        <v>-0.44052672231257317</v>
      </c>
      <c r="BM486" s="33">
        <f t="shared" si="932"/>
        <v>-1</v>
      </c>
      <c r="BO486" s="62"/>
      <c r="BP486" s="62"/>
      <c r="BQ486" s="62"/>
      <c r="BR486" s="63"/>
    </row>
    <row r="487" spans="1:70">
      <c r="B487" s="1284"/>
      <c r="D487" s="5" t="s">
        <v>173</v>
      </c>
      <c r="E487" s="87">
        <v>2.0713870434453479</v>
      </c>
      <c r="F487" s="87">
        <v>1.0859048698708282</v>
      </c>
      <c r="G487" s="87">
        <v>0</v>
      </c>
      <c r="H487" s="87">
        <v>0</v>
      </c>
      <c r="I487" s="87">
        <v>0</v>
      </c>
      <c r="J487" s="87">
        <v>0</v>
      </c>
      <c r="K487" s="87">
        <v>0</v>
      </c>
      <c r="L487" s="87">
        <v>0</v>
      </c>
      <c r="N487" s="29">
        <v>0.70525333665139067</v>
      </c>
      <c r="O487" s="29">
        <v>0.45732390658814032</v>
      </c>
      <c r="P487" s="29">
        <v>0.17771698505997899</v>
      </c>
      <c r="Q487" s="29">
        <v>0.17000155880649284</v>
      </c>
      <c r="R487" s="29">
        <v>0.16070942448368078</v>
      </c>
      <c r="S487" s="29">
        <v>0.15055487611965171</v>
      </c>
      <c r="T487" s="29">
        <v>0.14735995285926684</v>
      </c>
      <c r="U487" s="29">
        <v>0.14981974705916196</v>
      </c>
      <c r="W487" s="30">
        <v>0.72202501609278691</v>
      </c>
      <c r="X487" s="30">
        <v>0.51866191396796879</v>
      </c>
      <c r="Y487" s="30">
        <v>1.0269850106948506</v>
      </c>
      <c r="Z487" s="30">
        <v>0.31122433749558776</v>
      </c>
      <c r="AA487" s="30">
        <v>0.19832826493060193</v>
      </c>
      <c r="AB487" s="85">
        <v>0.11511405331277813</v>
      </c>
      <c r="AC487" s="85">
        <v>0.13708236999999998</v>
      </c>
      <c r="AD487" s="90">
        <v>0</v>
      </c>
      <c r="AF487" s="29">
        <f t="shared" si="933"/>
        <v>0.70525333665139067</v>
      </c>
      <c r="AG487" s="30">
        <f t="shared" si="934"/>
        <v>0.72202501609278691</v>
      </c>
      <c r="AH487" s="32">
        <f t="shared" si="935"/>
        <v>1.6771679441396237E-2</v>
      </c>
      <c r="AI487" s="33">
        <f t="shared" si="936"/>
        <v>2.3781070673170795E-2</v>
      </c>
      <c r="AK487" s="29">
        <f t="shared" si="925"/>
        <v>0.45732390658814032</v>
      </c>
      <c r="AL487" s="30">
        <f t="shared" si="926"/>
        <v>0.51866191396796879</v>
      </c>
      <c r="AM487" s="32">
        <f t="shared" si="937"/>
        <v>6.1338007379828474E-2</v>
      </c>
      <c r="AN487" s="33">
        <f t="shared" si="938"/>
        <v>0.13412377200536041</v>
      </c>
      <c r="AP487" s="29">
        <f t="shared" si="939"/>
        <v>0.17771698505997899</v>
      </c>
      <c r="AQ487" s="30">
        <f t="shared" si="940"/>
        <v>1.0269850106948506</v>
      </c>
      <c r="AR487" s="32">
        <f t="shared" si="941"/>
        <v>0.84926802563487158</v>
      </c>
      <c r="AS487" s="33">
        <f t="shared" si="942"/>
        <v>4.7787667866875303</v>
      </c>
      <c r="AU487" s="31">
        <f t="shared" si="943"/>
        <v>0.17000155880649284</v>
      </c>
      <c r="AV487" s="25">
        <f t="shared" si="944"/>
        <v>0.31122433749558776</v>
      </c>
      <c r="AW487" s="32">
        <f t="shared" si="945"/>
        <v>0.14122277868909491</v>
      </c>
      <c r="AX487" s="33">
        <f t="shared" si="946"/>
        <v>0.83071461038686201</v>
      </c>
      <c r="AZ487" s="31">
        <f t="shared" si="927"/>
        <v>0.16070942448368078</v>
      </c>
      <c r="BA487" s="25">
        <f t="shared" si="928"/>
        <v>0.19832826493060193</v>
      </c>
      <c r="BB487" s="32">
        <f t="shared" si="947"/>
        <v>3.7618840446921153E-2</v>
      </c>
      <c r="BC487" s="33">
        <f t="shared" si="948"/>
        <v>0.23407986537056608</v>
      </c>
      <c r="BE487" s="31">
        <f t="shared" si="949"/>
        <v>0.15055487611965171</v>
      </c>
      <c r="BF487" s="25">
        <f t="shared" si="950"/>
        <v>0.11511405331277813</v>
      </c>
      <c r="BG487" s="32">
        <f t="shared" si="951"/>
        <v>-3.5440822806873579E-2</v>
      </c>
      <c r="BH487" s="33">
        <f t="shared" si="952"/>
        <v>-0.23540136141925688</v>
      </c>
      <c r="BJ487" s="31">
        <f t="shared" si="929"/>
        <v>0.14735995285926684</v>
      </c>
      <c r="BK487" s="25">
        <f t="shared" si="930"/>
        <v>0.13708236999999998</v>
      </c>
      <c r="BL487" s="32">
        <f t="shared" si="931"/>
        <v>-1.0277582859266859E-2</v>
      </c>
      <c r="BM487" s="33">
        <f t="shared" si="932"/>
        <v>-6.9744748555140068E-2</v>
      </c>
      <c r="BO487" s="62"/>
      <c r="BP487" s="62"/>
      <c r="BQ487" s="62"/>
      <c r="BR487" s="63"/>
    </row>
    <row r="488" spans="1:70">
      <c r="A488" s="1"/>
      <c r="B488" s="1284"/>
      <c r="D488" s="4" t="s">
        <v>174</v>
      </c>
      <c r="E488" s="88">
        <f t="shared" ref="E488:L488" si="953">SUM(E474:E487)</f>
        <v>12.873176350918436</v>
      </c>
      <c r="F488" s="88">
        <f t="shared" si="953"/>
        <v>13.435870069422748</v>
      </c>
      <c r="G488" s="88">
        <f t="shared" si="953"/>
        <v>12.555474277908523</v>
      </c>
      <c r="H488" s="88">
        <f t="shared" si="953"/>
        <v>11.816031860871918</v>
      </c>
      <c r="I488" s="88">
        <f t="shared" si="953"/>
        <v>6.1194912508568766</v>
      </c>
      <c r="J488" s="88">
        <f t="shared" si="953"/>
        <v>6.2569610930808848</v>
      </c>
      <c r="K488" s="88">
        <f t="shared" si="953"/>
        <v>6.1797971117523627</v>
      </c>
      <c r="L488" s="88">
        <f t="shared" si="953"/>
        <v>4.9956912181065345</v>
      </c>
      <c r="M488" s="1042"/>
      <c r="N488" s="81">
        <f t="shared" ref="N488:U488" si="954">SUM(N474:N487)</f>
        <v>9.1406669434625947</v>
      </c>
      <c r="O488" s="81">
        <f t="shared" si="954"/>
        <v>10.423024280494694</v>
      </c>
      <c r="P488" s="81">
        <f t="shared" si="954"/>
        <v>11.00643557081615</v>
      </c>
      <c r="Q488" s="81">
        <f t="shared" si="954"/>
        <v>11.076730972908653</v>
      </c>
      <c r="R488" s="81">
        <f t="shared" si="954"/>
        <v>8.4908201708226585</v>
      </c>
      <c r="S488" s="81">
        <f t="shared" si="954"/>
        <v>7.3408567370571456</v>
      </c>
      <c r="T488" s="81">
        <f t="shared" si="954"/>
        <v>6.9975809781389149</v>
      </c>
      <c r="U488" s="81">
        <f t="shared" si="954"/>
        <v>5.7668847649420014</v>
      </c>
      <c r="V488" s="1"/>
      <c r="W488" s="85">
        <f t="shared" ref="W488:AD488" si="955">SUM(W474:W487)</f>
        <v>7.2060536077270632</v>
      </c>
      <c r="X488" s="85">
        <f t="shared" si="955"/>
        <v>12.80582738615117</v>
      </c>
      <c r="Y488" s="85">
        <f t="shared" si="955"/>
        <v>14.18583714163854</v>
      </c>
      <c r="Z488" s="85">
        <f>SUM(Z474:Z487)</f>
        <v>13.615418592855884</v>
      </c>
      <c r="AA488" s="85">
        <f>SUM(AA474:AA487)</f>
        <v>8.4242125646516097</v>
      </c>
      <c r="AB488" s="85">
        <f t="shared" si="955"/>
        <v>6.2120569051504111</v>
      </c>
      <c r="AC488" s="85">
        <f t="shared" ref="AC488" si="956">SUM(AC474:AC487)</f>
        <v>5.0936451741335489</v>
      </c>
      <c r="AD488" s="91">
        <f t="shared" si="955"/>
        <v>0</v>
      </c>
      <c r="AE488" s="1"/>
      <c r="AF488" s="81">
        <f t="shared" si="933"/>
        <v>9.1406669434625947</v>
      </c>
      <c r="AG488" s="85">
        <f t="shared" si="934"/>
        <v>7.2060536077270632</v>
      </c>
      <c r="AH488" s="34">
        <f>IF(AG488&gt;0,AG488-AF488,"")</f>
        <v>-1.9346133357355315</v>
      </c>
      <c r="AI488" s="35">
        <f>IF(AG488&gt;0,AH488/AF488,"")</f>
        <v>-0.21164903476974042</v>
      </c>
      <c r="AK488" s="81">
        <f t="shared" si="925"/>
        <v>10.423024280494694</v>
      </c>
      <c r="AL488" s="85">
        <f t="shared" si="926"/>
        <v>12.80582738615117</v>
      </c>
      <c r="AM488" s="34">
        <f>IF(AL488&gt;0,AL488-AK488,"")</f>
        <v>2.3828031056564765</v>
      </c>
      <c r="AN488" s="35">
        <f>IF(AL488&gt;0,AM488/AK488,"")</f>
        <v>0.22860957065173262</v>
      </c>
      <c r="AP488" s="81">
        <f t="shared" si="939"/>
        <v>11.00643557081615</v>
      </c>
      <c r="AQ488" s="85">
        <f t="shared" si="940"/>
        <v>14.18583714163854</v>
      </c>
      <c r="AR488" s="34">
        <f t="shared" si="941"/>
        <v>3.1794015708223906</v>
      </c>
      <c r="AS488" s="35">
        <f t="shared" si="942"/>
        <v>0.28886750395856192</v>
      </c>
      <c r="AU488" s="949">
        <f t="shared" si="943"/>
        <v>11.076730972908653</v>
      </c>
      <c r="AV488" s="843">
        <f t="shared" si="944"/>
        <v>13.615418592855884</v>
      </c>
      <c r="AW488" s="34">
        <f t="shared" si="945"/>
        <v>2.5386876199472308</v>
      </c>
      <c r="AX488" s="35">
        <f t="shared" si="946"/>
        <v>0.22919105159783379</v>
      </c>
      <c r="AZ488" s="949">
        <f t="shared" si="927"/>
        <v>8.4908201708226585</v>
      </c>
      <c r="BA488" s="843">
        <f t="shared" si="928"/>
        <v>8.4242125646516097</v>
      </c>
      <c r="BB488" s="34">
        <f t="shared" si="947"/>
        <v>-6.6607606171048772E-2</v>
      </c>
      <c r="BC488" s="35">
        <f t="shared" si="948"/>
        <v>-7.8446610375679758E-3</v>
      </c>
      <c r="BE488" s="31">
        <f t="shared" si="949"/>
        <v>7.3408567370571456</v>
      </c>
      <c r="BF488" s="25">
        <f t="shared" si="950"/>
        <v>6.2120569051504111</v>
      </c>
      <c r="BG488" s="32">
        <f t="shared" si="951"/>
        <v>-1.1287998319067345</v>
      </c>
      <c r="BH488" s="33">
        <f t="shared" si="952"/>
        <v>-0.15376949480684945</v>
      </c>
      <c r="BJ488" s="31">
        <f t="shared" si="929"/>
        <v>6.9975809781389149</v>
      </c>
      <c r="BK488" s="25">
        <f t="shared" si="930"/>
        <v>5.0936451741335489</v>
      </c>
      <c r="BL488" s="32">
        <f t="shared" si="931"/>
        <v>-1.903935804005366</v>
      </c>
      <c r="BM488" s="33">
        <f t="shared" si="932"/>
        <v>-0.27208485474529498</v>
      </c>
      <c r="BO488" s="62"/>
      <c r="BP488" s="62"/>
      <c r="BQ488" s="62"/>
      <c r="BR488" s="63"/>
    </row>
    <row r="489" spans="1:70">
      <c r="A489" s="1"/>
      <c r="B489" s="1284"/>
      <c r="D489" s="4" t="s">
        <v>724</v>
      </c>
      <c r="E489" s="88">
        <f t="shared" ref="E489:L489" si="957">E488-SUM(E477:E480)</f>
        <v>11.693188357766994</v>
      </c>
      <c r="F489" s="88">
        <f t="shared" si="957"/>
        <v>10.704059907904565</v>
      </c>
      <c r="G489" s="88">
        <f t="shared" si="957"/>
        <v>8.4720643595107372</v>
      </c>
      <c r="H489" s="88">
        <f t="shared" si="957"/>
        <v>7.2048806379156911</v>
      </c>
      <c r="I489" s="88">
        <f t="shared" si="957"/>
        <v>2.8565198832825267</v>
      </c>
      <c r="J489" s="88">
        <f t="shared" si="957"/>
        <v>4.3478601749578374</v>
      </c>
      <c r="K489" s="88">
        <f t="shared" si="957"/>
        <v>4.2663390309767664</v>
      </c>
      <c r="L489" s="88">
        <f t="shared" si="957"/>
        <v>4.1146760628699868</v>
      </c>
      <c r="M489" s="1042"/>
      <c r="N489" s="81">
        <f t="shared" ref="N489:U489" si="958">N488-SUM(N477:N480)</f>
        <v>7.960678950311153</v>
      </c>
      <c r="O489" s="81">
        <f t="shared" si="958"/>
        <v>7.6912141189765109</v>
      </c>
      <c r="P489" s="81">
        <f t="shared" si="958"/>
        <v>6.9230256524183638</v>
      </c>
      <c r="Q489" s="81">
        <f t="shared" si="958"/>
        <v>6.4655797499524255</v>
      </c>
      <c r="R489" s="81">
        <f t="shared" si="958"/>
        <v>5.2278488032483086</v>
      </c>
      <c r="S489" s="81">
        <f t="shared" si="958"/>
        <v>5.4317558189340982</v>
      </c>
      <c r="T489" s="81">
        <f t="shared" si="958"/>
        <v>5.0841228973633186</v>
      </c>
      <c r="U489" s="81">
        <f t="shared" si="958"/>
        <v>4.8858696097054537</v>
      </c>
      <c r="V489" s="1"/>
      <c r="W489" s="85">
        <f t="shared" ref="W489:AD489" si="959">W488-SUM(W477:W480)</f>
        <v>3.6335889683018547</v>
      </c>
      <c r="X489" s="85">
        <f t="shared" si="959"/>
        <v>6.4261912846839566</v>
      </c>
      <c r="Y489" s="85">
        <f t="shared" si="959"/>
        <v>7.5500680603458896</v>
      </c>
      <c r="Z489" s="85">
        <f>Z488-SUM(Z477:Z480)</f>
        <v>10.176851851358997</v>
      </c>
      <c r="AA489" s="85">
        <f>AA488-SUM(AA477:AA480)</f>
        <v>6.3504825256345372</v>
      </c>
      <c r="AB489" s="85">
        <f t="shared" si="959"/>
        <v>5.2781608590269506</v>
      </c>
      <c r="AC489" s="85">
        <f t="shared" ref="AC489" si="960">AC488-SUM(AC477:AC480)</f>
        <v>4.6036451741335487</v>
      </c>
      <c r="AD489" s="91">
        <f t="shared" si="959"/>
        <v>0</v>
      </c>
      <c r="AE489" s="1"/>
      <c r="AF489" s="81">
        <f t="shared" si="933"/>
        <v>7.960678950311153</v>
      </c>
      <c r="AG489" s="85">
        <f t="shared" si="934"/>
        <v>3.6335889683018547</v>
      </c>
      <c r="AH489" s="34">
        <f>IF(AG489&gt;0,AG489-AF489,"")</f>
        <v>-4.3270899820092978</v>
      </c>
      <c r="AI489" s="35">
        <f>IF(AG489&gt;0,AH489/AF489,"")</f>
        <v>-0.54355790618087518</v>
      </c>
      <c r="AK489" s="81">
        <f t="shared" si="925"/>
        <v>7.6912141189765109</v>
      </c>
      <c r="AL489" s="85">
        <f t="shared" si="926"/>
        <v>6.4261912846839566</v>
      </c>
      <c r="AM489" s="34">
        <f>IF(AL489&gt;0,AL489-AK489,"")</f>
        <v>-1.2650228342925542</v>
      </c>
      <c r="AN489" s="35">
        <f>IF(AL489&gt;0,AM489/AK489,"")</f>
        <v>-0.16447635116169332</v>
      </c>
      <c r="AP489" s="81">
        <f t="shared" si="939"/>
        <v>6.9230256524183638</v>
      </c>
      <c r="AQ489" s="85">
        <f>Y489</f>
        <v>7.5500680603458896</v>
      </c>
      <c r="AR489" s="34">
        <f t="shared" si="941"/>
        <v>0.62704240792752586</v>
      </c>
      <c r="AS489" s="35">
        <f t="shared" si="942"/>
        <v>9.057346302168999E-2</v>
      </c>
      <c r="AU489" s="949">
        <f t="shared" si="943"/>
        <v>6.4655797499524255</v>
      </c>
      <c r="AV489" s="843">
        <f t="shared" si="944"/>
        <v>10.176851851358997</v>
      </c>
      <c r="AW489" s="34">
        <f t="shared" si="945"/>
        <v>3.7112721014065713</v>
      </c>
      <c r="AX489" s="35">
        <f t="shared" si="946"/>
        <v>0.57400453554592368</v>
      </c>
      <c r="AZ489" s="949">
        <f t="shared" si="927"/>
        <v>5.2278488032483086</v>
      </c>
      <c r="BA489" s="843">
        <f t="shared" si="928"/>
        <v>6.3504825256345372</v>
      </c>
      <c r="BB489" s="34">
        <f t="shared" si="947"/>
        <v>1.1226337223862286</v>
      </c>
      <c r="BC489" s="35">
        <f t="shared" si="948"/>
        <v>0.21474104639152597</v>
      </c>
      <c r="BE489" s="31">
        <f t="shared" si="949"/>
        <v>5.4317558189340982</v>
      </c>
      <c r="BF489" s="25">
        <f t="shared" si="950"/>
        <v>5.2781608590269506</v>
      </c>
      <c r="BG489" s="32">
        <f t="shared" si="951"/>
        <v>-0.15359495990714755</v>
      </c>
      <c r="BH489" s="33">
        <f t="shared" si="952"/>
        <v>-2.8277221036288831E-2</v>
      </c>
      <c r="BJ489" s="31">
        <f t="shared" si="929"/>
        <v>5.0841228973633186</v>
      </c>
      <c r="BK489" s="25">
        <f t="shared" si="930"/>
        <v>4.6036451741335487</v>
      </c>
      <c r="BL489" s="32">
        <f t="shared" si="931"/>
        <v>-0.48047772322976989</v>
      </c>
      <c r="BM489" s="33">
        <f t="shared" si="932"/>
        <v>-9.4505528864959359E-2</v>
      </c>
      <c r="BO489" s="62"/>
      <c r="BP489" s="62"/>
      <c r="BQ489" s="62"/>
      <c r="BR489" s="63"/>
    </row>
    <row r="490" spans="1:70" ht="14.5" customHeight="1">
      <c r="B490" s="1284"/>
      <c r="S490" s="122"/>
      <c r="AB490" s="122"/>
    </row>
    <row r="491" spans="1:70" ht="14.5" customHeight="1">
      <c r="B491" s="1284"/>
      <c r="D491" s="1" t="s">
        <v>77</v>
      </c>
      <c r="S491" s="122"/>
      <c r="AB491" s="122"/>
    </row>
    <row r="492" spans="1:70" ht="14.5" customHeight="1">
      <c r="B492" s="1284"/>
      <c r="E492" s="1300" t="s">
        <v>733</v>
      </c>
      <c r="F492" s="1301"/>
      <c r="G492" s="1301"/>
      <c r="H492" s="1301"/>
      <c r="I492" s="1301"/>
      <c r="J492" s="1301"/>
      <c r="K492" s="1301"/>
      <c r="L492" s="1302"/>
      <c r="N492" s="245" t="s">
        <v>291</v>
      </c>
      <c r="O492" s="246"/>
      <c r="P492" s="246"/>
      <c r="Q492" s="246"/>
      <c r="R492" s="246"/>
      <c r="S492" s="246"/>
      <c r="T492" s="246"/>
      <c r="U492" s="247"/>
      <c r="W492" s="1079" t="s">
        <v>292</v>
      </c>
      <c r="X492" s="1080"/>
      <c r="Y492" s="1080"/>
      <c r="Z492" s="1080"/>
      <c r="AA492" s="1080"/>
      <c r="AB492" s="1080"/>
      <c r="AC492" s="1080"/>
      <c r="AD492" s="1081"/>
      <c r="AF492" s="102" t="s">
        <v>297</v>
      </c>
      <c r="AG492" s="102" t="s">
        <v>298</v>
      </c>
      <c r="AH492" s="1304" t="s">
        <v>602</v>
      </c>
      <c r="AI492" s="1304"/>
      <c r="AK492" s="102" t="s">
        <v>297</v>
      </c>
      <c r="AL492" s="102" t="s">
        <v>298</v>
      </c>
      <c r="AM492" s="1304" t="s">
        <v>602</v>
      </c>
      <c r="AN492" s="1304"/>
      <c r="AP492" s="6" t="s">
        <v>297</v>
      </c>
      <c r="AQ492" s="5" t="s">
        <v>298</v>
      </c>
      <c r="AR492" s="1303" t="s">
        <v>602</v>
      </c>
      <c r="AS492" s="1303"/>
      <c r="AU492" s="6" t="s">
        <v>297</v>
      </c>
      <c r="AV492" s="5" t="s">
        <v>298</v>
      </c>
      <c r="AW492" s="1303" t="s">
        <v>602</v>
      </c>
      <c r="AX492" s="1303"/>
      <c r="AZ492" s="6" t="s">
        <v>297</v>
      </c>
      <c r="BA492" s="5" t="s">
        <v>298</v>
      </c>
      <c r="BB492" s="1303" t="s">
        <v>602</v>
      </c>
      <c r="BC492" s="1303"/>
      <c r="BE492" s="6" t="s">
        <v>297</v>
      </c>
      <c r="BF492" s="5" t="s">
        <v>298</v>
      </c>
      <c r="BG492" s="1082" t="s">
        <v>602</v>
      </c>
      <c r="BH492" s="1082"/>
      <c r="BJ492" s="6" t="s">
        <v>297</v>
      </c>
      <c r="BK492" s="5" t="s">
        <v>298</v>
      </c>
      <c r="BL492" s="1082" t="s">
        <v>602</v>
      </c>
      <c r="BM492" s="1082"/>
      <c r="BO492" s="6" t="s">
        <v>297</v>
      </c>
      <c r="BP492" s="5" t="s">
        <v>298</v>
      </c>
      <c r="BQ492" s="1303" t="s">
        <v>602</v>
      </c>
      <c r="BR492" s="1303"/>
    </row>
    <row r="493" spans="1:70" ht="14.5" customHeight="1">
      <c r="A493" s="1"/>
      <c r="B493" s="1284"/>
      <c r="E493" s="196" t="s">
        <v>137</v>
      </c>
      <c r="F493" s="102" t="s">
        <v>138</v>
      </c>
      <c r="G493" s="102" t="s">
        <v>139</v>
      </c>
      <c r="H493" s="102" t="s">
        <v>140</v>
      </c>
      <c r="I493" s="102" t="s">
        <v>141</v>
      </c>
      <c r="J493" s="102" t="s">
        <v>126</v>
      </c>
      <c r="K493" s="102" t="s">
        <v>142</v>
      </c>
      <c r="L493" s="197" t="s">
        <v>143</v>
      </c>
      <c r="N493" s="196" t="s">
        <v>137</v>
      </c>
      <c r="O493" s="102" t="s">
        <v>138</v>
      </c>
      <c r="P493" s="102" t="s">
        <v>139</v>
      </c>
      <c r="Q493" s="102" t="s">
        <v>140</v>
      </c>
      <c r="R493" s="102" t="s">
        <v>141</v>
      </c>
      <c r="S493" s="102" t="s">
        <v>126</v>
      </c>
      <c r="T493" s="102" t="s">
        <v>142</v>
      </c>
      <c r="U493" s="197" t="s">
        <v>143</v>
      </c>
      <c r="W493" s="196" t="s">
        <v>137</v>
      </c>
      <c r="X493" s="1078" t="s">
        <v>138</v>
      </c>
      <c r="Y493" s="1078" t="s">
        <v>139</v>
      </c>
      <c r="Z493" s="1078" t="s">
        <v>140</v>
      </c>
      <c r="AA493" s="1078" t="s">
        <v>141</v>
      </c>
      <c r="AB493" s="1078" t="s">
        <v>126</v>
      </c>
      <c r="AC493" s="1078" t="s">
        <v>142</v>
      </c>
      <c r="AD493" s="197" t="s">
        <v>143</v>
      </c>
      <c r="AF493" s="102" t="s">
        <v>734</v>
      </c>
      <c r="AG493" s="102" t="s">
        <v>734</v>
      </c>
      <c r="AH493" s="102" t="s">
        <v>734</v>
      </c>
      <c r="AI493" s="102" t="s">
        <v>606</v>
      </c>
      <c r="AK493" s="102" t="s">
        <v>734</v>
      </c>
      <c r="AL493" s="102" t="s">
        <v>734</v>
      </c>
      <c r="AM493" s="102" t="s">
        <v>734</v>
      </c>
      <c r="AN493" s="102" t="s">
        <v>606</v>
      </c>
      <c r="AP493" s="5" t="s">
        <v>734</v>
      </c>
      <c r="AQ493" s="5" t="s">
        <v>734</v>
      </c>
      <c r="AR493" s="5" t="s">
        <v>734</v>
      </c>
      <c r="AS493" s="5" t="s">
        <v>606</v>
      </c>
      <c r="AU493" s="5" t="s">
        <v>734</v>
      </c>
      <c r="AV493" s="5" t="s">
        <v>734</v>
      </c>
      <c r="AW493" s="5" t="s">
        <v>734</v>
      </c>
      <c r="AX493" s="5" t="s">
        <v>606</v>
      </c>
      <c r="AZ493" s="5" t="s">
        <v>734</v>
      </c>
      <c r="BA493" s="5" t="s">
        <v>734</v>
      </c>
      <c r="BB493" s="5" t="s">
        <v>734</v>
      </c>
      <c r="BC493" s="5" t="s">
        <v>606</v>
      </c>
      <c r="BE493" s="5" t="s">
        <v>734</v>
      </c>
      <c r="BF493" s="5" t="s">
        <v>734</v>
      </c>
      <c r="BG493" s="5" t="s">
        <v>734</v>
      </c>
      <c r="BH493" s="5" t="s">
        <v>606</v>
      </c>
      <c r="BJ493" s="5" t="s">
        <v>734</v>
      </c>
      <c r="BK493" s="5" t="s">
        <v>734</v>
      </c>
      <c r="BL493" s="5" t="s">
        <v>734</v>
      </c>
      <c r="BM493" s="5" t="s">
        <v>606</v>
      </c>
      <c r="BO493" s="5" t="s">
        <v>734</v>
      </c>
      <c r="BP493" s="5" t="s">
        <v>734</v>
      </c>
      <c r="BQ493" s="5" t="s">
        <v>734</v>
      </c>
      <c r="BR493" s="5" t="s">
        <v>606</v>
      </c>
    </row>
    <row r="494" spans="1:70">
      <c r="B494" s="1284"/>
      <c r="D494" s="5" t="s">
        <v>161</v>
      </c>
      <c r="E494" s="87">
        <v>0</v>
      </c>
      <c r="F494" s="87">
        <v>0</v>
      </c>
      <c r="G494" s="87">
        <v>0</v>
      </c>
      <c r="H494" s="87">
        <v>0</v>
      </c>
      <c r="I494" s="87">
        <v>0</v>
      </c>
      <c r="J494" s="87">
        <v>0</v>
      </c>
      <c r="K494" s="87">
        <v>0</v>
      </c>
      <c r="L494" s="87">
        <v>0</v>
      </c>
      <c r="N494" s="29">
        <v>0</v>
      </c>
      <c r="O494" s="29">
        <v>0</v>
      </c>
      <c r="P494" s="29">
        <v>0</v>
      </c>
      <c r="Q494" s="29">
        <v>0</v>
      </c>
      <c r="R494" s="29">
        <v>0</v>
      </c>
      <c r="S494" s="29">
        <v>0</v>
      </c>
      <c r="T494" s="29">
        <v>0</v>
      </c>
      <c r="U494" s="29">
        <v>0</v>
      </c>
      <c r="W494" s="30">
        <v>0</v>
      </c>
      <c r="X494" s="30">
        <v>0</v>
      </c>
      <c r="Y494" s="30">
        <v>0</v>
      </c>
      <c r="Z494" s="30">
        <v>0</v>
      </c>
      <c r="AA494" s="30">
        <v>0</v>
      </c>
      <c r="AB494" s="85">
        <v>0</v>
      </c>
      <c r="AC494" s="85">
        <v>0</v>
      </c>
      <c r="AD494" s="90">
        <v>0</v>
      </c>
      <c r="AF494" s="29">
        <f>N494</f>
        <v>0</v>
      </c>
      <c r="AG494" s="30">
        <f>W494</f>
        <v>0</v>
      </c>
      <c r="AH494" s="32">
        <f>AG494-AF494</f>
        <v>0</v>
      </c>
      <c r="AI494" s="33" t="e">
        <f>AH494/AF494</f>
        <v>#DIV/0!</v>
      </c>
      <c r="AK494" s="29">
        <f t="shared" ref="AK494:AK509" si="961">O494</f>
        <v>0</v>
      </c>
      <c r="AL494" s="30">
        <f t="shared" ref="AL494:AL509" si="962">X494</f>
        <v>0</v>
      </c>
      <c r="AM494" s="32">
        <f>AL494-AK494</f>
        <v>0</v>
      </c>
      <c r="AN494" s="33" t="e">
        <f>AM494/AK494</f>
        <v>#DIV/0!</v>
      </c>
      <c r="AP494" s="29">
        <f>P494</f>
        <v>0</v>
      </c>
      <c r="AQ494" s="30">
        <f>Y494</f>
        <v>0</v>
      </c>
      <c r="AR494" s="32">
        <f>AQ494-AP494</f>
        <v>0</v>
      </c>
      <c r="AS494" s="33" t="e">
        <f>AR494/AP494</f>
        <v>#DIV/0!</v>
      </c>
      <c r="AU494" s="31">
        <f>Q494</f>
        <v>0</v>
      </c>
      <c r="AV494" s="25">
        <f>Z494</f>
        <v>0</v>
      </c>
      <c r="AW494" s="32">
        <f>AV494-AU494</f>
        <v>0</v>
      </c>
      <c r="AX494" s="33" t="e">
        <f>AW494/AU494</f>
        <v>#DIV/0!</v>
      </c>
      <c r="AZ494" s="31">
        <f t="shared" ref="AZ494:AZ509" si="963">R494</f>
        <v>0</v>
      </c>
      <c r="BA494" s="25">
        <f t="shared" ref="BA494:BA509" si="964">AA494</f>
        <v>0</v>
      </c>
      <c r="BB494" s="32">
        <f>BA494-AZ494</f>
        <v>0</v>
      </c>
      <c r="BC494" s="33" t="e">
        <f>BB494/AZ494</f>
        <v>#DIV/0!</v>
      </c>
      <c r="BE494" s="31">
        <f>S494</f>
        <v>0</v>
      </c>
      <c r="BF494" s="25">
        <f>AB494</f>
        <v>0</v>
      </c>
      <c r="BG494" s="32">
        <f>BF494-BE494</f>
        <v>0</v>
      </c>
      <c r="BH494" s="33" t="e">
        <f>BG494/BE494</f>
        <v>#DIV/0!</v>
      </c>
      <c r="BJ494" s="31">
        <f t="shared" ref="BJ494:BJ509" si="965">T494</f>
        <v>0</v>
      </c>
      <c r="BK494" s="25">
        <f t="shared" ref="BK494:BK509" si="966">AC494</f>
        <v>0</v>
      </c>
      <c r="BL494" s="32">
        <f t="shared" ref="BL494:BL509" si="967">BK494-BJ494</f>
        <v>0</v>
      </c>
      <c r="BM494" s="33" t="e">
        <f t="shared" ref="BM494:BM509" si="968">BL494/BJ494</f>
        <v>#DIV/0!</v>
      </c>
      <c r="BO494" s="62"/>
      <c r="BP494" s="62"/>
      <c r="BQ494" s="62"/>
      <c r="BR494" s="63"/>
    </row>
    <row r="495" spans="1:70">
      <c r="B495" s="1284"/>
      <c r="D495" s="5" t="s">
        <v>162</v>
      </c>
      <c r="E495" s="87">
        <v>0</v>
      </c>
      <c r="F495" s="87">
        <v>0</v>
      </c>
      <c r="G495" s="87">
        <v>0</v>
      </c>
      <c r="H495" s="87">
        <v>0</v>
      </c>
      <c r="I495" s="87">
        <v>0</v>
      </c>
      <c r="J495" s="87">
        <v>0</v>
      </c>
      <c r="K495" s="87">
        <v>0</v>
      </c>
      <c r="L495" s="87">
        <v>0</v>
      </c>
      <c r="N495" s="29">
        <v>0</v>
      </c>
      <c r="O495" s="29">
        <v>0</v>
      </c>
      <c r="P495" s="29">
        <v>0</v>
      </c>
      <c r="Q495" s="29">
        <v>0</v>
      </c>
      <c r="R495" s="29">
        <v>0</v>
      </c>
      <c r="S495" s="29">
        <v>0</v>
      </c>
      <c r="T495" s="29">
        <v>0</v>
      </c>
      <c r="U495" s="29">
        <v>0</v>
      </c>
      <c r="W495" s="30">
        <v>0.40982327112899958</v>
      </c>
      <c r="X495" s="30">
        <v>0</v>
      </c>
      <c r="Y495" s="30">
        <v>0</v>
      </c>
      <c r="Z495" s="30">
        <v>0</v>
      </c>
      <c r="AA495" s="30">
        <v>0</v>
      </c>
      <c r="AB495" s="85">
        <v>0</v>
      </c>
      <c r="AC495" s="85">
        <v>0</v>
      </c>
      <c r="AD495" s="90">
        <v>0</v>
      </c>
      <c r="AF495" s="29">
        <f t="shared" ref="AF495:AF509" si="969">N495</f>
        <v>0</v>
      </c>
      <c r="AG495" s="30">
        <f t="shared" ref="AG495:AG509" si="970">W495</f>
        <v>0.40982327112899958</v>
      </c>
      <c r="AH495" s="32">
        <f t="shared" ref="AH495:AH507" si="971">AG495-AF495</f>
        <v>0.40982327112899958</v>
      </c>
      <c r="AI495" s="33" t="e">
        <f t="shared" ref="AI495:AI507" si="972">AH495/AF495</f>
        <v>#DIV/0!</v>
      </c>
      <c r="AK495" s="29">
        <f t="shared" si="961"/>
        <v>0</v>
      </c>
      <c r="AL495" s="30">
        <f t="shared" si="962"/>
        <v>0</v>
      </c>
      <c r="AM495" s="32">
        <f t="shared" ref="AM495:AM507" si="973">AL495-AK495</f>
        <v>0</v>
      </c>
      <c r="AN495" s="33" t="e">
        <f t="shared" ref="AN495:AN507" si="974">AM495/AK495</f>
        <v>#DIV/0!</v>
      </c>
      <c r="AP495" s="29">
        <f t="shared" ref="AP495:AP509" si="975">P495</f>
        <v>0</v>
      </c>
      <c r="AQ495" s="30">
        <f t="shared" ref="AQ495:AQ508" si="976">Y495</f>
        <v>0</v>
      </c>
      <c r="AR495" s="32">
        <f t="shared" ref="AR495:AR509" si="977">AQ495-AP495</f>
        <v>0</v>
      </c>
      <c r="AS495" s="33" t="e">
        <f t="shared" ref="AS495:AS509" si="978">AR495/AP495</f>
        <v>#DIV/0!</v>
      </c>
      <c r="AU495" s="31">
        <f t="shared" ref="AU495:AU509" si="979">Q495</f>
        <v>0</v>
      </c>
      <c r="AV495" s="25">
        <f t="shared" ref="AV495:AV509" si="980">Z495</f>
        <v>0</v>
      </c>
      <c r="AW495" s="32">
        <f t="shared" ref="AW495:AW509" si="981">AV495-AU495</f>
        <v>0</v>
      </c>
      <c r="AX495" s="33" t="e">
        <f t="shared" ref="AX495:AX509" si="982">AW495/AU495</f>
        <v>#DIV/0!</v>
      </c>
      <c r="AZ495" s="31">
        <f t="shared" si="963"/>
        <v>0</v>
      </c>
      <c r="BA495" s="25">
        <f t="shared" si="964"/>
        <v>0</v>
      </c>
      <c r="BB495" s="32">
        <f t="shared" ref="BB495:BB509" si="983">BA495-AZ495</f>
        <v>0</v>
      </c>
      <c r="BC495" s="33" t="e">
        <f t="shared" ref="BC495:BC509" si="984">BB495/AZ495</f>
        <v>#DIV/0!</v>
      </c>
      <c r="BE495" s="31">
        <f t="shared" ref="BE495:BE509" si="985">S495</f>
        <v>0</v>
      </c>
      <c r="BF495" s="25">
        <f t="shared" ref="BF495:BF509" si="986">AB495</f>
        <v>0</v>
      </c>
      <c r="BG495" s="32">
        <f t="shared" ref="BG495:BG509" si="987">BF495-BE495</f>
        <v>0</v>
      </c>
      <c r="BH495" s="33" t="e">
        <f t="shared" ref="BH495:BH509" si="988">BG495/BE495</f>
        <v>#DIV/0!</v>
      </c>
      <c r="BJ495" s="31">
        <f t="shared" si="965"/>
        <v>0</v>
      </c>
      <c r="BK495" s="25">
        <f t="shared" si="966"/>
        <v>0</v>
      </c>
      <c r="BL495" s="32">
        <f t="shared" si="967"/>
        <v>0</v>
      </c>
      <c r="BM495" s="33" t="e">
        <f t="shared" si="968"/>
        <v>#DIV/0!</v>
      </c>
      <c r="BO495" s="62"/>
      <c r="BP495" s="62"/>
      <c r="BQ495" s="62"/>
      <c r="BR495" s="63"/>
    </row>
    <row r="496" spans="1:70">
      <c r="B496" s="1284"/>
      <c r="D496" s="5" t="s">
        <v>163</v>
      </c>
      <c r="E496" s="87">
        <v>0</v>
      </c>
      <c r="F496" s="87">
        <v>0</v>
      </c>
      <c r="G496" s="87">
        <v>0</v>
      </c>
      <c r="H496" s="87">
        <v>0</v>
      </c>
      <c r="I496" s="87">
        <v>0</v>
      </c>
      <c r="J496" s="87">
        <v>0</v>
      </c>
      <c r="K496" s="87">
        <v>0</v>
      </c>
      <c r="L496" s="87">
        <v>0</v>
      </c>
      <c r="N496" s="29">
        <v>0</v>
      </c>
      <c r="O496" s="29">
        <v>0</v>
      </c>
      <c r="P496" s="29">
        <v>0</v>
      </c>
      <c r="Q496" s="29">
        <v>0</v>
      </c>
      <c r="R496" s="29">
        <v>0</v>
      </c>
      <c r="S496" s="29">
        <v>0</v>
      </c>
      <c r="T496" s="29">
        <v>0</v>
      </c>
      <c r="U496" s="29">
        <v>0</v>
      </c>
      <c r="W496" s="30">
        <v>0.44857778461746772</v>
      </c>
      <c r="X496" s="30">
        <v>7.2880687253188085E-3</v>
      </c>
      <c r="Y496" s="30">
        <v>2.0470690013230453E-3</v>
      </c>
      <c r="Z496" s="30">
        <v>0</v>
      </c>
      <c r="AA496" s="30">
        <v>0</v>
      </c>
      <c r="AB496" s="85">
        <v>0</v>
      </c>
      <c r="AC496" s="85">
        <v>0</v>
      </c>
      <c r="AD496" s="90">
        <v>0</v>
      </c>
      <c r="AF496" s="29">
        <f t="shared" si="969"/>
        <v>0</v>
      </c>
      <c r="AG496" s="30">
        <f t="shared" si="970"/>
        <v>0.44857778461746772</v>
      </c>
      <c r="AH496" s="32">
        <f t="shared" si="971"/>
        <v>0.44857778461746772</v>
      </c>
      <c r="AI496" s="33" t="e">
        <f t="shared" si="972"/>
        <v>#DIV/0!</v>
      </c>
      <c r="AK496" s="29">
        <f t="shared" si="961"/>
        <v>0</v>
      </c>
      <c r="AL496" s="30">
        <f t="shared" si="962"/>
        <v>7.2880687253188085E-3</v>
      </c>
      <c r="AM496" s="32">
        <f t="shared" si="973"/>
        <v>7.2880687253188085E-3</v>
      </c>
      <c r="AN496" s="33" t="e">
        <f t="shared" si="974"/>
        <v>#DIV/0!</v>
      </c>
      <c r="AP496" s="29">
        <f t="shared" si="975"/>
        <v>0</v>
      </c>
      <c r="AQ496" s="30">
        <f t="shared" si="976"/>
        <v>2.0470690013230453E-3</v>
      </c>
      <c r="AR496" s="32">
        <f t="shared" si="977"/>
        <v>2.0470690013230453E-3</v>
      </c>
      <c r="AS496" s="33" t="e">
        <f t="shared" si="978"/>
        <v>#DIV/0!</v>
      </c>
      <c r="AU496" s="31">
        <f t="shared" si="979"/>
        <v>0</v>
      </c>
      <c r="AV496" s="25">
        <f t="shared" si="980"/>
        <v>0</v>
      </c>
      <c r="AW496" s="32">
        <f t="shared" si="981"/>
        <v>0</v>
      </c>
      <c r="AX496" s="33" t="e">
        <f t="shared" si="982"/>
        <v>#DIV/0!</v>
      </c>
      <c r="AZ496" s="31">
        <f t="shared" si="963"/>
        <v>0</v>
      </c>
      <c r="BA496" s="25">
        <f t="shared" si="964"/>
        <v>0</v>
      </c>
      <c r="BB496" s="32">
        <f t="shared" si="983"/>
        <v>0</v>
      </c>
      <c r="BC496" s="33" t="e">
        <f t="shared" si="984"/>
        <v>#DIV/0!</v>
      </c>
      <c r="BE496" s="31">
        <f t="shared" si="985"/>
        <v>0</v>
      </c>
      <c r="BF496" s="25">
        <f t="shared" si="986"/>
        <v>0</v>
      </c>
      <c r="BG496" s="32">
        <f t="shared" si="987"/>
        <v>0</v>
      </c>
      <c r="BH496" s="33" t="e">
        <f t="shared" si="988"/>
        <v>#DIV/0!</v>
      </c>
      <c r="BJ496" s="31">
        <f t="shared" si="965"/>
        <v>0</v>
      </c>
      <c r="BK496" s="25">
        <f t="shared" si="966"/>
        <v>0</v>
      </c>
      <c r="BL496" s="32">
        <f t="shared" si="967"/>
        <v>0</v>
      </c>
      <c r="BM496" s="33" t="e">
        <f t="shared" si="968"/>
        <v>#DIV/0!</v>
      </c>
      <c r="BO496" s="62"/>
      <c r="BP496" s="62"/>
      <c r="BQ496" s="62"/>
      <c r="BR496" s="63"/>
    </row>
    <row r="497" spans="1:70">
      <c r="B497" s="1284"/>
      <c r="D497" s="5" t="s">
        <v>164</v>
      </c>
      <c r="E497" s="87">
        <v>3.894361020357942</v>
      </c>
      <c r="F497" s="87">
        <v>3.8999737718230119</v>
      </c>
      <c r="G497" s="87">
        <v>0</v>
      </c>
      <c r="H497" s="87">
        <v>0</v>
      </c>
      <c r="I497" s="87">
        <v>0</v>
      </c>
      <c r="J497" s="87">
        <v>0</v>
      </c>
      <c r="K497" s="87">
        <v>0</v>
      </c>
      <c r="L497" s="87">
        <v>0</v>
      </c>
      <c r="N497" s="29">
        <v>3.894361020357942</v>
      </c>
      <c r="O497" s="29">
        <v>3.8999737718230119</v>
      </c>
      <c r="P497" s="29">
        <v>0</v>
      </c>
      <c r="Q497" s="29">
        <v>0</v>
      </c>
      <c r="R497" s="29">
        <v>0</v>
      </c>
      <c r="S497" s="29">
        <v>0</v>
      </c>
      <c r="T497" s="29">
        <v>0</v>
      </c>
      <c r="U497" s="29">
        <v>0</v>
      </c>
      <c r="W497" s="30">
        <v>0.70895180566851557</v>
      </c>
      <c r="X497" s="30">
        <v>2.8457138819285115</v>
      </c>
      <c r="Y497" s="30">
        <v>1.252066071558485</v>
      </c>
      <c r="Z497" s="30">
        <v>0.12169196210484702</v>
      </c>
      <c r="AA497" s="30">
        <v>0</v>
      </c>
      <c r="AB497" s="85">
        <v>0</v>
      </c>
      <c r="AC497" s="85">
        <v>0</v>
      </c>
      <c r="AD497" s="90">
        <v>0</v>
      </c>
      <c r="AF497" s="29">
        <f t="shared" si="969"/>
        <v>3.894361020357942</v>
      </c>
      <c r="AG497" s="30">
        <f t="shared" si="970"/>
        <v>0.70895180566851557</v>
      </c>
      <c r="AH497" s="32">
        <f t="shared" si="971"/>
        <v>-3.1854092146894262</v>
      </c>
      <c r="AI497" s="33">
        <f t="shared" si="972"/>
        <v>-0.81795426721805209</v>
      </c>
      <c r="AK497" s="29">
        <f t="shared" si="961"/>
        <v>3.8999737718230119</v>
      </c>
      <c r="AL497" s="30">
        <f t="shared" si="962"/>
        <v>2.8457138819285115</v>
      </c>
      <c r="AM497" s="32">
        <f t="shared" si="973"/>
        <v>-1.0542598898945004</v>
      </c>
      <c r="AN497" s="33">
        <f t="shared" si="974"/>
        <v>-0.27032486667255068</v>
      </c>
      <c r="AP497" s="29">
        <f t="shared" si="975"/>
        <v>0</v>
      </c>
      <c r="AQ497" s="30">
        <f t="shared" si="976"/>
        <v>1.252066071558485</v>
      </c>
      <c r="AR497" s="32">
        <f t="shared" si="977"/>
        <v>1.252066071558485</v>
      </c>
      <c r="AS497" s="33" t="e">
        <f t="shared" si="978"/>
        <v>#DIV/0!</v>
      </c>
      <c r="AU497" s="31">
        <f t="shared" si="979"/>
        <v>0</v>
      </c>
      <c r="AV497" s="25">
        <f t="shared" si="980"/>
        <v>0.12169196210484702</v>
      </c>
      <c r="AW497" s="32">
        <f t="shared" si="981"/>
        <v>0.12169196210484702</v>
      </c>
      <c r="AX497" s="33" t="e">
        <f t="shared" si="982"/>
        <v>#DIV/0!</v>
      </c>
      <c r="AZ497" s="31">
        <f t="shared" si="963"/>
        <v>0</v>
      </c>
      <c r="BA497" s="25">
        <f t="shared" si="964"/>
        <v>0</v>
      </c>
      <c r="BB497" s="32">
        <f t="shared" si="983"/>
        <v>0</v>
      </c>
      <c r="BC497" s="33" t="e">
        <f t="shared" si="984"/>
        <v>#DIV/0!</v>
      </c>
      <c r="BE497" s="31">
        <f t="shared" si="985"/>
        <v>0</v>
      </c>
      <c r="BF497" s="25">
        <f t="shared" si="986"/>
        <v>0</v>
      </c>
      <c r="BG497" s="32">
        <f t="shared" si="987"/>
        <v>0</v>
      </c>
      <c r="BH497" s="33" t="e">
        <f t="shared" si="988"/>
        <v>#DIV/0!</v>
      </c>
      <c r="BJ497" s="31">
        <f t="shared" si="965"/>
        <v>0</v>
      </c>
      <c r="BK497" s="25">
        <f t="shared" si="966"/>
        <v>0</v>
      </c>
      <c r="BL497" s="32">
        <f t="shared" si="967"/>
        <v>0</v>
      </c>
      <c r="BM497" s="33" t="e">
        <f t="shared" si="968"/>
        <v>#DIV/0!</v>
      </c>
      <c r="BO497" s="62"/>
      <c r="BP497" s="62"/>
      <c r="BQ497" s="62"/>
      <c r="BR497" s="63"/>
    </row>
    <row r="498" spans="1:70">
      <c r="B498" s="1284"/>
      <c r="D498" s="5" t="s">
        <v>165</v>
      </c>
      <c r="E498" s="87">
        <v>5.844221991186231</v>
      </c>
      <c r="F498" s="87">
        <v>5.8472218876214281</v>
      </c>
      <c r="G498" s="87">
        <v>0</v>
      </c>
      <c r="H498" s="87">
        <v>0</v>
      </c>
      <c r="I498" s="87">
        <v>0</v>
      </c>
      <c r="J498" s="87">
        <v>0</v>
      </c>
      <c r="K498" s="87">
        <v>0</v>
      </c>
      <c r="L498" s="87">
        <v>0</v>
      </c>
      <c r="N498" s="29">
        <v>5.844221991186231</v>
      </c>
      <c r="O498" s="29">
        <v>5.8472218876214281</v>
      </c>
      <c r="P498" s="29">
        <v>0</v>
      </c>
      <c r="Q498" s="29">
        <v>0</v>
      </c>
      <c r="R498" s="29">
        <v>0</v>
      </c>
      <c r="S498" s="29">
        <v>0</v>
      </c>
      <c r="T498" s="29">
        <v>0</v>
      </c>
      <c r="U498" s="29">
        <v>0</v>
      </c>
      <c r="W498" s="30">
        <v>0.92699856302012462</v>
      </c>
      <c r="X498" s="30">
        <v>3.0986401332870428</v>
      </c>
      <c r="Y498" s="30">
        <v>1.8448223558426815</v>
      </c>
      <c r="Z498" s="30">
        <v>7.4025615937425002E-2</v>
      </c>
      <c r="AA498" s="30">
        <v>0</v>
      </c>
      <c r="AB498" s="85">
        <v>0</v>
      </c>
      <c r="AC498" s="85">
        <v>0</v>
      </c>
      <c r="AD498" s="90">
        <v>0</v>
      </c>
      <c r="AF498" s="29">
        <f t="shared" si="969"/>
        <v>5.844221991186231</v>
      </c>
      <c r="AG498" s="30">
        <f t="shared" si="970"/>
        <v>0.92699856302012462</v>
      </c>
      <c r="AH498" s="32">
        <f t="shared" si="971"/>
        <v>-4.917223428166106</v>
      </c>
      <c r="AI498" s="33">
        <f t="shared" si="972"/>
        <v>-0.8413820411992996</v>
      </c>
      <c r="AK498" s="29">
        <f t="shared" si="961"/>
        <v>5.8472218876214281</v>
      </c>
      <c r="AL498" s="30">
        <f t="shared" si="962"/>
        <v>3.0986401332870428</v>
      </c>
      <c r="AM498" s="32">
        <f t="shared" si="973"/>
        <v>-2.7485817543343853</v>
      </c>
      <c r="AN498" s="33">
        <f t="shared" si="974"/>
        <v>-0.47006626516998345</v>
      </c>
      <c r="AP498" s="29">
        <f t="shared" si="975"/>
        <v>0</v>
      </c>
      <c r="AQ498" s="30">
        <f t="shared" si="976"/>
        <v>1.8448223558426815</v>
      </c>
      <c r="AR498" s="32">
        <f t="shared" si="977"/>
        <v>1.8448223558426815</v>
      </c>
      <c r="AS498" s="33" t="e">
        <f t="shared" si="978"/>
        <v>#DIV/0!</v>
      </c>
      <c r="AU498" s="31">
        <f t="shared" si="979"/>
        <v>0</v>
      </c>
      <c r="AV498" s="25">
        <f t="shared" si="980"/>
        <v>7.4025615937425002E-2</v>
      </c>
      <c r="AW498" s="32">
        <f t="shared" si="981"/>
        <v>7.4025615937425002E-2</v>
      </c>
      <c r="AX498" s="33" t="e">
        <f t="shared" si="982"/>
        <v>#DIV/0!</v>
      </c>
      <c r="AZ498" s="31">
        <f t="shared" si="963"/>
        <v>0</v>
      </c>
      <c r="BA498" s="25">
        <f t="shared" si="964"/>
        <v>0</v>
      </c>
      <c r="BB498" s="32">
        <f t="shared" si="983"/>
        <v>0</v>
      </c>
      <c r="BC498" s="33" t="e">
        <f t="shared" si="984"/>
        <v>#DIV/0!</v>
      </c>
      <c r="BE498" s="31">
        <f t="shared" si="985"/>
        <v>0</v>
      </c>
      <c r="BF498" s="25">
        <f t="shared" si="986"/>
        <v>0</v>
      </c>
      <c r="BG498" s="32">
        <f t="shared" si="987"/>
        <v>0</v>
      </c>
      <c r="BH498" s="33" t="e">
        <f t="shared" si="988"/>
        <v>#DIV/0!</v>
      </c>
      <c r="BJ498" s="31">
        <f t="shared" si="965"/>
        <v>0</v>
      </c>
      <c r="BK498" s="25">
        <f t="shared" si="966"/>
        <v>0</v>
      </c>
      <c r="BL498" s="32">
        <f t="shared" si="967"/>
        <v>0</v>
      </c>
      <c r="BM498" s="33" t="e">
        <f t="shared" si="968"/>
        <v>#DIV/0!</v>
      </c>
      <c r="BO498" s="62"/>
      <c r="BP498" s="62"/>
      <c r="BQ498" s="62"/>
      <c r="BR498" s="63"/>
    </row>
    <row r="499" spans="1:70">
      <c r="B499" s="1284"/>
      <c r="D499" s="5" t="s">
        <v>166</v>
      </c>
      <c r="E499" s="87">
        <v>0</v>
      </c>
      <c r="F499" s="87">
        <v>0</v>
      </c>
      <c r="G499" s="87">
        <v>0</v>
      </c>
      <c r="H499" s="87">
        <v>0</v>
      </c>
      <c r="I499" s="87">
        <v>0</v>
      </c>
      <c r="J499" s="87">
        <v>0</v>
      </c>
      <c r="K499" s="87">
        <v>0</v>
      </c>
      <c r="L499" s="87">
        <v>0</v>
      </c>
      <c r="N499" s="29">
        <v>0</v>
      </c>
      <c r="O499" s="29">
        <v>0</v>
      </c>
      <c r="P499" s="29">
        <v>0</v>
      </c>
      <c r="Q499" s="29">
        <v>0</v>
      </c>
      <c r="R499" s="29">
        <v>0</v>
      </c>
      <c r="S499" s="29">
        <v>0</v>
      </c>
      <c r="T499" s="29">
        <v>0</v>
      </c>
      <c r="U499" s="29">
        <v>0</v>
      </c>
      <c r="W499" s="30">
        <v>0.29180844919497523</v>
      </c>
      <c r="X499" s="30">
        <v>9.4759278015940099E-2</v>
      </c>
      <c r="Y499" s="30">
        <v>5.8856839378992236E-3</v>
      </c>
      <c r="Z499" s="30">
        <v>0</v>
      </c>
      <c r="AA499" s="30">
        <v>0</v>
      </c>
      <c r="AB499" s="85">
        <v>0</v>
      </c>
      <c r="AC499" s="85">
        <v>0</v>
      </c>
      <c r="AD499" s="90">
        <v>0</v>
      </c>
      <c r="AF499" s="29">
        <f t="shared" si="969"/>
        <v>0</v>
      </c>
      <c r="AG499" s="30">
        <f t="shared" si="970"/>
        <v>0.29180844919497523</v>
      </c>
      <c r="AH499" s="32">
        <f t="shared" si="971"/>
        <v>0.29180844919497523</v>
      </c>
      <c r="AI499" s="33" t="e">
        <f t="shared" si="972"/>
        <v>#DIV/0!</v>
      </c>
      <c r="AK499" s="29">
        <f t="shared" si="961"/>
        <v>0</v>
      </c>
      <c r="AL499" s="30">
        <f t="shared" si="962"/>
        <v>9.4759278015940099E-2</v>
      </c>
      <c r="AM499" s="32">
        <f t="shared" si="973"/>
        <v>9.4759278015940099E-2</v>
      </c>
      <c r="AN499" s="33" t="e">
        <f t="shared" si="974"/>
        <v>#DIV/0!</v>
      </c>
      <c r="AP499" s="29">
        <f t="shared" si="975"/>
        <v>0</v>
      </c>
      <c r="AQ499" s="30">
        <f t="shared" si="976"/>
        <v>5.8856839378992236E-3</v>
      </c>
      <c r="AR499" s="32">
        <f t="shared" si="977"/>
        <v>5.8856839378992236E-3</v>
      </c>
      <c r="AS499" s="33" t="e">
        <f t="shared" si="978"/>
        <v>#DIV/0!</v>
      </c>
      <c r="AU499" s="31">
        <f t="shared" si="979"/>
        <v>0</v>
      </c>
      <c r="AV499" s="25">
        <f t="shared" si="980"/>
        <v>0</v>
      </c>
      <c r="AW499" s="32">
        <f t="shared" si="981"/>
        <v>0</v>
      </c>
      <c r="AX499" s="33" t="e">
        <f t="shared" si="982"/>
        <v>#DIV/0!</v>
      </c>
      <c r="AZ499" s="31">
        <f t="shared" si="963"/>
        <v>0</v>
      </c>
      <c r="BA499" s="25">
        <f t="shared" si="964"/>
        <v>0</v>
      </c>
      <c r="BB499" s="32">
        <f t="shared" si="983"/>
        <v>0</v>
      </c>
      <c r="BC499" s="33" t="e">
        <f t="shared" si="984"/>
        <v>#DIV/0!</v>
      </c>
      <c r="BE499" s="31">
        <f t="shared" si="985"/>
        <v>0</v>
      </c>
      <c r="BF499" s="25">
        <f t="shared" si="986"/>
        <v>0</v>
      </c>
      <c r="BG499" s="32">
        <f t="shared" si="987"/>
        <v>0</v>
      </c>
      <c r="BH499" s="33" t="e">
        <f t="shared" si="988"/>
        <v>#DIV/0!</v>
      </c>
      <c r="BJ499" s="31">
        <f t="shared" si="965"/>
        <v>0</v>
      </c>
      <c r="BK499" s="25">
        <f t="shared" si="966"/>
        <v>0</v>
      </c>
      <c r="BL499" s="32">
        <f t="shared" si="967"/>
        <v>0</v>
      </c>
      <c r="BM499" s="33" t="e">
        <f t="shared" si="968"/>
        <v>#DIV/0!</v>
      </c>
      <c r="BO499" s="62"/>
      <c r="BP499" s="62"/>
      <c r="BQ499" s="62"/>
      <c r="BR499" s="63"/>
    </row>
    <row r="500" spans="1:70">
      <c r="B500" s="1284"/>
      <c r="D500" s="5" t="s">
        <v>167</v>
      </c>
      <c r="E500" s="87">
        <v>0</v>
      </c>
      <c r="F500" s="87">
        <v>0</v>
      </c>
      <c r="G500" s="87">
        <v>0</v>
      </c>
      <c r="H500" s="87">
        <v>0</v>
      </c>
      <c r="I500" s="87">
        <v>0</v>
      </c>
      <c r="J500" s="87">
        <v>0</v>
      </c>
      <c r="K500" s="87">
        <v>0</v>
      </c>
      <c r="L500" s="87">
        <v>0</v>
      </c>
      <c r="N500" s="29">
        <v>0</v>
      </c>
      <c r="O500" s="29">
        <v>0</v>
      </c>
      <c r="P500" s="29">
        <v>0</v>
      </c>
      <c r="Q500" s="29">
        <v>0</v>
      </c>
      <c r="R500" s="29">
        <v>0</v>
      </c>
      <c r="S500" s="29">
        <v>0</v>
      </c>
      <c r="T500" s="29">
        <v>0</v>
      </c>
      <c r="U500" s="29">
        <v>0</v>
      </c>
      <c r="W500" s="30">
        <v>0</v>
      </c>
      <c r="X500" s="30">
        <v>0.27676284793503203</v>
      </c>
      <c r="Y500" s="30">
        <v>0.24470862834111773</v>
      </c>
      <c r="Z500" s="30">
        <v>0</v>
      </c>
      <c r="AA500" s="30">
        <v>0</v>
      </c>
      <c r="AB500" s="85">
        <v>0</v>
      </c>
      <c r="AC500" s="85">
        <v>0</v>
      </c>
      <c r="AD500" s="90">
        <v>0</v>
      </c>
      <c r="AF500" s="29">
        <f t="shared" si="969"/>
        <v>0</v>
      </c>
      <c r="AG500" s="30">
        <f t="shared" si="970"/>
        <v>0</v>
      </c>
      <c r="AH500" s="32">
        <f t="shared" si="971"/>
        <v>0</v>
      </c>
      <c r="AI500" s="33" t="e">
        <f t="shared" si="972"/>
        <v>#DIV/0!</v>
      </c>
      <c r="AK500" s="29">
        <f t="shared" si="961"/>
        <v>0</v>
      </c>
      <c r="AL500" s="30">
        <f t="shared" si="962"/>
        <v>0.27676284793503203</v>
      </c>
      <c r="AM500" s="32">
        <f t="shared" si="973"/>
        <v>0.27676284793503203</v>
      </c>
      <c r="AN500" s="33" t="e">
        <f t="shared" si="974"/>
        <v>#DIV/0!</v>
      </c>
      <c r="AP500" s="29">
        <f t="shared" si="975"/>
        <v>0</v>
      </c>
      <c r="AQ500" s="30">
        <f t="shared" si="976"/>
        <v>0.24470862834111773</v>
      </c>
      <c r="AR500" s="32">
        <f t="shared" si="977"/>
        <v>0.24470862834111773</v>
      </c>
      <c r="AS500" s="33" t="e">
        <f t="shared" si="978"/>
        <v>#DIV/0!</v>
      </c>
      <c r="AU500" s="31">
        <f t="shared" si="979"/>
        <v>0</v>
      </c>
      <c r="AV500" s="25">
        <f t="shared" si="980"/>
        <v>0</v>
      </c>
      <c r="AW500" s="32">
        <f t="shared" si="981"/>
        <v>0</v>
      </c>
      <c r="AX500" s="33" t="e">
        <f t="shared" si="982"/>
        <v>#DIV/0!</v>
      </c>
      <c r="AZ500" s="31">
        <f t="shared" si="963"/>
        <v>0</v>
      </c>
      <c r="BA500" s="25">
        <f t="shared" si="964"/>
        <v>0</v>
      </c>
      <c r="BB500" s="32">
        <f t="shared" si="983"/>
        <v>0</v>
      </c>
      <c r="BC500" s="33" t="e">
        <f t="shared" si="984"/>
        <v>#DIV/0!</v>
      </c>
      <c r="BE500" s="31">
        <f t="shared" si="985"/>
        <v>0</v>
      </c>
      <c r="BF500" s="25">
        <f t="shared" si="986"/>
        <v>0</v>
      </c>
      <c r="BG500" s="32">
        <f t="shared" si="987"/>
        <v>0</v>
      </c>
      <c r="BH500" s="33" t="e">
        <f t="shared" si="988"/>
        <v>#DIV/0!</v>
      </c>
      <c r="BJ500" s="31">
        <f t="shared" si="965"/>
        <v>0</v>
      </c>
      <c r="BK500" s="25">
        <f t="shared" si="966"/>
        <v>0</v>
      </c>
      <c r="BL500" s="32">
        <f t="shared" si="967"/>
        <v>0</v>
      </c>
      <c r="BM500" s="33" t="e">
        <f t="shared" si="968"/>
        <v>#DIV/0!</v>
      </c>
      <c r="BO500" s="62"/>
      <c r="BP500" s="62"/>
      <c r="BQ500" s="62"/>
      <c r="BR500" s="63"/>
    </row>
    <row r="501" spans="1:70">
      <c r="B501" s="1284"/>
      <c r="D501" s="5" t="s">
        <v>168</v>
      </c>
      <c r="E501" s="87">
        <v>0</v>
      </c>
      <c r="F501" s="87">
        <v>0</v>
      </c>
      <c r="G501" s="87">
        <v>0</v>
      </c>
      <c r="H501" s="87">
        <v>0</v>
      </c>
      <c r="I501" s="87">
        <v>0</v>
      </c>
      <c r="J501" s="87">
        <v>0</v>
      </c>
      <c r="K501" s="87">
        <v>0</v>
      </c>
      <c r="L501" s="87">
        <v>0</v>
      </c>
      <c r="N501" s="29">
        <v>0</v>
      </c>
      <c r="O501" s="29">
        <v>0</v>
      </c>
      <c r="P501" s="29">
        <v>0</v>
      </c>
      <c r="Q501" s="29">
        <v>0</v>
      </c>
      <c r="R501" s="29">
        <v>0</v>
      </c>
      <c r="S501" s="29">
        <v>0</v>
      </c>
      <c r="T501" s="29">
        <v>0</v>
      </c>
      <c r="U501" s="29">
        <v>0</v>
      </c>
      <c r="W501" s="30">
        <v>0</v>
      </c>
      <c r="X501" s="30">
        <v>0</v>
      </c>
      <c r="Y501" s="30">
        <v>0</v>
      </c>
      <c r="Z501" s="30">
        <v>0</v>
      </c>
      <c r="AA501" s="30">
        <v>0</v>
      </c>
      <c r="AB501" s="85">
        <v>0</v>
      </c>
      <c r="AC501" s="85">
        <v>0</v>
      </c>
      <c r="AD501" s="90">
        <v>0</v>
      </c>
      <c r="AF501" s="29">
        <f t="shared" si="969"/>
        <v>0</v>
      </c>
      <c r="AG501" s="30">
        <f t="shared" si="970"/>
        <v>0</v>
      </c>
      <c r="AH501" s="32">
        <f t="shared" si="971"/>
        <v>0</v>
      </c>
      <c r="AI501" s="33" t="e">
        <f t="shared" si="972"/>
        <v>#DIV/0!</v>
      </c>
      <c r="AK501" s="29">
        <f t="shared" si="961"/>
        <v>0</v>
      </c>
      <c r="AL501" s="30">
        <f t="shared" si="962"/>
        <v>0</v>
      </c>
      <c r="AM501" s="32">
        <f t="shared" si="973"/>
        <v>0</v>
      </c>
      <c r="AN501" s="33" t="e">
        <f t="shared" si="974"/>
        <v>#DIV/0!</v>
      </c>
      <c r="AP501" s="29">
        <f t="shared" si="975"/>
        <v>0</v>
      </c>
      <c r="AQ501" s="30">
        <f t="shared" si="976"/>
        <v>0</v>
      </c>
      <c r="AR501" s="32">
        <f t="shared" si="977"/>
        <v>0</v>
      </c>
      <c r="AS501" s="33" t="e">
        <f t="shared" si="978"/>
        <v>#DIV/0!</v>
      </c>
      <c r="AU501" s="31">
        <f t="shared" si="979"/>
        <v>0</v>
      </c>
      <c r="AV501" s="25">
        <f t="shared" si="980"/>
        <v>0</v>
      </c>
      <c r="AW501" s="32">
        <f t="shared" si="981"/>
        <v>0</v>
      </c>
      <c r="AX501" s="33" t="e">
        <f t="shared" si="982"/>
        <v>#DIV/0!</v>
      </c>
      <c r="AZ501" s="31">
        <f t="shared" si="963"/>
        <v>0</v>
      </c>
      <c r="BA501" s="25">
        <f t="shared" si="964"/>
        <v>0</v>
      </c>
      <c r="BB501" s="32">
        <f t="shared" si="983"/>
        <v>0</v>
      </c>
      <c r="BC501" s="33" t="e">
        <f t="shared" si="984"/>
        <v>#DIV/0!</v>
      </c>
      <c r="BE501" s="31">
        <f t="shared" si="985"/>
        <v>0</v>
      </c>
      <c r="BF501" s="25">
        <f t="shared" si="986"/>
        <v>0</v>
      </c>
      <c r="BG501" s="32">
        <f t="shared" si="987"/>
        <v>0</v>
      </c>
      <c r="BH501" s="33" t="e">
        <f t="shared" si="988"/>
        <v>#DIV/0!</v>
      </c>
      <c r="BJ501" s="31">
        <f t="shared" si="965"/>
        <v>0</v>
      </c>
      <c r="BK501" s="25">
        <f t="shared" si="966"/>
        <v>0</v>
      </c>
      <c r="BL501" s="32">
        <f t="shared" si="967"/>
        <v>0</v>
      </c>
      <c r="BM501" s="33" t="e">
        <f t="shared" si="968"/>
        <v>#DIV/0!</v>
      </c>
      <c r="BO501" s="62"/>
      <c r="BP501" s="62"/>
      <c r="BQ501" s="62"/>
      <c r="BR501" s="63"/>
    </row>
    <row r="502" spans="1:70">
      <c r="B502" s="1284"/>
      <c r="D502" s="5" t="s">
        <v>169</v>
      </c>
      <c r="E502" s="87">
        <v>5.3853834290799236</v>
      </c>
      <c r="F502" s="87">
        <v>5.6127069360637902</v>
      </c>
      <c r="G502" s="87">
        <v>5.5737028088076084</v>
      </c>
      <c r="H502" s="87">
        <v>0.93915345637181213</v>
      </c>
      <c r="I502" s="87">
        <v>0.95045987142866639</v>
      </c>
      <c r="J502" s="87">
        <v>0.96286638923498347</v>
      </c>
      <c r="K502" s="87">
        <v>0.9719425925889138</v>
      </c>
      <c r="L502" s="87">
        <v>0.98181832403689706</v>
      </c>
      <c r="N502" s="29">
        <v>2.4741100561522003</v>
      </c>
      <c r="O502" s="29">
        <v>2.8994084580237174</v>
      </c>
      <c r="P502" s="29">
        <v>2.6801261084805481</v>
      </c>
      <c r="Q502" s="29">
        <v>1.4217044773500804</v>
      </c>
      <c r="R502" s="29">
        <v>1.4303651572174056</v>
      </c>
      <c r="S502" s="29">
        <v>1.3207058071302218</v>
      </c>
      <c r="T502" s="29">
        <v>1.4715818047827522</v>
      </c>
      <c r="U502" s="29">
        <v>1.3483796190264368</v>
      </c>
      <c r="W502" s="30">
        <v>4.2414937464631945</v>
      </c>
      <c r="X502" s="30">
        <v>3.4851034816216608</v>
      </c>
      <c r="Y502" s="30">
        <v>3.8100911817305203</v>
      </c>
      <c r="Z502" s="30">
        <v>1.6317113992438668</v>
      </c>
      <c r="AA502" s="30">
        <v>1.2546497171315389</v>
      </c>
      <c r="AB502" s="85">
        <v>1.4289390599837186</v>
      </c>
      <c r="AC502" s="85">
        <v>1.3979560593963205</v>
      </c>
      <c r="AD502" s="90">
        <v>0</v>
      </c>
      <c r="AF502" s="29">
        <f t="shared" si="969"/>
        <v>2.4741100561522003</v>
      </c>
      <c r="AG502" s="30">
        <f t="shared" si="970"/>
        <v>4.2414937464631945</v>
      </c>
      <c r="AH502" s="32">
        <f t="shared" si="971"/>
        <v>1.7673836903109943</v>
      </c>
      <c r="AI502" s="33">
        <f t="shared" si="972"/>
        <v>0.71435128195536901</v>
      </c>
      <c r="AK502" s="29">
        <f t="shared" si="961"/>
        <v>2.8994084580237174</v>
      </c>
      <c r="AL502" s="30">
        <f t="shared" si="962"/>
        <v>3.4851034816216608</v>
      </c>
      <c r="AM502" s="32">
        <f t="shared" si="973"/>
        <v>0.58569502359794345</v>
      </c>
      <c r="AN502" s="33">
        <f t="shared" si="974"/>
        <v>0.20200500622018688</v>
      </c>
      <c r="AP502" s="29">
        <f t="shared" si="975"/>
        <v>2.6801261084805481</v>
      </c>
      <c r="AQ502" s="30">
        <f t="shared" si="976"/>
        <v>3.8100911817305203</v>
      </c>
      <c r="AR502" s="32">
        <f t="shared" si="977"/>
        <v>1.1299650732499722</v>
      </c>
      <c r="AS502" s="33">
        <f t="shared" si="978"/>
        <v>0.42160891969765807</v>
      </c>
      <c r="AU502" s="31">
        <f t="shared" si="979"/>
        <v>1.4217044773500804</v>
      </c>
      <c r="AV502" s="25">
        <f t="shared" si="980"/>
        <v>1.6317113992438668</v>
      </c>
      <c r="AW502" s="32">
        <f t="shared" si="981"/>
        <v>0.21000692189378634</v>
      </c>
      <c r="AX502" s="33">
        <f t="shared" si="982"/>
        <v>0.14771489099142385</v>
      </c>
      <c r="AZ502" s="31">
        <f t="shared" si="963"/>
        <v>1.4303651572174056</v>
      </c>
      <c r="BA502" s="25">
        <f t="shared" si="964"/>
        <v>1.2546497171315389</v>
      </c>
      <c r="BB502" s="32">
        <f t="shared" si="983"/>
        <v>-0.1757154400858667</v>
      </c>
      <c r="BC502" s="33">
        <f t="shared" si="984"/>
        <v>-0.1228465606836361</v>
      </c>
      <c r="BE502" s="31">
        <f t="shared" si="985"/>
        <v>1.3207058071302218</v>
      </c>
      <c r="BF502" s="25">
        <f t="shared" si="986"/>
        <v>1.4289390599837186</v>
      </c>
      <c r="BG502" s="32">
        <f t="shared" si="987"/>
        <v>0.10823325285349683</v>
      </c>
      <c r="BH502" s="33">
        <f t="shared" si="988"/>
        <v>8.195106909439448E-2</v>
      </c>
      <c r="BJ502" s="31">
        <f t="shared" si="965"/>
        <v>1.4715818047827522</v>
      </c>
      <c r="BK502" s="25">
        <f t="shared" si="966"/>
        <v>1.3979560593963205</v>
      </c>
      <c r="BL502" s="32">
        <f t="shared" si="967"/>
        <v>-7.362574538643174E-2</v>
      </c>
      <c r="BM502" s="33">
        <f t="shared" si="968"/>
        <v>-5.0031704080019536E-2</v>
      </c>
      <c r="BO502" s="62"/>
      <c r="BP502" s="62"/>
      <c r="BQ502" s="62"/>
      <c r="BR502" s="63"/>
    </row>
    <row r="503" spans="1:70">
      <c r="B503" s="1284"/>
      <c r="D503" s="5" t="s">
        <v>170</v>
      </c>
      <c r="E503" s="87">
        <v>9.9331007658091028</v>
      </c>
      <c r="F503" s="87">
        <v>7.6401425458182297</v>
      </c>
      <c r="G503" s="87">
        <v>5.2293581304711161</v>
      </c>
      <c r="H503" s="87">
        <v>1.817098382952359</v>
      </c>
      <c r="I503" s="87">
        <v>1.8341085000300574</v>
      </c>
      <c r="J503" s="87">
        <v>1.8513378676919976</v>
      </c>
      <c r="K503" s="87">
        <v>1.8689703010252117</v>
      </c>
      <c r="L503" s="87">
        <v>1.8878793606184678</v>
      </c>
      <c r="N503" s="29">
        <v>4.103791886298831</v>
      </c>
      <c r="O503" s="29">
        <v>4.1893448562266364</v>
      </c>
      <c r="P503" s="29">
        <v>2.9157348738478457</v>
      </c>
      <c r="Q503" s="29">
        <v>2.0173367210974469</v>
      </c>
      <c r="R503" s="29">
        <v>2.0511234719000258</v>
      </c>
      <c r="S503" s="29">
        <v>1.6483107942812412</v>
      </c>
      <c r="T503" s="29">
        <v>1.6749349322803895</v>
      </c>
      <c r="U503" s="29">
        <v>1.6070197842734724</v>
      </c>
      <c r="W503" s="30">
        <v>4.4249537656790023</v>
      </c>
      <c r="X503" s="30">
        <v>3.0987127997335282</v>
      </c>
      <c r="Y503" s="30">
        <v>4.3288876072116844</v>
      </c>
      <c r="Z503" s="30">
        <v>3.5161912107173379</v>
      </c>
      <c r="AA503" s="30">
        <v>2.5542044731281157</v>
      </c>
      <c r="AB503" s="85">
        <v>2.2193209020873921</v>
      </c>
      <c r="AC503" s="85">
        <v>1.9804642725115451</v>
      </c>
      <c r="AD503" s="90">
        <v>0</v>
      </c>
      <c r="AF503" s="29">
        <f t="shared" si="969"/>
        <v>4.103791886298831</v>
      </c>
      <c r="AG503" s="30">
        <f t="shared" si="970"/>
        <v>4.4249537656790023</v>
      </c>
      <c r="AH503" s="32">
        <f t="shared" si="971"/>
        <v>0.32116187938017138</v>
      </c>
      <c r="AI503" s="33">
        <f t="shared" si="972"/>
        <v>7.8259787113577062E-2</v>
      </c>
      <c r="AK503" s="29">
        <f t="shared" si="961"/>
        <v>4.1893448562266364</v>
      </c>
      <c r="AL503" s="30">
        <f t="shared" si="962"/>
        <v>3.0987127997335282</v>
      </c>
      <c r="AM503" s="32">
        <f t="shared" si="973"/>
        <v>-1.0906320564931082</v>
      </c>
      <c r="AN503" s="33">
        <f t="shared" si="974"/>
        <v>-0.26033475255017463</v>
      </c>
      <c r="AP503" s="29">
        <f t="shared" si="975"/>
        <v>2.9157348738478457</v>
      </c>
      <c r="AQ503" s="30">
        <f t="shared" si="976"/>
        <v>4.3288876072116844</v>
      </c>
      <c r="AR503" s="32">
        <f t="shared" si="977"/>
        <v>1.4131527333638387</v>
      </c>
      <c r="AS503" s="33">
        <f t="shared" si="978"/>
        <v>0.48466434518407536</v>
      </c>
      <c r="AU503" s="31">
        <f t="shared" si="979"/>
        <v>2.0173367210974469</v>
      </c>
      <c r="AV503" s="25">
        <f t="shared" si="980"/>
        <v>3.5161912107173379</v>
      </c>
      <c r="AW503" s="32">
        <f t="shared" si="981"/>
        <v>1.498854489619891</v>
      </c>
      <c r="AX503" s="33">
        <f t="shared" si="982"/>
        <v>0.7429867676252393</v>
      </c>
      <c r="AZ503" s="31">
        <f t="shared" si="963"/>
        <v>2.0511234719000258</v>
      </c>
      <c r="BA503" s="25">
        <f t="shared" si="964"/>
        <v>2.5542044731281157</v>
      </c>
      <c r="BB503" s="32">
        <f t="shared" si="983"/>
        <v>0.50308100122808996</v>
      </c>
      <c r="BC503" s="33">
        <f t="shared" si="984"/>
        <v>0.24527094937003907</v>
      </c>
      <c r="BE503" s="31">
        <f t="shared" si="985"/>
        <v>1.6483107942812412</v>
      </c>
      <c r="BF503" s="25">
        <f t="shared" si="986"/>
        <v>2.2193209020873921</v>
      </c>
      <c r="BG503" s="32">
        <f t="shared" si="987"/>
        <v>0.57101010780615091</v>
      </c>
      <c r="BH503" s="33">
        <f t="shared" si="988"/>
        <v>0.34642138472140765</v>
      </c>
      <c r="BJ503" s="31">
        <f t="shared" si="965"/>
        <v>1.6749349322803895</v>
      </c>
      <c r="BK503" s="25">
        <f t="shared" si="966"/>
        <v>1.9804642725115451</v>
      </c>
      <c r="BL503" s="32">
        <f t="shared" si="967"/>
        <v>0.30552934023115563</v>
      </c>
      <c r="BM503" s="33">
        <f t="shared" si="968"/>
        <v>0.18241266233260997</v>
      </c>
      <c r="BO503" s="62"/>
      <c r="BP503" s="62"/>
      <c r="BQ503" s="62"/>
      <c r="BR503" s="63"/>
    </row>
    <row r="504" spans="1:70">
      <c r="B504" s="1284"/>
      <c r="D504" s="5" t="s">
        <v>171</v>
      </c>
      <c r="E504" s="87">
        <v>1.9142338655361646</v>
      </c>
      <c r="F504" s="87">
        <v>2.8792968378359047</v>
      </c>
      <c r="G504" s="87">
        <v>1.6669958111346732</v>
      </c>
      <c r="H504" s="87">
        <v>0</v>
      </c>
      <c r="I504" s="87">
        <v>0</v>
      </c>
      <c r="J504" s="87">
        <v>0</v>
      </c>
      <c r="K504" s="87">
        <v>0</v>
      </c>
      <c r="L504" s="87">
        <v>0</v>
      </c>
      <c r="N504" s="29">
        <v>1.2384750637242437</v>
      </c>
      <c r="O504" s="29">
        <v>1.1942311941863502</v>
      </c>
      <c r="P504" s="29">
        <v>0.8427945887134447</v>
      </c>
      <c r="Q504" s="29">
        <v>0.41880294646278432</v>
      </c>
      <c r="R504" s="29">
        <v>0.47723939215407635</v>
      </c>
      <c r="S504" s="29">
        <v>0.28834207098241255</v>
      </c>
      <c r="T504" s="29">
        <v>0.2790521820522448</v>
      </c>
      <c r="U504" s="29">
        <v>0.2522726989027862</v>
      </c>
      <c r="W504" s="30">
        <v>1.7627861503169566</v>
      </c>
      <c r="X504" s="30">
        <v>3.1832349345877216</v>
      </c>
      <c r="Y504" s="30">
        <v>1.635759905944185</v>
      </c>
      <c r="Z504" s="30">
        <v>0</v>
      </c>
      <c r="AA504" s="30">
        <v>0</v>
      </c>
      <c r="AB504" s="85">
        <v>0</v>
      </c>
      <c r="AC504" s="85">
        <v>0</v>
      </c>
      <c r="AD504" s="90">
        <v>0</v>
      </c>
      <c r="AF504" s="29">
        <f t="shared" si="969"/>
        <v>1.2384750637242437</v>
      </c>
      <c r="AG504" s="30">
        <f t="shared" si="970"/>
        <v>1.7627861503169566</v>
      </c>
      <c r="AH504" s="32">
        <f t="shared" si="971"/>
        <v>0.52431108659271297</v>
      </c>
      <c r="AI504" s="33">
        <f t="shared" si="972"/>
        <v>0.42335215455694875</v>
      </c>
      <c r="AK504" s="29">
        <f t="shared" si="961"/>
        <v>1.1942311941863502</v>
      </c>
      <c r="AL504" s="30">
        <f t="shared" si="962"/>
        <v>3.1832349345877216</v>
      </c>
      <c r="AM504" s="32">
        <f t="shared" si="973"/>
        <v>1.9890037404013714</v>
      </c>
      <c r="AN504" s="33">
        <f t="shared" si="974"/>
        <v>1.6655097857802259</v>
      </c>
      <c r="AP504" s="29">
        <f t="shared" si="975"/>
        <v>0.8427945887134447</v>
      </c>
      <c r="AQ504" s="30">
        <f t="shared" si="976"/>
        <v>1.635759905944185</v>
      </c>
      <c r="AR504" s="32">
        <f t="shared" si="977"/>
        <v>0.79296531723074026</v>
      </c>
      <c r="AS504" s="33">
        <f t="shared" si="978"/>
        <v>0.94087613737675924</v>
      </c>
      <c r="AU504" s="31">
        <f t="shared" si="979"/>
        <v>0.41880294646278432</v>
      </c>
      <c r="AV504" s="25">
        <f t="shared" si="980"/>
        <v>0</v>
      </c>
      <c r="AW504" s="32">
        <f t="shared" si="981"/>
        <v>-0.41880294646278432</v>
      </c>
      <c r="AX504" s="33">
        <f t="shared" si="982"/>
        <v>-1</v>
      </c>
      <c r="AZ504" s="31">
        <f t="shared" si="963"/>
        <v>0.47723939215407635</v>
      </c>
      <c r="BA504" s="25">
        <f t="shared" si="964"/>
        <v>0</v>
      </c>
      <c r="BB504" s="32">
        <f t="shared" si="983"/>
        <v>-0.47723939215407635</v>
      </c>
      <c r="BC504" s="33">
        <f t="shared" si="984"/>
        <v>-1</v>
      </c>
      <c r="BE504" s="31">
        <f t="shared" si="985"/>
        <v>0.28834207098241255</v>
      </c>
      <c r="BF504" s="25">
        <f t="shared" si="986"/>
        <v>0</v>
      </c>
      <c r="BG504" s="32">
        <f t="shared" si="987"/>
        <v>-0.28834207098241255</v>
      </c>
      <c r="BH504" s="33">
        <f t="shared" si="988"/>
        <v>-1</v>
      </c>
      <c r="BJ504" s="31">
        <f t="shared" si="965"/>
        <v>0.2790521820522448</v>
      </c>
      <c r="BK504" s="25">
        <f t="shared" si="966"/>
        <v>0</v>
      </c>
      <c r="BL504" s="32">
        <f t="shared" si="967"/>
        <v>-0.2790521820522448</v>
      </c>
      <c r="BM504" s="33">
        <f t="shared" si="968"/>
        <v>-1</v>
      </c>
      <c r="BO504" s="62"/>
      <c r="BP504" s="62"/>
      <c r="BQ504" s="62"/>
      <c r="BR504" s="63"/>
    </row>
    <row r="505" spans="1:70">
      <c r="B505" s="1284"/>
      <c r="D505" s="5" t="s">
        <v>172</v>
      </c>
      <c r="E505" s="87">
        <v>12.013186861429812</v>
      </c>
      <c r="F505" s="87">
        <v>18.190422075276171</v>
      </c>
      <c r="G505" s="87">
        <v>6.5910142754119931</v>
      </c>
      <c r="H505" s="87">
        <v>0</v>
      </c>
      <c r="I505" s="87">
        <v>0</v>
      </c>
      <c r="J505" s="87">
        <v>0</v>
      </c>
      <c r="K505" s="87">
        <v>0</v>
      </c>
      <c r="L505" s="87">
        <v>0</v>
      </c>
      <c r="N505" s="29">
        <v>6.6968415965629235</v>
      </c>
      <c r="O505" s="29">
        <v>8.4563824237931886</v>
      </c>
      <c r="P505" s="29">
        <v>4.258967451254537</v>
      </c>
      <c r="Q505" s="29">
        <v>1.6880462786721659</v>
      </c>
      <c r="R505" s="29">
        <v>2.1111645387642954</v>
      </c>
      <c r="S505" s="29">
        <v>1.2448042675069477</v>
      </c>
      <c r="T505" s="29">
        <v>1.1803779182258898</v>
      </c>
      <c r="U505" s="29">
        <v>1.1019798847314028</v>
      </c>
      <c r="W505" s="30">
        <v>5.9898285931106523</v>
      </c>
      <c r="X505" s="30">
        <v>7.6761999407357155</v>
      </c>
      <c r="Y505" s="30">
        <v>6.2325907833561898</v>
      </c>
      <c r="Z505" s="30">
        <v>-1.8252191329633219E-3</v>
      </c>
      <c r="AA505" s="30">
        <v>0</v>
      </c>
      <c r="AB505" s="85">
        <v>0</v>
      </c>
      <c r="AC505" s="85">
        <v>0</v>
      </c>
      <c r="AD505" s="90">
        <v>0</v>
      </c>
      <c r="AF505" s="29">
        <f t="shared" si="969"/>
        <v>6.6968415965629235</v>
      </c>
      <c r="AG505" s="30">
        <f t="shared" si="970"/>
        <v>5.9898285931106523</v>
      </c>
      <c r="AH505" s="32">
        <f t="shared" si="971"/>
        <v>-0.70701300345227125</v>
      </c>
      <c r="AI505" s="33">
        <f t="shared" si="972"/>
        <v>-0.1055740968720445</v>
      </c>
      <c r="AK505" s="29">
        <f t="shared" si="961"/>
        <v>8.4563824237931886</v>
      </c>
      <c r="AL505" s="30">
        <f t="shared" si="962"/>
        <v>7.6761999407357155</v>
      </c>
      <c r="AM505" s="32">
        <f t="shared" si="973"/>
        <v>-0.78018248305747306</v>
      </c>
      <c r="AN505" s="33">
        <f t="shared" si="974"/>
        <v>-9.2259602742459104E-2</v>
      </c>
      <c r="AP505" s="29">
        <f t="shared" si="975"/>
        <v>4.258967451254537</v>
      </c>
      <c r="AQ505" s="30">
        <f t="shared" si="976"/>
        <v>6.2325907833561898</v>
      </c>
      <c r="AR505" s="32">
        <f t="shared" si="977"/>
        <v>1.9736233321016527</v>
      </c>
      <c r="AS505" s="33">
        <f t="shared" si="978"/>
        <v>0.46340418298343533</v>
      </c>
      <c r="AU505" s="31">
        <f t="shared" si="979"/>
        <v>1.6880462786721659</v>
      </c>
      <c r="AV505" s="25">
        <f t="shared" si="980"/>
        <v>-1.8252191329633219E-3</v>
      </c>
      <c r="AW505" s="32">
        <f t="shared" si="981"/>
        <v>-1.6898714978051292</v>
      </c>
      <c r="AX505" s="33">
        <f t="shared" si="982"/>
        <v>-1.0010812613113895</v>
      </c>
      <c r="AZ505" s="31">
        <f t="shared" si="963"/>
        <v>2.1111645387642954</v>
      </c>
      <c r="BA505" s="25">
        <f t="shared" si="964"/>
        <v>0</v>
      </c>
      <c r="BB505" s="32">
        <f t="shared" si="983"/>
        <v>-2.1111645387642954</v>
      </c>
      <c r="BC505" s="33">
        <f t="shared" si="984"/>
        <v>-1</v>
      </c>
      <c r="BE505" s="31">
        <f t="shared" si="985"/>
        <v>1.2448042675069477</v>
      </c>
      <c r="BF505" s="25">
        <f t="shared" si="986"/>
        <v>0</v>
      </c>
      <c r="BG505" s="32">
        <f t="shared" si="987"/>
        <v>-1.2448042675069477</v>
      </c>
      <c r="BH505" s="33">
        <f t="shared" si="988"/>
        <v>-1</v>
      </c>
      <c r="BJ505" s="31">
        <f t="shared" si="965"/>
        <v>1.1803779182258898</v>
      </c>
      <c r="BK505" s="25">
        <f t="shared" si="966"/>
        <v>0</v>
      </c>
      <c r="BL505" s="32">
        <f t="shared" si="967"/>
        <v>-1.1803779182258898</v>
      </c>
      <c r="BM505" s="33">
        <f t="shared" si="968"/>
        <v>-1</v>
      </c>
      <c r="BO505" s="62"/>
      <c r="BP505" s="62"/>
      <c r="BQ505" s="62"/>
      <c r="BR505" s="63"/>
    </row>
    <row r="506" spans="1:70">
      <c r="B506" s="1284"/>
      <c r="D506" s="5" t="s">
        <v>28</v>
      </c>
      <c r="E506" s="87">
        <v>0.5995568764314757</v>
      </c>
      <c r="F506" s="87">
        <v>0.59730754205419667</v>
      </c>
      <c r="G506" s="87">
        <v>0.59575534022023524</v>
      </c>
      <c r="H506" s="87">
        <v>0.5908246319233843</v>
      </c>
      <c r="I506" s="87">
        <v>0</v>
      </c>
      <c r="J506" s="87">
        <v>0</v>
      </c>
      <c r="K506" s="87">
        <v>0</v>
      </c>
      <c r="L506" s="87">
        <v>0</v>
      </c>
      <c r="N506" s="29">
        <v>0.42382548510172147</v>
      </c>
      <c r="O506" s="29">
        <v>0.39669641979204318</v>
      </c>
      <c r="P506" s="29">
        <v>0.35884115433613223</v>
      </c>
      <c r="Q506" s="29">
        <v>0.36360344924797133</v>
      </c>
      <c r="R506" s="29">
        <v>0.19443845122845524</v>
      </c>
      <c r="S506" s="29">
        <v>0.18348282291352364</v>
      </c>
      <c r="T506" s="29">
        <v>0.16201760691961276</v>
      </c>
      <c r="U506" s="29">
        <v>0.15078677490518497</v>
      </c>
      <c r="W506" s="30">
        <v>0</v>
      </c>
      <c r="X506" s="30">
        <v>0</v>
      </c>
      <c r="Y506" s="30">
        <v>0.49070499905335602</v>
      </c>
      <c r="Z506" s="30">
        <v>0.54295710202698122</v>
      </c>
      <c r="AA506" s="30">
        <v>0.33185227343597967</v>
      </c>
      <c r="AB506" s="85">
        <v>2.7770032000666293E-2</v>
      </c>
      <c r="AC506" s="85">
        <v>0</v>
      </c>
      <c r="AD506" s="90">
        <v>0</v>
      </c>
      <c r="AF506" s="29">
        <f t="shared" si="969"/>
        <v>0.42382548510172147</v>
      </c>
      <c r="AG506" s="30">
        <f t="shared" si="970"/>
        <v>0</v>
      </c>
      <c r="AH506" s="32">
        <f t="shared" si="971"/>
        <v>-0.42382548510172147</v>
      </c>
      <c r="AI506" s="33">
        <f t="shared" si="972"/>
        <v>-1</v>
      </c>
      <c r="AK506" s="29">
        <f t="shared" si="961"/>
        <v>0.39669641979204318</v>
      </c>
      <c r="AL506" s="30">
        <f t="shared" si="962"/>
        <v>0</v>
      </c>
      <c r="AM506" s="32">
        <f t="shared" si="973"/>
        <v>-0.39669641979204318</v>
      </c>
      <c r="AN506" s="33">
        <f t="shared" si="974"/>
        <v>-1</v>
      </c>
      <c r="AP506" s="29">
        <f t="shared" si="975"/>
        <v>0.35884115433613223</v>
      </c>
      <c r="AQ506" s="30">
        <f t="shared" si="976"/>
        <v>0.49070499905335602</v>
      </c>
      <c r="AR506" s="32">
        <f t="shared" si="977"/>
        <v>0.13186384471722379</v>
      </c>
      <c r="AS506" s="33">
        <f t="shared" si="978"/>
        <v>0.36747135361654987</v>
      </c>
      <c r="AU506" s="31">
        <f t="shared" si="979"/>
        <v>0.36360344924797133</v>
      </c>
      <c r="AV506" s="25">
        <f t="shared" si="980"/>
        <v>0.54295710202698122</v>
      </c>
      <c r="AW506" s="32">
        <f t="shared" si="981"/>
        <v>0.17935365277900989</v>
      </c>
      <c r="AX506" s="33">
        <f t="shared" si="982"/>
        <v>0.49326719300919986</v>
      </c>
      <c r="AZ506" s="31">
        <f t="shared" si="963"/>
        <v>0.19443845122845524</v>
      </c>
      <c r="BA506" s="25">
        <f t="shared" si="964"/>
        <v>0.33185227343597967</v>
      </c>
      <c r="BB506" s="32">
        <f t="shared" si="983"/>
        <v>0.13741382220752443</v>
      </c>
      <c r="BC506" s="33">
        <f t="shared" si="984"/>
        <v>0.70672143981475255</v>
      </c>
      <c r="BE506" s="31">
        <f t="shared" si="985"/>
        <v>0.18348282291352364</v>
      </c>
      <c r="BF506" s="25">
        <f t="shared" si="986"/>
        <v>2.7770032000666293E-2</v>
      </c>
      <c r="BG506" s="32">
        <f t="shared" si="987"/>
        <v>-0.15571279091285734</v>
      </c>
      <c r="BH506" s="33">
        <f t="shared" si="988"/>
        <v>-0.84865050820722088</v>
      </c>
      <c r="BJ506" s="31">
        <f t="shared" si="965"/>
        <v>0.16201760691961276</v>
      </c>
      <c r="BK506" s="25">
        <f t="shared" si="966"/>
        <v>0</v>
      </c>
      <c r="BL506" s="32">
        <f t="shared" si="967"/>
        <v>-0.16201760691961276</v>
      </c>
      <c r="BM506" s="33">
        <f t="shared" si="968"/>
        <v>-1</v>
      </c>
      <c r="BO506" s="62"/>
      <c r="BP506" s="62"/>
      <c r="BQ506" s="62"/>
      <c r="BR506" s="63"/>
    </row>
    <row r="507" spans="1:70">
      <c r="B507" s="1284"/>
      <c r="D507" s="5" t="s">
        <v>173</v>
      </c>
      <c r="E507" s="87">
        <v>1.3004959927117088</v>
      </c>
      <c r="F507" s="87">
        <v>1.2967893308064209</v>
      </c>
      <c r="G507" s="87">
        <v>1.2951548215056463</v>
      </c>
      <c r="H507" s="87">
        <v>1.3101063185026909</v>
      </c>
      <c r="I507" s="87">
        <v>0</v>
      </c>
      <c r="J507" s="87">
        <v>0</v>
      </c>
      <c r="K507" s="87">
        <v>0</v>
      </c>
      <c r="L507" s="87">
        <v>0</v>
      </c>
      <c r="N507" s="29">
        <v>0.92186162052236464</v>
      </c>
      <c r="O507" s="29">
        <v>0.9383732379787777</v>
      </c>
      <c r="P507" s="29">
        <v>0.84129891473794349</v>
      </c>
      <c r="Q507" s="29">
        <v>0.87371321184424022</v>
      </c>
      <c r="R507" s="29">
        <v>0.40196378158376006</v>
      </c>
      <c r="S507" s="29">
        <v>0.38205800193529155</v>
      </c>
      <c r="T507" s="29">
        <v>0.37013113606928921</v>
      </c>
      <c r="U507" s="29">
        <v>0.350791834913457</v>
      </c>
      <c r="W507" s="30">
        <v>0</v>
      </c>
      <c r="X507" s="30">
        <v>0</v>
      </c>
      <c r="Y507" s="30">
        <v>2.1217208535907286</v>
      </c>
      <c r="Z507" s="30">
        <v>4.7142939812664659</v>
      </c>
      <c r="AA507" s="30">
        <v>2.8452154895489294</v>
      </c>
      <c r="AB507" s="85">
        <v>0.21934048017595453</v>
      </c>
      <c r="AC507" s="85">
        <v>7.418479999999999E-3</v>
      </c>
      <c r="AD507" s="90">
        <v>0</v>
      </c>
      <c r="AF507" s="29">
        <f t="shared" si="969"/>
        <v>0.92186162052236464</v>
      </c>
      <c r="AG507" s="30">
        <f t="shared" si="970"/>
        <v>0</v>
      </c>
      <c r="AH507" s="32">
        <f t="shared" si="971"/>
        <v>-0.92186162052236464</v>
      </c>
      <c r="AI507" s="33">
        <f t="shared" si="972"/>
        <v>-1</v>
      </c>
      <c r="AK507" s="29">
        <f t="shared" si="961"/>
        <v>0.9383732379787777</v>
      </c>
      <c r="AL507" s="30">
        <f t="shared" si="962"/>
        <v>0</v>
      </c>
      <c r="AM507" s="32">
        <f t="shared" si="973"/>
        <v>-0.9383732379787777</v>
      </c>
      <c r="AN507" s="33">
        <f t="shared" si="974"/>
        <v>-1</v>
      </c>
      <c r="AP507" s="29">
        <f t="shared" si="975"/>
        <v>0.84129891473794349</v>
      </c>
      <c r="AQ507" s="30">
        <f t="shared" si="976"/>
        <v>2.1217208535907286</v>
      </c>
      <c r="AR507" s="32">
        <f t="shared" si="977"/>
        <v>1.2804219388527851</v>
      </c>
      <c r="AS507" s="33">
        <f t="shared" si="978"/>
        <v>1.521958386516669</v>
      </c>
      <c r="AU507" s="31">
        <f t="shared" si="979"/>
        <v>0.87371321184424022</v>
      </c>
      <c r="AV507" s="25">
        <f t="shared" si="980"/>
        <v>4.7142939812664659</v>
      </c>
      <c r="AW507" s="32">
        <f t="shared" si="981"/>
        <v>3.8405807694222256</v>
      </c>
      <c r="AX507" s="33">
        <f t="shared" si="982"/>
        <v>4.3956995468976592</v>
      </c>
      <c r="AZ507" s="31">
        <f t="shared" si="963"/>
        <v>0.40196378158376006</v>
      </c>
      <c r="BA507" s="25">
        <f t="shared" si="964"/>
        <v>2.8452154895489294</v>
      </c>
      <c r="BB507" s="32">
        <f t="shared" si="983"/>
        <v>2.4432517079651692</v>
      </c>
      <c r="BC507" s="33">
        <f t="shared" si="984"/>
        <v>6.0782881938731377</v>
      </c>
      <c r="BE507" s="31">
        <f t="shared" si="985"/>
        <v>0.38205800193529155</v>
      </c>
      <c r="BF507" s="25">
        <f t="shared" si="986"/>
        <v>0.21934048017595453</v>
      </c>
      <c r="BG507" s="32">
        <f t="shared" si="987"/>
        <v>-0.16271752175933701</v>
      </c>
      <c r="BH507" s="33">
        <f t="shared" si="988"/>
        <v>-0.4258974316336821</v>
      </c>
      <c r="BJ507" s="31">
        <f t="shared" si="965"/>
        <v>0.37013113606928921</v>
      </c>
      <c r="BK507" s="25">
        <f t="shared" si="966"/>
        <v>7.418479999999999E-3</v>
      </c>
      <c r="BL507" s="32">
        <f t="shared" si="967"/>
        <v>-0.36271265606928921</v>
      </c>
      <c r="BM507" s="33">
        <f t="shared" si="968"/>
        <v>-0.97995715767448632</v>
      </c>
      <c r="BO507" s="62"/>
      <c r="BP507" s="62"/>
      <c r="BQ507" s="62"/>
      <c r="BR507" s="63"/>
    </row>
    <row r="508" spans="1:70">
      <c r="A508" s="1"/>
      <c r="B508" s="1284"/>
      <c r="D508" s="4" t="s">
        <v>174</v>
      </c>
      <c r="E508" s="88">
        <f t="shared" ref="E508:L508" si="989">SUM(E494:E507)</f>
        <v>40.884540802542361</v>
      </c>
      <c r="F508" s="88">
        <f t="shared" si="989"/>
        <v>45.963860927299152</v>
      </c>
      <c r="G508" s="88">
        <f t="shared" si="989"/>
        <v>20.951981187551276</v>
      </c>
      <c r="H508" s="88">
        <f t="shared" si="989"/>
        <v>4.6571827897502462</v>
      </c>
      <c r="I508" s="88">
        <f t="shared" si="989"/>
        <v>2.7845683714587239</v>
      </c>
      <c r="J508" s="88">
        <f t="shared" si="989"/>
        <v>2.8142042569269812</v>
      </c>
      <c r="K508" s="88">
        <f t="shared" si="989"/>
        <v>2.8409128936141252</v>
      </c>
      <c r="L508" s="88">
        <f t="shared" si="989"/>
        <v>2.8696976846553648</v>
      </c>
      <c r="M508" s="1"/>
      <c r="N508" s="81">
        <f t="shared" ref="N508:U508" si="990">SUM(N494:N507)</f>
        <v>25.597488719906458</v>
      </c>
      <c r="O508" s="81">
        <f t="shared" si="990"/>
        <v>27.821632249445155</v>
      </c>
      <c r="P508" s="81">
        <f t="shared" si="990"/>
        <v>11.897763091370452</v>
      </c>
      <c r="Q508" s="81">
        <f t="shared" si="990"/>
        <v>6.7832070846746895</v>
      </c>
      <c r="R508" s="81">
        <f t="shared" si="990"/>
        <v>6.666294792848019</v>
      </c>
      <c r="S508" s="81">
        <f t="shared" si="990"/>
        <v>5.0677037647496386</v>
      </c>
      <c r="T508" s="81">
        <f t="shared" si="990"/>
        <v>5.1380955803301784</v>
      </c>
      <c r="U508" s="81">
        <f t="shared" si="990"/>
        <v>4.8112305967527389</v>
      </c>
      <c r="V508" s="1"/>
      <c r="W508" s="85">
        <f t="shared" ref="W508:AD508" si="991">SUM(W494:W507)</f>
        <v>19.205222129199889</v>
      </c>
      <c r="X508" s="85">
        <f t="shared" si="991"/>
        <v>23.76641536657047</v>
      </c>
      <c r="Y508" s="85">
        <f t="shared" si="991"/>
        <v>21.969285139568171</v>
      </c>
      <c r="Z508" s="85">
        <f>SUM(Z494:Z507)</f>
        <v>10.59904605216396</v>
      </c>
      <c r="AA508" s="85">
        <f>SUM(AA494:AA507)</f>
        <v>6.9859219532445636</v>
      </c>
      <c r="AB508" s="85">
        <f t="shared" si="991"/>
        <v>3.8953704742477315</v>
      </c>
      <c r="AC508" s="85">
        <f t="shared" ref="AC508" si="992">SUM(AC494:AC507)</f>
        <v>3.385838811907866</v>
      </c>
      <c r="AD508" s="91">
        <f t="shared" si="991"/>
        <v>0</v>
      </c>
      <c r="AE508" s="1"/>
      <c r="AF508" s="81">
        <f t="shared" si="969"/>
        <v>25.597488719906458</v>
      </c>
      <c r="AG508" s="85">
        <f t="shared" si="970"/>
        <v>19.205222129199889</v>
      </c>
      <c r="AH508" s="34">
        <f>IF(AG508&gt;0,AG508-AF508,"")</f>
        <v>-6.3922665907065692</v>
      </c>
      <c r="AI508" s="35">
        <f>IF(AG508&gt;0,AH508/AF508,"")</f>
        <v>-0.24972241068849385</v>
      </c>
      <c r="AK508" s="81">
        <f t="shared" si="961"/>
        <v>27.821632249445155</v>
      </c>
      <c r="AL508" s="85">
        <f t="shared" si="962"/>
        <v>23.76641536657047</v>
      </c>
      <c r="AM508" s="34">
        <f>IF(AL508&gt;0,AL508-AK508,"")</f>
        <v>-4.0552168828746851</v>
      </c>
      <c r="AN508" s="35">
        <f>IF(AL508&gt;0,AM508/AK508,"")</f>
        <v>-0.14575769122803922</v>
      </c>
      <c r="AP508" s="81">
        <f t="shared" si="975"/>
        <v>11.897763091370452</v>
      </c>
      <c r="AQ508" s="85">
        <f t="shared" si="976"/>
        <v>21.969285139568171</v>
      </c>
      <c r="AR508" s="34">
        <f t="shared" si="977"/>
        <v>10.071522048197719</v>
      </c>
      <c r="AS508" s="35">
        <f t="shared" si="978"/>
        <v>0.84650551291466536</v>
      </c>
      <c r="AU508" s="949">
        <f t="shared" si="979"/>
        <v>6.7832070846746895</v>
      </c>
      <c r="AV508" s="843">
        <f t="shared" si="980"/>
        <v>10.59904605216396</v>
      </c>
      <c r="AW508" s="34">
        <f t="shared" si="981"/>
        <v>3.8158389674892703</v>
      </c>
      <c r="AX508" s="35">
        <f t="shared" si="982"/>
        <v>0.5625420129234151</v>
      </c>
      <c r="AZ508" s="949">
        <f t="shared" si="963"/>
        <v>6.666294792848019</v>
      </c>
      <c r="BA508" s="843">
        <f t="shared" si="964"/>
        <v>6.9859219532445636</v>
      </c>
      <c r="BB508" s="34">
        <f t="shared" si="983"/>
        <v>0.3196271603965446</v>
      </c>
      <c r="BC508" s="35">
        <f t="shared" si="984"/>
        <v>4.794674858055465E-2</v>
      </c>
      <c r="BE508" s="31">
        <f t="shared" si="985"/>
        <v>5.0677037647496386</v>
      </c>
      <c r="BF508" s="25">
        <f t="shared" si="986"/>
        <v>3.8953704742477315</v>
      </c>
      <c r="BG508" s="32">
        <f t="shared" si="987"/>
        <v>-1.172333290501907</v>
      </c>
      <c r="BH508" s="33">
        <f t="shared" si="988"/>
        <v>-0.23133421859748823</v>
      </c>
      <c r="BJ508" s="31">
        <f t="shared" si="965"/>
        <v>5.1380955803301784</v>
      </c>
      <c r="BK508" s="25">
        <f t="shared" si="966"/>
        <v>3.385838811907866</v>
      </c>
      <c r="BL508" s="32">
        <f t="shared" si="967"/>
        <v>-1.7522567684223125</v>
      </c>
      <c r="BM508" s="33">
        <f t="shared" si="968"/>
        <v>-0.34103234185256454</v>
      </c>
      <c r="BO508" s="62"/>
      <c r="BP508" s="62"/>
      <c r="BQ508" s="62"/>
      <c r="BR508" s="63"/>
    </row>
    <row r="509" spans="1:70">
      <c r="A509" s="1"/>
      <c r="B509" s="1284"/>
      <c r="D509" s="4" t="s">
        <v>724</v>
      </c>
      <c r="E509" s="88">
        <f t="shared" ref="E509:L509" si="993">E508-SUM(E497:E500)</f>
        <v>31.145957790998189</v>
      </c>
      <c r="F509" s="88">
        <f t="shared" si="993"/>
        <v>36.216665267854708</v>
      </c>
      <c r="G509" s="88">
        <f t="shared" si="993"/>
        <v>20.951981187551276</v>
      </c>
      <c r="H509" s="88">
        <f t="shared" si="993"/>
        <v>4.6571827897502462</v>
      </c>
      <c r="I509" s="88">
        <f t="shared" si="993"/>
        <v>2.7845683714587239</v>
      </c>
      <c r="J509" s="88">
        <f t="shared" si="993"/>
        <v>2.8142042569269812</v>
      </c>
      <c r="K509" s="88">
        <f t="shared" si="993"/>
        <v>2.8409128936141252</v>
      </c>
      <c r="L509" s="88">
        <f t="shared" si="993"/>
        <v>2.8696976846553648</v>
      </c>
      <c r="M509" s="1"/>
      <c r="N509" s="81">
        <f t="shared" ref="N509:U509" si="994">N508-SUM(N497:N500)</f>
        <v>15.858905708362286</v>
      </c>
      <c r="O509" s="81">
        <f t="shared" si="994"/>
        <v>18.074436590000715</v>
      </c>
      <c r="P509" s="81">
        <f t="shared" si="994"/>
        <v>11.897763091370452</v>
      </c>
      <c r="Q509" s="81">
        <f t="shared" si="994"/>
        <v>6.7832070846746895</v>
      </c>
      <c r="R509" s="81">
        <f t="shared" si="994"/>
        <v>6.666294792848019</v>
      </c>
      <c r="S509" s="81">
        <f t="shared" si="994"/>
        <v>5.0677037647496386</v>
      </c>
      <c r="T509" s="81">
        <f t="shared" si="994"/>
        <v>5.1380955803301784</v>
      </c>
      <c r="U509" s="81">
        <f t="shared" si="994"/>
        <v>4.8112305967527389</v>
      </c>
      <c r="V509" s="1"/>
      <c r="W509" s="85">
        <f t="shared" ref="W509:AD509" si="995">W508-SUM(W497:W500)</f>
        <v>17.277463311316275</v>
      </c>
      <c r="X509" s="85">
        <f t="shared" si="995"/>
        <v>17.450539225403944</v>
      </c>
      <c r="Y509" s="85">
        <f t="shared" si="995"/>
        <v>18.621802399887986</v>
      </c>
      <c r="Z509" s="85">
        <f>Z508-SUM(Z497:Z500)</f>
        <v>10.403328474121688</v>
      </c>
      <c r="AA509" s="85">
        <f>AA508-SUM(AA497:AA500)</f>
        <v>6.9859219532445636</v>
      </c>
      <c r="AB509" s="85">
        <f t="shared" si="995"/>
        <v>3.8953704742477315</v>
      </c>
      <c r="AC509" s="85">
        <f t="shared" ref="AC509" si="996">AC508-SUM(AC497:AC500)</f>
        <v>3.385838811907866</v>
      </c>
      <c r="AD509" s="91">
        <f t="shared" si="995"/>
        <v>0</v>
      </c>
      <c r="AE509" s="1"/>
      <c r="AF509" s="81">
        <f t="shared" si="969"/>
        <v>15.858905708362286</v>
      </c>
      <c r="AG509" s="85">
        <f t="shared" si="970"/>
        <v>17.277463311316275</v>
      </c>
      <c r="AH509" s="34">
        <f>IF(AG509&gt;0,AG509-AF509,"")</f>
        <v>1.4185576029539888</v>
      </c>
      <c r="AI509" s="35">
        <f>IF(AG509&gt;0,AH509/AF509,"")</f>
        <v>8.9448643496631272E-2</v>
      </c>
      <c r="AK509" s="81">
        <f t="shared" si="961"/>
        <v>18.074436590000715</v>
      </c>
      <c r="AL509" s="85">
        <f t="shared" si="962"/>
        <v>17.450539225403944</v>
      </c>
      <c r="AM509" s="34">
        <f>IF(AL509&gt;0,AL509-AK509,"")</f>
        <v>-0.62389736459677181</v>
      </c>
      <c r="AN509" s="35">
        <f>IF(AL509&gt;0,AM509/AK509,"")</f>
        <v>-3.4518219225816937E-2</v>
      </c>
      <c r="AP509" s="81">
        <f t="shared" si="975"/>
        <v>11.897763091370452</v>
      </c>
      <c r="AQ509" s="85">
        <f>Y509</f>
        <v>18.621802399887986</v>
      </c>
      <c r="AR509" s="34">
        <f t="shared" si="977"/>
        <v>6.7240393085175345</v>
      </c>
      <c r="AS509" s="35">
        <f t="shared" si="978"/>
        <v>0.56515155469808753</v>
      </c>
      <c r="AU509" s="949">
        <f t="shared" si="979"/>
        <v>6.7832070846746895</v>
      </c>
      <c r="AV509" s="843">
        <f t="shared" si="980"/>
        <v>10.403328474121688</v>
      </c>
      <c r="AW509" s="34">
        <f t="shared" si="981"/>
        <v>3.6201213894469984</v>
      </c>
      <c r="AX509" s="35">
        <f t="shared" si="982"/>
        <v>0.53368876171065815</v>
      </c>
      <c r="AZ509" s="949">
        <f t="shared" si="963"/>
        <v>6.666294792848019</v>
      </c>
      <c r="BA509" s="843">
        <f t="shared" si="964"/>
        <v>6.9859219532445636</v>
      </c>
      <c r="BB509" s="34">
        <f t="shared" si="983"/>
        <v>0.3196271603965446</v>
      </c>
      <c r="BC509" s="35">
        <f t="shared" si="984"/>
        <v>4.794674858055465E-2</v>
      </c>
      <c r="BE509" s="31">
        <f t="shared" si="985"/>
        <v>5.0677037647496386</v>
      </c>
      <c r="BF509" s="25">
        <f t="shared" si="986"/>
        <v>3.8953704742477315</v>
      </c>
      <c r="BG509" s="32">
        <f t="shared" si="987"/>
        <v>-1.172333290501907</v>
      </c>
      <c r="BH509" s="33">
        <f t="shared" si="988"/>
        <v>-0.23133421859748823</v>
      </c>
      <c r="BJ509" s="31">
        <f t="shared" si="965"/>
        <v>5.1380955803301784</v>
      </c>
      <c r="BK509" s="25">
        <f t="shared" si="966"/>
        <v>3.385838811907866</v>
      </c>
      <c r="BL509" s="32">
        <f t="shared" si="967"/>
        <v>-1.7522567684223125</v>
      </c>
      <c r="BM509" s="33">
        <f t="shared" si="968"/>
        <v>-0.34103234185256454</v>
      </c>
      <c r="BO509" s="62"/>
      <c r="BP509" s="62"/>
      <c r="BQ509" s="62"/>
      <c r="BR509" s="63"/>
    </row>
    <row r="510" spans="1:70" ht="14.5" customHeight="1">
      <c r="B510" s="1284"/>
    </row>
    <row r="511" spans="1:70" ht="14.5" customHeight="1">
      <c r="B511" s="1284"/>
      <c r="D511" s="1" t="s">
        <v>78</v>
      </c>
    </row>
    <row r="512" spans="1:70" ht="14.5" customHeight="1">
      <c r="B512" s="1284"/>
      <c r="E512" s="1300" t="s">
        <v>733</v>
      </c>
      <c r="F512" s="1301"/>
      <c r="G512" s="1301"/>
      <c r="H512" s="1301"/>
      <c r="I512" s="1301"/>
      <c r="J512" s="1301"/>
      <c r="K512" s="1301"/>
      <c r="L512" s="1302"/>
      <c r="N512" s="245" t="s">
        <v>291</v>
      </c>
      <c r="O512" s="246"/>
      <c r="P512" s="246"/>
      <c r="Q512" s="246"/>
      <c r="R512" s="246"/>
      <c r="S512" s="246"/>
      <c r="T512" s="246"/>
      <c r="U512" s="247"/>
      <c r="W512" s="1079" t="s">
        <v>292</v>
      </c>
      <c r="X512" s="1080"/>
      <c r="Y512" s="1080"/>
      <c r="Z512" s="1080"/>
      <c r="AA512" s="1080"/>
      <c r="AB512" s="1080"/>
      <c r="AC512" s="1080"/>
      <c r="AD512" s="1081"/>
      <c r="AF512" s="102" t="s">
        <v>297</v>
      </c>
      <c r="AG512" s="102" t="s">
        <v>298</v>
      </c>
      <c r="AH512" s="1304" t="s">
        <v>602</v>
      </c>
      <c r="AI512" s="1304"/>
      <c r="AK512" s="102" t="s">
        <v>297</v>
      </c>
      <c r="AL512" s="102" t="s">
        <v>298</v>
      </c>
      <c r="AM512" s="1304" t="s">
        <v>602</v>
      </c>
      <c r="AN512" s="1304"/>
      <c r="AP512" s="6" t="s">
        <v>297</v>
      </c>
      <c r="AQ512" s="5" t="s">
        <v>298</v>
      </c>
      <c r="AR512" s="1303" t="s">
        <v>602</v>
      </c>
      <c r="AS512" s="1303"/>
      <c r="AU512" s="6" t="s">
        <v>297</v>
      </c>
      <c r="AV512" s="5" t="s">
        <v>298</v>
      </c>
      <c r="AW512" s="1303" t="s">
        <v>602</v>
      </c>
      <c r="AX512" s="1303"/>
      <c r="AZ512" s="6" t="s">
        <v>297</v>
      </c>
      <c r="BA512" s="5" t="s">
        <v>298</v>
      </c>
      <c r="BB512" s="1303" t="s">
        <v>602</v>
      </c>
      <c r="BC512" s="1303"/>
      <c r="BE512" s="6" t="s">
        <v>297</v>
      </c>
      <c r="BF512" s="5" t="s">
        <v>298</v>
      </c>
      <c r="BG512" s="1082" t="s">
        <v>602</v>
      </c>
      <c r="BH512" s="1082"/>
      <c r="BJ512" s="6" t="s">
        <v>297</v>
      </c>
      <c r="BK512" s="5" t="s">
        <v>298</v>
      </c>
      <c r="BL512" s="1082" t="s">
        <v>602</v>
      </c>
      <c r="BM512" s="1082"/>
      <c r="BO512" s="6" t="s">
        <v>297</v>
      </c>
      <c r="BP512" s="5" t="s">
        <v>298</v>
      </c>
      <c r="BQ512" s="1303" t="s">
        <v>602</v>
      </c>
      <c r="BR512" s="1303"/>
    </row>
    <row r="513" spans="1:70" ht="14.5" customHeight="1">
      <c r="A513" s="1"/>
      <c r="B513" s="1284"/>
      <c r="E513" s="196" t="s">
        <v>137</v>
      </c>
      <c r="F513" s="102" t="s">
        <v>138</v>
      </c>
      <c r="G513" s="102" t="s">
        <v>139</v>
      </c>
      <c r="H513" s="102" t="s">
        <v>140</v>
      </c>
      <c r="I513" s="102" t="s">
        <v>141</v>
      </c>
      <c r="J513" s="102" t="s">
        <v>126</v>
      </c>
      <c r="K513" s="102" t="s">
        <v>142</v>
      </c>
      <c r="L513" s="197" t="s">
        <v>143</v>
      </c>
      <c r="N513" s="196" t="s">
        <v>137</v>
      </c>
      <c r="O513" s="102" t="s">
        <v>138</v>
      </c>
      <c r="P513" s="102" t="s">
        <v>139</v>
      </c>
      <c r="Q513" s="102" t="s">
        <v>140</v>
      </c>
      <c r="R513" s="102" t="s">
        <v>141</v>
      </c>
      <c r="S513" s="102" t="s">
        <v>126</v>
      </c>
      <c r="T513" s="102" t="s">
        <v>142</v>
      </c>
      <c r="U513" s="197" t="s">
        <v>143</v>
      </c>
      <c r="W513" s="196" t="s">
        <v>137</v>
      </c>
      <c r="X513" s="1078" t="s">
        <v>138</v>
      </c>
      <c r="Y513" s="1078" t="s">
        <v>139</v>
      </c>
      <c r="Z513" s="1078" t="s">
        <v>140</v>
      </c>
      <c r="AA513" s="1078" t="s">
        <v>141</v>
      </c>
      <c r="AB513" s="1078" t="s">
        <v>126</v>
      </c>
      <c r="AC513" s="1078" t="s">
        <v>142</v>
      </c>
      <c r="AD513" s="197" t="s">
        <v>143</v>
      </c>
      <c r="AF513" s="102" t="s">
        <v>734</v>
      </c>
      <c r="AG513" s="102" t="s">
        <v>734</v>
      </c>
      <c r="AH513" s="102" t="s">
        <v>734</v>
      </c>
      <c r="AI513" s="102" t="s">
        <v>606</v>
      </c>
      <c r="AK513" s="102" t="s">
        <v>734</v>
      </c>
      <c r="AL513" s="102" t="s">
        <v>734</v>
      </c>
      <c r="AM513" s="102" t="s">
        <v>734</v>
      </c>
      <c r="AN513" s="102" t="s">
        <v>606</v>
      </c>
      <c r="AP513" s="5" t="s">
        <v>734</v>
      </c>
      <c r="AQ513" s="5" t="s">
        <v>734</v>
      </c>
      <c r="AR513" s="5" t="s">
        <v>734</v>
      </c>
      <c r="AS513" s="5" t="s">
        <v>606</v>
      </c>
      <c r="AU513" s="5" t="s">
        <v>734</v>
      </c>
      <c r="AV513" s="5" t="s">
        <v>734</v>
      </c>
      <c r="AW513" s="5" t="s">
        <v>734</v>
      </c>
      <c r="AX513" s="5" t="s">
        <v>606</v>
      </c>
      <c r="AZ513" s="5" t="s">
        <v>734</v>
      </c>
      <c r="BA513" s="5" t="s">
        <v>734</v>
      </c>
      <c r="BB513" s="5" t="s">
        <v>734</v>
      </c>
      <c r="BC513" s="5" t="s">
        <v>606</v>
      </c>
      <c r="BE513" s="5" t="s">
        <v>734</v>
      </c>
      <c r="BF513" s="5" t="s">
        <v>734</v>
      </c>
      <c r="BG513" s="5" t="s">
        <v>734</v>
      </c>
      <c r="BH513" s="5" t="s">
        <v>606</v>
      </c>
      <c r="BJ513" s="5" t="s">
        <v>734</v>
      </c>
      <c r="BK513" s="5" t="s">
        <v>734</v>
      </c>
      <c r="BL513" s="5" t="s">
        <v>734</v>
      </c>
      <c r="BM513" s="5" t="s">
        <v>606</v>
      </c>
      <c r="BO513" s="5" t="s">
        <v>734</v>
      </c>
      <c r="BP513" s="5" t="s">
        <v>734</v>
      </c>
      <c r="BQ513" s="5" t="s">
        <v>734</v>
      </c>
      <c r="BR513" s="5" t="s">
        <v>606</v>
      </c>
    </row>
    <row r="514" spans="1:70">
      <c r="B514" s="1284"/>
      <c r="D514" s="5" t="s">
        <v>161</v>
      </c>
      <c r="E514" s="87">
        <v>7.0089511882474262</v>
      </c>
      <c r="F514" s="87">
        <v>6.7932466402481779</v>
      </c>
      <c r="G514" s="87">
        <v>6.601590214073644</v>
      </c>
      <c r="H514" s="87">
        <v>6.4775264658461076</v>
      </c>
      <c r="I514" s="87">
        <v>6.4379578486231726</v>
      </c>
      <c r="J514" s="87">
        <v>6.5077809205533335</v>
      </c>
      <c r="K514" s="87">
        <v>6.5200732460055244</v>
      </c>
      <c r="L514" s="87">
        <v>6.5737993957039791</v>
      </c>
      <c r="N514" s="29">
        <v>6.4704180144030783</v>
      </c>
      <c r="O514" s="29">
        <v>5.8783525753600285</v>
      </c>
      <c r="P514" s="29">
        <v>6.2060046672466713</v>
      </c>
      <c r="Q514" s="29">
        <v>5.9628078594821838</v>
      </c>
      <c r="R514" s="29">
        <v>6.1482608538792025</v>
      </c>
      <c r="S514" s="29">
        <v>6.1547375438156964</v>
      </c>
      <c r="T514" s="29">
        <v>6.1042763735621213</v>
      </c>
      <c r="U514" s="29">
        <v>5.9820819584426941</v>
      </c>
      <c r="W514" s="30">
        <v>3.023369369313706</v>
      </c>
      <c r="X514" s="30">
        <v>4.0143435544029202</v>
      </c>
      <c r="Y514" s="30">
        <v>3.9019674235615116</v>
      </c>
      <c r="Z514" s="30">
        <v>3.7820029883307225</v>
      </c>
      <c r="AA514" s="30">
        <v>3.6438555631584157</v>
      </c>
      <c r="AB514" s="85">
        <v>3.4746407951040892</v>
      </c>
      <c r="AC514" s="85">
        <v>2.2796173214693289</v>
      </c>
      <c r="AD514" s="90">
        <v>0</v>
      </c>
      <c r="AF514" s="29">
        <f>N514</f>
        <v>6.4704180144030783</v>
      </c>
      <c r="AG514" s="30">
        <f>W514</f>
        <v>3.023369369313706</v>
      </c>
      <c r="AH514" s="32">
        <f>IF(AG514&gt;0,AG514-AF514,"")</f>
        <v>-3.4470486450893723</v>
      </c>
      <c r="AI514" s="33">
        <f>IF(AG514&gt;0,AH514/AF514,"")</f>
        <v>-0.53273971440736601</v>
      </c>
      <c r="AK514" s="29">
        <f t="shared" ref="AK514:AK529" si="997">O514</f>
        <v>5.8783525753600285</v>
      </c>
      <c r="AL514" s="30">
        <f t="shared" ref="AL514:AL529" si="998">X514</f>
        <v>4.0143435544029202</v>
      </c>
      <c r="AM514" s="32">
        <f>IF(AL514&gt;0,AL514-AK514,"")</f>
        <v>-1.8640090209571083</v>
      </c>
      <c r="AN514" s="33">
        <f>IF(AL514&gt;0,AM514/AK514,"")</f>
        <v>-0.31709717936456783</v>
      </c>
      <c r="AP514" s="29">
        <f>P514</f>
        <v>6.2060046672466713</v>
      </c>
      <c r="AQ514" s="30">
        <f>Y514</f>
        <v>3.9019674235615116</v>
      </c>
      <c r="AR514" s="32">
        <f>AQ514-AP514</f>
        <v>-2.3040372436851597</v>
      </c>
      <c r="AS514" s="33">
        <f>AR514/AP514</f>
        <v>-0.37125934755497997</v>
      </c>
      <c r="AU514" s="31">
        <f>Q514</f>
        <v>5.9628078594821838</v>
      </c>
      <c r="AV514" s="25">
        <f>Z514</f>
        <v>3.7820029883307225</v>
      </c>
      <c r="AW514" s="32">
        <f>AV514-AU514</f>
        <v>-2.1808048711514614</v>
      </c>
      <c r="AX514" s="33">
        <f>AW514/AU514</f>
        <v>-0.36573455367734165</v>
      </c>
      <c r="AZ514" s="31">
        <f t="shared" ref="AZ514:AZ529" si="999">R514</f>
        <v>6.1482608538792025</v>
      </c>
      <c r="BA514" s="25">
        <f t="shared" ref="BA514:BA529" si="1000">AA514</f>
        <v>3.6438555631584157</v>
      </c>
      <c r="BB514" s="32">
        <f>BA514-AZ514</f>
        <v>-2.5044052907207868</v>
      </c>
      <c r="BC514" s="33">
        <f>BB514/AZ514</f>
        <v>-0.40733556207860788</v>
      </c>
      <c r="BE514" s="31">
        <f>S514</f>
        <v>6.1547375438156964</v>
      </c>
      <c r="BF514" s="25">
        <f>AB514</f>
        <v>3.4746407951040892</v>
      </c>
      <c r="BG514" s="32">
        <f>BF514-BE514</f>
        <v>-2.6800967487116072</v>
      </c>
      <c r="BH514" s="33">
        <f>BG514/BE514</f>
        <v>-0.43545264597100142</v>
      </c>
      <c r="BJ514" s="31">
        <f t="shared" ref="BJ514:BJ529" si="1001">T514</f>
        <v>6.1042763735621213</v>
      </c>
      <c r="BK514" s="25">
        <f t="shared" ref="BK514:BK529" si="1002">AC514</f>
        <v>2.2796173214693289</v>
      </c>
      <c r="BL514" s="32">
        <f t="shared" ref="BL514:BL529" si="1003">BK514-BJ514</f>
        <v>-3.8246590520927923</v>
      </c>
      <c r="BM514" s="33">
        <f t="shared" ref="BM514:BM529" si="1004">BL514/BJ514</f>
        <v>-0.62655404474436183</v>
      </c>
      <c r="BO514" s="62"/>
      <c r="BP514" s="62"/>
      <c r="BQ514" s="62"/>
      <c r="BR514" s="63"/>
    </row>
    <row r="515" spans="1:70">
      <c r="B515" s="1284"/>
      <c r="D515" s="5" t="s">
        <v>162</v>
      </c>
      <c r="E515" s="87">
        <v>5.7416949656979908</v>
      </c>
      <c r="F515" s="87">
        <v>3.9031633508789847</v>
      </c>
      <c r="G515" s="87">
        <v>3.9017504393483646</v>
      </c>
      <c r="H515" s="87">
        <v>3.9324914556569794</v>
      </c>
      <c r="I515" s="87">
        <v>3.6785987030018878</v>
      </c>
      <c r="J515" s="87">
        <v>3.7055387620827496</v>
      </c>
      <c r="K515" s="87">
        <v>3.7501210914685164</v>
      </c>
      <c r="L515" s="87">
        <v>3.7995583389866985</v>
      </c>
      <c r="N515" s="29">
        <v>4.9434260032108268</v>
      </c>
      <c r="O515" s="29">
        <v>4.3490107771466242</v>
      </c>
      <c r="P515" s="29">
        <v>3.8958703025777339</v>
      </c>
      <c r="Q515" s="29">
        <v>3.8449743113741994</v>
      </c>
      <c r="R515" s="29">
        <v>3.5958435192996574</v>
      </c>
      <c r="S515" s="29">
        <v>3.2165394580785098</v>
      </c>
      <c r="T515" s="29">
        <v>2.9434636434097623</v>
      </c>
      <c r="U515" s="29">
        <v>2.9570867853360485</v>
      </c>
      <c r="W515" s="30">
        <v>5.5198595708179958</v>
      </c>
      <c r="X515" s="30">
        <v>3.2414648991122572</v>
      </c>
      <c r="Y515" s="30">
        <v>2.1920390219341206</v>
      </c>
      <c r="Z515" s="30">
        <v>2.6827898606105847</v>
      </c>
      <c r="AA515" s="30">
        <v>3.1103032361925713</v>
      </c>
      <c r="AB515" s="85">
        <v>1.9417726630042802</v>
      </c>
      <c r="AC515" s="85">
        <v>1.5964554299999998</v>
      </c>
      <c r="AD515" s="90">
        <v>0</v>
      </c>
      <c r="AF515" s="29">
        <f t="shared" ref="AF515:AF529" si="1005">N515</f>
        <v>4.9434260032108268</v>
      </c>
      <c r="AG515" s="30">
        <f t="shared" ref="AG515:AG529" si="1006">W515</f>
        <v>5.5198595708179958</v>
      </c>
      <c r="AH515" s="32">
        <f t="shared" ref="AH515:AH529" si="1007">IF(AG515&gt;0,AG515-AF515,"")</f>
        <v>0.57643356760716902</v>
      </c>
      <c r="AI515" s="33">
        <f t="shared" ref="AI515:AI529" si="1008">IF(AG515&gt;0,AH515/AF515,"")</f>
        <v>0.11660608801118234</v>
      </c>
      <c r="AK515" s="29">
        <f t="shared" si="997"/>
        <v>4.3490107771466242</v>
      </c>
      <c r="AL515" s="30">
        <f t="shared" si="998"/>
        <v>3.2414648991122572</v>
      </c>
      <c r="AM515" s="32">
        <f t="shared" ref="AM515:AM529" si="1009">IF(AL515&gt;0,AL515-AK515,"")</f>
        <v>-1.107545878034367</v>
      </c>
      <c r="AN515" s="33">
        <f t="shared" ref="AN515:AN529" si="1010">IF(AL515&gt;0,AM515/AK515,"")</f>
        <v>-0.2546661608323319</v>
      </c>
      <c r="AP515" s="29">
        <f t="shared" ref="AP515:AP529" si="1011">P515</f>
        <v>3.8958703025777339</v>
      </c>
      <c r="AQ515" s="30">
        <f t="shared" ref="AQ515:AQ528" si="1012">Y515</f>
        <v>2.1920390219341206</v>
      </c>
      <c r="AR515" s="32">
        <f t="shared" ref="AR515:AR529" si="1013">AQ515-AP515</f>
        <v>-1.7038312806436133</v>
      </c>
      <c r="AS515" s="33">
        <f t="shared" ref="AS515:AS529" si="1014">AR515/AP515</f>
        <v>-0.43734291655352586</v>
      </c>
      <c r="AU515" s="31">
        <f t="shared" ref="AU515:AU529" si="1015">Q515</f>
        <v>3.8449743113741994</v>
      </c>
      <c r="AV515" s="25">
        <f t="shared" ref="AV515:AV529" si="1016">Z515</f>
        <v>2.6827898606105847</v>
      </c>
      <c r="AW515" s="32">
        <f t="shared" ref="AW515:AW529" si="1017">AV515-AU515</f>
        <v>-1.1621844507636148</v>
      </c>
      <c r="AX515" s="33">
        <f t="shared" ref="AX515:AX529" si="1018">AW515/AU515</f>
        <v>-0.30226065420662024</v>
      </c>
      <c r="AZ515" s="31">
        <f t="shared" si="999"/>
        <v>3.5958435192996574</v>
      </c>
      <c r="BA515" s="25">
        <f t="shared" si="1000"/>
        <v>3.1103032361925713</v>
      </c>
      <c r="BB515" s="32">
        <f t="shared" ref="BB515:BB529" si="1019">BA515-AZ515</f>
        <v>-0.48554028310708608</v>
      </c>
      <c r="BC515" s="33">
        <f t="shared" ref="BC515:BC529" si="1020">BB515/AZ515</f>
        <v>-0.1350282014501154</v>
      </c>
      <c r="BE515" s="31">
        <f t="shared" ref="BE515:BE529" si="1021">S515</f>
        <v>3.2165394580785098</v>
      </c>
      <c r="BF515" s="25">
        <f t="shared" ref="BF515:BF529" si="1022">AB515</f>
        <v>1.9417726630042802</v>
      </c>
      <c r="BG515" s="32">
        <f t="shared" ref="BG515:BG529" si="1023">BF515-BE515</f>
        <v>-1.2747667950742296</v>
      </c>
      <c r="BH515" s="33">
        <f t="shared" ref="BH515:BH529" si="1024">BG515/BE515</f>
        <v>-0.39631623105775526</v>
      </c>
      <c r="BJ515" s="31">
        <f t="shared" si="1001"/>
        <v>2.9434636434097623</v>
      </c>
      <c r="BK515" s="25">
        <f t="shared" si="1002"/>
        <v>1.5964554299999998</v>
      </c>
      <c r="BL515" s="32">
        <f t="shared" si="1003"/>
        <v>-1.3470082134097625</v>
      </c>
      <c r="BM515" s="33">
        <f t="shared" si="1004"/>
        <v>-0.45762692412581102</v>
      </c>
      <c r="BO515" s="62"/>
      <c r="BP515" s="62"/>
      <c r="BQ515" s="62"/>
      <c r="BR515" s="63"/>
    </row>
    <row r="516" spans="1:70">
      <c r="B516" s="1284"/>
      <c r="D516" s="5" t="s">
        <v>163</v>
      </c>
      <c r="E516" s="87">
        <v>13.885456398286216</v>
      </c>
      <c r="F516" s="87">
        <v>11.756047371284373</v>
      </c>
      <c r="G516" s="87">
        <v>10.018330657274239</v>
      </c>
      <c r="H516" s="87">
        <v>8.1724074243492684</v>
      </c>
      <c r="I516" s="87">
        <v>8.1291583121618789</v>
      </c>
      <c r="J516" s="87">
        <v>7.9580363960853928</v>
      </c>
      <c r="K516" s="87">
        <v>7.9586989768551897</v>
      </c>
      <c r="L516" s="87">
        <v>7.8516979660244477</v>
      </c>
      <c r="N516" s="29">
        <v>11.201524745727298</v>
      </c>
      <c r="O516" s="29">
        <v>10.347662018050613</v>
      </c>
      <c r="P516" s="29">
        <v>9.5081408126392386</v>
      </c>
      <c r="Q516" s="29">
        <v>8.8090809083991033</v>
      </c>
      <c r="R516" s="29">
        <v>7.6197270156848234</v>
      </c>
      <c r="S516" s="29">
        <v>7.3630979712594984</v>
      </c>
      <c r="T516" s="29">
        <v>6.4740067800988701</v>
      </c>
      <c r="U516" s="29">
        <v>6.9284957687102642</v>
      </c>
      <c r="W516" s="30">
        <v>8.1294728927480087</v>
      </c>
      <c r="X516" s="30">
        <v>6.1050676453635333</v>
      </c>
      <c r="Y516" s="30">
        <v>4.4818160195019745</v>
      </c>
      <c r="Z516" s="30">
        <v>3.8762599295127602</v>
      </c>
      <c r="AA516" s="30">
        <v>3.9649421053452678</v>
      </c>
      <c r="AB516" s="85">
        <v>2.7765256321361003</v>
      </c>
      <c r="AC516" s="85">
        <v>1.9972446100000003</v>
      </c>
      <c r="AD516" s="90">
        <v>0</v>
      </c>
      <c r="AF516" s="29">
        <f t="shared" si="1005"/>
        <v>11.201524745727298</v>
      </c>
      <c r="AG516" s="30">
        <f t="shared" si="1006"/>
        <v>8.1294728927480087</v>
      </c>
      <c r="AH516" s="32">
        <f t="shared" si="1007"/>
        <v>-3.0720518529792891</v>
      </c>
      <c r="AI516" s="33">
        <f t="shared" si="1008"/>
        <v>-0.2742530077569208</v>
      </c>
      <c r="AK516" s="29">
        <f t="shared" si="997"/>
        <v>10.347662018050613</v>
      </c>
      <c r="AL516" s="30">
        <f t="shared" si="998"/>
        <v>6.1050676453635333</v>
      </c>
      <c r="AM516" s="32">
        <f t="shared" si="1009"/>
        <v>-4.2425943726870798</v>
      </c>
      <c r="AN516" s="33">
        <f t="shared" si="1010"/>
        <v>-0.41000511664241024</v>
      </c>
      <c r="AP516" s="29">
        <f t="shared" si="1011"/>
        <v>9.5081408126392386</v>
      </c>
      <c r="AQ516" s="30">
        <f t="shared" si="1012"/>
        <v>4.4818160195019745</v>
      </c>
      <c r="AR516" s="32">
        <f t="shared" si="1013"/>
        <v>-5.0263247931372641</v>
      </c>
      <c r="AS516" s="33">
        <f t="shared" si="1014"/>
        <v>-0.52863381939566301</v>
      </c>
      <c r="AU516" s="31">
        <f t="shared" si="1015"/>
        <v>8.8090809083991033</v>
      </c>
      <c r="AV516" s="25">
        <f t="shared" si="1016"/>
        <v>3.8762599295127602</v>
      </c>
      <c r="AW516" s="32">
        <f t="shared" si="1017"/>
        <v>-4.9328209788863431</v>
      </c>
      <c r="AX516" s="33">
        <f t="shared" si="1018"/>
        <v>-0.55996999348514298</v>
      </c>
      <c r="AZ516" s="31">
        <f t="shared" si="999"/>
        <v>7.6197270156848234</v>
      </c>
      <c r="BA516" s="25">
        <f t="shared" si="1000"/>
        <v>3.9649421053452678</v>
      </c>
      <c r="BB516" s="32">
        <f t="shared" si="1019"/>
        <v>-3.6547849103395555</v>
      </c>
      <c r="BC516" s="33">
        <f t="shared" si="1020"/>
        <v>-0.47964774890443784</v>
      </c>
      <c r="BE516" s="31">
        <f t="shared" si="1021"/>
        <v>7.3630979712594984</v>
      </c>
      <c r="BF516" s="25">
        <f t="shared" si="1022"/>
        <v>2.7765256321361003</v>
      </c>
      <c r="BG516" s="32">
        <f t="shared" si="1023"/>
        <v>-4.5865723391233981</v>
      </c>
      <c r="BH516" s="33">
        <f t="shared" si="1024"/>
        <v>-0.62291339284445779</v>
      </c>
      <c r="BJ516" s="31">
        <f t="shared" si="1001"/>
        <v>6.4740067800988701</v>
      </c>
      <c r="BK516" s="25">
        <f t="shared" si="1002"/>
        <v>1.9972446100000003</v>
      </c>
      <c r="BL516" s="32">
        <f t="shared" si="1003"/>
        <v>-4.47676217009887</v>
      </c>
      <c r="BM516" s="33">
        <f t="shared" si="1004"/>
        <v>-0.69149791190526089</v>
      </c>
      <c r="BO516" s="62"/>
      <c r="BP516" s="62"/>
      <c r="BQ516" s="62"/>
      <c r="BR516" s="63"/>
    </row>
    <row r="517" spans="1:70">
      <c r="B517" s="1284"/>
      <c r="D517" s="5" t="s">
        <v>164</v>
      </c>
      <c r="E517" s="87">
        <v>4.3345834128226874</v>
      </c>
      <c r="F517" s="87">
        <v>4.2730284841232855</v>
      </c>
      <c r="G517" s="87">
        <v>4.2620733425552473</v>
      </c>
      <c r="H517" s="87">
        <v>4.2603840726890541</v>
      </c>
      <c r="I517" s="87">
        <v>4.2681572697887642</v>
      </c>
      <c r="J517" s="87">
        <v>4.2811396338255552</v>
      </c>
      <c r="K517" s="87">
        <v>4.2883941151291989</v>
      </c>
      <c r="L517" s="87">
        <v>4.2972011012259177</v>
      </c>
      <c r="N517" s="29">
        <v>1.7218286899265871</v>
      </c>
      <c r="O517" s="29">
        <v>1.6616394361292404</v>
      </c>
      <c r="P517" s="29">
        <v>1.6559051831779326</v>
      </c>
      <c r="Q517" s="29">
        <v>1.6481079912854579</v>
      </c>
      <c r="R517" s="29">
        <v>1.65204929422364</v>
      </c>
      <c r="S517" s="29">
        <v>1.6566410867463524</v>
      </c>
      <c r="T517" s="29">
        <v>1.6603833083901822</v>
      </c>
      <c r="U517" s="29">
        <v>1.6627482586434674</v>
      </c>
      <c r="W517" s="30">
        <v>2.080919273955125</v>
      </c>
      <c r="X517" s="30">
        <v>2.8803532710421442</v>
      </c>
      <c r="Y517" s="30">
        <v>0.81041340375689308</v>
      </c>
      <c r="Z517" s="30">
        <v>1.3520108786197356</v>
      </c>
      <c r="AA517" s="30">
        <v>2.8798832240350674</v>
      </c>
      <c r="AB517" s="85">
        <v>2.5587207334609259</v>
      </c>
      <c r="AC517" s="85">
        <v>1.3634999999999997</v>
      </c>
      <c r="AD517" s="90">
        <v>0</v>
      </c>
      <c r="AF517" s="29">
        <f t="shared" si="1005"/>
        <v>1.7218286899265871</v>
      </c>
      <c r="AG517" s="30">
        <f t="shared" si="1006"/>
        <v>2.080919273955125</v>
      </c>
      <c r="AH517" s="32">
        <f t="shared" si="1007"/>
        <v>0.35909058402853788</v>
      </c>
      <c r="AI517" s="33">
        <f t="shared" si="1008"/>
        <v>0.20855186472926543</v>
      </c>
      <c r="AK517" s="29">
        <f t="shared" si="997"/>
        <v>1.6616394361292404</v>
      </c>
      <c r="AL517" s="30">
        <f t="shared" si="998"/>
        <v>2.8803532710421442</v>
      </c>
      <c r="AM517" s="32">
        <f t="shared" si="1009"/>
        <v>1.2187138349129039</v>
      </c>
      <c r="AN517" s="33">
        <f t="shared" si="1010"/>
        <v>0.73344060595472871</v>
      </c>
      <c r="AP517" s="29">
        <f t="shared" si="1011"/>
        <v>1.6559051831779326</v>
      </c>
      <c r="AQ517" s="30">
        <f t="shared" si="1012"/>
        <v>0.81041340375689308</v>
      </c>
      <c r="AR517" s="32">
        <f t="shared" si="1013"/>
        <v>-0.84549177942103948</v>
      </c>
      <c r="AS517" s="33">
        <f t="shared" si="1014"/>
        <v>-0.5105919034557358</v>
      </c>
      <c r="AU517" s="31">
        <f t="shared" si="1015"/>
        <v>1.6481079912854579</v>
      </c>
      <c r="AV517" s="25">
        <f t="shared" si="1016"/>
        <v>1.3520108786197356</v>
      </c>
      <c r="AW517" s="32">
        <f t="shared" si="1017"/>
        <v>-0.29609711266572236</v>
      </c>
      <c r="AX517" s="33">
        <f t="shared" si="1018"/>
        <v>-0.17965880526723163</v>
      </c>
      <c r="AZ517" s="31">
        <f t="shared" si="999"/>
        <v>1.65204929422364</v>
      </c>
      <c r="BA517" s="25">
        <f t="shared" si="1000"/>
        <v>2.8798832240350674</v>
      </c>
      <c r="BB517" s="32">
        <f t="shared" si="1019"/>
        <v>1.2278339298114274</v>
      </c>
      <c r="BC517" s="33">
        <f t="shared" si="1020"/>
        <v>0.74321870061899853</v>
      </c>
      <c r="BE517" s="31">
        <f t="shared" si="1021"/>
        <v>1.6566410867463524</v>
      </c>
      <c r="BF517" s="25">
        <f t="shared" si="1022"/>
        <v>2.5587207334609259</v>
      </c>
      <c r="BG517" s="32">
        <f t="shared" si="1023"/>
        <v>0.90207964671457352</v>
      </c>
      <c r="BH517" s="33">
        <f t="shared" si="1024"/>
        <v>0.54452328505642733</v>
      </c>
      <c r="BJ517" s="31">
        <f t="shared" si="1001"/>
        <v>1.6603833083901822</v>
      </c>
      <c r="BK517" s="25">
        <f t="shared" si="1002"/>
        <v>1.3634999999999997</v>
      </c>
      <c r="BL517" s="32">
        <f t="shared" si="1003"/>
        <v>-0.29688330839018251</v>
      </c>
      <c r="BM517" s="33">
        <f t="shared" si="1004"/>
        <v>-0.17880407908823445</v>
      </c>
      <c r="BO517" s="62"/>
      <c r="BP517" s="62"/>
      <c r="BQ517" s="62"/>
      <c r="BR517" s="63"/>
    </row>
    <row r="518" spans="1:70">
      <c r="B518" s="1284"/>
      <c r="D518" s="5" t="s">
        <v>165</v>
      </c>
      <c r="E518" s="87">
        <v>4.504968322920428</v>
      </c>
      <c r="F518" s="87">
        <v>4.5089958138960355</v>
      </c>
      <c r="G518" s="87">
        <v>4.4365457380193289</v>
      </c>
      <c r="H518" s="87">
        <v>4.4442790131656764</v>
      </c>
      <c r="I518" s="87">
        <v>4.4514912245804688</v>
      </c>
      <c r="J518" s="87">
        <v>4.4597557619706869</v>
      </c>
      <c r="K518" s="87">
        <v>4.4663632304611198</v>
      </c>
      <c r="L518" s="87">
        <v>4.4581025031302195</v>
      </c>
      <c r="N518" s="29">
        <v>2.3321584178103421</v>
      </c>
      <c r="O518" s="29">
        <v>2.3338014606813933</v>
      </c>
      <c r="P518" s="29">
        <v>2.2689670996054501</v>
      </c>
      <c r="Q518" s="29">
        <v>2.2733254812268759</v>
      </c>
      <c r="R518" s="29">
        <v>2.2768740466671069</v>
      </c>
      <c r="S518" s="29">
        <v>2.2803344462238297</v>
      </c>
      <c r="T518" s="29">
        <v>2.2847135343442053</v>
      </c>
      <c r="U518" s="29">
        <v>2.2736211299591069</v>
      </c>
      <c r="W518" s="30">
        <v>2.5522744754907816</v>
      </c>
      <c r="X518" s="30">
        <v>2.8650884555005431</v>
      </c>
      <c r="Y518" s="30">
        <v>2.8556885721768737</v>
      </c>
      <c r="Z518" s="30">
        <v>1.5508037048018413</v>
      </c>
      <c r="AA518" s="30">
        <v>1.3639298243199536</v>
      </c>
      <c r="AB518" s="85">
        <v>2.116577175549943</v>
      </c>
      <c r="AC518" s="85">
        <v>1.7958000000000001</v>
      </c>
      <c r="AD518" s="90">
        <v>0</v>
      </c>
      <c r="AF518" s="29">
        <f t="shared" si="1005"/>
        <v>2.3321584178103421</v>
      </c>
      <c r="AG518" s="30">
        <f t="shared" si="1006"/>
        <v>2.5522744754907816</v>
      </c>
      <c r="AH518" s="32">
        <f t="shared" si="1007"/>
        <v>0.22011605768043951</v>
      </c>
      <c r="AI518" s="33">
        <f t="shared" si="1008"/>
        <v>9.4382978445823565E-2</v>
      </c>
      <c r="AK518" s="29">
        <f t="shared" si="997"/>
        <v>2.3338014606813933</v>
      </c>
      <c r="AL518" s="30">
        <f t="shared" si="998"/>
        <v>2.8650884555005431</v>
      </c>
      <c r="AM518" s="32">
        <f t="shared" si="1009"/>
        <v>0.53128699481914987</v>
      </c>
      <c r="AN518" s="33">
        <f t="shared" si="1010"/>
        <v>0.22764875409068924</v>
      </c>
      <c r="AP518" s="29">
        <f t="shared" si="1011"/>
        <v>2.2689670996054501</v>
      </c>
      <c r="AQ518" s="30">
        <f t="shared" si="1012"/>
        <v>2.8556885721768737</v>
      </c>
      <c r="AR518" s="32">
        <f t="shared" si="1013"/>
        <v>0.5867214725714236</v>
      </c>
      <c r="AS518" s="33">
        <f t="shared" si="1014"/>
        <v>0.25858527110130791</v>
      </c>
      <c r="AU518" s="31">
        <f t="shared" si="1015"/>
        <v>2.2733254812268759</v>
      </c>
      <c r="AV518" s="25">
        <f t="shared" si="1016"/>
        <v>1.5508037048018413</v>
      </c>
      <c r="AW518" s="32">
        <f t="shared" si="1017"/>
        <v>-0.72252177642503468</v>
      </c>
      <c r="AX518" s="33">
        <f t="shared" si="1018"/>
        <v>-0.31782592611204169</v>
      </c>
      <c r="AZ518" s="31">
        <f t="shared" si="999"/>
        <v>2.2768740466671069</v>
      </c>
      <c r="BA518" s="25">
        <f t="shared" si="1000"/>
        <v>1.3639298243199536</v>
      </c>
      <c r="BB518" s="32">
        <f t="shared" si="1019"/>
        <v>-0.91294422234715333</v>
      </c>
      <c r="BC518" s="33">
        <f t="shared" si="1020"/>
        <v>-0.40096386696643277</v>
      </c>
      <c r="BE518" s="31">
        <f t="shared" si="1021"/>
        <v>2.2803344462238297</v>
      </c>
      <c r="BF518" s="25">
        <f t="shared" si="1022"/>
        <v>2.116577175549943</v>
      </c>
      <c r="BG518" s="32">
        <f t="shared" si="1023"/>
        <v>-0.16375727067388679</v>
      </c>
      <c r="BH518" s="33">
        <f t="shared" si="1024"/>
        <v>-7.1812830326298968E-2</v>
      </c>
      <c r="BJ518" s="31">
        <f t="shared" si="1001"/>
        <v>2.2847135343442053</v>
      </c>
      <c r="BK518" s="25">
        <f t="shared" si="1002"/>
        <v>1.7958000000000001</v>
      </c>
      <c r="BL518" s="32">
        <f t="shared" si="1003"/>
        <v>-0.48891353434420526</v>
      </c>
      <c r="BM518" s="33">
        <f t="shared" si="1004"/>
        <v>-0.21399336371705829</v>
      </c>
      <c r="BO518" s="62"/>
      <c r="BP518" s="62"/>
      <c r="BQ518" s="62"/>
      <c r="BR518" s="63"/>
    </row>
    <row r="519" spans="1:70">
      <c r="B519" s="1284"/>
      <c r="D519" s="5" t="s">
        <v>166</v>
      </c>
      <c r="E519" s="87">
        <v>1.9708010198223411</v>
      </c>
      <c r="F519" s="87">
        <v>1.8081066622943631</v>
      </c>
      <c r="G519" s="87">
        <v>1.8033150336142576</v>
      </c>
      <c r="H519" s="87">
        <v>1.8059916105339433</v>
      </c>
      <c r="I519" s="87">
        <v>1.9054797089396369</v>
      </c>
      <c r="J519" s="87">
        <v>1.8104306420771512</v>
      </c>
      <c r="K519" s="87">
        <v>1.8107812982469924</v>
      </c>
      <c r="L519" s="87">
        <v>1.8132533163760565</v>
      </c>
      <c r="N519" s="29">
        <v>0.28053518106997</v>
      </c>
      <c r="O519" s="29">
        <v>0.12471610782649116</v>
      </c>
      <c r="P519" s="29">
        <v>0.1243693358699345</v>
      </c>
      <c r="Q519" s="29">
        <v>0.125643720299941</v>
      </c>
      <c r="R519" s="29">
        <v>0.21880603015107206</v>
      </c>
      <c r="S519" s="29">
        <v>0.12466139558191154</v>
      </c>
      <c r="T519" s="29">
        <v>0.1246782190883365</v>
      </c>
      <c r="U519" s="29">
        <v>0.12469396417056969</v>
      </c>
      <c r="W519" s="30">
        <v>1.0818381470360363</v>
      </c>
      <c r="X519" s="30">
        <v>0.91354049933582882</v>
      </c>
      <c r="Y519" s="30">
        <v>0.99377509566836897</v>
      </c>
      <c r="Z519" s="30">
        <v>0.52389048667880889</v>
      </c>
      <c r="AA519" s="30">
        <v>0.67554138080525183</v>
      </c>
      <c r="AB519" s="85">
        <v>0.75312491203975984</v>
      </c>
      <c r="AC519" s="85">
        <v>0.70299999999999985</v>
      </c>
      <c r="AD519" s="90">
        <v>0</v>
      </c>
      <c r="AF519" s="29">
        <f t="shared" si="1005"/>
        <v>0.28053518106997</v>
      </c>
      <c r="AG519" s="30">
        <f t="shared" si="1006"/>
        <v>1.0818381470360363</v>
      </c>
      <c r="AH519" s="32">
        <f t="shared" si="1007"/>
        <v>0.80130296596606632</v>
      </c>
      <c r="AI519" s="33">
        <f t="shared" si="1008"/>
        <v>2.8563368163303853</v>
      </c>
      <c r="AK519" s="29">
        <f t="shared" si="997"/>
        <v>0.12471610782649116</v>
      </c>
      <c r="AL519" s="30">
        <f t="shared" si="998"/>
        <v>0.91354049933582882</v>
      </c>
      <c r="AM519" s="32">
        <f t="shared" si="1009"/>
        <v>0.7888243915093377</v>
      </c>
      <c r="AN519" s="33">
        <f t="shared" si="1010"/>
        <v>6.3249599851750835</v>
      </c>
      <c r="AP519" s="29">
        <f t="shared" si="1011"/>
        <v>0.1243693358699345</v>
      </c>
      <c r="AQ519" s="30">
        <f t="shared" si="1012"/>
        <v>0.99377509566836897</v>
      </c>
      <c r="AR519" s="32">
        <f t="shared" si="1013"/>
        <v>0.86940575979843449</v>
      </c>
      <c r="AS519" s="33">
        <f t="shared" si="1014"/>
        <v>6.9905154169807533</v>
      </c>
      <c r="AU519" s="31">
        <f t="shared" si="1015"/>
        <v>0.125643720299941</v>
      </c>
      <c r="AV519" s="25">
        <f t="shared" si="1016"/>
        <v>0.52389048667880889</v>
      </c>
      <c r="AW519" s="32">
        <f t="shared" si="1017"/>
        <v>0.39824676637886791</v>
      </c>
      <c r="AX519" s="33">
        <f t="shared" si="1018"/>
        <v>3.1696511805616674</v>
      </c>
      <c r="AZ519" s="31">
        <f t="shared" si="999"/>
        <v>0.21880603015107206</v>
      </c>
      <c r="BA519" s="25">
        <f t="shared" si="1000"/>
        <v>0.67554138080525183</v>
      </c>
      <c r="BB519" s="32">
        <f t="shared" si="1019"/>
        <v>0.45673535065417981</v>
      </c>
      <c r="BC519" s="33">
        <f t="shared" si="1020"/>
        <v>2.0873983698659138</v>
      </c>
      <c r="BE519" s="31">
        <f t="shared" si="1021"/>
        <v>0.12466139558191154</v>
      </c>
      <c r="BF519" s="25">
        <f t="shared" si="1022"/>
        <v>0.75312491203975984</v>
      </c>
      <c r="BG519" s="32">
        <f t="shared" si="1023"/>
        <v>0.62846351645784826</v>
      </c>
      <c r="BH519" s="33">
        <f t="shared" si="1024"/>
        <v>5.0413643576202576</v>
      </c>
      <c r="BJ519" s="31">
        <f t="shared" si="1001"/>
        <v>0.1246782190883365</v>
      </c>
      <c r="BK519" s="25">
        <f t="shared" si="1002"/>
        <v>0.70299999999999985</v>
      </c>
      <c r="BL519" s="32">
        <f t="shared" si="1003"/>
        <v>0.57832178091166331</v>
      </c>
      <c r="BM519" s="33">
        <f t="shared" si="1004"/>
        <v>4.6385149318014651</v>
      </c>
      <c r="BO519" s="62"/>
      <c r="BP519" s="62"/>
      <c r="BQ519" s="62"/>
      <c r="BR519" s="63"/>
    </row>
    <row r="520" spans="1:70">
      <c r="B520" s="1284"/>
      <c r="D520" s="5" t="s">
        <v>167</v>
      </c>
      <c r="E520" s="87">
        <v>4.1762088497140466</v>
      </c>
      <c r="F520" s="87">
        <v>3.5298386185715644</v>
      </c>
      <c r="G520" s="87">
        <v>3.5173997271712807</v>
      </c>
      <c r="H520" s="87">
        <v>3.5228902140158675</v>
      </c>
      <c r="I520" s="87">
        <v>3.5276233521991909</v>
      </c>
      <c r="J520" s="87">
        <v>3.5322829877287196</v>
      </c>
      <c r="K520" s="87">
        <v>3.5361679767836689</v>
      </c>
      <c r="L520" s="87">
        <v>3.5400315335298385</v>
      </c>
      <c r="N520" s="29">
        <v>0.80895066516526448</v>
      </c>
      <c r="O520" s="29">
        <v>0.18731816214126554</v>
      </c>
      <c r="P520" s="29">
        <v>0.18752902004627592</v>
      </c>
      <c r="Q520" s="29">
        <v>0.18705189575408657</v>
      </c>
      <c r="R520" s="29">
        <v>0.18896622504816846</v>
      </c>
      <c r="S520" s="29">
        <v>0.18724138117584427</v>
      </c>
      <c r="T520" s="29">
        <v>0.18794741034247381</v>
      </c>
      <c r="U520" s="29">
        <v>0.18741017331814108</v>
      </c>
      <c r="W520" s="30">
        <v>0.53492218800229729</v>
      </c>
      <c r="X520" s="30">
        <v>0.45324759992754499</v>
      </c>
      <c r="Y520" s="30">
        <v>0.60215074133892055</v>
      </c>
      <c r="Z520" s="30">
        <v>0.81713736287009198</v>
      </c>
      <c r="AA520" s="30">
        <v>0.44429425203514983</v>
      </c>
      <c r="AB520" s="85">
        <v>0.83457240954967771</v>
      </c>
      <c r="AC520" s="85">
        <v>0.71609999999999996</v>
      </c>
      <c r="AD520" s="90">
        <v>0</v>
      </c>
      <c r="AF520" s="29">
        <f t="shared" si="1005"/>
        <v>0.80895066516526448</v>
      </c>
      <c r="AG520" s="30">
        <f t="shared" si="1006"/>
        <v>0.53492218800229729</v>
      </c>
      <c r="AH520" s="32">
        <f t="shared" si="1007"/>
        <v>-0.27402847716296719</v>
      </c>
      <c r="AI520" s="33">
        <f t="shared" si="1008"/>
        <v>-0.33874559841913793</v>
      </c>
      <c r="AK520" s="29">
        <f t="shared" si="997"/>
        <v>0.18731816214126554</v>
      </c>
      <c r="AL520" s="30">
        <f t="shared" si="998"/>
        <v>0.45324759992754499</v>
      </c>
      <c r="AM520" s="32">
        <f t="shared" si="1009"/>
        <v>0.26592943778627942</v>
      </c>
      <c r="AN520" s="33">
        <f t="shared" si="1010"/>
        <v>1.4196671307597466</v>
      </c>
      <c r="AP520" s="29">
        <f t="shared" si="1011"/>
        <v>0.18752902004627592</v>
      </c>
      <c r="AQ520" s="30">
        <f t="shared" si="1012"/>
        <v>0.60215074133892055</v>
      </c>
      <c r="AR520" s="32">
        <f t="shared" si="1013"/>
        <v>0.41462172129264463</v>
      </c>
      <c r="AS520" s="33">
        <f t="shared" si="1014"/>
        <v>2.2109736465872309</v>
      </c>
      <c r="AU520" s="31">
        <f t="shared" si="1015"/>
        <v>0.18705189575408657</v>
      </c>
      <c r="AV520" s="25">
        <f t="shared" si="1016"/>
        <v>0.81713736287009198</v>
      </c>
      <c r="AW520" s="32">
        <f t="shared" si="1017"/>
        <v>0.63008546711600544</v>
      </c>
      <c r="AX520" s="33">
        <f t="shared" si="1018"/>
        <v>3.3685061815378035</v>
      </c>
      <c r="AZ520" s="31">
        <f t="shared" si="999"/>
        <v>0.18896622504816846</v>
      </c>
      <c r="BA520" s="25">
        <f t="shared" si="1000"/>
        <v>0.44429425203514983</v>
      </c>
      <c r="BB520" s="32">
        <f t="shared" si="1019"/>
        <v>0.25532802698698137</v>
      </c>
      <c r="BC520" s="33">
        <f t="shared" si="1020"/>
        <v>1.3511834028641729</v>
      </c>
      <c r="BE520" s="31">
        <f t="shared" si="1021"/>
        <v>0.18724138117584427</v>
      </c>
      <c r="BF520" s="25">
        <f t="shared" si="1022"/>
        <v>0.83457240954967771</v>
      </c>
      <c r="BG520" s="32">
        <f t="shared" si="1023"/>
        <v>0.64733102837383338</v>
      </c>
      <c r="BH520" s="33">
        <f t="shared" si="1024"/>
        <v>3.4572006695779738</v>
      </c>
      <c r="BJ520" s="31">
        <f t="shared" si="1001"/>
        <v>0.18794741034247381</v>
      </c>
      <c r="BK520" s="25">
        <f t="shared" si="1002"/>
        <v>0.71609999999999996</v>
      </c>
      <c r="BL520" s="32">
        <f t="shared" si="1003"/>
        <v>0.52815258965752609</v>
      </c>
      <c r="BM520" s="33">
        <f t="shared" si="1004"/>
        <v>2.810108363265754</v>
      </c>
      <c r="BO520" s="62"/>
      <c r="BP520" s="62"/>
      <c r="BQ520" s="62"/>
      <c r="BR520" s="63"/>
    </row>
    <row r="521" spans="1:70">
      <c r="B521" s="1284"/>
      <c r="D521" s="5" t="s">
        <v>168</v>
      </c>
      <c r="E521" s="87">
        <v>12.108820687213349</v>
      </c>
      <c r="F521" s="87">
        <v>10.780727975628368</v>
      </c>
      <c r="G521" s="87">
        <v>6.8280609608540237</v>
      </c>
      <c r="H521" s="87">
        <v>7.1701359760691465</v>
      </c>
      <c r="I521" s="87">
        <v>7.0214271467951512</v>
      </c>
      <c r="J521" s="87">
        <v>6.7581215234756247</v>
      </c>
      <c r="K521" s="87">
        <v>1.7348469487721736</v>
      </c>
      <c r="L521" s="87">
        <v>1.452599764765099</v>
      </c>
      <c r="N521" s="29">
        <v>13.128533951491267</v>
      </c>
      <c r="O521" s="29">
        <v>12.685147078810722</v>
      </c>
      <c r="P521" s="29">
        <v>9.4445666004025561</v>
      </c>
      <c r="Q521" s="29">
        <v>8.7267956516573797</v>
      </c>
      <c r="R521" s="29">
        <v>8.8686812495691463</v>
      </c>
      <c r="S521" s="29">
        <v>8.6555400552519117</v>
      </c>
      <c r="T521" s="29">
        <v>6.5153668749830445</v>
      </c>
      <c r="U521" s="29">
        <v>5.9863285776283224</v>
      </c>
      <c r="W521" s="30">
        <v>3.8683775956229676</v>
      </c>
      <c r="X521" s="30">
        <v>2.1694231105816413</v>
      </c>
      <c r="Y521" s="30">
        <v>6.7264416068731832</v>
      </c>
      <c r="Z521" s="30">
        <v>6.8705746989641572</v>
      </c>
      <c r="AA521" s="30">
        <v>3.5311883598441267</v>
      </c>
      <c r="AB521" s="85">
        <v>3.514880645334125</v>
      </c>
      <c r="AC521" s="85">
        <v>1.9650924615295626</v>
      </c>
      <c r="AD521" s="90">
        <v>0</v>
      </c>
      <c r="AF521" s="29">
        <f t="shared" si="1005"/>
        <v>13.128533951491267</v>
      </c>
      <c r="AG521" s="30">
        <f t="shared" si="1006"/>
        <v>3.8683775956229676</v>
      </c>
      <c r="AH521" s="32">
        <f t="shared" si="1007"/>
        <v>-9.2601563558683004</v>
      </c>
      <c r="AI521" s="33">
        <f t="shared" si="1008"/>
        <v>-0.70534580556242854</v>
      </c>
      <c r="AK521" s="29">
        <f t="shared" si="997"/>
        <v>12.685147078810722</v>
      </c>
      <c r="AL521" s="30">
        <f t="shared" si="998"/>
        <v>2.1694231105816413</v>
      </c>
      <c r="AM521" s="32">
        <f t="shared" si="1009"/>
        <v>-10.51572396822908</v>
      </c>
      <c r="AN521" s="33">
        <f t="shared" si="1010"/>
        <v>-0.82897927023601903</v>
      </c>
      <c r="AP521" s="29">
        <f t="shared" si="1011"/>
        <v>9.4445666004025561</v>
      </c>
      <c r="AQ521" s="30">
        <f t="shared" si="1012"/>
        <v>6.7264416068731832</v>
      </c>
      <c r="AR521" s="32">
        <f t="shared" si="1013"/>
        <v>-2.718124993529373</v>
      </c>
      <c r="AS521" s="33">
        <f t="shared" si="1014"/>
        <v>-0.28779774748091863</v>
      </c>
      <c r="AU521" s="31">
        <f t="shared" si="1015"/>
        <v>8.7267956516573797</v>
      </c>
      <c r="AV521" s="25">
        <f t="shared" si="1016"/>
        <v>6.8705746989641572</v>
      </c>
      <c r="AW521" s="32">
        <f t="shared" si="1017"/>
        <v>-1.8562209526932225</v>
      </c>
      <c r="AX521" s="33">
        <f t="shared" si="1018"/>
        <v>-0.21270361158745499</v>
      </c>
      <c r="AZ521" s="31">
        <f t="shared" si="999"/>
        <v>8.8686812495691463</v>
      </c>
      <c r="BA521" s="25">
        <f t="shared" si="1000"/>
        <v>3.5311883598441267</v>
      </c>
      <c r="BB521" s="32">
        <f t="shared" si="1019"/>
        <v>-5.33749288972502</v>
      </c>
      <c r="BC521" s="33">
        <f t="shared" si="1020"/>
        <v>-0.60183613995421514</v>
      </c>
      <c r="BE521" s="31">
        <f t="shared" si="1021"/>
        <v>8.6555400552519117</v>
      </c>
      <c r="BF521" s="25">
        <f t="shared" si="1022"/>
        <v>3.514880645334125</v>
      </c>
      <c r="BG521" s="32">
        <f t="shared" si="1023"/>
        <v>-5.1406594099177862</v>
      </c>
      <c r="BH521" s="33">
        <f t="shared" si="1024"/>
        <v>-0.59391550118222769</v>
      </c>
      <c r="BJ521" s="31">
        <f t="shared" si="1001"/>
        <v>6.5153668749830445</v>
      </c>
      <c r="BK521" s="25">
        <f t="shared" si="1002"/>
        <v>1.9650924615295626</v>
      </c>
      <c r="BL521" s="32">
        <f t="shared" si="1003"/>
        <v>-4.550274413453482</v>
      </c>
      <c r="BM521" s="33">
        <f t="shared" si="1004"/>
        <v>-0.69839112681821525</v>
      </c>
      <c r="BO521" s="62"/>
      <c r="BP521" s="62"/>
      <c r="BQ521" s="62"/>
      <c r="BR521" s="63"/>
    </row>
    <row r="522" spans="1:70">
      <c r="B522" s="1284"/>
      <c r="D522" s="5" t="s">
        <v>169</v>
      </c>
      <c r="E522" s="87">
        <v>8.8852013509949543</v>
      </c>
      <c r="F522" s="87">
        <v>9.1888621856558341</v>
      </c>
      <c r="G522" s="87">
        <v>5.4830509860856296</v>
      </c>
      <c r="H522" s="87">
        <v>4.9692160504846088</v>
      </c>
      <c r="I522" s="87">
        <v>4.5893873434149741</v>
      </c>
      <c r="J522" s="87">
        <v>4.2860320790951585</v>
      </c>
      <c r="K522" s="87">
        <v>4.0545588986097876</v>
      </c>
      <c r="L522" s="87">
        <v>4.1451583003924606</v>
      </c>
      <c r="N522" s="29">
        <v>7.6136954357280899</v>
      </c>
      <c r="O522" s="29">
        <v>8.4160353005041895</v>
      </c>
      <c r="P522" s="29">
        <v>6.7536276200045755</v>
      </c>
      <c r="Q522" s="29">
        <v>6.5894603896406156</v>
      </c>
      <c r="R522" s="29">
        <v>6.3396891910335054</v>
      </c>
      <c r="S522" s="29">
        <v>6.1736880749619942</v>
      </c>
      <c r="T522" s="29">
        <v>5.7529504441228472</v>
      </c>
      <c r="U522" s="29">
        <v>5.5785142318568894</v>
      </c>
      <c r="W522" s="30">
        <v>3.1294865965819105</v>
      </c>
      <c r="X522" s="30">
        <v>3.0074561682082193</v>
      </c>
      <c r="Y522" s="30">
        <v>5.4461078793381512</v>
      </c>
      <c r="Z522" s="30">
        <v>4.4468060497262742</v>
      </c>
      <c r="AA522" s="30">
        <v>2.2904262057908915</v>
      </c>
      <c r="AB522" s="85">
        <v>2.2318957668026203</v>
      </c>
      <c r="AC522" s="85">
        <v>2.3067855418063594</v>
      </c>
      <c r="AD522" s="90">
        <v>0</v>
      </c>
      <c r="AF522" s="29">
        <f t="shared" si="1005"/>
        <v>7.6136954357280899</v>
      </c>
      <c r="AG522" s="30">
        <f t="shared" si="1006"/>
        <v>3.1294865965819105</v>
      </c>
      <c r="AH522" s="32">
        <f t="shared" si="1007"/>
        <v>-4.484208839146179</v>
      </c>
      <c r="AI522" s="33">
        <f t="shared" si="1008"/>
        <v>-0.58896614357642196</v>
      </c>
      <c r="AK522" s="29">
        <f t="shared" si="997"/>
        <v>8.4160353005041895</v>
      </c>
      <c r="AL522" s="30">
        <f t="shared" si="998"/>
        <v>3.0074561682082193</v>
      </c>
      <c r="AM522" s="32">
        <f t="shared" si="1009"/>
        <v>-5.4085791322959702</v>
      </c>
      <c r="AN522" s="33">
        <f t="shared" si="1010"/>
        <v>-0.64265166900760884</v>
      </c>
      <c r="AP522" s="29">
        <f t="shared" si="1011"/>
        <v>6.7536276200045755</v>
      </c>
      <c r="AQ522" s="30">
        <f t="shared" si="1012"/>
        <v>5.4461078793381512</v>
      </c>
      <c r="AR522" s="32">
        <f t="shared" si="1013"/>
        <v>-1.3075197406664243</v>
      </c>
      <c r="AS522" s="33">
        <f t="shared" si="1014"/>
        <v>-0.19360258134361552</v>
      </c>
      <c r="AU522" s="31">
        <f t="shared" si="1015"/>
        <v>6.5894603896406156</v>
      </c>
      <c r="AV522" s="25">
        <f t="shared" si="1016"/>
        <v>4.4468060497262742</v>
      </c>
      <c r="AW522" s="32">
        <f t="shared" si="1017"/>
        <v>-2.1426543399143414</v>
      </c>
      <c r="AX522" s="33">
        <f t="shared" si="1018"/>
        <v>-0.32516385458251462</v>
      </c>
      <c r="AZ522" s="31">
        <f t="shared" si="999"/>
        <v>6.3396891910335054</v>
      </c>
      <c r="BA522" s="25">
        <f t="shared" si="1000"/>
        <v>2.2904262057908915</v>
      </c>
      <c r="BB522" s="32">
        <f t="shared" si="1019"/>
        <v>-4.0492629852426134</v>
      </c>
      <c r="BC522" s="33">
        <f t="shared" si="1020"/>
        <v>-0.63871632555262492</v>
      </c>
      <c r="BE522" s="31">
        <f t="shared" si="1021"/>
        <v>6.1736880749619942</v>
      </c>
      <c r="BF522" s="25">
        <f t="shared" si="1022"/>
        <v>2.2318957668026203</v>
      </c>
      <c r="BG522" s="32">
        <f t="shared" si="1023"/>
        <v>-3.941792308159374</v>
      </c>
      <c r="BH522" s="33">
        <f t="shared" si="1024"/>
        <v>-0.63848258290627036</v>
      </c>
      <c r="BJ522" s="31">
        <f t="shared" si="1001"/>
        <v>5.7529504441228472</v>
      </c>
      <c r="BK522" s="25">
        <f t="shared" si="1002"/>
        <v>2.3067855418063594</v>
      </c>
      <c r="BL522" s="32">
        <f t="shared" si="1003"/>
        <v>-3.4461649023164878</v>
      </c>
      <c r="BM522" s="33">
        <f t="shared" si="1004"/>
        <v>-0.59902565401672336</v>
      </c>
      <c r="BO522" s="62"/>
      <c r="BP522" s="62"/>
      <c r="BQ522" s="62"/>
      <c r="BR522" s="63"/>
    </row>
    <row r="523" spans="1:70">
      <c r="B523" s="1284"/>
      <c r="D523" s="5" t="s">
        <v>170</v>
      </c>
      <c r="E523" s="87">
        <v>10.22197128988779</v>
      </c>
      <c r="F523" s="87">
        <v>10.599298837541749</v>
      </c>
      <c r="G523" s="87">
        <v>7.1761908793643947</v>
      </c>
      <c r="H523" s="87">
        <v>7.1378248691021975</v>
      </c>
      <c r="I523" s="87">
        <v>7.6012122012114363</v>
      </c>
      <c r="J523" s="87">
        <v>7.3145167896546823</v>
      </c>
      <c r="K523" s="87">
        <v>6.9927499762221803</v>
      </c>
      <c r="L523" s="87">
        <v>6.5371313646666032</v>
      </c>
      <c r="N523" s="29">
        <v>8.8628758573628605</v>
      </c>
      <c r="O523" s="29">
        <v>9.1318559220888087</v>
      </c>
      <c r="P523" s="29">
        <v>8.5446188733249926</v>
      </c>
      <c r="Q523" s="29">
        <v>8.8190767280148652</v>
      </c>
      <c r="R523" s="29">
        <v>8.7328586483366717</v>
      </c>
      <c r="S523" s="29">
        <v>7.9937990583330478</v>
      </c>
      <c r="T523" s="29">
        <v>7.7063238406884693</v>
      </c>
      <c r="U523" s="29">
        <v>7.1160991443244912</v>
      </c>
      <c r="W523" s="30">
        <v>3.2824704357489005</v>
      </c>
      <c r="X523" s="30">
        <v>2.2144519482937097</v>
      </c>
      <c r="Y523" s="30">
        <v>5.7766065097449015</v>
      </c>
      <c r="Z523" s="30">
        <v>5.3081378342868488</v>
      </c>
      <c r="AA523" s="30">
        <v>3.9745183711999892</v>
      </c>
      <c r="AB523" s="85">
        <v>5.5654411006884636</v>
      </c>
      <c r="AC523" s="85">
        <v>4.2802876609790612</v>
      </c>
      <c r="AD523" s="90">
        <v>0</v>
      </c>
      <c r="AF523" s="29">
        <f t="shared" si="1005"/>
        <v>8.8628758573628605</v>
      </c>
      <c r="AG523" s="30">
        <f t="shared" si="1006"/>
        <v>3.2824704357489005</v>
      </c>
      <c r="AH523" s="32">
        <f t="shared" si="1007"/>
        <v>-5.5804054216139605</v>
      </c>
      <c r="AI523" s="33">
        <f t="shared" si="1008"/>
        <v>-0.62963822481819176</v>
      </c>
      <c r="AK523" s="29">
        <f t="shared" si="997"/>
        <v>9.1318559220888087</v>
      </c>
      <c r="AL523" s="30">
        <f t="shared" si="998"/>
        <v>2.2144519482937097</v>
      </c>
      <c r="AM523" s="32">
        <f t="shared" si="1009"/>
        <v>-6.917403973795099</v>
      </c>
      <c r="AN523" s="33">
        <f t="shared" si="1010"/>
        <v>-0.75750253100936149</v>
      </c>
      <c r="AP523" s="29">
        <f t="shared" si="1011"/>
        <v>8.5446188733249926</v>
      </c>
      <c r="AQ523" s="30">
        <f t="shared" si="1012"/>
        <v>5.7766065097449015</v>
      </c>
      <c r="AR523" s="32">
        <f t="shared" si="1013"/>
        <v>-2.7680123635800911</v>
      </c>
      <c r="AS523" s="33">
        <f t="shared" si="1014"/>
        <v>-0.32394801975561566</v>
      </c>
      <c r="AU523" s="31">
        <f t="shared" si="1015"/>
        <v>8.8190767280148652</v>
      </c>
      <c r="AV523" s="25">
        <f t="shared" si="1016"/>
        <v>5.3081378342868488</v>
      </c>
      <c r="AW523" s="32">
        <f t="shared" si="1017"/>
        <v>-3.5109388937280164</v>
      </c>
      <c r="AX523" s="33">
        <f t="shared" si="1018"/>
        <v>-0.39810730782907172</v>
      </c>
      <c r="AZ523" s="31">
        <f t="shared" si="999"/>
        <v>8.7328586483366717</v>
      </c>
      <c r="BA523" s="25">
        <f t="shared" si="1000"/>
        <v>3.9745183711999892</v>
      </c>
      <c r="BB523" s="32">
        <f t="shared" si="1019"/>
        <v>-4.7583402771366821</v>
      </c>
      <c r="BC523" s="33">
        <f t="shared" si="1020"/>
        <v>-0.54487773920891214</v>
      </c>
      <c r="BE523" s="31">
        <f t="shared" si="1021"/>
        <v>7.9937990583330478</v>
      </c>
      <c r="BF523" s="25">
        <f t="shared" si="1022"/>
        <v>5.5654411006884636</v>
      </c>
      <c r="BG523" s="32">
        <f t="shared" si="1023"/>
        <v>-2.4283579576445842</v>
      </c>
      <c r="BH523" s="33">
        <f t="shared" si="1024"/>
        <v>-0.30378021012589368</v>
      </c>
      <c r="BJ523" s="31">
        <f t="shared" si="1001"/>
        <v>7.7063238406884693</v>
      </c>
      <c r="BK523" s="25">
        <f t="shared" si="1002"/>
        <v>4.2802876609790612</v>
      </c>
      <c r="BL523" s="32">
        <f t="shared" si="1003"/>
        <v>-3.4260361797094081</v>
      </c>
      <c r="BM523" s="33">
        <f t="shared" si="1004"/>
        <v>-0.44457464421886173</v>
      </c>
      <c r="BO523" s="62"/>
      <c r="BP523" s="62"/>
      <c r="BQ523" s="62"/>
      <c r="BR523" s="63"/>
    </row>
    <row r="524" spans="1:70">
      <c r="B524" s="1284"/>
      <c r="D524" s="5" t="s">
        <v>171</v>
      </c>
      <c r="E524" s="87">
        <v>4.3173218681737868</v>
      </c>
      <c r="F524" s="87">
        <v>4.2836477160912407</v>
      </c>
      <c r="G524" s="87">
        <v>4.2469242587239213</v>
      </c>
      <c r="H524" s="87">
        <v>4.2112638993289897</v>
      </c>
      <c r="I524" s="87">
        <v>4.1795300741206693</v>
      </c>
      <c r="J524" s="87">
        <v>4.1585839545751844</v>
      </c>
      <c r="K524" s="87">
        <v>4.1243209121787689</v>
      </c>
      <c r="L524" s="87">
        <v>4.1107392222107295</v>
      </c>
      <c r="N524" s="29">
        <v>4.1507264210757624</v>
      </c>
      <c r="O524" s="29">
        <v>4.1264611417855646</v>
      </c>
      <c r="P524" s="29">
        <v>4.1024963518131532</v>
      </c>
      <c r="Q524" s="29">
        <v>3.9583089756993104</v>
      </c>
      <c r="R524" s="29">
        <v>3.8523315683646366</v>
      </c>
      <c r="S524" s="29">
        <v>3.7591230713320192</v>
      </c>
      <c r="T524" s="29">
        <v>3.409426537579062</v>
      </c>
      <c r="U524" s="29">
        <v>3.2857218451132706</v>
      </c>
      <c r="W524" s="30">
        <v>1.153645749942628</v>
      </c>
      <c r="X524" s="30">
        <v>0.54166778464657017</v>
      </c>
      <c r="Y524" s="30">
        <v>0.46164934577011191</v>
      </c>
      <c r="Z524" s="30">
        <v>0.64838681254912944</v>
      </c>
      <c r="AA524" s="30">
        <v>0.70183687142763829</v>
      </c>
      <c r="AB524" s="85">
        <v>2.0498216955813704</v>
      </c>
      <c r="AC524" s="85">
        <v>1.8628881133114765</v>
      </c>
      <c r="AD524" s="90">
        <v>0</v>
      </c>
      <c r="AF524" s="29">
        <f t="shared" si="1005"/>
        <v>4.1507264210757624</v>
      </c>
      <c r="AG524" s="30">
        <f t="shared" si="1006"/>
        <v>1.153645749942628</v>
      </c>
      <c r="AH524" s="32">
        <f t="shared" si="1007"/>
        <v>-2.9970806711331344</v>
      </c>
      <c r="AI524" s="33">
        <f t="shared" si="1008"/>
        <v>-0.72206172295893389</v>
      </c>
      <c r="AK524" s="29">
        <f t="shared" si="997"/>
        <v>4.1264611417855646</v>
      </c>
      <c r="AL524" s="30">
        <f t="shared" si="998"/>
        <v>0.54166778464657017</v>
      </c>
      <c r="AM524" s="32">
        <f t="shared" si="1009"/>
        <v>-3.5847933571389943</v>
      </c>
      <c r="AN524" s="33">
        <f t="shared" si="1010"/>
        <v>-0.86873309452462588</v>
      </c>
      <c r="AP524" s="29">
        <f t="shared" si="1011"/>
        <v>4.1024963518131532</v>
      </c>
      <c r="AQ524" s="30">
        <f t="shared" si="1012"/>
        <v>0.46164934577011191</v>
      </c>
      <c r="AR524" s="32">
        <f t="shared" si="1013"/>
        <v>-3.6408470060430411</v>
      </c>
      <c r="AS524" s="33">
        <f t="shared" si="1014"/>
        <v>-0.88747111363887499</v>
      </c>
      <c r="AU524" s="31">
        <f t="shared" si="1015"/>
        <v>3.9583089756993104</v>
      </c>
      <c r="AV524" s="25">
        <f t="shared" si="1016"/>
        <v>0.64838681254912944</v>
      </c>
      <c r="AW524" s="32">
        <f t="shared" si="1017"/>
        <v>-3.3099221631501807</v>
      </c>
      <c r="AX524" s="33">
        <f t="shared" si="1018"/>
        <v>-0.83619600780796055</v>
      </c>
      <c r="AZ524" s="31">
        <f t="shared" si="999"/>
        <v>3.8523315683646366</v>
      </c>
      <c r="BA524" s="25">
        <f t="shared" si="1000"/>
        <v>0.70183687142763829</v>
      </c>
      <c r="BB524" s="32">
        <f t="shared" si="1019"/>
        <v>-3.1504946969369985</v>
      </c>
      <c r="BC524" s="33">
        <f t="shared" si="1020"/>
        <v>-0.81781504032749264</v>
      </c>
      <c r="BE524" s="31">
        <f t="shared" si="1021"/>
        <v>3.7591230713320192</v>
      </c>
      <c r="BF524" s="25">
        <f t="shared" si="1022"/>
        <v>2.0498216955813704</v>
      </c>
      <c r="BG524" s="32">
        <f t="shared" si="1023"/>
        <v>-1.7093013757506488</v>
      </c>
      <c r="BH524" s="33">
        <f t="shared" si="1024"/>
        <v>-0.45470747919539906</v>
      </c>
      <c r="BJ524" s="31">
        <f t="shared" si="1001"/>
        <v>3.409426537579062</v>
      </c>
      <c r="BK524" s="25">
        <f t="shared" si="1002"/>
        <v>1.8628881133114765</v>
      </c>
      <c r="BL524" s="32">
        <f t="shared" si="1003"/>
        <v>-1.5465384242675855</v>
      </c>
      <c r="BM524" s="33">
        <f t="shared" si="1004"/>
        <v>-0.45360661308330724</v>
      </c>
      <c r="BO524" s="62"/>
      <c r="BP524" s="62"/>
      <c r="BQ524" s="62"/>
      <c r="BR524" s="63"/>
    </row>
    <row r="525" spans="1:70">
      <c r="B525" s="1284"/>
      <c r="D525" s="5" t="s">
        <v>172</v>
      </c>
      <c r="E525" s="87">
        <v>6.1501133213804398</v>
      </c>
      <c r="F525" s="87">
        <v>6.085956098603007</v>
      </c>
      <c r="G525" s="87">
        <v>6.1339365662913528</v>
      </c>
      <c r="H525" s="87">
        <v>6.0917883803916464</v>
      </c>
      <c r="I525" s="87">
        <v>6.0807144756814111</v>
      </c>
      <c r="J525" s="87">
        <v>6.0441384319441873</v>
      </c>
      <c r="K525" s="87">
        <v>5.9896806495001238</v>
      </c>
      <c r="L525" s="87">
        <v>5.9851405333503145</v>
      </c>
      <c r="N525" s="29">
        <v>6.2587187140114482</v>
      </c>
      <c r="O525" s="29">
        <v>6.8216775336311217</v>
      </c>
      <c r="P525" s="29">
        <v>6.3645766254905416</v>
      </c>
      <c r="Q525" s="29">
        <v>5.9227833107251353</v>
      </c>
      <c r="R525" s="29">
        <v>5.7910359037253674</v>
      </c>
      <c r="S525" s="29">
        <v>5.7995378871179186</v>
      </c>
      <c r="T525" s="29">
        <v>5.0160507029920014</v>
      </c>
      <c r="U525" s="29">
        <v>4.3785182531346223</v>
      </c>
      <c r="W525" s="30">
        <v>3.7665782567664134</v>
      </c>
      <c r="X525" s="30">
        <v>5.0115574422895319</v>
      </c>
      <c r="Y525" s="30">
        <v>3.557121669485884</v>
      </c>
      <c r="Z525" s="30">
        <v>5.5665883236854015</v>
      </c>
      <c r="AA525" s="30">
        <v>3.3358300253035416</v>
      </c>
      <c r="AB525" s="85">
        <v>3.7700974690572671</v>
      </c>
      <c r="AC525" s="85">
        <v>2.0536607813035381</v>
      </c>
      <c r="AD525" s="90">
        <v>0</v>
      </c>
      <c r="AF525" s="29">
        <f t="shared" si="1005"/>
        <v>6.2587187140114482</v>
      </c>
      <c r="AG525" s="30">
        <f t="shared" si="1006"/>
        <v>3.7665782567664134</v>
      </c>
      <c r="AH525" s="32">
        <f t="shared" si="1007"/>
        <v>-2.4921404572450347</v>
      </c>
      <c r="AI525" s="33">
        <f t="shared" si="1008"/>
        <v>-0.39818700458064332</v>
      </c>
      <c r="AK525" s="29">
        <f t="shared" si="997"/>
        <v>6.8216775336311217</v>
      </c>
      <c r="AL525" s="30">
        <f t="shared" si="998"/>
        <v>5.0115574422895319</v>
      </c>
      <c r="AM525" s="32">
        <f t="shared" si="1009"/>
        <v>-1.8101200913415898</v>
      </c>
      <c r="AN525" s="33">
        <f t="shared" si="1010"/>
        <v>-0.26534823471464769</v>
      </c>
      <c r="AP525" s="29">
        <f t="shared" si="1011"/>
        <v>6.3645766254905416</v>
      </c>
      <c r="AQ525" s="30">
        <f t="shared" si="1012"/>
        <v>3.557121669485884</v>
      </c>
      <c r="AR525" s="32">
        <f t="shared" si="1013"/>
        <v>-2.8074549560046576</v>
      </c>
      <c r="AS525" s="33">
        <f t="shared" si="1014"/>
        <v>-0.44110631723100302</v>
      </c>
      <c r="AU525" s="31">
        <f t="shared" si="1015"/>
        <v>5.9227833107251353</v>
      </c>
      <c r="AV525" s="25">
        <f t="shared" si="1016"/>
        <v>5.5665883236854015</v>
      </c>
      <c r="AW525" s="32">
        <f t="shared" si="1017"/>
        <v>-0.35619498703973385</v>
      </c>
      <c r="AX525" s="33">
        <f t="shared" si="1018"/>
        <v>-6.0139797178587709E-2</v>
      </c>
      <c r="AZ525" s="31">
        <f t="shared" si="999"/>
        <v>5.7910359037253674</v>
      </c>
      <c r="BA525" s="25">
        <f t="shared" si="1000"/>
        <v>3.3358300253035416</v>
      </c>
      <c r="BB525" s="32">
        <f t="shared" si="1019"/>
        <v>-2.4552058784218258</v>
      </c>
      <c r="BC525" s="33">
        <f t="shared" si="1020"/>
        <v>-0.42396661309635369</v>
      </c>
      <c r="BE525" s="31">
        <f t="shared" si="1021"/>
        <v>5.7995378871179186</v>
      </c>
      <c r="BF525" s="25">
        <f t="shared" si="1022"/>
        <v>3.7700974690572671</v>
      </c>
      <c r="BG525" s="32">
        <f t="shared" si="1023"/>
        <v>-2.0294404180606516</v>
      </c>
      <c r="BH525" s="33">
        <f t="shared" si="1024"/>
        <v>-0.34993140101187997</v>
      </c>
      <c r="BJ525" s="31">
        <f t="shared" si="1001"/>
        <v>5.0160507029920014</v>
      </c>
      <c r="BK525" s="25">
        <f t="shared" si="1002"/>
        <v>2.0536607813035381</v>
      </c>
      <c r="BL525" s="32">
        <f t="shared" si="1003"/>
        <v>-2.9623899216884633</v>
      </c>
      <c r="BM525" s="33">
        <f t="shared" si="1004"/>
        <v>-0.59058213265696069</v>
      </c>
      <c r="BO525" s="62"/>
      <c r="BP525" s="62"/>
      <c r="BQ525" s="62"/>
      <c r="BR525" s="63"/>
    </row>
    <row r="526" spans="1:70">
      <c r="B526" s="1284"/>
      <c r="D526" s="5" t="s">
        <v>28</v>
      </c>
      <c r="E526" s="87">
        <v>0.87936385688721386</v>
      </c>
      <c r="F526" s="87">
        <v>0.87725602939858749</v>
      </c>
      <c r="G526" s="87">
        <v>0.8764132508484106</v>
      </c>
      <c r="H526" s="87">
        <v>0.87004392099361105</v>
      </c>
      <c r="I526" s="87">
        <v>0.86775570946105474</v>
      </c>
      <c r="J526" s="87">
        <v>0.8655947775110594</v>
      </c>
      <c r="K526" s="87">
        <v>0.86354169909294776</v>
      </c>
      <c r="L526" s="87">
        <v>0.65955634096767157</v>
      </c>
      <c r="N526" s="29">
        <v>0.72604531575465003</v>
      </c>
      <c r="O526" s="29">
        <v>0.71541257939783365</v>
      </c>
      <c r="P526" s="29">
        <v>0.68605371086239475</v>
      </c>
      <c r="Q526" s="29">
        <v>0.68177681823647984</v>
      </c>
      <c r="R526" s="29">
        <v>0.68237704790585896</v>
      </c>
      <c r="S526" s="29">
        <v>0.67710582442582423</v>
      </c>
      <c r="T526" s="29">
        <v>0.67738609245033821</v>
      </c>
      <c r="U526" s="29">
        <v>0.61287284985872048</v>
      </c>
      <c r="W526" s="30">
        <v>0.38428069970412398</v>
      </c>
      <c r="X526" s="30">
        <v>3.0122465025853606</v>
      </c>
      <c r="Y526" s="30">
        <v>2.1527055047065198</v>
      </c>
      <c r="Z526" s="30">
        <v>1.5081297155402023</v>
      </c>
      <c r="AA526" s="30">
        <v>0.3839807292035563</v>
      </c>
      <c r="AB526" s="85">
        <v>0.30386115043087775</v>
      </c>
      <c r="AC526" s="85">
        <v>0.19118770999999998</v>
      </c>
      <c r="AD526" s="90">
        <v>0</v>
      </c>
      <c r="AF526" s="29">
        <f t="shared" si="1005"/>
        <v>0.72604531575465003</v>
      </c>
      <c r="AG526" s="30">
        <f t="shared" si="1006"/>
        <v>0.38428069970412398</v>
      </c>
      <c r="AH526" s="32">
        <f t="shared" si="1007"/>
        <v>-0.34176461605052605</v>
      </c>
      <c r="AI526" s="33">
        <f t="shared" si="1008"/>
        <v>-0.47072077821381797</v>
      </c>
      <c r="AK526" s="29">
        <f t="shared" si="997"/>
        <v>0.71541257939783365</v>
      </c>
      <c r="AL526" s="30">
        <f t="shared" si="998"/>
        <v>3.0122465025853606</v>
      </c>
      <c r="AM526" s="32">
        <f t="shared" si="1009"/>
        <v>2.2968339231875268</v>
      </c>
      <c r="AN526" s="33">
        <f t="shared" si="1010"/>
        <v>3.2105025677921173</v>
      </c>
      <c r="AP526" s="29">
        <f t="shared" si="1011"/>
        <v>0.68605371086239475</v>
      </c>
      <c r="AQ526" s="30">
        <f t="shared" si="1012"/>
        <v>2.1527055047065198</v>
      </c>
      <c r="AR526" s="32">
        <f t="shared" si="1013"/>
        <v>1.466651793844125</v>
      </c>
      <c r="AS526" s="33">
        <f t="shared" si="1014"/>
        <v>2.1378089945763716</v>
      </c>
      <c r="AU526" s="31">
        <f t="shared" si="1015"/>
        <v>0.68177681823647984</v>
      </c>
      <c r="AV526" s="25">
        <f t="shared" si="1016"/>
        <v>1.5081297155402023</v>
      </c>
      <c r="AW526" s="32">
        <f t="shared" si="1017"/>
        <v>0.82635289730372241</v>
      </c>
      <c r="AX526" s="33">
        <f t="shared" si="1018"/>
        <v>1.2120577807869894</v>
      </c>
      <c r="AZ526" s="31">
        <f t="shared" si="999"/>
        <v>0.68237704790585896</v>
      </c>
      <c r="BA526" s="25">
        <f t="shared" si="1000"/>
        <v>0.3839807292035563</v>
      </c>
      <c r="BB526" s="32">
        <f t="shared" si="1019"/>
        <v>-0.29839631870230265</v>
      </c>
      <c r="BC526" s="33">
        <f t="shared" si="1020"/>
        <v>-0.43728950089697266</v>
      </c>
      <c r="BE526" s="31">
        <f t="shared" si="1021"/>
        <v>0.67710582442582423</v>
      </c>
      <c r="BF526" s="25">
        <f t="shared" si="1022"/>
        <v>0.30386115043087775</v>
      </c>
      <c r="BG526" s="32">
        <f t="shared" si="1023"/>
        <v>-0.37324467399494649</v>
      </c>
      <c r="BH526" s="33">
        <f t="shared" si="1024"/>
        <v>-0.5512353616385629</v>
      </c>
      <c r="BJ526" s="31">
        <f t="shared" si="1001"/>
        <v>0.67738609245033821</v>
      </c>
      <c r="BK526" s="25">
        <f t="shared" si="1002"/>
        <v>0.19118770999999998</v>
      </c>
      <c r="BL526" s="32">
        <f t="shared" si="1003"/>
        <v>-0.4861983824503382</v>
      </c>
      <c r="BM526" s="33">
        <f t="shared" si="1004"/>
        <v>-0.71775666472807498</v>
      </c>
      <c r="BO526" s="62"/>
      <c r="BP526" s="62"/>
      <c r="BQ526" s="62"/>
      <c r="BR526" s="63"/>
    </row>
    <row r="527" spans="1:70">
      <c r="B527" s="1284"/>
      <c r="D527" s="5" t="s">
        <v>173</v>
      </c>
      <c r="E527" s="87">
        <v>5.2999474616997411</v>
      </c>
      <c r="F527" s="87">
        <v>5.7274739330538456</v>
      </c>
      <c r="G527" s="87">
        <v>5.6189979422822161</v>
      </c>
      <c r="H527" s="87">
        <v>5.2824456507680138</v>
      </c>
      <c r="I527" s="87">
        <v>4.0040622999635298</v>
      </c>
      <c r="J527" s="87">
        <v>2.9615081370934675</v>
      </c>
      <c r="K527" s="87">
        <v>2.9048625121412237</v>
      </c>
      <c r="L527" s="87">
        <v>2.8308464023455184</v>
      </c>
      <c r="N527" s="29">
        <v>4.3231642582341676</v>
      </c>
      <c r="O527" s="29">
        <v>4.405125209396533</v>
      </c>
      <c r="P527" s="29">
        <v>4.2475354429056216</v>
      </c>
      <c r="Q527" s="29">
        <v>4.0394104677811082</v>
      </c>
      <c r="R527" s="29">
        <v>3.5708826393690063</v>
      </c>
      <c r="S527" s="29">
        <v>3.1472329377046391</v>
      </c>
      <c r="T527" s="29">
        <v>3.0816817929426161</v>
      </c>
      <c r="U527" s="29">
        <v>3.1031183210345668</v>
      </c>
      <c r="W527" s="30">
        <v>1.9717759575690061</v>
      </c>
      <c r="X527" s="30">
        <v>3.55290769296258</v>
      </c>
      <c r="Y527" s="30">
        <v>3.2782177360557716</v>
      </c>
      <c r="Z527" s="30">
        <v>4.7379510945722716</v>
      </c>
      <c r="AA527" s="30">
        <v>5.5094894149557154</v>
      </c>
      <c r="AB527" s="85">
        <v>0.66590006851393946</v>
      </c>
      <c r="AC527" s="85">
        <v>0.72722075999999991</v>
      </c>
      <c r="AD527" s="90">
        <v>0</v>
      </c>
      <c r="AF527" s="29">
        <f t="shared" si="1005"/>
        <v>4.3231642582341676</v>
      </c>
      <c r="AG527" s="30">
        <f t="shared" si="1006"/>
        <v>1.9717759575690061</v>
      </c>
      <c r="AH527" s="32">
        <f t="shared" si="1007"/>
        <v>-2.3513883006651612</v>
      </c>
      <c r="AI527" s="33">
        <f t="shared" si="1008"/>
        <v>-0.54390445521161057</v>
      </c>
      <c r="AK527" s="29">
        <f t="shared" si="997"/>
        <v>4.405125209396533</v>
      </c>
      <c r="AL527" s="30">
        <f t="shared" si="998"/>
        <v>3.55290769296258</v>
      </c>
      <c r="AM527" s="32">
        <f t="shared" si="1009"/>
        <v>-0.85221751643395294</v>
      </c>
      <c r="AN527" s="33">
        <f t="shared" si="1010"/>
        <v>-0.1934604525238228</v>
      </c>
      <c r="AP527" s="29">
        <f t="shared" si="1011"/>
        <v>4.2475354429056216</v>
      </c>
      <c r="AQ527" s="30">
        <f t="shared" si="1012"/>
        <v>3.2782177360557716</v>
      </c>
      <c r="AR527" s="32">
        <f t="shared" si="1013"/>
        <v>-0.96931770684984997</v>
      </c>
      <c r="AS527" s="33">
        <f t="shared" si="1014"/>
        <v>-0.22820709088345276</v>
      </c>
      <c r="AU527" s="31">
        <f t="shared" si="1015"/>
        <v>4.0394104677811082</v>
      </c>
      <c r="AV527" s="25">
        <f t="shared" si="1016"/>
        <v>4.7379510945722716</v>
      </c>
      <c r="AW527" s="32">
        <f t="shared" si="1017"/>
        <v>0.69854062679116335</v>
      </c>
      <c r="AX527" s="33">
        <f t="shared" si="1018"/>
        <v>0.17293133054014173</v>
      </c>
      <c r="AZ527" s="31">
        <f t="shared" si="999"/>
        <v>3.5708826393690063</v>
      </c>
      <c r="BA527" s="25">
        <f t="shared" si="1000"/>
        <v>5.5094894149557154</v>
      </c>
      <c r="BB527" s="32">
        <f t="shared" si="1019"/>
        <v>1.9386067755867091</v>
      </c>
      <c r="BC527" s="33">
        <f t="shared" si="1020"/>
        <v>0.5428928843008044</v>
      </c>
      <c r="BE527" s="31">
        <f t="shared" si="1021"/>
        <v>3.1472329377046391</v>
      </c>
      <c r="BF527" s="25">
        <f t="shared" si="1022"/>
        <v>0.66590006851393946</v>
      </c>
      <c r="BG527" s="32">
        <f t="shared" si="1023"/>
        <v>-2.4813328691906995</v>
      </c>
      <c r="BH527" s="33">
        <f t="shared" si="1024"/>
        <v>-0.78841729173068509</v>
      </c>
      <c r="BJ527" s="31">
        <f t="shared" si="1001"/>
        <v>3.0816817929426161</v>
      </c>
      <c r="BK527" s="25">
        <f t="shared" si="1002"/>
        <v>0.72722075999999991</v>
      </c>
      <c r="BL527" s="32">
        <f t="shared" si="1003"/>
        <v>-2.3544610329426163</v>
      </c>
      <c r="BM527" s="33">
        <f t="shared" si="1004"/>
        <v>-0.76401821834252526</v>
      </c>
      <c r="BO527" s="62"/>
      <c r="BP527" s="62"/>
      <c r="BQ527" s="62"/>
      <c r="BR527" s="63"/>
    </row>
    <row r="528" spans="1:70">
      <c r="A528" s="1"/>
      <c r="B528" s="1284"/>
      <c r="D528" s="4" t="s">
        <v>174</v>
      </c>
      <c r="E528" s="88">
        <f t="shared" ref="E528:L528" si="1025">SUM(E514:E527)</f>
        <v>89.48540399374842</v>
      </c>
      <c r="F528" s="88">
        <f t="shared" si="1025"/>
        <v>84.115649717269406</v>
      </c>
      <c r="G528" s="88">
        <f t="shared" si="1025"/>
        <v>70.904579996506328</v>
      </c>
      <c r="H528" s="88">
        <f t="shared" si="1025"/>
        <v>68.348689003395123</v>
      </c>
      <c r="I528" s="88">
        <f t="shared" si="1025"/>
        <v>66.742555669943243</v>
      </c>
      <c r="J528" s="88">
        <f t="shared" si="1025"/>
        <v>64.643460797672944</v>
      </c>
      <c r="K528" s="88">
        <f t="shared" si="1025"/>
        <v>58.99516153146741</v>
      </c>
      <c r="L528" s="88">
        <f t="shared" si="1025"/>
        <v>58.054816083675554</v>
      </c>
      <c r="M528" s="1"/>
      <c r="N528" s="81">
        <f t="shared" ref="N528:U528" si="1026">SUM(N514:N527)</f>
        <v>72.822601670971594</v>
      </c>
      <c r="O528" s="81">
        <f t="shared" si="1026"/>
        <v>71.18421530295042</v>
      </c>
      <c r="P528" s="81">
        <f t="shared" si="1026"/>
        <v>63.990261645967081</v>
      </c>
      <c r="Q528" s="81">
        <f t="shared" si="1026"/>
        <v>61.588604509576747</v>
      </c>
      <c r="R528" s="81">
        <f t="shared" si="1026"/>
        <v>59.538383233257868</v>
      </c>
      <c r="S528" s="81">
        <f t="shared" si="1026"/>
        <v>57.189280192008994</v>
      </c>
      <c r="T528" s="81">
        <f t="shared" si="1026"/>
        <v>51.938655554994334</v>
      </c>
      <c r="U528" s="81">
        <f t="shared" si="1026"/>
        <v>50.177311261531173</v>
      </c>
      <c r="V528" s="1"/>
      <c r="W528" s="85">
        <f t="shared" ref="W528:AD528" si="1027">SUM(W514:W527)</f>
        <v>40.479271209299903</v>
      </c>
      <c r="X528" s="85">
        <f t="shared" si="1027"/>
        <v>39.982816574252382</v>
      </c>
      <c r="Y528" s="85">
        <f t="shared" si="1027"/>
        <v>43.236700529913186</v>
      </c>
      <c r="Z528" s="85">
        <f>SUM(Z514:Z527)</f>
        <v>43.671469740748833</v>
      </c>
      <c r="AA528" s="85">
        <f>SUM(AA514:AA527)</f>
        <v>35.810019563617132</v>
      </c>
      <c r="AB528" s="85">
        <f t="shared" si="1027"/>
        <v>32.557832217253434</v>
      </c>
      <c r="AC528" s="85">
        <f t="shared" ref="AC528" si="1028">SUM(AC514:AC527)</f>
        <v>23.83884039039933</v>
      </c>
      <c r="AD528" s="91">
        <f t="shared" si="1027"/>
        <v>0</v>
      </c>
      <c r="AE528" s="1"/>
      <c r="AF528" s="81">
        <f t="shared" si="1005"/>
        <v>72.822601670971594</v>
      </c>
      <c r="AG528" s="85">
        <f t="shared" si="1006"/>
        <v>40.479271209299903</v>
      </c>
      <c r="AH528" s="34">
        <f t="shared" si="1007"/>
        <v>-32.343330461671691</v>
      </c>
      <c r="AI528" s="35">
        <f t="shared" si="1008"/>
        <v>-0.44413862893564166</v>
      </c>
      <c r="AK528" s="81">
        <f t="shared" si="997"/>
        <v>71.18421530295042</v>
      </c>
      <c r="AL528" s="85">
        <f t="shared" si="998"/>
        <v>39.982816574252382</v>
      </c>
      <c r="AM528" s="34">
        <f t="shared" si="1009"/>
        <v>-31.201398728698038</v>
      </c>
      <c r="AN528" s="35">
        <f t="shared" si="1010"/>
        <v>-0.43831906548255245</v>
      </c>
      <c r="AP528" s="81">
        <f t="shared" si="1011"/>
        <v>63.990261645967081</v>
      </c>
      <c r="AQ528" s="85">
        <f t="shared" si="1012"/>
        <v>43.236700529913186</v>
      </c>
      <c r="AR528" s="34">
        <f t="shared" si="1013"/>
        <v>-20.753561116053895</v>
      </c>
      <c r="AS528" s="35">
        <f t="shared" si="1014"/>
        <v>-0.32432374211681109</v>
      </c>
      <c r="AU528" s="949">
        <f t="shared" si="1015"/>
        <v>61.588604509576747</v>
      </c>
      <c r="AV528" s="843">
        <f t="shared" si="1016"/>
        <v>43.671469740748833</v>
      </c>
      <c r="AW528" s="34">
        <f t="shared" si="1017"/>
        <v>-17.917134768827914</v>
      </c>
      <c r="AX528" s="35">
        <f t="shared" si="1018"/>
        <v>-0.29091639454246576</v>
      </c>
      <c r="AZ528" s="949">
        <f t="shared" si="999"/>
        <v>59.538383233257868</v>
      </c>
      <c r="BA528" s="843">
        <f t="shared" si="1000"/>
        <v>35.810019563617132</v>
      </c>
      <c r="BB528" s="34">
        <f t="shared" si="1019"/>
        <v>-23.728363669640736</v>
      </c>
      <c r="BC528" s="35">
        <f t="shared" si="1020"/>
        <v>-0.39853893204789242</v>
      </c>
      <c r="BE528" s="31">
        <f t="shared" si="1021"/>
        <v>57.189280192008994</v>
      </c>
      <c r="BF528" s="25">
        <f t="shared" si="1022"/>
        <v>32.557832217253434</v>
      </c>
      <c r="BG528" s="32">
        <f t="shared" si="1023"/>
        <v>-24.631447974755559</v>
      </c>
      <c r="BH528" s="33">
        <f t="shared" si="1024"/>
        <v>-0.43070043707592054</v>
      </c>
      <c r="BJ528" s="31">
        <f t="shared" si="1001"/>
        <v>51.938655554994334</v>
      </c>
      <c r="BK528" s="25">
        <f t="shared" si="1002"/>
        <v>23.83884039039933</v>
      </c>
      <c r="BL528" s="32">
        <f t="shared" si="1003"/>
        <v>-28.099815164595004</v>
      </c>
      <c r="BM528" s="33">
        <f t="shared" si="1004"/>
        <v>-0.54101930179617386</v>
      </c>
      <c r="BO528" s="62"/>
      <c r="BP528" s="62"/>
      <c r="BQ528" s="62"/>
      <c r="BR528" s="63"/>
    </row>
    <row r="529" spans="1:70">
      <c r="A529" s="1"/>
      <c r="B529" s="1284"/>
      <c r="D529" s="4" t="s">
        <v>724</v>
      </c>
      <c r="E529" s="88">
        <f t="shared" ref="E529:L529" si="1029">E528-SUM(E517:E520)</f>
        <v>74.498842388468915</v>
      </c>
      <c r="F529" s="88">
        <f t="shared" si="1029"/>
        <v>69.995680138384159</v>
      </c>
      <c r="G529" s="88">
        <f t="shared" si="1029"/>
        <v>56.885246155146213</v>
      </c>
      <c r="H529" s="88">
        <f t="shared" si="1029"/>
        <v>54.315144092990579</v>
      </c>
      <c r="I529" s="88">
        <f t="shared" si="1029"/>
        <v>52.589804114435182</v>
      </c>
      <c r="J529" s="88">
        <f t="shared" si="1029"/>
        <v>50.559851772070829</v>
      </c>
      <c r="K529" s="88">
        <f t="shared" si="1029"/>
        <v>44.89345491084643</v>
      </c>
      <c r="L529" s="88">
        <f t="shared" si="1029"/>
        <v>43.946227629413528</v>
      </c>
      <c r="M529" s="1"/>
      <c r="N529" s="81">
        <f t="shared" ref="N529:U529" si="1030">N528-SUM(N517:N520)</f>
        <v>67.679128716999429</v>
      </c>
      <c r="O529" s="81">
        <f t="shared" si="1030"/>
        <v>66.876740136172032</v>
      </c>
      <c r="P529" s="81">
        <f t="shared" si="1030"/>
        <v>59.753491007267485</v>
      </c>
      <c r="Q529" s="81">
        <f t="shared" si="1030"/>
        <v>57.354475421010385</v>
      </c>
      <c r="R529" s="81">
        <f t="shared" si="1030"/>
        <v>55.201687637167879</v>
      </c>
      <c r="S529" s="81">
        <f t="shared" si="1030"/>
        <v>52.940401882281058</v>
      </c>
      <c r="T529" s="81">
        <f t="shared" si="1030"/>
        <v>47.680933082829135</v>
      </c>
      <c r="U529" s="81">
        <f t="shared" si="1030"/>
        <v>45.928837735439885</v>
      </c>
      <c r="V529" s="1"/>
      <c r="W529" s="85">
        <f t="shared" ref="W529:AD529" si="1031">W528-SUM(W517:W520)</f>
        <v>34.229317124815665</v>
      </c>
      <c r="X529" s="85">
        <f t="shared" si="1031"/>
        <v>32.870586748446321</v>
      </c>
      <c r="Y529" s="85">
        <f t="shared" si="1031"/>
        <v>37.97467271697213</v>
      </c>
      <c r="Z529" s="85">
        <f>Z528-SUM(Z517:Z520)</f>
        <v>39.427627307778351</v>
      </c>
      <c r="AA529" s="85">
        <f>AA528-SUM(AA517:AA520)</f>
        <v>30.446370882421711</v>
      </c>
      <c r="AB529" s="85">
        <f t="shared" si="1031"/>
        <v>26.294836986653127</v>
      </c>
      <c r="AC529" s="85">
        <f t="shared" ref="AC529" si="1032">AC528-SUM(AC517:AC520)</f>
        <v>19.260440390399332</v>
      </c>
      <c r="AD529" s="91">
        <f t="shared" si="1031"/>
        <v>0</v>
      </c>
      <c r="AE529" s="1"/>
      <c r="AF529" s="81">
        <f t="shared" si="1005"/>
        <v>67.679128716999429</v>
      </c>
      <c r="AG529" s="85">
        <f t="shared" si="1006"/>
        <v>34.229317124815665</v>
      </c>
      <c r="AH529" s="34">
        <f t="shared" si="1007"/>
        <v>-33.449811592183764</v>
      </c>
      <c r="AI529" s="35">
        <f t="shared" si="1008"/>
        <v>-0.49424116749573266</v>
      </c>
      <c r="AK529" s="81">
        <f t="shared" si="997"/>
        <v>66.876740136172032</v>
      </c>
      <c r="AL529" s="85">
        <f t="shared" si="998"/>
        <v>32.870586748446321</v>
      </c>
      <c r="AM529" s="34">
        <f t="shared" si="1009"/>
        <v>-34.006153387725711</v>
      </c>
      <c r="AN529" s="35">
        <f t="shared" si="1010"/>
        <v>-0.50848999694787145</v>
      </c>
      <c r="AP529" s="81">
        <f t="shared" si="1011"/>
        <v>59.753491007267485</v>
      </c>
      <c r="AQ529" s="85">
        <f>Y529</f>
        <v>37.97467271697213</v>
      </c>
      <c r="AR529" s="34">
        <f t="shared" si="1013"/>
        <v>-21.778818290295355</v>
      </c>
      <c r="AS529" s="35">
        <f t="shared" si="1014"/>
        <v>-0.36447775557827272</v>
      </c>
      <c r="AU529" s="949">
        <f t="shared" si="1015"/>
        <v>57.354475421010385</v>
      </c>
      <c r="AV529" s="843">
        <f t="shared" si="1016"/>
        <v>39.427627307778351</v>
      </c>
      <c r="AW529" s="34">
        <f t="shared" si="1017"/>
        <v>-17.926848113232033</v>
      </c>
      <c r="AX529" s="35">
        <f t="shared" si="1018"/>
        <v>-0.31256232371824605</v>
      </c>
      <c r="AZ529" s="949">
        <f t="shared" si="999"/>
        <v>55.201687637167879</v>
      </c>
      <c r="BA529" s="843">
        <f t="shared" si="1000"/>
        <v>30.446370882421711</v>
      </c>
      <c r="BB529" s="34">
        <f t="shared" si="1019"/>
        <v>-24.755316754746168</v>
      </c>
      <c r="BC529" s="35">
        <f t="shared" si="1020"/>
        <v>-0.44845217264839837</v>
      </c>
      <c r="BE529" s="31">
        <f t="shared" si="1021"/>
        <v>52.940401882281058</v>
      </c>
      <c r="BF529" s="25">
        <f t="shared" si="1022"/>
        <v>26.294836986653127</v>
      </c>
      <c r="BG529" s="32">
        <f t="shared" si="1023"/>
        <v>-26.645564895627931</v>
      </c>
      <c r="BH529" s="33">
        <f t="shared" si="1024"/>
        <v>-0.50331247871667739</v>
      </c>
      <c r="BJ529" s="31">
        <f t="shared" si="1001"/>
        <v>47.680933082829135</v>
      </c>
      <c r="BK529" s="25">
        <f t="shared" si="1002"/>
        <v>19.260440390399332</v>
      </c>
      <c r="BL529" s="32">
        <f t="shared" si="1003"/>
        <v>-28.420492692429804</v>
      </c>
      <c r="BM529" s="33">
        <f t="shared" si="1004"/>
        <v>-0.59605571566854665</v>
      </c>
      <c r="BO529" s="62"/>
      <c r="BP529" s="62"/>
      <c r="BQ529" s="62"/>
      <c r="BR529" s="63"/>
    </row>
    <row r="530" spans="1:70" ht="14.5" customHeight="1">
      <c r="B530" s="1284"/>
    </row>
    <row r="531" spans="1:70" ht="14.5" customHeight="1">
      <c r="B531" s="1284"/>
      <c r="D531" s="1" t="s">
        <v>80</v>
      </c>
    </row>
    <row r="532" spans="1:70" ht="14.5" customHeight="1">
      <c r="B532" s="1284"/>
      <c r="E532" s="1300" t="s">
        <v>733</v>
      </c>
      <c r="F532" s="1301"/>
      <c r="G532" s="1301"/>
      <c r="H532" s="1301"/>
      <c r="I532" s="1301"/>
      <c r="J532" s="1301"/>
      <c r="K532" s="1301"/>
      <c r="L532" s="1302"/>
      <c r="N532" s="245" t="s">
        <v>291</v>
      </c>
      <c r="O532" s="246"/>
      <c r="P532" s="246"/>
      <c r="Q532" s="246"/>
      <c r="R532" s="246"/>
      <c r="S532" s="246"/>
      <c r="T532" s="246"/>
      <c r="U532" s="247"/>
      <c r="W532" s="1079" t="s">
        <v>292</v>
      </c>
      <c r="X532" s="1080"/>
      <c r="Y532" s="1080"/>
      <c r="Z532" s="1080"/>
      <c r="AA532" s="1080"/>
      <c r="AB532" s="1080"/>
      <c r="AC532" s="1080"/>
      <c r="AD532" s="1081"/>
      <c r="AF532" s="102" t="s">
        <v>297</v>
      </c>
      <c r="AG532" s="102" t="s">
        <v>298</v>
      </c>
      <c r="AH532" s="1304" t="s">
        <v>602</v>
      </c>
      <c r="AI532" s="1304"/>
      <c r="AK532" s="102" t="s">
        <v>297</v>
      </c>
      <c r="AL532" s="102" t="s">
        <v>298</v>
      </c>
      <c r="AM532" s="1304" t="s">
        <v>602</v>
      </c>
      <c r="AN532" s="1304"/>
      <c r="AP532" s="6" t="s">
        <v>297</v>
      </c>
      <c r="AQ532" s="5" t="s">
        <v>298</v>
      </c>
      <c r="AR532" s="1303" t="s">
        <v>602</v>
      </c>
      <c r="AS532" s="1303"/>
      <c r="AU532" s="6" t="s">
        <v>297</v>
      </c>
      <c r="AV532" s="5" t="s">
        <v>298</v>
      </c>
      <c r="AW532" s="1303" t="s">
        <v>602</v>
      </c>
      <c r="AX532" s="1303"/>
      <c r="AZ532" s="6" t="s">
        <v>297</v>
      </c>
      <c r="BA532" s="5" t="s">
        <v>298</v>
      </c>
      <c r="BB532" s="1303" t="s">
        <v>602</v>
      </c>
      <c r="BC532" s="1303"/>
      <c r="BE532" s="6" t="s">
        <v>297</v>
      </c>
      <c r="BF532" s="5" t="s">
        <v>298</v>
      </c>
      <c r="BG532" s="1082" t="s">
        <v>602</v>
      </c>
      <c r="BH532" s="1082"/>
      <c r="BJ532" s="6" t="s">
        <v>297</v>
      </c>
      <c r="BK532" s="5" t="s">
        <v>298</v>
      </c>
      <c r="BL532" s="1082" t="s">
        <v>602</v>
      </c>
      <c r="BM532" s="1082"/>
      <c r="BO532" s="6" t="s">
        <v>297</v>
      </c>
      <c r="BP532" s="5" t="s">
        <v>298</v>
      </c>
      <c r="BQ532" s="1303" t="s">
        <v>602</v>
      </c>
      <c r="BR532" s="1303"/>
    </row>
    <row r="533" spans="1:70" ht="14.5" customHeight="1">
      <c r="A533" s="1"/>
      <c r="B533" s="1284"/>
      <c r="E533" s="196" t="s">
        <v>137</v>
      </c>
      <c r="F533" s="102" t="s">
        <v>138</v>
      </c>
      <c r="G533" s="102" t="s">
        <v>139</v>
      </c>
      <c r="H533" s="102" t="s">
        <v>140</v>
      </c>
      <c r="I533" s="102" t="s">
        <v>141</v>
      </c>
      <c r="J533" s="102" t="s">
        <v>126</v>
      </c>
      <c r="K533" s="102" t="s">
        <v>142</v>
      </c>
      <c r="L533" s="197" t="s">
        <v>143</v>
      </c>
      <c r="N533" s="196" t="s">
        <v>137</v>
      </c>
      <c r="O533" s="102" t="s">
        <v>138</v>
      </c>
      <c r="P533" s="102" t="s">
        <v>139</v>
      </c>
      <c r="Q533" s="102" t="s">
        <v>140</v>
      </c>
      <c r="R533" s="102" t="s">
        <v>141</v>
      </c>
      <c r="S533" s="102" t="s">
        <v>126</v>
      </c>
      <c r="T533" s="102" t="s">
        <v>142</v>
      </c>
      <c r="U533" s="197" t="s">
        <v>143</v>
      </c>
      <c r="W533" s="196" t="s">
        <v>137</v>
      </c>
      <c r="X533" s="1078" t="s">
        <v>138</v>
      </c>
      <c r="Y533" s="1078" t="s">
        <v>139</v>
      </c>
      <c r="Z533" s="1078" t="s">
        <v>140</v>
      </c>
      <c r="AA533" s="1078" t="s">
        <v>141</v>
      </c>
      <c r="AB533" s="1078" t="s">
        <v>126</v>
      </c>
      <c r="AC533" s="1078" t="s">
        <v>142</v>
      </c>
      <c r="AD533" s="197" t="s">
        <v>143</v>
      </c>
      <c r="AF533" s="102" t="s">
        <v>734</v>
      </c>
      <c r="AG533" s="102" t="s">
        <v>734</v>
      </c>
      <c r="AH533" s="102" t="s">
        <v>734</v>
      </c>
      <c r="AI533" s="102" t="s">
        <v>606</v>
      </c>
      <c r="AK533" s="102" t="s">
        <v>734</v>
      </c>
      <c r="AL533" s="102" t="s">
        <v>734</v>
      </c>
      <c r="AM533" s="102" t="s">
        <v>734</v>
      </c>
      <c r="AN533" s="102" t="s">
        <v>606</v>
      </c>
      <c r="AP533" s="5" t="s">
        <v>734</v>
      </c>
      <c r="AQ533" s="5" t="s">
        <v>734</v>
      </c>
      <c r="AR533" s="5" t="s">
        <v>734</v>
      </c>
      <c r="AS533" s="5" t="s">
        <v>606</v>
      </c>
      <c r="AU533" s="5" t="s">
        <v>734</v>
      </c>
      <c r="AV533" s="5" t="s">
        <v>734</v>
      </c>
      <c r="AW533" s="5" t="s">
        <v>734</v>
      </c>
      <c r="AX533" s="5" t="s">
        <v>606</v>
      </c>
      <c r="AZ533" s="5" t="s">
        <v>734</v>
      </c>
      <c r="BA533" s="5" t="s">
        <v>734</v>
      </c>
      <c r="BB533" s="5" t="s">
        <v>734</v>
      </c>
      <c r="BC533" s="5" t="s">
        <v>606</v>
      </c>
      <c r="BE533" s="5" t="s">
        <v>734</v>
      </c>
      <c r="BF533" s="5" t="s">
        <v>734</v>
      </c>
      <c r="BG533" s="5" t="s">
        <v>734</v>
      </c>
      <c r="BH533" s="5" t="s">
        <v>606</v>
      </c>
      <c r="BJ533" s="5" t="s">
        <v>734</v>
      </c>
      <c r="BK533" s="5" t="s">
        <v>734</v>
      </c>
      <c r="BL533" s="5" t="s">
        <v>734</v>
      </c>
      <c r="BM533" s="5" t="s">
        <v>606</v>
      </c>
      <c r="BO533" s="5" t="s">
        <v>734</v>
      </c>
      <c r="BP533" s="5" t="s">
        <v>734</v>
      </c>
      <c r="BQ533" s="5" t="s">
        <v>734</v>
      </c>
      <c r="BR533" s="5" t="s">
        <v>606</v>
      </c>
    </row>
    <row r="534" spans="1:70">
      <c r="B534" s="1284"/>
      <c r="D534" s="5" t="s">
        <v>161</v>
      </c>
      <c r="E534" s="87">
        <v>0</v>
      </c>
      <c r="F534" s="87">
        <v>0</v>
      </c>
      <c r="G534" s="87">
        <v>0</v>
      </c>
      <c r="H534" s="87">
        <v>0</v>
      </c>
      <c r="I534" s="87">
        <v>0</v>
      </c>
      <c r="J534" s="87">
        <v>0</v>
      </c>
      <c r="K534" s="87">
        <v>0</v>
      </c>
      <c r="L534" s="87">
        <v>0</v>
      </c>
      <c r="N534" s="29">
        <v>0</v>
      </c>
      <c r="O534" s="29">
        <v>0</v>
      </c>
      <c r="P534" s="29">
        <v>0</v>
      </c>
      <c r="Q534" s="29">
        <v>0</v>
      </c>
      <c r="R534" s="29">
        <v>0</v>
      </c>
      <c r="S534" s="29">
        <v>0</v>
      </c>
      <c r="T534" s="29">
        <v>0</v>
      </c>
      <c r="U534" s="29">
        <v>0</v>
      </c>
      <c r="W534" s="30">
        <v>7.1710637494586607</v>
      </c>
      <c r="X534" s="30">
        <v>2.1432721472602214</v>
      </c>
      <c r="Y534" s="30">
        <v>6.1611293897601955</v>
      </c>
      <c r="Z534" s="30">
        <v>12.652856184578097</v>
      </c>
      <c r="AA534" s="30">
        <v>8.1613608904631683</v>
      </c>
      <c r="AB534" s="85">
        <v>1.2167703106529644</v>
      </c>
      <c r="AC534" s="85">
        <v>6.1540024071581012</v>
      </c>
      <c r="AD534" s="90">
        <v>0</v>
      </c>
      <c r="AF534" s="29">
        <f>N534</f>
        <v>0</v>
      </c>
      <c r="AG534" s="30">
        <f>W534</f>
        <v>7.1710637494586607</v>
      </c>
      <c r="AH534" s="32">
        <f>IF(AG534&gt;0,AG534-AF534,"")</f>
        <v>7.1710637494586607</v>
      </c>
      <c r="AI534" s="33" t="e">
        <f>IF(AG534&gt;0,AH534/AF534,"")</f>
        <v>#DIV/0!</v>
      </c>
      <c r="AK534" s="29">
        <f t="shared" ref="AK534:AK549" si="1033">O534</f>
        <v>0</v>
      </c>
      <c r="AL534" s="30">
        <f t="shared" ref="AL534:AL549" si="1034">X534</f>
        <v>2.1432721472602214</v>
      </c>
      <c r="AM534" s="32">
        <f>IF(AL534&gt;0,AL534-AK534,"")</f>
        <v>2.1432721472602214</v>
      </c>
      <c r="AN534" s="33" t="e">
        <f>IF(AL534&gt;0,AM534/AK534,"")</f>
        <v>#DIV/0!</v>
      </c>
      <c r="AP534" s="29">
        <f>P534</f>
        <v>0</v>
      </c>
      <c r="AQ534" s="30">
        <f>Y534</f>
        <v>6.1611293897601955</v>
      </c>
      <c r="AR534" s="32">
        <f>AQ534-AP534</f>
        <v>6.1611293897601955</v>
      </c>
      <c r="AS534" s="33" t="e">
        <f>AR534/AP534</f>
        <v>#DIV/0!</v>
      </c>
      <c r="AU534" s="31">
        <f>Q534</f>
        <v>0</v>
      </c>
      <c r="AV534" s="25">
        <f>Z534</f>
        <v>12.652856184578097</v>
      </c>
      <c r="AW534" s="32">
        <f>AV534-AU534</f>
        <v>12.652856184578097</v>
      </c>
      <c r="AX534" s="33" t="e">
        <f>AW534/AU534</f>
        <v>#DIV/0!</v>
      </c>
      <c r="AZ534" s="31">
        <f t="shared" ref="AZ534:AZ549" si="1035">R534</f>
        <v>0</v>
      </c>
      <c r="BA534" s="25">
        <f t="shared" ref="BA534:BA549" si="1036">AA534</f>
        <v>8.1613608904631683</v>
      </c>
      <c r="BB534" s="32">
        <f>BA534-AZ534</f>
        <v>8.1613608904631683</v>
      </c>
      <c r="BC534" s="33" t="e">
        <f>BB534/AZ534</f>
        <v>#DIV/0!</v>
      </c>
      <c r="BE534" s="31">
        <f>S534</f>
        <v>0</v>
      </c>
      <c r="BF534" s="25">
        <f>AB534</f>
        <v>1.2167703106529644</v>
      </c>
      <c r="BG534" s="32">
        <f>BF534-BE534</f>
        <v>1.2167703106529644</v>
      </c>
      <c r="BH534" s="33" t="e">
        <f>BG534/BE534</f>
        <v>#DIV/0!</v>
      </c>
      <c r="BJ534" s="31">
        <f t="shared" ref="BJ534:BJ549" si="1037">T534</f>
        <v>0</v>
      </c>
      <c r="BK534" s="25">
        <f t="shared" ref="BK534:BK549" si="1038">AC534</f>
        <v>6.1540024071581012</v>
      </c>
      <c r="BL534" s="32">
        <f t="shared" ref="BL534:BL549" si="1039">BK534-BJ534</f>
        <v>6.1540024071581012</v>
      </c>
      <c r="BM534" s="33" t="e">
        <f t="shared" ref="BM534:BM549" si="1040">BL534/BJ534</f>
        <v>#DIV/0!</v>
      </c>
      <c r="BO534" s="62"/>
      <c r="BP534" s="62"/>
      <c r="BQ534" s="62"/>
      <c r="BR534" s="63"/>
    </row>
    <row r="535" spans="1:70">
      <c r="B535" s="1284"/>
      <c r="D535" s="5" t="s">
        <v>162</v>
      </c>
      <c r="E535" s="87">
        <v>0</v>
      </c>
      <c r="F535" s="87">
        <v>0</v>
      </c>
      <c r="G535" s="87">
        <v>0</v>
      </c>
      <c r="H535" s="87">
        <v>0</v>
      </c>
      <c r="I535" s="87">
        <v>0</v>
      </c>
      <c r="J535" s="87">
        <v>0</v>
      </c>
      <c r="K535" s="87">
        <v>0</v>
      </c>
      <c r="L535" s="87">
        <v>0</v>
      </c>
      <c r="N535" s="29">
        <v>0</v>
      </c>
      <c r="O535" s="29">
        <v>0</v>
      </c>
      <c r="P535" s="29">
        <v>0</v>
      </c>
      <c r="Q535" s="29">
        <v>0</v>
      </c>
      <c r="R535" s="29">
        <v>0</v>
      </c>
      <c r="S535" s="29">
        <v>0</v>
      </c>
      <c r="T535" s="29">
        <v>0</v>
      </c>
      <c r="U535" s="29">
        <v>0</v>
      </c>
      <c r="W535" s="30">
        <v>2.0667242210192529</v>
      </c>
      <c r="X535" s="30">
        <v>3.4061054459518423</v>
      </c>
      <c r="Y535" s="30">
        <v>2.4443811653107996</v>
      </c>
      <c r="Z535" s="30">
        <v>2.9093795880891506</v>
      </c>
      <c r="AA535" s="30">
        <v>6.0161595275384885</v>
      </c>
      <c r="AB535" s="85">
        <v>3.1035228221752282</v>
      </c>
      <c r="AC535" s="85">
        <v>3.0495810900000002</v>
      </c>
      <c r="AD535" s="90">
        <v>0</v>
      </c>
      <c r="AF535" s="29">
        <f t="shared" ref="AF535:AF549" si="1041">N535</f>
        <v>0</v>
      </c>
      <c r="AG535" s="30">
        <f t="shared" ref="AG535:AG549" si="1042">W535</f>
        <v>2.0667242210192529</v>
      </c>
      <c r="AH535" s="32">
        <f t="shared" ref="AH535:AH549" si="1043">IF(AG535&gt;0,AG535-AF535,"")</f>
        <v>2.0667242210192529</v>
      </c>
      <c r="AI535" s="33" t="e">
        <f t="shared" ref="AI535:AI549" si="1044">IF(AG535&gt;0,AH535/AF535,"")</f>
        <v>#DIV/0!</v>
      </c>
      <c r="AK535" s="29">
        <f t="shared" si="1033"/>
        <v>0</v>
      </c>
      <c r="AL535" s="30">
        <f t="shared" si="1034"/>
        <v>3.4061054459518423</v>
      </c>
      <c r="AM535" s="32">
        <f t="shared" ref="AM535:AM549" si="1045">IF(AL535&gt;0,AL535-AK535,"")</f>
        <v>3.4061054459518423</v>
      </c>
      <c r="AN535" s="33" t="e">
        <f t="shared" ref="AN535:AN549" si="1046">IF(AL535&gt;0,AM535/AK535,"")</f>
        <v>#DIV/0!</v>
      </c>
      <c r="AP535" s="29">
        <f t="shared" ref="AP535:AP549" si="1047">P535</f>
        <v>0</v>
      </c>
      <c r="AQ535" s="30">
        <f t="shared" ref="AQ535:AQ548" si="1048">Y535</f>
        <v>2.4443811653107996</v>
      </c>
      <c r="AR535" s="32">
        <f t="shared" ref="AR535:AR549" si="1049">AQ535-AP535</f>
        <v>2.4443811653107996</v>
      </c>
      <c r="AS535" s="33" t="e">
        <f t="shared" ref="AS535:AS549" si="1050">AR535/AP535</f>
        <v>#DIV/0!</v>
      </c>
      <c r="AU535" s="31">
        <f t="shared" ref="AU535:AU549" si="1051">Q535</f>
        <v>0</v>
      </c>
      <c r="AV535" s="25">
        <f t="shared" ref="AV535:AV549" si="1052">Z535</f>
        <v>2.9093795880891506</v>
      </c>
      <c r="AW535" s="32">
        <f t="shared" ref="AW535:AW549" si="1053">AV535-AU535</f>
        <v>2.9093795880891506</v>
      </c>
      <c r="AX535" s="33" t="e">
        <f t="shared" ref="AX535:AX549" si="1054">AW535/AU535</f>
        <v>#DIV/0!</v>
      </c>
      <c r="AZ535" s="31">
        <f t="shared" si="1035"/>
        <v>0</v>
      </c>
      <c r="BA535" s="25">
        <f t="shared" si="1036"/>
        <v>6.0161595275384885</v>
      </c>
      <c r="BB535" s="32">
        <f t="shared" ref="BB535:BB549" si="1055">BA535-AZ535</f>
        <v>6.0161595275384885</v>
      </c>
      <c r="BC535" s="33" t="e">
        <f t="shared" ref="BC535:BC549" si="1056">BB535/AZ535</f>
        <v>#DIV/0!</v>
      </c>
      <c r="BE535" s="31">
        <f t="shared" ref="BE535:BE549" si="1057">S535</f>
        <v>0</v>
      </c>
      <c r="BF535" s="25">
        <f t="shared" ref="BF535:BF549" si="1058">AB535</f>
        <v>3.1035228221752282</v>
      </c>
      <c r="BG535" s="32">
        <f t="shared" ref="BG535:BG549" si="1059">BF535-BE535</f>
        <v>3.1035228221752282</v>
      </c>
      <c r="BH535" s="33" t="e">
        <f t="shared" ref="BH535:BH549" si="1060">BG535/BE535</f>
        <v>#DIV/0!</v>
      </c>
      <c r="BJ535" s="31">
        <f t="shared" si="1037"/>
        <v>0</v>
      </c>
      <c r="BK535" s="25">
        <f t="shared" si="1038"/>
        <v>3.0495810900000002</v>
      </c>
      <c r="BL535" s="32">
        <f t="shared" si="1039"/>
        <v>3.0495810900000002</v>
      </c>
      <c r="BM535" s="33" t="e">
        <f t="shared" si="1040"/>
        <v>#DIV/0!</v>
      </c>
      <c r="BO535" s="62"/>
      <c r="BP535" s="62"/>
      <c r="BQ535" s="62"/>
      <c r="BR535" s="63"/>
    </row>
    <row r="536" spans="1:70">
      <c r="B536" s="1284"/>
      <c r="D536" s="5" t="s">
        <v>163</v>
      </c>
      <c r="E536" s="87">
        <v>0</v>
      </c>
      <c r="F536" s="87">
        <v>0</v>
      </c>
      <c r="G536" s="87">
        <v>0</v>
      </c>
      <c r="H536" s="87">
        <v>0</v>
      </c>
      <c r="I536" s="87">
        <v>0</v>
      </c>
      <c r="J536" s="87">
        <v>0</v>
      </c>
      <c r="K536" s="87">
        <v>0</v>
      </c>
      <c r="L536" s="87">
        <v>0</v>
      </c>
      <c r="N536" s="29">
        <v>0</v>
      </c>
      <c r="O536" s="29">
        <v>0</v>
      </c>
      <c r="P536" s="29">
        <v>0</v>
      </c>
      <c r="Q536" s="29">
        <v>0</v>
      </c>
      <c r="R536" s="29">
        <v>0</v>
      </c>
      <c r="S536" s="29">
        <v>0</v>
      </c>
      <c r="T536" s="29">
        <v>0</v>
      </c>
      <c r="U536" s="29">
        <v>0</v>
      </c>
      <c r="W536" s="30">
        <v>1.0747736469649425</v>
      </c>
      <c r="X536" s="30">
        <v>1.2119744849585661</v>
      </c>
      <c r="Y536" s="30">
        <v>1.249708329537156</v>
      </c>
      <c r="Z536" s="30">
        <v>1.2370952593796893</v>
      </c>
      <c r="AA536" s="30">
        <v>2.7153322604989274</v>
      </c>
      <c r="AB536" s="85">
        <v>1.4613620032599852</v>
      </c>
      <c r="AC536" s="85">
        <v>3.7489108099999995</v>
      </c>
      <c r="AD536" s="90">
        <v>0</v>
      </c>
      <c r="AF536" s="29">
        <f t="shared" si="1041"/>
        <v>0</v>
      </c>
      <c r="AG536" s="30">
        <f t="shared" si="1042"/>
        <v>1.0747736469649425</v>
      </c>
      <c r="AH536" s="32">
        <f t="shared" si="1043"/>
        <v>1.0747736469649425</v>
      </c>
      <c r="AI536" s="33" t="e">
        <f t="shared" si="1044"/>
        <v>#DIV/0!</v>
      </c>
      <c r="AK536" s="29">
        <f t="shared" si="1033"/>
        <v>0</v>
      </c>
      <c r="AL536" s="30">
        <f t="shared" si="1034"/>
        <v>1.2119744849585661</v>
      </c>
      <c r="AM536" s="32">
        <f t="shared" si="1045"/>
        <v>1.2119744849585661</v>
      </c>
      <c r="AN536" s="33" t="e">
        <f t="shared" si="1046"/>
        <v>#DIV/0!</v>
      </c>
      <c r="AP536" s="29">
        <f t="shared" si="1047"/>
        <v>0</v>
      </c>
      <c r="AQ536" s="30">
        <f t="shared" si="1048"/>
        <v>1.249708329537156</v>
      </c>
      <c r="AR536" s="32">
        <f t="shared" si="1049"/>
        <v>1.249708329537156</v>
      </c>
      <c r="AS536" s="33" t="e">
        <f t="shared" si="1050"/>
        <v>#DIV/0!</v>
      </c>
      <c r="AU536" s="31">
        <f t="shared" si="1051"/>
        <v>0</v>
      </c>
      <c r="AV536" s="25">
        <f t="shared" si="1052"/>
        <v>1.2370952593796893</v>
      </c>
      <c r="AW536" s="32">
        <f t="shared" si="1053"/>
        <v>1.2370952593796893</v>
      </c>
      <c r="AX536" s="33" t="e">
        <f t="shared" si="1054"/>
        <v>#DIV/0!</v>
      </c>
      <c r="AZ536" s="31">
        <f t="shared" si="1035"/>
        <v>0</v>
      </c>
      <c r="BA536" s="25">
        <f t="shared" si="1036"/>
        <v>2.7153322604989274</v>
      </c>
      <c r="BB536" s="32">
        <f t="shared" si="1055"/>
        <v>2.7153322604989274</v>
      </c>
      <c r="BC536" s="33" t="e">
        <f t="shared" si="1056"/>
        <v>#DIV/0!</v>
      </c>
      <c r="BE536" s="31">
        <f t="shared" si="1057"/>
        <v>0</v>
      </c>
      <c r="BF536" s="25">
        <f t="shared" si="1058"/>
        <v>1.4613620032599852</v>
      </c>
      <c r="BG536" s="32">
        <f t="shared" si="1059"/>
        <v>1.4613620032599852</v>
      </c>
      <c r="BH536" s="33" t="e">
        <f t="shared" si="1060"/>
        <v>#DIV/0!</v>
      </c>
      <c r="BJ536" s="31">
        <f t="shared" si="1037"/>
        <v>0</v>
      </c>
      <c r="BK536" s="25">
        <f t="shared" si="1038"/>
        <v>3.7489108099999995</v>
      </c>
      <c r="BL536" s="32">
        <f t="shared" si="1039"/>
        <v>3.7489108099999995</v>
      </c>
      <c r="BM536" s="33" t="e">
        <f t="shared" si="1040"/>
        <v>#DIV/0!</v>
      </c>
      <c r="BO536" s="62"/>
      <c r="BP536" s="62"/>
      <c r="BQ536" s="62"/>
      <c r="BR536" s="63"/>
    </row>
    <row r="537" spans="1:70">
      <c r="B537" s="1284"/>
      <c r="D537" s="5" t="s">
        <v>164</v>
      </c>
      <c r="E537" s="87">
        <v>3.4959439981092184</v>
      </c>
      <c r="F537" s="87">
        <v>3.4993603741845289</v>
      </c>
      <c r="G537" s="87">
        <v>3.494561277581373</v>
      </c>
      <c r="H537" s="87">
        <v>3.5025558866408617</v>
      </c>
      <c r="I537" s="87">
        <v>3.5109654086368005</v>
      </c>
      <c r="J537" s="87">
        <v>3.523259773234261</v>
      </c>
      <c r="K537" s="87">
        <v>0</v>
      </c>
      <c r="L537" s="87">
        <v>0</v>
      </c>
      <c r="N537" s="29">
        <v>3.4959439981092184</v>
      </c>
      <c r="O537" s="29">
        <v>3.4993603741845289</v>
      </c>
      <c r="P537" s="29">
        <v>3.494561277581373</v>
      </c>
      <c r="Q537" s="29">
        <v>3.5025558866408617</v>
      </c>
      <c r="R537" s="29">
        <v>3.5109654086368005</v>
      </c>
      <c r="S537" s="29">
        <v>3.523259773234261</v>
      </c>
      <c r="T537" s="29">
        <v>0</v>
      </c>
      <c r="U537" s="29">
        <v>0</v>
      </c>
      <c r="W537" s="30">
        <v>7.1278981239857693</v>
      </c>
      <c r="X537" s="30">
        <v>3.7023048771283658</v>
      </c>
      <c r="Y537" s="30">
        <v>2.2082633390079587</v>
      </c>
      <c r="Z537" s="30">
        <v>1.2784245838451436</v>
      </c>
      <c r="AA537" s="30">
        <v>0.98280029727293383</v>
      </c>
      <c r="AB537" s="85">
        <v>0.70235244605955138</v>
      </c>
      <c r="AC537" s="85">
        <v>0.75729999999999997</v>
      </c>
      <c r="AD537" s="90">
        <v>0</v>
      </c>
      <c r="AF537" s="29">
        <f t="shared" si="1041"/>
        <v>3.4959439981092184</v>
      </c>
      <c r="AG537" s="30">
        <f t="shared" si="1042"/>
        <v>7.1278981239857693</v>
      </c>
      <c r="AH537" s="32">
        <f t="shared" si="1043"/>
        <v>3.6319541258765509</v>
      </c>
      <c r="AI537" s="33">
        <f t="shared" si="1044"/>
        <v>1.0389051220044982</v>
      </c>
      <c r="AK537" s="29">
        <f t="shared" si="1033"/>
        <v>3.4993603741845289</v>
      </c>
      <c r="AL537" s="30">
        <f t="shared" si="1034"/>
        <v>3.7023048771283658</v>
      </c>
      <c r="AM537" s="32">
        <f t="shared" si="1045"/>
        <v>0.20294450294383681</v>
      </c>
      <c r="AN537" s="33">
        <f t="shared" si="1046"/>
        <v>5.7994742250897735E-2</v>
      </c>
      <c r="AP537" s="29">
        <f t="shared" si="1047"/>
        <v>3.494561277581373</v>
      </c>
      <c r="AQ537" s="30">
        <f t="shared" si="1048"/>
        <v>2.2082633390079587</v>
      </c>
      <c r="AR537" s="32">
        <f t="shared" si="1049"/>
        <v>-1.2862979385734143</v>
      </c>
      <c r="AS537" s="33">
        <f t="shared" si="1050"/>
        <v>-0.36808567267810977</v>
      </c>
      <c r="AU537" s="31">
        <f t="shared" si="1051"/>
        <v>3.5025558866408617</v>
      </c>
      <c r="AV537" s="25">
        <f t="shared" si="1052"/>
        <v>1.2784245838451436</v>
      </c>
      <c r="AW537" s="32">
        <f t="shared" si="1053"/>
        <v>-2.2241313027957181</v>
      </c>
      <c r="AX537" s="33">
        <f t="shared" si="1054"/>
        <v>-0.63500237391751624</v>
      </c>
      <c r="AZ537" s="31">
        <f t="shared" si="1035"/>
        <v>3.5109654086368005</v>
      </c>
      <c r="BA537" s="25">
        <f t="shared" si="1036"/>
        <v>0.98280029727293383</v>
      </c>
      <c r="BB537" s="32">
        <f t="shared" si="1055"/>
        <v>-2.5281651113638666</v>
      </c>
      <c r="BC537" s="33">
        <f t="shared" si="1056"/>
        <v>-0.72007690680879566</v>
      </c>
      <c r="BE537" s="31">
        <f t="shared" si="1057"/>
        <v>3.523259773234261</v>
      </c>
      <c r="BF537" s="25">
        <f t="shared" si="1058"/>
        <v>0.70235244605955138</v>
      </c>
      <c r="BG537" s="32">
        <f t="shared" si="1059"/>
        <v>-2.8209073271747096</v>
      </c>
      <c r="BH537" s="33">
        <f t="shared" si="1060"/>
        <v>-0.80065266507021993</v>
      </c>
      <c r="BJ537" s="31">
        <f t="shared" si="1037"/>
        <v>0</v>
      </c>
      <c r="BK537" s="25">
        <f t="shared" si="1038"/>
        <v>0.75729999999999997</v>
      </c>
      <c r="BL537" s="32">
        <f t="shared" si="1039"/>
        <v>0.75729999999999997</v>
      </c>
      <c r="BM537" s="33" t="e">
        <f t="shared" si="1040"/>
        <v>#DIV/0!</v>
      </c>
      <c r="BO537" s="62"/>
      <c r="BP537" s="62"/>
      <c r="BQ537" s="62"/>
      <c r="BR537" s="63"/>
    </row>
    <row r="538" spans="1:70">
      <c r="B538" s="1284"/>
      <c r="D538" s="5" t="s">
        <v>165</v>
      </c>
      <c r="E538" s="87">
        <v>1.9453688481155429</v>
      </c>
      <c r="F538" s="87">
        <v>1.9455756221855491</v>
      </c>
      <c r="G538" s="87">
        <v>1.9420809224517703</v>
      </c>
      <c r="H538" s="87">
        <v>1.9465425882407974</v>
      </c>
      <c r="I538" s="87">
        <v>1.950896332365772</v>
      </c>
      <c r="J538" s="87">
        <v>1.9561061676211506</v>
      </c>
      <c r="K538" s="87">
        <v>0</v>
      </c>
      <c r="L538" s="87">
        <v>0</v>
      </c>
      <c r="N538" s="29">
        <v>1.9453688481155429</v>
      </c>
      <c r="O538" s="29">
        <v>1.9455756221855491</v>
      </c>
      <c r="P538" s="29">
        <v>1.9420809224517703</v>
      </c>
      <c r="Q538" s="29">
        <v>1.9465425882407974</v>
      </c>
      <c r="R538" s="29">
        <v>1.950896332365772</v>
      </c>
      <c r="S538" s="29">
        <v>1.9561061676211506</v>
      </c>
      <c r="T538" s="29">
        <v>0</v>
      </c>
      <c r="U538" s="29">
        <v>0</v>
      </c>
      <c r="W538" s="30">
        <v>5.0014025201111654</v>
      </c>
      <c r="X538" s="30">
        <v>3.2678447424827919</v>
      </c>
      <c r="Y538" s="30">
        <v>2.0135830241389847</v>
      </c>
      <c r="Z538" s="30">
        <v>1.4783157129343329</v>
      </c>
      <c r="AA538" s="30">
        <v>1.396047481093579</v>
      </c>
      <c r="AB538" s="85">
        <v>1.7558811151488782</v>
      </c>
      <c r="AC538" s="85">
        <v>1.3548999999999998</v>
      </c>
      <c r="AD538" s="90">
        <v>0</v>
      </c>
      <c r="AF538" s="29">
        <f t="shared" si="1041"/>
        <v>1.9453688481155429</v>
      </c>
      <c r="AG538" s="30">
        <f t="shared" si="1042"/>
        <v>5.0014025201111654</v>
      </c>
      <c r="AH538" s="32">
        <f t="shared" si="1043"/>
        <v>3.0560336719956225</v>
      </c>
      <c r="AI538" s="33">
        <f t="shared" si="1044"/>
        <v>1.5709276289460317</v>
      </c>
      <c r="AK538" s="29">
        <f t="shared" si="1033"/>
        <v>1.9455756221855491</v>
      </c>
      <c r="AL538" s="30">
        <f t="shared" si="1034"/>
        <v>3.2678447424827919</v>
      </c>
      <c r="AM538" s="32">
        <f t="shared" si="1045"/>
        <v>1.3222691202972428</v>
      </c>
      <c r="AN538" s="33">
        <f t="shared" si="1046"/>
        <v>0.6796287459707584</v>
      </c>
      <c r="AP538" s="29">
        <f t="shared" si="1047"/>
        <v>1.9420809224517703</v>
      </c>
      <c r="AQ538" s="30">
        <f t="shared" si="1048"/>
        <v>2.0135830241389847</v>
      </c>
      <c r="AR538" s="32">
        <f t="shared" si="1049"/>
        <v>7.1502101687214381E-2</v>
      </c>
      <c r="AS538" s="33">
        <f t="shared" si="1050"/>
        <v>3.6817261763195178E-2</v>
      </c>
      <c r="AU538" s="31">
        <f t="shared" si="1051"/>
        <v>1.9465425882407974</v>
      </c>
      <c r="AV538" s="25">
        <f t="shared" si="1052"/>
        <v>1.4783157129343329</v>
      </c>
      <c r="AW538" s="32">
        <f t="shared" si="1053"/>
        <v>-0.46822687530646445</v>
      </c>
      <c r="AX538" s="33">
        <f t="shared" si="1054"/>
        <v>-0.24054283637823101</v>
      </c>
      <c r="AZ538" s="31">
        <f t="shared" si="1035"/>
        <v>1.950896332365772</v>
      </c>
      <c r="BA538" s="25">
        <f t="shared" si="1036"/>
        <v>1.396047481093579</v>
      </c>
      <c r="BB538" s="32">
        <f t="shared" si="1055"/>
        <v>-0.55484885127219297</v>
      </c>
      <c r="BC538" s="33">
        <f t="shared" si="1056"/>
        <v>-0.28440714253604166</v>
      </c>
      <c r="BE538" s="31">
        <f t="shared" si="1057"/>
        <v>1.9561061676211506</v>
      </c>
      <c r="BF538" s="25">
        <f t="shared" si="1058"/>
        <v>1.7558811151488782</v>
      </c>
      <c r="BG538" s="32">
        <f t="shared" si="1059"/>
        <v>-0.2002250524722724</v>
      </c>
      <c r="BH538" s="33">
        <f t="shared" si="1060"/>
        <v>-0.10235899042012071</v>
      </c>
      <c r="BJ538" s="31">
        <f t="shared" si="1037"/>
        <v>0</v>
      </c>
      <c r="BK538" s="25">
        <f t="shared" si="1038"/>
        <v>1.3548999999999998</v>
      </c>
      <c r="BL538" s="32">
        <f t="shared" si="1039"/>
        <v>1.3548999999999998</v>
      </c>
      <c r="BM538" s="33" t="e">
        <f t="shared" si="1040"/>
        <v>#DIV/0!</v>
      </c>
      <c r="BO538" s="62"/>
      <c r="BP538" s="62"/>
      <c r="BQ538" s="62"/>
      <c r="BR538" s="63"/>
    </row>
    <row r="539" spans="1:70">
      <c r="B539" s="1284"/>
      <c r="D539" s="5" t="s">
        <v>166</v>
      </c>
      <c r="E539" s="87">
        <v>0.64764423077212963</v>
      </c>
      <c r="F539" s="87">
        <v>0.6483514559269945</v>
      </c>
      <c r="G539" s="87">
        <v>0.64842490850586654</v>
      </c>
      <c r="H539" s="87">
        <v>0.64895641043291874</v>
      </c>
      <c r="I539" s="87">
        <v>0.65149284690078102</v>
      </c>
      <c r="J539" s="87">
        <v>0.6530694894832948</v>
      </c>
      <c r="K539" s="87">
        <v>0</v>
      </c>
      <c r="L539" s="87">
        <v>0</v>
      </c>
      <c r="N539" s="29">
        <v>0.64764423077212963</v>
      </c>
      <c r="O539" s="29">
        <v>0.6483514559269945</v>
      </c>
      <c r="P539" s="29">
        <v>0.64842490850586654</v>
      </c>
      <c r="Q539" s="29">
        <v>0.64895641043291874</v>
      </c>
      <c r="R539" s="29">
        <v>0.65149284690078102</v>
      </c>
      <c r="S539" s="29">
        <v>0.6530694894832948</v>
      </c>
      <c r="T539" s="29">
        <v>0</v>
      </c>
      <c r="U539" s="29">
        <v>0</v>
      </c>
      <c r="W539" s="30">
        <v>2.011355401972764</v>
      </c>
      <c r="X539" s="30">
        <v>2.8380814741577103</v>
      </c>
      <c r="Y539" s="30">
        <v>2.5976239687459071</v>
      </c>
      <c r="Z539" s="30">
        <v>1.9604706891439705</v>
      </c>
      <c r="AA539" s="30">
        <v>1.1166238671630393</v>
      </c>
      <c r="AB539" s="85">
        <v>0.96785013274772524</v>
      </c>
      <c r="AC539" s="85">
        <v>0.86980000000000013</v>
      </c>
      <c r="AD539" s="90">
        <v>0</v>
      </c>
      <c r="AF539" s="29">
        <f t="shared" si="1041"/>
        <v>0.64764423077212963</v>
      </c>
      <c r="AG539" s="30">
        <f t="shared" si="1042"/>
        <v>2.011355401972764</v>
      </c>
      <c r="AH539" s="32">
        <f t="shared" si="1043"/>
        <v>1.3637111712006345</v>
      </c>
      <c r="AI539" s="33">
        <f t="shared" si="1044"/>
        <v>2.1056486052146264</v>
      </c>
      <c r="AK539" s="29">
        <f t="shared" si="1033"/>
        <v>0.6483514559269945</v>
      </c>
      <c r="AL539" s="30">
        <f t="shared" si="1034"/>
        <v>2.8380814741577103</v>
      </c>
      <c r="AM539" s="32">
        <f t="shared" si="1045"/>
        <v>2.1897300182307156</v>
      </c>
      <c r="AN539" s="33">
        <f t="shared" si="1046"/>
        <v>3.3773811999849706</v>
      </c>
      <c r="AP539" s="29">
        <f t="shared" si="1047"/>
        <v>0.64842490850586654</v>
      </c>
      <c r="AQ539" s="30">
        <f t="shared" si="1048"/>
        <v>2.5976239687459071</v>
      </c>
      <c r="AR539" s="32">
        <f t="shared" si="1049"/>
        <v>1.9491990602400406</v>
      </c>
      <c r="AS539" s="33">
        <f t="shared" si="1050"/>
        <v>3.0060521035989867</v>
      </c>
      <c r="AU539" s="31">
        <f t="shared" si="1051"/>
        <v>0.64895641043291874</v>
      </c>
      <c r="AV539" s="25">
        <f t="shared" si="1052"/>
        <v>1.9604706891439705</v>
      </c>
      <c r="AW539" s="32">
        <f t="shared" si="1053"/>
        <v>1.3115142787110519</v>
      </c>
      <c r="AX539" s="33">
        <f t="shared" si="1054"/>
        <v>2.0209589698576842</v>
      </c>
      <c r="AZ539" s="31">
        <f t="shared" si="1035"/>
        <v>0.65149284690078102</v>
      </c>
      <c r="BA539" s="25">
        <f t="shared" si="1036"/>
        <v>1.1166238671630393</v>
      </c>
      <c r="BB539" s="32">
        <f t="shared" si="1055"/>
        <v>0.46513102026225828</v>
      </c>
      <c r="BC539" s="33">
        <f t="shared" si="1056"/>
        <v>0.71394647305021808</v>
      </c>
      <c r="BE539" s="31">
        <f t="shared" si="1057"/>
        <v>0.6530694894832948</v>
      </c>
      <c r="BF539" s="25">
        <f t="shared" si="1058"/>
        <v>0.96785013274772524</v>
      </c>
      <c r="BG539" s="32">
        <f t="shared" si="1059"/>
        <v>0.31478064326443045</v>
      </c>
      <c r="BH539" s="33">
        <f t="shared" si="1060"/>
        <v>0.48200175989462202</v>
      </c>
      <c r="BJ539" s="31">
        <f t="shared" si="1037"/>
        <v>0</v>
      </c>
      <c r="BK539" s="25">
        <f t="shared" si="1038"/>
        <v>0.86980000000000013</v>
      </c>
      <c r="BL539" s="32">
        <f t="shared" si="1039"/>
        <v>0.86980000000000013</v>
      </c>
      <c r="BM539" s="33" t="e">
        <f t="shared" si="1040"/>
        <v>#DIV/0!</v>
      </c>
      <c r="BO539" s="62"/>
      <c r="BP539" s="62"/>
      <c r="BQ539" s="62"/>
      <c r="BR539" s="63"/>
    </row>
    <row r="540" spans="1:70">
      <c r="B540" s="1284"/>
      <c r="D540" s="5" t="s">
        <v>167</v>
      </c>
      <c r="E540" s="87">
        <v>0.64754522635272915</v>
      </c>
      <c r="F540" s="87">
        <v>0.64811365949715838</v>
      </c>
      <c r="G540" s="87">
        <v>0.64830714024774061</v>
      </c>
      <c r="H540" s="87">
        <v>0.64870806104561951</v>
      </c>
      <c r="I540" s="87">
        <v>0.65166636226445263</v>
      </c>
      <c r="J540" s="87">
        <v>0.65325321470874298</v>
      </c>
      <c r="K540" s="87">
        <v>0</v>
      </c>
      <c r="L540" s="87">
        <v>0</v>
      </c>
      <c r="N540" s="29">
        <v>0.64754522635272915</v>
      </c>
      <c r="O540" s="29">
        <v>0.64811365949715838</v>
      </c>
      <c r="P540" s="29">
        <v>0.64830714024774061</v>
      </c>
      <c r="Q540" s="29">
        <v>0.64870806104561951</v>
      </c>
      <c r="R540" s="29">
        <v>0.65166636226445263</v>
      </c>
      <c r="S540" s="29">
        <v>0.65325321470874298</v>
      </c>
      <c r="T540" s="29">
        <v>0</v>
      </c>
      <c r="U540" s="29">
        <v>0</v>
      </c>
      <c r="W540" s="30">
        <v>2.5618694923159353</v>
      </c>
      <c r="X540" s="30">
        <v>2.0419626328341987</v>
      </c>
      <c r="Y540" s="30">
        <v>2.1335604274884687</v>
      </c>
      <c r="Z540" s="30">
        <v>0.60845981052423515</v>
      </c>
      <c r="AA540" s="30">
        <v>0.68624726639646028</v>
      </c>
      <c r="AB540" s="85">
        <v>0.86630520078730799</v>
      </c>
      <c r="AC540" s="85">
        <v>1.0881000000000001</v>
      </c>
      <c r="AD540" s="90">
        <v>0</v>
      </c>
      <c r="AF540" s="29">
        <f t="shared" si="1041"/>
        <v>0.64754522635272915</v>
      </c>
      <c r="AG540" s="30">
        <f t="shared" si="1042"/>
        <v>2.5618694923159353</v>
      </c>
      <c r="AH540" s="32">
        <f t="shared" si="1043"/>
        <v>1.9143242659632063</v>
      </c>
      <c r="AI540" s="33">
        <f t="shared" si="1044"/>
        <v>2.9562788637105024</v>
      </c>
      <c r="AK540" s="29">
        <f t="shared" si="1033"/>
        <v>0.64811365949715838</v>
      </c>
      <c r="AL540" s="30">
        <f t="shared" si="1034"/>
        <v>2.0419626328341987</v>
      </c>
      <c r="AM540" s="32">
        <f t="shared" si="1045"/>
        <v>1.3938489733370403</v>
      </c>
      <c r="AN540" s="33">
        <f t="shared" si="1046"/>
        <v>2.1506242815781165</v>
      </c>
      <c r="AP540" s="29">
        <f t="shared" si="1047"/>
        <v>0.64830714024774061</v>
      </c>
      <c r="AQ540" s="30">
        <f t="shared" si="1048"/>
        <v>2.1335604274884687</v>
      </c>
      <c r="AR540" s="32">
        <f t="shared" si="1049"/>
        <v>1.4852532872407282</v>
      </c>
      <c r="AS540" s="33">
        <f t="shared" si="1050"/>
        <v>2.2909716630194161</v>
      </c>
      <c r="AU540" s="31">
        <f t="shared" si="1051"/>
        <v>0.64870806104561951</v>
      </c>
      <c r="AV540" s="25">
        <f t="shared" si="1052"/>
        <v>0.60845981052423515</v>
      </c>
      <c r="AW540" s="32">
        <f t="shared" si="1053"/>
        <v>-4.0248250521384366E-2</v>
      </c>
      <c r="AX540" s="33">
        <f t="shared" si="1054"/>
        <v>-6.2043703382551246E-2</v>
      </c>
      <c r="AZ540" s="31">
        <f t="shared" si="1035"/>
        <v>0.65166636226445263</v>
      </c>
      <c r="BA540" s="25">
        <f t="shared" si="1036"/>
        <v>0.68624726639646028</v>
      </c>
      <c r="BB540" s="32">
        <f t="shared" si="1055"/>
        <v>3.458090413200765E-2</v>
      </c>
      <c r="BC540" s="33">
        <f t="shared" si="1056"/>
        <v>5.3065350821306284E-2</v>
      </c>
      <c r="BE540" s="31">
        <f t="shared" si="1057"/>
        <v>0.65325321470874298</v>
      </c>
      <c r="BF540" s="25">
        <f t="shared" si="1058"/>
        <v>0.86630520078730799</v>
      </c>
      <c r="BG540" s="32">
        <f t="shared" si="1059"/>
        <v>0.21305198607856501</v>
      </c>
      <c r="BH540" s="33">
        <f t="shared" si="1060"/>
        <v>0.32613997341529438</v>
      </c>
      <c r="BJ540" s="31">
        <f t="shared" si="1037"/>
        <v>0</v>
      </c>
      <c r="BK540" s="25">
        <f t="shared" si="1038"/>
        <v>1.0881000000000001</v>
      </c>
      <c r="BL540" s="32">
        <f t="shared" si="1039"/>
        <v>1.0881000000000001</v>
      </c>
      <c r="BM540" s="33" t="e">
        <f t="shared" si="1040"/>
        <v>#DIV/0!</v>
      </c>
      <c r="BO540" s="62"/>
      <c r="BP540" s="62"/>
      <c r="BQ540" s="62"/>
      <c r="BR540" s="63"/>
    </row>
    <row r="541" spans="1:70">
      <c r="B541" s="1284"/>
      <c r="D541" s="5" t="s">
        <v>168</v>
      </c>
      <c r="E541" s="87">
        <v>0</v>
      </c>
      <c r="F541" s="87">
        <v>0</v>
      </c>
      <c r="G541" s="87">
        <v>0</v>
      </c>
      <c r="H541" s="87">
        <v>0</v>
      </c>
      <c r="I541" s="87">
        <v>0</v>
      </c>
      <c r="J541" s="87">
        <v>0</v>
      </c>
      <c r="K541" s="87">
        <v>0</v>
      </c>
      <c r="L541" s="87">
        <v>0</v>
      </c>
      <c r="N541" s="29">
        <v>0</v>
      </c>
      <c r="O541" s="29">
        <v>0</v>
      </c>
      <c r="P541" s="29">
        <v>0</v>
      </c>
      <c r="Q541" s="29">
        <v>0</v>
      </c>
      <c r="R541" s="29">
        <v>0</v>
      </c>
      <c r="S541" s="29">
        <v>0</v>
      </c>
      <c r="T541" s="29">
        <v>0</v>
      </c>
      <c r="U541" s="29">
        <v>0</v>
      </c>
      <c r="W541" s="30">
        <v>0.15706010130915701</v>
      </c>
      <c r="X541" s="30">
        <v>0.17952320315633125</v>
      </c>
      <c r="Y541" s="30">
        <v>0.92786097726822281</v>
      </c>
      <c r="Z541" s="30">
        <v>1.641713618310719</v>
      </c>
      <c r="AA541" s="30">
        <v>3.4544838174080779</v>
      </c>
      <c r="AB541" s="85">
        <v>2.6296121487671238</v>
      </c>
      <c r="AC541" s="85">
        <v>1.8065759681209663</v>
      </c>
      <c r="AD541" s="90">
        <v>0</v>
      </c>
      <c r="AF541" s="29">
        <f t="shared" si="1041"/>
        <v>0</v>
      </c>
      <c r="AG541" s="30">
        <f t="shared" si="1042"/>
        <v>0.15706010130915701</v>
      </c>
      <c r="AH541" s="32">
        <f t="shared" si="1043"/>
        <v>0.15706010130915701</v>
      </c>
      <c r="AI541" s="33" t="e">
        <f t="shared" si="1044"/>
        <v>#DIV/0!</v>
      </c>
      <c r="AK541" s="29">
        <f t="shared" si="1033"/>
        <v>0</v>
      </c>
      <c r="AL541" s="30">
        <f t="shared" si="1034"/>
        <v>0.17952320315633125</v>
      </c>
      <c r="AM541" s="32">
        <f t="shared" si="1045"/>
        <v>0.17952320315633125</v>
      </c>
      <c r="AN541" s="33" t="e">
        <f t="shared" si="1046"/>
        <v>#DIV/0!</v>
      </c>
      <c r="AP541" s="29">
        <f t="shared" si="1047"/>
        <v>0</v>
      </c>
      <c r="AQ541" s="30">
        <f t="shared" si="1048"/>
        <v>0.92786097726822281</v>
      </c>
      <c r="AR541" s="32">
        <f t="shared" si="1049"/>
        <v>0.92786097726822281</v>
      </c>
      <c r="AS541" s="33" t="e">
        <f t="shared" si="1050"/>
        <v>#DIV/0!</v>
      </c>
      <c r="AU541" s="31">
        <f t="shared" si="1051"/>
        <v>0</v>
      </c>
      <c r="AV541" s="25">
        <f t="shared" si="1052"/>
        <v>1.641713618310719</v>
      </c>
      <c r="AW541" s="32">
        <f t="shared" si="1053"/>
        <v>1.641713618310719</v>
      </c>
      <c r="AX541" s="33" t="e">
        <f t="shared" si="1054"/>
        <v>#DIV/0!</v>
      </c>
      <c r="AZ541" s="31">
        <f t="shared" si="1035"/>
        <v>0</v>
      </c>
      <c r="BA541" s="25">
        <f t="shared" si="1036"/>
        <v>3.4544838174080779</v>
      </c>
      <c r="BB541" s="32">
        <f t="shared" si="1055"/>
        <v>3.4544838174080779</v>
      </c>
      <c r="BC541" s="33" t="e">
        <f t="shared" si="1056"/>
        <v>#DIV/0!</v>
      </c>
      <c r="BE541" s="31">
        <f t="shared" si="1057"/>
        <v>0</v>
      </c>
      <c r="BF541" s="25">
        <f t="shared" si="1058"/>
        <v>2.6296121487671238</v>
      </c>
      <c r="BG541" s="32">
        <f t="shared" si="1059"/>
        <v>2.6296121487671238</v>
      </c>
      <c r="BH541" s="33" t="e">
        <f t="shared" si="1060"/>
        <v>#DIV/0!</v>
      </c>
      <c r="BJ541" s="31">
        <f t="shared" si="1037"/>
        <v>0</v>
      </c>
      <c r="BK541" s="25">
        <f t="shared" si="1038"/>
        <v>1.8065759681209663</v>
      </c>
      <c r="BL541" s="32">
        <f t="shared" si="1039"/>
        <v>1.8065759681209663</v>
      </c>
      <c r="BM541" s="33" t="e">
        <f t="shared" si="1040"/>
        <v>#DIV/0!</v>
      </c>
      <c r="BO541" s="62"/>
      <c r="BP541" s="62"/>
      <c r="BQ541" s="62"/>
      <c r="BR541" s="63"/>
    </row>
    <row r="542" spans="1:70">
      <c r="B542" s="1284"/>
      <c r="D542" s="5" t="s">
        <v>169</v>
      </c>
      <c r="E542" s="87">
        <v>0</v>
      </c>
      <c r="F542" s="87">
        <v>0</v>
      </c>
      <c r="G542" s="87">
        <v>0</v>
      </c>
      <c r="H542" s="87">
        <v>0</v>
      </c>
      <c r="I542" s="87">
        <v>0</v>
      </c>
      <c r="J542" s="87">
        <v>0</v>
      </c>
      <c r="K542" s="87">
        <v>0</v>
      </c>
      <c r="L542" s="87">
        <v>0</v>
      </c>
      <c r="N542" s="29">
        <v>0</v>
      </c>
      <c r="O542" s="29">
        <v>0</v>
      </c>
      <c r="P542" s="29">
        <v>0</v>
      </c>
      <c r="Q542" s="29">
        <v>0</v>
      </c>
      <c r="R542" s="29">
        <v>0</v>
      </c>
      <c r="S542" s="29">
        <v>0</v>
      </c>
      <c r="T542" s="29">
        <v>0</v>
      </c>
      <c r="U542" s="29">
        <v>0</v>
      </c>
      <c r="W542" s="30">
        <v>0.62143319475987735</v>
      </c>
      <c r="X542" s="30">
        <v>0.48759579848743462</v>
      </c>
      <c r="Y542" s="30">
        <v>1.8870619077607969</v>
      </c>
      <c r="Z542" s="30">
        <v>3.8278340151537575</v>
      </c>
      <c r="AA542" s="30">
        <v>1.8739395204583018</v>
      </c>
      <c r="AB542" s="85">
        <v>2.7196299049923067</v>
      </c>
      <c r="AC542" s="85">
        <v>1.5937564551798791</v>
      </c>
      <c r="AD542" s="90">
        <v>0</v>
      </c>
      <c r="AF542" s="29">
        <f t="shared" si="1041"/>
        <v>0</v>
      </c>
      <c r="AG542" s="30">
        <f t="shared" si="1042"/>
        <v>0.62143319475987735</v>
      </c>
      <c r="AH542" s="32">
        <f t="shared" si="1043"/>
        <v>0.62143319475987735</v>
      </c>
      <c r="AI542" s="33" t="e">
        <f t="shared" si="1044"/>
        <v>#DIV/0!</v>
      </c>
      <c r="AK542" s="29">
        <f t="shared" si="1033"/>
        <v>0</v>
      </c>
      <c r="AL542" s="30">
        <f t="shared" si="1034"/>
        <v>0.48759579848743462</v>
      </c>
      <c r="AM542" s="32">
        <f t="shared" si="1045"/>
        <v>0.48759579848743462</v>
      </c>
      <c r="AN542" s="33" t="e">
        <f t="shared" si="1046"/>
        <v>#DIV/0!</v>
      </c>
      <c r="AP542" s="29">
        <f t="shared" si="1047"/>
        <v>0</v>
      </c>
      <c r="AQ542" s="30">
        <f t="shared" si="1048"/>
        <v>1.8870619077607969</v>
      </c>
      <c r="AR542" s="32">
        <f t="shared" si="1049"/>
        <v>1.8870619077607969</v>
      </c>
      <c r="AS542" s="33" t="e">
        <f t="shared" si="1050"/>
        <v>#DIV/0!</v>
      </c>
      <c r="AU542" s="31">
        <f t="shared" si="1051"/>
        <v>0</v>
      </c>
      <c r="AV542" s="25">
        <f t="shared" si="1052"/>
        <v>3.8278340151537575</v>
      </c>
      <c r="AW542" s="32">
        <f t="shared" si="1053"/>
        <v>3.8278340151537575</v>
      </c>
      <c r="AX542" s="33" t="e">
        <f t="shared" si="1054"/>
        <v>#DIV/0!</v>
      </c>
      <c r="AZ542" s="31">
        <f t="shared" si="1035"/>
        <v>0</v>
      </c>
      <c r="BA542" s="25">
        <f t="shared" si="1036"/>
        <v>1.8739395204583018</v>
      </c>
      <c r="BB542" s="32">
        <f t="shared" si="1055"/>
        <v>1.8739395204583018</v>
      </c>
      <c r="BC542" s="33" t="e">
        <f t="shared" si="1056"/>
        <v>#DIV/0!</v>
      </c>
      <c r="BE542" s="31">
        <f t="shared" si="1057"/>
        <v>0</v>
      </c>
      <c r="BF542" s="25">
        <f t="shared" si="1058"/>
        <v>2.7196299049923067</v>
      </c>
      <c r="BG542" s="32">
        <f t="shared" si="1059"/>
        <v>2.7196299049923067</v>
      </c>
      <c r="BH542" s="33" t="e">
        <f t="shared" si="1060"/>
        <v>#DIV/0!</v>
      </c>
      <c r="BJ542" s="31">
        <f t="shared" si="1037"/>
        <v>0</v>
      </c>
      <c r="BK542" s="25">
        <f t="shared" si="1038"/>
        <v>1.5937564551798791</v>
      </c>
      <c r="BL542" s="32">
        <f t="shared" si="1039"/>
        <v>1.5937564551798791</v>
      </c>
      <c r="BM542" s="33" t="e">
        <f t="shared" si="1040"/>
        <v>#DIV/0!</v>
      </c>
      <c r="BO542" s="62"/>
      <c r="BP542" s="62"/>
      <c r="BQ542" s="62"/>
      <c r="BR542" s="63"/>
    </row>
    <row r="543" spans="1:70">
      <c r="B543" s="1284"/>
      <c r="D543" s="5" t="s">
        <v>170</v>
      </c>
      <c r="E543" s="87">
        <v>0</v>
      </c>
      <c r="F543" s="87">
        <v>0</v>
      </c>
      <c r="G543" s="87">
        <v>0</v>
      </c>
      <c r="H543" s="87">
        <v>0</v>
      </c>
      <c r="I543" s="87">
        <v>0</v>
      </c>
      <c r="J543" s="87">
        <v>0</v>
      </c>
      <c r="K543" s="87">
        <v>0</v>
      </c>
      <c r="L543" s="87">
        <v>0</v>
      </c>
      <c r="N543" s="29">
        <v>0</v>
      </c>
      <c r="O543" s="29">
        <v>0</v>
      </c>
      <c r="P543" s="29">
        <v>0</v>
      </c>
      <c r="Q543" s="29">
        <v>0</v>
      </c>
      <c r="R543" s="29">
        <v>0</v>
      </c>
      <c r="S543" s="29">
        <v>0</v>
      </c>
      <c r="T543" s="29">
        <v>0</v>
      </c>
      <c r="U543" s="29">
        <v>0</v>
      </c>
      <c r="W543" s="30">
        <v>1.3579010696333165</v>
      </c>
      <c r="X543" s="30">
        <v>0.46828732914569982</v>
      </c>
      <c r="Y543" s="30">
        <v>2.362185208881955</v>
      </c>
      <c r="Z543" s="30">
        <v>3.2088724366732948</v>
      </c>
      <c r="AA543" s="30">
        <v>2.4908611483807608</v>
      </c>
      <c r="AB543" s="85">
        <v>1.1396572944335275</v>
      </c>
      <c r="AC543" s="85">
        <v>1.1638322706991675</v>
      </c>
      <c r="AD543" s="90">
        <v>0</v>
      </c>
      <c r="AF543" s="29">
        <f t="shared" si="1041"/>
        <v>0</v>
      </c>
      <c r="AG543" s="30">
        <f t="shared" si="1042"/>
        <v>1.3579010696333165</v>
      </c>
      <c r="AH543" s="32">
        <f t="shared" si="1043"/>
        <v>1.3579010696333165</v>
      </c>
      <c r="AI543" s="33" t="e">
        <f t="shared" si="1044"/>
        <v>#DIV/0!</v>
      </c>
      <c r="AK543" s="29">
        <f t="shared" si="1033"/>
        <v>0</v>
      </c>
      <c r="AL543" s="30">
        <f t="shared" si="1034"/>
        <v>0.46828732914569982</v>
      </c>
      <c r="AM543" s="32">
        <f t="shared" si="1045"/>
        <v>0.46828732914569982</v>
      </c>
      <c r="AN543" s="33" t="e">
        <f t="shared" si="1046"/>
        <v>#DIV/0!</v>
      </c>
      <c r="AP543" s="29">
        <f t="shared" si="1047"/>
        <v>0</v>
      </c>
      <c r="AQ543" s="30">
        <f t="shared" si="1048"/>
        <v>2.362185208881955</v>
      </c>
      <c r="AR543" s="32">
        <f t="shared" si="1049"/>
        <v>2.362185208881955</v>
      </c>
      <c r="AS543" s="33" t="e">
        <f t="shared" si="1050"/>
        <v>#DIV/0!</v>
      </c>
      <c r="AU543" s="31">
        <f t="shared" si="1051"/>
        <v>0</v>
      </c>
      <c r="AV543" s="25">
        <f t="shared" si="1052"/>
        <v>3.2088724366732948</v>
      </c>
      <c r="AW543" s="32">
        <f t="shared" si="1053"/>
        <v>3.2088724366732948</v>
      </c>
      <c r="AX543" s="33" t="e">
        <f t="shared" si="1054"/>
        <v>#DIV/0!</v>
      </c>
      <c r="AZ543" s="31">
        <f t="shared" si="1035"/>
        <v>0</v>
      </c>
      <c r="BA543" s="25">
        <f t="shared" si="1036"/>
        <v>2.4908611483807608</v>
      </c>
      <c r="BB543" s="32">
        <f t="shared" si="1055"/>
        <v>2.4908611483807608</v>
      </c>
      <c r="BC543" s="33" t="e">
        <f t="shared" si="1056"/>
        <v>#DIV/0!</v>
      </c>
      <c r="BE543" s="31">
        <f t="shared" si="1057"/>
        <v>0</v>
      </c>
      <c r="BF543" s="25">
        <f t="shared" si="1058"/>
        <v>1.1396572944335275</v>
      </c>
      <c r="BG543" s="32">
        <f t="shared" si="1059"/>
        <v>1.1396572944335275</v>
      </c>
      <c r="BH543" s="33" t="e">
        <f t="shared" si="1060"/>
        <v>#DIV/0!</v>
      </c>
      <c r="BJ543" s="31">
        <f t="shared" si="1037"/>
        <v>0</v>
      </c>
      <c r="BK543" s="25">
        <f t="shared" si="1038"/>
        <v>1.1638322706991675</v>
      </c>
      <c r="BL543" s="32">
        <f t="shared" si="1039"/>
        <v>1.1638322706991675</v>
      </c>
      <c r="BM543" s="33" t="e">
        <f t="shared" si="1040"/>
        <v>#DIV/0!</v>
      </c>
      <c r="BO543" s="62"/>
      <c r="BP543" s="62"/>
      <c r="BQ543" s="62"/>
      <c r="BR543" s="63"/>
    </row>
    <row r="544" spans="1:70">
      <c r="B544" s="1284"/>
      <c r="D544" s="5" t="s">
        <v>171</v>
      </c>
      <c r="E544" s="87">
        <v>0</v>
      </c>
      <c r="F544" s="87">
        <v>0</v>
      </c>
      <c r="G544" s="87">
        <v>0</v>
      </c>
      <c r="H544" s="87">
        <v>0</v>
      </c>
      <c r="I544" s="87">
        <v>0</v>
      </c>
      <c r="J544" s="87">
        <v>0</v>
      </c>
      <c r="K544" s="87">
        <v>0</v>
      </c>
      <c r="L544" s="87">
        <v>0</v>
      </c>
      <c r="N544" s="29">
        <v>0</v>
      </c>
      <c r="O544" s="29">
        <v>0</v>
      </c>
      <c r="P544" s="29">
        <v>0</v>
      </c>
      <c r="Q544" s="29">
        <v>0</v>
      </c>
      <c r="R544" s="29">
        <v>0</v>
      </c>
      <c r="S544" s="29">
        <v>0</v>
      </c>
      <c r="T544" s="29">
        <v>0</v>
      </c>
      <c r="U544" s="29">
        <v>0</v>
      </c>
      <c r="W544" s="30">
        <v>2.081049052438706</v>
      </c>
      <c r="X544" s="30">
        <v>4.6975506118121908</v>
      </c>
      <c r="Y544" s="30">
        <v>0.65714302415291737</v>
      </c>
      <c r="Z544" s="30">
        <v>0.29683280250409033</v>
      </c>
      <c r="AA544" s="30">
        <v>1.171460088421705</v>
      </c>
      <c r="AB544" s="85">
        <v>2.9211528851170141</v>
      </c>
      <c r="AC544" s="85">
        <v>2.3355431987011479</v>
      </c>
      <c r="AD544" s="90">
        <v>0</v>
      </c>
      <c r="AF544" s="29">
        <f t="shared" si="1041"/>
        <v>0</v>
      </c>
      <c r="AG544" s="30">
        <f t="shared" si="1042"/>
        <v>2.081049052438706</v>
      </c>
      <c r="AH544" s="32">
        <f t="shared" si="1043"/>
        <v>2.081049052438706</v>
      </c>
      <c r="AI544" s="33" t="e">
        <f t="shared" si="1044"/>
        <v>#DIV/0!</v>
      </c>
      <c r="AK544" s="29">
        <f t="shared" si="1033"/>
        <v>0</v>
      </c>
      <c r="AL544" s="30">
        <f t="shared" si="1034"/>
        <v>4.6975506118121908</v>
      </c>
      <c r="AM544" s="32">
        <f t="shared" si="1045"/>
        <v>4.6975506118121908</v>
      </c>
      <c r="AN544" s="33" t="e">
        <f t="shared" si="1046"/>
        <v>#DIV/0!</v>
      </c>
      <c r="AP544" s="29">
        <f t="shared" si="1047"/>
        <v>0</v>
      </c>
      <c r="AQ544" s="30">
        <f t="shared" si="1048"/>
        <v>0.65714302415291737</v>
      </c>
      <c r="AR544" s="32">
        <f t="shared" si="1049"/>
        <v>0.65714302415291737</v>
      </c>
      <c r="AS544" s="33" t="e">
        <f t="shared" si="1050"/>
        <v>#DIV/0!</v>
      </c>
      <c r="AU544" s="31">
        <f t="shared" si="1051"/>
        <v>0</v>
      </c>
      <c r="AV544" s="25">
        <f t="shared" si="1052"/>
        <v>0.29683280250409033</v>
      </c>
      <c r="AW544" s="32">
        <f t="shared" si="1053"/>
        <v>0.29683280250409033</v>
      </c>
      <c r="AX544" s="33" t="e">
        <f t="shared" si="1054"/>
        <v>#DIV/0!</v>
      </c>
      <c r="AZ544" s="31">
        <f t="shared" si="1035"/>
        <v>0</v>
      </c>
      <c r="BA544" s="25">
        <f t="shared" si="1036"/>
        <v>1.171460088421705</v>
      </c>
      <c r="BB544" s="32">
        <f t="shared" si="1055"/>
        <v>1.171460088421705</v>
      </c>
      <c r="BC544" s="33" t="e">
        <f t="shared" si="1056"/>
        <v>#DIV/0!</v>
      </c>
      <c r="BE544" s="31">
        <f t="shared" si="1057"/>
        <v>0</v>
      </c>
      <c r="BF544" s="25">
        <f t="shared" si="1058"/>
        <v>2.9211528851170141</v>
      </c>
      <c r="BG544" s="32">
        <f t="shared" si="1059"/>
        <v>2.9211528851170141</v>
      </c>
      <c r="BH544" s="33" t="e">
        <f t="shared" si="1060"/>
        <v>#DIV/0!</v>
      </c>
      <c r="BJ544" s="31">
        <f t="shared" si="1037"/>
        <v>0</v>
      </c>
      <c r="BK544" s="25">
        <f t="shared" si="1038"/>
        <v>2.3355431987011479</v>
      </c>
      <c r="BL544" s="32">
        <f t="shared" si="1039"/>
        <v>2.3355431987011479</v>
      </c>
      <c r="BM544" s="33" t="e">
        <f t="shared" si="1040"/>
        <v>#DIV/0!</v>
      </c>
      <c r="BO544" s="62"/>
      <c r="BP544" s="62"/>
      <c r="BQ544" s="62"/>
      <c r="BR544" s="63"/>
    </row>
    <row r="545" spans="1:70">
      <c r="B545" s="1284"/>
      <c r="D545" s="5" t="s">
        <v>172</v>
      </c>
      <c r="E545" s="87">
        <v>0</v>
      </c>
      <c r="F545" s="87">
        <v>0</v>
      </c>
      <c r="G545" s="87">
        <v>0</v>
      </c>
      <c r="H545" s="87">
        <v>0</v>
      </c>
      <c r="I545" s="87">
        <v>0</v>
      </c>
      <c r="J545" s="87">
        <v>0</v>
      </c>
      <c r="K545" s="87">
        <v>0</v>
      </c>
      <c r="L545" s="87">
        <v>0</v>
      </c>
      <c r="N545" s="29">
        <v>0</v>
      </c>
      <c r="O545" s="29">
        <v>0</v>
      </c>
      <c r="P545" s="29">
        <v>0</v>
      </c>
      <c r="Q545" s="29">
        <v>0</v>
      </c>
      <c r="R545" s="29">
        <v>0</v>
      </c>
      <c r="S545" s="29">
        <v>0</v>
      </c>
      <c r="T545" s="29">
        <v>0</v>
      </c>
      <c r="U545" s="29">
        <v>0</v>
      </c>
      <c r="W545" s="30">
        <v>2.4466227654710955</v>
      </c>
      <c r="X545" s="30">
        <v>3.4878792043951194</v>
      </c>
      <c r="Y545" s="30">
        <v>0.76231505932096377</v>
      </c>
      <c r="Z545" s="30">
        <v>0.12813089728146645</v>
      </c>
      <c r="AA545" s="30">
        <v>0.23348758940238853</v>
      </c>
      <c r="AB545" s="85">
        <v>1.1724160826920362</v>
      </c>
      <c r="AC545" s="85">
        <v>0.79219787789388862</v>
      </c>
      <c r="AD545" s="90">
        <v>0</v>
      </c>
      <c r="AF545" s="29">
        <f t="shared" si="1041"/>
        <v>0</v>
      </c>
      <c r="AG545" s="30">
        <f t="shared" si="1042"/>
        <v>2.4466227654710955</v>
      </c>
      <c r="AH545" s="32">
        <f t="shared" si="1043"/>
        <v>2.4466227654710955</v>
      </c>
      <c r="AI545" s="33" t="e">
        <f t="shared" si="1044"/>
        <v>#DIV/0!</v>
      </c>
      <c r="AK545" s="29">
        <f t="shared" si="1033"/>
        <v>0</v>
      </c>
      <c r="AL545" s="30">
        <f t="shared" si="1034"/>
        <v>3.4878792043951194</v>
      </c>
      <c r="AM545" s="32">
        <f t="shared" si="1045"/>
        <v>3.4878792043951194</v>
      </c>
      <c r="AN545" s="33" t="e">
        <f t="shared" si="1046"/>
        <v>#DIV/0!</v>
      </c>
      <c r="AP545" s="29">
        <f t="shared" si="1047"/>
        <v>0</v>
      </c>
      <c r="AQ545" s="30">
        <f t="shared" si="1048"/>
        <v>0.76231505932096377</v>
      </c>
      <c r="AR545" s="32">
        <f t="shared" si="1049"/>
        <v>0.76231505932096377</v>
      </c>
      <c r="AS545" s="33" t="e">
        <f t="shared" si="1050"/>
        <v>#DIV/0!</v>
      </c>
      <c r="AU545" s="31">
        <f t="shared" si="1051"/>
        <v>0</v>
      </c>
      <c r="AV545" s="25">
        <f t="shared" si="1052"/>
        <v>0.12813089728146645</v>
      </c>
      <c r="AW545" s="32">
        <f t="shared" si="1053"/>
        <v>0.12813089728146645</v>
      </c>
      <c r="AX545" s="33" t="e">
        <f t="shared" si="1054"/>
        <v>#DIV/0!</v>
      </c>
      <c r="AZ545" s="31">
        <f t="shared" si="1035"/>
        <v>0</v>
      </c>
      <c r="BA545" s="25">
        <f t="shared" si="1036"/>
        <v>0.23348758940238853</v>
      </c>
      <c r="BB545" s="32">
        <f t="shared" si="1055"/>
        <v>0.23348758940238853</v>
      </c>
      <c r="BC545" s="33" t="e">
        <f t="shared" si="1056"/>
        <v>#DIV/0!</v>
      </c>
      <c r="BE545" s="31">
        <f t="shared" si="1057"/>
        <v>0</v>
      </c>
      <c r="BF545" s="25">
        <f t="shared" si="1058"/>
        <v>1.1724160826920362</v>
      </c>
      <c r="BG545" s="32">
        <f t="shared" si="1059"/>
        <v>1.1724160826920362</v>
      </c>
      <c r="BH545" s="33" t="e">
        <f t="shared" si="1060"/>
        <v>#DIV/0!</v>
      </c>
      <c r="BJ545" s="31">
        <f t="shared" si="1037"/>
        <v>0</v>
      </c>
      <c r="BK545" s="25">
        <f t="shared" si="1038"/>
        <v>0.79219787789388862</v>
      </c>
      <c r="BL545" s="32">
        <f t="shared" si="1039"/>
        <v>0.79219787789388862</v>
      </c>
      <c r="BM545" s="33" t="e">
        <f t="shared" si="1040"/>
        <v>#DIV/0!</v>
      </c>
      <c r="BO545" s="62"/>
      <c r="BP545" s="62"/>
      <c r="BQ545" s="62"/>
      <c r="BR545" s="63"/>
    </row>
    <row r="546" spans="1:70">
      <c r="B546" s="1284"/>
      <c r="D546" s="5" t="s">
        <v>28</v>
      </c>
      <c r="E546" s="87">
        <v>3.5392631991383645</v>
      </c>
      <c r="F546" s="87">
        <v>1.823327916019198</v>
      </c>
      <c r="G546" s="87">
        <v>1.859121618585782</v>
      </c>
      <c r="H546" s="87">
        <v>1.8953071396945336</v>
      </c>
      <c r="I546" s="87">
        <v>1.9522799632375822</v>
      </c>
      <c r="J546" s="87">
        <v>1.7867300153160426</v>
      </c>
      <c r="K546" s="87">
        <v>1.8441487174146221</v>
      </c>
      <c r="L546" s="87">
        <v>1.7786549377235208</v>
      </c>
      <c r="N546" s="29">
        <v>3.2035708773516789</v>
      </c>
      <c r="O546" s="29">
        <v>2.7283727495070513</v>
      </c>
      <c r="P546" s="29">
        <v>2.6040215515655105</v>
      </c>
      <c r="Q546" s="29">
        <v>2.6007495802904348</v>
      </c>
      <c r="R546" s="29">
        <v>2.6201309467406495</v>
      </c>
      <c r="S546" s="29">
        <v>2.557076982309666</v>
      </c>
      <c r="T546" s="29">
        <v>2.5749957063264959</v>
      </c>
      <c r="U546" s="29">
        <v>2.4967184559761577</v>
      </c>
      <c r="W546" s="30">
        <v>6.4898295051130734</v>
      </c>
      <c r="X546" s="30">
        <v>2.511191026863075</v>
      </c>
      <c r="Y546" s="30">
        <v>4.0293542323798501</v>
      </c>
      <c r="Z546" s="30">
        <v>9.7703382674353012</v>
      </c>
      <c r="AA546" s="30">
        <v>7.4846463613333256</v>
      </c>
      <c r="AB546" s="85">
        <v>10.26916145652558</v>
      </c>
      <c r="AC546" s="85">
        <v>5.5518092099999992</v>
      </c>
      <c r="AD546" s="90">
        <v>0</v>
      </c>
      <c r="AF546" s="29">
        <f t="shared" si="1041"/>
        <v>3.2035708773516789</v>
      </c>
      <c r="AG546" s="30">
        <f t="shared" si="1042"/>
        <v>6.4898295051130734</v>
      </c>
      <c r="AH546" s="32">
        <f t="shared" si="1043"/>
        <v>3.2862586277613945</v>
      </c>
      <c r="AI546" s="33">
        <f t="shared" si="1044"/>
        <v>1.0258111193962631</v>
      </c>
      <c r="AK546" s="29">
        <f t="shared" si="1033"/>
        <v>2.7283727495070513</v>
      </c>
      <c r="AL546" s="30">
        <f t="shared" si="1034"/>
        <v>2.511191026863075</v>
      </c>
      <c r="AM546" s="32">
        <f t="shared" si="1045"/>
        <v>-0.21718172264397628</v>
      </c>
      <c r="AN546" s="33">
        <f t="shared" si="1046"/>
        <v>-7.9601191839793736E-2</v>
      </c>
      <c r="AP546" s="29">
        <f t="shared" si="1047"/>
        <v>2.6040215515655105</v>
      </c>
      <c r="AQ546" s="30">
        <f t="shared" si="1048"/>
        <v>4.0293542323798501</v>
      </c>
      <c r="AR546" s="32">
        <f t="shared" si="1049"/>
        <v>1.4253326808143396</v>
      </c>
      <c r="AS546" s="33">
        <f t="shared" si="1050"/>
        <v>0.54735825053269793</v>
      </c>
      <c r="AU546" s="31">
        <f t="shared" si="1051"/>
        <v>2.6007495802904348</v>
      </c>
      <c r="AV546" s="25">
        <f t="shared" si="1052"/>
        <v>9.7703382674353012</v>
      </c>
      <c r="AW546" s="32">
        <f t="shared" si="1053"/>
        <v>7.1695886871448664</v>
      </c>
      <c r="AX546" s="33">
        <f t="shared" si="1054"/>
        <v>2.7567393421800395</v>
      </c>
      <c r="AZ546" s="31">
        <f t="shared" si="1035"/>
        <v>2.6201309467406495</v>
      </c>
      <c r="BA546" s="25">
        <f t="shared" si="1036"/>
        <v>7.4846463613333256</v>
      </c>
      <c r="BB546" s="32">
        <f t="shared" si="1055"/>
        <v>4.8645154145926757</v>
      </c>
      <c r="BC546" s="33">
        <f t="shared" si="1056"/>
        <v>1.8565924808620582</v>
      </c>
      <c r="BE546" s="31">
        <f t="shared" si="1057"/>
        <v>2.557076982309666</v>
      </c>
      <c r="BF546" s="25">
        <f t="shared" si="1058"/>
        <v>10.26916145652558</v>
      </c>
      <c r="BG546" s="32">
        <f t="shared" si="1059"/>
        <v>7.7120844742159145</v>
      </c>
      <c r="BH546" s="33">
        <f t="shared" si="1060"/>
        <v>3.0159766512973794</v>
      </c>
      <c r="BJ546" s="31">
        <f t="shared" si="1037"/>
        <v>2.5749957063264959</v>
      </c>
      <c r="BK546" s="25">
        <f t="shared" si="1038"/>
        <v>5.5518092099999992</v>
      </c>
      <c r="BL546" s="32">
        <f t="shared" si="1039"/>
        <v>2.9768135036735033</v>
      </c>
      <c r="BM546" s="33">
        <f t="shared" si="1040"/>
        <v>1.1560460067408203</v>
      </c>
      <c r="BO546" s="62"/>
      <c r="BP546" s="62"/>
      <c r="BQ546" s="62"/>
      <c r="BR546" s="63"/>
    </row>
    <row r="547" spans="1:70">
      <c r="B547" s="1284"/>
      <c r="D547" s="5" t="s">
        <v>173</v>
      </c>
      <c r="E547" s="87">
        <v>0</v>
      </c>
      <c r="F547" s="87">
        <v>0</v>
      </c>
      <c r="G547" s="87">
        <v>0</v>
      </c>
      <c r="H547" s="87">
        <v>0</v>
      </c>
      <c r="I547" s="87">
        <v>0</v>
      </c>
      <c r="J547" s="87">
        <v>0</v>
      </c>
      <c r="K547" s="87">
        <v>0</v>
      </c>
      <c r="L547" s="87">
        <v>0</v>
      </c>
      <c r="N547" s="29">
        <v>0</v>
      </c>
      <c r="O547" s="29">
        <v>0</v>
      </c>
      <c r="P547" s="29">
        <v>0</v>
      </c>
      <c r="Q547" s="29">
        <v>0</v>
      </c>
      <c r="R547" s="29">
        <v>0</v>
      </c>
      <c r="S547" s="29">
        <v>0</v>
      </c>
      <c r="T547" s="29">
        <v>0</v>
      </c>
      <c r="U547" s="29">
        <v>0</v>
      </c>
      <c r="W547" s="30">
        <v>3.8452029926801914</v>
      </c>
      <c r="X547" s="30">
        <v>7.5711058450357749</v>
      </c>
      <c r="Y547" s="30">
        <v>6.1882278319856834</v>
      </c>
      <c r="Z547" s="30">
        <v>3.3709045168746385</v>
      </c>
      <c r="AA547" s="30">
        <v>6.0214688772286875</v>
      </c>
      <c r="AB547" s="85">
        <v>0.51055791149014007</v>
      </c>
      <c r="AC547" s="85">
        <v>0.25251544999999997</v>
      </c>
      <c r="AD547" s="90">
        <v>0</v>
      </c>
      <c r="AF547" s="29">
        <f t="shared" si="1041"/>
        <v>0</v>
      </c>
      <c r="AG547" s="30">
        <f t="shared" si="1042"/>
        <v>3.8452029926801914</v>
      </c>
      <c r="AH547" s="32">
        <f t="shared" si="1043"/>
        <v>3.8452029926801914</v>
      </c>
      <c r="AI547" s="33" t="e">
        <f t="shared" si="1044"/>
        <v>#DIV/0!</v>
      </c>
      <c r="AK547" s="29">
        <f t="shared" si="1033"/>
        <v>0</v>
      </c>
      <c r="AL547" s="30">
        <f t="shared" si="1034"/>
        <v>7.5711058450357749</v>
      </c>
      <c r="AM547" s="32">
        <f t="shared" si="1045"/>
        <v>7.5711058450357749</v>
      </c>
      <c r="AN547" s="33" t="e">
        <f t="shared" si="1046"/>
        <v>#DIV/0!</v>
      </c>
      <c r="AP547" s="29">
        <f t="shared" si="1047"/>
        <v>0</v>
      </c>
      <c r="AQ547" s="30">
        <f t="shared" si="1048"/>
        <v>6.1882278319856834</v>
      </c>
      <c r="AR547" s="32">
        <f t="shared" si="1049"/>
        <v>6.1882278319856834</v>
      </c>
      <c r="AS547" s="33" t="e">
        <f t="shared" si="1050"/>
        <v>#DIV/0!</v>
      </c>
      <c r="AU547" s="31">
        <f t="shared" si="1051"/>
        <v>0</v>
      </c>
      <c r="AV547" s="25">
        <f t="shared" si="1052"/>
        <v>3.3709045168746385</v>
      </c>
      <c r="AW547" s="32">
        <f t="shared" si="1053"/>
        <v>3.3709045168746385</v>
      </c>
      <c r="AX547" s="33" t="e">
        <f t="shared" si="1054"/>
        <v>#DIV/0!</v>
      </c>
      <c r="AZ547" s="31">
        <f t="shared" si="1035"/>
        <v>0</v>
      </c>
      <c r="BA547" s="25">
        <f t="shared" si="1036"/>
        <v>6.0214688772286875</v>
      </c>
      <c r="BB547" s="32">
        <f t="shared" si="1055"/>
        <v>6.0214688772286875</v>
      </c>
      <c r="BC547" s="33" t="e">
        <f t="shared" si="1056"/>
        <v>#DIV/0!</v>
      </c>
      <c r="BE547" s="31">
        <f t="shared" si="1057"/>
        <v>0</v>
      </c>
      <c r="BF547" s="25">
        <f t="shared" si="1058"/>
        <v>0.51055791149014007</v>
      </c>
      <c r="BG547" s="32">
        <f t="shared" si="1059"/>
        <v>0.51055791149014007</v>
      </c>
      <c r="BH547" s="33" t="e">
        <f t="shared" si="1060"/>
        <v>#DIV/0!</v>
      </c>
      <c r="BJ547" s="31">
        <f t="shared" si="1037"/>
        <v>0</v>
      </c>
      <c r="BK547" s="25">
        <f t="shared" si="1038"/>
        <v>0.25251544999999997</v>
      </c>
      <c r="BL547" s="32">
        <f t="shared" si="1039"/>
        <v>0.25251544999999997</v>
      </c>
      <c r="BM547" s="33" t="e">
        <f t="shared" si="1040"/>
        <v>#DIV/0!</v>
      </c>
      <c r="BO547" s="62"/>
      <c r="BP547" s="62"/>
      <c r="BQ547" s="62"/>
      <c r="BR547" s="63"/>
    </row>
    <row r="548" spans="1:70">
      <c r="A548" s="1"/>
      <c r="B548" s="1284"/>
      <c r="D548" s="4" t="s">
        <v>174</v>
      </c>
      <c r="E548" s="88">
        <f t="shared" ref="E548:L548" si="1061">SUM(E534:E547)</f>
        <v>10.275765502487985</v>
      </c>
      <c r="F548" s="88">
        <f t="shared" si="1061"/>
        <v>8.5647290278134296</v>
      </c>
      <c r="G548" s="88">
        <f t="shared" si="1061"/>
        <v>8.5924958673725325</v>
      </c>
      <c r="H548" s="88">
        <f t="shared" si="1061"/>
        <v>8.6420700860547299</v>
      </c>
      <c r="I548" s="88">
        <f t="shared" si="1061"/>
        <v>8.7173009134053885</v>
      </c>
      <c r="J548" s="88">
        <f t="shared" si="1061"/>
        <v>8.5724186603634926</v>
      </c>
      <c r="K548" s="88">
        <f t="shared" si="1061"/>
        <v>1.8441487174146221</v>
      </c>
      <c r="L548" s="88">
        <f t="shared" si="1061"/>
        <v>1.7786549377235208</v>
      </c>
      <c r="M548" s="1"/>
      <c r="N548" s="81">
        <f t="shared" ref="N548:U548" si="1062">SUM(N534:N547)</f>
        <v>9.9400731807012992</v>
      </c>
      <c r="O548" s="81">
        <f t="shared" si="1062"/>
        <v>9.4697738613012827</v>
      </c>
      <c r="P548" s="81">
        <f t="shared" si="1062"/>
        <v>9.3373958003522599</v>
      </c>
      <c r="Q548" s="81">
        <f t="shared" si="1062"/>
        <v>9.3475125266506325</v>
      </c>
      <c r="R548" s="81">
        <f t="shared" si="1062"/>
        <v>9.3851518969084555</v>
      </c>
      <c r="S548" s="81">
        <f t="shared" si="1062"/>
        <v>9.3427656273571156</v>
      </c>
      <c r="T548" s="81">
        <f t="shared" si="1062"/>
        <v>2.5749957063264959</v>
      </c>
      <c r="U548" s="81">
        <f t="shared" si="1062"/>
        <v>2.4967184559761577</v>
      </c>
      <c r="V548" s="1"/>
      <c r="W548" s="85">
        <f t="shared" ref="W548:AD548" si="1063">SUM(W534:W547)</f>
        <v>44.01418583723391</v>
      </c>
      <c r="X548" s="85">
        <f t="shared" si="1063"/>
        <v>38.014678823669321</v>
      </c>
      <c r="Y548" s="85">
        <f t="shared" si="1063"/>
        <v>35.622397885739858</v>
      </c>
      <c r="Z548" s="85">
        <f>SUM(Z534:Z547)</f>
        <v>44.369628382727889</v>
      </c>
      <c r="AA548" s="85">
        <f>SUM(AA534:AA547)</f>
        <v>43.804918993059843</v>
      </c>
      <c r="AB548" s="85">
        <f t="shared" si="1063"/>
        <v>31.436231714849363</v>
      </c>
      <c r="AC548" s="85">
        <f t="shared" ref="AC548" si="1064">SUM(AC534:AC547)</f>
        <v>30.51882473775315</v>
      </c>
      <c r="AD548" s="91">
        <f t="shared" si="1063"/>
        <v>0</v>
      </c>
      <c r="AE548" s="1"/>
      <c r="AF548" s="81">
        <f t="shared" si="1041"/>
        <v>9.9400731807012992</v>
      </c>
      <c r="AG548" s="85">
        <f t="shared" si="1042"/>
        <v>44.01418583723391</v>
      </c>
      <c r="AH548" s="34">
        <f t="shared" si="1043"/>
        <v>34.074112656532613</v>
      </c>
      <c r="AI548" s="35">
        <f t="shared" si="1044"/>
        <v>3.427953903064584</v>
      </c>
      <c r="AK548" s="81">
        <f t="shared" si="1033"/>
        <v>9.4697738613012827</v>
      </c>
      <c r="AL548" s="85">
        <f t="shared" si="1034"/>
        <v>38.014678823669321</v>
      </c>
      <c r="AM548" s="34">
        <f t="shared" si="1045"/>
        <v>28.544904962368037</v>
      </c>
      <c r="AN548" s="35">
        <f t="shared" si="1046"/>
        <v>3.0143174885113422</v>
      </c>
      <c r="AP548" s="81">
        <f t="shared" si="1047"/>
        <v>9.3373958003522599</v>
      </c>
      <c r="AQ548" s="85">
        <f t="shared" si="1048"/>
        <v>35.622397885739858</v>
      </c>
      <c r="AR548" s="34">
        <f t="shared" si="1049"/>
        <v>26.285002085387596</v>
      </c>
      <c r="AS548" s="35">
        <f t="shared" si="1050"/>
        <v>2.8150249435068369</v>
      </c>
      <c r="AU548" s="949">
        <f t="shared" si="1051"/>
        <v>9.3475125266506325</v>
      </c>
      <c r="AV548" s="843">
        <f t="shared" si="1052"/>
        <v>44.369628382727889</v>
      </c>
      <c r="AW548" s="34">
        <f t="shared" si="1053"/>
        <v>35.022115856077257</v>
      </c>
      <c r="AX548" s="35">
        <f t="shared" si="1054"/>
        <v>3.7466776060717684</v>
      </c>
      <c r="AZ548" s="949">
        <f t="shared" si="1035"/>
        <v>9.3851518969084555</v>
      </c>
      <c r="BA548" s="843">
        <f t="shared" si="1036"/>
        <v>43.804918993059843</v>
      </c>
      <c r="BB548" s="34">
        <f t="shared" si="1055"/>
        <v>34.419767096151389</v>
      </c>
      <c r="BC548" s="35">
        <f t="shared" si="1056"/>
        <v>3.6674704335355015</v>
      </c>
      <c r="BE548" s="31">
        <f t="shared" si="1057"/>
        <v>9.3427656273571156</v>
      </c>
      <c r="BF548" s="25">
        <f t="shared" si="1058"/>
        <v>31.436231714849363</v>
      </c>
      <c r="BG548" s="32">
        <f t="shared" si="1059"/>
        <v>22.093466087492246</v>
      </c>
      <c r="BH548" s="33">
        <f t="shared" si="1060"/>
        <v>2.3647672400984816</v>
      </c>
      <c r="BJ548" s="31">
        <f t="shared" si="1037"/>
        <v>2.5749957063264959</v>
      </c>
      <c r="BK548" s="25">
        <f t="shared" si="1038"/>
        <v>30.51882473775315</v>
      </c>
      <c r="BL548" s="32">
        <f t="shared" si="1039"/>
        <v>27.943829031426652</v>
      </c>
      <c r="BM548" s="33">
        <f t="shared" si="1040"/>
        <v>10.851990534497428</v>
      </c>
      <c r="BO548" s="62"/>
      <c r="BP548" s="62"/>
      <c r="BQ548" s="62"/>
      <c r="BR548" s="63"/>
    </row>
    <row r="549" spans="1:70">
      <c r="A549" s="1"/>
      <c r="B549" s="1284"/>
      <c r="D549" s="4" t="s">
        <v>724</v>
      </c>
      <c r="E549" s="88">
        <f t="shared" ref="E549:L549" si="1065">E548-SUM(E537:E540)</f>
        <v>3.5392631991383645</v>
      </c>
      <c r="F549" s="88">
        <f t="shared" si="1065"/>
        <v>1.8233279160191982</v>
      </c>
      <c r="G549" s="88">
        <f t="shared" si="1065"/>
        <v>1.8591216185857826</v>
      </c>
      <c r="H549" s="88">
        <f t="shared" si="1065"/>
        <v>1.8953071396945331</v>
      </c>
      <c r="I549" s="88">
        <f t="shared" si="1065"/>
        <v>1.9522799632375829</v>
      </c>
      <c r="J549" s="88">
        <f t="shared" si="1065"/>
        <v>1.786730015316043</v>
      </c>
      <c r="K549" s="88">
        <f t="shared" si="1065"/>
        <v>1.8441487174146221</v>
      </c>
      <c r="L549" s="88">
        <f t="shared" si="1065"/>
        <v>1.7786549377235208</v>
      </c>
      <c r="M549" s="1"/>
      <c r="N549" s="81">
        <f t="shared" ref="N549:U549" si="1066">N548-SUM(N537:N540)</f>
        <v>3.2035708773516784</v>
      </c>
      <c r="O549" s="81">
        <f t="shared" si="1066"/>
        <v>2.7283727495070513</v>
      </c>
      <c r="P549" s="81">
        <f t="shared" si="1066"/>
        <v>2.6040215515655101</v>
      </c>
      <c r="Q549" s="81">
        <f t="shared" si="1066"/>
        <v>2.6007495802904357</v>
      </c>
      <c r="R549" s="81">
        <f t="shared" si="1066"/>
        <v>2.6201309467406499</v>
      </c>
      <c r="S549" s="81">
        <f t="shared" si="1066"/>
        <v>2.557076982309666</v>
      </c>
      <c r="T549" s="81">
        <f t="shared" si="1066"/>
        <v>2.5749957063264959</v>
      </c>
      <c r="U549" s="81">
        <f t="shared" si="1066"/>
        <v>2.4967184559761577</v>
      </c>
      <c r="V549" s="1"/>
      <c r="W549" s="85">
        <f t="shared" ref="W549:AD549" si="1067">W548-SUM(W537:W540)</f>
        <v>27.311660298848274</v>
      </c>
      <c r="X549" s="85">
        <f t="shared" si="1067"/>
        <v>26.164485097066255</v>
      </c>
      <c r="Y549" s="85">
        <f t="shared" si="1067"/>
        <v>26.669367126358537</v>
      </c>
      <c r="Z549" s="85">
        <f>Z548-SUM(Z537:Z540)</f>
        <v>39.043957586280207</v>
      </c>
      <c r="AA549" s="85">
        <f>AA548-SUM(AA537:AA540)</f>
        <v>39.623200081133831</v>
      </c>
      <c r="AB549" s="85">
        <f t="shared" si="1067"/>
        <v>27.143842820105899</v>
      </c>
      <c r="AC549" s="85">
        <f t="shared" ref="AC549" si="1068">AC548-SUM(AC537:AC540)</f>
        <v>26.44872473775315</v>
      </c>
      <c r="AD549" s="91">
        <f t="shared" si="1067"/>
        <v>0</v>
      </c>
      <c r="AE549" s="1"/>
      <c r="AF549" s="81">
        <f t="shared" si="1041"/>
        <v>3.2035708773516784</v>
      </c>
      <c r="AG549" s="85">
        <f t="shared" si="1042"/>
        <v>27.311660298848274</v>
      </c>
      <c r="AH549" s="34">
        <f t="shared" si="1043"/>
        <v>24.108089421496594</v>
      </c>
      <c r="AI549" s="35">
        <f t="shared" si="1044"/>
        <v>7.5253803784813469</v>
      </c>
      <c r="AK549" s="81">
        <f t="shared" si="1033"/>
        <v>2.7283727495070513</v>
      </c>
      <c r="AL549" s="85">
        <f t="shared" si="1034"/>
        <v>26.164485097066255</v>
      </c>
      <c r="AM549" s="34">
        <f t="shared" si="1045"/>
        <v>23.436112347559202</v>
      </c>
      <c r="AN549" s="35">
        <f t="shared" si="1046"/>
        <v>8.589776580855208</v>
      </c>
      <c r="AP549" s="81">
        <f t="shared" si="1047"/>
        <v>2.6040215515655101</v>
      </c>
      <c r="AQ549" s="85">
        <f>Y549</f>
        <v>26.669367126358537</v>
      </c>
      <c r="AR549" s="34">
        <f t="shared" si="1049"/>
        <v>24.065345574793028</v>
      </c>
      <c r="AS549" s="35">
        <f t="shared" si="1050"/>
        <v>9.2416076819046289</v>
      </c>
      <c r="AU549" s="949">
        <f t="shared" si="1051"/>
        <v>2.6007495802904357</v>
      </c>
      <c r="AV549" s="843">
        <f t="shared" si="1052"/>
        <v>39.043957586280207</v>
      </c>
      <c r="AW549" s="34">
        <f t="shared" si="1053"/>
        <v>36.443208005989774</v>
      </c>
      <c r="AX549" s="35">
        <f t="shared" si="1054"/>
        <v>14.012578635856213</v>
      </c>
      <c r="AZ549" s="949">
        <f t="shared" si="1035"/>
        <v>2.6201309467406499</v>
      </c>
      <c r="BA549" s="843">
        <f t="shared" si="1036"/>
        <v>39.623200081133831</v>
      </c>
      <c r="BB549" s="34">
        <f t="shared" si="1055"/>
        <v>37.003069134393179</v>
      </c>
      <c r="BC549" s="35">
        <f t="shared" si="1056"/>
        <v>14.122602986855938</v>
      </c>
      <c r="BE549" s="31">
        <f t="shared" si="1057"/>
        <v>2.557076982309666</v>
      </c>
      <c r="BF549" s="25">
        <f t="shared" si="1058"/>
        <v>27.143842820105899</v>
      </c>
      <c r="BG549" s="32">
        <f t="shared" si="1059"/>
        <v>24.586765837796232</v>
      </c>
      <c r="BH549" s="33">
        <f t="shared" si="1060"/>
        <v>9.6151840589438837</v>
      </c>
      <c r="BJ549" s="31">
        <f t="shared" si="1037"/>
        <v>2.5749957063264959</v>
      </c>
      <c r="BK549" s="25">
        <f t="shared" si="1038"/>
        <v>26.44872473775315</v>
      </c>
      <c r="BL549" s="32">
        <f t="shared" si="1039"/>
        <v>23.873729031426652</v>
      </c>
      <c r="BM549" s="33">
        <f t="shared" si="1040"/>
        <v>9.2713665396689358</v>
      </c>
      <c r="BO549" s="62"/>
      <c r="BP549" s="62"/>
      <c r="BQ549" s="62"/>
      <c r="BR549" s="63"/>
    </row>
    <row r="550" spans="1:70" ht="14.5" customHeight="1">
      <c r="B550" s="1284"/>
    </row>
    <row r="551" spans="1:70" ht="14.5" customHeight="1">
      <c r="B551" s="1284"/>
      <c r="D551" s="1" t="s">
        <v>82</v>
      </c>
    </row>
    <row r="552" spans="1:70" ht="14.5" customHeight="1">
      <c r="B552" s="1284"/>
      <c r="E552" s="1300" t="s">
        <v>733</v>
      </c>
      <c r="F552" s="1301"/>
      <c r="G552" s="1301"/>
      <c r="H552" s="1301"/>
      <c r="I552" s="1301"/>
      <c r="J552" s="1301"/>
      <c r="K552" s="1301"/>
      <c r="L552" s="1302"/>
      <c r="N552" s="245" t="s">
        <v>291</v>
      </c>
      <c r="O552" s="246"/>
      <c r="P552" s="246"/>
      <c r="Q552" s="246"/>
      <c r="R552" s="246"/>
      <c r="S552" s="246"/>
      <c r="T552" s="246"/>
      <c r="U552" s="247"/>
      <c r="W552" s="1079" t="s">
        <v>292</v>
      </c>
      <c r="X552" s="1080"/>
      <c r="Y552" s="1080"/>
      <c r="Z552" s="1080"/>
      <c r="AA552" s="1080"/>
      <c r="AB552" s="1080"/>
      <c r="AC552" s="1080"/>
      <c r="AD552" s="1081"/>
      <c r="AF552" s="102" t="s">
        <v>297</v>
      </c>
      <c r="AG552" s="102" t="s">
        <v>298</v>
      </c>
      <c r="AH552" s="1304" t="s">
        <v>602</v>
      </c>
      <c r="AI552" s="1304"/>
      <c r="AK552" s="102" t="s">
        <v>297</v>
      </c>
      <c r="AL552" s="102" t="s">
        <v>298</v>
      </c>
      <c r="AM552" s="1304" t="s">
        <v>602</v>
      </c>
      <c r="AN552" s="1304"/>
      <c r="AP552" s="6" t="s">
        <v>297</v>
      </c>
      <c r="AQ552" s="5" t="s">
        <v>298</v>
      </c>
      <c r="AR552" s="1303" t="s">
        <v>602</v>
      </c>
      <c r="AS552" s="1303"/>
      <c r="AU552" s="6" t="s">
        <v>297</v>
      </c>
      <c r="AV552" s="5" t="s">
        <v>298</v>
      </c>
      <c r="AW552" s="1303" t="s">
        <v>602</v>
      </c>
      <c r="AX552" s="1303"/>
      <c r="AZ552" s="6" t="s">
        <v>297</v>
      </c>
      <c r="BA552" s="5" t="s">
        <v>298</v>
      </c>
      <c r="BB552" s="1303" t="s">
        <v>602</v>
      </c>
      <c r="BC552" s="1303"/>
      <c r="BE552" s="6" t="s">
        <v>297</v>
      </c>
      <c r="BF552" s="5" t="s">
        <v>298</v>
      </c>
      <c r="BG552" s="1082" t="s">
        <v>602</v>
      </c>
      <c r="BH552" s="1082"/>
      <c r="BJ552" s="6" t="s">
        <v>297</v>
      </c>
      <c r="BK552" s="5" t="s">
        <v>298</v>
      </c>
      <c r="BL552" s="1082" t="s">
        <v>602</v>
      </c>
      <c r="BM552" s="1082"/>
      <c r="BO552" s="6" t="s">
        <v>297</v>
      </c>
      <c r="BP552" s="5" t="s">
        <v>298</v>
      </c>
      <c r="BQ552" s="1303" t="s">
        <v>602</v>
      </c>
      <c r="BR552" s="1303"/>
    </row>
    <row r="553" spans="1:70" ht="14.5" customHeight="1">
      <c r="A553" s="1"/>
      <c r="B553" s="1284"/>
      <c r="E553" s="196" t="s">
        <v>137</v>
      </c>
      <c r="F553" s="102" t="s">
        <v>138</v>
      </c>
      <c r="G553" s="102" t="s">
        <v>139</v>
      </c>
      <c r="H553" s="102" t="s">
        <v>140</v>
      </c>
      <c r="I553" s="102" t="s">
        <v>141</v>
      </c>
      <c r="J553" s="102" t="s">
        <v>126</v>
      </c>
      <c r="K553" s="102" t="s">
        <v>142</v>
      </c>
      <c r="L553" s="197" t="s">
        <v>143</v>
      </c>
      <c r="N553" s="196" t="s">
        <v>137</v>
      </c>
      <c r="O553" s="102" t="s">
        <v>138</v>
      </c>
      <c r="P553" s="102" t="s">
        <v>139</v>
      </c>
      <c r="Q553" s="102" t="s">
        <v>140</v>
      </c>
      <c r="R553" s="102" t="s">
        <v>141</v>
      </c>
      <c r="S553" s="102" t="s">
        <v>126</v>
      </c>
      <c r="T553" s="102" t="s">
        <v>142</v>
      </c>
      <c r="U553" s="197" t="s">
        <v>143</v>
      </c>
      <c r="W553" s="196" t="s">
        <v>137</v>
      </c>
      <c r="X553" s="1078" t="s">
        <v>138</v>
      </c>
      <c r="Y553" s="1078" t="s">
        <v>139</v>
      </c>
      <c r="Z553" s="1078" t="s">
        <v>140</v>
      </c>
      <c r="AA553" s="1078" t="s">
        <v>141</v>
      </c>
      <c r="AB553" s="1078" t="s">
        <v>126</v>
      </c>
      <c r="AC553" s="1078" t="s">
        <v>142</v>
      </c>
      <c r="AD553" s="197" t="s">
        <v>143</v>
      </c>
      <c r="AF553" s="102" t="s">
        <v>734</v>
      </c>
      <c r="AG553" s="102" t="s">
        <v>734</v>
      </c>
      <c r="AH553" s="102" t="s">
        <v>734</v>
      </c>
      <c r="AI553" s="102" t="s">
        <v>606</v>
      </c>
      <c r="AK553" s="102" t="s">
        <v>734</v>
      </c>
      <c r="AL553" s="102" t="s">
        <v>734</v>
      </c>
      <c r="AM553" s="102" t="s">
        <v>734</v>
      </c>
      <c r="AN553" s="102" t="s">
        <v>606</v>
      </c>
      <c r="AP553" s="5" t="s">
        <v>734</v>
      </c>
      <c r="AQ553" s="5" t="s">
        <v>734</v>
      </c>
      <c r="AR553" s="5" t="s">
        <v>734</v>
      </c>
      <c r="AS553" s="5" t="s">
        <v>606</v>
      </c>
      <c r="AU553" s="5" t="s">
        <v>734</v>
      </c>
      <c r="AV553" s="5" t="s">
        <v>734</v>
      </c>
      <c r="AW553" s="5" t="s">
        <v>734</v>
      </c>
      <c r="AX553" s="5" t="s">
        <v>606</v>
      </c>
      <c r="AZ553" s="5" t="s">
        <v>734</v>
      </c>
      <c r="BA553" s="5" t="s">
        <v>734</v>
      </c>
      <c r="BB553" s="5" t="s">
        <v>734</v>
      </c>
      <c r="BC553" s="5" t="s">
        <v>606</v>
      </c>
      <c r="BE553" s="5" t="s">
        <v>734</v>
      </c>
      <c r="BF553" s="5" t="s">
        <v>734</v>
      </c>
      <c r="BG553" s="5" t="s">
        <v>734</v>
      </c>
      <c r="BH553" s="5" t="s">
        <v>606</v>
      </c>
      <c r="BJ553" s="5" t="s">
        <v>734</v>
      </c>
      <c r="BK553" s="5" t="s">
        <v>734</v>
      </c>
      <c r="BL553" s="5" t="s">
        <v>734</v>
      </c>
      <c r="BM553" s="5" t="s">
        <v>606</v>
      </c>
      <c r="BO553" s="5" t="s">
        <v>734</v>
      </c>
      <c r="BP553" s="5" t="s">
        <v>734</v>
      </c>
      <c r="BQ553" s="5" t="s">
        <v>734</v>
      </c>
      <c r="BR553" s="5" t="s">
        <v>606</v>
      </c>
    </row>
    <row r="554" spans="1:70">
      <c r="B554" s="1284"/>
      <c r="D554" s="5" t="s">
        <v>161</v>
      </c>
      <c r="E554" s="87">
        <v>3.0311388556564602</v>
      </c>
      <c r="F554" s="87">
        <v>2.9925328546479681</v>
      </c>
      <c r="G554" s="87">
        <v>2.9692871761673327</v>
      </c>
      <c r="H554" s="87">
        <v>2.9242316661085441</v>
      </c>
      <c r="I554" s="87">
        <v>1.0968951920626295</v>
      </c>
      <c r="J554" s="87">
        <v>1.0137674561560084</v>
      </c>
      <c r="K554" s="87">
        <v>0</v>
      </c>
      <c r="L554" s="87">
        <v>0</v>
      </c>
      <c r="N554" s="29">
        <v>2.084937721189033</v>
      </c>
      <c r="O554" s="29">
        <v>1.9237243961172343</v>
      </c>
      <c r="P554" s="29">
        <v>2.0238479128018305</v>
      </c>
      <c r="Q554" s="29">
        <v>1.9527433296721786</v>
      </c>
      <c r="R554" s="29">
        <v>1.5510540258385208</v>
      </c>
      <c r="S554" s="29">
        <v>1.5272005803821314</v>
      </c>
      <c r="T554" s="29">
        <v>1.2586124383993778</v>
      </c>
      <c r="U554" s="29">
        <v>1.2204461726067735</v>
      </c>
      <c r="W554" s="30">
        <v>7.2089534770629626E-2</v>
      </c>
      <c r="X554" s="30">
        <v>3.7805797332454953</v>
      </c>
      <c r="Y554" s="30">
        <v>3.3035409235619149</v>
      </c>
      <c r="Z554" s="30">
        <v>3.0542620336744317</v>
      </c>
      <c r="AA554" s="30">
        <v>1.7080275913710996</v>
      </c>
      <c r="AB554" s="85">
        <v>1.2572555208253615</v>
      </c>
      <c r="AC554" s="85">
        <v>0.44370137956428501</v>
      </c>
      <c r="AD554" s="90">
        <v>0</v>
      </c>
      <c r="AF554" s="29">
        <f>N554</f>
        <v>2.084937721189033</v>
      </c>
      <c r="AG554" s="30">
        <f>W554</f>
        <v>7.2089534770629626E-2</v>
      </c>
      <c r="AH554" s="32">
        <f>AG554-AF554</f>
        <v>-2.0128481864184034</v>
      </c>
      <c r="AI554" s="33">
        <f>AH554/AF554</f>
        <v>-0.96542365077000136</v>
      </c>
      <c r="AK554" s="29">
        <f t="shared" ref="AK554:AK569" si="1069">O554</f>
        <v>1.9237243961172343</v>
      </c>
      <c r="AL554" s="30">
        <f t="shared" ref="AL554:AL569" si="1070">X554</f>
        <v>3.7805797332454953</v>
      </c>
      <c r="AM554" s="32">
        <f>IF(AL554&gt;0,AL554-AK554,"")</f>
        <v>1.856855337128261</v>
      </c>
      <c r="AN554" s="33">
        <f>IF(AL554&gt;0,AM554/AK554,"")</f>
        <v>0.96523979260026072</v>
      </c>
      <c r="AP554" s="29">
        <f>P554</f>
        <v>2.0238479128018305</v>
      </c>
      <c r="AQ554" s="30">
        <f>Y554</f>
        <v>3.3035409235619149</v>
      </c>
      <c r="AR554" s="32">
        <f>AQ554-AP554</f>
        <v>1.2796930107600843</v>
      </c>
      <c r="AS554" s="33">
        <f>AR554/AP554</f>
        <v>0.63230690540795997</v>
      </c>
      <c r="AU554" s="31">
        <f>Q554</f>
        <v>1.9527433296721786</v>
      </c>
      <c r="AV554" s="25">
        <f>Z554</f>
        <v>3.0542620336744317</v>
      </c>
      <c r="AW554" s="32">
        <f>AV554-AU554</f>
        <v>1.1015187040022532</v>
      </c>
      <c r="AX554" s="33">
        <f>AW554/AU554</f>
        <v>0.56408780778535461</v>
      </c>
      <c r="AZ554" s="31">
        <f t="shared" ref="AZ554:AZ569" si="1071">R554</f>
        <v>1.5510540258385208</v>
      </c>
      <c r="BA554" s="25">
        <f t="shared" ref="BA554:BA569" si="1072">AA554</f>
        <v>1.7080275913710996</v>
      </c>
      <c r="BB554" s="32">
        <f>BA554-AZ554</f>
        <v>0.1569735655325788</v>
      </c>
      <c r="BC554" s="33">
        <f>BB554/AZ554</f>
        <v>0.10120444737424072</v>
      </c>
      <c r="BE554" s="31">
        <f>S554</f>
        <v>1.5272005803821314</v>
      </c>
      <c r="BF554" s="25">
        <f>AB554</f>
        <v>1.2572555208253615</v>
      </c>
      <c r="BG554" s="32">
        <f>BF554-BE554</f>
        <v>-0.26994505955676984</v>
      </c>
      <c r="BH554" s="33">
        <f>BG554/BE554</f>
        <v>-0.17675809125820593</v>
      </c>
      <c r="BJ554" s="31">
        <f t="shared" ref="BJ554:BJ569" si="1073">T554</f>
        <v>1.2586124383993778</v>
      </c>
      <c r="BK554" s="25">
        <f t="shared" ref="BK554:BK569" si="1074">AC554</f>
        <v>0.44370137956428501</v>
      </c>
      <c r="BL554" s="32">
        <f t="shared" ref="BL554:BL569" si="1075">BK554-BJ554</f>
        <v>-0.81491105883509274</v>
      </c>
      <c r="BM554" s="33">
        <f t="shared" ref="BM554:BM569" si="1076">BL554/BJ554</f>
        <v>-0.64746782565683536</v>
      </c>
      <c r="BO554" s="62"/>
      <c r="BP554" s="62"/>
      <c r="BQ554" s="62"/>
      <c r="BR554" s="63"/>
    </row>
    <row r="555" spans="1:70">
      <c r="B555" s="1284"/>
      <c r="D555" s="5" t="s">
        <v>162</v>
      </c>
      <c r="E555" s="87">
        <v>9.5814909282367715</v>
      </c>
      <c r="F555" s="87">
        <v>7.6199625181756128</v>
      </c>
      <c r="G555" s="87">
        <v>2.6229886468276442</v>
      </c>
      <c r="H555" s="87">
        <v>2.632195230984522</v>
      </c>
      <c r="I555" s="87">
        <v>0</v>
      </c>
      <c r="J555" s="87">
        <v>0</v>
      </c>
      <c r="K555" s="87">
        <v>0</v>
      </c>
      <c r="L555" s="87">
        <v>0</v>
      </c>
      <c r="N555" s="29">
        <v>4.8696161275504455</v>
      </c>
      <c r="O555" s="29">
        <v>4.2850169336152382</v>
      </c>
      <c r="P555" s="29">
        <v>2.7201325190641041</v>
      </c>
      <c r="Q555" s="29">
        <v>2.6817565746989209</v>
      </c>
      <c r="R555" s="29">
        <v>1.8937147685771412</v>
      </c>
      <c r="S555" s="29">
        <v>1.6242609912136459</v>
      </c>
      <c r="T555" s="29">
        <v>1.4269522512456823</v>
      </c>
      <c r="U555" s="29">
        <v>1.4268860403669272</v>
      </c>
      <c r="W555" s="30">
        <v>1.2362084147521328</v>
      </c>
      <c r="X555" s="30">
        <v>1.6814937970727701</v>
      </c>
      <c r="Y555" s="30">
        <v>1.8595475170627112</v>
      </c>
      <c r="Z555" s="30">
        <v>5.8080146809616764</v>
      </c>
      <c r="AA555" s="30">
        <v>4.5131893867538313</v>
      </c>
      <c r="AB555" s="85">
        <v>3.0117914039914071</v>
      </c>
      <c r="AC555" s="85">
        <v>1.64677926</v>
      </c>
      <c r="AD555" s="90">
        <v>0</v>
      </c>
      <c r="AF555" s="29">
        <f t="shared" ref="AF555:AF569" si="1077">N555</f>
        <v>4.8696161275504455</v>
      </c>
      <c r="AG555" s="30">
        <f t="shared" ref="AG555:AG569" si="1078">W555</f>
        <v>1.2362084147521328</v>
      </c>
      <c r="AH555" s="32">
        <f t="shared" ref="AH555:AH567" si="1079">AG555-AF555</f>
        <v>-3.6334077127983129</v>
      </c>
      <c r="AI555" s="33">
        <f t="shared" ref="AI555:AI567" si="1080">AH555/AF555</f>
        <v>-0.74613842603359781</v>
      </c>
      <c r="AK555" s="29">
        <f t="shared" si="1069"/>
        <v>4.2850169336152382</v>
      </c>
      <c r="AL555" s="30">
        <f t="shared" si="1070"/>
        <v>1.6814937970727701</v>
      </c>
      <c r="AM555" s="32">
        <f t="shared" ref="AM555:AM569" si="1081">IF(AL555&gt;0,AL555-AK555,"")</f>
        <v>-2.603523136542468</v>
      </c>
      <c r="AN555" s="33">
        <f t="shared" ref="AN555:AN569" si="1082">IF(AL555&gt;0,AM555/AK555,"")</f>
        <v>-0.60758759577313837</v>
      </c>
      <c r="AP555" s="29">
        <f t="shared" ref="AP555:AP569" si="1083">P555</f>
        <v>2.7201325190641041</v>
      </c>
      <c r="AQ555" s="30">
        <f t="shared" ref="AQ555:AQ568" si="1084">Y555</f>
        <v>1.8595475170627112</v>
      </c>
      <c r="AR555" s="32">
        <f t="shared" ref="AR555:AR569" si="1085">AQ555-AP555</f>
        <v>-0.86058500200139298</v>
      </c>
      <c r="AS555" s="33">
        <f t="shared" ref="AS555:AS569" si="1086">AR555/AP555</f>
        <v>-0.31637613093110922</v>
      </c>
      <c r="AU555" s="31">
        <f t="shared" ref="AU555:AU569" si="1087">Q555</f>
        <v>2.6817565746989209</v>
      </c>
      <c r="AV555" s="25">
        <f t="shared" ref="AV555:AV569" si="1088">Z555</f>
        <v>5.8080146809616764</v>
      </c>
      <c r="AW555" s="32">
        <f t="shared" ref="AW555:AW569" si="1089">AV555-AU555</f>
        <v>3.1262581062627555</v>
      </c>
      <c r="AX555" s="33">
        <f t="shared" ref="AX555:AX569" si="1090">AW555/AU555</f>
        <v>1.1657501414399398</v>
      </c>
      <c r="AZ555" s="31">
        <f t="shared" si="1071"/>
        <v>1.8937147685771412</v>
      </c>
      <c r="BA555" s="25">
        <f t="shared" si="1072"/>
        <v>4.5131893867538313</v>
      </c>
      <c r="BB555" s="32">
        <f t="shared" ref="BB555:BB569" si="1091">BA555-AZ555</f>
        <v>2.6194746181766901</v>
      </c>
      <c r="BC555" s="33">
        <f t="shared" ref="BC555:BC569" si="1092">BB555/AZ555</f>
        <v>1.38324665448158</v>
      </c>
      <c r="BE555" s="31">
        <f t="shared" ref="BE555:BE569" si="1093">S555</f>
        <v>1.6242609912136459</v>
      </c>
      <c r="BF555" s="25">
        <f t="shared" ref="BF555:BF569" si="1094">AB555</f>
        <v>3.0117914039914071</v>
      </c>
      <c r="BG555" s="32">
        <f t="shared" ref="BG555:BG569" si="1095">BF555-BE555</f>
        <v>1.3875304127777612</v>
      </c>
      <c r="BH555" s="33">
        <f t="shared" ref="BH555:BH569" si="1096">BG555/BE555</f>
        <v>0.85425336216503001</v>
      </c>
      <c r="BJ555" s="31">
        <f t="shared" si="1073"/>
        <v>1.4269522512456823</v>
      </c>
      <c r="BK555" s="25">
        <f t="shared" si="1074"/>
        <v>1.64677926</v>
      </c>
      <c r="BL555" s="32">
        <f t="shared" si="1075"/>
        <v>0.21982700875431771</v>
      </c>
      <c r="BM555" s="33">
        <f t="shared" si="1076"/>
        <v>0.1540535140979076</v>
      </c>
      <c r="BO555" s="62"/>
      <c r="BP555" s="62"/>
      <c r="BQ555" s="62"/>
      <c r="BR555" s="63"/>
    </row>
    <row r="556" spans="1:70">
      <c r="B556" s="1284"/>
      <c r="D556" s="5" t="s">
        <v>163</v>
      </c>
      <c r="E556" s="87">
        <v>9.5263114077532425</v>
      </c>
      <c r="F556" s="87">
        <v>9.3318003773355844</v>
      </c>
      <c r="G556" s="87">
        <v>6.9525909188231374</v>
      </c>
      <c r="H556" s="87">
        <v>4.3289604304378759</v>
      </c>
      <c r="I556" s="87">
        <v>0</v>
      </c>
      <c r="J556" s="87">
        <v>0</v>
      </c>
      <c r="K556" s="87">
        <v>0</v>
      </c>
      <c r="L556" s="87">
        <v>0</v>
      </c>
      <c r="N556" s="29">
        <v>5.4775927485688927</v>
      </c>
      <c r="O556" s="29">
        <v>5.3004376196510137</v>
      </c>
      <c r="P556" s="29">
        <v>4.5437650628791619</v>
      </c>
      <c r="Q556" s="29">
        <v>3.7930378654449766</v>
      </c>
      <c r="R556" s="29">
        <v>2.2401090957697098</v>
      </c>
      <c r="S556" s="29">
        <v>2.1545223894403494</v>
      </c>
      <c r="T556" s="29">
        <v>1.7996606526837102</v>
      </c>
      <c r="U556" s="29">
        <v>1.9914661294802591</v>
      </c>
      <c r="W556" s="30">
        <v>5.2857259542806823</v>
      </c>
      <c r="X556" s="30">
        <v>3.4866932316908006</v>
      </c>
      <c r="Y556" s="30">
        <v>6.087117224210175</v>
      </c>
      <c r="Z556" s="30">
        <v>5.9583304051876711</v>
      </c>
      <c r="AA556" s="30">
        <v>3.3140967302510074</v>
      </c>
      <c r="AB556" s="85">
        <v>2.2825472155494677</v>
      </c>
      <c r="AC556" s="85">
        <v>3.0610715799999997</v>
      </c>
      <c r="AD556" s="90">
        <v>0</v>
      </c>
      <c r="AF556" s="29">
        <f t="shared" si="1077"/>
        <v>5.4775927485688927</v>
      </c>
      <c r="AG556" s="30">
        <f t="shared" si="1078"/>
        <v>5.2857259542806823</v>
      </c>
      <c r="AH556" s="32">
        <f t="shared" si="1079"/>
        <v>-0.19186679428821041</v>
      </c>
      <c r="AI556" s="33">
        <f t="shared" si="1080"/>
        <v>-3.5027575633171819E-2</v>
      </c>
      <c r="AK556" s="29">
        <f t="shared" si="1069"/>
        <v>5.3004376196510137</v>
      </c>
      <c r="AL556" s="30">
        <f t="shared" si="1070"/>
        <v>3.4866932316908006</v>
      </c>
      <c r="AM556" s="32">
        <f t="shared" si="1081"/>
        <v>-1.8137443879602131</v>
      </c>
      <c r="AN556" s="33">
        <f t="shared" si="1082"/>
        <v>-0.34218766790800037</v>
      </c>
      <c r="AP556" s="29">
        <f t="shared" si="1083"/>
        <v>4.5437650628791619</v>
      </c>
      <c r="AQ556" s="30">
        <f t="shared" si="1084"/>
        <v>6.087117224210175</v>
      </c>
      <c r="AR556" s="32">
        <f t="shared" si="1085"/>
        <v>1.5433521613310131</v>
      </c>
      <c r="AS556" s="33">
        <f t="shared" si="1086"/>
        <v>0.33966372380024995</v>
      </c>
      <c r="AU556" s="31">
        <f t="shared" si="1087"/>
        <v>3.7930378654449766</v>
      </c>
      <c r="AV556" s="25">
        <f t="shared" si="1088"/>
        <v>5.9583304051876711</v>
      </c>
      <c r="AW556" s="32">
        <f t="shared" si="1089"/>
        <v>2.1652925397426945</v>
      </c>
      <c r="AX556" s="33">
        <f t="shared" si="1090"/>
        <v>0.57085972156217202</v>
      </c>
      <c r="AZ556" s="31">
        <f t="shared" si="1071"/>
        <v>2.2401090957697098</v>
      </c>
      <c r="BA556" s="25">
        <f t="shared" si="1072"/>
        <v>3.3140967302510074</v>
      </c>
      <c r="BB556" s="32">
        <f t="shared" si="1091"/>
        <v>1.0739876344812975</v>
      </c>
      <c r="BC556" s="33">
        <f t="shared" si="1092"/>
        <v>0.47943541522573541</v>
      </c>
      <c r="BE556" s="31">
        <f t="shared" si="1093"/>
        <v>2.1545223894403494</v>
      </c>
      <c r="BF556" s="25">
        <f t="shared" si="1094"/>
        <v>2.2825472155494677</v>
      </c>
      <c r="BG556" s="32">
        <f t="shared" si="1095"/>
        <v>0.12802482610911836</v>
      </c>
      <c r="BH556" s="33">
        <f t="shared" si="1096"/>
        <v>5.9421441492828304E-2</v>
      </c>
      <c r="BJ556" s="31">
        <f t="shared" si="1073"/>
        <v>1.7996606526837102</v>
      </c>
      <c r="BK556" s="25">
        <f t="shared" si="1074"/>
        <v>3.0610715799999997</v>
      </c>
      <c r="BL556" s="32">
        <f t="shared" si="1075"/>
        <v>1.2614109273162895</v>
      </c>
      <c r="BM556" s="33">
        <f t="shared" si="1076"/>
        <v>0.70091598959794676</v>
      </c>
      <c r="BO556" s="62"/>
      <c r="BP556" s="62"/>
      <c r="BQ556" s="62"/>
      <c r="BR556" s="63"/>
    </row>
    <row r="557" spans="1:70">
      <c r="B557" s="1284"/>
      <c r="D557" s="5" t="s">
        <v>164</v>
      </c>
      <c r="E557" s="87">
        <v>3.7929730235013406E-2</v>
      </c>
      <c r="F557" s="87">
        <v>7.8028065788695103E-2</v>
      </c>
      <c r="G557" s="87">
        <v>0.22546417344096054</v>
      </c>
      <c r="H557" s="87">
        <v>0.11625619693211658</v>
      </c>
      <c r="I557" s="87">
        <v>0.22733559224312863</v>
      </c>
      <c r="J557" s="87">
        <v>0.5483834858647384</v>
      </c>
      <c r="K557" s="87">
        <v>0.18987642031565818</v>
      </c>
      <c r="L557" s="87">
        <v>0.11829774175845807</v>
      </c>
      <c r="N557" s="29">
        <v>3.7929730235013406E-2</v>
      </c>
      <c r="O557" s="29">
        <v>7.8028065788695103E-2</v>
      </c>
      <c r="P557" s="29">
        <v>0.22546417344096054</v>
      </c>
      <c r="Q557" s="29">
        <v>0.11625619693211658</v>
      </c>
      <c r="R557" s="29">
        <v>0.22733559224312863</v>
      </c>
      <c r="S557" s="29">
        <v>0.5483834858647384</v>
      </c>
      <c r="T557" s="29">
        <v>0.18987642031565818</v>
      </c>
      <c r="U557" s="29">
        <v>0.11829774175845807</v>
      </c>
      <c r="W557" s="30">
        <v>0.15232089209930891</v>
      </c>
      <c r="X557" s="30">
        <v>4.8142879785050122E-2</v>
      </c>
      <c r="Y557" s="30">
        <v>0.18336169191147583</v>
      </c>
      <c r="Z557" s="30">
        <v>0.32180275177545287</v>
      </c>
      <c r="AA557" s="30">
        <v>0.12525886141713863</v>
      </c>
      <c r="AB557" s="85">
        <v>0</v>
      </c>
      <c r="AC557" s="85">
        <v>7.0599999999999996E-2</v>
      </c>
      <c r="AD557" s="90">
        <v>0</v>
      </c>
      <c r="AF557" s="29">
        <f t="shared" si="1077"/>
        <v>3.7929730235013406E-2</v>
      </c>
      <c r="AG557" s="30">
        <f t="shared" si="1078"/>
        <v>0.15232089209930891</v>
      </c>
      <c r="AH557" s="32">
        <f t="shared" si="1079"/>
        <v>0.1143911618642955</v>
      </c>
      <c r="AI557" s="33">
        <f t="shared" si="1080"/>
        <v>3.0158706944532812</v>
      </c>
      <c r="AK557" s="29">
        <f t="shared" si="1069"/>
        <v>7.8028065788695103E-2</v>
      </c>
      <c r="AL557" s="30">
        <f t="shared" si="1070"/>
        <v>4.8142879785050122E-2</v>
      </c>
      <c r="AM557" s="32">
        <f t="shared" si="1081"/>
        <v>-2.9885186003644981E-2</v>
      </c>
      <c r="AN557" s="33">
        <f t="shared" si="1082"/>
        <v>-0.3830055980700065</v>
      </c>
      <c r="AP557" s="29">
        <f t="shared" si="1083"/>
        <v>0.22546417344096054</v>
      </c>
      <c r="AQ557" s="30">
        <f t="shared" si="1084"/>
        <v>0.18336169191147583</v>
      </c>
      <c r="AR557" s="32">
        <f t="shared" si="1085"/>
        <v>-4.2102481529484703E-2</v>
      </c>
      <c r="AS557" s="33">
        <f t="shared" si="1086"/>
        <v>-0.18673690319366659</v>
      </c>
      <c r="AU557" s="31">
        <f t="shared" si="1087"/>
        <v>0.11625619693211658</v>
      </c>
      <c r="AV557" s="25">
        <f t="shared" si="1088"/>
        <v>0.32180275177545287</v>
      </c>
      <c r="AW557" s="32">
        <f t="shared" si="1089"/>
        <v>0.20554655484333628</v>
      </c>
      <c r="AX557" s="33">
        <f t="shared" si="1090"/>
        <v>1.7680481580122342</v>
      </c>
      <c r="AZ557" s="31">
        <f t="shared" si="1071"/>
        <v>0.22733559224312863</v>
      </c>
      <c r="BA557" s="25">
        <f t="shared" si="1072"/>
        <v>0.12525886141713863</v>
      </c>
      <c r="BB557" s="32">
        <f t="shared" si="1091"/>
        <v>-0.10207673082599</v>
      </c>
      <c r="BC557" s="33">
        <f t="shared" si="1092"/>
        <v>-0.44901341588791777</v>
      </c>
      <c r="BE557" s="31">
        <f t="shared" si="1093"/>
        <v>0.5483834858647384</v>
      </c>
      <c r="BF557" s="25">
        <f t="shared" si="1094"/>
        <v>0</v>
      </c>
      <c r="BG557" s="32">
        <f t="shared" si="1095"/>
        <v>-0.5483834858647384</v>
      </c>
      <c r="BH557" s="33">
        <f t="shared" si="1096"/>
        <v>-1</v>
      </c>
      <c r="BJ557" s="31">
        <f t="shared" si="1073"/>
        <v>0.18987642031565818</v>
      </c>
      <c r="BK557" s="25">
        <f t="shared" si="1074"/>
        <v>7.0599999999999996E-2</v>
      </c>
      <c r="BL557" s="32">
        <f t="shared" si="1075"/>
        <v>-0.11927642031565819</v>
      </c>
      <c r="BM557" s="33">
        <f t="shared" si="1076"/>
        <v>-0.62817921318175407</v>
      </c>
      <c r="BO557" s="62"/>
      <c r="BP557" s="62"/>
      <c r="BQ557" s="62"/>
      <c r="BR557" s="63"/>
    </row>
    <row r="558" spans="1:70">
      <c r="B558" s="1284"/>
      <c r="D558" s="5" t="s">
        <v>165</v>
      </c>
      <c r="E558" s="87">
        <v>1.7295510171876438</v>
      </c>
      <c r="F558" s="87">
        <v>2.2168083302539663</v>
      </c>
      <c r="G558" s="87">
        <v>1.1820028198258903</v>
      </c>
      <c r="H558" s="87">
        <v>9.4590754027668048E-2</v>
      </c>
      <c r="I558" s="87">
        <v>0.298243618832916</v>
      </c>
      <c r="J558" s="87">
        <v>0.49474311147059918</v>
      </c>
      <c r="K558" s="87">
        <v>0.24124676804910183</v>
      </c>
      <c r="L558" s="87">
        <v>0.26280986858880206</v>
      </c>
      <c r="N558" s="29">
        <v>1.7295510171876438</v>
      </c>
      <c r="O558" s="29">
        <v>2.2168083302539663</v>
      </c>
      <c r="P558" s="29">
        <v>1.1820028198258903</v>
      </c>
      <c r="Q558" s="29">
        <v>9.4590754027668048E-2</v>
      </c>
      <c r="R558" s="29">
        <v>0.298243618832916</v>
      </c>
      <c r="S558" s="29">
        <v>0.49474311147059918</v>
      </c>
      <c r="T558" s="29">
        <v>0.24124676804910183</v>
      </c>
      <c r="U558" s="29">
        <v>0.26280986858880206</v>
      </c>
      <c r="W558" s="30">
        <v>1.2089721199693177</v>
      </c>
      <c r="X558" s="30">
        <v>1.0532722723704868</v>
      </c>
      <c r="Y558" s="30">
        <v>0.37917386907620004</v>
      </c>
      <c r="Z558" s="30">
        <v>0.37232468550129189</v>
      </c>
      <c r="AA558" s="30">
        <v>0.37577658425141586</v>
      </c>
      <c r="AB558" s="85">
        <v>0.45906771323771878</v>
      </c>
      <c r="AC558" s="85">
        <v>3.3200000000000007E-2</v>
      </c>
      <c r="AD558" s="90">
        <v>0</v>
      </c>
      <c r="AF558" s="29">
        <f t="shared" si="1077"/>
        <v>1.7295510171876438</v>
      </c>
      <c r="AG558" s="30">
        <f t="shared" si="1078"/>
        <v>1.2089721199693177</v>
      </c>
      <c r="AH558" s="32">
        <f t="shared" si="1079"/>
        <v>-0.52057889721832606</v>
      </c>
      <c r="AI558" s="33">
        <f t="shared" si="1080"/>
        <v>-0.30099077277571107</v>
      </c>
      <c r="AK558" s="29">
        <f t="shared" si="1069"/>
        <v>2.2168083302539663</v>
      </c>
      <c r="AL558" s="30">
        <f t="shared" si="1070"/>
        <v>1.0532722723704868</v>
      </c>
      <c r="AM558" s="32">
        <f t="shared" si="1081"/>
        <v>-1.1635360578834795</v>
      </c>
      <c r="AN558" s="33">
        <f t="shared" si="1082"/>
        <v>-0.52486994116905916</v>
      </c>
      <c r="AP558" s="29">
        <f t="shared" si="1083"/>
        <v>1.1820028198258903</v>
      </c>
      <c r="AQ558" s="30">
        <f t="shared" si="1084"/>
        <v>0.37917386907620004</v>
      </c>
      <c r="AR558" s="32">
        <f t="shared" si="1085"/>
        <v>-0.80282895074969018</v>
      </c>
      <c r="AS558" s="33">
        <f t="shared" si="1086"/>
        <v>-0.67921068992707423</v>
      </c>
      <c r="AU558" s="31">
        <f t="shared" si="1087"/>
        <v>9.4590754027668048E-2</v>
      </c>
      <c r="AV558" s="25">
        <f t="shared" si="1088"/>
        <v>0.37232468550129189</v>
      </c>
      <c r="AW558" s="32">
        <f t="shared" si="1089"/>
        <v>0.27773393147362385</v>
      </c>
      <c r="AX558" s="33">
        <f t="shared" si="1090"/>
        <v>2.9361636274977356</v>
      </c>
      <c r="AZ558" s="31">
        <f t="shared" si="1071"/>
        <v>0.298243618832916</v>
      </c>
      <c r="BA558" s="25">
        <f t="shared" si="1072"/>
        <v>0.37577658425141586</v>
      </c>
      <c r="BB558" s="32">
        <f t="shared" si="1091"/>
        <v>7.7532965418499855E-2</v>
      </c>
      <c r="BC558" s="33">
        <f t="shared" si="1092"/>
        <v>0.25996521139966411</v>
      </c>
      <c r="BE558" s="31">
        <f t="shared" si="1093"/>
        <v>0.49474311147059918</v>
      </c>
      <c r="BF558" s="25">
        <f t="shared" si="1094"/>
        <v>0.45906771323771878</v>
      </c>
      <c r="BG558" s="32">
        <f t="shared" si="1095"/>
        <v>-3.5675398232880406E-2</v>
      </c>
      <c r="BH558" s="33">
        <f t="shared" si="1096"/>
        <v>-7.2108933718828483E-2</v>
      </c>
      <c r="BJ558" s="31">
        <f t="shared" si="1073"/>
        <v>0.24124676804910183</v>
      </c>
      <c r="BK558" s="25">
        <f t="shared" si="1074"/>
        <v>3.3200000000000007E-2</v>
      </c>
      <c r="BL558" s="32">
        <f t="shared" si="1075"/>
        <v>-0.20804676804910183</v>
      </c>
      <c r="BM558" s="33">
        <f t="shared" si="1076"/>
        <v>-0.86238157605807719</v>
      </c>
      <c r="BO558" s="62"/>
      <c r="BP558" s="62"/>
      <c r="BQ558" s="62"/>
      <c r="BR558" s="63"/>
    </row>
    <row r="559" spans="1:70">
      <c r="B559" s="1284"/>
      <c r="D559" s="5" t="s">
        <v>166</v>
      </c>
      <c r="E559" s="87">
        <v>4.8129779137744562</v>
      </c>
      <c r="F559" s="87">
        <v>2.8137130020994978</v>
      </c>
      <c r="G559" s="87">
        <v>1.4694962844204964</v>
      </c>
      <c r="H559" s="87">
        <v>7.8821164017164921E-2</v>
      </c>
      <c r="I559" s="87">
        <v>0.22788562817012614</v>
      </c>
      <c r="J559" s="87">
        <v>7.9311199147440489E-2</v>
      </c>
      <c r="K559" s="87">
        <v>0.19016504132679965</v>
      </c>
      <c r="L559" s="87">
        <v>0.39483505594346802</v>
      </c>
      <c r="N559" s="29">
        <v>4.8129779137744562</v>
      </c>
      <c r="O559" s="29">
        <v>2.8137130020994978</v>
      </c>
      <c r="P559" s="29">
        <v>1.4694962844204964</v>
      </c>
      <c r="Q559" s="29">
        <v>7.8821164017164921E-2</v>
      </c>
      <c r="R559" s="29">
        <v>0.22788562817012614</v>
      </c>
      <c r="S559" s="29">
        <v>7.9311199147440489E-2</v>
      </c>
      <c r="T559" s="29">
        <v>0.19016504132679965</v>
      </c>
      <c r="U559" s="29">
        <v>0.39483505594346802</v>
      </c>
      <c r="W559" s="30">
        <v>9.3551414045244835E-2</v>
      </c>
      <c r="X559" s="30">
        <v>0.62820587036589781</v>
      </c>
      <c r="Y559" s="30">
        <v>1.0639505580048598</v>
      </c>
      <c r="Z559" s="30">
        <v>0.43492795120504896</v>
      </c>
      <c r="AA559" s="30">
        <v>0.14560004404043464</v>
      </c>
      <c r="AB559" s="85">
        <v>0.49608930301495413</v>
      </c>
      <c r="AC559" s="85">
        <v>0.71569999999999989</v>
      </c>
      <c r="AD559" s="90">
        <v>0</v>
      </c>
      <c r="AF559" s="29">
        <f t="shared" si="1077"/>
        <v>4.8129779137744562</v>
      </c>
      <c r="AG559" s="30">
        <f t="shared" si="1078"/>
        <v>9.3551414045244835E-2</v>
      </c>
      <c r="AH559" s="32">
        <f t="shared" si="1079"/>
        <v>-4.7194264997292112</v>
      </c>
      <c r="AI559" s="33">
        <f t="shared" si="1080"/>
        <v>-0.98056267539115305</v>
      </c>
      <c r="AK559" s="29">
        <f t="shared" si="1069"/>
        <v>2.8137130020994978</v>
      </c>
      <c r="AL559" s="30">
        <f t="shared" si="1070"/>
        <v>0.62820587036589781</v>
      </c>
      <c r="AM559" s="32">
        <f t="shared" si="1081"/>
        <v>-2.1855071317335999</v>
      </c>
      <c r="AN559" s="33">
        <f t="shared" si="1082"/>
        <v>-0.77673420498211732</v>
      </c>
      <c r="AP559" s="29">
        <f t="shared" si="1083"/>
        <v>1.4694962844204964</v>
      </c>
      <c r="AQ559" s="30">
        <f t="shared" si="1084"/>
        <v>1.0639505580048598</v>
      </c>
      <c r="AR559" s="32">
        <f t="shared" si="1085"/>
        <v>-0.40554572641563658</v>
      </c>
      <c r="AS559" s="33">
        <f t="shared" si="1086"/>
        <v>-0.27597601349197398</v>
      </c>
      <c r="AU559" s="31">
        <f t="shared" si="1087"/>
        <v>7.8821164017164921E-2</v>
      </c>
      <c r="AV559" s="25">
        <f t="shared" si="1088"/>
        <v>0.43492795120504896</v>
      </c>
      <c r="AW559" s="32">
        <f t="shared" si="1089"/>
        <v>0.35610678718788402</v>
      </c>
      <c r="AX559" s="33">
        <f t="shared" si="1090"/>
        <v>4.5179082500016685</v>
      </c>
      <c r="AZ559" s="31">
        <f t="shared" si="1071"/>
        <v>0.22788562817012614</v>
      </c>
      <c r="BA559" s="25">
        <f t="shared" si="1072"/>
        <v>0.14560004404043464</v>
      </c>
      <c r="BB559" s="32">
        <f t="shared" si="1091"/>
        <v>-8.2285584129691502E-2</v>
      </c>
      <c r="BC559" s="33">
        <f t="shared" si="1092"/>
        <v>-0.36108281505256606</v>
      </c>
      <c r="BE559" s="31">
        <f t="shared" si="1093"/>
        <v>7.9311199147440489E-2</v>
      </c>
      <c r="BF559" s="25">
        <f t="shared" si="1094"/>
        <v>0.49608930301495413</v>
      </c>
      <c r="BG559" s="32">
        <f t="shared" si="1095"/>
        <v>0.41677810386751363</v>
      </c>
      <c r="BH559" s="33">
        <f t="shared" si="1096"/>
        <v>5.2549716603416625</v>
      </c>
      <c r="BJ559" s="31">
        <f t="shared" si="1073"/>
        <v>0.19016504132679965</v>
      </c>
      <c r="BK559" s="25">
        <f t="shared" si="1074"/>
        <v>0.71569999999999989</v>
      </c>
      <c r="BL559" s="32">
        <f t="shared" si="1075"/>
        <v>0.52553495867320021</v>
      </c>
      <c r="BM559" s="33">
        <f t="shared" si="1076"/>
        <v>2.7635729206929551</v>
      </c>
      <c r="BO559" s="62"/>
      <c r="BP559" s="62"/>
      <c r="BQ559" s="62"/>
      <c r="BR559" s="63"/>
    </row>
    <row r="560" spans="1:70">
      <c r="B560" s="1284"/>
      <c r="D560" s="5" t="s">
        <v>167</v>
      </c>
      <c r="E560" s="87">
        <v>0.16927747937382462</v>
      </c>
      <c r="F560" s="87">
        <v>7.6715494389459571E-2</v>
      </c>
      <c r="G560" s="87">
        <v>7.6036022621648602E-2</v>
      </c>
      <c r="H560" s="87">
        <v>0.11798377860267205</v>
      </c>
      <c r="I560" s="87">
        <v>9.7202335547849031E-2</v>
      </c>
      <c r="J560" s="87">
        <v>0.62107598629846095</v>
      </c>
      <c r="K560" s="87">
        <v>0.18995188941203539</v>
      </c>
      <c r="L560" s="87">
        <v>0.18969032113049095</v>
      </c>
      <c r="N560" s="29">
        <v>0.16927747937382462</v>
      </c>
      <c r="O560" s="29">
        <v>7.6715494389459571E-2</v>
      </c>
      <c r="P560" s="29">
        <v>7.6036022621648602E-2</v>
      </c>
      <c r="Q560" s="29">
        <v>0.11798377860267205</v>
      </c>
      <c r="R560" s="29">
        <v>9.7202335547849031E-2</v>
      </c>
      <c r="S560" s="29">
        <v>0.62107598629846095</v>
      </c>
      <c r="T560" s="29">
        <v>0.18995188941203539</v>
      </c>
      <c r="U560" s="29">
        <v>0.18969032113049095</v>
      </c>
      <c r="W560" s="30">
        <v>0.53971969641487405</v>
      </c>
      <c r="X560" s="30">
        <v>0.32290955953387274</v>
      </c>
      <c r="Y560" s="30">
        <v>0.28183371164171284</v>
      </c>
      <c r="Z560" s="30">
        <v>9.1159141287926918E-2</v>
      </c>
      <c r="AA560" s="30">
        <v>1.820000550505433E-2</v>
      </c>
      <c r="AB560" s="85">
        <v>0</v>
      </c>
      <c r="AC560" s="85">
        <v>0</v>
      </c>
      <c r="AD560" s="90">
        <v>0</v>
      </c>
      <c r="AF560" s="29">
        <f t="shared" si="1077"/>
        <v>0.16927747937382462</v>
      </c>
      <c r="AG560" s="30">
        <f t="shared" si="1078"/>
        <v>0.53971969641487405</v>
      </c>
      <c r="AH560" s="32">
        <f t="shared" si="1079"/>
        <v>0.3704422170410494</v>
      </c>
      <c r="AI560" s="33">
        <f t="shared" si="1080"/>
        <v>2.1883727145002072</v>
      </c>
      <c r="AK560" s="29">
        <f t="shared" si="1069"/>
        <v>7.6715494389459571E-2</v>
      </c>
      <c r="AL560" s="30">
        <f t="shared" si="1070"/>
        <v>0.32290955953387274</v>
      </c>
      <c r="AM560" s="32">
        <f t="shared" si="1081"/>
        <v>0.24619406514441317</v>
      </c>
      <c r="AN560" s="33">
        <f t="shared" si="1082"/>
        <v>3.2091830614369257</v>
      </c>
      <c r="AP560" s="29">
        <f t="shared" si="1083"/>
        <v>7.6036022621648602E-2</v>
      </c>
      <c r="AQ560" s="30">
        <f t="shared" si="1084"/>
        <v>0.28183371164171284</v>
      </c>
      <c r="AR560" s="32">
        <f t="shared" si="1085"/>
        <v>0.20579768902006423</v>
      </c>
      <c r="AS560" s="33">
        <f t="shared" si="1086"/>
        <v>2.7065814586870633</v>
      </c>
      <c r="AU560" s="31">
        <f t="shared" si="1087"/>
        <v>0.11798377860267205</v>
      </c>
      <c r="AV560" s="25">
        <f t="shared" si="1088"/>
        <v>9.1159141287926918E-2</v>
      </c>
      <c r="AW560" s="32">
        <f t="shared" si="1089"/>
        <v>-2.6824637314745131E-2</v>
      </c>
      <c r="AX560" s="33">
        <f t="shared" si="1090"/>
        <v>-0.22735868974904672</v>
      </c>
      <c r="AZ560" s="31">
        <f t="shared" si="1071"/>
        <v>9.7202335547849031E-2</v>
      </c>
      <c r="BA560" s="25">
        <f t="shared" si="1072"/>
        <v>1.820000550505433E-2</v>
      </c>
      <c r="BB560" s="32">
        <f t="shared" si="1091"/>
        <v>-7.9002330042794694E-2</v>
      </c>
      <c r="BC560" s="33">
        <f t="shared" si="1092"/>
        <v>-0.81276164402351048</v>
      </c>
      <c r="BE560" s="31">
        <f t="shared" si="1093"/>
        <v>0.62107598629846095</v>
      </c>
      <c r="BF560" s="25">
        <f t="shared" si="1094"/>
        <v>0</v>
      </c>
      <c r="BG560" s="32">
        <f t="shared" si="1095"/>
        <v>-0.62107598629846095</v>
      </c>
      <c r="BH560" s="33">
        <f t="shared" si="1096"/>
        <v>-1</v>
      </c>
      <c r="BJ560" s="31">
        <f t="shared" si="1073"/>
        <v>0.18995188941203539</v>
      </c>
      <c r="BK560" s="25">
        <f t="shared" si="1074"/>
        <v>0</v>
      </c>
      <c r="BL560" s="32">
        <f t="shared" si="1075"/>
        <v>-0.18995188941203539</v>
      </c>
      <c r="BM560" s="33">
        <f t="shared" si="1076"/>
        <v>-1</v>
      </c>
      <c r="BO560" s="62"/>
      <c r="BP560" s="62"/>
      <c r="BQ560" s="62"/>
      <c r="BR560" s="63"/>
    </row>
    <row r="561" spans="1:70">
      <c r="B561" s="1284"/>
      <c r="D561" s="5" t="s">
        <v>168</v>
      </c>
      <c r="E561" s="87">
        <v>0.59657489769662597</v>
      </c>
      <c r="F561" s="87">
        <v>0.60209967355272365</v>
      </c>
      <c r="G561" s="87">
        <v>0.60769596441137852</v>
      </c>
      <c r="H561" s="87">
        <v>0.61336459099589058</v>
      </c>
      <c r="I561" s="87">
        <v>0.61910638439686572</v>
      </c>
      <c r="J561" s="87">
        <v>0.62492218619837003</v>
      </c>
      <c r="K561" s="87">
        <v>0.63081284860566988</v>
      </c>
      <c r="L561" s="87">
        <v>0.63677923457457808</v>
      </c>
      <c r="N561" s="29">
        <v>0.73208235957227108</v>
      </c>
      <c r="O561" s="29">
        <v>0.72704193663010941</v>
      </c>
      <c r="P561" s="29">
        <v>0.59818083707782843</v>
      </c>
      <c r="Q561" s="29">
        <v>0.55314007875886373</v>
      </c>
      <c r="R561" s="29">
        <v>0.56497009332136416</v>
      </c>
      <c r="S561" s="29">
        <v>0.55793190868792397</v>
      </c>
      <c r="T561" s="29">
        <v>0.50824796047886545</v>
      </c>
      <c r="U561" s="29">
        <v>0.48326862423220801</v>
      </c>
      <c r="W561" s="30">
        <v>0.1620893024540748</v>
      </c>
      <c r="X561" s="30">
        <v>3.9687676706339622E-3</v>
      </c>
      <c r="Y561" s="30">
        <v>7.2583864232127475E-4</v>
      </c>
      <c r="Z561" s="30">
        <v>0.15065409527336887</v>
      </c>
      <c r="AA561" s="30">
        <v>0.29302464215017315</v>
      </c>
      <c r="AB561" s="85">
        <v>0.3965275368116376</v>
      </c>
      <c r="AC561" s="85">
        <v>0.16875613070229875</v>
      </c>
      <c r="AD561" s="90">
        <v>0</v>
      </c>
      <c r="AF561" s="29">
        <f t="shared" si="1077"/>
        <v>0.73208235957227108</v>
      </c>
      <c r="AG561" s="30">
        <f t="shared" si="1078"/>
        <v>0.1620893024540748</v>
      </c>
      <c r="AH561" s="32">
        <f t="shared" si="1079"/>
        <v>-0.56999305711819626</v>
      </c>
      <c r="AI561" s="33">
        <f t="shared" si="1080"/>
        <v>-0.77859143806063336</v>
      </c>
      <c r="AK561" s="29">
        <f t="shared" si="1069"/>
        <v>0.72704193663010941</v>
      </c>
      <c r="AL561" s="30">
        <f t="shared" si="1070"/>
        <v>3.9687676706339622E-3</v>
      </c>
      <c r="AM561" s="32">
        <f t="shared" si="1081"/>
        <v>-0.72307316895947549</v>
      </c>
      <c r="AN561" s="33">
        <f t="shared" si="1082"/>
        <v>-0.99454121217679758</v>
      </c>
      <c r="AP561" s="29">
        <f t="shared" si="1083"/>
        <v>0.59818083707782843</v>
      </c>
      <c r="AQ561" s="30">
        <f t="shared" si="1084"/>
        <v>7.2583864232127475E-4</v>
      </c>
      <c r="AR561" s="32">
        <f t="shared" si="1085"/>
        <v>-0.5974549984355072</v>
      </c>
      <c r="AS561" s="33">
        <f t="shared" si="1086"/>
        <v>-0.99878658994516267</v>
      </c>
      <c r="AU561" s="31">
        <f t="shared" si="1087"/>
        <v>0.55314007875886373</v>
      </c>
      <c r="AV561" s="25">
        <f t="shared" si="1088"/>
        <v>0.15065409527336887</v>
      </c>
      <c r="AW561" s="32">
        <f t="shared" si="1089"/>
        <v>-0.40248598348549486</v>
      </c>
      <c r="AX561" s="33">
        <f t="shared" si="1090"/>
        <v>-0.72763843905253311</v>
      </c>
      <c r="AZ561" s="31">
        <f t="shared" si="1071"/>
        <v>0.56497009332136416</v>
      </c>
      <c r="BA561" s="25">
        <f t="shared" si="1072"/>
        <v>0.29302464215017315</v>
      </c>
      <c r="BB561" s="32">
        <f t="shared" si="1091"/>
        <v>-0.27194545117119101</v>
      </c>
      <c r="BC561" s="33">
        <f t="shared" si="1092"/>
        <v>-0.48134486123410436</v>
      </c>
      <c r="BE561" s="31">
        <f t="shared" si="1093"/>
        <v>0.55793190868792397</v>
      </c>
      <c r="BF561" s="25">
        <f t="shared" si="1094"/>
        <v>0.3965275368116376</v>
      </c>
      <c r="BG561" s="32">
        <f t="shared" si="1095"/>
        <v>-0.16140437187628637</v>
      </c>
      <c r="BH561" s="33">
        <f t="shared" si="1096"/>
        <v>-0.28929044810478294</v>
      </c>
      <c r="BJ561" s="31">
        <f t="shared" si="1073"/>
        <v>0.50824796047886545</v>
      </c>
      <c r="BK561" s="25">
        <f t="shared" si="1074"/>
        <v>0.16875613070229875</v>
      </c>
      <c r="BL561" s="32">
        <f t="shared" si="1075"/>
        <v>-0.33949182977656667</v>
      </c>
      <c r="BM561" s="33">
        <f t="shared" si="1076"/>
        <v>-0.66796496233197145</v>
      </c>
      <c r="BO561" s="62"/>
      <c r="BP561" s="62"/>
      <c r="BQ561" s="62"/>
      <c r="BR561" s="63"/>
    </row>
    <row r="562" spans="1:70">
      <c r="B562" s="1284"/>
      <c r="D562" s="5" t="s">
        <v>169</v>
      </c>
      <c r="E562" s="87">
        <v>0.74571708046985385</v>
      </c>
      <c r="F562" s="87">
        <v>0.75262303601301639</v>
      </c>
      <c r="G562" s="87">
        <v>0.75961838512456825</v>
      </c>
      <c r="H562" s="87">
        <v>0.76670415370651368</v>
      </c>
      <c r="I562" s="87">
        <v>0.59799923794916288</v>
      </c>
      <c r="J562" s="87">
        <v>0.60361676206620307</v>
      </c>
      <c r="K562" s="87">
        <v>0.39425721485271742</v>
      </c>
      <c r="L562" s="87">
        <v>0.3979861983698374</v>
      </c>
      <c r="N562" s="29">
        <v>0.65290781555417865</v>
      </c>
      <c r="O562" s="29">
        <v>0.71780638504807015</v>
      </c>
      <c r="P562" s="29">
        <v>0.65566355832229573</v>
      </c>
      <c r="Q562" s="29">
        <v>0.65439182020899755</v>
      </c>
      <c r="R562" s="29">
        <v>0.59880376637898647</v>
      </c>
      <c r="S562" s="29">
        <v>0.59243652450381645</v>
      </c>
      <c r="T562" s="29">
        <v>0.50851145661416108</v>
      </c>
      <c r="U562" s="29">
        <v>0.49237348978128354</v>
      </c>
      <c r="W562" s="30">
        <v>0.14927487456774585</v>
      </c>
      <c r="X562" s="30">
        <v>0.12967181767733646</v>
      </c>
      <c r="Y562" s="30">
        <v>0.10027445793069112</v>
      </c>
      <c r="Z562" s="30">
        <v>1.1265876708659361</v>
      </c>
      <c r="AA562" s="30">
        <v>0.43575855772195188</v>
      </c>
      <c r="AB562" s="85">
        <v>0.43684692019765203</v>
      </c>
      <c r="AC562" s="85">
        <v>0.42970974568635328</v>
      </c>
      <c r="AD562" s="90">
        <v>0</v>
      </c>
      <c r="AF562" s="29">
        <f t="shared" si="1077"/>
        <v>0.65290781555417865</v>
      </c>
      <c r="AG562" s="30">
        <f t="shared" si="1078"/>
        <v>0.14927487456774585</v>
      </c>
      <c r="AH562" s="32">
        <f t="shared" si="1079"/>
        <v>-0.50363294098643285</v>
      </c>
      <c r="AI562" s="33">
        <f t="shared" si="1080"/>
        <v>-0.77136914123007783</v>
      </c>
      <c r="AK562" s="29">
        <f t="shared" si="1069"/>
        <v>0.71780638504807015</v>
      </c>
      <c r="AL562" s="30">
        <f t="shared" si="1070"/>
        <v>0.12967181767733646</v>
      </c>
      <c r="AM562" s="32">
        <f t="shared" si="1081"/>
        <v>-0.58813456737073366</v>
      </c>
      <c r="AN562" s="33">
        <f t="shared" si="1082"/>
        <v>-0.81934986874120297</v>
      </c>
      <c r="AP562" s="29">
        <f t="shared" si="1083"/>
        <v>0.65566355832229573</v>
      </c>
      <c r="AQ562" s="30">
        <f t="shared" si="1084"/>
        <v>0.10027445793069112</v>
      </c>
      <c r="AR562" s="32">
        <f t="shared" si="1085"/>
        <v>-0.55538910039160461</v>
      </c>
      <c r="AS562" s="33">
        <f t="shared" si="1086"/>
        <v>-0.84706415865589324</v>
      </c>
      <c r="AU562" s="31">
        <f t="shared" si="1087"/>
        <v>0.65439182020899755</v>
      </c>
      <c r="AV562" s="25">
        <f t="shared" si="1088"/>
        <v>1.1265876708659361</v>
      </c>
      <c r="AW562" s="32">
        <f t="shared" si="1089"/>
        <v>0.47219585065693859</v>
      </c>
      <c r="AX562" s="33">
        <f t="shared" si="1090"/>
        <v>0.72157969594749849</v>
      </c>
      <c r="AZ562" s="31">
        <f t="shared" si="1071"/>
        <v>0.59880376637898647</v>
      </c>
      <c r="BA562" s="25">
        <f t="shared" si="1072"/>
        <v>0.43575855772195188</v>
      </c>
      <c r="BB562" s="32">
        <f t="shared" si="1091"/>
        <v>-0.16304520865703459</v>
      </c>
      <c r="BC562" s="33">
        <f t="shared" si="1092"/>
        <v>-0.2722848749649352</v>
      </c>
      <c r="BE562" s="31">
        <f t="shared" si="1093"/>
        <v>0.59243652450381645</v>
      </c>
      <c r="BF562" s="25">
        <f t="shared" si="1094"/>
        <v>0.43684692019765203</v>
      </c>
      <c r="BG562" s="32">
        <f t="shared" si="1095"/>
        <v>-0.15558960430616442</v>
      </c>
      <c r="BH562" s="33">
        <f t="shared" si="1096"/>
        <v>-0.26262662390114355</v>
      </c>
      <c r="BJ562" s="31">
        <f t="shared" si="1073"/>
        <v>0.50851145661416108</v>
      </c>
      <c r="BK562" s="25">
        <f t="shared" si="1074"/>
        <v>0.42970974568635328</v>
      </c>
      <c r="BL562" s="32">
        <f t="shared" si="1075"/>
        <v>-7.88017109278078E-2</v>
      </c>
      <c r="BM562" s="33">
        <f t="shared" si="1076"/>
        <v>-0.15496545830549399</v>
      </c>
      <c r="BO562" s="62"/>
      <c r="BP562" s="62"/>
      <c r="BQ562" s="62"/>
      <c r="BR562" s="63"/>
    </row>
    <row r="563" spans="1:70">
      <c r="B563" s="1284"/>
      <c r="D563" s="5" t="s">
        <v>170</v>
      </c>
      <c r="E563" s="87">
        <v>0.61013223162317209</v>
      </c>
      <c r="F563" s="87">
        <v>1.2999853600328168</v>
      </c>
      <c r="G563" s="87">
        <v>1.3120682368492245</v>
      </c>
      <c r="H563" s="87">
        <v>1.324307292764795</v>
      </c>
      <c r="I563" s="87">
        <v>1.3367043221761505</v>
      </c>
      <c r="J563" s="87">
        <v>1.3492611421362035</v>
      </c>
      <c r="K563" s="87">
        <v>1.3619795926299569</v>
      </c>
      <c r="L563" s="87">
        <v>1.3748615368537758</v>
      </c>
      <c r="N563" s="29">
        <v>1.0002520481489758</v>
      </c>
      <c r="O563" s="29">
        <v>1.1963438526518668</v>
      </c>
      <c r="P563" s="29">
        <v>1.2369987201555477</v>
      </c>
      <c r="Q563" s="29">
        <v>1.2790348076970504</v>
      </c>
      <c r="R563" s="29">
        <v>1.254820046336621</v>
      </c>
      <c r="S563" s="29">
        <v>1.1673915868632425</v>
      </c>
      <c r="T563" s="29">
        <v>1.1424017925244945</v>
      </c>
      <c r="U563" s="29">
        <v>1.080826705387786</v>
      </c>
      <c r="W563" s="30">
        <v>-1.0743077990279964E-2</v>
      </c>
      <c r="X563" s="30">
        <v>0.14379759696544264</v>
      </c>
      <c r="Y563" s="30">
        <v>0.21060266303132985</v>
      </c>
      <c r="Z563" s="30">
        <v>0.28426320458414217</v>
      </c>
      <c r="AA563" s="30">
        <v>0.17733204366612312</v>
      </c>
      <c r="AB563" s="85">
        <v>0.46405238321054221</v>
      </c>
      <c r="AC563" s="85">
        <v>0.2869804653379554</v>
      </c>
      <c r="AD563" s="90">
        <v>0</v>
      </c>
      <c r="AF563" s="29">
        <f t="shared" si="1077"/>
        <v>1.0002520481489758</v>
      </c>
      <c r="AG563" s="30">
        <f t="shared" si="1078"/>
        <v>-1.0743077990279964E-2</v>
      </c>
      <c r="AH563" s="32">
        <f t="shared" si="1079"/>
        <v>-1.0109951261392558</v>
      </c>
      <c r="AI563" s="33">
        <f t="shared" si="1080"/>
        <v>-1.0107403708996754</v>
      </c>
      <c r="AK563" s="29">
        <f t="shared" si="1069"/>
        <v>1.1963438526518668</v>
      </c>
      <c r="AL563" s="30">
        <f t="shared" si="1070"/>
        <v>0.14379759696544264</v>
      </c>
      <c r="AM563" s="32">
        <f t="shared" si="1081"/>
        <v>-1.0525462556864242</v>
      </c>
      <c r="AN563" s="33">
        <f t="shared" si="1082"/>
        <v>-0.87980245257524026</v>
      </c>
      <c r="AP563" s="29">
        <f t="shared" si="1083"/>
        <v>1.2369987201555477</v>
      </c>
      <c r="AQ563" s="30">
        <f t="shared" si="1084"/>
        <v>0.21060266303132985</v>
      </c>
      <c r="AR563" s="32">
        <f t="shared" si="1085"/>
        <v>-1.0263960571242179</v>
      </c>
      <c r="AS563" s="33">
        <f t="shared" si="1086"/>
        <v>-0.82974706473031168</v>
      </c>
      <c r="AU563" s="31">
        <f t="shared" si="1087"/>
        <v>1.2790348076970504</v>
      </c>
      <c r="AV563" s="25">
        <f t="shared" si="1088"/>
        <v>0.28426320458414217</v>
      </c>
      <c r="AW563" s="32">
        <f t="shared" si="1089"/>
        <v>-0.99477160311290813</v>
      </c>
      <c r="AX563" s="33">
        <f t="shared" si="1090"/>
        <v>-0.77775178370949205</v>
      </c>
      <c r="AZ563" s="31">
        <f t="shared" si="1071"/>
        <v>1.254820046336621</v>
      </c>
      <c r="BA563" s="25">
        <f t="shared" si="1072"/>
        <v>0.17733204366612312</v>
      </c>
      <c r="BB563" s="32">
        <f t="shared" si="1091"/>
        <v>-1.0774880026704978</v>
      </c>
      <c r="BC563" s="33">
        <f t="shared" si="1092"/>
        <v>-0.85867930291372496</v>
      </c>
      <c r="BE563" s="31">
        <f t="shared" si="1093"/>
        <v>1.1673915868632425</v>
      </c>
      <c r="BF563" s="25">
        <f t="shared" si="1094"/>
        <v>0.46405238321054221</v>
      </c>
      <c r="BG563" s="32">
        <f t="shared" si="1095"/>
        <v>-0.70333920365270031</v>
      </c>
      <c r="BH563" s="33">
        <f t="shared" si="1096"/>
        <v>-0.60248781263068585</v>
      </c>
      <c r="BJ563" s="31">
        <f t="shared" si="1073"/>
        <v>1.1424017925244945</v>
      </c>
      <c r="BK563" s="25">
        <f t="shared" si="1074"/>
        <v>0.2869804653379554</v>
      </c>
      <c r="BL563" s="32">
        <f t="shared" si="1075"/>
        <v>-0.85542132718653907</v>
      </c>
      <c r="BM563" s="33">
        <f t="shared" si="1076"/>
        <v>-0.74879200364017096</v>
      </c>
      <c r="BO563" s="62"/>
      <c r="BP563" s="62"/>
      <c r="BQ563" s="62"/>
      <c r="BR563" s="63"/>
    </row>
    <row r="564" spans="1:70">
      <c r="B564" s="1284"/>
      <c r="D564" s="5" t="s">
        <v>171</v>
      </c>
      <c r="E564" s="87">
        <v>0.40793257728148097</v>
      </c>
      <c r="F564" s="87">
        <v>0.38510231060285705</v>
      </c>
      <c r="G564" s="87">
        <v>0.23181431319826643</v>
      </c>
      <c r="H564" s="87">
        <v>0</v>
      </c>
      <c r="I564" s="87">
        <v>0</v>
      </c>
      <c r="J564" s="87">
        <v>0</v>
      </c>
      <c r="K564" s="87">
        <v>0</v>
      </c>
      <c r="L564" s="87">
        <v>0</v>
      </c>
      <c r="N564" s="29">
        <v>0.20125493957592738</v>
      </c>
      <c r="O564" s="29">
        <v>0.19510150315345967</v>
      </c>
      <c r="P564" s="29">
        <v>0.15632013944032244</v>
      </c>
      <c r="Q564" s="29">
        <v>9.396717459683275E-2</v>
      </c>
      <c r="R564" s="29">
        <v>9.0752853278559434E-2</v>
      </c>
      <c r="S564" s="29">
        <v>8.7921745722704545E-2</v>
      </c>
      <c r="T564" s="29">
        <v>7.6775191130372483E-2</v>
      </c>
      <c r="U564" s="29">
        <v>7.2856782585151325E-2</v>
      </c>
      <c r="W564" s="30">
        <v>0.62552458562010227</v>
      </c>
      <c r="X564" s="30">
        <v>7.6120506127943487E-3</v>
      </c>
      <c r="Y564" s="30">
        <v>0</v>
      </c>
      <c r="Z564" s="30">
        <v>0</v>
      </c>
      <c r="AA564" s="30">
        <v>1.063051615664632E-2</v>
      </c>
      <c r="AB564" s="85">
        <v>3.301433840496603E-2</v>
      </c>
      <c r="AC564" s="85">
        <v>1.0623653145439895E-2</v>
      </c>
      <c r="AD564" s="90">
        <v>0</v>
      </c>
      <c r="AF564" s="29">
        <f t="shared" si="1077"/>
        <v>0.20125493957592738</v>
      </c>
      <c r="AG564" s="30">
        <f t="shared" si="1078"/>
        <v>0.62552458562010227</v>
      </c>
      <c r="AH564" s="32">
        <f t="shared" si="1079"/>
        <v>0.42426964604417489</v>
      </c>
      <c r="AI564" s="33">
        <f t="shared" si="1080"/>
        <v>2.1081204115445367</v>
      </c>
      <c r="AK564" s="29">
        <f t="shared" si="1069"/>
        <v>0.19510150315345967</v>
      </c>
      <c r="AL564" s="30">
        <f t="shared" si="1070"/>
        <v>7.6120506127943487E-3</v>
      </c>
      <c r="AM564" s="32">
        <f t="shared" si="1081"/>
        <v>-0.18748945254066532</v>
      </c>
      <c r="AN564" s="33">
        <f t="shared" si="1082"/>
        <v>-0.96098415189140296</v>
      </c>
      <c r="AP564" s="29">
        <f t="shared" si="1083"/>
        <v>0.15632013944032244</v>
      </c>
      <c r="AQ564" s="30">
        <f t="shared" si="1084"/>
        <v>0</v>
      </c>
      <c r="AR564" s="32">
        <f t="shared" si="1085"/>
        <v>-0.15632013944032244</v>
      </c>
      <c r="AS564" s="33">
        <f t="shared" si="1086"/>
        <v>-1</v>
      </c>
      <c r="AU564" s="31">
        <f t="shared" si="1087"/>
        <v>9.396717459683275E-2</v>
      </c>
      <c r="AV564" s="25">
        <f t="shared" si="1088"/>
        <v>0</v>
      </c>
      <c r="AW564" s="32">
        <f t="shared" si="1089"/>
        <v>-9.396717459683275E-2</v>
      </c>
      <c r="AX564" s="33">
        <f t="shared" si="1090"/>
        <v>-1</v>
      </c>
      <c r="AZ564" s="31">
        <f t="shared" si="1071"/>
        <v>9.0752853278559434E-2</v>
      </c>
      <c r="BA564" s="25">
        <f t="shared" si="1072"/>
        <v>1.063051615664632E-2</v>
      </c>
      <c r="BB564" s="32">
        <f t="shared" si="1091"/>
        <v>-8.0122337121913106E-2</v>
      </c>
      <c r="BC564" s="33">
        <f t="shared" si="1092"/>
        <v>-0.88286300901177495</v>
      </c>
      <c r="BE564" s="31">
        <f t="shared" si="1093"/>
        <v>8.7921745722704545E-2</v>
      </c>
      <c r="BF564" s="25">
        <f t="shared" si="1094"/>
        <v>3.301433840496603E-2</v>
      </c>
      <c r="BG564" s="32">
        <f t="shared" si="1095"/>
        <v>-5.4907407317738514E-2</v>
      </c>
      <c r="BH564" s="33">
        <f t="shared" si="1096"/>
        <v>-0.62450315182446903</v>
      </c>
      <c r="BJ564" s="31">
        <f t="shared" si="1073"/>
        <v>7.6775191130372483E-2</v>
      </c>
      <c r="BK564" s="25">
        <f t="shared" si="1074"/>
        <v>1.0623653145439895E-2</v>
      </c>
      <c r="BL564" s="32">
        <f t="shared" si="1075"/>
        <v>-6.615153798493259E-2</v>
      </c>
      <c r="BM564" s="33">
        <f t="shared" si="1076"/>
        <v>-0.86162648390676366</v>
      </c>
      <c r="BO564" s="62"/>
      <c r="BP564" s="62"/>
      <c r="BQ564" s="62"/>
      <c r="BR564" s="63"/>
    </row>
    <row r="565" spans="1:70">
      <c r="B565" s="1284"/>
      <c r="D565" s="5" t="s">
        <v>172</v>
      </c>
      <c r="E565" s="87">
        <v>0.40796546026087854</v>
      </c>
      <c r="F565" s="87">
        <v>0.38506918437958693</v>
      </c>
      <c r="G565" s="87">
        <v>0.23178342492405621</v>
      </c>
      <c r="H565" s="87">
        <v>0</v>
      </c>
      <c r="I565" s="87">
        <v>0</v>
      </c>
      <c r="J565" s="87">
        <v>0</v>
      </c>
      <c r="K565" s="87">
        <v>0</v>
      </c>
      <c r="L565" s="87">
        <v>0</v>
      </c>
      <c r="N565" s="29">
        <v>0.19544630742663205</v>
      </c>
      <c r="O565" s="29">
        <v>0.20162228211492617</v>
      </c>
      <c r="P565" s="29">
        <v>0.15395972664370669</v>
      </c>
      <c r="Q565" s="29">
        <v>8.7385661083504845E-2</v>
      </c>
      <c r="R565" s="29">
        <v>8.4706005249502808E-2</v>
      </c>
      <c r="S565" s="29">
        <v>8.5261941173722045E-2</v>
      </c>
      <c r="T565" s="29">
        <v>6.9467168219152733E-2</v>
      </c>
      <c r="U565" s="29">
        <v>5.6433773723637108E-2</v>
      </c>
      <c r="W565" s="30">
        <v>0.44235458631493113</v>
      </c>
      <c r="X565" s="30">
        <v>1.89283712715856E-3</v>
      </c>
      <c r="Y565" s="30">
        <v>0.35902672021185267</v>
      </c>
      <c r="Z565" s="30">
        <v>0</v>
      </c>
      <c r="AA565" s="30">
        <v>0</v>
      </c>
      <c r="AB565" s="85">
        <v>3.8906517576750674E-3</v>
      </c>
      <c r="AC565" s="85">
        <v>4.7017666530229429E-2</v>
      </c>
      <c r="AD565" s="90">
        <v>0</v>
      </c>
      <c r="AF565" s="29">
        <f t="shared" si="1077"/>
        <v>0.19544630742663205</v>
      </c>
      <c r="AG565" s="30">
        <f t="shared" si="1078"/>
        <v>0.44235458631493113</v>
      </c>
      <c r="AH565" s="32">
        <f t="shared" si="1079"/>
        <v>0.24690827888829908</v>
      </c>
      <c r="AI565" s="33">
        <f t="shared" si="1080"/>
        <v>1.2633049052665535</v>
      </c>
      <c r="AK565" s="29">
        <f t="shared" si="1069"/>
        <v>0.20162228211492617</v>
      </c>
      <c r="AL565" s="30">
        <f t="shared" si="1070"/>
        <v>1.89283712715856E-3</v>
      </c>
      <c r="AM565" s="32">
        <f t="shared" si="1081"/>
        <v>-0.1997294449877676</v>
      </c>
      <c r="AN565" s="33">
        <f t="shared" si="1082"/>
        <v>-0.99061196457403633</v>
      </c>
      <c r="AP565" s="29">
        <f t="shared" si="1083"/>
        <v>0.15395972664370669</v>
      </c>
      <c r="AQ565" s="30">
        <f t="shared" si="1084"/>
        <v>0.35902672021185267</v>
      </c>
      <c r="AR565" s="32">
        <f t="shared" si="1085"/>
        <v>0.20506699356814598</v>
      </c>
      <c r="AS565" s="33">
        <f t="shared" si="1086"/>
        <v>1.3319521802134116</v>
      </c>
      <c r="AU565" s="31">
        <f t="shared" si="1087"/>
        <v>8.7385661083504845E-2</v>
      </c>
      <c r="AV565" s="25">
        <f t="shared" si="1088"/>
        <v>0</v>
      </c>
      <c r="AW565" s="32">
        <f t="shared" si="1089"/>
        <v>-8.7385661083504845E-2</v>
      </c>
      <c r="AX565" s="33">
        <f t="shared" si="1090"/>
        <v>-1</v>
      </c>
      <c r="AZ565" s="31">
        <f t="shared" si="1071"/>
        <v>8.4706005249502808E-2</v>
      </c>
      <c r="BA565" s="25">
        <f t="shared" si="1072"/>
        <v>0</v>
      </c>
      <c r="BB565" s="32">
        <f t="shared" si="1091"/>
        <v>-8.4706005249502808E-2</v>
      </c>
      <c r="BC565" s="33">
        <f t="shared" si="1092"/>
        <v>-1</v>
      </c>
      <c r="BE565" s="31">
        <f t="shared" si="1093"/>
        <v>8.5261941173722045E-2</v>
      </c>
      <c r="BF565" s="25">
        <f t="shared" si="1094"/>
        <v>3.8906517576750674E-3</v>
      </c>
      <c r="BG565" s="32">
        <f t="shared" si="1095"/>
        <v>-8.1371289416046974E-2</v>
      </c>
      <c r="BH565" s="33">
        <f t="shared" si="1096"/>
        <v>-0.95436824796484721</v>
      </c>
      <c r="BJ565" s="31">
        <f t="shared" si="1073"/>
        <v>6.9467168219152733E-2</v>
      </c>
      <c r="BK565" s="25">
        <f t="shared" si="1074"/>
        <v>4.7017666530229429E-2</v>
      </c>
      <c r="BL565" s="32">
        <f t="shared" si="1075"/>
        <v>-2.2449501688923304E-2</v>
      </c>
      <c r="BM565" s="33">
        <f t="shared" si="1076"/>
        <v>-0.32316707682829904</v>
      </c>
      <c r="BO565" s="62"/>
      <c r="BP565" s="62"/>
      <c r="BQ565" s="62"/>
      <c r="BR565" s="63"/>
    </row>
    <row r="566" spans="1:70">
      <c r="B566" s="1284"/>
      <c r="D566" s="5" t="s">
        <v>28</v>
      </c>
      <c r="E566" s="87">
        <v>0.12557258112962091</v>
      </c>
      <c r="F566" s="87">
        <v>0.12527158474882844</v>
      </c>
      <c r="G566" s="87">
        <v>0.125151236525465</v>
      </c>
      <c r="H566" s="87">
        <v>0.12424170040606579</v>
      </c>
      <c r="I566" s="87">
        <v>0.12391494530229022</v>
      </c>
      <c r="J566" s="87">
        <v>0.12360636563929732</v>
      </c>
      <c r="K566" s="87">
        <v>0.12331318738981091</v>
      </c>
      <c r="L566" s="87">
        <v>0.12304773003967628</v>
      </c>
      <c r="N566" s="29">
        <v>0.10836522616524036</v>
      </c>
      <c r="O566" s="29">
        <v>0.10675273515446849</v>
      </c>
      <c r="P566" s="29">
        <v>0.10228879546517171</v>
      </c>
      <c r="Q566" s="29">
        <v>0.10165336585746031</v>
      </c>
      <c r="R566" s="29">
        <v>0.10175169018246122</v>
      </c>
      <c r="S566" s="29">
        <v>0.10095512835400838</v>
      </c>
      <c r="T566" s="29">
        <v>0.10100303517853983</v>
      </c>
      <c r="U566" s="29">
        <v>9.8881230517421134E-2</v>
      </c>
      <c r="W566" s="30">
        <v>0.92483968423446516</v>
      </c>
      <c r="X566" s="30">
        <v>9.6759708608335354E-2</v>
      </c>
      <c r="Y566" s="30">
        <v>0</v>
      </c>
      <c r="Z566" s="30">
        <v>1.0920425805130812E-2</v>
      </c>
      <c r="AA566" s="30">
        <v>1.8976182210416942E-2</v>
      </c>
      <c r="AB566" s="85">
        <v>1.6784636821261395E-3</v>
      </c>
      <c r="AC566" s="85">
        <v>1.3919290000000001E-2</v>
      </c>
      <c r="AD566" s="90">
        <v>0</v>
      </c>
      <c r="AF566" s="29">
        <f t="shared" si="1077"/>
        <v>0.10836522616524036</v>
      </c>
      <c r="AG566" s="30">
        <f t="shared" si="1078"/>
        <v>0.92483968423446516</v>
      </c>
      <c r="AH566" s="32">
        <f t="shared" si="1079"/>
        <v>0.81647445806922481</v>
      </c>
      <c r="AI566" s="33">
        <f t="shared" si="1080"/>
        <v>7.534469192397812</v>
      </c>
      <c r="AK566" s="29">
        <f t="shared" si="1069"/>
        <v>0.10675273515446849</v>
      </c>
      <c r="AL566" s="30">
        <f t="shared" si="1070"/>
        <v>9.6759708608335354E-2</v>
      </c>
      <c r="AM566" s="32">
        <f t="shared" si="1081"/>
        <v>-9.9930265461331408E-3</v>
      </c>
      <c r="AN566" s="33">
        <f t="shared" si="1082"/>
        <v>-9.3609091436144334E-2</v>
      </c>
      <c r="AP566" s="29">
        <f t="shared" si="1083"/>
        <v>0.10228879546517171</v>
      </c>
      <c r="AQ566" s="30">
        <f t="shared" si="1084"/>
        <v>0</v>
      </c>
      <c r="AR566" s="32">
        <f t="shared" si="1085"/>
        <v>-0.10228879546517171</v>
      </c>
      <c r="AS566" s="33">
        <f t="shared" si="1086"/>
        <v>-1</v>
      </c>
      <c r="AU566" s="31">
        <f t="shared" si="1087"/>
        <v>0.10165336585746031</v>
      </c>
      <c r="AV566" s="25">
        <f t="shared" si="1088"/>
        <v>1.0920425805130812E-2</v>
      </c>
      <c r="AW566" s="32">
        <f t="shared" si="1089"/>
        <v>-9.07329400523295E-2</v>
      </c>
      <c r="AX566" s="33">
        <f t="shared" si="1090"/>
        <v>-0.89257192112611827</v>
      </c>
      <c r="AZ566" s="31">
        <f t="shared" si="1071"/>
        <v>0.10175169018246122</v>
      </c>
      <c r="BA566" s="25">
        <f t="shared" si="1072"/>
        <v>1.8976182210416942E-2</v>
      </c>
      <c r="BB566" s="32">
        <f t="shared" si="1091"/>
        <v>-8.2775507972044277E-2</v>
      </c>
      <c r="BC566" s="33">
        <f t="shared" si="1092"/>
        <v>-0.81350499263069898</v>
      </c>
      <c r="BE566" s="31">
        <f t="shared" si="1093"/>
        <v>0.10095512835400838</v>
      </c>
      <c r="BF566" s="25">
        <f t="shared" si="1094"/>
        <v>1.6784636821261395E-3</v>
      </c>
      <c r="BG566" s="32">
        <f t="shared" si="1095"/>
        <v>-9.9276664671882245E-2</v>
      </c>
      <c r="BH566" s="33">
        <f t="shared" si="1096"/>
        <v>-0.98337416127845978</v>
      </c>
      <c r="BJ566" s="31">
        <f t="shared" si="1073"/>
        <v>0.10100303517853983</v>
      </c>
      <c r="BK566" s="25">
        <f t="shared" si="1074"/>
        <v>1.3919290000000001E-2</v>
      </c>
      <c r="BL566" s="32">
        <f t="shared" si="1075"/>
        <v>-8.7083745178539826E-2</v>
      </c>
      <c r="BM566" s="33">
        <f t="shared" si="1076"/>
        <v>-0.86218938890900343</v>
      </c>
      <c r="BO566" s="62"/>
      <c r="BP566" s="62"/>
      <c r="BQ566" s="62"/>
      <c r="BR566" s="63"/>
    </row>
    <row r="567" spans="1:70">
      <c r="B567" s="1284"/>
      <c r="D567" s="5" t="s">
        <v>173</v>
      </c>
      <c r="E567" s="87">
        <v>6.210935031201295</v>
      </c>
      <c r="F567" s="87">
        <v>5.4176603780588648</v>
      </c>
      <c r="G567" s="87">
        <v>5.2533656688275201</v>
      </c>
      <c r="H567" s="87">
        <v>5.0566616282502572</v>
      </c>
      <c r="I567" s="87">
        <v>1.0006924889597819</v>
      </c>
      <c r="J567" s="87">
        <v>0.99818012056255689</v>
      </c>
      <c r="K567" s="87">
        <v>0.99583147768066038</v>
      </c>
      <c r="L567" s="87">
        <v>0.99367610735583212</v>
      </c>
      <c r="N567" s="29">
        <v>4.1979321172870492</v>
      </c>
      <c r="O567" s="29">
        <v>3.9776178965267723</v>
      </c>
      <c r="P567" s="29">
        <v>3.8216189425953297</v>
      </c>
      <c r="Q567" s="29">
        <v>3.6633132831778372</v>
      </c>
      <c r="R567" s="29">
        <v>2.5180517474084909</v>
      </c>
      <c r="S567" s="29">
        <v>2.3738653286538041</v>
      </c>
      <c r="T567" s="29">
        <v>2.3280685580359592</v>
      </c>
      <c r="U567" s="29">
        <v>2.3624916498876751</v>
      </c>
      <c r="W567" s="30">
        <v>1.3864799312346541</v>
      </c>
      <c r="X567" s="30">
        <v>1.4654397878207646</v>
      </c>
      <c r="Y567" s="30">
        <v>1.6843244860405662</v>
      </c>
      <c r="Z567" s="30">
        <v>0.85113559295155805</v>
      </c>
      <c r="AA567" s="30">
        <v>6.3038709434719005</v>
      </c>
      <c r="AB567" s="85">
        <v>3.6206549112244408</v>
      </c>
      <c r="AC567" s="85">
        <v>1.5446119899999997</v>
      </c>
      <c r="AD567" s="90">
        <v>0</v>
      </c>
      <c r="AF567" s="29">
        <f t="shared" si="1077"/>
        <v>4.1979321172870492</v>
      </c>
      <c r="AG567" s="30">
        <f t="shared" si="1078"/>
        <v>1.3864799312346541</v>
      </c>
      <c r="AH567" s="32">
        <f t="shared" si="1079"/>
        <v>-2.8114521860523949</v>
      </c>
      <c r="AI567" s="33">
        <f t="shared" si="1080"/>
        <v>-0.66972311783576932</v>
      </c>
      <c r="AK567" s="29">
        <f t="shared" si="1069"/>
        <v>3.9776178965267723</v>
      </c>
      <c r="AL567" s="30">
        <f t="shared" si="1070"/>
        <v>1.4654397878207646</v>
      </c>
      <c r="AM567" s="32">
        <f t="shared" si="1081"/>
        <v>-2.5121781087060078</v>
      </c>
      <c r="AN567" s="33">
        <f t="shared" si="1082"/>
        <v>-0.6315785412418885</v>
      </c>
      <c r="AP567" s="29">
        <f t="shared" si="1083"/>
        <v>3.8216189425953297</v>
      </c>
      <c r="AQ567" s="30">
        <f t="shared" si="1084"/>
        <v>1.6843244860405662</v>
      </c>
      <c r="AR567" s="32">
        <f t="shared" si="1085"/>
        <v>-2.1372944565547636</v>
      </c>
      <c r="AS567" s="33">
        <f t="shared" si="1086"/>
        <v>-0.55926414659837553</v>
      </c>
      <c r="AU567" s="31">
        <f t="shared" si="1087"/>
        <v>3.6633132831778372</v>
      </c>
      <c r="AV567" s="25">
        <f t="shared" si="1088"/>
        <v>0.85113559295155805</v>
      </c>
      <c r="AW567" s="32">
        <f t="shared" si="1089"/>
        <v>-2.8121776902262789</v>
      </c>
      <c r="AX567" s="33">
        <f t="shared" si="1090"/>
        <v>-0.76765962199847171</v>
      </c>
      <c r="AZ567" s="31">
        <f t="shared" si="1071"/>
        <v>2.5180517474084909</v>
      </c>
      <c r="BA567" s="25">
        <f t="shared" si="1072"/>
        <v>6.3038709434719005</v>
      </c>
      <c r="BB567" s="32">
        <f t="shared" si="1091"/>
        <v>3.7858191960634096</v>
      </c>
      <c r="BC567" s="33">
        <f t="shared" si="1092"/>
        <v>1.5034715628698536</v>
      </c>
      <c r="BE567" s="31">
        <f t="shared" si="1093"/>
        <v>2.3738653286538041</v>
      </c>
      <c r="BF567" s="25">
        <f t="shared" si="1094"/>
        <v>3.6206549112244408</v>
      </c>
      <c r="BG567" s="32">
        <f t="shared" si="1095"/>
        <v>1.2467895825706368</v>
      </c>
      <c r="BH567" s="33">
        <f t="shared" si="1096"/>
        <v>0.52521495955192998</v>
      </c>
      <c r="BJ567" s="31">
        <f t="shared" si="1073"/>
        <v>2.3280685580359592</v>
      </c>
      <c r="BK567" s="25">
        <f t="shared" si="1074"/>
        <v>1.5446119899999997</v>
      </c>
      <c r="BL567" s="32">
        <f t="shared" si="1075"/>
        <v>-0.78345656803595953</v>
      </c>
      <c r="BM567" s="33">
        <f t="shared" si="1076"/>
        <v>-0.33652641599906796</v>
      </c>
      <c r="BO567" s="62"/>
      <c r="BP567" s="62"/>
      <c r="BQ567" s="62"/>
      <c r="BR567" s="63"/>
    </row>
    <row r="568" spans="1:70">
      <c r="A568" s="1"/>
      <c r="B568" s="1284"/>
      <c r="D568" s="4" t="s">
        <v>174</v>
      </c>
      <c r="E568" s="88">
        <f t="shared" ref="E568:L568" si="1097">SUM(E554:E567)</f>
        <v>37.99350719188034</v>
      </c>
      <c r="F568" s="88">
        <f t="shared" si="1097"/>
        <v>34.097372170079474</v>
      </c>
      <c r="G568" s="88">
        <f t="shared" si="1097"/>
        <v>24.01936327198759</v>
      </c>
      <c r="H568" s="88">
        <f t="shared" si="1097"/>
        <v>18.178318587234088</v>
      </c>
      <c r="I568" s="88">
        <f t="shared" si="1097"/>
        <v>5.6259797456409002</v>
      </c>
      <c r="J568" s="88">
        <f t="shared" si="1097"/>
        <v>6.4568678155398782</v>
      </c>
      <c r="K568" s="88">
        <f t="shared" si="1097"/>
        <v>4.317434440262411</v>
      </c>
      <c r="L568" s="88">
        <f t="shared" si="1097"/>
        <v>4.491983794614919</v>
      </c>
      <c r="M568" s="1"/>
      <c r="N568" s="81">
        <f t="shared" ref="N568:U568" si="1098">SUM(N554:N567)</f>
        <v>26.270123551609586</v>
      </c>
      <c r="O568" s="81">
        <f t="shared" si="1098"/>
        <v>23.816730433194781</v>
      </c>
      <c r="P568" s="81">
        <f t="shared" si="1098"/>
        <v>18.965775514754295</v>
      </c>
      <c r="Q568" s="81">
        <f t="shared" si="1098"/>
        <v>15.268075854776248</v>
      </c>
      <c r="R568" s="81">
        <f t="shared" si="1098"/>
        <v>11.749401267135376</v>
      </c>
      <c r="S568" s="81">
        <f t="shared" si="1098"/>
        <v>12.015261907776587</v>
      </c>
      <c r="T568" s="81">
        <f t="shared" si="1098"/>
        <v>10.03094062361391</v>
      </c>
      <c r="U568" s="81">
        <f t="shared" si="1098"/>
        <v>10.251563585990342</v>
      </c>
      <c r="V568" s="1"/>
      <c r="W568" s="85">
        <f t="shared" ref="W568:AD568" si="1099">SUM(W554:W567)</f>
        <v>12.268407912767881</v>
      </c>
      <c r="X568" s="85">
        <f t="shared" si="1099"/>
        <v>12.850439910546839</v>
      </c>
      <c r="Y568" s="85">
        <f t="shared" si="1099"/>
        <v>15.51347966132581</v>
      </c>
      <c r="Z568" s="85">
        <f>SUM(Z554:Z567)</f>
        <v>18.464382639073637</v>
      </c>
      <c r="AA568" s="85">
        <f>SUM(AA554:AA567)</f>
        <v>17.439742088967197</v>
      </c>
      <c r="AB568" s="85">
        <f t="shared" si="1099"/>
        <v>12.463416361907949</v>
      </c>
      <c r="AC568" s="85">
        <f t="shared" ref="AC568" si="1100">SUM(AC554:AC567)</f>
        <v>8.472671160966561</v>
      </c>
      <c r="AD568" s="91">
        <f t="shared" si="1099"/>
        <v>0</v>
      </c>
      <c r="AE568" s="1"/>
      <c r="AF568" s="81">
        <f t="shared" si="1077"/>
        <v>26.270123551609586</v>
      </c>
      <c r="AG568" s="85">
        <f t="shared" si="1078"/>
        <v>12.268407912767881</v>
      </c>
      <c r="AH568" s="34">
        <f>IF(AG568&gt;0,AG568-AF568,"")</f>
        <v>-14.001715638841706</v>
      </c>
      <c r="AI568" s="35">
        <f>IF(AG568&gt;0,AH568/AF568,"")</f>
        <v>-0.53299009467292024</v>
      </c>
      <c r="AK568" s="81">
        <f t="shared" si="1069"/>
        <v>23.816730433194781</v>
      </c>
      <c r="AL568" s="85">
        <f t="shared" si="1070"/>
        <v>12.850439910546839</v>
      </c>
      <c r="AM568" s="34">
        <f t="shared" si="1081"/>
        <v>-10.966290522647942</v>
      </c>
      <c r="AN568" s="35">
        <f t="shared" si="1082"/>
        <v>-0.46044483533993297</v>
      </c>
      <c r="AP568" s="81">
        <f t="shared" si="1083"/>
        <v>18.965775514754295</v>
      </c>
      <c r="AQ568" s="85">
        <f t="shared" si="1084"/>
        <v>15.51347966132581</v>
      </c>
      <c r="AR568" s="34">
        <f t="shared" si="1085"/>
        <v>-3.4522958534284847</v>
      </c>
      <c r="AS568" s="35">
        <f t="shared" si="1086"/>
        <v>-0.18202766613697366</v>
      </c>
      <c r="AU568" s="949">
        <f t="shared" si="1087"/>
        <v>15.268075854776248</v>
      </c>
      <c r="AV568" s="843">
        <f t="shared" si="1088"/>
        <v>18.464382639073637</v>
      </c>
      <c r="AW568" s="34">
        <f t="shared" si="1089"/>
        <v>3.1963067842973896</v>
      </c>
      <c r="AX568" s="35">
        <f t="shared" si="1090"/>
        <v>0.2093457495691903</v>
      </c>
      <c r="AZ568" s="949">
        <f t="shared" si="1071"/>
        <v>11.749401267135376</v>
      </c>
      <c r="BA568" s="843">
        <f t="shared" si="1072"/>
        <v>17.439742088967197</v>
      </c>
      <c r="BB568" s="34">
        <f t="shared" si="1091"/>
        <v>5.6903408218318212</v>
      </c>
      <c r="BC568" s="35">
        <f t="shared" si="1092"/>
        <v>0.48430900370629565</v>
      </c>
      <c r="BE568" s="31">
        <f t="shared" si="1093"/>
        <v>12.015261907776587</v>
      </c>
      <c r="BF568" s="25">
        <f t="shared" si="1094"/>
        <v>12.463416361907949</v>
      </c>
      <c r="BG568" s="32">
        <f t="shared" si="1095"/>
        <v>0.44815445413136246</v>
      </c>
      <c r="BH568" s="33">
        <f t="shared" si="1096"/>
        <v>3.729876698245798E-2</v>
      </c>
      <c r="BJ568" s="31">
        <f t="shared" si="1073"/>
        <v>10.03094062361391</v>
      </c>
      <c r="BK568" s="25">
        <f t="shared" si="1074"/>
        <v>8.472671160966561</v>
      </c>
      <c r="BL568" s="32">
        <f t="shared" si="1075"/>
        <v>-1.558269462647349</v>
      </c>
      <c r="BM568" s="33">
        <f t="shared" si="1076"/>
        <v>-0.15534629513996082</v>
      </c>
      <c r="BO568" s="62"/>
      <c r="BP568" s="62"/>
      <c r="BQ568" s="62"/>
      <c r="BR568" s="63"/>
    </row>
    <row r="569" spans="1:70">
      <c r="A569" s="1"/>
      <c r="B569" s="1284"/>
      <c r="D569" s="4" t="s">
        <v>724</v>
      </c>
      <c r="E569" s="88">
        <f t="shared" ref="E569:L569" si="1101">E568-SUM(E557:E560)</f>
        <v>31.243771051309402</v>
      </c>
      <c r="F569" s="88">
        <f t="shared" si="1101"/>
        <v>28.912107277547854</v>
      </c>
      <c r="G569" s="88">
        <f t="shared" si="1101"/>
        <v>21.066363971678594</v>
      </c>
      <c r="H569" s="88">
        <f t="shared" si="1101"/>
        <v>17.770666693654466</v>
      </c>
      <c r="I569" s="88">
        <f t="shared" si="1101"/>
        <v>4.7753125708468804</v>
      </c>
      <c r="J569" s="88">
        <f t="shared" si="1101"/>
        <v>4.7133540327586392</v>
      </c>
      <c r="K569" s="88">
        <f t="shared" si="1101"/>
        <v>3.5061943211588158</v>
      </c>
      <c r="L569" s="88">
        <f t="shared" si="1101"/>
        <v>3.5263508071937002</v>
      </c>
      <c r="M569" s="1"/>
      <c r="N569" s="81">
        <f t="shared" ref="N569:U569" si="1102">N568-SUM(N557:N560)</f>
        <v>19.520387411038648</v>
      </c>
      <c r="O569" s="81">
        <f t="shared" si="1102"/>
        <v>18.631465540663164</v>
      </c>
      <c r="P569" s="81">
        <f t="shared" si="1102"/>
        <v>16.012776214445299</v>
      </c>
      <c r="Q569" s="81">
        <f t="shared" si="1102"/>
        <v>14.860423961196625</v>
      </c>
      <c r="R569" s="81">
        <f t="shared" si="1102"/>
        <v>10.898734092341355</v>
      </c>
      <c r="S569" s="81">
        <f t="shared" si="1102"/>
        <v>10.271748124995348</v>
      </c>
      <c r="T569" s="81">
        <f t="shared" si="1102"/>
        <v>9.219700504510314</v>
      </c>
      <c r="U569" s="81">
        <f t="shared" si="1102"/>
        <v>9.2859305985691218</v>
      </c>
      <c r="V569" s="1"/>
      <c r="W569" s="85">
        <f t="shared" ref="W569:AD569" si="1103">W568-SUM(W557:W560)</f>
        <v>10.273843790239136</v>
      </c>
      <c r="X569" s="85">
        <f t="shared" si="1103"/>
        <v>10.797909328491532</v>
      </c>
      <c r="Y569" s="85">
        <f t="shared" si="1103"/>
        <v>13.605159830691562</v>
      </c>
      <c r="Z569" s="85">
        <f>Z568-SUM(Z557:Z560)</f>
        <v>17.244168109303917</v>
      </c>
      <c r="AA569" s="85">
        <f>AA568-SUM(AA557:AA560)</f>
        <v>16.774906593753155</v>
      </c>
      <c r="AB569" s="85">
        <f t="shared" si="1103"/>
        <v>11.508259345655276</v>
      </c>
      <c r="AC569" s="85">
        <f t="shared" ref="AC569" si="1104">AC568-SUM(AC557:AC560)</f>
        <v>7.6531711609665614</v>
      </c>
      <c r="AD569" s="91">
        <f t="shared" si="1103"/>
        <v>0</v>
      </c>
      <c r="AE569" s="1"/>
      <c r="AF569" s="81">
        <f t="shared" si="1077"/>
        <v>19.520387411038648</v>
      </c>
      <c r="AG569" s="85">
        <f t="shared" si="1078"/>
        <v>10.273843790239136</v>
      </c>
      <c r="AH569" s="34">
        <f>IF(AG569&gt;0,AG569-AF569,"")</f>
        <v>-9.2465436207995122</v>
      </c>
      <c r="AI569" s="35">
        <f>IF(AG569&gt;0,AH569/AF569,"")</f>
        <v>-0.47368648101577399</v>
      </c>
      <c r="AK569" s="81">
        <f t="shared" si="1069"/>
        <v>18.631465540663164</v>
      </c>
      <c r="AL569" s="85">
        <f t="shared" si="1070"/>
        <v>10.797909328491532</v>
      </c>
      <c r="AM569" s="34">
        <f t="shared" si="1081"/>
        <v>-7.8335562121716329</v>
      </c>
      <c r="AN569" s="35">
        <f t="shared" si="1082"/>
        <v>-0.42044766661403526</v>
      </c>
      <c r="AP569" s="81">
        <f t="shared" si="1083"/>
        <v>16.012776214445299</v>
      </c>
      <c r="AQ569" s="85">
        <f>Y569</f>
        <v>13.605159830691562</v>
      </c>
      <c r="AR569" s="34">
        <f t="shared" si="1085"/>
        <v>-2.4076163837537372</v>
      </c>
      <c r="AS569" s="35">
        <f t="shared" si="1086"/>
        <v>-0.15035596273317056</v>
      </c>
      <c r="AU569" s="949">
        <f t="shared" si="1087"/>
        <v>14.860423961196625</v>
      </c>
      <c r="AV569" s="843">
        <f t="shared" si="1088"/>
        <v>17.244168109303917</v>
      </c>
      <c r="AW569" s="34">
        <f t="shared" si="1089"/>
        <v>2.3837441481072918</v>
      </c>
      <c r="AX569" s="35">
        <f t="shared" si="1090"/>
        <v>0.16040889239309042</v>
      </c>
      <c r="AZ569" s="949">
        <f t="shared" si="1071"/>
        <v>10.898734092341355</v>
      </c>
      <c r="BA569" s="843">
        <f t="shared" si="1072"/>
        <v>16.774906593753155</v>
      </c>
      <c r="BB569" s="34">
        <f t="shared" si="1091"/>
        <v>5.8761725014117996</v>
      </c>
      <c r="BC569" s="35">
        <f t="shared" si="1092"/>
        <v>0.53916101187761267</v>
      </c>
      <c r="BE569" s="31">
        <f t="shared" si="1093"/>
        <v>10.271748124995348</v>
      </c>
      <c r="BF569" s="25">
        <f t="shared" si="1094"/>
        <v>11.508259345655276</v>
      </c>
      <c r="BG569" s="32">
        <f t="shared" si="1095"/>
        <v>1.2365112206599278</v>
      </c>
      <c r="BH569" s="33">
        <f t="shared" si="1096"/>
        <v>0.12037982294863639</v>
      </c>
      <c r="BJ569" s="31">
        <f t="shared" si="1073"/>
        <v>9.219700504510314</v>
      </c>
      <c r="BK569" s="25">
        <f t="shared" si="1074"/>
        <v>7.6531711609665614</v>
      </c>
      <c r="BL569" s="32">
        <f t="shared" si="1075"/>
        <v>-1.5665293435437526</v>
      </c>
      <c r="BM569" s="33">
        <f t="shared" si="1076"/>
        <v>-0.16991108797703355</v>
      </c>
      <c r="BO569" s="62"/>
      <c r="BP569" s="62"/>
      <c r="BQ569" s="62"/>
      <c r="BR569" s="63"/>
    </row>
    <row r="570" spans="1:70" ht="14.5" customHeight="1">
      <c r="B570" s="1284"/>
    </row>
    <row r="571" spans="1:70" ht="14.5" customHeight="1">
      <c r="B571" s="1284"/>
      <c r="D571" s="1" t="s">
        <v>84</v>
      </c>
    </row>
    <row r="572" spans="1:70" ht="14.5" customHeight="1">
      <c r="B572" s="1284"/>
      <c r="D572" s="1"/>
      <c r="E572" s="1300" t="s">
        <v>733</v>
      </c>
      <c r="F572" s="1301"/>
      <c r="G572" s="1301"/>
      <c r="H572" s="1301"/>
      <c r="I572" s="1301"/>
      <c r="J572" s="1301"/>
      <c r="K572" s="1301"/>
      <c r="L572" s="1302"/>
      <c r="N572" s="245" t="s">
        <v>291</v>
      </c>
      <c r="O572" s="246"/>
      <c r="P572" s="246"/>
      <c r="Q572" s="246"/>
      <c r="R572" s="246"/>
      <c r="S572" s="246"/>
      <c r="T572" s="246"/>
      <c r="U572" s="247"/>
      <c r="W572" s="1079" t="s">
        <v>292</v>
      </c>
      <c r="X572" s="1080"/>
      <c r="Y572" s="1080"/>
      <c r="Z572" s="1080"/>
      <c r="AA572" s="1080"/>
      <c r="AB572" s="1080"/>
      <c r="AC572" s="1080"/>
      <c r="AD572" s="1081"/>
      <c r="AF572" s="102" t="s">
        <v>297</v>
      </c>
      <c r="AG572" s="102" t="s">
        <v>298</v>
      </c>
      <c r="AH572" s="1304" t="s">
        <v>602</v>
      </c>
      <c r="AI572" s="1304"/>
      <c r="AK572" s="102" t="s">
        <v>297</v>
      </c>
      <c r="AL572" s="102" t="s">
        <v>298</v>
      </c>
      <c r="AM572" s="1304" t="s">
        <v>602</v>
      </c>
      <c r="AN572" s="1304"/>
      <c r="AP572" s="6" t="s">
        <v>297</v>
      </c>
      <c r="AQ572" s="5" t="s">
        <v>298</v>
      </c>
      <c r="AR572" s="1303" t="s">
        <v>602</v>
      </c>
      <c r="AS572" s="1303"/>
      <c r="AU572" s="6" t="s">
        <v>297</v>
      </c>
      <c r="AV572" s="5" t="s">
        <v>298</v>
      </c>
      <c r="AW572" s="1303" t="s">
        <v>602</v>
      </c>
      <c r="AX572" s="1303"/>
      <c r="AZ572" s="6" t="s">
        <v>297</v>
      </c>
      <c r="BA572" s="5" t="s">
        <v>298</v>
      </c>
      <c r="BB572" s="1303" t="s">
        <v>602</v>
      </c>
      <c r="BC572" s="1303"/>
      <c r="BE572" s="6" t="s">
        <v>297</v>
      </c>
      <c r="BF572" s="5" t="s">
        <v>298</v>
      </c>
      <c r="BG572" s="1082" t="s">
        <v>602</v>
      </c>
      <c r="BH572" s="1082"/>
      <c r="BJ572" s="6" t="s">
        <v>297</v>
      </c>
      <c r="BK572" s="5" t="s">
        <v>298</v>
      </c>
      <c r="BL572" s="1082" t="s">
        <v>602</v>
      </c>
      <c r="BM572" s="1082"/>
      <c r="BO572" s="6" t="s">
        <v>297</v>
      </c>
      <c r="BP572" s="5" t="s">
        <v>298</v>
      </c>
      <c r="BQ572" s="1303" t="s">
        <v>602</v>
      </c>
      <c r="BR572" s="1303"/>
    </row>
    <row r="573" spans="1:70" ht="14.5" customHeight="1">
      <c r="A573" s="1"/>
      <c r="B573" s="1284"/>
      <c r="E573" s="196" t="s">
        <v>137</v>
      </c>
      <c r="F573" s="102" t="s">
        <v>138</v>
      </c>
      <c r="G573" s="102" t="s">
        <v>139</v>
      </c>
      <c r="H573" s="102" t="s">
        <v>140</v>
      </c>
      <c r="I573" s="102" t="s">
        <v>141</v>
      </c>
      <c r="J573" s="102" t="s">
        <v>126</v>
      </c>
      <c r="K573" s="102" t="s">
        <v>142</v>
      </c>
      <c r="L573" s="197" t="s">
        <v>143</v>
      </c>
      <c r="N573" s="196" t="s">
        <v>137</v>
      </c>
      <c r="O573" s="102" t="s">
        <v>138</v>
      </c>
      <c r="P573" s="102" t="s">
        <v>139</v>
      </c>
      <c r="Q573" s="102" t="s">
        <v>140</v>
      </c>
      <c r="R573" s="102" t="s">
        <v>141</v>
      </c>
      <c r="S573" s="102" t="s">
        <v>126</v>
      </c>
      <c r="T573" s="102" t="s">
        <v>142</v>
      </c>
      <c r="U573" s="197" t="s">
        <v>143</v>
      </c>
      <c r="W573" s="196" t="s">
        <v>137</v>
      </c>
      <c r="X573" s="1078" t="s">
        <v>138</v>
      </c>
      <c r="Y573" s="1078" t="s">
        <v>139</v>
      </c>
      <c r="Z573" s="1078" t="s">
        <v>140</v>
      </c>
      <c r="AA573" s="1078" t="s">
        <v>141</v>
      </c>
      <c r="AB573" s="1078" t="s">
        <v>126</v>
      </c>
      <c r="AC573" s="1078" t="s">
        <v>142</v>
      </c>
      <c r="AD573" s="197" t="s">
        <v>143</v>
      </c>
      <c r="AF573" s="102" t="s">
        <v>734</v>
      </c>
      <c r="AG573" s="102" t="s">
        <v>734</v>
      </c>
      <c r="AH573" s="102" t="s">
        <v>734</v>
      </c>
      <c r="AI573" s="102" t="s">
        <v>606</v>
      </c>
      <c r="AK573" s="102" t="s">
        <v>734</v>
      </c>
      <c r="AL573" s="102" t="s">
        <v>734</v>
      </c>
      <c r="AM573" s="102" t="s">
        <v>734</v>
      </c>
      <c r="AN573" s="102" t="s">
        <v>606</v>
      </c>
      <c r="AP573" s="5" t="s">
        <v>734</v>
      </c>
      <c r="AQ573" s="5" t="s">
        <v>734</v>
      </c>
      <c r="AR573" s="5" t="s">
        <v>734</v>
      </c>
      <c r="AS573" s="5" t="s">
        <v>606</v>
      </c>
      <c r="AU573" s="5" t="s">
        <v>734</v>
      </c>
      <c r="AV573" s="5" t="s">
        <v>734</v>
      </c>
      <c r="AW573" s="5" t="s">
        <v>734</v>
      </c>
      <c r="AX573" s="5" t="s">
        <v>606</v>
      </c>
      <c r="AZ573" s="5" t="s">
        <v>734</v>
      </c>
      <c r="BA573" s="5" t="s">
        <v>734</v>
      </c>
      <c r="BB573" s="5" t="s">
        <v>734</v>
      </c>
      <c r="BC573" s="5" t="s">
        <v>606</v>
      </c>
      <c r="BE573" s="5" t="s">
        <v>734</v>
      </c>
      <c r="BF573" s="5" t="s">
        <v>734</v>
      </c>
      <c r="BG573" s="5" t="s">
        <v>734</v>
      </c>
      <c r="BH573" s="5" t="s">
        <v>606</v>
      </c>
      <c r="BJ573" s="5" t="s">
        <v>734</v>
      </c>
      <c r="BK573" s="5" t="s">
        <v>734</v>
      </c>
      <c r="BL573" s="5" t="s">
        <v>734</v>
      </c>
      <c r="BM573" s="5" t="s">
        <v>606</v>
      </c>
      <c r="BO573" s="5" t="s">
        <v>734</v>
      </c>
      <c r="BP573" s="5" t="s">
        <v>734</v>
      </c>
      <c r="BQ573" s="5" t="s">
        <v>734</v>
      </c>
      <c r="BR573" s="5" t="s">
        <v>606</v>
      </c>
    </row>
    <row r="574" spans="1:70">
      <c r="B574" s="1284"/>
      <c r="D574" s="5" t="s">
        <v>161</v>
      </c>
      <c r="E574" s="87">
        <v>0</v>
      </c>
      <c r="F574" s="87">
        <v>0</v>
      </c>
      <c r="G574" s="87">
        <v>0</v>
      </c>
      <c r="H574" s="87">
        <v>0</v>
      </c>
      <c r="I574" s="87">
        <v>0</v>
      </c>
      <c r="J574" s="87">
        <v>0</v>
      </c>
      <c r="K574" s="87">
        <v>0</v>
      </c>
      <c r="L574" s="87">
        <v>0</v>
      </c>
      <c r="N574" s="29">
        <v>0</v>
      </c>
      <c r="O574" s="29">
        <v>0</v>
      </c>
      <c r="P574" s="29">
        <v>0</v>
      </c>
      <c r="Q574" s="29">
        <v>0</v>
      </c>
      <c r="R574" s="29">
        <v>0</v>
      </c>
      <c r="S574" s="29">
        <v>0</v>
      </c>
      <c r="T574" s="29">
        <v>0</v>
      </c>
      <c r="U574" s="29">
        <v>0</v>
      </c>
      <c r="W574" s="30">
        <v>0</v>
      </c>
      <c r="X574" s="30">
        <v>0</v>
      </c>
      <c r="Y574" s="30">
        <v>0</v>
      </c>
      <c r="Z574" s="30">
        <v>0</v>
      </c>
      <c r="AA574" s="30">
        <v>0</v>
      </c>
      <c r="AB574" s="85">
        <v>0</v>
      </c>
      <c r="AC574" s="85">
        <v>0</v>
      </c>
      <c r="AD574" s="90">
        <v>0</v>
      </c>
      <c r="AF574" s="29">
        <f>N574</f>
        <v>0</v>
      </c>
      <c r="AG574" s="30">
        <f>W574</f>
        <v>0</v>
      </c>
      <c r="AH574" s="32">
        <f>AG574-AF574</f>
        <v>0</v>
      </c>
      <c r="AI574" s="33" t="e">
        <f>AH574/AF574</f>
        <v>#DIV/0!</v>
      </c>
      <c r="AK574" s="29">
        <f t="shared" ref="AK574:AK589" si="1105">O574</f>
        <v>0</v>
      </c>
      <c r="AL574" s="30">
        <f t="shared" ref="AL574:AL589" si="1106">X574</f>
        <v>0</v>
      </c>
      <c r="AM574" s="32">
        <f>AL574-AK574</f>
        <v>0</v>
      </c>
      <c r="AN574" s="33" t="e">
        <f>AM574/AK574</f>
        <v>#DIV/0!</v>
      </c>
      <c r="AP574" s="29">
        <f>P574</f>
        <v>0</v>
      </c>
      <c r="AQ574" s="30">
        <f>Y574</f>
        <v>0</v>
      </c>
      <c r="AR574" s="32">
        <f>AQ574-AP574</f>
        <v>0</v>
      </c>
      <c r="AS574" s="33" t="e">
        <f>AR574/AP574</f>
        <v>#DIV/0!</v>
      </c>
      <c r="AU574" s="31">
        <f>Q574</f>
        <v>0</v>
      </c>
      <c r="AV574" s="25">
        <f>Z574</f>
        <v>0</v>
      </c>
      <c r="AW574" s="32">
        <f>AV574-AU574</f>
        <v>0</v>
      </c>
      <c r="AX574" s="33" t="e">
        <f>AW574/AU574</f>
        <v>#DIV/0!</v>
      </c>
      <c r="AZ574" s="31">
        <f t="shared" ref="AZ574:AZ589" si="1107">R574</f>
        <v>0</v>
      </c>
      <c r="BA574" s="25">
        <f t="shared" ref="BA574:BA589" si="1108">AA574</f>
        <v>0</v>
      </c>
      <c r="BB574" s="32">
        <f>BA574-AZ574</f>
        <v>0</v>
      </c>
      <c r="BC574" s="33" t="e">
        <f>BB574/AZ574</f>
        <v>#DIV/0!</v>
      </c>
      <c r="BE574" s="31">
        <f>S574</f>
        <v>0</v>
      </c>
      <c r="BF574" s="25">
        <f>AB574</f>
        <v>0</v>
      </c>
      <c r="BG574" s="32">
        <f>BF574-BE574</f>
        <v>0</v>
      </c>
      <c r="BH574" s="33" t="e">
        <f>BG574/BE574</f>
        <v>#DIV/0!</v>
      </c>
      <c r="BJ574" s="31">
        <f t="shared" ref="BJ574:BJ589" si="1109">T574</f>
        <v>0</v>
      </c>
      <c r="BK574" s="25">
        <f t="shared" ref="BK574:BK589" si="1110">AC574</f>
        <v>0</v>
      </c>
      <c r="BL574" s="32">
        <f t="shared" ref="BL574:BL589" si="1111">BK574-BJ574</f>
        <v>0</v>
      </c>
      <c r="BM574" s="33" t="e">
        <f t="shared" ref="BM574:BM589" si="1112">BL574/BJ574</f>
        <v>#DIV/0!</v>
      </c>
      <c r="BO574" s="62"/>
      <c r="BP574" s="62"/>
      <c r="BQ574" s="62"/>
      <c r="BR574" s="63"/>
    </row>
    <row r="575" spans="1:70">
      <c r="B575" s="1284"/>
      <c r="D575" s="5" t="s">
        <v>162</v>
      </c>
      <c r="E575" s="87">
        <v>0</v>
      </c>
      <c r="F575" s="87">
        <v>0</v>
      </c>
      <c r="G575" s="87">
        <v>0</v>
      </c>
      <c r="H575" s="87">
        <v>0</v>
      </c>
      <c r="I575" s="87">
        <v>0</v>
      </c>
      <c r="J575" s="87">
        <v>0</v>
      </c>
      <c r="K575" s="87">
        <v>0</v>
      </c>
      <c r="L575" s="87">
        <v>0</v>
      </c>
      <c r="N575" s="29">
        <v>0</v>
      </c>
      <c r="O575" s="29">
        <v>0</v>
      </c>
      <c r="P575" s="29">
        <v>0</v>
      </c>
      <c r="Q575" s="29">
        <v>6.81005471789108E-2</v>
      </c>
      <c r="R575" s="29">
        <v>0.9943836478103607</v>
      </c>
      <c r="S575" s="29">
        <v>0</v>
      </c>
      <c r="T575" s="29">
        <v>0</v>
      </c>
      <c r="U575" s="29">
        <v>0</v>
      </c>
      <c r="W575" s="30">
        <v>0</v>
      </c>
      <c r="X575" s="30">
        <v>0</v>
      </c>
      <c r="Y575" s="30">
        <v>0</v>
      </c>
      <c r="Z575" s="30">
        <v>0</v>
      </c>
      <c r="AA575" s="30">
        <v>0.39633719093381603</v>
      </c>
      <c r="AB575" s="85">
        <v>7.9205089239513624E-2</v>
      </c>
      <c r="AC575" s="85">
        <v>1.8216139999999999E-2</v>
      </c>
      <c r="AD575" s="90">
        <v>0</v>
      </c>
      <c r="AF575" s="29">
        <f t="shared" ref="AF575:AF589" si="1113">N575</f>
        <v>0</v>
      </c>
      <c r="AG575" s="30">
        <f t="shared" ref="AG575:AG589" si="1114">W575</f>
        <v>0</v>
      </c>
      <c r="AH575" s="32">
        <f t="shared" ref="AH575:AH587" si="1115">AG575-AF575</f>
        <v>0</v>
      </c>
      <c r="AI575" s="33" t="e">
        <f t="shared" ref="AI575:AI587" si="1116">AH575/AF575</f>
        <v>#DIV/0!</v>
      </c>
      <c r="AK575" s="29">
        <f t="shared" si="1105"/>
        <v>0</v>
      </c>
      <c r="AL575" s="30">
        <f t="shared" si="1106"/>
        <v>0</v>
      </c>
      <c r="AM575" s="32">
        <f t="shared" ref="AM575:AM587" si="1117">AL575-AK575</f>
        <v>0</v>
      </c>
      <c r="AN575" s="33" t="e">
        <f t="shared" ref="AN575:AN587" si="1118">AM575/AK575</f>
        <v>#DIV/0!</v>
      </c>
      <c r="AP575" s="29">
        <f t="shared" ref="AP575:AP589" si="1119">P575</f>
        <v>0</v>
      </c>
      <c r="AQ575" s="30">
        <f t="shared" ref="AQ575:AQ588" si="1120">Y575</f>
        <v>0</v>
      </c>
      <c r="AR575" s="32">
        <f t="shared" ref="AR575:AR589" si="1121">AQ575-AP575</f>
        <v>0</v>
      </c>
      <c r="AS575" s="33" t="e">
        <f t="shared" ref="AS575:AS589" si="1122">AR575/AP575</f>
        <v>#DIV/0!</v>
      </c>
      <c r="AU575" s="31">
        <f t="shared" ref="AU575:AU589" si="1123">Q575</f>
        <v>6.81005471789108E-2</v>
      </c>
      <c r="AV575" s="25">
        <f t="shared" ref="AV575:AV589" si="1124">Z575</f>
        <v>0</v>
      </c>
      <c r="AW575" s="32">
        <f t="shared" ref="AW575:AW589" si="1125">AV575-AU575</f>
        <v>-6.81005471789108E-2</v>
      </c>
      <c r="AX575" s="33">
        <f t="shared" ref="AX575:AX589" si="1126">AW575/AU575</f>
        <v>-1</v>
      </c>
      <c r="AZ575" s="31">
        <f t="shared" si="1107"/>
        <v>0.9943836478103607</v>
      </c>
      <c r="BA575" s="25">
        <f t="shared" si="1108"/>
        <v>0.39633719093381603</v>
      </c>
      <c r="BB575" s="32">
        <f t="shared" ref="BB575:BB589" si="1127">BA575-AZ575</f>
        <v>-0.59804645687654467</v>
      </c>
      <c r="BC575" s="33">
        <f t="shared" ref="BC575:BC589" si="1128">BB575/AZ575</f>
        <v>-0.60142426737753274</v>
      </c>
      <c r="BE575" s="31">
        <f t="shared" ref="BE575:BE589" si="1129">S575</f>
        <v>0</v>
      </c>
      <c r="BF575" s="25">
        <f t="shared" ref="BF575:BF589" si="1130">AB575</f>
        <v>7.9205089239513624E-2</v>
      </c>
      <c r="BG575" s="32">
        <f t="shared" ref="BG575:BG589" si="1131">BF575-BE575</f>
        <v>7.9205089239513624E-2</v>
      </c>
      <c r="BH575" s="33" t="e">
        <f t="shared" ref="BH575:BH589" si="1132">BG575/BE575</f>
        <v>#DIV/0!</v>
      </c>
      <c r="BJ575" s="31">
        <f t="shared" si="1109"/>
        <v>0</v>
      </c>
      <c r="BK575" s="25">
        <f t="shared" si="1110"/>
        <v>1.8216139999999999E-2</v>
      </c>
      <c r="BL575" s="32">
        <f t="shared" si="1111"/>
        <v>1.8216139999999999E-2</v>
      </c>
      <c r="BM575" s="33" t="e">
        <f t="shared" si="1112"/>
        <v>#DIV/0!</v>
      </c>
      <c r="BO575" s="62"/>
      <c r="BP575" s="62"/>
      <c r="BQ575" s="62"/>
      <c r="BR575" s="63"/>
    </row>
    <row r="576" spans="1:70">
      <c r="B576" s="1284"/>
      <c r="D576" s="5" t="s">
        <v>163</v>
      </c>
      <c r="E576" s="87">
        <v>1.2387053838211342</v>
      </c>
      <c r="F576" s="87">
        <v>0</v>
      </c>
      <c r="G576" s="87">
        <v>0.64288401918372107</v>
      </c>
      <c r="H576" s="87">
        <v>0</v>
      </c>
      <c r="I576" s="87">
        <v>0</v>
      </c>
      <c r="J576" s="87">
        <v>0</v>
      </c>
      <c r="K576" s="87">
        <v>0</v>
      </c>
      <c r="L576" s="87">
        <v>0</v>
      </c>
      <c r="N576" s="29">
        <v>1.141207526613301</v>
      </c>
      <c r="O576" s="29">
        <v>0</v>
      </c>
      <c r="P576" s="29">
        <v>0.65572227326572297</v>
      </c>
      <c r="Q576" s="29">
        <v>0.1646806198344743</v>
      </c>
      <c r="R576" s="29">
        <v>2.2287633238459179</v>
      </c>
      <c r="S576" s="29">
        <v>8.0684775191580665E-3</v>
      </c>
      <c r="T576" s="29">
        <v>8.0684775191580665E-3</v>
      </c>
      <c r="U576" s="29">
        <v>8.0684775191580665E-3</v>
      </c>
      <c r="W576" s="30">
        <v>0</v>
      </c>
      <c r="X576" s="30">
        <v>4.2594978550955703E-2</v>
      </c>
      <c r="Y576" s="30">
        <v>7.6560725461554138E-2</v>
      </c>
      <c r="Z576" s="30">
        <v>0.44278831384805223</v>
      </c>
      <c r="AA576" s="30">
        <v>2.8204106736081482</v>
      </c>
      <c r="AB576" s="85">
        <v>1.8176246542420467</v>
      </c>
      <c r="AC576" s="85">
        <v>0.55735040999999996</v>
      </c>
      <c r="AD576" s="90">
        <v>0</v>
      </c>
      <c r="AF576" s="29">
        <f t="shared" si="1113"/>
        <v>1.141207526613301</v>
      </c>
      <c r="AG576" s="30">
        <f t="shared" si="1114"/>
        <v>0</v>
      </c>
      <c r="AH576" s="32">
        <f t="shared" si="1115"/>
        <v>-1.141207526613301</v>
      </c>
      <c r="AI576" s="33">
        <f t="shared" si="1116"/>
        <v>-1</v>
      </c>
      <c r="AK576" s="29">
        <f t="shared" si="1105"/>
        <v>0</v>
      </c>
      <c r="AL576" s="30">
        <f t="shared" si="1106"/>
        <v>4.2594978550955703E-2</v>
      </c>
      <c r="AM576" s="32">
        <f t="shared" si="1117"/>
        <v>4.2594978550955703E-2</v>
      </c>
      <c r="AN576" s="33" t="e">
        <f t="shared" si="1118"/>
        <v>#DIV/0!</v>
      </c>
      <c r="AP576" s="29">
        <f t="shared" si="1119"/>
        <v>0.65572227326572297</v>
      </c>
      <c r="AQ576" s="30">
        <f t="shared" si="1120"/>
        <v>7.6560725461554138E-2</v>
      </c>
      <c r="AR576" s="32">
        <f t="shared" si="1121"/>
        <v>-0.57916154780416884</v>
      </c>
      <c r="AS576" s="33">
        <f t="shared" si="1122"/>
        <v>-0.88324214597705319</v>
      </c>
      <c r="AU576" s="31">
        <f t="shared" si="1123"/>
        <v>0.1646806198344743</v>
      </c>
      <c r="AV576" s="25">
        <f t="shared" si="1124"/>
        <v>0.44278831384805223</v>
      </c>
      <c r="AW576" s="32">
        <f t="shared" si="1125"/>
        <v>0.27810769401357793</v>
      </c>
      <c r="AX576" s="33">
        <f t="shared" si="1126"/>
        <v>1.6887700221988038</v>
      </c>
      <c r="AZ576" s="31">
        <f t="shared" si="1107"/>
        <v>2.2287633238459179</v>
      </c>
      <c r="BA576" s="25">
        <f t="shared" si="1108"/>
        <v>2.8204106736081482</v>
      </c>
      <c r="BB576" s="32">
        <f t="shared" si="1127"/>
        <v>0.59164734976223032</v>
      </c>
      <c r="BC576" s="33">
        <f t="shared" si="1128"/>
        <v>0.26545992723053841</v>
      </c>
      <c r="BE576" s="31">
        <f t="shared" si="1129"/>
        <v>8.0684775191580665E-3</v>
      </c>
      <c r="BF576" s="25">
        <f t="shared" si="1130"/>
        <v>1.8176246542420467</v>
      </c>
      <c r="BG576" s="32">
        <f t="shared" si="1131"/>
        <v>1.8095561767228887</v>
      </c>
      <c r="BH576" s="33">
        <f t="shared" si="1132"/>
        <v>224.27479935665895</v>
      </c>
      <c r="BJ576" s="31">
        <f t="shared" si="1109"/>
        <v>8.0684775191580665E-3</v>
      </c>
      <c r="BK576" s="25">
        <f t="shared" si="1110"/>
        <v>0.55735040999999996</v>
      </c>
      <c r="BL576" s="32">
        <f t="shared" si="1111"/>
        <v>0.54928193248084189</v>
      </c>
      <c r="BM576" s="33">
        <f t="shared" si="1112"/>
        <v>68.07751910773851</v>
      </c>
      <c r="BO576" s="62"/>
      <c r="BP576" s="62"/>
      <c r="BQ576" s="62"/>
      <c r="BR576" s="63"/>
    </row>
    <row r="577" spans="1:70">
      <c r="B577" s="1284"/>
      <c r="D577" s="5" t="s">
        <v>164</v>
      </c>
      <c r="E577" s="87">
        <v>0</v>
      </c>
      <c r="F577" s="87">
        <v>0</v>
      </c>
      <c r="G577" s="87">
        <v>0</v>
      </c>
      <c r="H577" s="87">
        <v>0</v>
      </c>
      <c r="I577" s="87">
        <v>0</v>
      </c>
      <c r="J577" s="87">
        <v>0</v>
      </c>
      <c r="K577" s="87">
        <v>0</v>
      </c>
      <c r="L577" s="87">
        <v>0</v>
      </c>
      <c r="N577" s="29">
        <v>0</v>
      </c>
      <c r="O577" s="29">
        <v>0</v>
      </c>
      <c r="P577" s="29">
        <v>0</v>
      </c>
      <c r="Q577" s="29">
        <v>0</v>
      </c>
      <c r="R577" s="29">
        <v>0</v>
      </c>
      <c r="S577" s="29">
        <v>0</v>
      </c>
      <c r="T577" s="29">
        <v>0</v>
      </c>
      <c r="U577" s="29">
        <v>0</v>
      </c>
      <c r="W577" s="30">
        <v>0</v>
      </c>
      <c r="X577" s="30">
        <v>0</v>
      </c>
      <c r="Y577" s="30">
        <v>0</v>
      </c>
      <c r="Z577" s="30">
        <v>0</v>
      </c>
      <c r="AA577" s="30">
        <v>0</v>
      </c>
      <c r="AB577" s="85">
        <v>0</v>
      </c>
      <c r="AC577" s="85">
        <v>0</v>
      </c>
      <c r="AD577" s="90">
        <v>0</v>
      </c>
      <c r="AF577" s="29">
        <f t="shared" si="1113"/>
        <v>0</v>
      </c>
      <c r="AG577" s="30">
        <f t="shared" si="1114"/>
        <v>0</v>
      </c>
      <c r="AH577" s="32">
        <f t="shared" si="1115"/>
        <v>0</v>
      </c>
      <c r="AI577" s="33" t="e">
        <f t="shared" si="1116"/>
        <v>#DIV/0!</v>
      </c>
      <c r="AK577" s="29">
        <f>O577</f>
        <v>0</v>
      </c>
      <c r="AL577" s="30">
        <f>X577</f>
        <v>0</v>
      </c>
      <c r="AM577" s="32">
        <f t="shared" si="1117"/>
        <v>0</v>
      </c>
      <c r="AN577" s="33" t="e">
        <f t="shared" si="1118"/>
        <v>#DIV/0!</v>
      </c>
      <c r="AP577" s="29">
        <f t="shared" si="1119"/>
        <v>0</v>
      </c>
      <c r="AQ577" s="30">
        <f t="shared" si="1120"/>
        <v>0</v>
      </c>
      <c r="AR577" s="32">
        <f t="shared" si="1121"/>
        <v>0</v>
      </c>
      <c r="AS577" s="33" t="e">
        <f t="shared" si="1122"/>
        <v>#DIV/0!</v>
      </c>
      <c r="AU577" s="31">
        <f t="shared" si="1123"/>
        <v>0</v>
      </c>
      <c r="AV577" s="25">
        <f t="shared" si="1124"/>
        <v>0</v>
      </c>
      <c r="AW577" s="32">
        <f t="shared" si="1125"/>
        <v>0</v>
      </c>
      <c r="AX577" s="33" t="e">
        <f t="shared" si="1126"/>
        <v>#DIV/0!</v>
      </c>
      <c r="AZ577" s="31">
        <f t="shared" si="1107"/>
        <v>0</v>
      </c>
      <c r="BA577" s="25">
        <f t="shared" si="1108"/>
        <v>0</v>
      </c>
      <c r="BB577" s="32">
        <f t="shared" si="1127"/>
        <v>0</v>
      </c>
      <c r="BC577" s="33" t="e">
        <f t="shared" si="1128"/>
        <v>#DIV/0!</v>
      </c>
      <c r="BE577" s="31">
        <f t="shared" si="1129"/>
        <v>0</v>
      </c>
      <c r="BF577" s="25">
        <f t="shared" si="1130"/>
        <v>0</v>
      </c>
      <c r="BG577" s="32">
        <f t="shared" si="1131"/>
        <v>0</v>
      </c>
      <c r="BH577" s="33" t="e">
        <f t="shared" si="1132"/>
        <v>#DIV/0!</v>
      </c>
      <c r="BJ577" s="31">
        <f t="shared" si="1109"/>
        <v>0</v>
      </c>
      <c r="BK577" s="25">
        <f t="shared" si="1110"/>
        <v>0</v>
      </c>
      <c r="BL577" s="32">
        <f t="shared" si="1111"/>
        <v>0</v>
      </c>
      <c r="BM577" s="33" t="e">
        <f t="shared" si="1112"/>
        <v>#DIV/0!</v>
      </c>
      <c r="BO577" s="62"/>
      <c r="BP577" s="62"/>
      <c r="BQ577" s="62"/>
      <c r="BR577" s="63"/>
    </row>
    <row r="578" spans="1:70">
      <c r="B578" s="1284"/>
      <c r="D578" s="5" t="s">
        <v>165</v>
      </c>
      <c r="E578" s="87">
        <v>0</v>
      </c>
      <c r="F578" s="87">
        <v>0</v>
      </c>
      <c r="G578" s="87">
        <v>0</v>
      </c>
      <c r="H578" s="87">
        <v>0</v>
      </c>
      <c r="I578" s="87">
        <v>0</v>
      </c>
      <c r="J578" s="87">
        <v>0</v>
      </c>
      <c r="K578" s="87">
        <v>0</v>
      </c>
      <c r="L578" s="87">
        <v>0</v>
      </c>
      <c r="N578" s="29">
        <v>0</v>
      </c>
      <c r="O578" s="29">
        <v>0</v>
      </c>
      <c r="P578" s="29">
        <v>0</v>
      </c>
      <c r="Q578" s="29">
        <v>0</v>
      </c>
      <c r="R578" s="29">
        <v>0</v>
      </c>
      <c r="S578" s="29">
        <v>0</v>
      </c>
      <c r="T578" s="29">
        <v>0</v>
      </c>
      <c r="U578" s="29">
        <v>0</v>
      </c>
      <c r="W578" s="30">
        <v>0</v>
      </c>
      <c r="X578" s="30">
        <v>0</v>
      </c>
      <c r="Y578" s="30">
        <v>0</v>
      </c>
      <c r="Z578" s="30">
        <v>0</v>
      </c>
      <c r="AA578" s="30">
        <v>0</v>
      </c>
      <c r="AB578" s="85">
        <v>0</v>
      </c>
      <c r="AC578" s="85">
        <v>0</v>
      </c>
      <c r="AD578" s="90">
        <v>0</v>
      </c>
      <c r="AF578" s="29">
        <f t="shared" si="1113"/>
        <v>0</v>
      </c>
      <c r="AG578" s="30">
        <f t="shared" si="1114"/>
        <v>0</v>
      </c>
      <c r="AH578" s="32">
        <f t="shared" si="1115"/>
        <v>0</v>
      </c>
      <c r="AI578" s="33" t="e">
        <f t="shared" si="1116"/>
        <v>#DIV/0!</v>
      </c>
      <c r="AK578" s="29">
        <f t="shared" si="1105"/>
        <v>0</v>
      </c>
      <c r="AL578" s="30">
        <f t="shared" si="1106"/>
        <v>0</v>
      </c>
      <c r="AM578" s="32">
        <f t="shared" si="1117"/>
        <v>0</v>
      </c>
      <c r="AN578" s="33" t="e">
        <f t="shared" si="1118"/>
        <v>#DIV/0!</v>
      </c>
      <c r="AP578" s="29">
        <f t="shared" si="1119"/>
        <v>0</v>
      </c>
      <c r="AQ578" s="30">
        <f t="shared" si="1120"/>
        <v>0</v>
      </c>
      <c r="AR578" s="32">
        <f t="shared" si="1121"/>
        <v>0</v>
      </c>
      <c r="AS578" s="33" t="e">
        <f t="shared" si="1122"/>
        <v>#DIV/0!</v>
      </c>
      <c r="AU578" s="31">
        <f t="shared" si="1123"/>
        <v>0</v>
      </c>
      <c r="AV578" s="25">
        <f t="shared" si="1124"/>
        <v>0</v>
      </c>
      <c r="AW578" s="32">
        <f t="shared" si="1125"/>
        <v>0</v>
      </c>
      <c r="AX578" s="33" t="e">
        <f t="shared" si="1126"/>
        <v>#DIV/0!</v>
      </c>
      <c r="AZ578" s="31">
        <f t="shared" si="1107"/>
        <v>0</v>
      </c>
      <c r="BA578" s="25">
        <f t="shared" si="1108"/>
        <v>0</v>
      </c>
      <c r="BB578" s="32">
        <f t="shared" si="1127"/>
        <v>0</v>
      </c>
      <c r="BC578" s="33" t="e">
        <f t="shared" si="1128"/>
        <v>#DIV/0!</v>
      </c>
      <c r="BE578" s="31">
        <f t="shared" si="1129"/>
        <v>0</v>
      </c>
      <c r="BF578" s="25">
        <f t="shared" si="1130"/>
        <v>0</v>
      </c>
      <c r="BG578" s="32">
        <f t="shared" si="1131"/>
        <v>0</v>
      </c>
      <c r="BH578" s="33" t="e">
        <f t="shared" si="1132"/>
        <v>#DIV/0!</v>
      </c>
      <c r="BJ578" s="31">
        <f t="shared" si="1109"/>
        <v>0</v>
      </c>
      <c r="BK578" s="25">
        <f t="shared" si="1110"/>
        <v>0</v>
      </c>
      <c r="BL578" s="32">
        <f t="shared" si="1111"/>
        <v>0</v>
      </c>
      <c r="BM578" s="33" t="e">
        <f t="shared" si="1112"/>
        <v>#DIV/0!</v>
      </c>
      <c r="BO578" s="62"/>
      <c r="BP578" s="62"/>
      <c r="BQ578" s="62"/>
      <c r="BR578" s="63"/>
    </row>
    <row r="579" spans="1:70">
      <c r="B579" s="1284"/>
      <c r="D579" s="5" t="s">
        <v>166</v>
      </c>
      <c r="E579" s="87">
        <v>0</v>
      </c>
      <c r="F579" s="87">
        <v>0</v>
      </c>
      <c r="G579" s="87">
        <v>0</v>
      </c>
      <c r="H579" s="87">
        <v>0</v>
      </c>
      <c r="I579" s="87">
        <v>0</v>
      </c>
      <c r="J579" s="87">
        <v>0</v>
      </c>
      <c r="K579" s="87">
        <v>0</v>
      </c>
      <c r="L579" s="87">
        <v>0</v>
      </c>
      <c r="N579" s="29">
        <v>0</v>
      </c>
      <c r="O579" s="29">
        <v>0</v>
      </c>
      <c r="P579" s="29">
        <v>0</v>
      </c>
      <c r="Q579" s="29">
        <v>0</v>
      </c>
      <c r="R579" s="29">
        <v>0</v>
      </c>
      <c r="S579" s="29">
        <v>0</v>
      </c>
      <c r="T579" s="29">
        <v>0</v>
      </c>
      <c r="U579" s="29">
        <v>0</v>
      </c>
      <c r="W579" s="30">
        <v>0</v>
      </c>
      <c r="X579" s="30">
        <v>0</v>
      </c>
      <c r="Y579" s="30">
        <v>0</v>
      </c>
      <c r="Z579" s="30">
        <v>0</v>
      </c>
      <c r="AA579" s="30">
        <v>0</v>
      </c>
      <c r="AB579" s="85">
        <v>0</v>
      </c>
      <c r="AC579" s="85">
        <v>0</v>
      </c>
      <c r="AD579" s="90">
        <v>0</v>
      </c>
      <c r="AF579" s="29">
        <f t="shared" si="1113"/>
        <v>0</v>
      </c>
      <c r="AG579" s="30">
        <f t="shared" si="1114"/>
        <v>0</v>
      </c>
      <c r="AH579" s="32">
        <f t="shared" si="1115"/>
        <v>0</v>
      </c>
      <c r="AI579" s="33" t="e">
        <f t="shared" si="1116"/>
        <v>#DIV/0!</v>
      </c>
      <c r="AK579" s="29">
        <f t="shared" si="1105"/>
        <v>0</v>
      </c>
      <c r="AL579" s="30">
        <f t="shared" si="1106"/>
        <v>0</v>
      </c>
      <c r="AM579" s="32">
        <f t="shared" si="1117"/>
        <v>0</v>
      </c>
      <c r="AN579" s="33" t="e">
        <f t="shared" si="1118"/>
        <v>#DIV/0!</v>
      </c>
      <c r="AP579" s="29">
        <f t="shared" si="1119"/>
        <v>0</v>
      </c>
      <c r="AQ579" s="30">
        <f t="shared" si="1120"/>
        <v>0</v>
      </c>
      <c r="AR579" s="32">
        <f t="shared" si="1121"/>
        <v>0</v>
      </c>
      <c r="AS579" s="33" t="e">
        <f t="shared" si="1122"/>
        <v>#DIV/0!</v>
      </c>
      <c r="AU579" s="31">
        <f t="shared" si="1123"/>
        <v>0</v>
      </c>
      <c r="AV579" s="25">
        <f t="shared" si="1124"/>
        <v>0</v>
      </c>
      <c r="AW579" s="32">
        <f t="shared" si="1125"/>
        <v>0</v>
      </c>
      <c r="AX579" s="33" t="e">
        <f t="shared" si="1126"/>
        <v>#DIV/0!</v>
      </c>
      <c r="AZ579" s="31">
        <f t="shared" si="1107"/>
        <v>0</v>
      </c>
      <c r="BA579" s="25">
        <f t="shared" si="1108"/>
        <v>0</v>
      </c>
      <c r="BB579" s="32">
        <f t="shared" si="1127"/>
        <v>0</v>
      </c>
      <c r="BC579" s="33" t="e">
        <f t="shared" si="1128"/>
        <v>#DIV/0!</v>
      </c>
      <c r="BE579" s="31">
        <f t="shared" si="1129"/>
        <v>0</v>
      </c>
      <c r="BF579" s="25">
        <f t="shared" si="1130"/>
        <v>0</v>
      </c>
      <c r="BG579" s="32">
        <f t="shared" si="1131"/>
        <v>0</v>
      </c>
      <c r="BH579" s="33" t="e">
        <f t="shared" si="1132"/>
        <v>#DIV/0!</v>
      </c>
      <c r="BJ579" s="31">
        <f t="shared" si="1109"/>
        <v>0</v>
      </c>
      <c r="BK579" s="25">
        <f t="shared" si="1110"/>
        <v>0</v>
      </c>
      <c r="BL579" s="32">
        <f t="shared" si="1111"/>
        <v>0</v>
      </c>
      <c r="BM579" s="33" t="e">
        <f t="shared" si="1112"/>
        <v>#DIV/0!</v>
      </c>
      <c r="BO579" s="62"/>
      <c r="BP579" s="62"/>
      <c r="BQ579" s="62"/>
      <c r="BR579" s="63"/>
    </row>
    <row r="580" spans="1:70">
      <c r="B580" s="1284"/>
      <c r="D580" s="5" t="s">
        <v>167</v>
      </c>
      <c r="E580" s="87">
        <v>0</v>
      </c>
      <c r="F580" s="87">
        <v>0</v>
      </c>
      <c r="G580" s="87">
        <v>0</v>
      </c>
      <c r="H580" s="87">
        <v>0</v>
      </c>
      <c r="I580" s="87">
        <v>0</v>
      </c>
      <c r="J580" s="87">
        <v>0</v>
      </c>
      <c r="K580" s="87">
        <v>0</v>
      </c>
      <c r="L580" s="87">
        <v>0</v>
      </c>
      <c r="N580" s="29">
        <v>0</v>
      </c>
      <c r="O580" s="29">
        <v>0</v>
      </c>
      <c r="P580" s="29">
        <v>0</v>
      </c>
      <c r="Q580" s="29">
        <v>0</v>
      </c>
      <c r="R580" s="29">
        <v>0</v>
      </c>
      <c r="S580" s="29">
        <v>0</v>
      </c>
      <c r="T580" s="29">
        <v>0</v>
      </c>
      <c r="U580" s="29">
        <v>0</v>
      </c>
      <c r="W580" s="30">
        <v>0</v>
      </c>
      <c r="X580" s="30">
        <v>0</v>
      </c>
      <c r="Y580" s="30">
        <v>0</v>
      </c>
      <c r="Z580" s="30">
        <v>0</v>
      </c>
      <c r="AA580" s="30">
        <v>0</v>
      </c>
      <c r="AB580" s="85">
        <v>0</v>
      </c>
      <c r="AC580" s="85">
        <v>0</v>
      </c>
      <c r="AD580" s="90">
        <v>0</v>
      </c>
      <c r="AF580" s="29">
        <f t="shared" si="1113"/>
        <v>0</v>
      </c>
      <c r="AG580" s="30">
        <f t="shared" si="1114"/>
        <v>0</v>
      </c>
      <c r="AH580" s="32">
        <f t="shared" si="1115"/>
        <v>0</v>
      </c>
      <c r="AI580" s="33" t="e">
        <f t="shared" si="1116"/>
        <v>#DIV/0!</v>
      </c>
      <c r="AK580" s="29">
        <f t="shared" si="1105"/>
        <v>0</v>
      </c>
      <c r="AL580" s="30">
        <f t="shared" si="1106"/>
        <v>0</v>
      </c>
      <c r="AM580" s="32">
        <f t="shared" si="1117"/>
        <v>0</v>
      </c>
      <c r="AN580" s="33" t="e">
        <f t="shared" si="1118"/>
        <v>#DIV/0!</v>
      </c>
      <c r="AP580" s="29">
        <f t="shared" si="1119"/>
        <v>0</v>
      </c>
      <c r="AQ580" s="30">
        <f t="shared" si="1120"/>
        <v>0</v>
      </c>
      <c r="AR580" s="32">
        <f t="shared" si="1121"/>
        <v>0</v>
      </c>
      <c r="AS580" s="33" t="e">
        <f t="shared" si="1122"/>
        <v>#DIV/0!</v>
      </c>
      <c r="AU580" s="31">
        <f t="shared" si="1123"/>
        <v>0</v>
      </c>
      <c r="AV580" s="25">
        <f t="shared" si="1124"/>
        <v>0</v>
      </c>
      <c r="AW580" s="32">
        <f t="shared" si="1125"/>
        <v>0</v>
      </c>
      <c r="AX580" s="33" t="e">
        <f t="shared" si="1126"/>
        <v>#DIV/0!</v>
      </c>
      <c r="AZ580" s="31">
        <f t="shared" si="1107"/>
        <v>0</v>
      </c>
      <c r="BA580" s="25">
        <f t="shared" si="1108"/>
        <v>0</v>
      </c>
      <c r="BB580" s="32">
        <f t="shared" si="1127"/>
        <v>0</v>
      </c>
      <c r="BC580" s="33" t="e">
        <f t="shared" si="1128"/>
        <v>#DIV/0!</v>
      </c>
      <c r="BE580" s="31">
        <f t="shared" si="1129"/>
        <v>0</v>
      </c>
      <c r="BF580" s="25">
        <f t="shared" si="1130"/>
        <v>0</v>
      </c>
      <c r="BG580" s="32">
        <f t="shared" si="1131"/>
        <v>0</v>
      </c>
      <c r="BH580" s="33" t="e">
        <f t="shared" si="1132"/>
        <v>#DIV/0!</v>
      </c>
      <c r="BJ580" s="31">
        <f t="shared" si="1109"/>
        <v>0</v>
      </c>
      <c r="BK580" s="25">
        <f t="shared" si="1110"/>
        <v>0</v>
      </c>
      <c r="BL580" s="32">
        <f t="shared" si="1111"/>
        <v>0</v>
      </c>
      <c r="BM580" s="33" t="e">
        <f t="shared" si="1112"/>
        <v>#DIV/0!</v>
      </c>
      <c r="BO580" s="62"/>
      <c r="BP580" s="62"/>
      <c r="BQ580" s="62"/>
      <c r="BR580" s="63"/>
    </row>
    <row r="581" spans="1:70">
      <c r="B581" s="1284"/>
      <c r="D581" s="5" t="s">
        <v>168</v>
      </c>
      <c r="E581" s="87">
        <v>0</v>
      </c>
      <c r="F581" s="87">
        <v>0.71023261111291225</v>
      </c>
      <c r="G581" s="87">
        <v>0</v>
      </c>
      <c r="H581" s="87">
        <v>0</v>
      </c>
      <c r="I581" s="87">
        <v>0</v>
      </c>
      <c r="J581" s="87">
        <v>0</v>
      </c>
      <c r="K581" s="87">
        <v>0</v>
      </c>
      <c r="L581" s="87">
        <v>0</v>
      </c>
      <c r="N581" s="29">
        <v>0</v>
      </c>
      <c r="O581" s="29">
        <v>0.64960151101690022</v>
      </c>
      <c r="P581" s="29">
        <v>0</v>
      </c>
      <c r="Q581" s="29">
        <v>0</v>
      </c>
      <c r="R581" s="29">
        <v>0</v>
      </c>
      <c r="S581" s="29">
        <v>0</v>
      </c>
      <c r="T581" s="29">
        <v>0</v>
      </c>
      <c r="U581" s="29">
        <v>0</v>
      </c>
      <c r="W581" s="30">
        <v>7.1503104461808589E-2</v>
      </c>
      <c r="X581" s="30">
        <v>0</v>
      </c>
      <c r="Y581" s="30">
        <v>0</v>
      </c>
      <c r="Z581" s="30">
        <v>0</v>
      </c>
      <c r="AA581" s="30">
        <v>0</v>
      </c>
      <c r="AB581" s="85">
        <v>0</v>
      </c>
      <c r="AC581" s="85">
        <v>0</v>
      </c>
      <c r="AD581" s="90">
        <v>0</v>
      </c>
      <c r="AF581" s="29">
        <f t="shared" si="1113"/>
        <v>0</v>
      </c>
      <c r="AG581" s="30">
        <f t="shared" si="1114"/>
        <v>7.1503104461808589E-2</v>
      </c>
      <c r="AH581" s="32">
        <f t="shared" si="1115"/>
        <v>7.1503104461808589E-2</v>
      </c>
      <c r="AI581" s="33" t="e">
        <f t="shared" si="1116"/>
        <v>#DIV/0!</v>
      </c>
      <c r="AK581" s="29">
        <f t="shared" si="1105"/>
        <v>0.64960151101690022</v>
      </c>
      <c r="AL581" s="30">
        <f t="shared" si="1106"/>
        <v>0</v>
      </c>
      <c r="AM581" s="32">
        <f t="shared" si="1117"/>
        <v>-0.64960151101690022</v>
      </c>
      <c r="AN581" s="33">
        <f t="shared" si="1118"/>
        <v>-1</v>
      </c>
      <c r="AP581" s="29">
        <f t="shared" si="1119"/>
        <v>0</v>
      </c>
      <c r="AQ581" s="30">
        <f t="shared" si="1120"/>
        <v>0</v>
      </c>
      <c r="AR581" s="32">
        <f t="shared" si="1121"/>
        <v>0</v>
      </c>
      <c r="AS581" s="33" t="e">
        <f t="shared" si="1122"/>
        <v>#DIV/0!</v>
      </c>
      <c r="AU581" s="31">
        <f t="shared" si="1123"/>
        <v>0</v>
      </c>
      <c r="AV581" s="25">
        <f t="shared" si="1124"/>
        <v>0</v>
      </c>
      <c r="AW581" s="32">
        <f t="shared" si="1125"/>
        <v>0</v>
      </c>
      <c r="AX581" s="33" t="e">
        <f t="shared" si="1126"/>
        <v>#DIV/0!</v>
      </c>
      <c r="AZ581" s="31">
        <f t="shared" si="1107"/>
        <v>0</v>
      </c>
      <c r="BA581" s="25">
        <f t="shared" si="1108"/>
        <v>0</v>
      </c>
      <c r="BB581" s="32">
        <f t="shared" si="1127"/>
        <v>0</v>
      </c>
      <c r="BC581" s="33" t="e">
        <f t="shared" si="1128"/>
        <v>#DIV/0!</v>
      </c>
      <c r="BE581" s="31">
        <f t="shared" si="1129"/>
        <v>0</v>
      </c>
      <c r="BF581" s="25">
        <f t="shared" si="1130"/>
        <v>0</v>
      </c>
      <c r="BG581" s="32">
        <f t="shared" si="1131"/>
        <v>0</v>
      </c>
      <c r="BH581" s="33" t="e">
        <f t="shared" si="1132"/>
        <v>#DIV/0!</v>
      </c>
      <c r="BJ581" s="31">
        <f t="shared" si="1109"/>
        <v>0</v>
      </c>
      <c r="BK581" s="25">
        <f t="shared" si="1110"/>
        <v>0</v>
      </c>
      <c r="BL581" s="32">
        <f t="shared" si="1111"/>
        <v>0</v>
      </c>
      <c r="BM581" s="33" t="e">
        <f t="shared" si="1112"/>
        <v>#DIV/0!</v>
      </c>
      <c r="BO581" s="62"/>
      <c r="BP581" s="62"/>
      <c r="BQ581" s="62"/>
      <c r="BR581" s="63"/>
    </row>
    <row r="582" spans="1:70">
      <c r="B582" s="1284"/>
      <c r="D582" s="5" t="s">
        <v>169</v>
      </c>
      <c r="E582" s="87">
        <v>0.70371562371955132</v>
      </c>
      <c r="F582" s="87">
        <v>0.71023261111291225</v>
      </c>
      <c r="G582" s="87">
        <v>0</v>
      </c>
      <c r="H582" s="87">
        <v>0</v>
      </c>
      <c r="I582" s="87">
        <v>0</v>
      </c>
      <c r="J582" s="87">
        <v>0</v>
      </c>
      <c r="K582" s="87">
        <v>0</v>
      </c>
      <c r="L582" s="87">
        <v>0</v>
      </c>
      <c r="N582" s="29">
        <v>0.65035113519122245</v>
      </c>
      <c r="O582" s="29">
        <v>0.6563739233835566</v>
      </c>
      <c r="P582" s="29">
        <v>0</v>
      </c>
      <c r="Q582" s="29">
        <v>0</v>
      </c>
      <c r="R582" s="29">
        <v>0</v>
      </c>
      <c r="S582" s="29">
        <v>0</v>
      </c>
      <c r="T582" s="29">
        <v>0</v>
      </c>
      <c r="U582" s="29">
        <v>0</v>
      </c>
      <c r="W582" s="30">
        <v>0</v>
      </c>
      <c r="X582" s="30">
        <v>0</v>
      </c>
      <c r="Y582" s="30">
        <v>0</v>
      </c>
      <c r="Z582" s="30">
        <v>0</v>
      </c>
      <c r="AA582" s="30">
        <v>0</v>
      </c>
      <c r="AB582" s="85">
        <v>0</v>
      </c>
      <c r="AC582" s="85">
        <v>0</v>
      </c>
      <c r="AD582" s="90">
        <v>0</v>
      </c>
      <c r="AF582" s="29">
        <f t="shared" si="1113"/>
        <v>0.65035113519122245</v>
      </c>
      <c r="AG582" s="30">
        <f t="shared" si="1114"/>
        <v>0</v>
      </c>
      <c r="AH582" s="32">
        <f t="shared" si="1115"/>
        <v>-0.65035113519122245</v>
      </c>
      <c r="AI582" s="33">
        <f t="shared" si="1116"/>
        <v>-1</v>
      </c>
      <c r="AK582" s="29">
        <f t="shared" si="1105"/>
        <v>0.6563739233835566</v>
      </c>
      <c r="AL582" s="30">
        <f t="shared" si="1106"/>
        <v>0</v>
      </c>
      <c r="AM582" s="32">
        <f t="shared" si="1117"/>
        <v>-0.6563739233835566</v>
      </c>
      <c r="AN582" s="33">
        <f t="shared" si="1118"/>
        <v>-1</v>
      </c>
      <c r="AP582" s="29">
        <f t="shared" si="1119"/>
        <v>0</v>
      </c>
      <c r="AQ582" s="30">
        <f t="shared" si="1120"/>
        <v>0</v>
      </c>
      <c r="AR582" s="32">
        <f t="shared" si="1121"/>
        <v>0</v>
      </c>
      <c r="AS582" s="33" t="e">
        <f t="shared" si="1122"/>
        <v>#DIV/0!</v>
      </c>
      <c r="AU582" s="31">
        <f t="shared" si="1123"/>
        <v>0</v>
      </c>
      <c r="AV582" s="25">
        <f t="shared" si="1124"/>
        <v>0</v>
      </c>
      <c r="AW582" s="32">
        <f t="shared" si="1125"/>
        <v>0</v>
      </c>
      <c r="AX582" s="33" t="e">
        <f t="shared" si="1126"/>
        <v>#DIV/0!</v>
      </c>
      <c r="AZ582" s="31">
        <f t="shared" si="1107"/>
        <v>0</v>
      </c>
      <c r="BA582" s="25">
        <f t="shared" si="1108"/>
        <v>0</v>
      </c>
      <c r="BB582" s="32">
        <f t="shared" si="1127"/>
        <v>0</v>
      </c>
      <c r="BC582" s="33" t="e">
        <f t="shared" si="1128"/>
        <v>#DIV/0!</v>
      </c>
      <c r="BE582" s="31">
        <f t="shared" si="1129"/>
        <v>0</v>
      </c>
      <c r="BF582" s="25">
        <f t="shared" si="1130"/>
        <v>0</v>
      </c>
      <c r="BG582" s="32">
        <f t="shared" si="1131"/>
        <v>0</v>
      </c>
      <c r="BH582" s="33" t="e">
        <f t="shared" si="1132"/>
        <v>#DIV/0!</v>
      </c>
      <c r="BJ582" s="31">
        <f t="shared" si="1109"/>
        <v>0</v>
      </c>
      <c r="BK582" s="25">
        <f t="shared" si="1110"/>
        <v>0</v>
      </c>
      <c r="BL582" s="32">
        <f t="shared" si="1111"/>
        <v>0</v>
      </c>
      <c r="BM582" s="33" t="e">
        <f t="shared" si="1112"/>
        <v>#DIV/0!</v>
      </c>
      <c r="BO582" s="62"/>
      <c r="BP582" s="62"/>
      <c r="BQ582" s="62"/>
      <c r="BR582" s="63"/>
    </row>
    <row r="583" spans="1:70">
      <c r="B583" s="1284"/>
      <c r="D583" s="5" t="s">
        <v>170</v>
      </c>
      <c r="E583" s="87">
        <v>6.3974147610868295E-2</v>
      </c>
      <c r="F583" s="87">
        <v>0.64566601010264757</v>
      </c>
      <c r="G583" s="87">
        <v>0.87975076554253095</v>
      </c>
      <c r="H583" s="87">
        <v>0.88795713660528708</v>
      </c>
      <c r="I583" s="87">
        <v>0</v>
      </c>
      <c r="J583" s="87">
        <v>0</v>
      </c>
      <c r="K583" s="87">
        <v>0</v>
      </c>
      <c r="L583" s="87">
        <v>0</v>
      </c>
      <c r="N583" s="29">
        <v>5.6993510332539202E-2</v>
      </c>
      <c r="O583" s="29">
        <v>0.57521317270201533</v>
      </c>
      <c r="P583" s="29">
        <v>0.78375541087302325</v>
      </c>
      <c r="Q583" s="29">
        <v>0.7910663311654319</v>
      </c>
      <c r="R583" s="29">
        <v>0</v>
      </c>
      <c r="S583" s="29">
        <v>0</v>
      </c>
      <c r="T583" s="29">
        <v>0</v>
      </c>
      <c r="U583" s="29">
        <v>0</v>
      </c>
      <c r="W583" s="30">
        <v>0.15617947878954314</v>
      </c>
      <c r="X583" s="30">
        <v>7.3562411166251576E-2</v>
      </c>
      <c r="Y583" s="30">
        <v>7.4483040932140704E-3</v>
      </c>
      <c r="Z583" s="30">
        <v>-4.7265914857259783E-2</v>
      </c>
      <c r="AA583" s="30">
        <v>0</v>
      </c>
      <c r="AB583" s="85">
        <v>0</v>
      </c>
      <c r="AC583" s="85">
        <v>0</v>
      </c>
      <c r="AD583" s="90">
        <v>0</v>
      </c>
      <c r="AF583" s="29">
        <f t="shared" si="1113"/>
        <v>5.6993510332539202E-2</v>
      </c>
      <c r="AG583" s="30">
        <f t="shared" si="1114"/>
        <v>0.15617947878954314</v>
      </c>
      <c r="AH583" s="32">
        <f t="shared" si="1115"/>
        <v>9.9185968457003934E-2</v>
      </c>
      <c r="AI583" s="33">
        <f t="shared" si="1116"/>
        <v>1.7403028498908912</v>
      </c>
      <c r="AK583" s="29">
        <f t="shared" si="1105"/>
        <v>0.57521317270201533</v>
      </c>
      <c r="AL583" s="30">
        <f t="shared" si="1106"/>
        <v>7.3562411166251576E-2</v>
      </c>
      <c r="AM583" s="32">
        <f t="shared" si="1117"/>
        <v>-0.50165076153576371</v>
      </c>
      <c r="AN583" s="33">
        <f t="shared" si="1118"/>
        <v>-0.87211278416887017</v>
      </c>
      <c r="AP583" s="29">
        <f t="shared" si="1119"/>
        <v>0.78375541087302325</v>
      </c>
      <c r="AQ583" s="30">
        <f t="shared" si="1120"/>
        <v>7.4483040932140704E-3</v>
      </c>
      <c r="AR583" s="32">
        <f t="shared" si="1121"/>
        <v>-0.77630710677980919</v>
      </c>
      <c r="AS583" s="33">
        <f t="shared" si="1122"/>
        <v>-0.99049664730873443</v>
      </c>
      <c r="AU583" s="31">
        <f t="shared" si="1123"/>
        <v>0.7910663311654319</v>
      </c>
      <c r="AV583" s="25">
        <f t="shared" si="1124"/>
        <v>-4.7265914857259783E-2</v>
      </c>
      <c r="AW583" s="32">
        <f t="shared" si="1125"/>
        <v>-0.83833224602269163</v>
      </c>
      <c r="AX583" s="33">
        <f t="shared" si="1126"/>
        <v>-1.0597496227498717</v>
      </c>
      <c r="AZ583" s="31">
        <f t="shared" si="1107"/>
        <v>0</v>
      </c>
      <c r="BA583" s="25">
        <f t="shared" si="1108"/>
        <v>0</v>
      </c>
      <c r="BB583" s="32">
        <f t="shared" si="1127"/>
        <v>0</v>
      </c>
      <c r="BC583" s="33" t="e">
        <f t="shared" si="1128"/>
        <v>#DIV/0!</v>
      </c>
      <c r="BE583" s="31">
        <f t="shared" si="1129"/>
        <v>0</v>
      </c>
      <c r="BF583" s="25">
        <f t="shared" si="1130"/>
        <v>0</v>
      </c>
      <c r="BG583" s="32">
        <f t="shared" si="1131"/>
        <v>0</v>
      </c>
      <c r="BH583" s="33" t="e">
        <f t="shared" si="1132"/>
        <v>#DIV/0!</v>
      </c>
      <c r="BJ583" s="31">
        <f t="shared" si="1109"/>
        <v>0</v>
      </c>
      <c r="BK583" s="25">
        <f t="shared" si="1110"/>
        <v>0</v>
      </c>
      <c r="BL583" s="32">
        <f t="shared" si="1111"/>
        <v>0</v>
      </c>
      <c r="BM583" s="33" t="e">
        <f t="shared" si="1112"/>
        <v>#DIV/0!</v>
      </c>
      <c r="BO583" s="62"/>
      <c r="BP583" s="62"/>
      <c r="BQ583" s="62"/>
      <c r="BR583" s="63"/>
    </row>
    <row r="584" spans="1:70">
      <c r="B584" s="1284"/>
      <c r="D584" s="5" t="s">
        <v>171</v>
      </c>
      <c r="E584" s="87">
        <v>0</v>
      </c>
      <c r="F584" s="87">
        <v>0</v>
      </c>
      <c r="G584" s="87">
        <v>0</v>
      </c>
      <c r="H584" s="87">
        <v>0</v>
      </c>
      <c r="I584" s="87">
        <v>0</v>
      </c>
      <c r="J584" s="87">
        <v>0</v>
      </c>
      <c r="K584" s="87">
        <v>0</v>
      </c>
      <c r="L584" s="87">
        <v>0</v>
      </c>
      <c r="N584" s="29">
        <v>0</v>
      </c>
      <c r="O584" s="29">
        <v>0</v>
      </c>
      <c r="P584" s="29">
        <v>0</v>
      </c>
      <c r="Q584" s="29">
        <v>0</v>
      </c>
      <c r="R584" s="29">
        <v>0</v>
      </c>
      <c r="S584" s="29">
        <v>0</v>
      </c>
      <c r="T584" s="29">
        <v>0</v>
      </c>
      <c r="U584" s="29">
        <v>0</v>
      </c>
      <c r="W584" s="30">
        <v>0</v>
      </c>
      <c r="X584" s="30">
        <v>0</v>
      </c>
      <c r="Y584" s="30">
        <v>0</v>
      </c>
      <c r="Z584" s="30">
        <v>0</v>
      </c>
      <c r="AA584" s="30">
        <v>0</v>
      </c>
      <c r="AB584" s="85">
        <v>0</v>
      </c>
      <c r="AC584" s="85">
        <v>0</v>
      </c>
      <c r="AD584" s="90">
        <v>0</v>
      </c>
      <c r="AF584" s="29">
        <f t="shared" si="1113"/>
        <v>0</v>
      </c>
      <c r="AG584" s="30">
        <f t="shared" si="1114"/>
        <v>0</v>
      </c>
      <c r="AH584" s="32">
        <f t="shared" si="1115"/>
        <v>0</v>
      </c>
      <c r="AI584" s="33" t="e">
        <f t="shared" si="1116"/>
        <v>#DIV/0!</v>
      </c>
      <c r="AK584" s="29">
        <f t="shared" si="1105"/>
        <v>0</v>
      </c>
      <c r="AL584" s="30">
        <f t="shared" si="1106"/>
        <v>0</v>
      </c>
      <c r="AM584" s="32">
        <f t="shared" si="1117"/>
        <v>0</v>
      </c>
      <c r="AN584" s="33" t="e">
        <f t="shared" si="1118"/>
        <v>#DIV/0!</v>
      </c>
      <c r="AP584" s="29">
        <f t="shared" si="1119"/>
        <v>0</v>
      </c>
      <c r="AQ584" s="30">
        <f t="shared" si="1120"/>
        <v>0</v>
      </c>
      <c r="AR584" s="32">
        <f t="shared" si="1121"/>
        <v>0</v>
      </c>
      <c r="AS584" s="33" t="e">
        <f t="shared" si="1122"/>
        <v>#DIV/0!</v>
      </c>
      <c r="AU584" s="31">
        <f t="shared" si="1123"/>
        <v>0</v>
      </c>
      <c r="AV584" s="25">
        <f t="shared" si="1124"/>
        <v>0</v>
      </c>
      <c r="AW584" s="32">
        <f t="shared" si="1125"/>
        <v>0</v>
      </c>
      <c r="AX584" s="33" t="e">
        <f t="shared" si="1126"/>
        <v>#DIV/0!</v>
      </c>
      <c r="AZ584" s="31">
        <f t="shared" si="1107"/>
        <v>0</v>
      </c>
      <c r="BA584" s="25">
        <f t="shared" si="1108"/>
        <v>0</v>
      </c>
      <c r="BB584" s="32">
        <f t="shared" si="1127"/>
        <v>0</v>
      </c>
      <c r="BC584" s="33" t="e">
        <f t="shared" si="1128"/>
        <v>#DIV/0!</v>
      </c>
      <c r="BE584" s="31">
        <f t="shared" si="1129"/>
        <v>0</v>
      </c>
      <c r="BF584" s="25">
        <f t="shared" si="1130"/>
        <v>0</v>
      </c>
      <c r="BG584" s="32">
        <f t="shared" si="1131"/>
        <v>0</v>
      </c>
      <c r="BH584" s="33" t="e">
        <f t="shared" si="1132"/>
        <v>#DIV/0!</v>
      </c>
      <c r="BJ584" s="31">
        <f t="shared" si="1109"/>
        <v>0</v>
      </c>
      <c r="BK584" s="25">
        <f t="shared" si="1110"/>
        <v>0</v>
      </c>
      <c r="BL584" s="32">
        <f t="shared" si="1111"/>
        <v>0</v>
      </c>
      <c r="BM584" s="33" t="e">
        <f t="shared" si="1112"/>
        <v>#DIV/0!</v>
      </c>
      <c r="BO584" s="62"/>
      <c r="BP584" s="62"/>
      <c r="BQ584" s="62"/>
      <c r="BR584" s="63"/>
    </row>
    <row r="585" spans="1:70">
      <c r="B585" s="1284"/>
      <c r="D585" s="5" t="s">
        <v>172</v>
      </c>
      <c r="E585" s="87">
        <v>0.31962670582256553</v>
      </c>
      <c r="F585" s="87">
        <v>0.32082580143099027</v>
      </c>
      <c r="G585" s="87">
        <v>0.32187907031101043</v>
      </c>
      <c r="H585" s="87">
        <v>0.32214512511112253</v>
      </c>
      <c r="I585" s="87">
        <v>0.32398307952930472</v>
      </c>
      <c r="J585" s="87">
        <v>0.3258489259713121</v>
      </c>
      <c r="K585" s="87">
        <v>0.32774282135746807</v>
      </c>
      <c r="L585" s="87">
        <v>0.32966492647230705</v>
      </c>
      <c r="N585" s="29">
        <v>0.27160956413057596</v>
      </c>
      <c r="O585" s="29">
        <v>0.27262852102504748</v>
      </c>
      <c r="P585" s="29">
        <v>0.27352355856791588</v>
      </c>
      <c r="Q585" s="29">
        <v>0.27374964427032095</v>
      </c>
      <c r="R585" s="29">
        <v>0.27531148497174052</v>
      </c>
      <c r="S585" s="29">
        <v>0.27689702751126016</v>
      </c>
      <c r="T585" s="29">
        <v>0.27850640523524889</v>
      </c>
      <c r="U585" s="29">
        <v>0.28013975477377079</v>
      </c>
      <c r="W585" s="30">
        <v>0</v>
      </c>
      <c r="X585" s="30">
        <v>0</v>
      </c>
      <c r="Y585" s="30">
        <v>0</v>
      </c>
      <c r="Z585" s="30">
        <v>0</v>
      </c>
      <c r="AA585" s="30">
        <v>0</v>
      </c>
      <c r="AB585" s="85">
        <v>0</v>
      </c>
      <c r="AC585" s="85">
        <v>0</v>
      </c>
      <c r="AD585" s="90">
        <v>0</v>
      </c>
      <c r="AF585" s="29">
        <f t="shared" si="1113"/>
        <v>0.27160956413057596</v>
      </c>
      <c r="AG585" s="30">
        <f t="shared" si="1114"/>
        <v>0</v>
      </c>
      <c r="AH585" s="32">
        <f t="shared" si="1115"/>
        <v>-0.27160956413057596</v>
      </c>
      <c r="AI585" s="33">
        <f t="shared" si="1116"/>
        <v>-1</v>
      </c>
      <c r="AK585" s="29">
        <f t="shared" si="1105"/>
        <v>0.27262852102504748</v>
      </c>
      <c r="AL585" s="30">
        <f t="shared" si="1106"/>
        <v>0</v>
      </c>
      <c r="AM585" s="32">
        <f t="shared" si="1117"/>
        <v>-0.27262852102504748</v>
      </c>
      <c r="AN585" s="33">
        <f t="shared" si="1118"/>
        <v>-1</v>
      </c>
      <c r="AP585" s="29">
        <f t="shared" si="1119"/>
        <v>0.27352355856791588</v>
      </c>
      <c r="AQ585" s="30">
        <f t="shared" si="1120"/>
        <v>0</v>
      </c>
      <c r="AR585" s="32">
        <f t="shared" si="1121"/>
        <v>-0.27352355856791588</v>
      </c>
      <c r="AS585" s="33">
        <f t="shared" si="1122"/>
        <v>-1</v>
      </c>
      <c r="AU585" s="31">
        <f t="shared" si="1123"/>
        <v>0.27374964427032095</v>
      </c>
      <c r="AV585" s="25">
        <f t="shared" si="1124"/>
        <v>0</v>
      </c>
      <c r="AW585" s="32">
        <f t="shared" si="1125"/>
        <v>-0.27374964427032095</v>
      </c>
      <c r="AX585" s="33">
        <f t="shared" si="1126"/>
        <v>-1</v>
      </c>
      <c r="AZ585" s="31">
        <f t="shared" si="1107"/>
        <v>0.27531148497174052</v>
      </c>
      <c r="BA585" s="25">
        <f t="shared" si="1108"/>
        <v>0</v>
      </c>
      <c r="BB585" s="32">
        <f t="shared" si="1127"/>
        <v>-0.27531148497174052</v>
      </c>
      <c r="BC585" s="33">
        <f t="shared" si="1128"/>
        <v>-1</v>
      </c>
      <c r="BE585" s="31">
        <f t="shared" si="1129"/>
        <v>0.27689702751126016</v>
      </c>
      <c r="BF585" s="25">
        <f t="shared" si="1130"/>
        <v>0</v>
      </c>
      <c r="BG585" s="32">
        <f t="shared" si="1131"/>
        <v>-0.27689702751126016</v>
      </c>
      <c r="BH585" s="33">
        <f t="shared" si="1132"/>
        <v>-1</v>
      </c>
      <c r="BJ585" s="31">
        <f t="shared" si="1109"/>
        <v>0.27850640523524889</v>
      </c>
      <c r="BK585" s="25">
        <f t="shared" si="1110"/>
        <v>0</v>
      </c>
      <c r="BL585" s="32">
        <f t="shared" si="1111"/>
        <v>-0.27850640523524889</v>
      </c>
      <c r="BM585" s="33">
        <f t="shared" si="1112"/>
        <v>-1</v>
      </c>
      <c r="BO585" s="62"/>
      <c r="BP585" s="62"/>
      <c r="BQ585" s="62"/>
      <c r="BR585" s="63"/>
    </row>
    <row r="586" spans="1:70">
      <c r="B586" s="1284"/>
      <c r="D586" s="5" t="s">
        <v>28</v>
      </c>
      <c r="E586" s="87">
        <v>0</v>
      </c>
      <c r="F586" s="87">
        <v>0</v>
      </c>
      <c r="G586" s="87">
        <v>0</v>
      </c>
      <c r="H586" s="87">
        <v>0</v>
      </c>
      <c r="I586" s="87">
        <v>0</v>
      </c>
      <c r="J586" s="87">
        <v>0</v>
      </c>
      <c r="K586" s="87">
        <v>0</v>
      </c>
      <c r="L586" s="87">
        <v>0</v>
      </c>
      <c r="N586" s="29">
        <v>0</v>
      </c>
      <c r="O586" s="29">
        <v>0</v>
      </c>
      <c r="P586" s="29">
        <v>0</v>
      </c>
      <c r="Q586" s="29">
        <v>0</v>
      </c>
      <c r="R586" s="29">
        <v>0</v>
      </c>
      <c r="S586" s="29">
        <v>0</v>
      </c>
      <c r="T586" s="29">
        <v>0</v>
      </c>
      <c r="U586" s="29">
        <v>0</v>
      </c>
      <c r="W586" s="30">
        <v>0</v>
      </c>
      <c r="X586" s="30">
        <v>0</v>
      </c>
      <c r="Y586" s="30">
        <v>0</v>
      </c>
      <c r="Z586" s="30">
        <v>0</v>
      </c>
      <c r="AA586" s="30">
        <v>0</v>
      </c>
      <c r="AB586" s="85">
        <v>0</v>
      </c>
      <c r="AC586" s="85">
        <v>0</v>
      </c>
      <c r="AD586" s="90">
        <v>0</v>
      </c>
      <c r="AF586" s="29">
        <f t="shared" si="1113"/>
        <v>0</v>
      </c>
      <c r="AG586" s="30">
        <f t="shared" si="1114"/>
        <v>0</v>
      </c>
      <c r="AH586" s="32">
        <f t="shared" si="1115"/>
        <v>0</v>
      </c>
      <c r="AI586" s="33" t="e">
        <f t="shared" si="1116"/>
        <v>#DIV/0!</v>
      </c>
      <c r="AK586" s="29">
        <f t="shared" si="1105"/>
        <v>0</v>
      </c>
      <c r="AL586" s="30">
        <f t="shared" si="1106"/>
        <v>0</v>
      </c>
      <c r="AM586" s="32">
        <f t="shared" si="1117"/>
        <v>0</v>
      </c>
      <c r="AN586" s="33" t="e">
        <f t="shared" si="1118"/>
        <v>#DIV/0!</v>
      </c>
      <c r="AP586" s="29">
        <f t="shared" si="1119"/>
        <v>0</v>
      </c>
      <c r="AQ586" s="30">
        <f t="shared" si="1120"/>
        <v>0</v>
      </c>
      <c r="AR586" s="32">
        <f t="shared" si="1121"/>
        <v>0</v>
      </c>
      <c r="AS586" s="33" t="e">
        <f t="shared" si="1122"/>
        <v>#DIV/0!</v>
      </c>
      <c r="AU586" s="31">
        <f t="shared" si="1123"/>
        <v>0</v>
      </c>
      <c r="AV586" s="25">
        <f t="shared" si="1124"/>
        <v>0</v>
      </c>
      <c r="AW586" s="32">
        <f t="shared" si="1125"/>
        <v>0</v>
      </c>
      <c r="AX586" s="33" t="e">
        <f t="shared" si="1126"/>
        <v>#DIV/0!</v>
      </c>
      <c r="AZ586" s="31">
        <f t="shared" si="1107"/>
        <v>0</v>
      </c>
      <c r="BA586" s="25">
        <f t="shared" si="1108"/>
        <v>0</v>
      </c>
      <c r="BB586" s="32">
        <f t="shared" si="1127"/>
        <v>0</v>
      </c>
      <c r="BC586" s="33" t="e">
        <f t="shared" si="1128"/>
        <v>#DIV/0!</v>
      </c>
      <c r="BE586" s="31">
        <f t="shared" si="1129"/>
        <v>0</v>
      </c>
      <c r="BF586" s="25">
        <f t="shared" si="1130"/>
        <v>0</v>
      </c>
      <c r="BG586" s="32">
        <f t="shared" si="1131"/>
        <v>0</v>
      </c>
      <c r="BH586" s="33" t="e">
        <f t="shared" si="1132"/>
        <v>#DIV/0!</v>
      </c>
      <c r="BJ586" s="31">
        <f t="shared" si="1109"/>
        <v>0</v>
      </c>
      <c r="BK586" s="25">
        <f t="shared" si="1110"/>
        <v>0</v>
      </c>
      <c r="BL586" s="32">
        <f t="shared" si="1111"/>
        <v>0</v>
      </c>
      <c r="BM586" s="33" t="e">
        <f t="shared" si="1112"/>
        <v>#DIV/0!</v>
      </c>
      <c r="BO586" s="62"/>
      <c r="BP586" s="62"/>
      <c r="BQ586" s="62"/>
      <c r="BR586" s="63"/>
    </row>
    <row r="587" spans="1:70">
      <c r="B587" s="1284"/>
      <c r="D587" s="5" t="s">
        <v>173</v>
      </c>
      <c r="E587" s="87">
        <v>0</v>
      </c>
      <c r="F587" s="87">
        <v>0</v>
      </c>
      <c r="G587" s="87">
        <v>0</v>
      </c>
      <c r="H587" s="87">
        <v>0</v>
      </c>
      <c r="I587" s="87">
        <v>0</v>
      </c>
      <c r="J587" s="87">
        <v>0</v>
      </c>
      <c r="K587" s="87">
        <v>0</v>
      </c>
      <c r="L587" s="87">
        <v>0</v>
      </c>
      <c r="N587" s="29">
        <v>0</v>
      </c>
      <c r="O587" s="29">
        <v>0</v>
      </c>
      <c r="P587" s="29">
        <v>0</v>
      </c>
      <c r="Q587" s="29">
        <v>0</v>
      </c>
      <c r="R587" s="29">
        <v>0</v>
      </c>
      <c r="S587" s="29">
        <v>0</v>
      </c>
      <c r="T587" s="29">
        <v>0</v>
      </c>
      <c r="U587" s="29">
        <v>0</v>
      </c>
      <c r="W587" s="30">
        <v>0</v>
      </c>
      <c r="X587" s="30">
        <v>0</v>
      </c>
      <c r="Y587" s="30">
        <v>0</v>
      </c>
      <c r="Z587" s="30">
        <v>0</v>
      </c>
      <c r="AA587" s="30">
        <v>0</v>
      </c>
      <c r="AB587" s="85">
        <v>0</v>
      </c>
      <c r="AC587" s="85">
        <v>0</v>
      </c>
      <c r="AD587" s="90">
        <v>0</v>
      </c>
      <c r="AF587" s="29">
        <f t="shared" si="1113"/>
        <v>0</v>
      </c>
      <c r="AG587" s="30">
        <f t="shared" si="1114"/>
        <v>0</v>
      </c>
      <c r="AH587" s="32">
        <f t="shared" si="1115"/>
        <v>0</v>
      </c>
      <c r="AI587" s="33" t="e">
        <f t="shared" si="1116"/>
        <v>#DIV/0!</v>
      </c>
      <c r="AK587" s="29">
        <f t="shared" si="1105"/>
        <v>0</v>
      </c>
      <c r="AL587" s="30">
        <f t="shared" si="1106"/>
        <v>0</v>
      </c>
      <c r="AM587" s="32">
        <f t="shared" si="1117"/>
        <v>0</v>
      </c>
      <c r="AN587" s="33" t="e">
        <f t="shared" si="1118"/>
        <v>#DIV/0!</v>
      </c>
      <c r="AP587" s="29">
        <f t="shared" si="1119"/>
        <v>0</v>
      </c>
      <c r="AQ587" s="30">
        <f t="shared" si="1120"/>
        <v>0</v>
      </c>
      <c r="AR587" s="32">
        <f t="shared" si="1121"/>
        <v>0</v>
      </c>
      <c r="AS587" s="33" t="e">
        <f t="shared" si="1122"/>
        <v>#DIV/0!</v>
      </c>
      <c r="AU587" s="31">
        <f t="shared" si="1123"/>
        <v>0</v>
      </c>
      <c r="AV587" s="25">
        <f t="shared" si="1124"/>
        <v>0</v>
      </c>
      <c r="AW587" s="32">
        <f t="shared" si="1125"/>
        <v>0</v>
      </c>
      <c r="AX587" s="33" t="e">
        <f t="shared" si="1126"/>
        <v>#DIV/0!</v>
      </c>
      <c r="AZ587" s="31">
        <f t="shared" si="1107"/>
        <v>0</v>
      </c>
      <c r="BA587" s="25">
        <f t="shared" si="1108"/>
        <v>0</v>
      </c>
      <c r="BB587" s="32">
        <f t="shared" si="1127"/>
        <v>0</v>
      </c>
      <c r="BC587" s="33" t="e">
        <f t="shared" si="1128"/>
        <v>#DIV/0!</v>
      </c>
      <c r="BE587" s="31">
        <f t="shared" si="1129"/>
        <v>0</v>
      </c>
      <c r="BF587" s="25">
        <f t="shared" si="1130"/>
        <v>0</v>
      </c>
      <c r="BG587" s="32">
        <f t="shared" si="1131"/>
        <v>0</v>
      </c>
      <c r="BH587" s="33" t="e">
        <f t="shared" si="1132"/>
        <v>#DIV/0!</v>
      </c>
      <c r="BJ587" s="31">
        <f t="shared" si="1109"/>
        <v>0</v>
      </c>
      <c r="BK587" s="25">
        <f t="shared" si="1110"/>
        <v>0</v>
      </c>
      <c r="BL587" s="32">
        <f t="shared" si="1111"/>
        <v>0</v>
      </c>
      <c r="BM587" s="33" t="e">
        <f t="shared" si="1112"/>
        <v>#DIV/0!</v>
      </c>
      <c r="BO587" s="62"/>
      <c r="BP587" s="62"/>
      <c r="BQ587" s="62"/>
      <c r="BR587" s="63"/>
    </row>
    <row r="588" spans="1:70">
      <c r="A588" s="1"/>
      <c r="B588" s="1284"/>
      <c r="D588" s="4" t="s">
        <v>174</v>
      </c>
      <c r="E588" s="88">
        <f t="shared" ref="E588:L588" si="1133">SUM(E574:E587)</f>
        <v>2.3260218609741194</v>
      </c>
      <c r="F588" s="88">
        <f t="shared" si="1133"/>
        <v>2.3869570337594621</v>
      </c>
      <c r="G588" s="88">
        <f t="shared" si="1133"/>
        <v>1.8445138550372624</v>
      </c>
      <c r="H588" s="88">
        <f t="shared" si="1133"/>
        <v>1.2101022617164097</v>
      </c>
      <c r="I588" s="88">
        <f t="shared" si="1133"/>
        <v>0.32398307952930472</v>
      </c>
      <c r="J588" s="88">
        <f t="shared" si="1133"/>
        <v>0.3258489259713121</v>
      </c>
      <c r="K588" s="88">
        <f t="shared" si="1133"/>
        <v>0.32774282135746807</v>
      </c>
      <c r="L588" s="88">
        <f t="shared" si="1133"/>
        <v>0.32966492647230705</v>
      </c>
      <c r="M588" s="1"/>
      <c r="N588" s="81">
        <f t="shared" ref="N588:U588" si="1134">SUM(N574:N587)</f>
        <v>2.1201617362676384</v>
      </c>
      <c r="O588" s="81">
        <f t="shared" si="1134"/>
        <v>2.1538171281275198</v>
      </c>
      <c r="P588" s="81">
        <f t="shared" si="1134"/>
        <v>1.7130012427066621</v>
      </c>
      <c r="Q588" s="81">
        <f t="shared" si="1134"/>
        <v>1.2975971424491379</v>
      </c>
      <c r="R588" s="81">
        <f t="shared" si="1134"/>
        <v>3.4984584566280192</v>
      </c>
      <c r="S588" s="81">
        <f t="shared" si="1134"/>
        <v>0.28496550503041823</v>
      </c>
      <c r="T588" s="81">
        <f t="shared" si="1134"/>
        <v>0.28657488275440696</v>
      </c>
      <c r="U588" s="81">
        <f t="shared" si="1134"/>
        <v>0.28820823229292886</v>
      </c>
      <c r="V588" s="1"/>
      <c r="W588" s="85">
        <f t="shared" ref="W588:AD588" si="1135">SUM(W574:W587)</f>
        <v>0.22768258325135171</v>
      </c>
      <c r="X588" s="85">
        <f t="shared" si="1135"/>
        <v>0.11615738971720728</v>
      </c>
      <c r="Y588" s="85">
        <f t="shared" si="1135"/>
        <v>8.4009029554768203E-2</v>
      </c>
      <c r="Z588" s="85">
        <f>SUM(Z574:Z587)</f>
        <v>0.39552239899079245</v>
      </c>
      <c r="AA588" s="85">
        <f>SUM(AA574:AA587)</f>
        <v>3.216747864541964</v>
      </c>
      <c r="AB588" s="85">
        <f t="shared" si="1135"/>
        <v>1.8968297434815602</v>
      </c>
      <c r="AC588" s="85">
        <f t="shared" ref="AC588" si="1136">SUM(AC574:AC587)</f>
        <v>0.57556655000000001</v>
      </c>
      <c r="AD588" s="91">
        <f t="shared" si="1135"/>
        <v>0</v>
      </c>
      <c r="AE588" s="1"/>
      <c r="AF588" s="81">
        <f t="shared" si="1113"/>
        <v>2.1201617362676384</v>
      </c>
      <c r="AG588" s="85">
        <f t="shared" si="1114"/>
        <v>0.22768258325135171</v>
      </c>
      <c r="AH588" s="34">
        <f>IF(AG588&gt;0,AG588-AF588,"")</f>
        <v>-1.8924791530162866</v>
      </c>
      <c r="AI588" s="35">
        <f>IF(AG588&gt;0,AH588/AF588,"")</f>
        <v>-0.89261074787050565</v>
      </c>
      <c r="AK588" s="81">
        <f t="shared" si="1105"/>
        <v>2.1538171281275198</v>
      </c>
      <c r="AL588" s="85">
        <f t="shared" si="1106"/>
        <v>0.11615738971720728</v>
      </c>
      <c r="AM588" s="34">
        <f>IF(AL588&gt;0,AL588-AK588,"")</f>
        <v>-2.0376597384103126</v>
      </c>
      <c r="AN588" s="35">
        <f>IF(AL588&gt;0,AM588/AK588,"")</f>
        <v>-0.94606905655997275</v>
      </c>
      <c r="AP588" s="81">
        <f t="shared" si="1119"/>
        <v>1.7130012427066621</v>
      </c>
      <c r="AQ588" s="85">
        <f t="shared" si="1120"/>
        <v>8.4009029554768203E-2</v>
      </c>
      <c r="AR588" s="34">
        <f t="shared" si="1121"/>
        <v>-1.6289922131518939</v>
      </c>
      <c r="AS588" s="35">
        <f t="shared" si="1122"/>
        <v>-0.95095798680097388</v>
      </c>
      <c r="AU588" s="949">
        <f t="shared" si="1123"/>
        <v>1.2975971424491379</v>
      </c>
      <c r="AV588" s="843">
        <f t="shared" si="1124"/>
        <v>0.39552239899079245</v>
      </c>
      <c r="AW588" s="34">
        <f t="shared" si="1125"/>
        <v>-0.90207474345834548</v>
      </c>
      <c r="AX588" s="35">
        <f t="shared" si="1126"/>
        <v>-0.6951886020307757</v>
      </c>
      <c r="AZ588" s="949">
        <f t="shared" si="1107"/>
        <v>3.4984584566280192</v>
      </c>
      <c r="BA588" s="843">
        <f t="shared" si="1108"/>
        <v>3.216747864541964</v>
      </c>
      <c r="BB588" s="34">
        <f t="shared" si="1127"/>
        <v>-0.2817105920860552</v>
      </c>
      <c r="BC588" s="35">
        <f t="shared" si="1128"/>
        <v>-8.0524206755217917E-2</v>
      </c>
      <c r="BE588" s="31">
        <f t="shared" si="1129"/>
        <v>0.28496550503041823</v>
      </c>
      <c r="BF588" s="25">
        <f t="shared" si="1130"/>
        <v>1.8968297434815602</v>
      </c>
      <c r="BG588" s="32">
        <f t="shared" si="1131"/>
        <v>1.6118642384511419</v>
      </c>
      <c r="BH588" s="33">
        <f t="shared" si="1132"/>
        <v>5.6563486106119605</v>
      </c>
      <c r="BJ588" s="31">
        <f t="shared" si="1109"/>
        <v>0.28657488275440696</v>
      </c>
      <c r="BK588" s="25">
        <f t="shared" si="1110"/>
        <v>0.57556655000000001</v>
      </c>
      <c r="BL588" s="32">
        <f t="shared" si="1111"/>
        <v>0.28899166724559305</v>
      </c>
      <c r="BM588" s="33">
        <f t="shared" si="1112"/>
        <v>1.0084333437318624</v>
      </c>
      <c r="BO588" s="62"/>
      <c r="BP588" s="62"/>
      <c r="BQ588" s="62"/>
      <c r="BR588" s="63"/>
    </row>
    <row r="589" spans="1:70">
      <c r="A589" s="1"/>
      <c r="B589" s="1284"/>
      <c r="D589" s="4" t="s">
        <v>724</v>
      </c>
      <c r="E589" s="88">
        <f t="shared" ref="E589:L589" si="1137">E588-SUM(E577:E580)</f>
        <v>2.3260218609741194</v>
      </c>
      <c r="F589" s="88">
        <f t="shared" si="1137"/>
        <v>2.3869570337594621</v>
      </c>
      <c r="G589" s="88">
        <f t="shared" si="1137"/>
        <v>1.8445138550372624</v>
      </c>
      <c r="H589" s="88">
        <f t="shared" si="1137"/>
        <v>1.2101022617164097</v>
      </c>
      <c r="I589" s="88">
        <f t="shared" si="1137"/>
        <v>0.32398307952930472</v>
      </c>
      <c r="J589" s="88">
        <f t="shared" si="1137"/>
        <v>0.3258489259713121</v>
      </c>
      <c r="K589" s="88">
        <f t="shared" si="1137"/>
        <v>0.32774282135746807</v>
      </c>
      <c r="L589" s="88">
        <f t="shared" si="1137"/>
        <v>0.32966492647230705</v>
      </c>
      <c r="M589" s="1"/>
      <c r="N589" s="81">
        <f t="shared" ref="N589:U589" si="1138">N588-SUM(N577:N580)</f>
        <v>2.1201617362676384</v>
      </c>
      <c r="O589" s="81">
        <f t="shared" si="1138"/>
        <v>2.1538171281275198</v>
      </c>
      <c r="P589" s="81">
        <f t="shared" si="1138"/>
        <v>1.7130012427066621</v>
      </c>
      <c r="Q589" s="81">
        <f t="shared" si="1138"/>
        <v>1.2975971424491379</v>
      </c>
      <c r="R589" s="81">
        <f t="shared" si="1138"/>
        <v>3.4984584566280192</v>
      </c>
      <c r="S589" s="81">
        <f t="shared" si="1138"/>
        <v>0.28496550503041823</v>
      </c>
      <c r="T589" s="81">
        <f t="shared" si="1138"/>
        <v>0.28657488275440696</v>
      </c>
      <c r="U589" s="81">
        <f t="shared" si="1138"/>
        <v>0.28820823229292886</v>
      </c>
      <c r="V589" s="1"/>
      <c r="W589" s="85">
        <f t="shared" ref="W589:AD589" si="1139">W588-SUM(W577:W580)</f>
        <v>0.22768258325135171</v>
      </c>
      <c r="X589" s="85">
        <f t="shared" si="1139"/>
        <v>0.11615738971720728</v>
      </c>
      <c r="Y589" s="85">
        <f t="shared" si="1139"/>
        <v>8.4009029554768203E-2</v>
      </c>
      <c r="Z589" s="85">
        <f>Z588-SUM(Z577:Z580)</f>
        <v>0.39552239899079245</v>
      </c>
      <c r="AA589" s="85">
        <f>AA588-SUM(AA577:AA580)</f>
        <v>3.216747864541964</v>
      </c>
      <c r="AB589" s="85">
        <f t="shared" si="1139"/>
        <v>1.8968297434815602</v>
      </c>
      <c r="AC589" s="85">
        <f t="shared" ref="AC589" si="1140">AC588-SUM(AC577:AC580)</f>
        <v>0.57556655000000001</v>
      </c>
      <c r="AD589" s="91">
        <f t="shared" si="1139"/>
        <v>0</v>
      </c>
      <c r="AE589" s="1"/>
      <c r="AF589" s="81">
        <f t="shared" si="1113"/>
        <v>2.1201617362676384</v>
      </c>
      <c r="AG589" s="85">
        <f t="shared" si="1114"/>
        <v>0.22768258325135171</v>
      </c>
      <c r="AH589" s="34">
        <f>IF(AG589&gt;0,AG589-AF589,"")</f>
        <v>-1.8924791530162866</v>
      </c>
      <c r="AI589" s="35">
        <f>IF(AG589&gt;0,AH589/AF589,"")</f>
        <v>-0.89261074787050565</v>
      </c>
      <c r="AK589" s="81">
        <f t="shared" si="1105"/>
        <v>2.1538171281275198</v>
      </c>
      <c r="AL589" s="85">
        <f t="shared" si="1106"/>
        <v>0.11615738971720728</v>
      </c>
      <c r="AM589" s="34">
        <f>IF(AL589&gt;0,AL589-AK589,"")</f>
        <v>-2.0376597384103126</v>
      </c>
      <c r="AN589" s="35">
        <f>IF(AL589&gt;0,AM589/AK589,"")</f>
        <v>-0.94606905655997275</v>
      </c>
      <c r="AP589" s="81">
        <f t="shared" si="1119"/>
        <v>1.7130012427066621</v>
      </c>
      <c r="AQ589" s="85">
        <f>Y589</f>
        <v>8.4009029554768203E-2</v>
      </c>
      <c r="AR589" s="34">
        <f t="shared" si="1121"/>
        <v>-1.6289922131518939</v>
      </c>
      <c r="AS589" s="35">
        <f t="shared" si="1122"/>
        <v>-0.95095798680097388</v>
      </c>
      <c r="AU589" s="949">
        <f t="shared" si="1123"/>
        <v>1.2975971424491379</v>
      </c>
      <c r="AV589" s="843">
        <f t="shared" si="1124"/>
        <v>0.39552239899079245</v>
      </c>
      <c r="AW589" s="34">
        <f t="shared" si="1125"/>
        <v>-0.90207474345834548</v>
      </c>
      <c r="AX589" s="35">
        <f t="shared" si="1126"/>
        <v>-0.6951886020307757</v>
      </c>
      <c r="AZ589" s="949">
        <f t="shared" si="1107"/>
        <v>3.4984584566280192</v>
      </c>
      <c r="BA589" s="843">
        <f t="shared" si="1108"/>
        <v>3.216747864541964</v>
      </c>
      <c r="BB589" s="34">
        <f t="shared" si="1127"/>
        <v>-0.2817105920860552</v>
      </c>
      <c r="BC589" s="35">
        <f t="shared" si="1128"/>
        <v>-8.0524206755217917E-2</v>
      </c>
      <c r="BE589" s="31">
        <f t="shared" si="1129"/>
        <v>0.28496550503041823</v>
      </c>
      <c r="BF589" s="25">
        <f t="shared" si="1130"/>
        <v>1.8968297434815602</v>
      </c>
      <c r="BG589" s="32">
        <f t="shared" si="1131"/>
        <v>1.6118642384511419</v>
      </c>
      <c r="BH589" s="33">
        <f t="shared" si="1132"/>
        <v>5.6563486106119605</v>
      </c>
      <c r="BJ589" s="31">
        <f t="shared" si="1109"/>
        <v>0.28657488275440696</v>
      </c>
      <c r="BK589" s="25">
        <f t="shared" si="1110"/>
        <v>0.57556655000000001</v>
      </c>
      <c r="BL589" s="32">
        <f t="shared" si="1111"/>
        <v>0.28899166724559305</v>
      </c>
      <c r="BM589" s="33">
        <f t="shared" si="1112"/>
        <v>1.0084333437318624</v>
      </c>
      <c r="BO589" s="62"/>
      <c r="BP589" s="62"/>
      <c r="BQ589" s="62"/>
      <c r="BR589" s="63"/>
    </row>
    <row r="590" spans="1:70" ht="14.5" customHeight="1">
      <c r="B590" s="1284"/>
    </row>
    <row r="591" spans="1:70" ht="14.5" customHeight="1">
      <c r="B591" s="1284"/>
      <c r="D591" s="1" t="s">
        <v>86</v>
      </c>
    </row>
    <row r="592" spans="1:70" ht="14.5" customHeight="1">
      <c r="B592" s="1284"/>
      <c r="E592" s="1300" t="s">
        <v>733</v>
      </c>
      <c r="F592" s="1301"/>
      <c r="G592" s="1301"/>
      <c r="H592" s="1301"/>
      <c r="I592" s="1301"/>
      <c r="J592" s="1301"/>
      <c r="K592" s="1301"/>
      <c r="L592" s="1302"/>
      <c r="N592" s="245" t="s">
        <v>291</v>
      </c>
      <c r="O592" s="246"/>
      <c r="P592" s="246"/>
      <c r="Q592" s="246"/>
      <c r="R592" s="246"/>
      <c r="S592" s="246"/>
      <c r="T592" s="246"/>
      <c r="U592" s="247"/>
      <c r="W592" s="1079" t="s">
        <v>292</v>
      </c>
      <c r="X592" s="1080"/>
      <c r="Y592" s="1080"/>
      <c r="Z592" s="1080"/>
      <c r="AA592" s="1080"/>
      <c r="AB592" s="1080"/>
      <c r="AC592" s="1080"/>
      <c r="AD592" s="1081"/>
      <c r="AF592" s="102" t="s">
        <v>297</v>
      </c>
      <c r="AG592" s="102" t="s">
        <v>298</v>
      </c>
      <c r="AH592" s="1304" t="s">
        <v>602</v>
      </c>
      <c r="AI592" s="1304"/>
      <c r="AK592" s="102" t="s">
        <v>297</v>
      </c>
      <c r="AL592" s="102" t="s">
        <v>298</v>
      </c>
      <c r="AM592" s="1304" t="s">
        <v>602</v>
      </c>
      <c r="AN592" s="1304"/>
      <c r="AP592" s="6" t="s">
        <v>297</v>
      </c>
      <c r="AQ592" s="5" t="s">
        <v>298</v>
      </c>
      <c r="AR592" s="1303" t="s">
        <v>602</v>
      </c>
      <c r="AS592" s="1303"/>
      <c r="AU592" s="6" t="s">
        <v>297</v>
      </c>
      <c r="AV592" s="5" t="s">
        <v>298</v>
      </c>
      <c r="AW592" s="1303" t="s">
        <v>602</v>
      </c>
      <c r="AX592" s="1303"/>
      <c r="AZ592" s="6" t="s">
        <v>297</v>
      </c>
      <c r="BA592" s="5" t="s">
        <v>298</v>
      </c>
      <c r="BB592" s="1303" t="s">
        <v>602</v>
      </c>
      <c r="BC592" s="1303"/>
      <c r="BE592" s="6" t="s">
        <v>297</v>
      </c>
      <c r="BF592" s="5" t="s">
        <v>298</v>
      </c>
      <c r="BG592" s="1082" t="s">
        <v>602</v>
      </c>
      <c r="BH592" s="1082"/>
      <c r="BJ592" s="6" t="s">
        <v>297</v>
      </c>
      <c r="BK592" s="5" t="s">
        <v>298</v>
      </c>
      <c r="BL592" s="1082" t="s">
        <v>602</v>
      </c>
      <c r="BM592" s="1082"/>
      <c r="BO592" s="6" t="s">
        <v>297</v>
      </c>
      <c r="BP592" s="5" t="s">
        <v>298</v>
      </c>
      <c r="BQ592" s="1303" t="s">
        <v>602</v>
      </c>
      <c r="BR592" s="1303"/>
    </row>
    <row r="593" spans="1:70" ht="14.5" customHeight="1">
      <c r="A593" s="1"/>
      <c r="B593" s="1284"/>
      <c r="E593" s="196" t="s">
        <v>137</v>
      </c>
      <c r="F593" s="102" t="s">
        <v>138</v>
      </c>
      <c r="G593" s="102" t="s">
        <v>139</v>
      </c>
      <c r="H593" s="102" t="s">
        <v>140</v>
      </c>
      <c r="I593" s="102" t="s">
        <v>141</v>
      </c>
      <c r="J593" s="102" t="s">
        <v>126</v>
      </c>
      <c r="K593" s="102" t="s">
        <v>142</v>
      </c>
      <c r="L593" s="197" t="s">
        <v>143</v>
      </c>
      <c r="N593" s="196" t="s">
        <v>137</v>
      </c>
      <c r="O593" s="102" t="s">
        <v>138</v>
      </c>
      <c r="P593" s="102" t="s">
        <v>139</v>
      </c>
      <c r="Q593" s="102" t="s">
        <v>140</v>
      </c>
      <c r="R593" s="102" t="s">
        <v>141</v>
      </c>
      <c r="S593" s="102" t="s">
        <v>126</v>
      </c>
      <c r="T593" s="102" t="s">
        <v>142</v>
      </c>
      <c r="U593" s="197" t="s">
        <v>143</v>
      </c>
      <c r="W593" s="196" t="s">
        <v>137</v>
      </c>
      <c r="X593" s="1078" t="s">
        <v>138</v>
      </c>
      <c r="Y593" s="1078" t="s">
        <v>139</v>
      </c>
      <c r="Z593" s="1078" t="s">
        <v>140</v>
      </c>
      <c r="AA593" s="1078" t="s">
        <v>141</v>
      </c>
      <c r="AB593" s="1078" t="s">
        <v>126</v>
      </c>
      <c r="AC593" s="1078" t="s">
        <v>142</v>
      </c>
      <c r="AD593" s="197" t="s">
        <v>143</v>
      </c>
      <c r="AF593" s="102" t="s">
        <v>734</v>
      </c>
      <c r="AG593" s="102" t="s">
        <v>734</v>
      </c>
      <c r="AH593" s="102" t="s">
        <v>734</v>
      </c>
      <c r="AI593" s="102" t="s">
        <v>606</v>
      </c>
      <c r="AK593" s="102" t="s">
        <v>734</v>
      </c>
      <c r="AL593" s="102" t="s">
        <v>734</v>
      </c>
      <c r="AM593" s="102" t="s">
        <v>734</v>
      </c>
      <c r="AN593" s="102" t="s">
        <v>606</v>
      </c>
      <c r="AP593" s="5" t="s">
        <v>734</v>
      </c>
      <c r="AQ593" s="5" t="s">
        <v>734</v>
      </c>
      <c r="AR593" s="5" t="s">
        <v>734</v>
      </c>
      <c r="AS593" s="5" t="s">
        <v>606</v>
      </c>
      <c r="AU593" s="5" t="s">
        <v>734</v>
      </c>
      <c r="AV593" s="5" t="s">
        <v>734</v>
      </c>
      <c r="AW593" s="5" t="s">
        <v>734</v>
      </c>
      <c r="AX593" s="5" t="s">
        <v>606</v>
      </c>
      <c r="AZ593" s="5" t="s">
        <v>734</v>
      </c>
      <c r="BA593" s="5" t="s">
        <v>734</v>
      </c>
      <c r="BB593" s="5" t="s">
        <v>734</v>
      </c>
      <c r="BC593" s="5" t="s">
        <v>606</v>
      </c>
      <c r="BE593" s="5" t="s">
        <v>734</v>
      </c>
      <c r="BF593" s="5" t="s">
        <v>734</v>
      </c>
      <c r="BG593" s="5" t="s">
        <v>734</v>
      </c>
      <c r="BH593" s="5" t="s">
        <v>606</v>
      </c>
      <c r="BJ593" s="5" t="s">
        <v>734</v>
      </c>
      <c r="BK593" s="5" t="s">
        <v>734</v>
      </c>
      <c r="BL593" s="5" t="s">
        <v>734</v>
      </c>
      <c r="BM593" s="5" t="s">
        <v>606</v>
      </c>
      <c r="BO593" s="5" t="s">
        <v>734</v>
      </c>
      <c r="BP593" s="5" t="s">
        <v>734</v>
      </c>
      <c r="BQ593" s="5" t="s">
        <v>734</v>
      </c>
      <c r="BR593" s="5" t="s">
        <v>606</v>
      </c>
    </row>
    <row r="594" spans="1:70">
      <c r="B594" s="1284"/>
      <c r="D594" s="5" t="s">
        <v>161</v>
      </c>
      <c r="E594" s="87">
        <v>2.4135496705222965</v>
      </c>
      <c r="F594" s="87">
        <v>2.4126673931290394</v>
      </c>
      <c r="G594" s="87">
        <v>2.4121203381067144</v>
      </c>
      <c r="H594" s="87">
        <v>2.4116209474921328</v>
      </c>
      <c r="I594" s="87">
        <v>2.4115345639082282</v>
      </c>
      <c r="J594" s="87">
        <v>2.4382286550532397</v>
      </c>
      <c r="K594" s="87">
        <v>2.4437885429603838</v>
      </c>
      <c r="L594" s="87">
        <v>2.4493908550376906</v>
      </c>
      <c r="N594" s="29">
        <v>2.4181752886235346</v>
      </c>
      <c r="O594" s="29">
        <v>2.2103978204849155</v>
      </c>
      <c r="P594" s="29">
        <v>2.3555907317393912</v>
      </c>
      <c r="Q594" s="29">
        <v>2.2733855247100174</v>
      </c>
      <c r="R594" s="29">
        <v>2.3490867185024298</v>
      </c>
      <c r="S594" s="29">
        <v>2.3515870053741335</v>
      </c>
      <c r="T594" s="29">
        <v>2.3321245676250646</v>
      </c>
      <c r="U594" s="29">
        <v>2.2813086521657611</v>
      </c>
      <c r="W594" s="30">
        <v>0.56635880034155905</v>
      </c>
      <c r="X594" s="30">
        <v>-4.3860683096448139E-2</v>
      </c>
      <c r="Y594" s="30">
        <v>2.6005007269924802</v>
      </c>
      <c r="Z594" s="30">
        <v>2.3520111076774324</v>
      </c>
      <c r="AA594" s="30">
        <v>1.4871073177675571</v>
      </c>
      <c r="AB594" s="30">
        <v>1.6131249873552467</v>
      </c>
      <c r="AC594" s="30">
        <v>1.8227082686552079</v>
      </c>
      <c r="AD594" s="90">
        <v>0</v>
      </c>
      <c r="AF594" s="29">
        <f>N594</f>
        <v>2.4181752886235346</v>
      </c>
      <c r="AG594" s="30">
        <f>W594</f>
        <v>0.56635880034155905</v>
      </c>
      <c r="AH594" s="32">
        <f>AG594-AF594</f>
        <v>-1.8518164882819756</v>
      </c>
      <c r="AI594" s="33">
        <f>AH594/AF594</f>
        <v>-0.76579084113296858</v>
      </c>
      <c r="AK594" s="29">
        <f t="shared" ref="AK594:AK609" si="1141">O594</f>
        <v>2.2103978204849155</v>
      </c>
      <c r="AL594" s="30">
        <f t="shared" ref="AL594:AL609" si="1142">X594</f>
        <v>-4.3860683096448139E-2</v>
      </c>
      <c r="AM594" s="32">
        <f>AL594-AK594</f>
        <v>-2.2542585035813638</v>
      </c>
      <c r="AN594" s="33">
        <f>AM594/AK594</f>
        <v>-1.0198428910352555</v>
      </c>
      <c r="AP594" s="29">
        <f>P594</f>
        <v>2.3555907317393912</v>
      </c>
      <c r="AQ594" s="30">
        <f>Y594</f>
        <v>2.6005007269924802</v>
      </c>
      <c r="AR594" s="32">
        <f>AQ594-AP594</f>
        <v>0.2449099952530891</v>
      </c>
      <c r="AS594" s="33">
        <f>AR594/AP594</f>
        <v>0.1039696717910947</v>
      </c>
      <c r="AU594" s="31">
        <f>Q594</f>
        <v>2.2733855247100174</v>
      </c>
      <c r="AV594" s="25">
        <f>Z594</f>
        <v>2.3520111076774324</v>
      </c>
      <c r="AW594" s="32">
        <f>AV594-AU594</f>
        <v>7.8625582967414953E-2</v>
      </c>
      <c r="AX594" s="33">
        <f>AW594/AU594</f>
        <v>3.4585239552558544E-2</v>
      </c>
      <c r="AZ594" s="31">
        <f t="shared" ref="AZ594:AZ609" si="1143">R594</f>
        <v>2.3490867185024298</v>
      </c>
      <c r="BA594" s="25">
        <f t="shared" ref="BA594:BA609" si="1144">AA594</f>
        <v>1.4871073177675571</v>
      </c>
      <c r="BB594" s="32">
        <f>BA594-AZ594</f>
        <v>-0.86197940073487267</v>
      </c>
      <c r="BC594" s="33">
        <f>BB594/AZ594</f>
        <v>-0.36694234995479202</v>
      </c>
      <c r="BE594" s="31">
        <f>S594</f>
        <v>2.3515870053741335</v>
      </c>
      <c r="BF594" s="25">
        <f>AB594</f>
        <v>1.6131249873552467</v>
      </c>
      <c r="BG594" s="32">
        <f>BF594-BE594</f>
        <v>-0.73846201801888678</v>
      </c>
      <c r="BH594" s="33">
        <f>BG594/BE594</f>
        <v>-0.31402708738025142</v>
      </c>
      <c r="BJ594" s="31">
        <f t="shared" ref="BJ594:BJ609" si="1145">T594</f>
        <v>2.3321245676250646</v>
      </c>
      <c r="BK594" s="25">
        <f t="shared" ref="BK594:BK609" si="1146">AC594</f>
        <v>1.8227082686552079</v>
      </c>
      <c r="BL594" s="32">
        <f t="shared" ref="BL594:BL609" si="1147">BK594-BJ594</f>
        <v>-0.50941629896985674</v>
      </c>
      <c r="BM594" s="33">
        <f t="shared" ref="BM594:BM609" si="1148">BL594/BJ594</f>
        <v>-0.21843442929321069</v>
      </c>
      <c r="BO594" s="62"/>
      <c r="BP594" s="62"/>
      <c r="BQ594" s="62"/>
      <c r="BR594" s="63"/>
    </row>
    <row r="595" spans="1:70">
      <c r="B595" s="1284"/>
      <c r="D595" s="5" t="s">
        <v>162</v>
      </c>
      <c r="E595" s="87">
        <v>0.61051989407953711</v>
      </c>
      <c r="F595" s="87">
        <v>0.47332356544770121</v>
      </c>
      <c r="G595" s="87">
        <v>0.47330391352752477</v>
      </c>
      <c r="H595" s="87">
        <v>0.47472554561816421</v>
      </c>
      <c r="I595" s="87">
        <v>0.47709871720014707</v>
      </c>
      <c r="J595" s="87">
        <v>0.48102864800376971</v>
      </c>
      <c r="K595" s="87">
        <v>0.48847427665766607</v>
      </c>
      <c r="L595" s="87">
        <v>0.43444709095998957</v>
      </c>
      <c r="N595" s="29">
        <v>0.60736759330175161</v>
      </c>
      <c r="O595" s="29">
        <v>0.55555592410418242</v>
      </c>
      <c r="P595" s="29">
        <v>0.49667715340888097</v>
      </c>
      <c r="Q595" s="29">
        <v>0.48940778552384151</v>
      </c>
      <c r="R595" s="29">
        <v>0.46588841726774305</v>
      </c>
      <c r="S595" s="29">
        <v>0.41669260376137746</v>
      </c>
      <c r="T595" s="29">
        <v>0.3815581734116586</v>
      </c>
      <c r="U595" s="29">
        <v>0.36826149907706224</v>
      </c>
      <c r="W595" s="30">
        <v>0.12497026846462639</v>
      </c>
      <c r="X595" s="30">
        <v>4.5134010619220559E-2</v>
      </c>
      <c r="Y595" s="30">
        <v>9.9879504656174872E-2</v>
      </c>
      <c r="Z595" s="30">
        <v>7.7500127464739195E-4</v>
      </c>
      <c r="AA595" s="30">
        <v>4.4570528775607111E-3</v>
      </c>
      <c r="AB595" s="30">
        <v>0.12207875575601616</v>
      </c>
      <c r="AC595" s="30">
        <v>0.16015294999999999</v>
      </c>
      <c r="AD595" s="90">
        <v>0</v>
      </c>
      <c r="AF595" s="29">
        <f t="shared" ref="AF595:AF609" si="1149">N595</f>
        <v>0.60736759330175161</v>
      </c>
      <c r="AG595" s="30">
        <f t="shared" ref="AG595:AG609" si="1150">W595</f>
        <v>0.12497026846462639</v>
      </c>
      <c r="AH595" s="32">
        <f t="shared" ref="AH595:AH607" si="1151">AG595-AF595</f>
        <v>-0.48239732483712522</v>
      </c>
      <c r="AI595" s="33">
        <f t="shared" ref="AI595:AI607" si="1152">AH595/AF595</f>
        <v>-0.79424277843790259</v>
      </c>
      <c r="AK595" s="29">
        <f t="shared" si="1141"/>
        <v>0.55555592410418242</v>
      </c>
      <c r="AL595" s="30">
        <f t="shared" si="1142"/>
        <v>4.5134010619220559E-2</v>
      </c>
      <c r="AM595" s="32">
        <f t="shared" ref="AM595:AM607" si="1153">AL595-AK595</f>
        <v>-0.51042191348496191</v>
      </c>
      <c r="AN595" s="33">
        <f t="shared" ref="AN595:AN607" si="1154">AM595/AK595</f>
        <v>-0.91875883477977893</v>
      </c>
      <c r="AP595" s="29">
        <f t="shared" ref="AP595:AP609" si="1155">P595</f>
        <v>0.49667715340888097</v>
      </c>
      <c r="AQ595" s="30">
        <f t="shared" ref="AQ595:AQ608" si="1156">Y595</f>
        <v>9.9879504656174872E-2</v>
      </c>
      <c r="AR595" s="32">
        <f t="shared" ref="AR595:AR609" si="1157">AQ595-AP595</f>
        <v>-0.39679764875270607</v>
      </c>
      <c r="AS595" s="33">
        <f t="shared" ref="AS595:AS609" si="1158">AR595/AP595</f>
        <v>-0.79890457217396749</v>
      </c>
      <c r="AU595" s="31">
        <f t="shared" ref="AU595:AU609" si="1159">Q595</f>
        <v>0.48940778552384151</v>
      </c>
      <c r="AV595" s="25">
        <f t="shared" ref="AV595:AV609" si="1160">Z595</f>
        <v>7.7500127464739195E-4</v>
      </c>
      <c r="AW595" s="32">
        <f t="shared" ref="AW595:AW609" si="1161">AV595-AU595</f>
        <v>-0.4886327842491941</v>
      </c>
      <c r="AX595" s="33">
        <f t="shared" ref="AX595:AX609" si="1162">AW595/AU595</f>
        <v>-0.99841645086659603</v>
      </c>
      <c r="AZ595" s="31">
        <f t="shared" si="1143"/>
        <v>0.46588841726774305</v>
      </c>
      <c r="BA595" s="25">
        <f t="shared" si="1144"/>
        <v>4.4570528775607111E-3</v>
      </c>
      <c r="BB595" s="32">
        <f t="shared" ref="BB595:BB609" si="1163">BA595-AZ595</f>
        <v>-0.46143136439018234</v>
      </c>
      <c r="BC595" s="33">
        <f t="shared" ref="BC595:BC609" si="1164">BB595/AZ595</f>
        <v>-0.99043321810037777</v>
      </c>
      <c r="BE595" s="31">
        <f t="shared" ref="BE595:BE609" si="1165">S595</f>
        <v>0.41669260376137746</v>
      </c>
      <c r="BF595" s="25">
        <f t="shared" ref="BF595:BF609" si="1166">AB595</f>
        <v>0.12207875575601616</v>
      </c>
      <c r="BG595" s="32">
        <f t="shared" ref="BG595:BG609" si="1167">BF595-BE595</f>
        <v>-0.29461384800536128</v>
      </c>
      <c r="BH595" s="33">
        <f t="shared" ref="BH595:BH609" si="1168">BG595/BE595</f>
        <v>-0.70702922333143781</v>
      </c>
      <c r="BJ595" s="31">
        <f t="shared" si="1145"/>
        <v>0.3815581734116586</v>
      </c>
      <c r="BK595" s="25">
        <f t="shared" si="1146"/>
        <v>0.16015294999999999</v>
      </c>
      <c r="BL595" s="32">
        <f t="shared" si="1147"/>
        <v>-0.22140522341165861</v>
      </c>
      <c r="BM595" s="33">
        <f t="shared" si="1148"/>
        <v>-0.58026596949028564</v>
      </c>
      <c r="BO595" s="62"/>
      <c r="BP595" s="62"/>
      <c r="BQ595" s="62"/>
      <c r="BR595" s="63"/>
    </row>
    <row r="596" spans="1:70">
      <c r="B596" s="1284"/>
      <c r="D596" s="5" t="s">
        <v>163</v>
      </c>
      <c r="E596" s="87">
        <v>0.8451626617179463</v>
      </c>
      <c r="F596" s="87">
        <v>0.66617077597487961</v>
      </c>
      <c r="G596" s="87">
        <v>0.66873626147518583</v>
      </c>
      <c r="H596" s="87">
        <v>0.67105473211855338</v>
      </c>
      <c r="I596" s="87">
        <v>0.67401075714927161</v>
      </c>
      <c r="J596" s="87">
        <v>0.67689492981576826</v>
      </c>
      <c r="K596" s="87">
        <v>0.6829405139744652</v>
      </c>
      <c r="L596" s="87">
        <v>0.8613666720994374</v>
      </c>
      <c r="N596" s="29">
        <v>0.85523668960344179</v>
      </c>
      <c r="O596" s="29">
        <v>0.78367974361336634</v>
      </c>
      <c r="P596" s="29">
        <v>0.75053515958168915</v>
      </c>
      <c r="Q596" s="29">
        <v>0.73128752037937028</v>
      </c>
      <c r="R596" s="29">
        <v>0.63370603338843823</v>
      </c>
      <c r="S596" s="29">
        <v>0.61660610719380027</v>
      </c>
      <c r="T596" s="29">
        <v>0.543899096773929</v>
      </c>
      <c r="U596" s="29">
        <v>0.62869593543693714</v>
      </c>
      <c r="W596" s="30">
        <v>0.42763385881899235</v>
      </c>
      <c r="X596" s="30">
        <v>3.4544935985128436E-2</v>
      </c>
      <c r="Y596" s="30">
        <v>0</v>
      </c>
      <c r="Z596" s="30">
        <v>6.3354559119851162E-2</v>
      </c>
      <c r="AA596" s="30">
        <v>0.14008988959762725</v>
      </c>
      <c r="AB596" s="30">
        <v>8.6004791745913051E-2</v>
      </c>
      <c r="AC596" s="30">
        <v>4.3834399999999997E-3</v>
      </c>
      <c r="AD596" s="90">
        <v>0</v>
      </c>
      <c r="AF596" s="29">
        <f t="shared" si="1149"/>
        <v>0.85523668960344179</v>
      </c>
      <c r="AG596" s="30">
        <f t="shared" si="1150"/>
        <v>0.42763385881899235</v>
      </c>
      <c r="AH596" s="32">
        <f t="shared" si="1151"/>
        <v>-0.42760283078444944</v>
      </c>
      <c r="AI596" s="33">
        <f t="shared" si="1152"/>
        <v>-0.49998185997226258</v>
      </c>
      <c r="AK596" s="29">
        <f t="shared" si="1141"/>
        <v>0.78367974361336634</v>
      </c>
      <c r="AL596" s="30">
        <f t="shared" si="1142"/>
        <v>3.4544935985128436E-2</v>
      </c>
      <c r="AM596" s="32">
        <f t="shared" si="1153"/>
        <v>-0.74913480762823792</v>
      </c>
      <c r="AN596" s="33">
        <f t="shared" si="1154"/>
        <v>-0.95591957522616355</v>
      </c>
      <c r="AP596" s="29">
        <f t="shared" si="1155"/>
        <v>0.75053515958168915</v>
      </c>
      <c r="AQ596" s="30">
        <f t="shared" si="1156"/>
        <v>0</v>
      </c>
      <c r="AR596" s="32">
        <f t="shared" si="1157"/>
        <v>-0.75053515958168915</v>
      </c>
      <c r="AS596" s="33">
        <f t="shared" si="1158"/>
        <v>-1</v>
      </c>
      <c r="AU596" s="31">
        <f t="shared" si="1159"/>
        <v>0.73128752037937028</v>
      </c>
      <c r="AV596" s="25">
        <f t="shared" si="1160"/>
        <v>6.3354559119851162E-2</v>
      </c>
      <c r="AW596" s="32">
        <f t="shared" si="1161"/>
        <v>-0.66793296125951906</v>
      </c>
      <c r="AX596" s="33">
        <f t="shared" si="1162"/>
        <v>-0.91336573187111858</v>
      </c>
      <c r="AZ596" s="31">
        <f t="shared" si="1143"/>
        <v>0.63370603338843823</v>
      </c>
      <c r="BA596" s="25">
        <f t="shared" si="1144"/>
        <v>0.14008988959762725</v>
      </c>
      <c r="BB596" s="32">
        <f t="shared" si="1163"/>
        <v>-0.49361614379081098</v>
      </c>
      <c r="BC596" s="33">
        <f t="shared" si="1164"/>
        <v>-0.77893552812087974</v>
      </c>
      <c r="BE596" s="31">
        <f t="shared" si="1165"/>
        <v>0.61660610719380027</v>
      </c>
      <c r="BF596" s="25">
        <f t="shared" si="1166"/>
        <v>8.6004791745913051E-2</v>
      </c>
      <c r="BG596" s="32">
        <f t="shared" si="1167"/>
        <v>-0.53060131544788725</v>
      </c>
      <c r="BH596" s="33">
        <f t="shared" si="1168"/>
        <v>-0.86051907247995907</v>
      </c>
      <c r="BJ596" s="31">
        <f t="shared" si="1145"/>
        <v>0.543899096773929</v>
      </c>
      <c r="BK596" s="25">
        <f t="shared" si="1146"/>
        <v>4.3834399999999997E-3</v>
      </c>
      <c r="BL596" s="32">
        <f t="shared" si="1147"/>
        <v>-0.53951565677392899</v>
      </c>
      <c r="BM596" s="33">
        <f t="shared" si="1148"/>
        <v>-0.99194071101423065</v>
      </c>
      <c r="BO596" s="62"/>
      <c r="BP596" s="62"/>
      <c r="BQ596" s="62"/>
      <c r="BR596" s="63"/>
    </row>
    <row r="597" spans="1:70">
      <c r="B597" s="1284"/>
      <c r="D597" s="5" t="s">
        <v>164</v>
      </c>
      <c r="E597" s="87">
        <v>0</v>
      </c>
      <c r="F597" s="87">
        <v>0</v>
      </c>
      <c r="G597" s="87">
        <v>0</v>
      </c>
      <c r="H597" s="87">
        <v>0</v>
      </c>
      <c r="I597" s="87">
        <v>0</v>
      </c>
      <c r="J597" s="87">
        <v>0</v>
      </c>
      <c r="K597" s="87">
        <v>0</v>
      </c>
      <c r="L597" s="87">
        <v>0</v>
      </c>
      <c r="N597" s="29">
        <v>0</v>
      </c>
      <c r="O597" s="29">
        <v>0</v>
      </c>
      <c r="P597" s="29">
        <v>0</v>
      </c>
      <c r="Q597" s="29">
        <v>0</v>
      </c>
      <c r="R597" s="29">
        <v>0</v>
      </c>
      <c r="S597" s="29">
        <v>0</v>
      </c>
      <c r="T597" s="29">
        <v>0</v>
      </c>
      <c r="U597" s="29">
        <v>0</v>
      </c>
      <c r="W597" s="30">
        <v>0</v>
      </c>
      <c r="X597" s="30">
        <v>0</v>
      </c>
      <c r="Y597" s="30">
        <v>0</v>
      </c>
      <c r="Z597" s="30">
        <v>0</v>
      </c>
      <c r="AA597" s="30">
        <v>0</v>
      </c>
      <c r="AB597" s="30">
        <v>0</v>
      </c>
      <c r="AC597" s="30">
        <v>0</v>
      </c>
      <c r="AD597" s="90">
        <v>0</v>
      </c>
      <c r="AF597" s="29">
        <f t="shared" si="1149"/>
        <v>0</v>
      </c>
      <c r="AG597" s="30">
        <f t="shared" si="1150"/>
        <v>0</v>
      </c>
      <c r="AH597" s="32">
        <f t="shared" si="1151"/>
        <v>0</v>
      </c>
      <c r="AI597" s="33" t="e">
        <f t="shared" si="1152"/>
        <v>#DIV/0!</v>
      </c>
      <c r="AK597" s="29">
        <f t="shared" si="1141"/>
        <v>0</v>
      </c>
      <c r="AL597" s="30">
        <f t="shared" si="1142"/>
        <v>0</v>
      </c>
      <c r="AM597" s="32">
        <f t="shared" si="1153"/>
        <v>0</v>
      </c>
      <c r="AN597" s="33" t="e">
        <f t="shared" si="1154"/>
        <v>#DIV/0!</v>
      </c>
      <c r="AP597" s="29">
        <f t="shared" si="1155"/>
        <v>0</v>
      </c>
      <c r="AQ597" s="30">
        <f t="shared" si="1156"/>
        <v>0</v>
      </c>
      <c r="AR597" s="32">
        <f t="shared" si="1157"/>
        <v>0</v>
      </c>
      <c r="AS597" s="33" t="e">
        <f t="shared" si="1158"/>
        <v>#DIV/0!</v>
      </c>
      <c r="AU597" s="31">
        <f t="shared" si="1159"/>
        <v>0</v>
      </c>
      <c r="AV597" s="25">
        <f t="shared" si="1160"/>
        <v>0</v>
      </c>
      <c r="AW597" s="32">
        <f t="shared" si="1161"/>
        <v>0</v>
      </c>
      <c r="AX597" s="33" t="e">
        <f t="shared" si="1162"/>
        <v>#DIV/0!</v>
      </c>
      <c r="AZ597" s="31">
        <f t="shared" si="1143"/>
        <v>0</v>
      </c>
      <c r="BA597" s="25">
        <f t="shared" si="1144"/>
        <v>0</v>
      </c>
      <c r="BB597" s="32">
        <f t="shared" si="1163"/>
        <v>0</v>
      </c>
      <c r="BC597" s="33" t="e">
        <f t="shared" si="1164"/>
        <v>#DIV/0!</v>
      </c>
      <c r="BE597" s="31">
        <f t="shared" si="1165"/>
        <v>0</v>
      </c>
      <c r="BF597" s="25">
        <f t="shared" si="1166"/>
        <v>0</v>
      </c>
      <c r="BG597" s="32">
        <f t="shared" si="1167"/>
        <v>0</v>
      </c>
      <c r="BH597" s="33" t="e">
        <f t="shared" si="1168"/>
        <v>#DIV/0!</v>
      </c>
      <c r="BJ597" s="31">
        <f t="shared" si="1145"/>
        <v>0</v>
      </c>
      <c r="BK597" s="25">
        <f t="shared" si="1146"/>
        <v>0</v>
      </c>
      <c r="BL597" s="32">
        <f t="shared" si="1147"/>
        <v>0</v>
      </c>
      <c r="BM597" s="33" t="e">
        <f t="shared" si="1148"/>
        <v>#DIV/0!</v>
      </c>
      <c r="BO597" s="62"/>
      <c r="BP597" s="62"/>
      <c r="BQ597" s="62"/>
      <c r="BR597" s="63"/>
    </row>
    <row r="598" spans="1:70">
      <c r="B598" s="1284"/>
      <c r="D598" s="5" t="s">
        <v>165</v>
      </c>
      <c r="E598" s="87">
        <v>0</v>
      </c>
      <c r="F598" s="87">
        <v>0</v>
      </c>
      <c r="G598" s="87">
        <v>0</v>
      </c>
      <c r="H598" s="87">
        <v>0</v>
      </c>
      <c r="I598" s="87">
        <v>0</v>
      </c>
      <c r="J598" s="87">
        <v>0</v>
      </c>
      <c r="K598" s="87">
        <v>0</v>
      </c>
      <c r="L598" s="87">
        <v>0</v>
      </c>
      <c r="N598" s="29">
        <v>0</v>
      </c>
      <c r="O598" s="29">
        <v>0</v>
      </c>
      <c r="P598" s="29">
        <v>0</v>
      </c>
      <c r="Q598" s="29">
        <v>0</v>
      </c>
      <c r="R598" s="29">
        <v>0</v>
      </c>
      <c r="S598" s="29">
        <v>0</v>
      </c>
      <c r="T598" s="29">
        <v>0</v>
      </c>
      <c r="U598" s="29">
        <v>0</v>
      </c>
      <c r="W598" s="30">
        <v>0</v>
      </c>
      <c r="X598" s="30">
        <v>0</v>
      </c>
      <c r="Y598" s="30">
        <v>0</v>
      </c>
      <c r="Z598" s="30">
        <v>0</v>
      </c>
      <c r="AA598" s="30">
        <v>0</v>
      </c>
      <c r="AB598" s="30">
        <v>0</v>
      </c>
      <c r="AC598" s="30">
        <v>0</v>
      </c>
      <c r="AD598" s="90">
        <v>0</v>
      </c>
      <c r="AF598" s="29">
        <f t="shared" si="1149"/>
        <v>0</v>
      </c>
      <c r="AG598" s="30">
        <f t="shared" si="1150"/>
        <v>0</v>
      </c>
      <c r="AH598" s="32">
        <f t="shared" si="1151"/>
        <v>0</v>
      </c>
      <c r="AI598" s="33" t="e">
        <f t="shared" si="1152"/>
        <v>#DIV/0!</v>
      </c>
      <c r="AK598" s="29">
        <f t="shared" si="1141"/>
        <v>0</v>
      </c>
      <c r="AL598" s="30">
        <f t="shared" si="1142"/>
        <v>0</v>
      </c>
      <c r="AM598" s="32">
        <f t="shared" si="1153"/>
        <v>0</v>
      </c>
      <c r="AN598" s="33" t="e">
        <f t="shared" si="1154"/>
        <v>#DIV/0!</v>
      </c>
      <c r="AP598" s="29">
        <f t="shared" si="1155"/>
        <v>0</v>
      </c>
      <c r="AQ598" s="30">
        <f t="shared" si="1156"/>
        <v>0</v>
      </c>
      <c r="AR598" s="32">
        <f t="shared" si="1157"/>
        <v>0</v>
      </c>
      <c r="AS598" s="33" t="e">
        <f t="shared" si="1158"/>
        <v>#DIV/0!</v>
      </c>
      <c r="AU598" s="31">
        <f t="shared" si="1159"/>
        <v>0</v>
      </c>
      <c r="AV598" s="25">
        <f t="shared" si="1160"/>
        <v>0</v>
      </c>
      <c r="AW598" s="32">
        <f t="shared" si="1161"/>
        <v>0</v>
      </c>
      <c r="AX598" s="33" t="e">
        <f t="shared" si="1162"/>
        <v>#DIV/0!</v>
      </c>
      <c r="AZ598" s="31">
        <f t="shared" si="1143"/>
        <v>0</v>
      </c>
      <c r="BA598" s="25">
        <f t="shared" si="1144"/>
        <v>0</v>
      </c>
      <c r="BB598" s="32">
        <f t="shared" si="1163"/>
        <v>0</v>
      </c>
      <c r="BC598" s="33" t="e">
        <f t="shared" si="1164"/>
        <v>#DIV/0!</v>
      </c>
      <c r="BE598" s="31">
        <f t="shared" si="1165"/>
        <v>0</v>
      </c>
      <c r="BF598" s="25">
        <f t="shared" si="1166"/>
        <v>0</v>
      </c>
      <c r="BG598" s="32">
        <f t="shared" si="1167"/>
        <v>0</v>
      </c>
      <c r="BH598" s="33" t="e">
        <f t="shared" si="1168"/>
        <v>#DIV/0!</v>
      </c>
      <c r="BJ598" s="31">
        <f t="shared" si="1145"/>
        <v>0</v>
      </c>
      <c r="BK598" s="25">
        <f t="shared" si="1146"/>
        <v>0</v>
      </c>
      <c r="BL598" s="32">
        <f t="shared" si="1147"/>
        <v>0</v>
      </c>
      <c r="BM598" s="33" t="e">
        <f t="shared" si="1148"/>
        <v>#DIV/0!</v>
      </c>
      <c r="BO598" s="62"/>
      <c r="BP598" s="62"/>
      <c r="BQ598" s="62"/>
      <c r="BR598" s="63"/>
    </row>
    <row r="599" spans="1:70">
      <c r="B599" s="1284"/>
      <c r="D599" s="5" t="s">
        <v>166</v>
      </c>
      <c r="E599" s="87">
        <v>0</v>
      </c>
      <c r="F599" s="87">
        <v>0</v>
      </c>
      <c r="G599" s="87">
        <v>0</v>
      </c>
      <c r="H599" s="87">
        <v>0</v>
      </c>
      <c r="I599" s="87">
        <v>0</v>
      </c>
      <c r="J599" s="87">
        <v>0</v>
      </c>
      <c r="K599" s="87">
        <v>0</v>
      </c>
      <c r="L599" s="87">
        <v>0</v>
      </c>
      <c r="N599" s="29">
        <v>0</v>
      </c>
      <c r="O599" s="29">
        <v>0</v>
      </c>
      <c r="P599" s="29">
        <v>0</v>
      </c>
      <c r="Q599" s="29">
        <v>0</v>
      </c>
      <c r="R599" s="29">
        <v>0</v>
      </c>
      <c r="S599" s="29">
        <v>0</v>
      </c>
      <c r="T599" s="29">
        <v>0</v>
      </c>
      <c r="U599" s="29">
        <v>0</v>
      </c>
      <c r="W599" s="30">
        <v>0</v>
      </c>
      <c r="X599" s="30">
        <v>0</v>
      </c>
      <c r="Y599" s="30">
        <v>2.2637245914997016E-2</v>
      </c>
      <c r="Z599" s="30">
        <v>0</v>
      </c>
      <c r="AA599" s="30">
        <v>0</v>
      </c>
      <c r="AB599" s="30">
        <v>0</v>
      </c>
      <c r="AC599" s="30">
        <v>0</v>
      </c>
      <c r="AD599" s="90">
        <v>0</v>
      </c>
      <c r="AF599" s="29">
        <f t="shared" si="1149"/>
        <v>0</v>
      </c>
      <c r="AG599" s="30">
        <f t="shared" si="1150"/>
        <v>0</v>
      </c>
      <c r="AH599" s="32">
        <f t="shared" si="1151"/>
        <v>0</v>
      </c>
      <c r="AI599" s="33" t="e">
        <f t="shared" si="1152"/>
        <v>#DIV/0!</v>
      </c>
      <c r="AK599" s="29">
        <f t="shared" si="1141"/>
        <v>0</v>
      </c>
      <c r="AL599" s="30">
        <f t="shared" si="1142"/>
        <v>0</v>
      </c>
      <c r="AM599" s="32">
        <f t="shared" si="1153"/>
        <v>0</v>
      </c>
      <c r="AN599" s="33" t="e">
        <f t="shared" si="1154"/>
        <v>#DIV/0!</v>
      </c>
      <c r="AP599" s="29">
        <f t="shared" si="1155"/>
        <v>0</v>
      </c>
      <c r="AQ599" s="30">
        <f t="shared" si="1156"/>
        <v>2.2637245914997016E-2</v>
      </c>
      <c r="AR599" s="32">
        <f t="shared" si="1157"/>
        <v>2.2637245914997016E-2</v>
      </c>
      <c r="AS599" s="33" t="e">
        <f t="shared" si="1158"/>
        <v>#DIV/0!</v>
      </c>
      <c r="AU599" s="31">
        <f t="shared" si="1159"/>
        <v>0</v>
      </c>
      <c r="AV599" s="25">
        <f t="shared" si="1160"/>
        <v>0</v>
      </c>
      <c r="AW599" s="32">
        <f t="shared" si="1161"/>
        <v>0</v>
      </c>
      <c r="AX599" s="33" t="e">
        <f t="shared" si="1162"/>
        <v>#DIV/0!</v>
      </c>
      <c r="AZ599" s="31">
        <f t="shared" si="1143"/>
        <v>0</v>
      </c>
      <c r="BA599" s="25">
        <f t="shared" si="1144"/>
        <v>0</v>
      </c>
      <c r="BB599" s="32">
        <f t="shared" si="1163"/>
        <v>0</v>
      </c>
      <c r="BC599" s="33" t="e">
        <f t="shared" si="1164"/>
        <v>#DIV/0!</v>
      </c>
      <c r="BE599" s="31">
        <f t="shared" si="1165"/>
        <v>0</v>
      </c>
      <c r="BF599" s="25">
        <f t="shared" si="1166"/>
        <v>0</v>
      </c>
      <c r="BG599" s="32">
        <f t="shared" si="1167"/>
        <v>0</v>
      </c>
      <c r="BH599" s="33" t="e">
        <f t="shared" si="1168"/>
        <v>#DIV/0!</v>
      </c>
      <c r="BJ599" s="31">
        <f t="shared" si="1145"/>
        <v>0</v>
      </c>
      <c r="BK599" s="25">
        <f t="shared" si="1146"/>
        <v>0</v>
      </c>
      <c r="BL599" s="32">
        <f t="shared" si="1147"/>
        <v>0</v>
      </c>
      <c r="BM599" s="33" t="e">
        <f t="shared" si="1148"/>
        <v>#DIV/0!</v>
      </c>
      <c r="BO599" s="62"/>
      <c r="BP599" s="62"/>
      <c r="BQ599" s="62"/>
      <c r="BR599" s="63"/>
    </row>
    <row r="600" spans="1:70">
      <c r="B600" s="1284"/>
      <c r="D600" s="5" t="s">
        <v>167</v>
      </c>
      <c r="E600" s="87">
        <v>0</v>
      </c>
      <c r="F600" s="87">
        <v>0</v>
      </c>
      <c r="G600" s="87">
        <v>0</v>
      </c>
      <c r="H600" s="87">
        <v>0</v>
      </c>
      <c r="I600" s="87">
        <v>0</v>
      </c>
      <c r="J600" s="87">
        <v>0</v>
      </c>
      <c r="K600" s="87">
        <v>0</v>
      </c>
      <c r="L600" s="87">
        <v>0</v>
      </c>
      <c r="N600" s="29">
        <v>0</v>
      </c>
      <c r="O600" s="29">
        <v>0</v>
      </c>
      <c r="P600" s="29">
        <v>0</v>
      </c>
      <c r="Q600" s="29">
        <v>0</v>
      </c>
      <c r="R600" s="29">
        <v>0</v>
      </c>
      <c r="S600" s="29">
        <v>0</v>
      </c>
      <c r="T600" s="29">
        <v>0</v>
      </c>
      <c r="U600" s="29">
        <v>0</v>
      </c>
      <c r="W600" s="30">
        <v>0</v>
      </c>
      <c r="X600" s="30">
        <v>0</v>
      </c>
      <c r="Y600" s="30">
        <v>0</v>
      </c>
      <c r="Z600" s="30">
        <v>0</v>
      </c>
      <c r="AA600" s="30">
        <v>0</v>
      </c>
      <c r="AB600" s="30">
        <v>0</v>
      </c>
      <c r="AC600" s="30">
        <v>0</v>
      </c>
      <c r="AD600" s="90">
        <v>0</v>
      </c>
      <c r="AF600" s="29">
        <f t="shared" si="1149"/>
        <v>0</v>
      </c>
      <c r="AG600" s="30">
        <f t="shared" si="1150"/>
        <v>0</v>
      </c>
      <c r="AH600" s="32">
        <f t="shared" si="1151"/>
        <v>0</v>
      </c>
      <c r="AI600" s="33" t="e">
        <f t="shared" si="1152"/>
        <v>#DIV/0!</v>
      </c>
      <c r="AK600" s="29">
        <f t="shared" si="1141"/>
        <v>0</v>
      </c>
      <c r="AL600" s="30">
        <f t="shared" si="1142"/>
        <v>0</v>
      </c>
      <c r="AM600" s="32">
        <f t="shared" si="1153"/>
        <v>0</v>
      </c>
      <c r="AN600" s="33" t="e">
        <f t="shared" si="1154"/>
        <v>#DIV/0!</v>
      </c>
      <c r="AP600" s="29">
        <f t="shared" si="1155"/>
        <v>0</v>
      </c>
      <c r="AQ600" s="30">
        <f t="shared" si="1156"/>
        <v>0</v>
      </c>
      <c r="AR600" s="32">
        <f t="shared" si="1157"/>
        <v>0</v>
      </c>
      <c r="AS600" s="33" t="e">
        <f t="shared" si="1158"/>
        <v>#DIV/0!</v>
      </c>
      <c r="AU600" s="31">
        <f t="shared" si="1159"/>
        <v>0</v>
      </c>
      <c r="AV600" s="25">
        <f t="shared" si="1160"/>
        <v>0</v>
      </c>
      <c r="AW600" s="32">
        <f t="shared" si="1161"/>
        <v>0</v>
      </c>
      <c r="AX600" s="33" t="e">
        <f t="shared" si="1162"/>
        <v>#DIV/0!</v>
      </c>
      <c r="AZ600" s="31">
        <f t="shared" si="1143"/>
        <v>0</v>
      </c>
      <c r="BA600" s="25">
        <f t="shared" si="1144"/>
        <v>0</v>
      </c>
      <c r="BB600" s="32">
        <f t="shared" si="1163"/>
        <v>0</v>
      </c>
      <c r="BC600" s="33" t="e">
        <f t="shared" si="1164"/>
        <v>#DIV/0!</v>
      </c>
      <c r="BE600" s="31">
        <f t="shared" si="1165"/>
        <v>0</v>
      </c>
      <c r="BF600" s="25">
        <f t="shared" si="1166"/>
        <v>0</v>
      </c>
      <c r="BG600" s="32">
        <f t="shared" si="1167"/>
        <v>0</v>
      </c>
      <c r="BH600" s="33" t="e">
        <f t="shared" si="1168"/>
        <v>#DIV/0!</v>
      </c>
      <c r="BJ600" s="31">
        <f t="shared" si="1145"/>
        <v>0</v>
      </c>
      <c r="BK600" s="25">
        <f t="shared" si="1146"/>
        <v>0</v>
      </c>
      <c r="BL600" s="32">
        <f t="shared" si="1147"/>
        <v>0</v>
      </c>
      <c r="BM600" s="33" t="e">
        <f t="shared" si="1148"/>
        <v>#DIV/0!</v>
      </c>
      <c r="BO600" s="62"/>
      <c r="BP600" s="62"/>
      <c r="BQ600" s="62"/>
      <c r="BR600" s="63"/>
    </row>
    <row r="601" spans="1:70">
      <c r="B601" s="1284"/>
      <c r="D601" s="5" t="s">
        <v>168</v>
      </c>
      <c r="E601" s="87">
        <v>0</v>
      </c>
      <c r="F601" s="87">
        <v>0</v>
      </c>
      <c r="G601" s="87">
        <v>0</v>
      </c>
      <c r="H601" s="87">
        <v>0</v>
      </c>
      <c r="I601" s="87">
        <v>0</v>
      </c>
      <c r="J601" s="87">
        <v>0</v>
      </c>
      <c r="K601" s="87">
        <v>0</v>
      </c>
      <c r="L601" s="87">
        <v>0</v>
      </c>
      <c r="N601" s="29">
        <v>0</v>
      </c>
      <c r="O601" s="29">
        <v>0</v>
      </c>
      <c r="P601" s="29">
        <v>0</v>
      </c>
      <c r="Q601" s="29">
        <v>0</v>
      </c>
      <c r="R601" s="29">
        <v>0</v>
      </c>
      <c r="S601" s="29">
        <v>0</v>
      </c>
      <c r="T601" s="29">
        <v>0</v>
      </c>
      <c r="U601" s="29">
        <v>0</v>
      </c>
      <c r="W601" s="30">
        <v>9.6584293534481274E-4</v>
      </c>
      <c r="X601" s="30">
        <v>0</v>
      </c>
      <c r="Y601" s="30">
        <v>1.9584311160475288E-4</v>
      </c>
      <c r="Z601" s="30">
        <v>0</v>
      </c>
      <c r="AA601" s="30">
        <v>0</v>
      </c>
      <c r="AB601" s="30">
        <v>0</v>
      </c>
      <c r="AC601" s="30">
        <v>0</v>
      </c>
      <c r="AD601" s="90">
        <v>0</v>
      </c>
      <c r="AF601" s="29">
        <f t="shared" si="1149"/>
        <v>0</v>
      </c>
      <c r="AG601" s="30">
        <f t="shared" si="1150"/>
        <v>9.6584293534481274E-4</v>
      </c>
      <c r="AH601" s="32">
        <f t="shared" si="1151"/>
        <v>9.6584293534481274E-4</v>
      </c>
      <c r="AI601" s="33" t="e">
        <f t="shared" si="1152"/>
        <v>#DIV/0!</v>
      </c>
      <c r="AK601" s="29">
        <f t="shared" si="1141"/>
        <v>0</v>
      </c>
      <c r="AL601" s="30">
        <f t="shared" si="1142"/>
        <v>0</v>
      </c>
      <c r="AM601" s="32">
        <f t="shared" si="1153"/>
        <v>0</v>
      </c>
      <c r="AN601" s="33" t="e">
        <f t="shared" si="1154"/>
        <v>#DIV/0!</v>
      </c>
      <c r="AP601" s="29">
        <f t="shared" si="1155"/>
        <v>0</v>
      </c>
      <c r="AQ601" s="30">
        <f t="shared" si="1156"/>
        <v>1.9584311160475288E-4</v>
      </c>
      <c r="AR601" s="32">
        <f t="shared" si="1157"/>
        <v>1.9584311160475288E-4</v>
      </c>
      <c r="AS601" s="33" t="e">
        <f t="shared" si="1158"/>
        <v>#DIV/0!</v>
      </c>
      <c r="AU601" s="31">
        <f t="shared" si="1159"/>
        <v>0</v>
      </c>
      <c r="AV601" s="25">
        <f t="shared" si="1160"/>
        <v>0</v>
      </c>
      <c r="AW601" s="32">
        <f t="shared" si="1161"/>
        <v>0</v>
      </c>
      <c r="AX601" s="33" t="e">
        <f t="shared" si="1162"/>
        <v>#DIV/0!</v>
      </c>
      <c r="AZ601" s="31">
        <f t="shared" si="1143"/>
        <v>0</v>
      </c>
      <c r="BA601" s="25">
        <f t="shared" si="1144"/>
        <v>0</v>
      </c>
      <c r="BB601" s="32">
        <f t="shared" si="1163"/>
        <v>0</v>
      </c>
      <c r="BC601" s="33" t="e">
        <f t="shared" si="1164"/>
        <v>#DIV/0!</v>
      </c>
      <c r="BE601" s="31">
        <f t="shared" si="1165"/>
        <v>0</v>
      </c>
      <c r="BF601" s="25">
        <f t="shared" si="1166"/>
        <v>0</v>
      </c>
      <c r="BG601" s="32">
        <f t="shared" si="1167"/>
        <v>0</v>
      </c>
      <c r="BH601" s="33" t="e">
        <f t="shared" si="1168"/>
        <v>#DIV/0!</v>
      </c>
      <c r="BJ601" s="31">
        <f t="shared" si="1145"/>
        <v>0</v>
      </c>
      <c r="BK601" s="25">
        <f t="shared" si="1146"/>
        <v>0</v>
      </c>
      <c r="BL601" s="32">
        <f t="shared" si="1147"/>
        <v>0</v>
      </c>
      <c r="BM601" s="33" t="e">
        <f t="shared" si="1148"/>
        <v>#DIV/0!</v>
      </c>
      <c r="BO601" s="62"/>
      <c r="BP601" s="62"/>
      <c r="BQ601" s="62"/>
      <c r="BR601" s="63"/>
    </row>
    <row r="602" spans="1:70">
      <c r="B602" s="1284"/>
      <c r="D602" s="5" t="s">
        <v>169</v>
      </c>
      <c r="E602" s="87">
        <v>2.5513959409025166</v>
      </c>
      <c r="F602" s="87">
        <v>2.5750239727692081</v>
      </c>
      <c r="G602" s="87">
        <v>2.5989578557334605</v>
      </c>
      <c r="H602" s="87">
        <v>2.6232010998157329</v>
      </c>
      <c r="I602" s="87">
        <v>2.6477572593747607</v>
      </c>
      <c r="J602" s="87">
        <v>2.6726299336470825</v>
      </c>
      <c r="K602" s="87">
        <v>2.6978227672933524</v>
      </c>
      <c r="L602" s="87">
        <v>2.7233394509515221</v>
      </c>
      <c r="N602" s="29">
        <v>2.5981497233254975</v>
      </c>
      <c r="O602" s="29">
        <v>2.8574353208401342</v>
      </c>
      <c r="P602" s="29">
        <v>2.6031913110604052</v>
      </c>
      <c r="Q602" s="29">
        <v>2.594791115803083</v>
      </c>
      <c r="R602" s="29">
        <v>2.5452757041737266</v>
      </c>
      <c r="S602" s="29">
        <v>2.5178125079140017</v>
      </c>
      <c r="T602" s="29">
        <v>2.3984761469326417</v>
      </c>
      <c r="U602" s="29">
        <v>2.3338844020569387</v>
      </c>
      <c r="W602" s="30">
        <v>1.4086342663404021</v>
      </c>
      <c r="X602" s="30">
        <v>0.84666384420237462</v>
      </c>
      <c r="Y602" s="30">
        <v>0.97519757233216864</v>
      </c>
      <c r="Z602" s="30">
        <v>0.64826417429669358</v>
      </c>
      <c r="AA602" s="30">
        <v>0.4897703959075741</v>
      </c>
      <c r="AB602" s="30">
        <v>0.28978857535433794</v>
      </c>
      <c r="AC602" s="30">
        <v>0.6303994995913168</v>
      </c>
      <c r="AD602" s="90">
        <v>0</v>
      </c>
      <c r="AF602" s="29">
        <f t="shared" si="1149"/>
        <v>2.5981497233254975</v>
      </c>
      <c r="AG602" s="30">
        <f t="shared" si="1150"/>
        <v>1.4086342663404021</v>
      </c>
      <c r="AH602" s="32">
        <f t="shared" si="1151"/>
        <v>-1.1895154569850954</v>
      </c>
      <c r="AI602" s="33">
        <f t="shared" si="1152"/>
        <v>-0.4578317586188132</v>
      </c>
      <c r="AK602" s="29">
        <f t="shared" si="1141"/>
        <v>2.8574353208401342</v>
      </c>
      <c r="AL602" s="30">
        <f t="shared" si="1142"/>
        <v>0.84666384420237462</v>
      </c>
      <c r="AM602" s="32">
        <f t="shared" si="1153"/>
        <v>-2.0107714766377596</v>
      </c>
      <c r="AN602" s="33">
        <f t="shared" si="1154"/>
        <v>-0.70369798468318745</v>
      </c>
      <c r="AP602" s="29">
        <f t="shared" si="1155"/>
        <v>2.6031913110604052</v>
      </c>
      <c r="AQ602" s="30">
        <f t="shared" si="1156"/>
        <v>0.97519757233216864</v>
      </c>
      <c r="AR602" s="32">
        <f t="shared" si="1157"/>
        <v>-1.6279937387282366</v>
      </c>
      <c r="AS602" s="33">
        <f t="shared" si="1158"/>
        <v>-0.62538382477355314</v>
      </c>
      <c r="AU602" s="31">
        <f t="shared" si="1159"/>
        <v>2.594791115803083</v>
      </c>
      <c r="AV602" s="25">
        <f t="shared" si="1160"/>
        <v>0.64826417429669358</v>
      </c>
      <c r="AW602" s="32">
        <f t="shared" si="1161"/>
        <v>-1.9465269415063893</v>
      </c>
      <c r="AX602" s="33">
        <f t="shared" si="1162"/>
        <v>-0.75016710580340595</v>
      </c>
      <c r="AZ602" s="31">
        <f t="shared" si="1143"/>
        <v>2.5452757041737266</v>
      </c>
      <c r="BA602" s="25">
        <f t="shared" si="1144"/>
        <v>0.4897703959075741</v>
      </c>
      <c r="BB602" s="32">
        <f t="shared" si="1163"/>
        <v>-2.0555053082661523</v>
      </c>
      <c r="BC602" s="33">
        <f t="shared" si="1164"/>
        <v>-0.80757668212349176</v>
      </c>
      <c r="BE602" s="31">
        <f t="shared" si="1165"/>
        <v>2.5178125079140017</v>
      </c>
      <c r="BF602" s="25">
        <f t="shared" si="1166"/>
        <v>0.28978857535433794</v>
      </c>
      <c r="BG602" s="32">
        <f t="shared" si="1167"/>
        <v>-2.2280239325596636</v>
      </c>
      <c r="BH602" s="33">
        <f t="shared" si="1168"/>
        <v>-0.88490462477111653</v>
      </c>
      <c r="BJ602" s="31">
        <f t="shared" si="1145"/>
        <v>2.3984761469326417</v>
      </c>
      <c r="BK602" s="25">
        <f t="shared" si="1146"/>
        <v>0.6303994995913168</v>
      </c>
      <c r="BL602" s="32">
        <f t="shared" si="1147"/>
        <v>-1.7680766473413247</v>
      </c>
      <c r="BM602" s="33">
        <f t="shared" si="1148"/>
        <v>-0.73716665875642706</v>
      </c>
      <c r="BO602" s="62"/>
      <c r="BP602" s="62"/>
      <c r="BQ602" s="62"/>
      <c r="BR602" s="63"/>
    </row>
    <row r="603" spans="1:70">
      <c r="B603" s="1284"/>
      <c r="D603" s="5" t="s">
        <v>170</v>
      </c>
      <c r="E603" s="87">
        <v>1.2301521585104085</v>
      </c>
      <c r="F603" s="87">
        <v>1.6335928627469001</v>
      </c>
      <c r="G603" s="87">
        <v>1.6487764962981544</v>
      </c>
      <c r="H603" s="87">
        <v>1.6641563882608847</v>
      </c>
      <c r="I603" s="87">
        <v>1.6797347935170357</v>
      </c>
      <c r="J603" s="87">
        <v>1.695513995418988</v>
      </c>
      <c r="K603" s="87">
        <v>1.7114963061361417</v>
      </c>
      <c r="L603" s="87">
        <v>1.7670165083689058</v>
      </c>
      <c r="N603" s="29">
        <v>1.384752207382715</v>
      </c>
      <c r="O603" s="29">
        <v>1.5141201025360771</v>
      </c>
      <c r="P603" s="29">
        <v>1.550700839140434</v>
      </c>
      <c r="Q603" s="29">
        <v>1.5962747426931279</v>
      </c>
      <c r="R603" s="29">
        <v>1.566984804240247</v>
      </c>
      <c r="S603" s="29">
        <v>1.4643301912913733</v>
      </c>
      <c r="T603" s="29">
        <v>1.4358836710978327</v>
      </c>
      <c r="U603" s="29">
        <v>1.3750098831450488</v>
      </c>
      <c r="W603" s="30">
        <v>3.3398983086106553E-2</v>
      </c>
      <c r="X603" s="30">
        <v>4.6041240436515331E-3</v>
      </c>
      <c r="Y603" s="30">
        <v>7.5220044591685783E-2</v>
      </c>
      <c r="Z603" s="30">
        <v>2.5276610812376008E-2</v>
      </c>
      <c r="AA603" s="30">
        <v>7.1011634280491481E-2</v>
      </c>
      <c r="AB603" s="30">
        <v>0.24857507716489219</v>
      </c>
      <c r="AC603" s="30">
        <v>0.33724505765676094</v>
      </c>
      <c r="AD603" s="90">
        <v>0</v>
      </c>
      <c r="AF603" s="29">
        <f t="shared" si="1149"/>
        <v>1.384752207382715</v>
      </c>
      <c r="AG603" s="30">
        <f t="shared" si="1150"/>
        <v>3.3398983086106553E-2</v>
      </c>
      <c r="AH603" s="32">
        <f t="shared" si="1151"/>
        <v>-1.3513532242966084</v>
      </c>
      <c r="AI603" s="33">
        <f t="shared" si="1152"/>
        <v>-0.97588089557969859</v>
      </c>
      <c r="AK603" s="29">
        <f t="shared" si="1141"/>
        <v>1.5141201025360771</v>
      </c>
      <c r="AL603" s="30">
        <f t="shared" si="1142"/>
        <v>4.6041240436515331E-3</v>
      </c>
      <c r="AM603" s="32">
        <f t="shared" si="1153"/>
        <v>-1.5095159784924255</v>
      </c>
      <c r="AN603" s="33">
        <f t="shared" si="1154"/>
        <v>-0.99695920816589123</v>
      </c>
      <c r="AP603" s="29">
        <f t="shared" si="1155"/>
        <v>1.550700839140434</v>
      </c>
      <c r="AQ603" s="30">
        <f t="shared" si="1156"/>
        <v>7.5220044591685783E-2</v>
      </c>
      <c r="AR603" s="32">
        <f t="shared" si="1157"/>
        <v>-1.4754807945487483</v>
      </c>
      <c r="AS603" s="33">
        <f t="shared" si="1158"/>
        <v>-0.95149287167898822</v>
      </c>
      <c r="AU603" s="31">
        <f t="shared" si="1159"/>
        <v>1.5962747426931279</v>
      </c>
      <c r="AV603" s="25">
        <f t="shared" si="1160"/>
        <v>2.5276610812376008E-2</v>
      </c>
      <c r="AW603" s="32">
        <f t="shared" si="1161"/>
        <v>-1.5709981318807518</v>
      </c>
      <c r="AX603" s="33">
        <f t="shared" si="1162"/>
        <v>-0.98416525041940395</v>
      </c>
      <c r="AZ603" s="31">
        <f t="shared" si="1143"/>
        <v>1.566984804240247</v>
      </c>
      <c r="BA603" s="25">
        <f t="shared" si="1144"/>
        <v>7.1011634280491481E-2</v>
      </c>
      <c r="BB603" s="32">
        <f t="shared" si="1163"/>
        <v>-1.4959731699597556</v>
      </c>
      <c r="BC603" s="33">
        <f t="shared" si="1164"/>
        <v>-0.95468262736924148</v>
      </c>
      <c r="BE603" s="31">
        <f t="shared" si="1165"/>
        <v>1.4643301912913733</v>
      </c>
      <c r="BF603" s="25">
        <f t="shared" si="1166"/>
        <v>0.24857507716489219</v>
      </c>
      <c r="BG603" s="32">
        <f t="shared" si="1167"/>
        <v>-1.2157551141264811</v>
      </c>
      <c r="BH603" s="33">
        <f t="shared" si="1168"/>
        <v>-0.83024656689917919</v>
      </c>
      <c r="BJ603" s="31">
        <f t="shared" si="1145"/>
        <v>1.4358836710978327</v>
      </c>
      <c r="BK603" s="25">
        <f t="shared" si="1146"/>
        <v>0.33724505765676094</v>
      </c>
      <c r="BL603" s="32">
        <f t="shared" si="1147"/>
        <v>-1.0986386134410717</v>
      </c>
      <c r="BM603" s="33">
        <f t="shared" si="1148"/>
        <v>-0.7651306547703034</v>
      </c>
      <c r="BO603" s="62"/>
      <c r="BP603" s="62"/>
      <c r="BQ603" s="62"/>
      <c r="BR603" s="63"/>
    </row>
    <row r="604" spans="1:70">
      <c r="B604" s="1284"/>
      <c r="D604" s="5" t="s">
        <v>171</v>
      </c>
      <c r="E604" s="87">
        <v>13.565430531875631</v>
      </c>
      <c r="F604" s="87">
        <v>13.60601007536941</v>
      </c>
      <c r="G604" s="87">
        <v>13.657267853211366</v>
      </c>
      <c r="H604" s="87">
        <v>13.667809073117876</v>
      </c>
      <c r="I604" s="87">
        <v>13.74630408428518</v>
      </c>
      <c r="J604" s="87">
        <v>13.824942031618743</v>
      </c>
      <c r="K604" s="87">
        <v>13.878691564361002</v>
      </c>
      <c r="L604" s="87">
        <v>13.973462687528604</v>
      </c>
      <c r="N604" s="29">
        <v>14.085506821489876</v>
      </c>
      <c r="O604" s="29">
        <v>14.047684529967908</v>
      </c>
      <c r="P604" s="29">
        <v>14.011031493877129</v>
      </c>
      <c r="Q604" s="29">
        <v>13.5397121913654</v>
      </c>
      <c r="R604" s="29">
        <v>13.213025896812384</v>
      </c>
      <c r="S604" s="29">
        <v>12.927713556772398</v>
      </c>
      <c r="T604" s="29">
        <v>11.740260128285517</v>
      </c>
      <c r="U604" s="29">
        <v>11.34180953934451</v>
      </c>
      <c r="W604" s="30">
        <v>11.399057016279219</v>
      </c>
      <c r="X604" s="30">
        <v>10.406800892345425</v>
      </c>
      <c r="Y604" s="30">
        <v>9.4820615865530584</v>
      </c>
      <c r="Z604" s="30">
        <v>10.438029791193504</v>
      </c>
      <c r="AA604" s="30">
        <v>10.281983105492515</v>
      </c>
      <c r="AB604" s="30">
        <v>6.4490183460696358</v>
      </c>
      <c r="AC604" s="30">
        <v>5.255152137096057</v>
      </c>
      <c r="AD604" s="90">
        <v>0</v>
      </c>
      <c r="AF604" s="29">
        <f t="shared" si="1149"/>
        <v>14.085506821489876</v>
      </c>
      <c r="AG604" s="30">
        <f t="shared" si="1150"/>
        <v>11.399057016279219</v>
      </c>
      <c r="AH604" s="32">
        <f t="shared" si="1151"/>
        <v>-2.6864498052106569</v>
      </c>
      <c r="AI604" s="33">
        <f t="shared" si="1152"/>
        <v>-0.19072439772717395</v>
      </c>
      <c r="AK604" s="29">
        <f t="shared" si="1141"/>
        <v>14.047684529967908</v>
      </c>
      <c r="AL604" s="30">
        <f t="shared" si="1142"/>
        <v>10.406800892345425</v>
      </c>
      <c r="AM604" s="32">
        <f t="shared" si="1153"/>
        <v>-3.6408836376224833</v>
      </c>
      <c r="AN604" s="33">
        <f t="shared" si="1154"/>
        <v>-0.25918033892741477</v>
      </c>
      <c r="AP604" s="29">
        <f t="shared" si="1155"/>
        <v>14.011031493877129</v>
      </c>
      <c r="AQ604" s="30">
        <f t="shared" si="1156"/>
        <v>9.4820615865530584</v>
      </c>
      <c r="AR604" s="32">
        <f t="shared" si="1157"/>
        <v>-4.5289699073240701</v>
      </c>
      <c r="AS604" s="33">
        <f t="shared" si="1158"/>
        <v>-0.32324314660938747</v>
      </c>
      <c r="AU604" s="31">
        <f t="shared" si="1159"/>
        <v>13.5397121913654</v>
      </c>
      <c r="AV604" s="25">
        <f t="shared" si="1160"/>
        <v>10.438029791193504</v>
      </c>
      <c r="AW604" s="32">
        <f t="shared" si="1161"/>
        <v>-3.1016824001718959</v>
      </c>
      <c r="AX604" s="33">
        <f t="shared" si="1162"/>
        <v>-0.22908037898692657</v>
      </c>
      <c r="AZ604" s="31">
        <f t="shared" si="1143"/>
        <v>13.213025896812384</v>
      </c>
      <c r="BA604" s="25">
        <f t="shared" si="1144"/>
        <v>10.281983105492515</v>
      </c>
      <c r="BB604" s="32">
        <f t="shared" si="1163"/>
        <v>-2.9310427913198698</v>
      </c>
      <c r="BC604" s="33">
        <f t="shared" si="1164"/>
        <v>-0.22182979237382544</v>
      </c>
      <c r="BE604" s="31">
        <f t="shared" si="1165"/>
        <v>12.927713556772398</v>
      </c>
      <c r="BF604" s="25">
        <f t="shared" si="1166"/>
        <v>6.4490183460696358</v>
      </c>
      <c r="BG604" s="32">
        <f t="shared" si="1167"/>
        <v>-6.478695210702762</v>
      </c>
      <c r="BH604" s="33">
        <f t="shared" si="1168"/>
        <v>-0.50114780020855199</v>
      </c>
      <c r="BJ604" s="31">
        <f t="shared" si="1145"/>
        <v>11.740260128285517</v>
      </c>
      <c r="BK604" s="25">
        <f t="shared" si="1146"/>
        <v>5.255152137096057</v>
      </c>
      <c r="BL604" s="32">
        <f t="shared" si="1147"/>
        <v>-6.4851079911894596</v>
      </c>
      <c r="BM604" s="33">
        <f t="shared" si="1148"/>
        <v>-0.55238196771850478</v>
      </c>
      <c r="BO604" s="62"/>
      <c r="BP604" s="62"/>
      <c r="BQ604" s="62"/>
      <c r="BR604" s="63"/>
    </row>
    <row r="605" spans="1:70">
      <c r="B605" s="1284"/>
      <c r="D605" s="5" t="s">
        <v>172</v>
      </c>
      <c r="E605" s="87">
        <v>6.5346186351531381</v>
      </c>
      <c r="F605" s="87">
        <v>6.5443950251753806</v>
      </c>
      <c r="G605" s="87">
        <v>6.5438977854013478</v>
      </c>
      <c r="H605" s="87">
        <v>6.5849018157271892</v>
      </c>
      <c r="I605" s="87">
        <v>6.6202881354037659</v>
      </c>
      <c r="J605" s="87">
        <v>6.6400006675216963</v>
      </c>
      <c r="K605" s="87">
        <v>6.6680636123372885</v>
      </c>
      <c r="L605" s="87">
        <v>6.733168435118051</v>
      </c>
      <c r="N605" s="29">
        <v>6.3766264918396596</v>
      </c>
      <c r="O605" s="29">
        <v>6.9830269969392349</v>
      </c>
      <c r="P605" s="29">
        <v>6.5088261847649695</v>
      </c>
      <c r="Q605" s="29">
        <v>6.081180698745599</v>
      </c>
      <c r="R605" s="29">
        <v>5.954027401810845</v>
      </c>
      <c r="S605" s="29">
        <v>5.9871758171273584</v>
      </c>
      <c r="T605" s="29">
        <v>5.1925688364717111</v>
      </c>
      <c r="U605" s="29">
        <v>4.5473695398416325</v>
      </c>
      <c r="W605" s="30">
        <v>6.5695486509980805</v>
      </c>
      <c r="X605" s="30">
        <v>4.4378721321116954</v>
      </c>
      <c r="Y605" s="30">
        <v>4.6905502436599562</v>
      </c>
      <c r="Z605" s="30">
        <v>6.2352508981962389</v>
      </c>
      <c r="AA605" s="30">
        <v>4.8981486285107465</v>
      </c>
      <c r="AB605" s="30">
        <v>2.5497397083072548</v>
      </c>
      <c r="AC605" s="30">
        <v>2.8798815400000004</v>
      </c>
      <c r="AD605" s="90">
        <v>0</v>
      </c>
      <c r="AF605" s="29">
        <f t="shared" si="1149"/>
        <v>6.3766264918396596</v>
      </c>
      <c r="AG605" s="30">
        <f t="shared" si="1150"/>
        <v>6.5695486509980805</v>
      </c>
      <c r="AH605" s="32">
        <f t="shared" si="1151"/>
        <v>0.19292215915842092</v>
      </c>
      <c r="AI605" s="33">
        <f t="shared" si="1152"/>
        <v>3.0254580443955532E-2</v>
      </c>
      <c r="AK605" s="29">
        <f t="shared" si="1141"/>
        <v>6.9830269969392349</v>
      </c>
      <c r="AL605" s="30">
        <f t="shared" si="1142"/>
        <v>4.4378721321116954</v>
      </c>
      <c r="AM605" s="32">
        <f t="shared" si="1153"/>
        <v>-2.5451548648275395</v>
      </c>
      <c r="AN605" s="33">
        <f t="shared" si="1154"/>
        <v>-0.36447730560731312</v>
      </c>
      <c r="AP605" s="29">
        <f t="shared" si="1155"/>
        <v>6.5088261847649695</v>
      </c>
      <c r="AQ605" s="30">
        <f t="shared" si="1156"/>
        <v>4.6905502436599562</v>
      </c>
      <c r="AR605" s="32">
        <f t="shared" si="1157"/>
        <v>-1.8182759411050133</v>
      </c>
      <c r="AS605" s="33">
        <f t="shared" si="1158"/>
        <v>-0.27935543053231349</v>
      </c>
      <c r="AU605" s="31">
        <f t="shared" si="1159"/>
        <v>6.081180698745599</v>
      </c>
      <c r="AV605" s="25">
        <f t="shared" si="1160"/>
        <v>6.2352508981962389</v>
      </c>
      <c r="AW605" s="32">
        <f t="shared" si="1161"/>
        <v>0.15407019945063993</v>
      </c>
      <c r="AX605" s="33">
        <f t="shared" si="1162"/>
        <v>2.5335573317599475E-2</v>
      </c>
      <c r="AZ605" s="31">
        <f t="shared" si="1143"/>
        <v>5.954027401810845</v>
      </c>
      <c r="BA605" s="25">
        <f t="shared" si="1144"/>
        <v>4.8981486285107465</v>
      </c>
      <c r="BB605" s="32">
        <f t="shared" si="1163"/>
        <v>-1.0558787733000985</v>
      </c>
      <c r="BC605" s="33">
        <f t="shared" si="1164"/>
        <v>-0.17733858144135611</v>
      </c>
      <c r="BE605" s="31">
        <f t="shared" si="1165"/>
        <v>5.9871758171273584</v>
      </c>
      <c r="BF605" s="25">
        <f t="shared" si="1166"/>
        <v>2.5497397083072548</v>
      </c>
      <c r="BG605" s="32">
        <f t="shared" si="1167"/>
        <v>-3.4374361088201035</v>
      </c>
      <c r="BH605" s="33">
        <f t="shared" si="1168"/>
        <v>-0.5741331495538714</v>
      </c>
      <c r="BJ605" s="31">
        <f t="shared" si="1145"/>
        <v>5.1925688364717111</v>
      </c>
      <c r="BK605" s="25">
        <f t="shared" si="1146"/>
        <v>2.8798815400000004</v>
      </c>
      <c r="BL605" s="32">
        <f t="shared" si="1147"/>
        <v>-2.3126872964717107</v>
      </c>
      <c r="BM605" s="33">
        <f t="shared" si="1148"/>
        <v>-0.44538404194621217</v>
      </c>
      <c r="BO605" s="62"/>
      <c r="BP605" s="62"/>
      <c r="BQ605" s="62"/>
      <c r="BR605" s="63"/>
    </row>
    <row r="606" spans="1:70">
      <c r="B606" s="1284"/>
      <c r="D606" s="5" t="s">
        <v>28</v>
      </c>
      <c r="E606" s="87">
        <v>0.4395040339536731</v>
      </c>
      <c r="F606" s="87">
        <v>0.43845054662089944</v>
      </c>
      <c r="G606" s="87">
        <v>0.4380293278391274</v>
      </c>
      <c r="H606" s="87">
        <v>0.43484595142123011</v>
      </c>
      <c r="I606" s="87">
        <v>0.43370230855801573</v>
      </c>
      <c r="J606" s="87">
        <v>0.43262227973754042</v>
      </c>
      <c r="K606" s="87">
        <v>0.43159615586433814</v>
      </c>
      <c r="L606" s="87">
        <v>0.43066705513886683</v>
      </c>
      <c r="N606" s="29">
        <v>0.43017056577736079</v>
      </c>
      <c r="O606" s="29">
        <v>0.42351422303606223</v>
      </c>
      <c r="P606" s="29">
        <v>0.40496956711314236</v>
      </c>
      <c r="Q606" s="29">
        <v>0.40247473126924493</v>
      </c>
      <c r="R606" s="29">
        <v>0.4029265435316694</v>
      </c>
      <c r="S606" s="29">
        <v>0.39966314087068072</v>
      </c>
      <c r="T606" s="29">
        <v>0.3999074797402366</v>
      </c>
      <c r="U606" s="29">
        <v>0.39112277095913384</v>
      </c>
      <c r="W606" s="30">
        <v>0.3082399155080503</v>
      </c>
      <c r="X606" s="30">
        <v>0.42509052041314449</v>
      </c>
      <c r="Y606" s="30">
        <v>0.2052193676702751</v>
      </c>
      <c r="Z606" s="30">
        <v>0.14595793243212332</v>
      </c>
      <c r="AA606" s="30">
        <v>5.0548502583797256E-2</v>
      </c>
      <c r="AB606" s="30">
        <v>4.3376567792036504E-2</v>
      </c>
      <c r="AC606" s="30">
        <v>2.2232519999999999E-2</v>
      </c>
      <c r="AD606" s="90">
        <v>0</v>
      </c>
      <c r="AF606" s="29">
        <f t="shared" si="1149"/>
        <v>0.43017056577736079</v>
      </c>
      <c r="AG606" s="30">
        <f t="shared" si="1150"/>
        <v>0.3082399155080503</v>
      </c>
      <c r="AH606" s="32">
        <f t="shared" si="1151"/>
        <v>-0.12193065026931049</v>
      </c>
      <c r="AI606" s="33">
        <f t="shared" si="1152"/>
        <v>-0.28344721831204267</v>
      </c>
      <c r="AK606" s="29">
        <f t="shared" si="1141"/>
        <v>0.42351422303606223</v>
      </c>
      <c r="AL606" s="30">
        <f t="shared" si="1142"/>
        <v>0.42509052041314449</v>
      </c>
      <c r="AM606" s="32">
        <f t="shared" si="1153"/>
        <v>1.5762973770822586E-3</v>
      </c>
      <c r="AN606" s="33">
        <f t="shared" si="1154"/>
        <v>3.7219467289249385E-3</v>
      </c>
      <c r="AP606" s="29">
        <f t="shared" si="1155"/>
        <v>0.40496956711314236</v>
      </c>
      <c r="AQ606" s="30">
        <f t="shared" si="1156"/>
        <v>0.2052193676702751</v>
      </c>
      <c r="AR606" s="32">
        <f t="shared" si="1157"/>
        <v>-0.19975019944286726</v>
      </c>
      <c r="AS606" s="33">
        <f t="shared" si="1158"/>
        <v>-0.49324743305232138</v>
      </c>
      <c r="AU606" s="31">
        <f t="shared" si="1159"/>
        <v>0.40247473126924493</v>
      </c>
      <c r="AV606" s="25">
        <f t="shared" si="1160"/>
        <v>0.14595793243212332</v>
      </c>
      <c r="AW606" s="32">
        <f t="shared" si="1161"/>
        <v>-0.25651679883712164</v>
      </c>
      <c r="AX606" s="33">
        <f t="shared" si="1162"/>
        <v>-0.6373488293989783</v>
      </c>
      <c r="AZ606" s="31">
        <f t="shared" si="1143"/>
        <v>0.4029265435316694</v>
      </c>
      <c r="BA606" s="25">
        <f t="shared" si="1144"/>
        <v>5.0548502583797256E-2</v>
      </c>
      <c r="BB606" s="32">
        <f t="shared" si="1163"/>
        <v>-0.35237804094787217</v>
      </c>
      <c r="BC606" s="33">
        <f t="shared" si="1164"/>
        <v>-0.8745466055903458</v>
      </c>
      <c r="BE606" s="31">
        <f t="shared" si="1165"/>
        <v>0.39966314087068072</v>
      </c>
      <c r="BF606" s="25">
        <f t="shared" si="1166"/>
        <v>4.3376567792036504E-2</v>
      </c>
      <c r="BG606" s="32">
        <f t="shared" si="1167"/>
        <v>-0.3562865730786442</v>
      </c>
      <c r="BH606" s="33">
        <f t="shared" si="1168"/>
        <v>-0.89146717984165591</v>
      </c>
      <c r="BJ606" s="31">
        <f t="shared" si="1145"/>
        <v>0.3999074797402366</v>
      </c>
      <c r="BK606" s="25">
        <f t="shared" si="1146"/>
        <v>2.2232519999999999E-2</v>
      </c>
      <c r="BL606" s="32">
        <f t="shared" si="1147"/>
        <v>-0.37767495974023663</v>
      </c>
      <c r="BM606" s="33">
        <f t="shared" si="1148"/>
        <v>-0.94440584103492808</v>
      </c>
      <c r="BO606" s="62"/>
      <c r="BP606" s="62"/>
      <c r="BQ606" s="62"/>
      <c r="BR606" s="63"/>
    </row>
    <row r="607" spans="1:70">
      <c r="B607" s="1284"/>
      <c r="D607" s="5" t="s">
        <v>173</v>
      </c>
      <c r="E607" s="87">
        <v>1.2253219594686651</v>
      </c>
      <c r="F607" s="87">
        <v>1.2222961365153679</v>
      </c>
      <c r="G607" s="87">
        <v>1.2212220862854091</v>
      </c>
      <c r="H607" s="87">
        <v>1.2123107751918698</v>
      </c>
      <c r="I607" s="87">
        <v>1.2091315384472088</v>
      </c>
      <c r="J607" s="87">
        <v>1.2060958567579811</v>
      </c>
      <c r="K607" s="87">
        <v>1.2032580037588021</v>
      </c>
      <c r="L607" s="87">
        <v>1.2006536809867865</v>
      </c>
      <c r="N607" s="29">
        <v>1.2912832841629891</v>
      </c>
      <c r="O607" s="29">
        <v>1.2823122595365213</v>
      </c>
      <c r="P607" s="29">
        <v>1.2397622211113009</v>
      </c>
      <c r="Q607" s="29">
        <v>1.1976185552558756</v>
      </c>
      <c r="R607" s="29">
        <v>1.1483010526433768</v>
      </c>
      <c r="S607" s="29">
        <v>1.0948099451010795</v>
      </c>
      <c r="T607" s="29">
        <v>1.0776257195163326</v>
      </c>
      <c r="U607" s="29">
        <v>1.0892288465337796</v>
      </c>
      <c r="W607" s="30">
        <v>0.5553115987557482</v>
      </c>
      <c r="X607" s="30">
        <v>0.46998001006181322</v>
      </c>
      <c r="Y607" s="30">
        <v>0.19197279838993406</v>
      </c>
      <c r="Z607" s="30">
        <v>0.267005135815367</v>
      </c>
      <c r="AA607" s="30">
        <v>6.2142419973025227E-2</v>
      </c>
      <c r="AB607" s="30">
        <v>5.0096896009953547E-2</v>
      </c>
      <c r="AC607" s="30">
        <v>0.15938886999999999</v>
      </c>
      <c r="AD607" s="90">
        <v>0</v>
      </c>
      <c r="AF607" s="29">
        <f t="shared" si="1149"/>
        <v>1.2912832841629891</v>
      </c>
      <c r="AG607" s="30">
        <f t="shared" si="1150"/>
        <v>0.5553115987557482</v>
      </c>
      <c r="AH607" s="32">
        <f t="shared" si="1151"/>
        <v>-0.73597168540724089</v>
      </c>
      <c r="AI607" s="33">
        <f t="shared" si="1152"/>
        <v>-0.56995369988414146</v>
      </c>
      <c r="AK607" s="29">
        <f t="shared" si="1141"/>
        <v>1.2823122595365213</v>
      </c>
      <c r="AL607" s="30">
        <f t="shared" si="1142"/>
        <v>0.46998001006181322</v>
      </c>
      <c r="AM607" s="32">
        <f t="shared" si="1153"/>
        <v>-0.81233224947470806</v>
      </c>
      <c r="AN607" s="33">
        <f t="shared" si="1154"/>
        <v>-0.63349019978044763</v>
      </c>
      <c r="AP607" s="29">
        <f t="shared" si="1155"/>
        <v>1.2397622211113009</v>
      </c>
      <c r="AQ607" s="30">
        <f t="shared" si="1156"/>
        <v>0.19197279838993406</v>
      </c>
      <c r="AR607" s="32">
        <f t="shared" si="1157"/>
        <v>-1.0477894227213669</v>
      </c>
      <c r="AS607" s="33">
        <f t="shared" si="1158"/>
        <v>-0.8451535341850851</v>
      </c>
      <c r="AU607" s="31">
        <f t="shared" si="1159"/>
        <v>1.1976185552558756</v>
      </c>
      <c r="AV607" s="25">
        <f t="shared" si="1160"/>
        <v>0.267005135815367</v>
      </c>
      <c r="AW607" s="32">
        <f t="shared" si="1161"/>
        <v>-0.93061341944050857</v>
      </c>
      <c r="AX607" s="33">
        <f t="shared" si="1162"/>
        <v>-0.77705327406327607</v>
      </c>
      <c r="AZ607" s="31">
        <f t="shared" si="1143"/>
        <v>1.1483010526433768</v>
      </c>
      <c r="BA607" s="25">
        <f t="shared" si="1144"/>
        <v>6.2142419973025227E-2</v>
      </c>
      <c r="BB607" s="32">
        <f t="shared" si="1163"/>
        <v>-1.0861586326703516</v>
      </c>
      <c r="BC607" s="33">
        <f t="shared" si="1164"/>
        <v>-0.94588316380101367</v>
      </c>
      <c r="BE607" s="31">
        <f t="shared" si="1165"/>
        <v>1.0948099451010795</v>
      </c>
      <c r="BF607" s="25">
        <f t="shared" si="1166"/>
        <v>5.0096896009953547E-2</v>
      </c>
      <c r="BG607" s="32">
        <f t="shared" si="1167"/>
        <v>-1.0447130490911261</v>
      </c>
      <c r="BH607" s="33">
        <f t="shared" si="1168"/>
        <v>-0.95424146790580333</v>
      </c>
      <c r="BJ607" s="31">
        <f t="shared" si="1145"/>
        <v>1.0776257195163326</v>
      </c>
      <c r="BK607" s="25">
        <f t="shared" si="1146"/>
        <v>0.15938886999999999</v>
      </c>
      <c r="BL607" s="32">
        <f t="shared" si="1147"/>
        <v>-0.91823684951633255</v>
      </c>
      <c r="BM607" s="33">
        <f t="shared" si="1148"/>
        <v>-0.85209255206757872</v>
      </c>
      <c r="BO607" s="62"/>
      <c r="BP607" s="62"/>
      <c r="BQ607" s="62"/>
      <c r="BR607" s="63"/>
    </row>
    <row r="608" spans="1:70">
      <c r="A608" s="1"/>
      <c r="B608" s="1284"/>
      <c r="D608" s="4" t="s">
        <v>174</v>
      </c>
      <c r="E608" s="88">
        <f t="shared" ref="E608:L608" si="1169">SUM(E594:E607)</f>
        <v>29.415655486183816</v>
      </c>
      <c r="F608" s="88">
        <f t="shared" si="1169"/>
        <v>29.571930353748787</v>
      </c>
      <c r="G608" s="88">
        <f t="shared" si="1169"/>
        <v>29.662311917878291</v>
      </c>
      <c r="H608" s="88">
        <f t="shared" si="1169"/>
        <v>29.744626328763637</v>
      </c>
      <c r="I608" s="88">
        <f t="shared" si="1169"/>
        <v>29.899562157843611</v>
      </c>
      <c r="J608" s="88">
        <f t="shared" si="1169"/>
        <v>30.067956997574807</v>
      </c>
      <c r="K608" s="88">
        <f t="shared" si="1169"/>
        <v>30.206131743343438</v>
      </c>
      <c r="L608" s="88">
        <f t="shared" si="1169"/>
        <v>30.573512436189851</v>
      </c>
      <c r="M608" s="1"/>
      <c r="N608" s="81">
        <f t="shared" ref="N608:U608" si="1170">SUM(N594:N607)</f>
        <v>30.047268665506824</v>
      </c>
      <c r="O608" s="81">
        <f t="shared" si="1170"/>
        <v>30.657726921058401</v>
      </c>
      <c r="P608" s="81">
        <f t="shared" si="1170"/>
        <v>29.921284661797344</v>
      </c>
      <c r="Q608" s="81">
        <f t="shared" si="1170"/>
        <v>28.906132865745558</v>
      </c>
      <c r="R608" s="81">
        <f t="shared" si="1170"/>
        <v>28.279222572370859</v>
      </c>
      <c r="S608" s="81">
        <f t="shared" si="1170"/>
        <v>27.7763908754062</v>
      </c>
      <c r="T608" s="81">
        <f t="shared" si="1170"/>
        <v>25.502303819854923</v>
      </c>
      <c r="U608" s="81">
        <f t="shared" si="1170"/>
        <v>24.356691068560803</v>
      </c>
      <c r="V608" s="1"/>
      <c r="W608" s="85">
        <f t="shared" ref="W608:AD608" si="1171">SUM(W594:W607)</f>
        <v>21.394119201528127</v>
      </c>
      <c r="X608" s="85">
        <f t="shared" si="1171"/>
        <v>16.626829786686002</v>
      </c>
      <c r="Y608" s="85">
        <f t="shared" si="1171"/>
        <v>18.343434933872334</v>
      </c>
      <c r="Z608" s="85">
        <f>SUM(Z594:Z607)</f>
        <v>20.175925210818232</v>
      </c>
      <c r="AA608" s="85">
        <f>SUM(AA594:AA607)</f>
        <v>17.485258946990896</v>
      </c>
      <c r="AB608" s="85">
        <f t="shared" si="1171"/>
        <v>11.451803705555287</v>
      </c>
      <c r="AC608" s="85">
        <f t="shared" ref="AC608" si="1172">SUM(AC594:AC607)</f>
        <v>11.271544282999344</v>
      </c>
      <c r="AD608" s="91">
        <f t="shared" si="1171"/>
        <v>0</v>
      </c>
      <c r="AE608" s="1"/>
      <c r="AF608" s="81">
        <f t="shared" si="1149"/>
        <v>30.047268665506824</v>
      </c>
      <c r="AG608" s="85">
        <f t="shared" si="1150"/>
        <v>21.394119201528127</v>
      </c>
      <c r="AH608" s="34">
        <f>IF(AG608&gt;0,AG608-AF608,"")</f>
        <v>-8.6531494639786963</v>
      </c>
      <c r="AI608" s="35">
        <f>IF(AG608&gt;0,AH608/AF608,"")</f>
        <v>-0.28798456060374628</v>
      </c>
      <c r="AK608" s="81">
        <f t="shared" si="1141"/>
        <v>30.657726921058401</v>
      </c>
      <c r="AL608" s="85">
        <f t="shared" si="1142"/>
        <v>16.626829786686002</v>
      </c>
      <c r="AM608" s="34">
        <f>IF(AL608&gt;0,AL608-AK608,"")</f>
        <v>-14.030897134372399</v>
      </c>
      <c r="AN608" s="35">
        <f>IF(AL608&gt;0,AM608/AK608,"")</f>
        <v>-0.45766266920248266</v>
      </c>
      <c r="AP608" s="81">
        <f t="shared" si="1155"/>
        <v>29.921284661797344</v>
      </c>
      <c r="AQ608" s="85">
        <f t="shared" si="1156"/>
        <v>18.343434933872334</v>
      </c>
      <c r="AR608" s="34">
        <f t="shared" si="1157"/>
        <v>-11.57784972792501</v>
      </c>
      <c r="AS608" s="35">
        <f t="shared" si="1158"/>
        <v>-0.38694360415304235</v>
      </c>
      <c r="AU608" s="949">
        <f t="shared" si="1159"/>
        <v>28.906132865745558</v>
      </c>
      <c r="AV608" s="843">
        <f t="shared" si="1160"/>
        <v>20.175925210818232</v>
      </c>
      <c r="AW608" s="34">
        <f t="shared" si="1161"/>
        <v>-8.7302076549273266</v>
      </c>
      <c r="AX608" s="35">
        <f t="shared" si="1162"/>
        <v>-0.30201921839475199</v>
      </c>
      <c r="AZ608" s="949">
        <f t="shared" si="1143"/>
        <v>28.279222572370859</v>
      </c>
      <c r="BA608" s="843">
        <f t="shared" si="1144"/>
        <v>17.485258946990896</v>
      </c>
      <c r="BB608" s="34">
        <f t="shared" si="1163"/>
        <v>-10.793963625379963</v>
      </c>
      <c r="BC608" s="35">
        <f t="shared" si="1164"/>
        <v>-0.38169237494971997</v>
      </c>
      <c r="BE608" s="31">
        <f t="shared" si="1165"/>
        <v>27.7763908754062</v>
      </c>
      <c r="BF608" s="25">
        <f t="shared" si="1166"/>
        <v>11.451803705555287</v>
      </c>
      <c r="BG608" s="32">
        <f t="shared" si="1167"/>
        <v>-16.324587169850915</v>
      </c>
      <c r="BH608" s="33">
        <f t="shared" si="1168"/>
        <v>-0.58771448180854369</v>
      </c>
      <c r="BJ608" s="31">
        <f t="shared" si="1145"/>
        <v>25.502303819854923</v>
      </c>
      <c r="BK608" s="25">
        <f t="shared" si="1146"/>
        <v>11.271544282999344</v>
      </c>
      <c r="BL608" s="32">
        <f t="shared" si="1147"/>
        <v>-14.230759536855579</v>
      </c>
      <c r="BM608" s="33">
        <f t="shared" si="1148"/>
        <v>-0.55801858676690075</v>
      </c>
      <c r="BO608" s="62"/>
      <c r="BP608" s="62"/>
      <c r="BQ608" s="62"/>
      <c r="BR608" s="63"/>
    </row>
    <row r="609" spans="1:70">
      <c r="A609" s="1"/>
      <c r="B609" s="1284"/>
      <c r="D609" s="4" t="s">
        <v>724</v>
      </c>
      <c r="E609" s="88">
        <f t="shared" ref="E609:L609" si="1173">E608-SUM(E597:E600)</f>
        <v>29.415655486183816</v>
      </c>
      <c r="F609" s="88">
        <f t="shared" si="1173"/>
        <v>29.571930353748787</v>
      </c>
      <c r="G609" s="88">
        <f t="shared" si="1173"/>
        <v>29.662311917878291</v>
      </c>
      <c r="H609" s="88">
        <f t="shared" si="1173"/>
        <v>29.744626328763637</v>
      </c>
      <c r="I609" s="88">
        <f t="shared" si="1173"/>
        <v>29.899562157843611</v>
      </c>
      <c r="J609" s="88">
        <f t="shared" si="1173"/>
        <v>30.067956997574807</v>
      </c>
      <c r="K609" s="88">
        <f t="shared" si="1173"/>
        <v>30.206131743343438</v>
      </c>
      <c r="L609" s="88">
        <f t="shared" si="1173"/>
        <v>30.573512436189851</v>
      </c>
      <c r="M609" s="1"/>
      <c r="N609" s="81">
        <f t="shared" ref="N609:U609" si="1174">N608-SUM(N597:N600)</f>
        <v>30.047268665506824</v>
      </c>
      <c r="O609" s="81">
        <f t="shared" si="1174"/>
        <v>30.657726921058401</v>
      </c>
      <c r="P609" s="81">
        <f t="shared" si="1174"/>
        <v>29.921284661797344</v>
      </c>
      <c r="Q609" s="81">
        <f t="shared" si="1174"/>
        <v>28.906132865745558</v>
      </c>
      <c r="R609" s="81">
        <f t="shared" si="1174"/>
        <v>28.279222572370859</v>
      </c>
      <c r="S609" s="81">
        <f t="shared" si="1174"/>
        <v>27.7763908754062</v>
      </c>
      <c r="T609" s="81">
        <f t="shared" si="1174"/>
        <v>25.502303819854923</v>
      </c>
      <c r="U609" s="81">
        <f t="shared" si="1174"/>
        <v>24.356691068560803</v>
      </c>
      <c r="V609" s="1"/>
      <c r="W609" s="85">
        <f t="shared" ref="W609:AD609" si="1175">W608-SUM(W597:W600)</f>
        <v>21.394119201528127</v>
      </c>
      <c r="X609" s="85">
        <f t="shared" si="1175"/>
        <v>16.626829786686002</v>
      </c>
      <c r="Y609" s="85">
        <f t="shared" si="1175"/>
        <v>18.320797687957338</v>
      </c>
      <c r="Z609" s="85">
        <f>Z608-SUM(Z597:Z600)</f>
        <v>20.175925210818232</v>
      </c>
      <c r="AA609" s="85">
        <f>AA608-SUM(AA597:AA600)</f>
        <v>17.485258946990896</v>
      </c>
      <c r="AB609" s="85">
        <f t="shared" si="1175"/>
        <v>11.451803705555287</v>
      </c>
      <c r="AC609" s="85">
        <f t="shared" ref="AC609" si="1176">AC608-SUM(AC597:AC600)</f>
        <v>11.271544282999344</v>
      </c>
      <c r="AD609" s="91">
        <f t="shared" si="1175"/>
        <v>0</v>
      </c>
      <c r="AE609" s="1"/>
      <c r="AF609" s="81">
        <f t="shared" si="1149"/>
        <v>30.047268665506824</v>
      </c>
      <c r="AG609" s="85">
        <f t="shared" si="1150"/>
        <v>21.394119201528127</v>
      </c>
      <c r="AH609" s="34">
        <f>IF(AG609&gt;0,AG609-AF609,"")</f>
        <v>-8.6531494639786963</v>
      </c>
      <c r="AI609" s="35">
        <f>IF(AG609&gt;0,AH609/AF609,"")</f>
        <v>-0.28798456060374628</v>
      </c>
      <c r="AK609" s="81">
        <f t="shared" si="1141"/>
        <v>30.657726921058401</v>
      </c>
      <c r="AL609" s="85">
        <f t="shared" si="1142"/>
        <v>16.626829786686002</v>
      </c>
      <c r="AM609" s="34">
        <f>IF(AL609&gt;0,AL609-AK609,"")</f>
        <v>-14.030897134372399</v>
      </c>
      <c r="AN609" s="35">
        <f>IF(AL609&gt;0,AM609/AK609,"")</f>
        <v>-0.45766266920248266</v>
      </c>
      <c r="AP609" s="81">
        <f t="shared" si="1155"/>
        <v>29.921284661797344</v>
      </c>
      <c r="AQ609" s="85">
        <f>Y609</f>
        <v>18.320797687957338</v>
      </c>
      <c r="AR609" s="34">
        <f t="shared" si="1157"/>
        <v>-11.600486973840006</v>
      </c>
      <c r="AS609" s="35">
        <f t="shared" si="1158"/>
        <v>-0.3877001641126453</v>
      </c>
      <c r="AU609" s="949">
        <f t="shared" si="1159"/>
        <v>28.906132865745558</v>
      </c>
      <c r="AV609" s="843">
        <f t="shared" si="1160"/>
        <v>20.175925210818232</v>
      </c>
      <c r="AW609" s="34">
        <f t="shared" si="1161"/>
        <v>-8.7302076549273266</v>
      </c>
      <c r="AX609" s="35">
        <f t="shared" si="1162"/>
        <v>-0.30201921839475199</v>
      </c>
      <c r="AZ609" s="949">
        <f t="shared" si="1143"/>
        <v>28.279222572370859</v>
      </c>
      <c r="BA609" s="843">
        <f t="shared" si="1144"/>
        <v>17.485258946990896</v>
      </c>
      <c r="BB609" s="34">
        <f t="shared" si="1163"/>
        <v>-10.793963625379963</v>
      </c>
      <c r="BC609" s="35">
        <f t="shared" si="1164"/>
        <v>-0.38169237494971997</v>
      </c>
      <c r="BE609" s="31">
        <f t="shared" si="1165"/>
        <v>27.7763908754062</v>
      </c>
      <c r="BF609" s="25">
        <f t="shared" si="1166"/>
        <v>11.451803705555287</v>
      </c>
      <c r="BG609" s="32">
        <f t="shared" si="1167"/>
        <v>-16.324587169850915</v>
      </c>
      <c r="BH609" s="33">
        <f t="shared" si="1168"/>
        <v>-0.58771448180854369</v>
      </c>
      <c r="BJ609" s="31">
        <f t="shared" si="1145"/>
        <v>25.502303819854923</v>
      </c>
      <c r="BK609" s="25">
        <f t="shared" si="1146"/>
        <v>11.271544282999344</v>
      </c>
      <c r="BL609" s="32">
        <f t="shared" si="1147"/>
        <v>-14.230759536855579</v>
      </c>
      <c r="BM609" s="33">
        <f t="shared" si="1148"/>
        <v>-0.55801858676690075</v>
      </c>
      <c r="BO609" s="62"/>
      <c r="BP609" s="62"/>
      <c r="BQ609" s="62"/>
      <c r="BR609" s="63"/>
    </row>
    <row r="610" spans="1:70" ht="14.5" customHeight="1">
      <c r="B610" s="1284"/>
    </row>
    <row r="611" spans="1:70" ht="14.5" customHeight="1">
      <c r="B611" s="1284"/>
      <c r="D611" s="1" t="s">
        <v>88</v>
      </c>
    </row>
    <row r="612" spans="1:70" ht="14.5" customHeight="1">
      <c r="B612" s="1284"/>
      <c r="E612" s="1300" t="s">
        <v>733</v>
      </c>
      <c r="F612" s="1301"/>
      <c r="G612" s="1301"/>
      <c r="H612" s="1301"/>
      <c r="I612" s="1301"/>
      <c r="J612" s="1301"/>
      <c r="K612" s="1301"/>
      <c r="L612" s="1302"/>
      <c r="N612" s="245" t="s">
        <v>291</v>
      </c>
      <c r="O612" s="246"/>
      <c r="P612" s="246"/>
      <c r="Q612" s="246"/>
      <c r="R612" s="246"/>
      <c r="S612" s="246"/>
      <c r="T612" s="246"/>
      <c r="U612" s="247"/>
      <c r="W612" s="1079" t="s">
        <v>292</v>
      </c>
      <c r="X612" s="1080"/>
      <c r="Y612" s="1080"/>
      <c r="Z612" s="1080"/>
      <c r="AA612" s="1080"/>
      <c r="AB612" s="1080"/>
      <c r="AC612" s="1080"/>
      <c r="AD612" s="1081"/>
      <c r="AF612" s="102" t="s">
        <v>297</v>
      </c>
      <c r="AG612" s="102" t="s">
        <v>298</v>
      </c>
      <c r="AH612" s="1304" t="s">
        <v>602</v>
      </c>
      <c r="AI612" s="1304"/>
      <c r="AK612" s="102" t="s">
        <v>297</v>
      </c>
      <c r="AL612" s="102" t="s">
        <v>298</v>
      </c>
      <c r="AM612" s="1304" t="s">
        <v>602</v>
      </c>
      <c r="AN612" s="1304"/>
      <c r="AP612" s="6" t="s">
        <v>297</v>
      </c>
      <c r="AQ612" s="5" t="s">
        <v>298</v>
      </c>
      <c r="AR612" s="1303" t="s">
        <v>602</v>
      </c>
      <c r="AS612" s="1303"/>
      <c r="AU612" s="6" t="s">
        <v>297</v>
      </c>
      <c r="AV612" s="5" t="s">
        <v>298</v>
      </c>
      <c r="AW612" s="1303" t="s">
        <v>602</v>
      </c>
      <c r="AX612" s="1303"/>
      <c r="AZ612" s="6" t="s">
        <v>297</v>
      </c>
      <c r="BA612" s="5" t="s">
        <v>298</v>
      </c>
      <c r="BB612" s="1303" t="s">
        <v>602</v>
      </c>
      <c r="BC612" s="1303"/>
      <c r="BE612" s="6" t="s">
        <v>297</v>
      </c>
      <c r="BF612" s="5" t="s">
        <v>298</v>
      </c>
      <c r="BG612" s="1082" t="s">
        <v>602</v>
      </c>
      <c r="BH612" s="1082"/>
      <c r="BJ612" s="6" t="s">
        <v>297</v>
      </c>
      <c r="BK612" s="5" t="s">
        <v>298</v>
      </c>
      <c r="BL612" s="1082" t="s">
        <v>602</v>
      </c>
      <c r="BM612" s="1082"/>
      <c r="BO612" s="6" t="s">
        <v>297</v>
      </c>
      <c r="BP612" s="5" t="s">
        <v>298</v>
      </c>
      <c r="BQ612" s="1303" t="s">
        <v>602</v>
      </c>
      <c r="BR612" s="1303"/>
    </row>
    <row r="613" spans="1:70" ht="14.5" customHeight="1">
      <c r="A613" s="1"/>
      <c r="B613" s="1284"/>
      <c r="E613" s="196" t="s">
        <v>137</v>
      </c>
      <c r="F613" s="102" t="s">
        <v>138</v>
      </c>
      <c r="G613" s="102" t="s">
        <v>139</v>
      </c>
      <c r="H613" s="102" t="s">
        <v>140</v>
      </c>
      <c r="I613" s="102" t="s">
        <v>141</v>
      </c>
      <c r="J613" s="102" t="s">
        <v>126</v>
      </c>
      <c r="K613" s="102" t="s">
        <v>142</v>
      </c>
      <c r="L613" s="197" t="s">
        <v>143</v>
      </c>
      <c r="N613" s="196" t="s">
        <v>137</v>
      </c>
      <c r="O613" s="102" t="s">
        <v>138</v>
      </c>
      <c r="P613" s="102" t="s">
        <v>139</v>
      </c>
      <c r="Q613" s="102" t="s">
        <v>140</v>
      </c>
      <c r="R613" s="102" t="s">
        <v>141</v>
      </c>
      <c r="S613" s="102" t="s">
        <v>126</v>
      </c>
      <c r="T613" s="102" t="s">
        <v>142</v>
      </c>
      <c r="U613" s="197" t="s">
        <v>143</v>
      </c>
      <c r="W613" s="196" t="s">
        <v>137</v>
      </c>
      <c r="X613" s="1078" t="s">
        <v>138</v>
      </c>
      <c r="Y613" s="1078" t="s">
        <v>139</v>
      </c>
      <c r="Z613" s="1078" t="s">
        <v>140</v>
      </c>
      <c r="AA613" s="1078" t="s">
        <v>141</v>
      </c>
      <c r="AB613" s="1078" t="s">
        <v>126</v>
      </c>
      <c r="AC613" s="1078" t="s">
        <v>142</v>
      </c>
      <c r="AD613" s="197" t="s">
        <v>143</v>
      </c>
      <c r="AF613" s="102" t="s">
        <v>734</v>
      </c>
      <c r="AG613" s="102" t="s">
        <v>734</v>
      </c>
      <c r="AH613" s="102" t="s">
        <v>734</v>
      </c>
      <c r="AI613" s="102" t="s">
        <v>606</v>
      </c>
      <c r="AK613" s="102" t="s">
        <v>734</v>
      </c>
      <c r="AL613" s="102" t="s">
        <v>734</v>
      </c>
      <c r="AM613" s="102" t="s">
        <v>734</v>
      </c>
      <c r="AN613" s="102" t="s">
        <v>606</v>
      </c>
      <c r="AP613" s="5" t="s">
        <v>734</v>
      </c>
      <c r="AQ613" s="5" t="s">
        <v>734</v>
      </c>
      <c r="AR613" s="5" t="s">
        <v>734</v>
      </c>
      <c r="AS613" s="5" t="s">
        <v>606</v>
      </c>
      <c r="AU613" s="5" t="s">
        <v>734</v>
      </c>
      <c r="AV613" s="5" t="s">
        <v>734</v>
      </c>
      <c r="AW613" s="5" t="s">
        <v>734</v>
      </c>
      <c r="AX613" s="5" t="s">
        <v>606</v>
      </c>
      <c r="AZ613" s="5" t="s">
        <v>734</v>
      </c>
      <c r="BA613" s="5" t="s">
        <v>734</v>
      </c>
      <c r="BB613" s="5" t="s">
        <v>734</v>
      </c>
      <c r="BC613" s="5" t="s">
        <v>606</v>
      </c>
      <c r="BE613" s="5" t="s">
        <v>734</v>
      </c>
      <c r="BF613" s="5" t="s">
        <v>734</v>
      </c>
      <c r="BG613" s="5" t="s">
        <v>734</v>
      </c>
      <c r="BH613" s="5" t="s">
        <v>606</v>
      </c>
      <c r="BJ613" s="5" t="s">
        <v>734</v>
      </c>
      <c r="BK613" s="5" t="s">
        <v>734</v>
      </c>
      <c r="BL613" s="5" t="s">
        <v>734</v>
      </c>
      <c r="BM613" s="5" t="s">
        <v>606</v>
      </c>
      <c r="BO613" s="5" t="s">
        <v>734</v>
      </c>
      <c r="BP613" s="5" t="s">
        <v>734</v>
      </c>
      <c r="BQ613" s="5" t="s">
        <v>734</v>
      </c>
      <c r="BR613" s="5" t="s">
        <v>606</v>
      </c>
    </row>
    <row r="614" spans="1:70">
      <c r="B614" s="1284"/>
      <c r="D614" s="5" t="s">
        <v>161</v>
      </c>
      <c r="E614" s="87">
        <v>4.2250048187881264</v>
      </c>
      <c r="F614" s="87">
        <v>0</v>
      </c>
      <c r="G614" s="87">
        <v>0</v>
      </c>
      <c r="H614" s="87">
        <v>0</v>
      </c>
      <c r="I614" s="87">
        <v>0</v>
      </c>
      <c r="J614" s="87">
        <v>0</v>
      </c>
      <c r="K614" s="87">
        <v>0</v>
      </c>
      <c r="L614" s="87">
        <v>0</v>
      </c>
      <c r="N614" s="29">
        <v>1.7650368381071615</v>
      </c>
      <c r="O614" s="29">
        <v>0.62792903153269641</v>
      </c>
      <c r="P614" s="29">
        <v>0.68437120710648547</v>
      </c>
      <c r="Q614" s="29">
        <v>0.65248415736551002</v>
      </c>
      <c r="R614" s="29">
        <v>0.68184518001507133</v>
      </c>
      <c r="S614" s="29">
        <v>0.68019716411676279</v>
      </c>
      <c r="T614" s="29">
        <v>0.67214814002362311</v>
      </c>
      <c r="U614" s="29">
        <v>0.65177250880098825</v>
      </c>
      <c r="W614" s="30">
        <v>7.8293590054520354</v>
      </c>
      <c r="X614" s="30">
        <v>5.1589190444212205</v>
      </c>
      <c r="Y614" s="30">
        <v>1.8650959415038779</v>
      </c>
      <c r="Z614" s="30">
        <v>0.6117920231037246</v>
      </c>
      <c r="AA614" s="30">
        <v>1.0020815371610985</v>
      </c>
      <c r="AB614" s="30">
        <v>1.5207568179386937</v>
      </c>
      <c r="AC614" s="30">
        <v>0.8731726568834669</v>
      </c>
      <c r="AD614" s="90">
        <v>0</v>
      </c>
      <c r="AF614" s="29">
        <f>N614</f>
        <v>1.7650368381071615</v>
      </c>
      <c r="AG614" s="30">
        <f>W614</f>
        <v>7.8293590054520354</v>
      </c>
      <c r="AH614" s="32">
        <f>AG614-AF614</f>
        <v>6.0643221673448737</v>
      </c>
      <c r="AI614" s="33">
        <f>AH614/AF614</f>
        <v>3.4358048718395575</v>
      </c>
      <c r="AK614" s="29">
        <f t="shared" ref="AK614:AK629" si="1177">O614</f>
        <v>0.62792903153269641</v>
      </c>
      <c r="AL614" s="30">
        <f t="shared" ref="AL614:AL629" si="1178">X614</f>
        <v>5.1589190444212205</v>
      </c>
      <c r="AM614" s="32">
        <f>AL614-AK614</f>
        <v>4.5309900128885241</v>
      </c>
      <c r="AN614" s="33">
        <f>AM614/AK614</f>
        <v>7.2157676829003154</v>
      </c>
      <c r="AP614" s="29">
        <f>P614</f>
        <v>0.68437120710648547</v>
      </c>
      <c r="AQ614" s="30">
        <f>Y614</f>
        <v>1.8650959415038779</v>
      </c>
      <c r="AR614" s="32">
        <f>AQ614-AP614</f>
        <v>1.1807247343973923</v>
      </c>
      <c r="AS614" s="33">
        <f>AR614/AP614</f>
        <v>1.7252694475407353</v>
      </c>
      <c r="AU614" s="31">
        <f>Q614</f>
        <v>0.65248415736551002</v>
      </c>
      <c r="AV614" s="25">
        <f>Z614</f>
        <v>0.6117920231037246</v>
      </c>
      <c r="AW614" s="32">
        <f>AV614-AU614</f>
        <v>-4.0692134261785418E-2</v>
      </c>
      <c r="AX614" s="33">
        <f>AW614/AU614</f>
        <v>-6.2364938370435268E-2</v>
      </c>
      <c r="AZ614" s="31">
        <f t="shared" ref="AZ614:AZ629" si="1179">R614</f>
        <v>0.68184518001507133</v>
      </c>
      <c r="BA614" s="25">
        <f t="shared" ref="BA614:BA629" si="1180">AA614</f>
        <v>1.0020815371610985</v>
      </c>
      <c r="BB614" s="32">
        <f>BA614-AZ614</f>
        <v>0.32023635714602716</v>
      </c>
      <c r="BC614" s="33">
        <f>BB614/AZ614</f>
        <v>0.46966139313172051</v>
      </c>
      <c r="BE614" s="31">
        <f>S614</f>
        <v>0.68019716411676279</v>
      </c>
      <c r="BF614" s="25">
        <f>AB614</f>
        <v>1.5207568179386937</v>
      </c>
      <c r="BG614" s="32">
        <f>BF614-BE614</f>
        <v>0.84055965382193087</v>
      </c>
      <c r="BH614" s="33">
        <f>BG614/BE614</f>
        <v>1.2357588331221567</v>
      </c>
      <c r="BJ614" s="31">
        <f t="shared" ref="BJ614:BJ629" si="1181">T614</f>
        <v>0.67214814002362311</v>
      </c>
      <c r="BK614" s="25">
        <f t="shared" ref="BK614:BK629" si="1182">AC614</f>
        <v>0.8731726568834669</v>
      </c>
      <c r="BL614" s="32">
        <f t="shared" ref="BL614:BL629" si="1183">BK614-BJ614</f>
        <v>0.20102451685984379</v>
      </c>
      <c r="BM614" s="33">
        <f t="shared" ref="BM614:BM629" si="1184">BL614/BJ614</f>
        <v>0.29907769565914244</v>
      </c>
      <c r="BO614" s="62"/>
      <c r="BP614" s="62"/>
      <c r="BQ614" s="62"/>
      <c r="BR614" s="63"/>
    </row>
    <row r="615" spans="1:70">
      <c r="B615" s="1284"/>
      <c r="D615" s="5" t="s">
        <v>162</v>
      </c>
      <c r="E615" s="87">
        <v>0</v>
      </c>
      <c r="F615" s="87">
        <v>0</v>
      </c>
      <c r="G615" s="87">
        <v>0</v>
      </c>
      <c r="H615" s="87">
        <v>0</v>
      </c>
      <c r="I615" s="87">
        <v>0</v>
      </c>
      <c r="J615" s="87">
        <v>0</v>
      </c>
      <c r="K615" s="87">
        <v>0</v>
      </c>
      <c r="L615" s="87">
        <v>0</v>
      </c>
      <c r="N615" s="29">
        <v>0</v>
      </c>
      <c r="O615" s="29">
        <v>0</v>
      </c>
      <c r="P615" s="29">
        <v>0</v>
      </c>
      <c r="Q615" s="29">
        <v>0</v>
      </c>
      <c r="R615" s="29">
        <v>0</v>
      </c>
      <c r="S615" s="29">
        <v>0</v>
      </c>
      <c r="T615" s="29">
        <v>0</v>
      </c>
      <c r="U615" s="29">
        <v>0</v>
      </c>
      <c r="W615" s="30">
        <v>1.6643347591527258</v>
      </c>
      <c r="X615" s="30">
        <v>1.8226955902520832</v>
      </c>
      <c r="Y615" s="30">
        <v>1.1599369209092243</v>
      </c>
      <c r="Z615" s="30">
        <v>0.35666495091779887</v>
      </c>
      <c r="AA615" s="30">
        <v>0.31448397832911168</v>
      </c>
      <c r="AB615" s="30">
        <v>0.35467097648397011</v>
      </c>
      <c r="AC615" s="30">
        <v>0.40971120999999994</v>
      </c>
      <c r="AD615" s="90">
        <v>0</v>
      </c>
      <c r="AF615" s="29">
        <f t="shared" ref="AF615:AF629" si="1185">N615</f>
        <v>0</v>
      </c>
      <c r="AG615" s="30">
        <f t="shared" ref="AG615:AG629" si="1186">W615</f>
        <v>1.6643347591527258</v>
      </c>
      <c r="AH615" s="32">
        <f t="shared" ref="AH615:AH627" si="1187">AG615-AF615</f>
        <v>1.6643347591527258</v>
      </c>
      <c r="AI615" s="33" t="e">
        <f t="shared" ref="AI615:AI627" si="1188">AH615/AF615</f>
        <v>#DIV/0!</v>
      </c>
      <c r="AK615" s="29">
        <f t="shared" si="1177"/>
        <v>0</v>
      </c>
      <c r="AL615" s="30">
        <f t="shared" si="1178"/>
        <v>1.8226955902520832</v>
      </c>
      <c r="AM615" s="32">
        <f t="shared" ref="AM615:AM627" si="1189">AL615-AK615</f>
        <v>1.8226955902520832</v>
      </c>
      <c r="AN615" s="33" t="e">
        <f t="shared" ref="AN615:AN627" si="1190">AM615/AK615</f>
        <v>#DIV/0!</v>
      </c>
      <c r="AP615" s="29">
        <f t="shared" ref="AP615:AP629" si="1191">P615</f>
        <v>0</v>
      </c>
      <c r="AQ615" s="30">
        <f t="shared" ref="AQ615:AQ628" si="1192">Y615</f>
        <v>1.1599369209092243</v>
      </c>
      <c r="AR615" s="32">
        <f t="shared" ref="AR615:AR629" si="1193">AQ615-AP615</f>
        <v>1.1599369209092243</v>
      </c>
      <c r="AS615" s="33" t="e">
        <f t="shared" ref="AS615:AS629" si="1194">AR615/AP615</f>
        <v>#DIV/0!</v>
      </c>
      <c r="AU615" s="31">
        <f t="shared" ref="AU615:AU629" si="1195">Q615</f>
        <v>0</v>
      </c>
      <c r="AV615" s="25">
        <f t="shared" ref="AV615:AV629" si="1196">Z615</f>
        <v>0.35666495091779887</v>
      </c>
      <c r="AW615" s="32">
        <f t="shared" ref="AW615:AW629" si="1197">AV615-AU615</f>
        <v>0.35666495091779887</v>
      </c>
      <c r="AX615" s="33" t="e">
        <f t="shared" ref="AX615:AX629" si="1198">AW615/AU615</f>
        <v>#DIV/0!</v>
      </c>
      <c r="AZ615" s="31">
        <f t="shared" si="1179"/>
        <v>0</v>
      </c>
      <c r="BA615" s="25">
        <f t="shared" si="1180"/>
        <v>0.31448397832911168</v>
      </c>
      <c r="BB615" s="32">
        <f t="shared" ref="BB615:BB629" si="1199">BA615-AZ615</f>
        <v>0.31448397832911168</v>
      </c>
      <c r="BC615" s="33" t="e">
        <f t="shared" ref="BC615:BC629" si="1200">BB615/AZ615</f>
        <v>#DIV/0!</v>
      </c>
      <c r="BE615" s="31">
        <f t="shared" ref="BE615:BE629" si="1201">S615</f>
        <v>0</v>
      </c>
      <c r="BF615" s="25">
        <f t="shared" ref="BF615:BF629" si="1202">AB615</f>
        <v>0.35467097648397011</v>
      </c>
      <c r="BG615" s="32">
        <f t="shared" ref="BG615:BG629" si="1203">BF615-BE615</f>
        <v>0.35467097648397011</v>
      </c>
      <c r="BH615" s="33" t="e">
        <f t="shared" ref="BH615:BH629" si="1204">BG615/BE615</f>
        <v>#DIV/0!</v>
      </c>
      <c r="BJ615" s="31">
        <f t="shared" si="1181"/>
        <v>0</v>
      </c>
      <c r="BK615" s="25">
        <f t="shared" si="1182"/>
        <v>0.40971120999999994</v>
      </c>
      <c r="BL615" s="32">
        <f t="shared" si="1183"/>
        <v>0.40971120999999994</v>
      </c>
      <c r="BM615" s="33" t="e">
        <f t="shared" si="1184"/>
        <v>#DIV/0!</v>
      </c>
      <c r="BO615" s="62"/>
      <c r="BP615" s="62"/>
      <c r="BQ615" s="62"/>
      <c r="BR615" s="63"/>
    </row>
    <row r="616" spans="1:70">
      <c r="B616" s="1284"/>
      <c r="D616" s="5" t="s">
        <v>163</v>
      </c>
      <c r="E616" s="87">
        <v>0</v>
      </c>
      <c r="F616" s="87">
        <v>0</v>
      </c>
      <c r="G616" s="87">
        <v>0</v>
      </c>
      <c r="H616" s="87">
        <v>0</v>
      </c>
      <c r="I616" s="87">
        <v>0</v>
      </c>
      <c r="J616" s="87">
        <v>0</v>
      </c>
      <c r="K616" s="87">
        <v>0</v>
      </c>
      <c r="L616" s="87">
        <v>0</v>
      </c>
      <c r="N616" s="29">
        <v>0</v>
      </c>
      <c r="O616" s="29">
        <v>0</v>
      </c>
      <c r="P616" s="29">
        <v>0</v>
      </c>
      <c r="Q616" s="29">
        <v>0</v>
      </c>
      <c r="R616" s="29">
        <v>0</v>
      </c>
      <c r="S616" s="29">
        <v>0</v>
      </c>
      <c r="T616" s="29">
        <v>0</v>
      </c>
      <c r="U616" s="29">
        <v>0</v>
      </c>
      <c r="W616" s="30">
        <v>1.4265814642362995</v>
      </c>
      <c r="X616" s="30">
        <v>0.76477700070359489</v>
      </c>
      <c r="Y616" s="30">
        <v>0.74712445576533992</v>
      </c>
      <c r="Z616" s="30">
        <v>0.32867811938277108</v>
      </c>
      <c r="AA616" s="30">
        <v>0.41543481308669028</v>
      </c>
      <c r="AB616" s="30">
        <v>0.3857177047750428</v>
      </c>
      <c r="AC616" s="30">
        <v>0.19266026999999999</v>
      </c>
      <c r="AD616" s="90">
        <v>0</v>
      </c>
      <c r="AF616" s="29">
        <f t="shared" si="1185"/>
        <v>0</v>
      </c>
      <c r="AG616" s="30">
        <f t="shared" si="1186"/>
        <v>1.4265814642362995</v>
      </c>
      <c r="AH616" s="32">
        <f t="shared" si="1187"/>
        <v>1.4265814642362995</v>
      </c>
      <c r="AI616" s="33" t="e">
        <f t="shared" si="1188"/>
        <v>#DIV/0!</v>
      </c>
      <c r="AK616" s="29">
        <f t="shared" si="1177"/>
        <v>0</v>
      </c>
      <c r="AL616" s="30">
        <f t="shared" si="1178"/>
        <v>0.76477700070359489</v>
      </c>
      <c r="AM616" s="32">
        <f t="shared" si="1189"/>
        <v>0.76477700070359489</v>
      </c>
      <c r="AN616" s="33" t="e">
        <f t="shared" si="1190"/>
        <v>#DIV/0!</v>
      </c>
      <c r="AP616" s="29">
        <f t="shared" si="1191"/>
        <v>0</v>
      </c>
      <c r="AQ616" s="30">
        <f t="shared" si="1192"/>
        <v>0.74712445576533992</v>
      </c>
      <c r="AR616" s="32">
        <f t="shared" si="1193"/>
        <v>0.74712445576533992</v>
      </c>
      <c r="AS616" s="33" t="e">
        <f t="shared" si="1194"/>
        <v>#DIV/0!</v>
      </c>
      <c r="AU616" s="31">
        <f t="shared" si="1195"/>
        <v>0</v>
      </c>
      <c r="AV616" s="25">
        <f t="shared" si="1196"/>
        <v>0.32867811938277108</v>
      </c>
      <c r="AW616" s="32">
        <f t="shared" si="1197"/>
        <v>0.32867811938277108</v>
      </c>
      <c r="AX616" s="33" t="e">
        <f t="shared" si="1198"/>
        <v>#DIV/0!</v>
      </c>
      <c r="AZ616" s="31">
        <f t="shared" si="1179"/>
        <v>0</v>
      </c>
      <c r="BA616" s="25">
        <f t="shared" si="1180"/>
        <v>0.41543481308669028</v>
      </c>
      <c r="BB616" s="32">
        <f t="shared" si="1199"/>
        <v>0.41543481308669028</v>
      </c>
      <c r="BC616" s="33" t="e">
        <f t="shared" si="1200"/>
        <v>#DIV/0!</v>
      </c>
      <c r="BE616" s="31">
        <f t="shared" si="1201"/>
        <v>0</v>
      </c>
      <c r="BF616" s="25">
        <f t="shared" si="1202"/>
        <v>0.3857177047750428</v>
      </c>
      <c r="BG616" s="32">
        <f t="shared" si="1203"/>
        <v>0.3857177047750428</v>
      </c>
      <c r="BH616" s="33" t="e">
        <f t="shared" si="1204"/>
        <v>#DIV/0!</v>
      </c>
      <c r="BJ616" s="31">
        <f t="shared" si="1181"/>
        <v>0</v>
      </c>
      <c r="BK616" s="25">
        <f t="shared" si="1182"/>
        <v>0.19266026999999999</v>
      </c>
      <c r="BL616" s="32">
        <f t="shared" si="1183"/>
        <v>0.19266026999999999</v>
      </c>
      <c r="BM616" s="33" t="e">
        <f t="shared" si="1184"/>
        <v>#DIV/0!</v>
      </c>
      <c r="BO616" s="62"/>
      <c r="BP616" s="62"/>
      <c r="BQ616" s="62"/>
      <c r="BR616" s="63"/>
    </row>
    <row r="617" spans="1:70">
      <c r="B617" s="1284"/>
      <c r="D617" s="5" t="s">
        <v>164</v>
      </c>
      <c r="E617" s="87">
        <v>0</v>
      </c>
      <c r="F617" s="87">
        <v>0</v>
      </c>
      <c r="G617" s="87">
        <v>0</v>
      </c>
      <c r="H617" s="87">
        <v>0</v>
      </c>
      <c r="I617" s="87">
        <v>0</v>
      </c>
      <c r="J617" s="87">
        <v>0</v>
      </c>
      <c r="K617" s="87">
        <v>0</v>
      </c>
      <c r="L617" s="87">
        <v>0</v>
      </c>
      <c r="N617" s="29">
        <v>2.3760617670110808</v>
      </c>
      <c r="O617" s="29">
        <v>2.3780573419998601</v>
      </c>
      <c r="P617" s="29">
        <v>2.3734346665429462</v>
      </c>
      <c r="Q617" s="29">
        <v>2.3796348323305856</v>
      </c>
      <c r="R617" s="29">
        <v>2.3830422656332528</v>
      </c>
      <c r="S617" s="29">
        <v>2.3907239260881634</v>
      </c>
      <c r="T617" s="29">
        <v>2.3938400497275927</v>
      </c>
      <c r="U617" s="29">
        <v>2.3998011739416643</v>
      </c>
      <c r="W617" s="30">
        <v>5.9920880073082454</v>
      </c>
      <c r="X617" s="30">
        <v>5.026821179507305</v>
      </c>
      <c r="Y617" s="30">
        <v>2.8477655361066243</v>
      </c>
      <c r="Z617" s="30">
        <v>2.3262055572027616</v>
      </c>
      <c r="AA617" s="30">
        <v>2.5030360512245307</v>
      </c>
      <c r="AB617" s="30">
        <v>2.4201542117232733</v>
      </c>
      <c r="AC617" s="30">
        <v>1.5210999999999999</v>
      </c>
      <c r="AD617" s="90">
        <v>0</v>
      </c>
      <c r="AF617" s="29">
        <f t="shared" si="1185"/>
        <v>2.3760617670110808</v>
      </c>
      <c r="AG617" s="30">
        <f t="shared" si="1186"/>
        <v>5.9920880073082454</v>
      </c>
      <c r="AH617" s="32">
        <f t="shared" si="1187"/>
        <v>3.6160262402971646</v>
      </c>
      <c r="AI617" s="33">
        <f t="shared" si="1188"/>
        <v>1.5218570032570626</v>
      </c>
      <c r="AK617" s="29">
        <f t="shared" si="1177"/>
        <v>2.3780573419998601</v>
      </c>
      <c r="AL617" s="30">
        <f t="shared" si="1178"/>
        <v>5.026821179507305</v>
      </c>
      <c r="AM617" s="32">
        <f t="shared" si="1189"/>
        <v>2.6487638375074449</v>
      </c>
      <c r="AN617" s="33">
        <f t="shared" si="1190"/>
        <v>1.1138351421248449</v>
      </c>
      <c r="AP617" s="29">
        <f t="shared" si="1191"/>
        <v>2.3734346665429462</v>
      </c>
      <c r="AQ617" s="30">
        <f t="shared" si="1192"/>
        <v>2.8477655361066243</v>
      </c>
      <c r="AR617" s="32">
        <f t="shared" si="1193"/>
        <v>0.47433086956367809</v>
      </c>
      <c r="AS617" s="33">
        <f t="shared" si="1194"/>
        <v>0.19984997954654898</v>
      </c>
      <c r="AU617" s="31">
        <f t="shared" si="1195"/>
        <v>2.3796348323305856</v>
      </c>
      <c r="AV617" s="25">
        <f t="shared" si="1196"/>
        <v>2.3262055572027616</v>
      </c>
      <c r="AW617" s="32">
        <f t="shared" si="1197"/>
        <v>-5.3429275127824027E-2</v>
      </c>
      <c r="AX617" s="33">
        <f t="shared" si="1198"/>
        <v>-2.2452720224933016E-2</v>
      </c>
      <c r="AZ617" s="31">
        <f t="shared" si="1179"/>
        <v>2.3830422656332528</v>
      </c>
      <c r="BA617" s="25">
        <f t="shared" si="1180"/>
        <v>2.5030360512245307</v>
      </c>
      <c r="BB617" s="32">
        <f t="shared" si="1199"/>
        <v>0.11999378559127782</v>
      </c>
      <c r="BC617" s="33">
        <f t="shared" si="1200"/>
        <v>5.0353192354895777E-2</v>
      </c>
      <c r="BE617" s="31">
        <f t="shared" si="1201"/>
        <v>2.3907239260881634</v>
      </c>
      <c r="BF617" s="25">
        <f t="shared" si="1202"/>
        <v>2.4201542117232733</v>
      </c>
      <c r="BG617" s="32">
        <f t="shared" si="1203"/>
        <v>2.9430285635109854E-2</v>
      </c>
      <c r="BH617" s="33">
        <f t="shared" si="1204"/>
        <v>1.2310198310210305E-2</v>
      </c>
      <c r="BJ617" s="31">
        <f t="shared" si="1181"/>
        <v>2.3938400497275927</v>
      </c>
      <c r="BK617" s="25">
        <f t="shared" si="1182"/>
        <v>1.5210999999999999</v>
      </c>
      <c r="BL617" s="32">
        <f t="shared" si="1183"/>
        <v>-0.87274004972759278</v>
      </c>
      <c r="BM617" s="33">
        <f t="shared" si="1184"/>
        <v>-0.36457742856583353</v>
      </c>
      <c r="BO617" s="62"/>
      <c r="BP617" s="62"/>
      <c r="BQ617" s="62"/>
      <c r="BR617" s="63"/>
    </row>
    <row r="618" spans="1:70">
      <c r="B618" s="1284"/>
      <c r="D618" s="5" t="s">
        <v>165</v>
      </c>
      <c r="E618" s="87">
        <v>0</v>
      </c>
      <c r="F618" s="87">
        <v>0</v>
      </c>
      <c r="G618" s="87">
        <v>0</v>
      </c>
      <c r="H618" s="87">
        <v>0</v>
      </c>
      <c r="I618" s="87">
        <v>0</v>
      </c>
      <c r="J618" s="87">
        <v>0</v>
      </c>
      <c r="K618" s="87">
        <v>0</v>
      </c>
      <c r="L618" s="87">
        <v>0</v>
      </c>
      <c r="N618" s="29">
        <v>1.9269366184909102</v>
      </c>
      <c r="O618" s="29">
        <v>1.9289774863048805</v>
      </c>
      <c r="P618" s="29">
        <v>1.9253179585191427</v>
      </c>
      <c r="Q618" s="29">
        <v>1.9281428203516287</v>
      </c>
      <c r="R618" s="29">
        <v>1.9315403892823542</v>
      </c>
      <c r="S618" s="29">
        <v>1.9360242523326354</v>
      </c>
      <c r="T618" s="29">
        <v>1.9378934891191326</v>
      </c>
      <c r="U618" s="29">
        <v>1.9411779458267888</v>
      </c>
      <c r="W618" s="30">
        <v>5.6538636642215927</v>
      </c>
      <c r="X618" s="30">
        <v>6.4441005917159773</v>
      </c>
      <c r="Y618" s="30">
        <v>4.7436348814876244</v>
      </c>
      <c r="Z618" s="30">
        <v>3.1092955299532665</v>
      </c>
      <c r="AA618" s="30">
        <v>2.3959771953124465</v>
      </c>
      <c r="AB618" s="30">
        <v>2.4413094058816935</v>
      </c>
      <c r="AC618" s="30">
        <v>2.8340000000000001</v>
      </c>
      <c r="AD618" s="90">
        <v>0</v>
      </c>
      <c r="AF618" s="29">
        <f t="shared" si="1185"/>
        <v>1.9269366184909102</v>
      </c>
      <c r="AG618" s="30">
        <f t="shared" si="1186"/>
        <v>5.6538636642215927</v>
      </c>
      <c r="AH618" s="32">
        <f t="shared" si="1187"/>
        <v>3.7269270457306822</v>
      </c>
      <c r="AI618" s="33">
        <f t="shared" si="1188"/>
        <v>1.9341202040415024</v>
      </c>
      <c r="AK618" s="29">
        <f t="shared" si="1177"/>
        <v>1.9289774863048805</v>
      </c>
      <c r="AL618" s="30">
        <f t="shared" si="1178"/>
        <v>6.4441005917159773</v>
      </c>
      <c r="AM618" s="32">
        <f t="shared" si="1189"/>
        <v>4.5151231054110967</v>
      </c>
      <c r="AN618" s="33">
        <f t="shared" si="1190"/>
        <v>2.3406821165446554</v>
      </c>
      <c r="AP618" s="29">
        <f t="shared" si="1191"/>
        <v>1.9253179585191427</v>
      </c>
      <c r="AQ618" s="30">
        <f t="shared" si="1192"/>
        <v>4.7436348814876244</v>
      </c>
      <c r="AR618" s="32">
        <f t="shared" si="1193"/>
        <v>2.8183169229684815</v>
      </c>
      <c r="AS618" s="33">
        <f t="shared" si="1194"/>
        <v>1.4638189554603172</v>
      </c>
      <c r="AU618" s="31">
        <f t="shared" si="1195"/>
        <v>1.9281428203516287</v>
      </c>
      <c r="AV618" s="25">
        <f t="shared" si="1196"/>
        <v>3.1092955299532665</v>
      </c>
      <c r="AW618" s="32">
        <f t="shared" si="1197"/>
        <v>1.1811527096016379</v>
      </c>
      <c r="AX618" s="33">
        <f t="shared" si="1198"/>
        <v>0.61258569496746884</v>
      </c>
      <c r="AZ618" s="31">
        <f t="shared" si="1179"/>
        <v>1.9315403892823542</v>
      </c>
      <c r="BA618" s="25">
        <f t="shared" si="1180"/>
        <v>2.3959771953124465</v>
      </c>
      <c r="BB618" s="32">
        <f t="shared" si="1199"/>
        <v>0.4644368060300923</v>
      </c>
      <c r="BC618" s="33">
        <f t="shared" si="1200"/>
        <v>0.24044892284269007</v>
      </c>
      <c r="BE618" s="31">
        <f t="shared" si="1201"/>
        <v>1.9360242523326354</v>
      </c>
      <c r="BF618" s="25">
        <f t="shared" si="1202"/>
        <v>2.4413094058816935</v>
      </c>
      <c r="BG618" s="32">
        <f t="shared" si="1203"/>
        <v>0.50528515354905812</v>
      </c>
      <c r="BH618" s="33">
        <f t="shared" si="1204"/>
        <v>0.26099112805031288</v>
      </c>
      <c r="BJ618" s="31">
        <f t="shared" si="1181"/>
        <v>1.9378934891191326</v>
      </c>
      <c r="BK618" s="25">
        <f t="shared" si="1182"/>
        <v>2.8340000000000001</v>
      </c>
      <c r="BL618" s="32">
        <f t="shared" si="1183"/>
        <v>0.89610651088086746</v>
      </c>
      <c r="BM618" s="33">
        <f t="shared" si="1184"/>
        <v>0.46241267433546707</v>
      </c>
      <c r="BO618" s="62"/>
      <c r="BP618" s="62"/>
      <c r="BQ618" s="62"/>
      <c r="BR618" s="63"/>
    </row>
    <row r="619" spans="1:70">
      <c r="B619" s="1284"/>
      <c r="D619" s="5" t="s">
        <v>166</v>
      </c>
      <c r="E619" s="87">
        <v>0</v>
      </c>
      <c r="F619" s="87">
        <v>0</v>
      </c>
      <c r="G619" s="87">
        <v>0</v>
      </c>
      <c r="H619" s="87">
        <v>0</v>
      </c>
      <c r="I619" s="87">
        <v>0</v>
      </c>
      <c r="J619" s="87">
        <v>0</v>
      </c>
      <c r="K619" s="87">
        <v>0</v>
      </c>
      <c r="L619" s="87">
        <v>0</v>
      </c>
      <c r="N619" s="29">
        <v>1.5826488720415639</v>
      </c>
      <c r="O619" s="29">
        <v>1.5846576268264698</v>
      </c>
      <c r="P619" s="29">
        <v>1.5804744203349679</v>
      </c>
      <c r="Q619" s="29">
        <v>1.5817304564717916</v>
      </c>
      <c r="R619" s="29">
        <v>1.5826236278993278</v>
      </c>
      <c r="S619" s="29">
        <v>1.5869094163140043</v>
      </c>
      <c r="T619" s="29">
        <v>1.5872241011522583</v>
      </c>
      <c r="U619" s="29">
        <v>1.5895453879219215</v>
      </c>
      <c r="W619" s="30">
        <v>3.9735363427166179</v>
      </c>
      <c r="X619" s="30">
        <v>4.4432355391860883</v>
      </c>
      <c r="Y619" s="30">
        <v>3.4601030381072939</v>
      </c>
      <c r="Z619" s="30">
        <v>3.6408741369816595</v>
      </c>
      <c r="AA619" s="30">
        <v>4.2095542144631537</v>
      </c>
      <c r="AB619" s="30">
        <v>2.8146985827778104</v>
      </c>
      <c r="AC619" s="30">
        <v>2.8695000000000004</v>
      </c>
      <c r="AD619" s="90">
        <v>0</v>
      </c>
      <c r="AF619" s="29">
        <f t="shared" si="1185"/>
        <v>1.5826488720415639</v>
      </c>
      <c r="AG619" s="30">
        <f t="shared" si="1186"/>
        <v>3.9735363427166179</v>
      </c>
      <c r="AH619" s="32">
        <f t="shared" si="1187"/>
        <v>2.3908874706750538</v>
      </c>
      <c r="AI619" s="33">
        <f t="shared" si="1188"/>
        <v>1.510687249023777</v>
      </c>
      <c r="AK619" s="29">
        <f t="shared" si="1177"/>
        <v>1.5846576268264698</v>
      </c>
      <c r="AL619" s="30">
        <f t="shared" si="1178"/>
        <v>4.4432355391860883</v>
      </c>
      <c r="AM619" s="32">
        <f t="shared" si="1189"/>
        <v>2.8585779123596184</v>
      </c>
      <c r="AN619" s="33">
        <f t="shared" si="1190"/>
        <v>1.8039088469124889</v>
      </c>
      <c r="AP619" s="29">
        <f t="shared" si="1191"/>
        <v>1.5804744203349679</v>
      </c>
      <c r="AQ619" s="30">
        <f t="shared" si="1192"/>
        <v>3.4601030381072939</v>
      </c>
      <c r="AR619" s="32">
        <f t="shared" si="1193"/>
        <v>1.879628617772326</v>
      </c>
      <c r="AS619" s="33">
        <f t="shared" si="1194"/>
        <v>1.1892812649090234</v>
      </c>
      <c r="AU619" s="31">
        <f t="shared" si="1195"/>
        <v>1.5817304564717916</v>
      </c>
      <c r="AV619" s="25">
        <f t="shared" si="1196"/>
        <v>3.6408741369816595</v>
      </c>
      <c r="AW619" s="32">
        <f t="shared" si="1197"/>
        <v>2.0591436805098677</v>
      </c>
      <c r="AX619" s="33">
        <f t="shared" si="1198"/>
        <v>1.301829696763249</v>
      </c>
      <c r="AZ619" s="31">
        <f t="shared" si="1179"/>
        <v>1.5826236278993278</v>
      </c>
      <c r="BA619" s="25">
        <f t="shared" si="1180"/>
        <v>4.2095542144631537</v>
      </c>
      <c r="BB619" s="32">
        <f t="shared" si="1199"/>
        <v>2.6269305865638257</v>
      </c>
      <c r="BC619" s="33">
        <f t="shared" si="1200"/>
        <v>1.6598580611681146</v>
      </c>
      <c r="BE619" s="31">
        <f t="shared" si="1201"/>
        <v>1.5869094163140043</v>
      </c>
      <c r="BF619" s="25">
        <f t="shared" si="1202"/>
        <v>2.8146985827778104</v>
      </c>
      <c r="BG619" s="32">
        <f t="shared" si="1203"/>
        <v>1.2277891664638061</v>
      </c>
      <c r="BH619" s="33">
        <f t="shared" si="1204"/>
        <v>0.77369833075643024</v>
      </c>
      <c r="BJ619" s="31">
        <f t="shared" si="1181"/>
        <v>1.5872241011522583</v>
      </c>
      <c r="BK619" s="25">
        <f t="shared" si="1182"/>
        <v>2.8695000000000004</v>
      </c>
      <c r="BL619" s="32">
        <f t="shared" si="1183"/>
        <v>1.2822758988477421</v>
      </c>
      <c r="BM619" s="33">
        <f t="shared" si="1184"/>
        <v>0.80787325363624674</v>
      </c>
      <c r="BO619" s="62"/>
      <c r="BP619" s="62"/>
      <c r="BQ619" s="62"/>
      <c r="BR619" s="63"/>
    </row>
    <row r="620" spans="1:70">
      <c r="B620" s="1284"/>
      <c r="D620" s="5" t="s">
        <v>167</v>
      </c>
      <c r="E620" s="87">
        <v>6.7619419697318328</v>
      </c>
      <c r="F620" s="87">
        <v>6.762867634712185</v>
      </c>
      <c r="G620" s="87">
        <v>6.7361246216234889</v>
      </c>
      <c r="H620" s="87">
        <v>0</v>
      </c>
      <c r="I620" s="87">
        <v>0</v>
      </c>
      <c r="J620" s="87">
        <v>0</v>
      </c>
      <c r="K620" s="87">
        <v>0</v>
      </c>
      <c r="L620" s="87">
        <v>0</v>
      </c>
      <c r="N620" s="29">
        <v>9.5319147861615061</v>
      </c>
      <c r="O620" s="29">
        <v>9.5433476745388788</v>
      </c>
      <c r="P620" s="29">
        <v>9.5062205797365387</v>
      </c>
      <c r="Q620" s="29">
        <v>3.1435962043261925</v>
      </c>
      <c r="R620" s="29">
        <v>3.1458993602882082</v>
      </c>
      <c r="S620" s="29">
        <v>3.1521588259574904</v>
      </c>
      <c r="T620" s="29">
        <v>3.1549928182789979</v>
      </c>
      <c r="U620" s="29">
        <v>3.1593154648588357</v>
      </c>
      <c r="W620" s="30">
        <v>13.98833515397039</v>
      </c>
      <c r="X620" s="30">
        <v>15.129780634887092</v>
      </c>
      <c r="Y620" s="30">
        <v>9.0639532643648053</v>
      </c>
      <c r="Z620" s="30">
        <v>3.1345564968161863</v>
      </c>
      <c r="AA620" s="30">
        <v>3.1528833066108826</v>
      </c>
      <c r="AB620" s="30">
        <v>2.4910241121539811</v>
      </c>
      <c r="AC620" s="30">
        <v>2.399</v>
      </c>
      <c r="AD620" s="90">
        <v>0</v>
      </c>
      <c r="AF620" s="29">
        <f t="shared" si="1185"/>
        <v>9.5319147861615061</v>
      </c>
      <c r="AG620" s="30">
        <f t="shared" si="1186"/>
        <v>13.98833515397039</v>
      </c>
      <c r="AH620" s="32">
        <f t="shared" si="1187"/>
        <v>4.4564203678088834</v>
      </c>
      <c r="AI620" s="33">
        <f t="shared" si="1188"/>
        <v>0.46752624921476876</v>
      </c>
      <c r="AK620" s="29">
        <f t="shared" si="1177"/>
        <v>9.5433476745388788</v>
      </c>
      <c r="AL620" s="30">
        <f t="shared" si="1178"/>
        <v>15.129780634887092</v>
      </c>
      <c r="AM620" s="32">
        <f t="shared" si="1189"/>
        <v>5.5864329603482137</v>
      </c>
      <c r="AN620" s="33">
        <f t="shared" si="1190"/>
        <v>0.58537456151288569</v>
      </c>
      <c r="AP620" s="29">
        <f t="shared" si="1191"/>
        <v>9.5062205797365387</v>
      </c>
      <c r="AQ620" s="30">
        <f t="shared" si="1192"/>
        <v>9.0639532643648053</v>
      </c>
      <c r="AR620" s="32">
        <f t="shared" si="1193"/>
        <v>-0.44226731537173336</v>
      </c>
      <c r="AS620" s="33">
        <f t="shared" si="1194"/>
        <v>-4.6523990439951549E-2</v>
      </c>
      <c r="AU620" s="31">
        <f t="shared" si="1195"/>
        <v>3.1435962043261925</v>
      </c>
      <c r="AV620" s="25">
        <f t="shared" si="1196"/>
        <v>3.1345564968161863</v>
      </c>
      <c r="AW620" s="32">
        <f t="shared" si="1197"/>
        <v>-9.0397075100061564E-3</v>
      </c>
      <c r="AX620" s="33">
        <f t="shared" si="1198"/>
        <v>-2.8755943583230509E-3</v>
      </c>
      <c r="AZ620" s="31">
        <f t="shared" si="1179"/>
        <v>3.1458993602882082</v>
      </c>
      <c r="BA620" s="25">
        <f t="shared" si="1180"/>
        <v>3.1528833066108826</v>
      </c>
      <c r="BB620" s="32">
        <f t="shared" si="1199"/>
        <v>6.9839463226744058E-3</v>
      </c>
      <c r="BC620" s="33">
        <f t="shared" si="1200"/>
        <v>2.2200158119599156E-3</v>
      </c>
      <c r="BE620" s="31">
        <f t="shared" si="1201"/>
        <v>3.1521588259574904</v>
      </c>
      <c r="BF620" s="25">
        <f t="shared" si="1202"/>
        <v>2.4910241121539811</v>
      </c>
      <c r="BG620" s="32">
        <f t="shared" si="1203"/>
        <v>-0.6611347138035093</v>
      </c>
      <c r="BH620" s="33">
        <f t="shared" si="1204"/>
        <v>-0.20974029238602371</v>
      </c>
      <c r="BJ620" s="31">
        <f t="shared" si="1181"/>
        <v>3.1549928182789979</v>
      </c>
      <c r="BK620" s="25">
        <f t="shared" si="1182"/>
        <v>2.399</v>
      </c>
      <c r="BL620" s="32">
        <f t="shared" si="1183"/>
        <v>-0.75599281827899789</v>
      </c>
      <c r="BM620" s="33">
        <f t="shared" si="1184"/>
        <v>-0.2396179204906656</v>
      </c>
      <c r="BO620" s="62"/>
      <c r="BP620" s="62"/>
      <c r="BQ620" s="62"/>
      <c r="BR620" s="63"/>
    </row>
    <row r="621" spans="1:70">
      <c r="B621" s="1284"/>
      <c r="D621" s="5" t="s">
        <v>168</v>
      </c>
      <c r="E621" s="87">
        <v>0</v>
      </c>
      <c r="F621" s="87">
        <v>0</v>
      </c>
      <c r="G621" s="87">
        <v>0</v>
      </c>
      <c r="H621" s="87">
        <v>0</v>
      </c>
      <c r="I621" s="87">
        <v>0</v>
      </c>
      <c r="J621" s="87">
        <v>0</v>
      </c>
      <c r="K621" s="87">
        <v>0</v>
      </c>
      <c r="L621" s="87">
        <v>0</v>
      </c>
      <c r="N621" s="29">
        <v>0</v>
      </c>
      <c r="O621" s="29">
        <v>0</v>
      </c>
      <c r="P621" s="29">
        <v>0</v>
      </c>
      <c r="Q621" s="29">
        <v>0</v>
      </c>
      <c r="R621" s="29">
        <v>0</v>
      </c>
      <c r="S621" s="29">
        <v>0</v>
      </c>
      <c r="T621" s="29">
        <v>0</v>
      </c>
      <c r="U621" s="29">
        <v>0</v>
      </c>
      <c r="W621" s="30">
        <v>0</v>
      </c>
      <c r="X621" s="30">
        <v>0</v>
      </c>
      <c r="Y621" s="30">
        <v>0</v>
      </c>
      <c r="Z621" s="30">
        <v>0</v>
      </c>
      <c r="AA621" s="30">
        <v>0</v>
      </c>
      <c r="AB621" s="30">
        <v>0</v>
      </c>
      <c r="AC621" s="30">
        <v>0</v>
      </c>
      <c r="AD621" s="90">
        <v>0</v>
      </c>
      <c r="AF621" s="29">
        <f t="shared" si="1185"/>
        <v>0</v>
      </c>
      <c r="AG621" s="30">
        <f t="shared" si="1186"/>
        <v>0</v>
      </c>
      <c r="AH621" s="32">
        <f t="shared" si="1187"/>
        <v>0</v>
      </c>
      <c r="AI621" s="33" t="e">
        <f t="shared" si="1188"/>
        <v>#DIV/0!</v>
      </c>
      <c r="AK621" s="29">
        <f t="shared" si="1177"/>
        <v>0</v>
      </c>
      <c r="AL621" s="30">
        <f t="shared" si="1178"/>
        <v>0</v>
      </c>
      <c r="AM621" s="32">
        <f t="shared" si="1189"/>
        <v>0</v>
      </c>
      <c r="AN621" s="33" t="e">
        <f t="shared" si="1190"/>
        <v>#DIV/0!</v>
      </c>
      <c r="AP621" s="29">
        <f t="shared" si="1191"/>
        <v>0</v>
      </c>
      <c r="AQ621" s="30">
        <f t="shared" si="1192"/>
        <v>0</v>
      </c>
      <c r="AR621" s="32">
        <f t="shared" si="1193"/>
        <v>0</v>
      </c>
      <c r="AS621" s="33" t="e">
        <f t="shared" si="1194"/>
        <v>#DIV/0!</v>
      </c>
      <c r="AU621" s="31">
        <f t="shared" si="1195"/>
        <v>0</v>
      </c>
      <c r="AV621" s="25">
        <f t="shared" si="1196"/>
        <v>0</v>
      </c>
      <c r="AW621" s="32">
        <f t="shared" si="1197"/>
        <v>0</v>
      </c>
      <c r="AX621" s="33" t="e">
        <f t="shared" si="1198"/>
        <v>#DIV/0!</v>
      </c>
      <c r="AZ621" s="31">
        <f t="shared" si="1179"/>
        <v>0</v>
      </c>
      <c r="BA621" s="25">
        <f t="shared" si="1180"/>
        <v>0</v>
      </c>
      <c r="BB621" s="32">
        <f t="shared" si="1199"/>
        <v>0</v>
      </c>
      <c r="BC621" s="33" t="e">
        <f t="shared" si="1200"/>
        <v>#DIV/0!</v>
      </c>
      <c r="BE621" s="31">
        <f t="shared" si="1201"/>
        <v>0</v>
      </c>
      <c r="BF621" s="25">
        <f t="shared" si="1202"/>
        <v>0</v>
      </c>
      <c r="BG621" s="32">
        <f t="shared" si="1203"/>
        <v>0</v>
      </c>
      <c r="BH621" s="33" t="e">
        <f t="shared" si="1204"/>
        <v>#DIV/0!</v>
      </c>
      <c r="BJ621" s="31">
        <f t="shared" si="1181"/>
        <v>0</v>
      </c>
      <c r="BK621" s="25">
        <f t="shared" si="1182"/>
        <v>0</v>
      </c>
      <c r="BL621" s="32">
        <f t="shared" si="1183"/>
        <v>0</v>
      </c>
      <c r="BM621" s="33" t="e">
        <f t="shared" si="1184"/>
        <v>#DIV/0!</v>
      </c>
      <c r="BO621" s="62"/>
      <c r="BP621" s="62"/>
      <c r="BQ621" s="62"/>
      <c r="BR621" s="63"/>
    </row>
    <row r="622" spans="1:70">
      <c r="B622" s="1284"/>
      <c r="D622" s="5" t="s">
        <v>169</v>
      </c>
      <c r="E622" s="87">
        <v>4.7673550200179582</v>
      </c>
      <c r="F622" s="87">
        <v>4.6706913844016915</v>
      </c>
      <c r="G622" s="87">
        <v>4.5748502627755725</v>
      </c>
      <c r="H622" s="87">
        <v>4.479867744606481</v>
      </c>
      <c r="I622" s="87">
        <v>4.3958765947783149</v>
      </c>
      <c r="J622" s="87">
        <v>4.3147510661675508</v>
      </c>
      <c r="K622" s="87">
        <v>4.2391575935701811</v>
      </c>
      <c r="L622" s="87">
        <v>4.1618876217130536</v>
      </c>
      <c r="N622" s="29">
        <v>3.8631372743471193</v>
      </c>
      <c r="O622" s="29">
        <v>4.2003295886549301</v>
      </c>
      <c r="P622" s="29">
        <v>3.8107645007380198</v>
      </c>
      <c r="Q622" s="29">
        <v>3.7695369983503659</v>
      </c>
      <c r="R622" s="29">
        <v>3.6717593859726803</v>
      </c>
      <c r="S622" s="29">
        <v>3.6069400077368208</v>
      </c>
      <c r="T622" s="29">
        <v>3.407402039539901</v>
      </c>
      <c r="U622" s="29">
        <v>3.2903567785379821</v>
      </c>
      <c r="W622" s="30">
        <v>3.333619114812282</v>
      </c>
      <c r="X622" s="30">
        <v>2.3092825584943633</v>
      </c>
      <c r="Y622" s="30">
        <v>1.8657486927131979</v>
      </c>
      <c r="Z622" s="30">
        <v>2.161612555901975</v>
      </c>
      <c r="AA622" s="30">
        <v>4.6495821700081672</v>
      </c>
      <c r="AB622" s="30">
        <v>4.3761012297359034</v>
      </c>
      <c r="AC622" s="30">
        <v>3.7838439776858745</v>
      </c>
      <c r="AD622" s="90">
        <v>0</v>
      </c>
      <c r="AF622" s="29">
        <f t="shared" si="1185"/>
        <v>3.8631372743471193</v>
      </c>
      <c r="AG622" s="30">
        <f t="shared" si="1186"/>
        <v>3.333619114812282</v>
      </c>
      <c r="AH622" s="32">
        <f t="shared" si="1187"/>
        <v>-0.52951815953483727</v>
      </c>
      <c r="AI622" s="33">
        <f t="shared" si="1188"/>
        <v>-0.13706946503067957</v>
      </c>
      <c r="AK622" s="29">
        <f t="shared" si="1177"/>
        <v>4.2003295886549301</v>
      </c>
      <c r="AL622" s="30">
        <f t="shared" si="1178"/>
        <v>2.3092825584943633</v>
      </c>
      <c r="AM622" s="32">
        <f t="shared" si="1189"/>
        <v>-1.8910470301605669</v>
      </c>
      <c r="AN622" s="33">
        <f t="shared" si="1190"/>
        <v>-0.45021396303477607</v>
      </c>
      <c r="AP622" s="29">
        <f t="shared" si="1191"/>
        <v>3.8107645007380198</v>
      </c>
      <c r="AQ622" s="30">
        <f t="shared" si="1192"/>
        <v>1.8657486927131979</v>
      </c>
      <c r="AR622" s="32">
        <f t="shared" si="1193"/>
        <v>-1.9450158080248219</v>
      </c>
      <c r="AS622" s="33">
        <f t="shared" si="1194"/>
        <v>-0.51040042166030897</v>
      </c>
      <c r="AU622" s="31">
        <f t="shared" si="1195"/>
        <v>3.7695369983503659</v>
      </c>
      <c r="AV622" s="25">
        <f t="shared" si="1196"/>
        <v>2.161612555901975</v>
      </c>
      <c r="AW622" s="32">
        <f t="shared" si="1197"/>
        <v>-1.6079244424483909</v>
      </c>
      <c r="AX622" s="33">
        <f t="shared" si="1198"/>
        <v>-0.42655754357950454</v>
      </c>
      <c r="AZ622" s="31">
        <f t="shared" si="1179"/>
        <v>3.6717593859726803</v>
      </c>
      <c r="BA622" s="25">
        <f t="shared" si="1180"/>
        <v>4.6495821700081672</v>
      </c>
      <c r="BB622" s="32">
        <f t="shared" si="1199"/>
        <v>0.97782278403548695</v>
      </c>
      <c r="BC622" s="33">
        <f t="shared" si="1200"/>
        <v>0.26630905820547207</v>
      </c>
      <c r="BE622" s="31">
        <f t="shared" si="1201"/>
        <v>3.6069400077368208</v>
      </c>
      <c r="BF622" s="25">
        <f t="shared" si="1202"/>
        <v>4.3761012297359034</v>
      </c>
      <c r="BG622" s="32">
        <f t="shared" si="1203"/>
        <v>0.76916122199908266</v>
      </c>
      <c r="BH622" s="33">
        <f t="shared" si="1204"/>
        <v>0.21324480594333309</v>
      </c>
      <c r="BJ622" s="31">
        <f t="shared" si="1181"/>
        <v>3.407402039539901</v>
      </c>
      <c r="BK622" s="25">
        <f t="shared" si="1182"/>
        <v>3.7838439776858745</v>
      </c>
      <c r="BL622" s="32">
        <f t="shared" si="1183"/>
        <v>0.3764419381459736</v>
      </c>
      <c r="BM622" s="33">
        <f t="shared" si="1184"/>
        <v>0.11047769936675987</v>
      </c>
      <c r="BO622" s="62"/>
      <c r="BP622" s="62"/>
      <c r="BQ622" s="62"/>
      <c r="BR622" s="63"/>
    </row>
    <row r="623" spans="1:70">
      <c r="B623" s="1284"/>
      <c r="D623" s="5" t="s">
        <v>170</v>
      </c>
      <c r="E623" s="87">
        <v>7.9206145524726628</v>
      </c>
      <c r="F623" s="87">
        <v>7.7738512320000295</v>
      </c>
      <c r="G623" s="87">
        <v>7.6210240298744711</v>
      </c>
      <c r="H623" s="87">
        <v>7.6803075870076611</v>
      </c>
      <c r="I623" s="87">
        <v>7.3501556276753863</v>
      </c>
      <c r="J623" s="87">
        <v>7.2161232809969089</v>
      </c>
      <c r="K623" s="87">
        <v>7.0852176227319799</v>
      </c>
      <c r="L623" s="87">
        <v>6.9589129239778948</v>
      </c>
      <c r="N623" s="29">
        <v>5.9646053584901031</v>
      </c>
      <c r="O623" s="29">
        <v>6.0386312442416541</v>
      </c>
      <c r="P623" s="29">
        <v>6.1739221764010646</v>
      </c>
      <c r="Q623" s="29">
        <v>6.3701813173465665</v>
      </c>
      <c r="R623" s="29">
        <v>6.1596054757803937</v>
      </c>
      <c r="S623" s="29">
        <v>5.7023243910319819</v>
      </c>
      <c r="T623" s="29">
        <v>5.5379520862622726</v>
      </c>
      <c r="U623" s="29">
        <v>5.2035332678497168</v>
      </c>
      <c r="W623" s="30">
        <v>17.180338374579446</v>
      </c>
      <c r="X623" s="30">
        <v>7.5683632837491306</v>
      </c>
      <c r="Y623" s="30">
        <v>11.714182977178243</v>
      </c>
      <c r="Z623" s="30">
        <v>14.060355556869689</v>
      </c>
      <c r="AA623" s="30">
        <v>15.902179435324463</v>
      </c>
      <c r="AB623" s="30">
        <v>8.070506672892618</v>
      </c>
      <c r="AC623" s="30">
        <v>8.7016486856422084</v>
      </c>
      <c r="AD623" s="90">
        <v>0</v>
      </c>
      <c r="AF623" s="29">
        <f t="shared" si="1185"/>
        <v>5.9646053584901031</v>
      </c>
      <c r="AG623" s="30">
        <f t="shared" si="1186"/>
        <v>17.180338374579446</v>
      </c>
      <c r="AH623" s="32">
        <f t="shared" si="1187"/>
        <v>11.215733016089342</v>
      </c>
      <c r="AI623" s="33">
        <f t="shared" si="1188"/>
        <v>1.8803814069818903</v>
      </c>
      <c r="AK623" s="29">
        <f t="shared" si="1177"/>
        <v>6.0386312442416541</v>
      </c>
      <c r="AL623" s="30">
        <f t="shared" si="1178"/>
        <v>7.5683632837491306</v>
      </c>
      <c r="AM623" s="32">
        <f t="shared" si="1189"/>
        <v>1.5297320395074765</v>
      </c>
      <c r="AN623" s="33">
        <f t="shared" si="1190"/>
        <v>0.25332430109326604</v>
      </c>
      <c r="AP623" s="29">
        <f t="shared" si="1191"/>
        <v>6.1739221764010646</v>
      </c>
      <c r="AQ623" s="30">
        <f t="shared" si="1192"/>
        <v>11.714182977178243</v>
      </c>
      <c r="AR623" s="32">
        <f t="shared" si="1193"/>
        <v>5.5402608007771788</v>
      </c>
      <c r="AS623" s="33">
        <f t="shared" si="1194"/>
        <v>0.89736485859087023</v>
      </c>
      <c r="AU623" s="31">
        <f t="shared" si="1195"/>
        <v>6.3701813173465665</v>
      </c>
      <c r="AV623" s="25">
        <f t="shared" si="1196"/>
        <v>14.060355556869689</v>
      </c>
      <c r="AW623" s="32">
        <f t="shared" si="1197"/>
        <v>7.690174239523123</v>
      </c>
      <c r="AX623" s="33">
        <f t="shared" si="1198"/>
        <v>1.2072143407570046</v>
      </c>
      <c r="AZ623" s="31">
        <f t="shared" si="1179"/>
        <v>6.1596054757803937</v>
      </c>
      <c r="BA623" s="25">
        <f t="shared" si="1180"/>
        <v>15.902179435324463</v>
      </c>
      <c r="BB623" s="32">
        <f t="shared" si="1199"/>
        <v>9.7425739595440692</v>
      </c>
      <c r="BC623" s="33">
        <f t="shared" si="1200"/>
        <v>1.5816879827534296</v>
      </c>
      <c r="BE623" s="31">
        <f t="shared" si="1201"/>
        <v>5.7023243910319819</v>
      </c>
      <c r="BF623" s="25">
        <f t="shared" si="1202"/>
        <v>8.070506672892618</v>
      </c>
      <c r="BG623" s="32">
        <f t="shared" si="1203"/>
        <v>2.3681822818606362</v>
      </c>
      <c r="BH623" s="33">
        <f t="shared" si="1204"/>
        <v>0.41530122095211996</v>
      </c>
      <c r="BJ623" s="31">
        <f t="shared" si="1181"/>
        <v>5.5379520862622726</v>
      </c>
      <c r="BK623" s="25">
        <f t="shared" si="1182"/>
        <v>8.7016486856422084</v>
      </c>
      <c r="BL623" s="32">
        <f t="shared" si="1183"/>
        <v>3.1636965993799357</v>
      </c>
      <c r="BM623" s="33">
        <f t="shared" si="1184"/>
        <v>0.57127554556276561</v>
      </c>
      <c r="BO623" s="62"/>
      <c r="BP623" s="62"/>
      <c r="BQ623" s="62"/>
      <c r="BR623" s="63"/>
    </row>
    <row r="624" spans="1:70">
      <c r="B624" s="1284"/>
      <c r="D624" s="5" t="s">
        <v>171</v>
      </c>
      <c r="E624" s="87">
        <v>10.597778405782936</v>
      </c>
      <c r="F624" s="87">
        <v>10.632536562929186</v>
      </c>
      <c r="G624" s="87">
        <v>10.655628426810615</v>
      </c>
      <c r="H624" s="87">
        <v>10.651397687710181</v>
      </c>
      <c r="I624" s="87">
        <v>10.703703342111819</v>
      </c>
      <c r="J624" s="87">
        <v>10.754481020375774</v>
      </c>
      <c r="K624" s="87">
        <v>0</v>
      </c>
      <c r="L624" s="87">
        <v>0</v>
      </c>
      <c r="N624" s="29">
        <v>10.040198451588768</v>
      </c>
      <c r="O624" s="29">
        <v>10.00987463172395</v>
      </c>
      <c r="P624" s="29">
        <v>9.9798273630788685</v>
      </c>
      <c r="Q624" s="29">
        <v>9.653622939477275</v>
      </c>
      <c r="R624" s="29">
        <v>9.4313776869326187</v>
      </c>
      <c r="S624" s="29">
        <v>9.2322206251415171</v>
      </c>
      <c r="T624" s="29">
        <v>5.7243353920389657</v>
      </c>
      <c r="U624" s="29">
        <v>5.43522959448556</v>
      </c>
      <c r="W624" s="30">
        <v>11.282822977942274</v>
      </c>
      <c r="X624" s="30">
        <v>7.4385605394415162</v>
      </c>
      <c r="Y624" s="30">
        <v>11.965722114178178</v>
      </c>
      <c r="Z624" s="30">
        <v>13.995635197445575</v>
      </c>
      <c r="AA624" s="30">
        <v>17.612551075174132</v>
      </c>
      <c r="AB624" s="30">
        <v>17.719291527676738</v>
      </c>
      <c r="AC624" s="30">
        <v>4.8923183850550025</v>
      </c>
      <c r="AD624" s="90">
        <v>0</v>
      </c>
      <c r="AF624" s="29">
        <f t="shared" si="1185"/>
        <v>10.040198451588768</v>
      </c>
      <c r="AG624" s="30">
        <f t="shared" si="1186"/>
        <v>11.282822977942274</v>
      </c>
      <c r="AH624" s="32">
        <f t="shared" si="1187"/>
        <v>1.2426245263535058</v>
      </c>
      <c r="AI624" s="33">
        <f t="shared" si="1188"/>
        <v>0.12376493675350332</v>
      </c>
      <c r="AK624" s="29">
        <f t="shared" si="1177"/>
        <v>10.00987463172395</v>
      </c>
      <c r="AL624" s="30">
        <f t="shared" si="1178"/>
        <v>7.4385605394415162</v>
      </c>
      <c r="AM624" s="32">
        <f t="shared" si="1189"/>
        <v>-2.5713140922824334</v>
      </c>
      <c r="AN624" s="33">
        <f t="shared" si="1190"/>
        <v>-0.25687775190842616</v>
      </c>
      <c r="AP624" s="29">
        <f t="shared" si="1191"/>
        <v>9.9798273630788685</v>
      </c>
      <c r="AQ624" s="30">
        <f t="shared" si="1192"/>
        <v>11.965722114178178</v>
      </c>
      <c r="AR624" s="32">
        <f t="shared" si="1193"/>
        <v>1.985894751099309</v>
      </c>
      <c r="AS624" s="33">
        <f t="shared" si="1194"/>
        <v>0.19899089221185107</v>
      </c>
      <c r="AU624" s="31">
        <f t="shared" si="1195"/>
        <v>9.653622939477275</v>
      </c>
      <c r="AV624" s="25">
        <f t="shared" si="1196"/>
        <v>13.995635197445575</v>
      </c>
      <c r="AW624" s="32">
        <f t="shared" si="1197"/>
        <v>4.3420122579682996</v>
      </c>
      <c r="AX624" s="33">
        <f t="shared" si="1198"/>
        <v>0.44978059379263585</v>
      </c>
      <c r="AZ624" s="31">
        <f t="shared" si="1179"/>
        <v>9.4313776869326187</v>
      </c>
      <c r="BA624" s="25">
        <f t="shared" si="1180"/>
        <v>17.612551075174132</v>
      </c>
      <c r="BB624" s="32">
        <f t="shared" si="1199"/>
        <v>8.181173388241513</v>
      </c>
      <c r="BC624" s="33">
        <f t="shared" si="1200"/>
        <v>0.86744202806942072</v>
      </c>
      <c r="BE624" s="31">
        <f t="shared" si="1201"/>
        <v>9.2322206251415171</v>
      </c>
      <c r="BF624" s="25">
        <f t="shared" si="1202"/>
        <v>17.719291527676738</v>
      </c>
      <c r="BG624" s="32">
        <f t="shared" si="1203"/>
        <v>8.4870709025352209</v>
      </c>
      <c r="BH624" s="33">
        <f t="shared" si="1204"/>
        <v>0.91928813739815995</v>
      </c>
      <c r="BJ624" s="31">
        <f t="shared" si="1181"/>
        <v>5.7243353920389657</v>
      </c>
      <c r="BK624" s="25">
        <f t="shared" si="1182"/>
        <v>4.8923183850550025</v>
      </c>
      <c r="BL624" s="32">
        <f t="shared" si="1183"/>
        <v>-0.83201700698396319</v>
      </c>
      <c r="BM624" s="33">
        <f t="shared" si="1184"/>
        <v>-0.14534735475861155</v>
      </c>
      <c r="BO624" s="62"/>
      <c r="BP624" s="62"/>
      <c r="BQ624" s="62"/>
      <c r="BR624" s="63"/>
    </row>
    <row r="625" spans="1:70">
      <c r="B625" s="1284"/>
      <c r="D625" s="5" t="s">
        <v>172</v>
      </c>
      <c r="E625" s="87">
        <v>13.558029105033384</v>
      </c>
      <c r="F625" s="87">
        <v>13.57411419611274</v>
      </c>
      <c r="G625" s="87">
        <v>13.592828512675764</v>
      </c>
      <c r="H625" s="87">
        <v>13.581311838426416</v>
      </c>
      <c r="I625" s="87">
        <v>13.638285870162191</v>
      </c>
      <c r="J625" s="87">
        <v>13.684754631297448</v>
      </c>
      <c r="K625" s="87">
        <v>0</v>
      </c>
      <c r="L625" s="87">
        <v>0</v>
      </c>
      <c r="N625" s="29">
        <v>11.141146485933158</v>
      </c>
      <c r="O625" s="29">
        <v>12.122576673205357</v>
      </c>
      <c r="P625" s="29">
        <v>11.353672998199606</v>
      </c>
      <c r="Q625" s="29">
        <v>10.637137363318683</v>
      </c>
      <c r="R625" s="29">
        <v>10.43189647621578</v>
      </c>
      <c r="S625" s="29">
        <v>10.485086076551944</v>
      </c>
      <c r="T625" s="29">
        <v>5.7659968584340007</v>
      </c>
      <c r="U625" s="29">
        <v>4.6945191863868567</v>
      </c>
      <c r="W625" s="30">
        <v>3.8463230192092626</v>
      </c>
      <c r="X625" s="30">
        <v>9.1320029513709482</v>
      </c>
      <c r="Y625" s="30">
        <v>7.3426814301555705</v>
      </c>
      <c r="Z625" s="30">
        <v>13.140820204948518</v>
      </c>
      <c r="AA625" s="30">
        <v>19.84348997783535</v>
      </c>
      <c r="AB625" s="30">
        <v>27.475711566159653</v>
      </c>
      <c r="AC625" s="30">
        <v>12.614116422907426</v>
      </c>
      <c r="AD625" s="90">
        <v>0</v>
      </c>
      <c r="AF625" s="29">
        <f t="shared" si="1185"/>
        <v>11.141146485933158</v>
      </c>
      <c r="AG625" s="30">
        <f t="shared" si="1186"/>
        <v>3.8463230192092626</v>
      </c>
      <c r="AH625" s="32">
        <f t="shared" si="1187"/>
        <v>-7.2948234667238951</v>
      </c>
      <c r="AI625" s="33">
        <f t="shared" si="1188"/>
        <v>-0.65476416416697858</v>
      </c>
      <c r="AK625" s="29">
        <f t="shared" si="1177"/>
        <v>12.122576673205357</v>
      </c>
      <c r="AL625" s="30">
        <f t="shared" si="1178"/>
        <v>9.1320029513709482</v>
      </c>
      <c r="AM625" s="32">
        <f t="shared" si="1189"/>
        <v>-2.9905737218344086</v>
      </c>
      <c r="AN625" s="33">
        <f t="shared" si="1190"/>
        <v>-0.24669456027813802</v>
      </c>
      <c r="AP625" s="29">
        <f t="shared" si="1191"/>
        <v>11.353672998199606</v>
      </c>
      <c r="AQ625" s="30">
        <f t="shared" si="1192"/>
        <v>7.3426814301555705</v>
      </c>
      <c r="AR625" s="32">
        <f t="shared" si="1193"/>
        <v>-4.0109915680440356</v>
      </c>
      <c r="AS625" s="33">
        <f t="shared" si="1194"/>
        <v>-0.3532770028412896</v>
      </c>
      <c r="AU625" s="31">
        <f t="shared" si="1195"/>
        <v>10.637137363318683</v>
      </c>
      <c r="AV625" s="25">
        <f t="shared" si="1196"/>
        <v>13.140820204948518</v>
      </c>
      <c r="AW625" s="32">
        <f t="shared" si="1197"/>
        <v>2.5036828416298356</v>
      </c>
      <c r="AX625" s="33">
        <f t="shared" si="1198"/>
        <v>0.23537186332326454</v>
      </c>
      <c r="AZ625" s="31">
        <f t="shared" si="1179"/>
        <v>10.43189647621578</v>
      </c>
      <c r="BA625" s="25">
        <f t="shared" si="1180"/>
        <v>19.84348997783535</v>
      </c>
      <c r="BB625" s="32">
        <f t="shared" si="1199"/>
        <v>9.4115935016195706</v>
      </c>
      <c r="BC625" s="33">
        <f t="shared" si="1200"/>
        <v>0.90219391297426599</v>
      </c>
      <c r="BE625" s="31">
        <f t="shared" si="1201"/>
        <v>10.485086076551944</v>
      </c>
      <c r="BF625" s="25">
        <f t="shared" si="1202"/>
        <v>27.475711566159653</v>
      </c>
      <c r="BG625" s="32">
        <f t="shared" si="1203"/>
        <v>16.990625489607709</v>
      </c>
      <c r="BH625" s="33">
        <f t="shared" si="1204"/>
        <v>1.620456462212958</v>
      </c>
      <c r="BJ625" s="31">
        <f t="shared" si="1181"/>
        <v>5.7659968584340007</v>
      </c>
      <c r="BK625" s="25">
        <f t="shared" si="1182"/>
        <v>12.614116422907426</v>
      </c>
      <c r="BL625" s="32">
        <f t="shared" si="1183"/>
        <v>6.848119564473425</v>
      </c>
      <c r="BM625" s="33">
        <f t="shared" si="1184"/>
        <v>1.1876731348641976</v>
      </c>
      <c r="BO625" s="62"/>
      <c r="BP625" s="62"/>
      <c r="BQ625" s="62"/>
      <c r="BR625" s="63"/>
    </row>
    <row r="626" spans="1:70">
      <c r="B626" s="1284"/>
      <c r="D626" s="5" t="s">
        <v>28</v>
      </c>
      <c r="E626" s="87">
        <v>1.6503526701529883</v>
      </c>
      <c r="F626" s="87">
        <v>1.6463967892092457</v>
      </c>
      <c r="G626" s="87">
        <v>0</v>
      </c>
      <c r="H626" s="87">
        <v>0</v>
      </c>
      <c r="I626" s="87">
        <v>0</v>
      </c>
      <c r="J626" s="87">
        <v>0</v>
      </c>
      <c r="K626" s="87">
        <v>0</v>
      </c>
      <c r="L626" s="87">
        <v>0</v>
      </c>
      <c r="N626" s="29">
        <v>0.72558490947262722</v>
      </c>
      <c r="O626" s="29">
        <v>0.7185864715200152</v>
      </c>
      <c r="P626" s="29">
        <v>0.28964368188587369</v>
      </c>
      <c r="Q626" s="29">
        <v>0.28791765274763936</v>
      </c>
      <c r="R626" s="29">
        <v>0.28792232892249658</v>
      </c>
      <c r="S626" s="29">
        <v>0.28501144670345163</v>
      </c>
      <c r="T626" s="29">
        <v>0.28528176104530922</v>
      </c>
      <c r="U626" s="29">
        <v>0.2769633512096098</v>
      </c>
      <c r="W626" s="30">
        <v>1.5310048721635261</v>
      </c>
      <c r="X626" s="30">
        <v>3.3493979119184032</v>
      </c>
      <c r="Y626" s="30">
        <v>3.7905148420174748</v>
      </c>
      <c r="Z626" s="30">
        <v>0.21796498843964873</v>
      </c>
      <c r="AA626" s="30">
        <v>0.32075032360732447</v>
      </c>
      <c r="AB626" s="30">
        <v>9.7497181730921562E-2</v>
      </c>
      <c r="AC626" s="30">
        <v>0.14152128</v>
      </c>
      <c r="AD626" s="90">
        <v>0</v>
      </c>
      <c r="AF626" s="29">
        <f t="shared" si="1185"/>
        <v>0.72558490947262722</v>
      </c>
      <c r="AG626" s="30">
        <f t="shared" si="1186"/>
        <v>1.5310048721635261</v>
      </c>
      <c r="AH626" s="32">
        <f t="shared" si="1187"/>
        <v>0.80541996269089888</v>
      </c>
      <c r="AI626" s="33">
        <f t="shared" si="1188"/>
        <v>1.1100285468675164</v>
      </c>
      <c r="AK626" s="29">
        <f t="shared" si="1177"/>
        <v>0.7185864715200152</v>
      </c>
      <c r="AL626" s="30">
        <f t="shared" si="1178"/>
        <v>3.3493979119184032</v>
      </c>
      <c r="AM626" s="32">
        <f t="shared" si="1189"/>
        <v>2.630811440398388</v>
      </c>
      <c r="AN626" s="33">
        <f t="shared" si="1190"/>
        <v>3.66109235932799</v>
      </c>
      <c r="AP626" s="29">
        <f t="shared" si="1191"/>
        <v>0.28964368188587369</v>
      </c>
      <c r="AQ626" s="30">
        <f t="shared" si="1192"/>
        <v>3.7905148420174748</v>
      </c>
      <c r="AR626" s="32">
        <f t="shared" si="1193"/>
        <v>3.5008711601316009</v>
      </c>
      <c r="AS626" s="33">
        <f t="shared" si="1194"/>
        <v>12.086820390271884</v>
      </c>
      <c r="AU626" s="31">
        <f t="shared" si="1195"/>
        <v>0.28791765274763936</v>
      </c>
      <c r="AV626" s="25">
        <f t="shared" si="1196"/>
        <v>0.21796498843964873</v>
      </c>
      <c r="AW626" s="32">
        <f t="shared" si="1197"/>
        <v>-6.9952664307990631E-2</v>
      </c>
      <c r="AX626" s="33">
        <f t="shared" si="1198"/>
        <v>-0.24296066476099101</v>
      </c>
      <c r="AZ626" s="31">
        <f t="shared" si="1179"/>
        <v>0.28792232892249658</v>
      </c>
      <c r="BA626" s="25">
        <f t="shared" si="1180"/>
        <v>0.32075032360732447</v>
      </c>
      <c r="BB626" s="32">
        <f t="shared" si="1199"/>
        <v>3.2827994684827888E-2</v>
      </c>
      <c r="BC626" s="33">
        <f t="shared" si="1200"/>
        <v>0.11401684199930386</v>
      </c>
      <c r="BE626" s="31">
        <f t="shared" si="1201"/>
        <v>0.28501144670345163</v>
      </c>
      <c r="BF626" s="25">
        <f t="shared" si="1202"/>
        <v>9.7497181730921562E-2</v>
      </c>
      <c r="BG626" s="32">
        <f t="shared" si="1203"/>
        <v>-0.18751426497253007</v>
      </c>
      <c r="BH626" s="33">
        <f t="shared" si="1204"/>
        <v>-0.65791836482846489</v>
      </c>
      <c r="BJ626" s="31">
        <f t="shared" si="1181"/>
        <v>0.28528176104530922</v>
      </c>
      <c r="BK626" s="25">
        <f t="shared" si="1182"/>
        <v>0.14152128</v>
      </c>
      <c r="BL626" s="32">
        <f t="shared" si="1183"/>
        <v>-0.14376048104530922</v>
      </c>
      <c r="BM626" s="33">
        <f t="shared" si="1184"/>
        <v>-0.50392454294502476</v>
      </c>
      <c r="BO626" s="62"/>
      <c r="BP626" s="62"/>
      <c r="BQ626" s="62"/>
      <c r="BR626" s="63"/>
    </row>
    <row r="627" spans="1:70">
      <c r="B627" s="1284"/>
      <c r="D627" s="5" t="s">
        <v>173</v>
      </c>
      <c r="E627" s="87">
        <v>0</v>
      </c>
      <c r="F627" s="87">
        <v>0</v>
      </c>
      <c r="G627" s="87">
        <v>0</v>
      </c>
      <c r="H627" s="87">
        <v>0</v>
      </c>
      <c r="I627" s="87">
        <v>0</v>
      </c>
      <c r="J627" s="87">
        <v>0</v>
      </c>
      <c r="K627" s="87">
        <v>0</v>
      </c>
      <c r="L627" s="87">
        <v>0</v>
      </c>
      <c r="N627" s="29">
        <v>0</v>
      </c>
      <c r="O627" s="29">
        <v>0</v>
      </c>
      <c r="P627" s="29">
        <v>0</v>
      </c>
      <c r="Q627" s="29">
        <v>0</v>
      </c>
      <c r="R627" s="29">
        <v>0</v>
      </c>
      <c r="S627" s="29">
        <v>0</v>
      </c>
      <c r="T627" s="29">
        <v>0</v>
      </c>
      <c r="U627" s="29">
        <v>0</v>
      </c>
      <c r="W627" s="30">
        <v>10.357820662753005</v>
      </c>
      <c r="X627" s="30">
        <v>12.762958068779438</v>
      </c>
      <c r="Y627" s="30">
        <v>6.8574194335819945</v>
      </c>
      <c r="Z627" s="30">
        <v>2.7355444674835159</v>
      </c>
      <c r="AA627" s="30">
        <v>0.20299973528478335</v>
      </c>
      <c r="AB627" s="30">
        <v>0.11377403857691988</v>
      </c>
      <c r="AC627" s="30">
        <v>1.3499079999999998E-2</v>
      </c>
      <c r="AD627" s="90">
        <v>0</v>
      </c>
      <c r="AF627" s="29">
        <f t="shared" si="1185"/>
        <v>0</v>
      </c>
      <c r="AG627" s="30">
        <f t="shared" si="1186"/>
        <v>10.357820662753005</v>
      </c>
      <c r="AH627" s="32">
        <f t="shared" si="1187"/>
        <v>10.357820662753005</v>
      </c>
      <c r="AI627" s="33" t="e">
        <f t="shared" si="1188"/>
        <v>#DIV/0!</v>
      </c>
      <c r="AK627" s="29">
        <f t="shared" si="1177"/>
        <v>0</v>
      </c>
      <c r="AL627" s="30">
        <f t="shared" si="1178"/>
        <v>12.762958068779438</v>
      </c>
      <c r="AM627" s="32">
        <f t="shared" si="1189"/>
        <v>12.762958068779438</v>
      </c>
      <c r="AN627" s="33" t="e">
        <f t="shared" si="1190"/>
        <v>#DIV/0!</v>
      </c>
      <c r="AP627" s="29">
        <f t="shared" si="1191"/>
        <v>0</v>
      </c>
      <c r="AQ627" s="30">
        <f t="shared" si="1192"/>
        <v>6.8574194335819945</v>
      </c>
      <c r="AR627" s="32">
        <f t="shared" si="1193"/>
        <v>6.8574194335819945</v>
      </c>
      <c r="AS627" s="33" t="e">
        <f t="shared" si="1194"/>
        <v>#DIV/0!</v>
      </c>
      <c r="AU627" s="31">
        <f t="shared" si="1195"/>
        <v>0</v>
      </c>
      <c r="AV627" s="25">
        <f t="shared" si="1196"/>
        <v>2.7355444674835159</v>
      </c>
      <c r="AW627" s="32">
        <f t="shared" si="1197"/>
        <v>2.7355444674835159</v>
      </c>
      <c r="AX627" s="33" t="e">
        <f t="shared" si="1198"/>
        <v>#DIV/0!</v>
      </c>
      <c r="AZ627" s="31">
        <f t="shared" si="1179"/>
        <v>0</v>
      </c>
      <c r="BA627" s="25">
        <f t="shared" si="1180"/>
        <v>0.20299973528478335</v>
      </c>
      <c r="BB627" s="32">
        <f t="shared" si="1199"/>
        <v>0.20299973528478335</v>
      </c>
      <c r="BC627" s="33" t="e">
        <f t="shared" si="1200"/>
        <v>#DIV/0!</v>
      </c>
      <c r="BE627" s="31">
        <f t="shared" si="1201"/>
        <v>0</v>
      </c>
      <c r="BF627" s="25">
        <f t="shared" si="1202"/>
        <v>0.11377403857691988</v>
      </c>
      <c r="BG627" s="32">
        <f t="shared" si="1203"/>
        <v>0.11377403857691988</v>
      </c>
      <c r="BH627" s="33" t="e">
        <f t="shared" si="1204"/>
        <v>#DIV/0!</v>
      </c>
      <c r="BJ627" s="31">
        <f t="shared" si="1181"/>
        <v>0</v>
      </c>
      <c r="BK627" s="25">
        <f t="shared" si="1182"/>
        <v>1.3499079999999998E-2</v>
      </c>
      <c r="BL627" s="32">
        <f t="shared" si="1183"/>
        <v>1.3499079999999998E-2</v>
      </c>
      <c r="BM627" s="33" t="e">
        <f t="shared" si="1184"/>
        <v>#DIV/0!</v>
      </c>
      <c r="BO627" s="62"/>
      <c r="BP627" s="62"/>
      <c r="BQ627" s="62"/>
      <c r="BR627" s="63"/>
    </row>
    <row r="628" spans="1:70">
      <c r="A628" s="1"/>
      <c r="B628" s="1284"/>
      <c r="D628" s="4" t="s">
        <v>174</v>
      </c>
      <c r="E628" s="88">
        <f t="shared" ref="E628:L628" si="1205">SUM(E614:E627)</f>
        <v>49.481076541979895</v>
      </c>
      <c r="F628" s="88">
        <f t="shared" si="1205"/>
        <v>45.060457799365082</v>
      </c>
      <c r="G628" s="88">
        <f t="shared" si="1205"/>
        <v>43.180455853759916</v>
      </c>
      <c r="H628" s="88">
        <f t="shared" si="1205"/>
        <v>36.392884857750737</v>
      </c>
      <c r="I628" s="88">
        <f t="shared" si="1205"/>
        <v>36.088021434727715</v>
      </c>
      <c r="J628" s="88">
        <f t="shared" si="1205"/>
        <v>35.970109998837685</v>
      </c>
      <c r="K628" s="88">
        <f t="shared" si="1205"/>
        <v>11.324375216302162</v>
      </c>
      <c r="L628" s="88">
        <f t="shared" si="1205"/>
        <v>11.120800545690948</v>
      </c>
      <c r="M628" s="1"/>
      <c r="N628" s="81">
        <f t="shared" ref="N628:U628" si="1206">SUM(N614:N627)</f>
        <v>48.917271361644005</v>
      </c>
      <c r="O628" s="81">
        <f t="shared" si="1206"/>
        <v>49.152967770548692</v>
      </c>
      <c r="P628" s="81">
        <f t="shared" si="1206"/>
        <v>47.677649552543514</v>
      </c>
      <c r="Q628" s="81">
        <f t="shared" si="1206"/>
        <v>40.403984742086237</v>
      </c>
      <c r="R628" s="81">
        <f t="shared" si="1206"/>
        <v>39.707512176942181</v>
      </c>
      <c r="S628" s="81">
        <f t="shared" si="1206"/>
        <v>39.057596131974769</v>
      </c>
      <c r="T628" s="81">
        <f t="shared" si="1206"/>
        <v>30.467066735622051</v>
      </c>
      <c r="U628" s="81">
        <f t="shared" si="1206"/>
        <v>28.642214659819921</v>
      </c>
      <c r="V628" s="1"/>
      <c r="W628" s="85">
        <f t="shared" ref="W628:AD628" si="1207">SUM(W614:W627)</f>
        <v>88.060027418517691</v>
      </c>
      <c r="X628" s="85">
        <f t="shared" si="1207"/>
        <v>81.350894894427157</v>
      </c>
      <c r="Y628" s="85">
        <f t="shared" si="1207"/>
        <v>67.423883528069439</v>
      </c>
      <c r="Z628" s="85">
        <f>SUM(Z614:Z627)</f>
        <v>59.819999785447088</v>
      </c>
      <c r="AA628" s="85">
        <f>SUM(AA614:AA627)</f>
        <v>72.525003813422131</v>
      </c>
      <c r="AB628" s="85">
        <f t="shared" si="1207"/>
        <v>70.281214028507222</v>
      </c>
      <c r="AC628" s="85">
        <f t="shared" ref="AC628" si="1208">SUM(AC614:AC627)</f>
        <v>41.246091968173978</v>
      </c>
      <c r="AD628" s="91">
        <f t="shared" si="1207"/>
        <v>0</v>
      </c>
      <c r="AE628" s="1"/>
      <c r="AF628" s="81">
        <f t="shared" si="1185"/>
        <v>48.917271361644005</v>
      </c>
      <c r="AG628" s="85">
        <f t="shared" si="1186"/>
        <v>88.060027418517691</v>
      </c>
      <c r="AH628" s="34">
        <f>IF(AG628&gt;0,AG628-AF628,"")</f>
        <v>39.142756056873687</v>
      </c>
      <c r="AI628" s="35">
        <f>IF(AG628&gt;0,AH628/AF628,"")</f>
        <v>0.8001827364305012</v>
      </c>
      <c r="AK628" s="81">
        <f t="shared" si="1177"/>
        <v>49.152967770548692</v>
      </c>
      <c r="AL628" s="85">
        <f t="shared" si="1178"/>
        <v>81.350894894427157</v>
      </c>
      <c r="AM628" s="34">
        <f>IF(AL628&gt;0,AL628-AK628,"")</f>
        <v>32.197927123878465</v>
      </c>
      <c r="AN628" s="35">
        <f>IF(AL628&gt;0,AM628/AK628,"")</f>
        <v>0.6550556066966664</v>
      </c>
      <c r="AP628" s="81">
        <f t="shared" si="1191"/>
        <v>47.677649552543514</v>
      </c>
      <c r="AQ628" s="85">
        <f t="shared" si="1192"/>
        <v>67.423883528069439</v>
      </c>
      <c r="AR628" s="34">
        <f t="shared" si="1193"/>
        <v>19.746233975525925</v>
      </c>
      <c r="AS628" s="35">
        <f t="shared" si="1194"/>
        <v>0.41416122986021864</v>
      </c>
      <c r="AU628" s="949">
        <f t="shared" si="1195"/>
        <v>40.403984742086237</v>
      </c>
      <c r="AV628" s="843">
        <f t="shared" si="1196"/>
        <v>59.819999785447088</v>
      </c>
      <c r="AW628" s="34">
        <f t="shared" si="1197"/>
        <v>19.416015043360851</v>
      </c>
      <c r="AX628" s="35">
        <f t="shared" si="1198"/>
        <v>0.48054703434080931</v>
      </c>
      <c r="AZ628" s="949">
        <f t="shared" si="1179"/>
        <v>39.707512176942181</v>
      </c>
      <c r="BA628" s="843">
        <f t="shared" si="1180"/>
        <v>72.525003813422131</v>
      </c>
      <c r="BB628" s="34">
        <f t="shared" si="1199"/>
        <v>32.81749163647995</v>
      </c>
      <c r="BC628" s="35">
        <f t="shared" si="1200"/>
        <v>0.82648067927904056</v>
      </c>
      <c r="BE628" s="31">
        <f t="shared" si="1201"/>
        <v>39.057596131974769</v>
      </c>
      <c r="BF628" s="25">
        <f t="shared" si="1202"/>
        <v>70.281214028507222</v>
      </c>
      <c r="BG628" s="32">
        <f t="shared" si="1203"/>
        <v>31.223617896532453</v>
      </c>
      <c r="BH628" s="33">
        <f t="shared" si="1204"/>
        <v>0.79942497718058547</v>
      </c>
      <c r="BJ628" s="31">
        <f t="shared" si="1181"/>
        <v>30.467066735622051</v>
      </c>
      <c r="BK628" s="25">
        <f t="shared" si="1182"/>
        <v>41.246091968173978</v>
      </c>
      <c r="BL628" s="32">
        <f t="shared" si="1183"/>
        <v>10.779025232551927</v>
      </c>
      <c r="BM628" s="33">
        <f t="shared" si="1184"/>
        <v>0.35379268132659142</v>
      </c>
      <c r="BO628" s="62"/>
      <c r="BP628" s="62"/>
      <c r="BQ628" s="62"/>
      <c r="BR628" s="63"/>
    </row>
    <row r="629" spans="1:70">
      <c r="A629" s="1"/>
      <c r="B629" s="1284"/>
      <c r="D629" s="4" t="s">
        <v>724</v>
      </c>
      <c r="E629" s="88">
        <f t="shared" ref="E629:L629" si="1209">E628-SUM(E617:E620)</f>
        <v>42.719134572248066</v>
      </c>
      <c r="F629" s="88">
        <f t="shared" si="1209"/>
        <v>38.297590164652895</v>
      </c>
      <c r="G629" s="88">
        <f t="shared" si="1209"/>
        <v>36.444331232136427</v>
      </c>
      <c r="H629" s="88">
        <f t="shared" si="1209"/>
        <v>36.392884857750737</v>
      </c>
      <c r="I629" s="88">
        <f t="shared" si="1209"/>
        <v>36.088021434727715</v>
      </c>
      <c r="J629" s="88">
        <f t="shared" si="1209"/>
        <v>35.970109998837685</v>
      </c>
      <c r="K629" s="88">
        <f t="shared" si="1209"/>
        <v>11.324375216302162</v>
      </c>
      <c r="L629" s="88">
        <f t="shared" si="1209"/>
        <v>11.120800545690948</v>
      </c>
      <c r="M629" s="1"/>
      <c r="N629" s="81">
        <f t="shared" ref="N629:U629" si="1210">N628-SUM(N617:N620)</f>
        <v>33.499709317938944</v>
      </c>
      <c r="O629" s="81">
        <f t="shared" si="1210"/>
        <v>33.7179276408786</v>
      </c>
      <c r="P629" s="81">
        <f t="shared" si="1210"/>
        <v>32.29220192740992</v>
      </c>
      <c r="Q629" s="81">
        <f t="shared" si="1210"/>
        <v>31.370880428606039</v>
      </c>
      <c r="R629" s="81">
        <f t="shared" si="1210"/>
        <v>30.664406533839038</v>
      </c>
      <c r="S629" s="81">
        <f t="shared" si="1210"/>
        <v>29.991779711282476</v>
      </c>
      <c r="T629" s="81">
        <f t="shared" si="1210"/>
        <v>21.39311627734407</v>
      </c>
      <c r="U629" s="81">
        <f t="shared" si="1210"/>
        <v>19.55237468727071</v>
      </c>
      <c r="V629" s="1"/>
      <c r="W629" s="85">
        <f t="shared" ref="W629:AD629" si="1211">W628-SUM(W617:W620)</f>
        <v>58.452204250300845</v>
      </c>
      <c r="X629" s="85">
        <f t="shared" si="1211"/>
        <v>50.306956949130694</v>
      </c>
      <c r="Y629" s="85">
        <f t="shared" si="1211"/>
        <v>47.308426808003091</v>
      </c>
      <c r="Z629" s="85">
        <f>Z628-SUM(Z617:Z620)</f>
        <v>47.609068064493215</v>
      </c>
      <c r="AA629" s="85">
        <f>AA628-SUM(AA617:AA620)</f>
        <v>60.263553045811122</v>
      </c>
      <c r="AB629" s="85">
        <f t="shared" si="1211"/>
        <v>60.114027715970465</v>
      </c>
      <c r="AC629" s="85">
        <f t="shared" ref="AC629" si="1212">AC628-SUM(AC617:AC620)</f>
        <v>31.622491968173978</v>
      </c>
      <c r="AD629" s="91">
        <f t="shared" si="1211"/>
        <v>0</v>
      </c>
      <c r="AE629" s="1"/>
      <c r="AF629" s="81">
        <f t="shared" si="1185"/>
        <v>33.499709317938944</v>
      </c>
      <c r="AG629" s="85">
        <f t="shared" si="1186"/>
        <v>58.452204250300845</v>
      </c>
      <c r="AH629" s="34">
        <f>IF(AG629&gt;0,AG629-AF629,"")</f>
        <v>24.952494932361901</v>
      </c>
      <c r="AI629" s="35">
        <f>IF(AG629&gt;0,AH629/AF629,"")</f>
        <v>0.74485705817751535</v>
      </c>
      <c r="AK629" s="81">
        <f t="shared" si="1177"/>
        <v>33.7179276408786</v>
      </c>
      <c r="AL629" s="85">
        <f t="shared" si="1178"/>
        <v>50.306956949130694</v>
      </c>
      <c r="AM629" s="34">
        <f>IF(AL629&gt;0,AL629-AK629,"")</f>
        <v>16.589029308252094</v>
      </c>
      <c r="AN629" s="35">
        <f>IF(AL629&gt;0,AM629/AK629,"")</f>
        <v>0.49199433265703008</v>
      </c>
      <c r="AP629" s="81">
        <f t="shared" si="1191"/>
        <v>32.29220192740992</v>
      </c>
      <c r="AQ629" s="85">
        <f>Y629</f>
        <v>47.308426808003091</v>
      </c>
      <c r="AR629" s="34">
        <f t="shared" si="1193"/>
        <v>15.016224880593171</v>
      </c>
      <c r="AS629" s="35">
        <f t="shared" si="1194"/>
        <v>0.4650108690125358</v>
      </c>
      <c r="AU629" s="949">
        <f t="shared" si="1195"/>
        <v>31.370880428606039</v>
      </c>
      <c r="AV629" s="843">
        <f t="shared" si="1196"/>
        <v>47.609068064493215</v>
      </c>
      <c r="AW629" s="34">
        <f t="shared" si="1197"/>
        <v>16.238187635887176</v>
      </c>
      <c r="AX629" s="35">
        <f t="shared" si="1198"/>
        <v>0.51761976119357256</v>
      </c>
      <c r="AZ629" s="949">
        <f t="shared" si="1179"/>
        <v>30.664406533839038</v>
      </c>
      <c r="BA629" s="843">
        <f t="shared" si="1180"/>
        <v>60.263553045811122</v>
      </c>
      <c r="BB629" s="34">
        <f t="shared" si="1199"/>
        <v>29.599146511972084</v>
      </c>
      <c r="BC629" s="35">
        <f t="shared" si="1200"/>
        <v>0.96526069987066565</v>
      </c>
      <c r="BE629" s="31">
        <f t="shared" si="1201"/>
        <v>29.991779711282476</v>
      </c>
      <c r="BF629" s="25">
        <f t="shared" si="1202"/>
        <v>60.114027715970465</v>
      </c>
      <c r="BG629" s="32">
        <f t="shared" si="1203"/>
        <v>30.122248004687989</v>
      </c>
      <c r="BH629" s="33">
        <f t="shared" si="1204"/>
        <v>1.0043501350923978</v>
      </c>
      <c r="BJ629" s="31">
        <f t="shared" si="1181"/>
        <v>21.39311627734407</v>
      </c>
      <c r="BK629" s="25">
        <f t="shared" si="1182"/>
        <v>31.622491968173978</v>
      </c>
      <c r="BL629" s="32">
        <f t="shared" si="1183"/>
        <v>10.229375690829908</v>
      </c>
      <c r="BM629" s="33">
        <f t="shared" si="1184"/>
        <v>0.47816201988595336</v>
      </c>
      <c r="BO629" s="62"/>
      <c r="BP629" s="62"/>
      <c r="BQ629" s="62"/>
      <c r="BR629" s="63"/>
    </row>
    <row r="630" spans="1:70" ht="14.5" customHeight="1">
      <c r="B630" s="1284"/>
    </row>
    <row r="631" spans="1:70" ht="14.5" customHeight="1">
      <c r="B631" s="1284"/>
      <c r="D631" s="1" t="s">
        <v>90</v>
      </c>
    </row>
    <row r="632" spans="1:70" ht="14.5" customHeight="1">
      <c r="B632" s="1284"/>
      <c r="E632" s="1300" t="s">
        <v>733</v>
      </c>
      <c r="F632" s="1301"/>
      <c r="G632" s="1301"/>
      <c r="H632" s="1301"/>
      <c r="I632" s="1301"/>
      <c r="J632" s="1301"/>
      <c r="K632" s="1301"/>
      <c r="L632" s="1302"/>
      <c r="N632" s="245" t="s">
        <v>291</v>
      </c>
      <c r="O632" s="246"/>
      <c r="P632" s="246"/>
      <c r="Q632" s="246"/>
      <c r="R632" s="246"/>
      <c r="S632" s="246"/>
      <c r="T632" s="246"/>
      <c r="U632" s="247"/>
      <c r="W632" s="1079" t="s">
        <v>292</v>
      </c>
      <c r="X632" s="1080"/>
      <c r="Y632" s="1080"/>
      <c r="Z632" s="1080"/>
      <c r="AA632" s="1080"/>
      <c r="AB632" s="1080"/>
      <c r="AC632" s="1080"/>
      <c r="AD632" s="1081"/>
      <c r="AF632" s="102" t="s">
        <v>297</v>
      </c>
      <c r="AG632" s="102" t="s">
        <v>298</v>
      </c>
      <c r="AH632" s="1304" t="s">
        <v>602</v>
      </c>
      <c r="AI632" s="1304"/>
      <c r="AK632" s="102" t="s">
        <v>297</v>
      </c>
      <c r="AL632" s="102" t="s">
        <v>298</v>
      </c>
      <c r="AM632" s="1304" t="s">
        <v>602</v>
      </c>
      <c r="AN632" s="1304"/>
      <c r="AP632" s="6" t="s">
        <v>297</v>
      </c>
      <c r="AQ632" s="5" t="s">
        <v>298</v>
      </c>
      <c r="AR632" s="1303" t="s">
        <v>602</v>
      </c>
      <c r="AS632" s="1303"/>
      <c r="AU632" s="6" t="s">
        <v>297</v>
      </c>
      <c r="AV632" s="5" t="s">
        <v>298</v>
      </c>
      <c r="AW632" s="1303" t="s">
        <v>602</v>
      </c>
      <c r="AX632" s="1303"/>
      <c r="AZ632" s="6" t="s">
        <v>297</v>
      </c>
      <c r="BA632" s="5" t="s">
        <v>298</v>
      </c>
      <c r="BB632" s="1303" t="s">
        <v>602</v>
      </c>
      <c r="BC632" s="1303"/>
      <c r="BE632" s="6" t="s">
        <v>297</v>
      </c>
      <c r="BF632" s="5" t="s">
        <v>298</v>
      </c>
      <c r="BG632" s="1082" t="s">
        <v>602</v>
      </c>
      <c r="BH632" s="1082"/>
      <c r="BJ632" s="6" t="s">
        <v>297</v>
      </c>
      <c r="BK632" s="5" t="s">
        <v>298</v>
      </c>
      <c r="BL632" s="1082" t="s">
        <v>602</v>
      </c>
      <c r="BM632" s="1082"/>
      <c r="BO632" s="6" t="s">
        <v>297</v>
      </c>
      <c r="BP632" s="5" t="s">
        <v>298</v>
      </c>
      <c r="BQ632" s="1303" t="s">
        <v>602</v>
      </c>
      <c r="BR632" s="1303"/>
    </row>
    <row r="633" spans="1:70" ht="14.5" customHeight="1">
      <c r="A633" s="1"/>
      <c r="B633" s="1284"/>
      <c r="E633" s="196" t="s">
        <v>137</v>
      </c>
      <c r="F633" s="102" t="s">
        <v>138</v>
      </c>
      <c r="G633" s="102" t="s">
        <v>139</v>
      </c>
      <c r="H633" s="102" t="s">
        <v>140</v>
      </c>
      <c r="I633" s="102" t="s">
        <v>141</v>
      </c>
      <c r="J633" s="102" t="s">
        <v>126</v>
      </c>
      <c r="K633" s="102" t="s">
        <v>142</v>
      </c>
      <c r="L633" s="197" t="s">
        <v>143</v>
      </c>
      <c r="N633" s="196" t="s">
        <v>137</v>
      </c>
      <c r="O633" s="102" t="s">
        <v>138</v>
      </c>
      <c r="P633" s="102" t="s">
        <v>139</v>
      </c>
      <c r="Q633" s="102" t="s">
        <v>140</v>
      </c>
      <c r="R633" s="102" t="s">
        <v>141</v>
      </c>
      <c r="S633" s="102" t="s">
        <v>126</v>
      </c>
      <c r="T633" s="102" t="s">
        <v>142</v>
      </c>
      <c r="U633" s="197" t="s">
        <v>143</v>
      </c>
      <c r="W633" s="196" t="s">
        <v>137</v>
      </c>
      <c r="X633" s="1078" t="s">
        <v>138</v>
      </c>
      <c r="Y633" s="1078" t="s">
        <v>139</v>
      </c>
      <c r="Z633" s="1078" t="s">
        <v>140</v>
      </c>
      <c r="AA633" s="1078" t="s">
        <v>141</v>
      </c>
      <c r="AB633" s="1078" t="s">
        <v>126</v>
      </c>
      <c r="AC633" s="1078" t="s">
        <v>142</v>
      </c>
      <c r="AD633" s="197" t="s">
        <v>143</v>
      </c>
      <c r="AF633" s="102" t="s">
        <v>734</v>
      </c>
      <c r="AG633" s="102" t="s">
        <v>734</v>
      </c>
      <c r="AH633" s="102" t="s">
        <v>734</v>
      </c>
      <c r="AI633" s="102" t="s">
        <v>606</v>
      </c>
      <c r="AK633" s="102" t="s">
        <v>734</v>
      </c>
      <c r="AL633" s="102" t="s">
        <v>734</v>
      </c>
      <c r="AM633" s="102" t="s">
        <v>734</v>
      </c>
      <c r="AN633" s="102" t="s">
        <v>606</v>
      </c>
      <c r="AP633" s="5" t="s">
        <v>734</v>
      </c>
      <c r="AQ633" s="5" t="s">
        <v>734</v>
      </c>
      <c r="AR633" s="5" t="s">
        <v>734</v>
      </c>
      <c r="AS633" s="5" t="s">
        <v>606</v>
      </c>
      <c r="AU633" s="5" t="s">
        <v>734</v>
      </c>
      <c r="AV633" s="5" t="s">
        <v>734</v>
      </c>
      <c r="AW633" s="5" t="s">
        <v>734</v>
      </c>
      <c r="AX633" s="5" t="s">
        <v>606</v>
      </c>
      <c r="AZ633" s="5" t="s">
        <v>734</v>
      </c>
      <c r="BA633" s="5" t="s">
        <v>734</v>
      </c>
      <c r="BB633" s="5" t="s">
        <v>734</v>
      </c>
      <c r="BC633" s="5" t="s">
        <v>606</v>
      </c>
      <c r="BE633" s="5" t="s">
        <v>734</v>
      </c>
      <c r="BF633" s="5" t="s">
        <v>734</v>
      </c>
      <c r="BG633" s="5" t="s">
        <v>734</v>
      </c>
      <c r="BH633" s="5" t="s">
        <v>606</v>
      </c>
      <c r="BJ633" s="5" t="s">
        <v>734</v>
      </c>
      <c r="BK633" s="5" t="s">
        <v>734</v>
      </c>
      <c r="BL633" s="5" t="s">
        <v>734</v>
      </c>
      <c r="BM633" s="5" t="s">
        <v>606</v>
      </c>
      <c r="BO633" s="5" t="s">
        <v>734</v>
      </c>
      <c r="BP633" s="5" t="s">
        <v>734</v>
      </c>
      <c r="BQ633" s="5" t="s">
        <v>734</v>
      </c>
      <c r="BR633" s="5" t="s">
        <v>606</v>
      </c>
    </row>
    <row r="634" spans="1:70">
      <c r="B634" s="1284"/>
      <c r="D634" s="5" t="s">
        <v>161</v>
      </c>
      <c r="E634" s="87">
        <v>4.2337921293033487</v>
      </c>
      <c r="F634" s="87">
        <v>4.2363965929434144</v>
      </c>
      <c r="G634" s="87">
        <v>4.2332043202327343</v>
      </c>
      <c r="H634" s="87">
        <v>4.2304022989685972</v>
      </c>
      <c r="I634" s="87">
        <v>1.0458573266381996</v>
      </c>
      <c r="J634" s="87">
        <v>1.0561933049113537</v>
      </c>
      <c r="K634" s="87">
        <v>0.8186172740998926</v>
      </c>
      <c r="L634" s="87">
        <v>0.81942331785652833</v>
      </c>
      <c r="N634" s="29">
        <v>2.6692002662351983</v>
      </c>
      <c r="O634" s="29">
        <v>2.4867567198226355</v>
      </c>
      <c r="P634" s="29">
        <v>2.613218846104211</v>
      </c>
      <c r="Q634" s="29">
        <v>2.5405932020741848</v>
      </c>
      <c r="R634" s="29">
        <v>1.8105052785114741</v>
      </c>
      <c r="S634" s="29">
        <v>1.8092866736425153</v>
      </c>
      <c r="T634" s="29">
        <v>1.7319022673312079</v>
      </c>
      <c r="U634" s="29">
        <v>1.6858564628736519</v>
      </c>
      <c r="W634" s="30">
        <v>1.8692894815628551</v>
      </c>
      <c r="X634" s="30">
        <v>2.6098102985905145</v>
      </c>
      <c r="Y634" s="30">
        <v>4.0600101875911081</v>
      </c>
      <c r="Z634" s="30">
        <v>3.7217344161269641</v>
      </c>
      <c r="AA634" s="30">
        <v>2.9477583871796602</v>
      </c>
      <c r="AB634" s="30">
        <v>0.49940938366367355</v>
      </c>
      <c r="AC634" s="30">
        <v>0.31887590031451696</v>
      </c>
      <c r="AD634" s="90">
        <v>0</v>
      </c>
      <c r="AF634" s="29">
        <f>N634</f>
        <v>2.6692002662351983</v>
      </c>
      <c r="AG634" s="30">
        <f>W634</f>
        <v>1.8692894815628551</v>
      </c>
      <c r="AH634" s="32">
        <f>IF(AG634&gt;0,AG634-AF634,"")</f>
        <v>-0.79991078467234322</v>
      </c>
      <c r="AI634" s="33">
        <f>IF(AG634&gt;0,AH634/AF634,"")</f>
        <v>-0.29968181660665943</v>
      </c>
      <c r="AK634" s="29">
        <f t="shared" ref="AK634:AK649" si="1213">O634</f>
        <v>2.4867567198226355</v>
      </c>
      <c r="AL634" s="30">
        <f t="shared" ref="AL634:AL649" si="1214">X634</f>
        <v>2.6098102985905145</v>
      </c>
      <c r="AM634" s="32">
        <f>AL634-AK634</f>
        <v>0.12305357876787903</v>
      </c>
      <c r="AN634" s="33">
        <f>AM634/AK634</f>
        <v>4.9483561374132193E-2</v>
      </c>
      <c r="AP634" s="29">
        <f>P634</f>
        <v>2.613218846104211</v>
      </c>
      <c r="AQ634" s="30">
        <f>Y634</f>
        <v>4.0600101875911081</v>
      </c>
      <c r="AR634" s="32">
        <f>AQ634-AP634</f>
        <v>1.4467913414868971</v>
      </c>
      <c r="AS634" s="33">
        <f>AR634/AP634</f>
        <v>0.55364339027470855</v>
      </c>
      <c r="AU634" s="31">
        <f>Q634</f>
        <v>2.5405932020741848</v>
      </c>
      <c r="AV634" s="25">
        <f>Z634</f>
        <v>3.7217344161269641</v>
      </c>
      <c r="AW634" s="32">
        <f>AV634-AU634</f>
        <v>1.1811412140527793</v>
      </c>
      <c r="AX634" s="33">
        <f>AW634/AU634</f>
        <v>0.4649076495554168</v>
      </c>
      <c r="AZ634" s="31">
        <f t="shared" ref="AZ634:AZ649" si="1215">R634</f>
        <v>1.8105052785114741</v>
      </c>
      <c r="BA634" s="25">
        <f t="shared" ref="BA634:BA649" si="1216">AA634</f>
        <v>2.9477583871796602</v>
      </c>
      <c r="BB634" s="32">
        <f>BA634-AZ634</f>
        <v>1.1372531086681861</v>
      </c>
      <c r="BC634" s="33">
        <f>BB634/AZ634</f>
        <v>0.62814128308048378</v>
      </c>
      <c r="BE634" s="31">
        <f>S634</f>
        <v>1.8092866736425153</v>
      </c>
      <c r="BF634" s="25">
        <f>AB634</f>
        <v>0.49940938366367355</v>
      </c>
      <c r="BG634" s="32">
        <f>BF634-BE634</f>
        <v>-1.3098772899788418</v>
      </c>
      <c r="BH634" s="33">
        <f>BG634/BE634</f>
        <v>-0.72397443095170422</v>
      </c>
      <c r="BJ634" s="31">
        <f t="shared" ref="BJ634:BJ649" si="1217">T634</f>
        <v>1.7319022673312079</v>
      </c>
      <c r="BK634" s="25">
        <f t="shared" ref="BK634:BK649" si="1218">AC634</f>
        <v>0.31887590031451696</v>
      </c>
      <c r="BL634" s="32">
        <f t="shared" ref="BL634:BL649" si="1219">BK634-BJ634</f>
        <v>-1.4130263670166909</v>
      </c>
      <c r="BM634" s="33">
        <f t="shared" ref="BM634:BM649" si="1220">BL634/BJ634</f>
        <v>-0.81588112312717742</v>
      </c>
      <c r="BO634" s="62"/>
      <c r="BP634" s="62"/>
      <c r="BQ634" s="62"/>
      <c r="BR634" s="63"/>
    </row>
    <row r="635" spans="1:70">
      <c r="B635" s="1284"/>
      <c r="D635" s="5" t="s">
        <v>162</v>
      </c>
      <c r="E635" s="87">
        <v>0.21273719333317259</v>
      </c>
      <c r="F635" s="87">
        <v>0.18520134366889437</v>
      </c>
      <c r="G635" s="87">
        <v>0.14074290409348419</v>
      </c>
      <c r="H635" s="87">
        <v>0.14123918649224967</v>
      </c>
      <c r="I635" s="87">
        <v>0.14179586145523498</v>
      </c>
      <c r="J635" s="87">
        <v>0.14273933430466385</v>
      </c>
      <c r="K635" s="87">
        <v>0.14439217334018781</v>
      </c>
      <c r="L635" s="87">
        <v>0.14497174078245553</v>
      </c>
      <c r="N635" s="29">
        <v>0.43255630107930926</v>
      </c>
      <c r="O635" s="29">
        <v>0.41110613859767964</v>
      </c>
      <c r="P635" s="29">
        <v>0.35106797573969128</v>
      </c>
      <c r="Q635" s="29">
        <v>0.34486420596423073</v>
      </c>
      <c r="R635" s="29">
        <v>0.32493652036138115</v>
      </c>
      <c r="S635" s="29">
        <v>0.28345698511580902</v>
      </c>
      <c r="T635" s="29">
        <v>0.25316967558696241</v>
      </c>
      <c r="U635" s="29">
        <v>0.25344016188888774</v>
      </c>
      <c r="W635" s="30">
        <v>0.22786032579086427</v>
      </c>
      <c r="X635" s="30">
        <v>0.37607344645700763</v>
      </c>
      <c r="Y635" s="30">
        <v>0.78693985031655911</v>
      </c>
      <c r="Z635" s="30">
        <v>0.20460856245712053</v>
      </c>
      <c r="AA635" s="30">
        <v>0.12448830969555465</v>
      </c>
      <c r="AB635" s="30">
        <v>5.627897262289789E-2</v>
      </c>
      <c r="AC635" s="30">
        <v>0.25263860999999999</v>
      </c>
      <c r="AD635" s="90">
        <v>0</v>
      </c>
      <c r="AF635" s="29">
        <f t="shared" ref="AF635:AF649" si="1221">N635</f>
        <v>0.43255630107930926</v>
      </c>
      <c r="AG635" s="30">
        <f t="shared" ref="AG635:AG649" si="1222">W635</f>
        <v>0.22786032579086427</v>
      </c>
      <c r="AH635" s="32">
        <f t="shared" ref="AH635:AH649" si="1223">IF(AG635&gt;0,AG635-AF635,"")</f>
        <v>-0.20469597528844499</v>
      </c>
      <c r="AI635" s="33">
        <f t="shared" ref="AI635:AI649" si="1224">IF(AG635&gt;0,AH635/AF635,"")</f>
        <v>-0.47322388964786793</v>
      </c>
      <c r="AK635" s="29">
        <f t="shared" si="1213"/>
        <v>0.41110613859767964</v>
      </c>
      <c r="AL635" s="30">
        <f t="shared" si="1214"/>
        <v>0.37607344645700763</v>
      </c>
      <c r="AM635" s="32">
        <f t="shared" ref="AM635:AM647" si="1225">AL635-AK635</f>
        <v>-3.5032692140672006E-2</v>
      </c>
      <c r="AN635" s="33">
        <f t="shared" ref="AN635:AN647" si="1226">AM635/AK635</f>
        <v>-8.5215687267944235E-2</v>
      </c>
      <c r="AP635" s="29">
        <f t="shared" ref="AP635:AP649" si="1227">P635</f>
        <v>0.35106797573969128</v>
      </c>
      <c r="AQ635" s="30">
        <f t="shared" ref="AQ635:AQ648" si="1228">Y635</f>
        <v>0.78693985031655911</v>
      </c>
      <c r="AR635" s="32">
        <f t="shared" ref="AR635:AR649" si="1229">AQ635-AP635</f>
        <v>0.43587187457686782</v>
      </c>
      <c r="AS635" s="33">
        <f t="shared" ref="AS635:AS649" si="1230">AR635/AP635</f>
        <v>1.2415597681859101</v>
      </c>
      <c r="AU635" s="31">
        <f t="shared" ref="AU635:AU649" si="1231">Q635</f>
        <v>0.34486420596423073</v>
      </c>
      <c r="AV635" s="25">
        <f t="shared" ref="AV635:AV649" si="1232">Z635</f>
        <v>0.20460856245712053</v>
      </c>
      <c r="AW635" s="32">
        <f t="shared" ref="AW635:AW649" si="1233">AV635-AU635</f>
        <v>-0.1402556435071102</v>
      </c>
      <c r="AX635" s="33">
        <f t="shared" ref="AX635:AX649" si="1234">AW635/AU635</f>
        <v>-0.40669817592393886</v>
      </c>
      <c r="AZ635" s="31">
        <f t="shared" si="1215"/>
        <v>0.32493652036138115</v>
      </c>
      <c r="BA635" s="25">
        <f t="shared" si="1216"/>
        <v>0.12448830969555465</v>
      </c>
      <c r="BB635" s="32">
        <f t="shared" ref="BB635:BB649" si="1235">BA635-AZ635</f>
        <v>-0.20044821066582652</v>
      </c>
      <c r="BC635" s="33">
        <f t="shared" ref="BC635:BC649" si="1236">BB635/AZ635</f>
        <v>-0.6168842161628868</v>
      </c>
      <c r="BE635" s="31">
        <f t="shared" ref="BE635:BE649" si="1237">S635</f>
        <v>0.28345698511580902</v>
      </c>
      <c r="BF635" s="25">
        <f t="shared" ref="BF635:BF649" si="1238">AB635</f>
        <v>5.627897262289789E-2</v>
      </c>
      <c r="BG635" s="32">
        <f t="shared" ref="BG635:BG649" si="1239">BF635-BE635</f>
        <v>-0.22717801249291114</v>
      </c>
      <c r="BH635" s="33">
        <f t="shared" ref="BH635:BH649" si="1240">BG635/BE635</f>
        <v>-0.80145498055056019</v>
      </c>
      <c r="BJ635" s="31">
        <f t="shared" si="1217"/>
        <v>0.25316967558696241</v>
      </c>
      <c r="BK635" s="25">
        <f t="shared" si="1218"/>
        <v>0.25263860999999999</v>
      </c>
      <c r="BL635" s="32">
        <f t="shared" si="1219"/>
        <v>-5.3106558696242034E-4</v>
      </c>
      <c r="BM635" s="33">
        <f t="shared" si="1220"/>
        <v>-2.0976666566845689E-3</v>
      </c>
      <c r="BO635" s="62"/>
      <c r="BP635" s="62"/>
      <c r="BQ635" s="62"/>
      <c r="BR635" s="63"/>
    </row>
    <row r="636" spans="1:70">
      <c r="B636" s="1284"/>
      <c r="D636" s="5" t="s">
        <v>163</v>
      </c>
      <c r="E636" s="87">
        <v>9.8351307571813942E-2</v>
      </c>
      <c r="F636" s="87">
        <v>0.22777264023772378</v>
      </c>
      <c r="G636" s="87">
        <v>0.17394051654552922</v>
      </c>
      <c r="H636" s="87">
        <v>0.1745559848313131</v>
      </c>
      <c r="I636" s="87">
        <v>0.17495246804095219</v>
      </c>
      <c r="J636" s="87">
        <v>0.17581480009089642</v>
      </c>
      <c r="K636" s="87">
        <v>0.17699915348615605</v>
      </c>
      <c r="L636" s="87">
        <v>0.17934194521583605</v>
      </c>
      <c r="N636" s="29">
        <v>0.6572360163162192</v>
      </c>
      <c r="O636" s="29">
        <v>0.66326566374871354</v>
      </c>
      <c r="P636" s="29">
        <v>0.61663448310318603</v>
      </c>
      <c r="Q636" s="29">
        <v>0.5973268435261917</v>
      </c>
      <c r="R636" s="29">
        <v>0.50090182755863832</v>
      </c>
      <c r="S636" s="29">
        <v>0.48361243073654026</v>
      </c>
      <c r="T636" s="29">
        <v>0.4110617372109403</v>
      </c>
      <c r="U636" s="29">
        <v>0.45108239440591608</v>
      </c>
      <c r="W636" s="30">
        <v>0.56583923074323617</v>
      </c>
      <c r="X636" s="30">
        <v>0.7646472745062356</v>
      </c>
      <c r="Y636" s="30">
        <v>0.33738046735370247</v>
      </c>
      <c r="Z636" s="30">
        <v>0.28057582961368471</v>
      </c>
      <c r="AA636" s="30">
        <v>0.19730821613434416</v>
      </c>
      <c r="AB636" s="30">
        <v>0.19606446722555557</v>
      </c>
      <c r="AC636" s="30">
        <v>5.4942119999999997E-2</v>
      </c>
      <c r="AD636" s="90">
        <v>0</v>
      </c>
      <c r="AF636" s="29">
        <f t="shared" si="1221"/>
        <v>0.6572360163162192</v>
      </c>
      <c r="AG636" s="30">
        <f t="shared" si="1222"/>
        <v>0.56583923074323617</v>
      </c>
      <c r="AH636" s="32">
        <f t="shared" si="1223"/>
        <v>-9.139678557298303E-2</v>
      </c>
      <c r="AI636" s="33">
        <f t="shared" si="1224"/>
        <v>-0.1390623509728792</v>
      </c>
      <c r="AK636" s="29">
        <f t="shared" si="1213"/>
        <v>0.66326566374871354</v>
      </c>
      <c r="AL636" s="30">
        <f t="shared" si="1214"/>
        <v>0.7646472745062356</v>
      </c>
      <c r="AM636" s="32">
        <f t="shared" si="1225"/>
        <v>0.10138161075752206</v>
      </c>
      <c r="AN636" s="33">
        <f t="shared" si="1226"/>
        <v>0.1528521922641419</v>
      </c>
      <c r="AP636" s="29">
        <f t="shared" si="1227"/>
        <v>0.61663448310318603</v>
      </c>
      <c r="AQ636" s="30">
        <f t="shared" si="1228"/>
        <v>0.33738046735370247</v>
      </c>
      <c r="AR636" s="32">
        <f t="shared" si="1229"/>
        <v>-0.27925401574948355</v>
      </c>
      <c r="AS636" s="33">
        <f t="shared" si="1230"/>
        <v>-0.45286798484598195</v>
      </c>
      <c r="AU636" s="31">
        <f t="shared" si="1231"/>
        <v>0.5973268435261917</v>
      </c>
      <c r="AV636" s="25">
        <f t="shared" si="1232"/>
        <v>0.28057582961368471</v>
      </c>
      <c r="AW636" s="32">
        <f t="shared" si="1233"/>
        <v>-0.31675101391250698</v>
      </c>
      <c r="AX636" s="33">
        <f t="shared" si="1234"/>
        <v>-0.53028089620522478</v>
      </c>
      <c r="AZ636" s="31">
        <f t="shared" si="1215"/>
        <v>0.50090182755863832</v>
      </c>
      <c r="BA636" s="25">
        <f t="shared" si="1216"/>
        <v>0.19730821613434416</v>
      </c>
      <c r="BB636" s="32">
        <f t="shared" si="1235"/>
        <v>-0.3035936114242942</v>
      </c>
      <c r="BC636" s="33">
        <f t="shared" si="1236"/>
        <v>-0.60609403823497499</v>
      </c>
      <c r="BE636" s="31">
        <f t="shared" si="1237"/>
        <v>0.48361243073654026</v>
      </c>
      <c r="BF636" s="25">
        <f t="shared" si="1238"/>
        <v>0.19606446722555557</v>
      </c>
      <c r="BG636" s="32">
        <f t="shared" si="1239"/>
        <v>-0.28754796351098466</v>
      </c>
      <c r="BH636" s="33">
        <f t="shared" si="1240"/>
        <v>-0.59458348304457354</v>
      </c>
      <c r="BJ636" s="31">
        <f t="shared" si="1217"/>
        <v>0.4110617372109403</v>
      </c>
      <c r="BK636" s="25">
        <f t="shared" si="1218"/>
        <v>5.4942119999999997E-2</v>
      </c>
      <c r="BL636" s="32">
        <f t="shared" si="1219"/>
        <v>-0.35611961721094032</v>
      </c>
      <c r="BM636" s="33">
        <f t="shared" si="1220"/>
        <v>-0.86634095313082882</v>
      </c>
      <c r="BO636" s="62"/>
      <c r="BP636" s="62"/>
      <c r="BQ636" s="62"/>
      <c r="BR636" s="63"/>
    </row>
    <row r="637" spans="1:70">
      <c r="B637" s="1284"/>
      <c r="D637" s="5" t="s">
        <v>164</v>
      </c>
      <c r="E637" s="87">
        <v>0.71177100668601012</v>
      </c>
      <c r="F637" s="87">
        <v>0.712832668815367</v>
      </c>
      <c r="G637" s="87">
        <v>0.71094590548336034</v>
      </c>
      <c r="H637" s="87">
        <v>0.71186643377270464</v>
      </c>
      <c r="I637" s="87">
        <v>0.71405287828654995</v>
      </c>
      <c r="J637" s="87">
        <v>0.71539749434455624</v>
      </c>
      <c r="K637" s="87">
        <v>0.71731092119248641</v>
      </c>
      <c r="L637" s="87">
        <v>0.72061853292863154</v>
      </c>
      <c r="N637" s="29">
        <v>0.71177100668601012</v>
      </c>
      <c r="O637" s="29">
        <v>0.712832668815367</v>
      </c>
      <c r="P637" s="29">
        <v>0.71094590548336034</v>
      </c>
      <c r="Q637" s="29">
        <v>0.71186643377270464</v>
      </c>
      <c r="R637" s="29">
        <v>0.71405287828654995</v>
      </c>
      <c r="S637" s="29">
        <v>0.71539749434455624</v>
      </c>
      <c r="T637" s="29">
        <v>0.71731092119248641</v>
      </c>
      <c r="U637" s="29">
        <v>0.72061853292863154</v>
      </c>
      <c r="W637" s="30">
        <v>0.77479760863113034</v>
      </c>
      <c r="X637" s="30">
        <v>1.9644643385460692</v>
      </c>
      <c r="Y637" s="30">
        <v>0.78324870865889673</v>
      </c>
      <c r="Z637" s="30">
        <v>1.5343291611955894</v>
      </c>
      <c r="AA637" s="30">
        <v>0.97316500024084618</v>
      </c>
      <c r="AB637" s="30">
        <v>1.532693816777545</v>
      </c>
      <c r="AC637" s="30">
        <v>1.7099</v>
      </c>
      <c r="AD637" s="90">
        <v>0</v>
      </c>
      <c r="AF637" s="29">
        <f t="shared" si="1221"/>
        <v>0.71177100668601012</v>
      </c>
      <c r="AG637" s="30">
        <f t="shared" si="1222"/>
        <v>0.77479760863113034</v>
      </c>
      <c r="AH637" s="32">
        <f t="shared" si="1223"/>
        <v>6.302660194512022E-2</v>
      </c>
      <c r="AI637" s="33">
        <f t="shared" si="1224"/>
        <v>8.8548987459563244E-2</v>
      </c>
      <c r="AK637" s="29">
        <f t="shared" si="1213"/>
        <v>0.712832668815367</v>
      </c>
      <c r="AL637" s="30">
        <f t="shared" si="1214"/>
        <v>1.9644643385460692</v>
      </c>
      <c r="AM637" s="32">
        <f t="shared" si="1225"/>
        <v>1.2516316697307022</v>
      </c>
      <c r="AN637" s="33">
        <f t="shared" si="1226"/>
        <v>1.7558562121047951</v>
      </c>
      <c r="AP637" s="29">
        <f t="shared" si="1227"/>
        <v>0.71094590548336034</v>
      </c>
      <c r="AQ637" s="30">
        <f t="shared" si="1228"/>
        <v>0.78324870865889673</v>
      </c>
      <c r="AR637" s="32">
        <f t="shared" si="1229"/>
        <v>7.230280317553639E-2</v>
      </c>
      <c r="AS637" s="33">
        <f t="shared" si="1230"/>
        <v>0.10169944382249295</v>
      </c>
      <c r="AU637" s="31">
        <f t="shared" si="1231"/>
        <v>0.71186643377270464</v>
      </c>
      <c r="AV637" s="25">
        <f t="shared" si="1232"/>
        <v>1.5343291611955894</v>
      </c>
      <c r="AW637" s="32">
        <f t="shared" si="1233"/>
        <v>0.82246272742288473</v>
      </c>
      <c r="AX637" s="33">
        <f t="shared" si="1234"/>
        <v>1.1553610177460523</v>
      </c>
      <c r="AZ637" s="31">
        <f t="shared" si="1215"/>
        <v>0.71405287828654995</v>
      </c>
      <c r="BA637" s="25">
        <f t="shared" si="1216"/>
        <v>0.97316500024084618</v>
      </c>
      <c r="BB637" s="32">
        <f t="shared" si="1235"/>
        <v>0.25911212195429623</v>
      </c>
      <c r="BC637" s="33">
        <f t="shared" si="1236"/>
        <v>0.36287525732837161</v>
      </c>
      <c r="BE637" s="31">
        <f t="shared" si="1237"/>
        <v>0.71539749434455624</v>
      </c>
      <c r="BF637" s="25">
        <f t="shared" si="1238"/>
        <v>1.532693816777545</v>
      </c>
      <c r="BG637" s="32">
        <f t="shared" si="1239"/>
        <v>0.81729632243298878</v>
      </c>
      <c r="BH637" s="33">
        <f t="shared" si="1240"/>
        <v>1.1424366577937091</v>
      </c>
      <c r="BJ637" s="31">
        <f t="shared" si="1217"/>
        <v>0.71731092119248641</v>
      </c>
      <c r="BK637" s="25">
        <f t="shared" si="1218"/>
        <v>1.7099</v>
      </c>
      <c r="BL637" s="32">
        <f t="shared" si="1219"/>
        <v>0.99258907880751357</v>
      </c>
      <c r="BM637" s="33">
        <f t="shared" si="1220"/>
        <v>1.3837640686655011</v>
      </c>
      <c r="BO637" s="62"/>
      <c r="BP637" s="62"/>
      <c r="BQ637" s="62"/>
      <c r="BR637" s="63"/>
    </row>
    <row r="638" spans="1:70">
      <c r="B638" s="1284"/>
      <c r="D638" s="5" t="s">
        <v>165</v>
      </c>
      <c r="E638" s="87">
        <v>0.79159364410645239</v>
      </c>
      <c r="F638" s="87">
        <v>0.79108437818882227</v>
      </c>
      <c r="G638" s="87">
        <v>0.79115886744017083</v>
      </c>
      <c r="H638" s="87">
        <v>0.7906435740226937</v>
      </c>
      <c r="I638" s="87">
        <v>0.79349219689491424</v>
      </c>
      <c r="J638" s="87">
        <v>0.79671656802366242</v>
      </c>
      <c r="K638" s="87">
        <v>0.79826155710488134</v>
      </c>
      <c r="L638" s="87">
        <v>0.79980050327160046</v>
      </c>
      <c r="N638" s="29">
        <v>0.79159364410645239</v>
      </c>
      <c r="O638" s="29">
        <v>0.79108437818882227</v>
      </c>
      <c r="P638" s="29">
        <v>0.79115886744017083</v>
      </c>
      <c r="Q638" s="29">
        <v>0.7906435740226937</v>
      </c>
      <c r="R638" s="29">
        <v>0.79349219689491424</v>
      </c>
      <c r="S638" s="29">
        <v>0.79671656802366242</v>
      </c>
      <c r="T638" s="29">
        <v>0.79826155710488134</v>
      </c>
      <c r="U638" s="29">
        <v>0.79980050327160046</v>
      </c>
      <c r="W638" s="30">
        <v>1.1274144769555148</v>
      </c>
      <c r="X638" s="30">
        <v>0.37457508905929232</v>
      </c>
      <c r="Y638" s="30">
        <v>0.52065665604493139</v>
      </c>
      <c r="Z638" s="30">
        <v>0.91927953322885336</v>
      </c>
      <c r="AA638" s="30">
        <v>0.3222471562953737</v>
      </c>
      <c r="AB638" s="30">
        <v>0.91919318618335855</v>
      </c>
      <c r="AC638" s="30">
        <v>1.7621999999999998</v>
      </c>
      <c r="AD638" s="90">
        <v>0</v>
      </c>
      <c r="AF638" s="29">
        <f t="shared" si="1221"/>
        <v>0.79159364410645239</v>
      </c>
      <c r="AG638" s="30">
        <f t="shared" si="1222"/>
        <v>1.1274144769555148</v>
      </c>
      <c r="AH638" s="32">
        <f t="shared" si="1223"/>
        <v>0.33582083284906239</v>
      </c>
      <c r="AI638" s="33">
        <f t="shared" si="1224"/>
        <v>0.42423386714800565</v>
      </c>
      <c r="AK638" s="29">
        <f t="shared" si="1213"/>
        <v>0.79108437818882227</v>
      </c>
      <c r="AL638" s="30">
        <f t="shared" si="1214"/>
        <v>0.37457508905929232</v>
      </c>
      <c r="AM638" s="32">
        <f t="shared" si="1225"/>
        <v>-0.41650928912952995</v>
      </c>
      <c r="AN638" s="33">
        <f t="shared" si="1226"/>
        <v>-0.52650425240746468</v>
      </c>
      <c r="AP638" s="29">
        <f t="shared" si="1227"/>
        <v>0.79115886744017083</v>
      </c>
      <c r="AQ638" s="30">
        <f t="shared" si="1228"/>
        <v>0.52065665604493139</v>
      </c>
      <c r="AR638" s="32">
        <f t="shared" si="1229"/>
        <v>-0.27050221139523944</v>
      </c>
      <c r="AS638" s="33">
        <f t="shared" si="1230"/>
        <v>-0.34190631303983382</v>
      </c>
      <c r="AU638" s="31">
        <f t="shared" si="1231"/>
        <v>0.7906435740226937</v>
      </c>
      <c r="AV638" s="25">
        <f t="shared" si="1232"/>
        <v>0.91927953322885336</v>
      </c>
      <c r="AW638" s="32">
        <f t="shared" si="1233"/>
        <v>0.12863595920615967</v>
      </c>
      <c r="AX638" s="33">
        <f t="shared" si="1234"/>
        <v>0.16269778624984746</v>
      </c>
      <c r="AZ638" s="31">
        <f t="shared" si="1215"/>
        <v>0.79349219689491424</v>
      </c>
      <c r="BA638" s="25">
        <f t="shared" si="1216"/>
        <v>0.3222471562953737</v>
      </c>
      <c r="BB638" s="32">
        <f t="shared" si="1235"/>
        <v>-0.47124504059954053</v>
      </c>
      <c r="BC638" s="33">
        <f t="shared" si="1236"/>
        <v>-0.59388742881607648</v>
      </c>
      <c r="BE638" s="31">
        <f t="shared" si="1237"/>
        <v>0.79671656802366242</v>
      </c>
      <c r="BF638" s="25">
        <f t="shared" si="1238"/>
        <v>0.91919318618335855</v>
      </c>
      <c r="BG638" s="32">
        <f t="shared" si="1239"/>
        <v>0.12247661815969613</v>
      </c>
      <c r="BH638" s="33">
        <f t="shared" si="1240"/>
        <v>0.15372671170063903</v>
      </c>
      <c r="BJ638" s="31">
        <f t="shared" si="1217"/>
        <v>0.79826155710488134</v>
      </c>
      <c r="BK638" s="25">
        <f t="shared" si="1218"/>
        <v>1.7621999999999998</v>
      </c>
      <c r="BL638" s="32">
        <f t="shared" si="1219"/>
        <v>0.96393844289511843</v>
      </c>
      <c r="BM638" s="33">
        <f t="shared" si="1220"/>
        <v>1.2075471182542106</v>
      </c>
      <c r="BO638" s="62"/>
      <c r="BP638" s="62"/>
      <c r="BQ638" s="62"/>
      <c r="BR638" s="63"/>
    </row>
    <row r="639" spans="1:70">
      <c r="B639" s="1284"/>
      <c r="D639" s="5" t="s">
        <v>166</v>
      </c>
      <c r="E639" s="87">
        <v>0.36477416472579743</v>
      </c>
      <c r="F639" s="87">
        <v>0.36479693142667829</v>
      </c>
      <c r="G639" s="87">
        <v>0.36383842088384727</v>
      </c>
      <c r="H639" s="87">
        <v>0.36449718385982266</v>
      </c>
      <c r="I639" s="87">
        <v>0.36612255576882125</v>
      </c>
      <c r="J639" s="87">
        <v>0.36535840865997499</v>
      </c>
      <c r="K639" s="87">
        <v>0.36712807830742561</v>
      </c>
      <c r="L639" s="87">
        <v>0.36893956758969831</v>
      </c>
      <c r="N639" s="29">
        <v>0.36477416472579743</v>
      </c>
      <c r="O639" s="29">
        <v>0.36479693142667829</v>
      </c>
      <c r="P639" s="29">
        <v>0.36383842088384727</v>
      </c>
      <c r="Q639" s="29">
        <v>0.36449718385982266</v>
      </c>
      <c r="R639" s="29">
        <v>0.36612255576882125</v>
      </c>
      <c r="S639" s="29">
        <v>0.36535840865997499</v>
      </c>
      <c r="T639" s="29">
        <v>0.36712807830742561</v>
      </c>
      <c r="U639" s="29">
        <v>0.36893956758969831</v>
      </c>
      <c r="W639" s="30">
        <v>0.86235213716065429</v>
      </c>
      <c r="X639" s="30">
        <v>0.87009448587127158</v>
      </c>
      <c r="Y639" s="30">
        <v>0.48556892487668601</v>
      </c>
      <c r="Z639" s="30">
        <v>0.21746397560252448</v>
      </c>
      <c r="AA639" s="30">
        <v>0.26550596266196902</v>
      </c>
      <c r="AB639" s="30">
        <v>2.3143782409311719</v>
      </c>
      <c r="AC639" s="30">
        <v>0.66889999999999994</v>
      </c>
      <c r="AD639" s="90">
        <v>0</v>
      </c>
      <c r="AF639" s="29">
        <f t="shared" si="1221"/>
        <v>0.36477416472579743</v>
      </c>
      <c r="AG639" s="30">
        <f t="shared" si="1222"/>
        <v>0.86235213716065429</v>
      </c>
      <c r="AH639" s="32">
        <f t="shared" si="1223"/>
        <v>0.49757797243485685</v>
      </c>
      <c r="AI639" s="33">
        <f t="shared" si="1224"/>
        <v>1.3640713091862982</v>
      </c>
      <c r="AK639" s="29">
        <f t="shared" si="1213"/>
        <v>0.36479693142667829</v>
      </c>
      <c r="AL639" s="30">
        <f t="shared" si="1214"/>
        <v>0.87009448587127158</v>
      </c>
      <c r="AM639" s="32">
        <f t="shared" si="1225"/>
        <v>0.50529755444459323</v>
      </c>
      <c r="AN639" s="33">
        <f t="shared" si="1226"/>
        <v>1.3851474914233335</v>
      </c>
      <c r="AP639" s="29">
        <f t="shared" si="1227"/>
        <v>0.36383842088384727</v>
      </c>
      <c r="AQ639" s="30">
        <f t="shared" si="1228"/>
        <v>0.48556892487668601</v>
      </c>
      <c r="AR639" s="32">
        <f t="shared" si="1229"/>
        <v>0.12173050399283875</v>
      </c>
      <c r="AS639" s="33">
        <f t="shared" si="1230"/>
        <v>0.33457297801899905</v>
      </c>
      <c r="AU639" s="31">
        <f t="shared" si="1231"/>
        <v>0.36449718385982266</v>
      </c>
      <c r="AV639" s="25">
        <f t="shared" si="1232"/>
        <v>0.21746397560252448</v>
      </c>
      <c r="AW639" s="32">
        <f t="shared" si="1233"/>
        <v>-0.14703320825729818</v>
      </c>
      <c r="AX639" s="33">
        <f t="shared" si="1234"/>
        <v>-0.40338640397793529</v>
      </c>
      <c r="AZ639" s="31">
        <f t="shared" si="1215"/>
        <v>0.36612255576882125</v>
      </c>
      <c r="BA639" s="25">
        <f t="shared" si="1216"/>
        <v>0.26550596266196902</v>
      </c>
      <c r="BB639" s="32">
        <f t="shared" si="1235"/>
        <v>-0.10061659310685223</v>
      </c>
      <c r="BC639" s="33">
        <f t="shared" si="1236"/>
        <v>-0.27481670146098292</v>
      </c>
      <c r="BE639" s="31">
        <f t="shared" si="1237"/>
        <v>0.36535840865997499</v>
      </c>
      <c r="BF639" s="25">
        <f t="shared" si="1238"/>
        <v>2.3143782409311719</v>
      </c>
      <c r="BG639" s="32">
        <f t="shared" si="1239"/>
        <v>1.9490198322711969</v>
      </c>
      <c r="BH639" s="33">
        <f t="shared" si="1240"/>
        <v>5.3345421538801228</v>
      </c>
      <c r="BJ639" s="31">
        <f t="shared" si="1217"/>
        <v>0.36712807830742561</v>
      </c>
      <c r="BK639" s="25">
        <f t="shared" si="1218"/>
        <v>0.66889999999999994</v>
      </c>
      <c r="BL639" s="32">
        <f t="shared" si="1219"/>
        <v>0.30177192169257433</v>
      </c>
      <c r="BM639" s="33">
        <f t="shared" si="1220"/>
        <v>0.82197995610642627</v>
      </c>
      <c r="BO639" s="62"/>
      <c r="BP639" s="62"/>
      <c r="BQ639" s="62"/>
      <c r="BR639" s="63"/>
    </row>
    <row r="640" spans="1:70">
      <c r="B640" s="1284"/>
      <c r="D640" s="5" t="s">
        <v>167</v>
      </c>
      <c r="E640" s="87">
        <v>0.39022775963842249</v>
      </c>
      <c r="F640" s="87">
        <v>0.39177809376134354</v>
      </c>
      <c r="G640" s="87">
        <v>0.39098523211237202</v>
      </c>
      <c r="H640" s="87">
        <v>0.39057631175455015</v>
      </c>
      <c r="I640" s="87">
        <v>0.39277957843208283</v>
      </c>
      <c r="J640" s="87">
        <v>0.39222931872533445</v>
      </c>
      <c r="K640" s="87">
        <v>0.39296999606912952</v>
      </c>
      <c r="L640" s="87">
        <v>0.39533057917285508</v>
      </c>
      <c r="N640" s="29">
        <v>0.39022775963842249</v>
      </c>
      <c r="O640" s="29">
        <v>0.39177809376134354</v>
      </c>
      <c r="P640" s="29">
        <v>0.39098523211237202</v>
      </c>
      <c r="Q640" s="29">
        <v>0.39057631175455015</v>
      </c>
      <c r="R640" s="29">
        <v>0.39277957843208283</v>
      </c>
      <c r="S640" s="29">
        <v>0.39222931872533445</v>
      </c>
      <c r="T640" s="29">
        <v>0.39296999606912952</v>
      </c>
      <c r="U640" s="29">
        <v>0.39533057917285508</v>
      </c>
      <c r="W640" s="30">
        <v>1.7115111261867226</v>
      </c>
      <c r="X640" s="30">
        <v>0.77028607656080195</v>
      </c>
      <c r="Y640" s="30">
        <v>0.61233750200066928</v>
      </c>
      <c r="Z640" s="30">
        <v>0.42614152794838128</v>
      </c>
      <c r="AA640" s="30">
        <v>0.48818838295910438</v>
      </c>
      <c r="AB640" s="30">
        <v>0.64946446066350083</v>
      </c>
      <c r="AC640" s="30">
        <v>0.63769999999999993</v>
      </c>
      <c r="AD640" s="90">
        <v>0</v>
      </c>
      <c r="AF640" s="29">
        <f t="shared" si="1221"/>
        <v>0.39022775963842249</v>
      </c>
      <c r="AG640" s="30">
        <f t="shared" si="1222"/>
        <v>1.7115111261867226</v>
      </c>
      <c r="AH640" s="32">
        <f t="shared" si="1223"/>
        <v>1.3212833665483001</v>
      </c>
      <c r="AI640" s="33">
        <f t="shared" si="1224"/>
        <v>3.3859286888574402</v>
      </c>
      <c r="AK640" s="29">
        <f t="shared" si="1213"/>
        <v>0.39177809376134354</v>
      </c>
      <c r="AL640" s="30">
        <f t="shared" si="1214"/>
        <v>0.77028607656080195</v>
      </c>
      <c r="AM640" s="32">
        <f t="shared" si="1225"/>
        <v>0.37850798279945841</v>
      </c>
      <c r="AN640" s="33">
        <f t="shared" si="1226"/>
        <v>0.96612850189125488</v>
      </c>
      <c r="AP640" s="29">
        <f t="shared" si="1227"/>
        <v>0.39098523211237202</v>
      </c>
      <c r="AQ640" s="30">
        <f t="shared" si="1228"/>
        <v>0.61233750200066928</v>
      </c>
      <c r="AR640" s="32">
        <f t="shared" si="1229"/>
        <v>0.22135226988829726</v>
      </c>
      <c r="AS640" s="33">
        <f t="shared" si="1230"/>
        <v>0.56613972014339153</v>
      </c>
      <c r="AU640" s="31">
        <f t="shared" si="1231"/>
        <v>0.39057631175455015</v>
      </c>
      <c r="AV640" s="25">
        <f t="shared" si="1232"/>
        <v>0.42614152794838128</v>
      </c>
      <c r="AW640" s="32">
        <f t="shared" si="1233"/>
        <v>3.5565216193831128E-2</v>
      </c>
      <c r="AX640" s="33">
        <f t="shared" si="1234"/>
        <v>9.105830313688193E-2</v>
      </c>
      <c r="AZ640" s="31">
        <f t="shared" si="1215"/>
        <v>0.39277957843208283</v>
      </c>
      <c r="BA640" s="25">
        <f t="shared" si="1216"/>
        <v>0.48818838295910438</v>
      </c>
      <c r="BB640" s="32">
        <f t="shared" si="1235"/>
        <v>9.5408804527021551E-2</v>
      </c>
      <c r="BC640" s="33">
        <f t="shared" si="1236"/>
        <v>0.2429067338680875</v>
      </c>
      <c r="BE640" s="31">
        <f t="shared" si="1237"/>
        <v>0.39222931872533445</v>
      </c>
      <c r="BF640" s="25">
        <f t="shared" si="1238"/>
        <v>0.64946446066350083</v>
      </c>
      <c r="BG640" s="32">
        <f t="shared" si="1239"/>
        <v>0.25723514193816638</v>
      </c>
      <c r="BH640" s="33">
        <f t="shared" si="1240"/>
        <v>0.65582843927661572</v>
      </c>
      <c r="BJ640" s="31">
        <f t="shared" si="1217"/>
        <v>0.39296999606912952</v>
      </c>
      <c r="BK640" s="25">
        <f t="shared" si="1218"/>
        <v>0.63769999999999993</v>
      </c>
      <c r="BL640" s="32">
        <f t="shared" si="1219"/>
        <v>0.24473000393087041</v>
      </c>
      <c r="BM640" s="33">
        <f t="shared" si="1220"/>
        <v>0.62277020225182433</v>
      </c>
      <c r="BO640" s="62"/>
      <c r="BP640" s="62"/>
      <c r="BQ640" s="62"/>
      <c r="BR640" s="63"/>
    </row>
    <row r="641" spans="1:70">
      <c r="B641" s="1284"/>
      <c r="D641" s="5" t="s">
        <v>168</v>
      </c>
      <c r="E641" s="87">
        <v>1.1811978126887246</v>
      </c>
      <c r="F641" s="87">
        <v>0.56007453102246441</v>
      </c>
      <c r="G641" s="87">
        <v>0.56528021392814032</v>
      </c>
      <c r="H641" s="87">
        <v>0.5705531836959673</v>
      </c>
      <c r="I641" s="87">
        <v>0.57589421340837998</v>
      </c>
      <c r="J641" s="87">
        <v>0.58130408590885385</v>
      </c>
      <c r="K641" s="87">
        <v>0.58678359392072987</v>
      </c>
      <c r="L641" s="87">
        <v>0.59233354016753281</v>
      </c>
      <c r="N641" s="29">
        <v>1.2320141027714984</v>
      </c>
      <c r="O641" s="29">
        <v>1.0664078285918481</v>
      </c>
      <c r="P641" s="29">
        <v>0.85875726881276759</v>
      </c>
      <c r="Q641" s="29">
        <v>0.78555514807465732</v>
      </c>
      <c r="R641" s="29">
        <v>0.80351329223480628</v>
      </c>
      <c r="S641" s="29">
        <v>0.79120773594413463</v>
      </c>
      <c r="T641" s="29">
        <v>0.71053388372092441</v>
      </c>
      <c r="U641" s="29">
        <v>0.66940225768101147</v>
      </c>
      <c r="W641" s="30">
        <v>0.86853372546837082</v>
      </c>
      <c r="X641" s="30">
        <v>0.42996342809323651</v>
      </c>
      <c r="Y641" s="30">
        <v>0.63026520439073719</v>
      </c>
      <c r="Z641" s="30">
        <v>0.31733272690429259</v>
      </c>
      <c r="AA641" s="30">
        <v>0.34625878868299881</v>
      </c>
      <c r="AB641" s="30">
        <v>0.31454393541008913</v>
      </c>
      <c r="AC641" s="30">
        <v>0.62172768496159525</v>
      </c>
      <c r="AD641" s="90">
        <v>0</v>
      </c>
      <c r="AF641" s="29">
        <f t="shared" si="1221"/>
        <v>1.2320141027714984</v>
      </c>
      <c r="AG641" s="30">
        <f t="shared" si="1222"/>
        <v>0.86853372546837082</v>
      </c>
      <c r="AH641" s="32">
        <f t="shared" si="1223"/>
        <v>-0.36348037730312754</v>
      </c>
      <c r="AI641" s="33">
        <f t="shared" si="1224"/>
        <v>-0.29502939656733967</v>
      </c>
      <c r="AK641" s="29">
        <f t="shared" si="1213"/>
        <v>1.0664078285918481</v>
      </c>
      <c r="AL641" s="30">
        <f t="shared" si="1214"/>
        <v>0.42996342809323651</v>
      </c>
      <c r="AM641" s="32">
        <f t="shared" si="1225"/>
        <v>-0.63644440049861162</v>
      </c>
      <c r="AN641" s="33">
        <f t="shared" si="1226"/>
        <v>-0.59681144814832499</v>
      </c>
      <c r="AP641" s="29">
        <f t="shared" si="1227"/>
        <v>0.85875726881276759</v>
      </c>
      <c r="AQ641" s="30">
        <f t="shared" si="1228"/>
        <v>0.63026520439073719</v>
      </c>
      <c r="AR641" s="32">
        <f t="shared" si="1229"/>
        <v>-0.22849206442203041</v>
      </c>
      <c r="AS641" s="33">
        <f t="shared" si="1230"/>
        <v>-0.2660729320380843</v>
      </c>
      <c r="AU641" s="31">
        <f t="shared" si="1231"/>
        <v>0.78555514807465732</v>
      </c>
      <c r="AV641" s="25">
        <f t="shared" si="1232"/>
        <v>0.31733272690429259</v>
      </c>
      <c r="AW641" s="32">
        <f t="shared" si="1233"/>
        <v>-0.46822242117036472</v>
      </c>
      <c r="AX641" s="33">
        <f t="shared" si="1234"/>
        <v>-0.59604016639435986</v>
      </c>
      <c r="AZ641" s="31">
        <f t="shared" si="1215"/>
        <v>0.80351329223480628</v>
      </c>
      <c r="BA641" s="25">
        <f t="shared" si="1216"/>
        <v>0.34625878868299881</v>
      </c>
      <c r="BB641" s="32">
        <f t="shared" si="1235"/>
        <v>-0.45725450355180747</v>
      </c>
      <c r="BC641" s="33">
        <f t="shared" si="1236"/>
        <v>-0.5690689973280324</v>
      </c>
      <c r="BE641" s="31">
        <f t="shared" si="1237"/>
        <v>0.79120773594413463</v>
      </c>
      <c r="BF641" s="25">
        <f t="shared" si="1238"/>
        <v>0.31454393541008913</v>
      </c>
      <c r="BG641" s="32">
        <f t="shared" si="1239"/>
        <v>-0.4766638005340455</v>
      </c>
      <c r="BH641" s="33">
        <f t="shared" si="1240"/>
        <v>-0.60245088474173059</v>
      </c>
      <c r="BJ641" s="31">
        <f t="shared" si="1217"/>
        <v>0.71053388372092441</v>
      </c>
      <c r="BK641" s="25">
        <f t="shared" si="1218"/>
        <v>0.62172768496159525</v>
      </c>
      <c r="BL641" s="32">
        <f t="shared" si="1219"/>
        <v>-8.8806198759329158E-2</v>
      </c>
      <c r="BM641" s="33">
        <f t="shared" si="1220"/>
        <v>-0.12498517072017563</v>
      </c>
      <c r="BO641" s="62"/>
      <c r="BP641" s="62"/>
      <c r="BQ641" s="62"/>
      <c r="BR641" s="63"/>
    </row>
    <row r="642" spans="1:70">
      <c r="B642" s="1284"/>
      <c r="D642" s="5" t="s">
        <v>169</v>
      </c>
      <c r="E642" s="87">
        <v>0.81620074909602747</v>
      </c>
      <c r="F642" s="87">
        <v>0.82375944157495185</v>
      </c>
      <c r="G642" s="87">
        <v>0.83141597692135893</v>
      </c>
      <c r="H642" s="87">
        <v>0.80189634311879854</v>
      </c>
      <c r="I642" s="87">
        <v>0.73415492604470223</v>
      </c>
      <c r="J642" s="87">
        <v>0.74105147831597884</v>
      </c>
      <c r="K642" s="87">
        <v>0.74961196440238775</v>
      </c>
      <c r="L642" s="87">
        <v>0.87279615726917426</v>
      </c>
      <c r="N642" s="29">
        <v>1.2532078641551299</v>
      </c>
      <c r="O642" s="29">
        <v>1.3976927130661332</v>
      </c>
      <c r="P642" s="29">
        <v>1.2555560809795425</v>
      </c>
      <c r="Q642" s="29">
        <v>1.2414029494009726</v>
      </c>
      <c r="R642" s="29">
        <v>1.194272958824713</v>
      </c>
      <c r="S642" s="29">
        <v>1.1785614486824474</v>
      </c>
      <c r="T642" s="29">
        <v>1.1093611694781409</v>
      </c>
      <c r="U642" s="29">
        <v>1.1017320551573653</v>
      </c>
      <c r="W642" s="30">
        <v>0.61580689243246378</v>
      </c>
      <c r="X642" s="30">
        <v>0.84587533769745105</v>
      </c>
      <c r="Y642" s="30">
        <v>0.19036127719670115</v>
      </c>
      <c r="Z642" s="30">
        <v>0.30772820315810179</v>
      </c>
      <c r="AA642" s="30">
        <v>0.13512683921231541</v>
      </c>
      <c r="AB642" s="30">
        <v>0.14934647609662671</v>
      </c>
      <c r="AC642" s="30">
        <v>1.7275522722390249</v>
      </c>
      <c r="AD642" s="90">
        <v>0</v>
      </c>
      <c r="AF642" s="29">
        <f t="shared" si="1221"/>
        <v>1.2532078641551299</v>
      </c>
      <c r="AG642" s="30">
        <f t="shared" si="1222"/>
        <v>0.61580689243246378</v>
      </c>
      <c r="AH642" s="32">
        <f t="shared" si="1223"/>
        <v>-0.63740097172266608</v>
      </c>
      <c r="AI642" s="33">
        <f t="shared" si="1224"/>
        <v>-0.50861552177729119</v>
      </c>
      <c r="AK642" s="29">
        <f t="shared" si="1213"/>
        <v>1.3976927130661332</v>
      </c>
      <c r="AL642" s="30">
        <f t="shared" si="1214"/>
        <v>0.84587533769745105</v>
      </c>
      <c r="AM642" s="32">
        <f t="shared" si="1225"/>
        <v>-0.55181737536868214</v>
      </c>
      <c r="AN642" s="33">
        <f t="shared" si="1226"/>
        <v>-0.3948059328134827</v>
      </c>
      <c r="AP642" s="29">
        <f t="shared" si="1227"/>
        <v>1.2555560809795425</v>
      </c>
      <c r="AQ642" s="30">
        <f t="shared" si="1228"/>
        <v>0.19036127719670115</v>
      </c>
      <c r="AR642" s="32">
        <f t="shared" si="1229"/>
        <v>-1.0651948037828414</v>
      </c>
      <c r="AS642" s="33">
        <f t="shared" si="1230"/>
        <v>-0.84838488691943759</v>
      </c>
      <c r="AU642" s="31">
        <f t="shared" si="1231"/>
        <v>1.2414029494009726</v>
      </c>
      <c r="AV642" s="25">
        <f t="shared" si="1232"/>
        <v>0.30772820315810179</v>
      </c>
      <c r="AW642" s="32">
        <f t="shared" si="1233"/>
        <v>-0.93367474624287083</v>
      </c>
      <c r="AX642" s="33">
        <f t="shared" si="1234"/>
        <v>-0.75211255675959754</v>
      </c>
      <c r="AZ642" s="31">
        <f t="shared" si="1215"/>
        <v>1.194272958824713</v>
      </c>
      <c r="BA642" s="25">
        <f t="shared" si="1216"/>
        <v>0.13512683921231541</v>
      </c>
      <c r="BB642" s="32">
        <f t="shared" si="1235"/>
        <v>-1.0591461196123975</v>
      </c>
      <c r="BC642" s="33">
        <f t="shared" si="1236"/>
        <v>-0.88685430896359396</v>
      </c>
      <c r="BE642" s="31">
        <f t="shared" si="1237"/>
        <v>1.1785614486824474</v>
      </c>
      <c r="BF642" s="25">
        <f t="shared" si="1238"/>
        <v>0.14934647609662671</v>
      </c>
      <c r="BG642" s="32">
        <f t="shared" si="1239"/>
        <v>-1.0292149725858206</v>
      </c>
      <c r="BH642" s="33">
        <f t="shared" si="1240"/>
        <v>-0.87328070482571263</v>
      </c>
      <c r="BJ642" s="31">
        <f t="shared" si="1217"/>
        <v>1.1093611694781409</v>
      </c>
      <c r="BK642" s="25">
        <f t="shared" si="1218"/>
        <v>1.7275522722390249</v>
      </c>
      <c r="BL642" s="32">
        <f t="shared" si="1219"/>
        <v>0.61819110276088396</v>
      </c>
      <c r="BM642" s="33">
        <f t="shared" si="1220"/>
        <v>0.55724963138171657</v>
      </c>
      <c r="BO642" s="62"/>
      <c r="BP642" s="62"/>
      <c r="BQ642" s="62"/>
      <c r="BR642" s="63"/>
    </row>
    <row r="643" spans="1:70">
      <c r="B643" s="1284"/>
      <c r="D643" s="5" t="s">
        <v>170</v>
      </c>
      <c r="E643" s="87">
        <v>1.8980014182148617</v>
      </c>
      <c r="F643" s="87">
        <v>1.9155784776095486</v>
      </c>
      <c r="G643" s="87">
        <v>1.9333830617908145</v>
      </c>
      <c r="H643" s="87">
        <v>1.9514177818876124</v>
      </c>
      <c r="I643" s="87">
        <v>1.9696852820124491</v>
      </c>
      <c r="J643" s="87">
        <v>1.9881882396627475</v>
      </c>
      <c r="K643" s="87">
        <v>2.0069293661272498</v>
      </c>
      <c r="L643" s="87">
        <v>2.0949767900424838</v>
      </c>
      <c r="N643" s="29">
        <v>1.9772671672965265</v>
      </c>
      <c r="O643" s="29">
        <v>2.0235639533756307</v>
      </c>
      <c r="P643" s="29">
        <v>2.0948865160544474</v>
      </c>
      <c r="Q643" s="29">
        <v>2.1685704911622481</v>
      </c>
      <c r="R643" s="29">
        <v>2.1247014320248945</v>
      </c>
      <c r="S643" s="29">
        <v>1.9686878062710671</v>
      </c>
      <c r="T643" s="29">
        <v>1.9234017306161184</v>
      </c>
      <c r="U643" s="29">
        <v>1.8304702888848123</v>
      </c>
      <c r="W643" s="30">
        <v>0.53937034547941565</v>
      </c>
      <c r="X643" s="30">
        <v>0.50480781302873479</v>
      </c>
      <c r="Y643" s="30">
        <v>0.56965549899775669</v>
      </c>
      <c r="Z643" s="30">
        <v>1.0183674096847555</v>
      </c>
      <c r="AA643" s="30">
        <v>0.53352185772269201</v>
      </c>
      <c r="AB643" s="30">
        <v>0.80466808241156407</v>
      </c>
      <c r="AC643" s="30">
        <v>3.9961687229070515</v>
      </c>
      <c r="AD643" s="90">
        <v>0</v>
      </c>
      <c r="AF643" s="29">
        <f t="shared" si="1221"/>
        <v>1.9772671672965265</v>
      </c>
      <c r="AG643" s="30">
        <f t="shared" si="1222"/>
        <v>0.53937034547941565</v>
      </c>
      <c r="AH643" s="32">
        <f t="shared" si="1223"/>
        <v>-1.4378968218171109</v>
      </c>
      <c r="AI643" s="33">
        <f t="shared" si="1224"/>
        <v>-0.72721423063081314</v>
      </c>
      <c r="AK643" s="29">
        <f t="shared" si="1213"/>
        <v>2.0235639533756307</v>
      </c>
      <c r="AL643" s="30">
        <f t="shared" si="1214"/>
        <v>0.50480781302873479</v>
      </c>
      <c r="AM643" s="32">
        <f t="shared" si="1225"/>
        <v>-1.5187561403468959</v>
      </c>
      <c r="AN643" s="33">
        <f t="shared" si="1226"/>
        <v>-0.75053528098944733</v>
      </c>
      <c r="AP643" s="29">
        <f t="shared" si="1227"/>
        <v>2.0948865160544474</v>
      </c>
      <c r="AQ643" s="30">
        <f t="shared" si="1228"/>
        <v>0.56965549899775669</v>
      </c>
      <c r="AR643" s="32">
        <f t="shared" si="1229"/>
        <v>-1.5252310170566907</v>
      </c>
      <c r="AS643" s="33">
        <f t="shared" si="1230"/>
        <v>-0.72807333732298896</v>
      </c>
      <c r="AU643" s="31">
        <f t="shared" si="1231"/>
        <v>2.1685704911622481</v>
      </c>
      <c r="AV643" s="25">
        <f t="shared" si="1232"/>
        <v>1.0183674096847555</v>
      </c>
      <c r="AW643" s="32">
        <f t="shared" si="1233"/>
        <v>-1.1502030814774926</v>
      </c>
      <c r="AX643" s="33">
        <f t="shared" si="1234"/>
        <v>-0.53039690716304078</v>
      </c>
      <c r="AZ643" s="31">
        <f t="shared" si="1215"/>
        <v>2.1247014320248945</v>
      </c>
      <c r="BA643" s="25">
        <f t="shared" si="1216"/>
        <v>0.53352185772269201</v>
      </c>
      <c r="BB643" s="32">
        <f t="shared" si="1235"/>
        <v>-1.5911795743022026</v>
      </c>
      <c r="BC643" s="33">
        <f t="shared" si="1236"/>
        <v>-0.7488956096696221</v>
      </c>
      <c r="BE643" s="31">
        <f t="shared" si="1237"/>
        <v>1.9686878062710671</v>
      </c>
      <c r="BF643" s="25">
        <f t="shared" si="1238"/>
        <v>0.80466808241156407</v>
      </c>
      <c r="BG643" s="32">
        <f t="shared" si="1239"/>
        <v>-1.1640197238595031</v>
      </c>
      <c r="BH643" s="33">
        <f t="shared" si="1240"/>
        <v>-0.59126679209960531</v>
      </c>
      <c r="BJ643" s="31">
        <f t="shared" si="1217"/>
        <v>1.9234017306161184</v>
      </c>
      <c r="BK643" s="25">
        <f t="shared" si="1218"/>
        <v>3.9961687229070515</v>
      </c>
      <c r="BL643" s="32">
        <f t="shared" si="1219"/>
        <v>2.0727669922909331</v>
      </c>
      <c r="BM643" s="33">
        <f t="shared" si="1220"/>
        <v>1.0776568198402154</v>
      </c>
      <c r="BO643" s="62"/>
      <c r="BP643" s="62"/>
      <c r="BQ643" s="62"/>
      <c r="BR643" s="63"/>
    </row>
    <row r="644" spans="1:70">
      <c r="B644" s="1284"/>
      <c r="D644" s="5" t="s">
        <v>171</v>
      </c>
      <c r="E644" s="87">
        <v>3.0625789146380087</v>
      </c>
      <c r="F644" s="87">
        <v>3.0760024549638088</v>
      </c>
      <c r="G644" s="87">
        <v>3.0857053662910774</v>
      </c>
      <c r="H644" s="87">
        <v>3.0874489866904766</v>
      </c>
      <c r="I644" s="87">
        <v>3.1171920220611358</v>
      </c>
      <c r="J644" s="87">
        <v>3.1352154948085977</v>
      </c>
      <c r="K644" s="87">
        <v>3.1573990169209942</v>
      </c>
      <c r="L644" s="87">
        <v>3.1765415710856519</v>
      </c>
      <c r="N644" s="29">
        <v>3.0000906917134467</v>
      </c>
      <c r="O644" s="29">
        <v>2.9932719670813768</v>
      </c>
      <c r="P644" s="29">
        <v>2.9853194888982411</v>
      </c>
      <c r="Q644" s="29">
        <v>2.8867893155360229</v>
      </c>
      <c r="R644" s="29">
        <v>2.8219709856822921</v>
      </c>
      <c r="S644" s="29">
        <v>2.7627275673519405</v>
      </c>
      <c r="T644" s="29">
        <v>2.5176354120153492</v>
      </c>
      <c r="U644" s="29">
        <v>2.4342865426732638</v>
      </c>
      <c r="W644" s="30">
        <v>0.88082442695165175</v>
      </c>
      <c r="X644" s="30">
        <v>0.77153393681053617</v>
      </c>
      <c r="Y644" s="30">
        <v>0.7045674464267212</v>
      </c>
      <c r="Z644" s="30">
        <v>0.87149811034627866</v>
      </c>
      <c r="AA644" s="30">
        <v>0.63905944873501963</v>
      </c>
      <c r="AB644" s="30">
        <v>1.8266624639604654</v>
      </c>
      <c r="AC644" s="30">
        <v>2.0925242309159708</v>
      </c>
      <c r="AD644" s="90">
        <v>0</v>
      </c>
      <c r="AF644" s="29">
        <f t="shared" si="1221"/>
        <v>3.0000906917134467</v>
      </c>
      <c r="AG644" s="30">
        <f t="shared" si="1222"/>
        <v>0.88082442695165175</v>
      </c>
      <c r="AH644" s="32">
        <f t="shared" si="1223"/>
        <v>-2.1192662647617948</v>
      </c>
      <c r="AI644" s="33">
        <f t="shared" si="1224"/>
        <v>-0.70640073335630227</v>
      </c>
      <c r="AK644" s="29">
        <f t="shared" si="1213"/>
        <v>2.9932719670813768</v>
      </c>
      <c r="AL644" s="30">
        <f t="shared" si="1214"/>
        <v>0.77153393681053617</v>
      </c>
      <c r="AM644" s="32">
        <f t="shared" si="1225"/>
        <v>-2.2217380302708407</v>
      </c>
      <c r="AN644" s="33">
        <f t="shared" si="1226"/>
        <v>-0.74224395734984661</v>
      </c>
      <c r="AP644" s="29">
        <f t="shared" si="1227"/>
        <v>2.9853194888982411</v>
      </c>
      <c r="AQ644" s="30">
        <f t="shared" si="1228"/>
        <v>0.7045674464267212</v>
      </c>
      <c r="AR644" s="32">
        <f t="shared" si="1229"/>
        <v>-2.2807520424715197</v>
      </c>
      <c r="AS644" s="33">
        <f t="shared" si="1230"/>
        <v>-0.76398926511991239</v>
      </c>
      <c r="AU644" s="31">
        <f t="shared" si="1231"/>
        <v>2.8867893155360229</v>
      </c>
      <c r="AV644" s="25">
        <f t="shared" si="1232"/>
        <v>0.87149811034627866</v>
      </c>
      <c r="AW644" s="32">
        <f t="shared" si="1233"/>
        <v>-2.0152912051897443</v>
      </c>
      <c r="AX644" s="33">
        <f t="shared" si="1234"/>
        <v>-0.69810816963465938</v>
      </c>
      <c r="AZ644" s="31">
        <f t="shared" si="1215"/>
        <v>2.8219709856822921</v>
      </c>
      <c r="BA644" s="25">
        <f t="shared" si="1216"/>
        <v>0.63905944873501963</v>
      </c>
      <c r="BB644" s="32">
        <f t="shared" si="1235"/>
        <v>-2.1829115369472722</v>
      </c>
      <c r="BC644" s="33">
        <f t="shared" si="1236"/>
        <v>-0.77354145312712741</v>
      </c>
      <c r="BE644" s="31">
        <f t="shared" si="1237"/>
        <v>2.7627275673519405</v>
      </c>
      <c r="BF644" s="25">
        <f t="shared" si="1238"/>
        <v>1.8266624639604654</v>
      </c>
      <c r="BG644" s="32">
        <f t="shared" si="1239"/>
        <v>-0.93606510339147508</v>
      </c>
      <c r="BH644" s="33">
        <f t="shared" si="1240"/>
        <v>-0.33881918523319637</v>
      </c>
      <c r="BJ644" s="31">
        <f t="shared" si="1217"/>
        <v>2.5176354120153492</v>
      </c>
      <c r="BK644" s="25">
        <f t="shared" si="1218"/>
        <v>2.0925242309159708</v>
      </c>
      <c r="BL644" s="32">
        <f t="shared" si="1219"/>
        <v>-0.4251111810993784</v>
      </c>
      <c r="BM644" s="33">
        <f t="shared" si="1220"/>
        <v>-0.16885335305920246</v>
      </c>
      <c r="BO644" s="62"/>
      <c r="BP644" s="62"/>
      <c r="BQ644" s="62"/>
      <c r="BR644" s="63"/>
    </row>
    <row r="645" spans="1:70">
      <c r="B645" s="1284"/>
      <c r="D645" s="5" t="s">
        <v>172</v>
      </c>
      <c r="E645" s="87">
        <v>2.7323327264990889</v>
      </c>
      <c r="F645" s="87">
        <v>2.7551454465803964</v>
      </c>
      <c r="G645" s="87">
        <v>2.7636565214185334</v>
      </c>
      <c r="H645" s="87">
        <v>2.7662140200595022</v>
      </c>
      <c r="I645" s="87">
        <v>2.796039565153507</v>
      </c>
      <c r="J645" s="87">
        <v>2.8114744962552503</v>
      </c>
      <c r="K645" s="87">
        <v>2.8308502078306996</v>
      </c>
      <c r="L645" s="87">
        <v>2.8476927684233426</v>
      </c>
      <c r="N645" s="29">
        <v>2.5101235132912558</v>
      </c>
      <c r="O645" s="29">
        <v>2.7484314222371151</v>
      </c>
      <c r="P645" s="29">
        <v>2.5679458954552867</v>
      </c>
      <c r="Q645" s="29">
        <v>2.3999126084424587</v>
      </c>
      <c r="R645" s="29">
        <v>2.3549935498949339</v>
      </c>
      <c r="S645" s="29">
        <v>2.3697016730208107</v>
      </c>
      <c r="T645" s="29">
        <v>2.065809851497086</v>
      </c>
      <c r="U645" s="29">
        <v>1.8152585353943487</v>
      </c>
      <c r="W645" s="30">
        <v>0.72755132518381072</v>
      </c>
      <c r="X645" s="30">
        <v>1.2081961876643992</v>
      </c>
      <c r="Y645" s="30">
        <v>1.3337516292448937</v>
      </c>
      <c r="Z645" s="30">
        <v>1.8287730760916387</v>
      </c>
      <c r="AA645" s="30">
        <v>1.9748950245303847</v>
      </c>
      <c r="AB645" s="30">
        <v>2.6010116250028514</v>
      </c>
      <c r="AC645" s="30">
        <v>1.6972329020471764</v>
      </c>
      <c r="AD645" s="90">
        <v>0</v>
      </c>
      <c r="AF645" s="29">
        <f t="shared" si="1221"/>
        <v>2.5101235132912558</v>
      </c>
      <c r="AG645" s="30">
        <f t="shared" si="1222"/>
        <v>0.72755132518381072</v>
      </c>
      <c r="AH645" s="32">
        <f t="shared" si="1223"/>
        <v>-1.7825721881074452</v>
      </c>
      <c r="AI645" s="33">
        <f t="shared" si="1224"/>
        <v>-0.71015317719172688</v>
      </c>
      <c r="AK645" s="29">
        <f t="shared" si="1213"/>
        <v>2.7484314222371151</v>
      </c>
      <c r="AL645" s="30">
        <f t="shared" si="1214"/>
        <v>1.2081961876643992</v>
      </c>
      <c r="AM645" s="32">
        <f t="shared" si="1225"/>
        <v>-1.5402352345727159</v>
      </c>
      <c r="AN645" s="33">
        <f t="shared" si="1226"/>
        <v>-0.56040519043368564</v>
      </c>
      <c r="AP645" s="29">
        <f t="shared" si="1227"/>
        <v>2.5679458954552867</v>
      </c>
      <c r="AQ645" s="30">
        <f t="shared" si="1228"/>
        <v>1.3337516292448937</v>
      </c>
      <c r="AR645" s="32">
        <f t="shared" si="1229"/>
        <v>-1.2341942662103931</v>
      </c>
      <c r="AS645" s="33">
        <f t="shared" si="1230"/>
        <v>-0.48061536981548253</v>
      </c>
      <c r="AU645" s="31">
        <f t="shared" si="1231"/>
        <v>2.3999126084424587</v>
      </c>
      <c r="AV645" s="25">
        <f t="shared" si="1232"/>
        <v>1.8287730760916387</v>
      </c>
      <c r="AW645" s="32">
        <f t="shared" si="1233"/>
        <v>-0.57113953235081993</v>
      </c>
      <c r="AX645" s="33">
        <f t="shared" si="1234"/>
        <v>-0.23798347087375363</v>
      </c>
      <c r="AZ645" s="31">
        <f t="shared" si="1215"/>
        <v>2.3549935498949339</v>
      </c>
      <c r="BA645" s="25">
        <f t="shared" si="1216"/>
        <v>1.9748950245303847</v>
      </c>
      <c r="BB645" s="32">
        <f t="shared" si="1235"/>
        <v>-0.38009852536454924</v>
      </c>
      <c r="BC645" s="33">
        <f t="shared" si="1236"/>
        <v>-0.1614010897743253</v>
      </c>
      <c r="BE645" s="31">
        <f t="shared" si="1237"/>
        <v>2.3697016730208107</v>
      </c>
      <c r="BF645" s="25">
        <f t="shared" si="1238"/>
        <v>2.6010116250028514</v>
      </c>
      <c r="BG645" s="32">
        <f t="shared" si="1239"/>
        <v>0.23130995198204074</v>
      </c>
      <c r="BH645" s="33">
        <f t="shared" si="1240"/>
        <v>9.7611422828247876E-2</v>
      </c>
      <c r="BJ645" s="31">
        <f t="shared" si="1217"/>
        <v>2.065809851497086</v>
      </c>
      <c r="BK645" s="25">
        <f t="shared" si="1218"/>
        <v>1.6972329020471764</v>
      </c>
      <c r="BL645" s="32">
        <f t="shared" si="1219"/>
        <v>-0.3685769494499096</v>
      </c>
      <c r="BM645" s="33">
        <f t="shared" si="1220"/>
        <v>-0.17841765503383722</v>
      </c>
      <c r="BO645" s="62"/>
      <c r="BP645" s="62"/>
      <c r="BQ645" s="62"/>
      <c r="BR645" s="63"/>
    </row>
    <row r="646" spans="1:70">
      <c r="B646" s="1284"/>
      <c r="D646" s="5" t="s">
        <v>28</v>
      </c>
      <c r="E646" s="87">
        <v>1.7504817809469158</v>
      </c>
      <c r="F646" s="87">
        <v>1.7462858913986683</v>
      </c>
      <c r="G646" s="87">
        <v>1.7446082371649823</v>
      </c>
      <c r="H646" s="87">
        <v>1.731929303660557</v>
      </c>
      <c r="I646" s="87">
        <v>1.7273743375139261</v>
      </c>
      <c r="J646" s="87">
        <v>1.7230727370118049</v>
      </c>
      <c r="K646" s="87">
        <v>1.7189858322139644</v>
      </c>
      <c r="L646" s="87">
        <v>1.7152853567530875</v>
      </c>
      <c r="N646" s="29">
        <v>0.97360203061529005</v>
      </c>
      <c r="O646" s="29">
        <v>0.96184944517169935</v>
      </c>
      <c r="P646" s="29">
        <v>0.93055766890154301</v>
      </c>
      <c r="Q646" s="29">
        <v>0.92454638781269305</v>
      </c>
      <c r="R646" s="29">
        <v>0.92465902369409314</v>
      </c>
      <c r="S646" s="29">
        <v>0.91857413227294082</v>
      </c>
      <c r="T646" s="29">
        <v>0.91839572440433381</v>
      </c>
      <c r="U646" s="29">
        <v>0.90315802282507662</v>
      </c>
      <c r="W646" s="30">
        <v>2.3127396779592423E-2</v>
      </c>
      <c r="X646" s="30">
        <v>0</v>
      </c>
      <c r="Y646" s="30">
        <v>1.4227509057575625E-3</v>
      </c>
      <c r="Z646" s="30">
        <v>3.1301632851878522E-2</v>
      </c>
      <c r="AA646" s="30">
        <v>1.5199370597436025E-2</v>
      </c>
      <c r="AB646" s="30">
        <v>0.54278666509962048</v>
      </c>
      <c r="AC646" s="30">
        <v>1.2939746400000001</v>
      </c>
      <c r="AD646" s="90">
        <v>0</v>
      </c>
      <c r="AF646" s="29">
        <f t="shared" si="1221"/>
        <v>0.97360203061529005</v>
      </c>
      <c r="AG646" s="30">
        <f t="shared" si="1222"/>
        <v>2.3127396779592423E-2</v>
      </c>
      <c r="AH646" s="32">
        <f t="shared" si="1223"/>
        <v>-0.95047463383569764</v>
      </c>
      <c r="AI646" s="33">
        <f t="shared" si="1224"/>
        <v>-0.97624553354210186</v>
      </c>
      <c r="AK646" s="29">
        <f t="shared" si="1213"/>
        <v>0.96184944517169935</v>
      </c>
      <c r="AL646" s="30">
        <f t="shared" si="1214"/>
        <v>0</v>
      </c>
      <c r="AM646" s="32">
        <f t="shared" si="1225"/>
        <v>-0.96184944517169935</v>
      </c>
      <c r="AN646" s="33">
        <f t="shared" si="1226"/>
        <v>-1</v>
      </c>
      <c r="AP646" s="29">
        <f t="shared" si="1227"/>
        <v>0.93055766890154301</v>
      </c>
      <c r="AQ646" s="30">
        <f t="shared" si="1228"/>
        <v>1.4227509057575625E-3</v>
      </c>
      <c r="AR646" s="32">
        <f t="shared" si="1229"/>
        <v>-0.9291349179957854</v>
      </c>
      <c r="AS646" s="33">
        <f t="shared" si="1230"/>
        <v>-0.99847107712578731</v>
      </c>
      <c r="AU646" s="31">
        <f t="shared" si="1231"/>
        <v>0.92454638781269305</v>
      </c>
      <c r="AV646" s="25">
        <f t="shared" si="1232"/>
        <v>3.1301632851878522E-2</v>
      </c>
      <c r="AW646" s="32">
        <f t="shared" si="1233"/>
        <v>-0.89324475496081457</v>
      </c>
      <c r="AX646" s="33">
        <f t="shared" si="1234"/>
        <v>-0.96614379411947904</v>
      </c>
      <c r="AZ646" s="31">
        <f t="shared" si="1215"/>
        <v>0.92465902369409314</v>
      </c>
      <c r="BA646" s="25">
        <f t="shared" si="1216"/>
        <v>1.5199370597436025E-2</v>
      </c>
      <c r="BB646" s="32">
        <f t="shared" si="1235"/>
        <v>-0.90945965309665711</v>
      </c>
      <c r="BC646" s="33">
        <f t="shared" si="1236"/>
        <v>-0.98356218864688816</v>
      </c>
      <c r="BE646" s="31">
        <f t="shared" si="1237"/>
        <v>0.91857413227294082</v>
      </c>
      <c r="BF646" s="25">
        <f t="shared" si="1238"/>
        <v>0.54278666509962048</v>
      </c>
      <c r="BG646" s="32">
        <f t="shared" si="1239"/>
        <v>-0.37578746717332034</v>
      </c>
      <c r="BH646" s="33">
        <f t="shared" si="1240"/>
        <v>-0.40909868237140889</v>
      </c>
      <c r="BJ646" s="31">
        <f t="shared" si="1217"/>
        <v>0.91839572440433381</v>
      </c>
      <c r="BK646" s="25">
        <f t="shared" si="1218"/>
        <v>1.2939746400000001</v>
      </c>
      <c r="BL646" s="32">
        <f t="shared" si="1219"/>
        <v>0.37557891559566625</v>
      </c>
      <c r="BM646" s="33">
        <f t="shared" si="1220"/>
        <v>0.40895107154300459</v>
      </c>
      <c r="BO646" s="62"/>
      <c r="BP646" s="62"/>
      <c r="BQ646" s="62"/>
      <c r="BR646" s="63"/>
    </row>
    <row r="647" spans="1:70">
      <c r="B647" s="1284"/>
      <c r="D647" s="5" t="s">
        <v>173</v>
      </c>
      <c r="E647" s="87">
        <v>4.8238489789148815</v>
      </c>
      <c r="F647" s="87">
        <v>5.3014926949614649</v>
      </c>
      <c r="G647" s="87">
        <v>2.2981042761677934</v>
      </c>
      <c r="H647" s="87">
        <v>2.8370397080598067</v>
      </c>
      <c r="I647" s="87">
        <v>1.6215751226353203</v>
      </c>
      <c r="J647" s="87">
        <v>2.6909979134678719</v>
      </c>
      <c r="K647" s="87">
        <v>1.5855863061432245</v>
      </c>
      <c r="L647" s="87">
        <v>2.613403352441741</v>
      </c>
      <c r="N647" s="29">
        <v>3.7019212746047807</v>
      </c>
      <c r="O647" s="29">
        <v>3.8005930192459743</v>
      </c>
      <c r="P647" s="29">
        <v>2.9409818234346048</v>
      </c>
      <c r="Q647" s="29">
        <v>2.9722891870977404</v>
      </c>
      <c r="R647" s="29">
        <v>2.5443351589999912</v>
      </c>
      <c r="S647" s="29">
        <v>2.6757760068779168</v>
      </c>
      <c r="T647" s="29">
        <v>2.3565374531145094</v>
      </c>
      <c r="U647" s="29">
        <v>2.6469633020966858</v>
      </c>
      <c r="W647" s="30">
        <v>1.2389565475479218</v>
      </c>
      <c r="X647" s="30">
        <v>2.1156786346117618</v>
      </c>
      <c r="Y647" s="30">
        <v>0.90514408646189559</v>
      </c>
      <c r="Z647" s="30">
        <v>1.1881326405665917</v>
      </c>
      <c r="AA647" s="30">
        <v>1.1319882475750926</v>
      </c>
      <c r="AB647" s="30">
        <v>1.2181408312190016</v>
      </c>
      <c r="AC647" s="30">
        <v>1.45029111</v>
      </c>
      <c r="AD647" s="90">
        <v>0</v>
      </c>
      <c r="AF647" s="29">
        <f t="shared" si="1221"/>
        <v>3.7019212746047807</v>
      </c>
      <c r="AG647" s="30">
        <f t="shared" si="1222"/>
        <v>1.2389565475479218</v>
      </c>
      <c r="AH647" s="32">
        <f t="shared" si="1223"/>
        <v>-2.4629647270568586</v>
      </c>
      <c r="AI647" s="33">
        <f t="shared" si="1224"/>
        <v>-0.6653206657723445</v>
      </c>
      <c r="AK647" s="29">
        <f t="shared" si="1213"/>
        <v>3.8005930192459743</v>
      </c>
      <c r="AL647" s="30">
        <f t="shared" si="1214"/>
        <v>2.1156786346117618</v>
      </c>
      <c r="AM647" s="32">
        <f t="shared" si="1225"/>
        <v>-1.6849143846342125</v>
      </c>
      <c r="AN647" s="33">
        <f t="shared" si="1226"/>
        <v>-0.4433293373170733</v>
      </c>
      <c r="AP647" s="29">
        <f t="shared" si="1227"/>
        <v>2.9409818234346048</v>
      </c>
      <c r="AQ647" s="30">
        <f t="shared" si="1228"/>
        <v>0.90514408646189559</v>
      </c>
      <c r="AR647" s="32">
        <f t="shared" si="1229"/>
        <v>-2.0358377369727094</v>
      </c>
      <c r="AS647" s="33">
        <f t="shared" si="1230"/>
        <v>-0.69223064241694998</v>
      </c>
      <c r="AU647" s="31">
        <f t="shared" si="1231"/>
        <v>2.9722891870977404</v>
      </c>
      <c r="AV647" s="25">
        <f t="shared" si="1232"/>
        <v>1.1881326405665917</v>
      </c>
      <c r="AW647" s="32">
        <f t="shared" si="1233"/>
        <v>-1.7841565465311486</v>
      </c>
      <c r="AX647" s="33">
        <f t="shared" si="1234"/>
        <v>-0.60026344484779726</v>
      </c>
      <c r="AZ647" s="31">
        <f t="shared" si="1215"/>
        <v>2.5443351589999912</v>
      </c>
      <c r="BA647" s="25">
        <f t="shared" si="1216"/>
        <v>1.1319882475750926</v>
      </c>
      <c r="BB647" s="32">
        <f t="shared" si="1235"/>
        <v>-1.4123469114248985</v>
      </c>
      <c r="BC647" s="33">
        <f t="shared" si="1236"/>
        <v>-0.55509468020714614</v>
      </c>
      <c r="BE647" s="31">
        <f t="shared" si="1237"/>
        <v>2.6757760068779168</v>
      </c>
      <c r="BF647" s="25">
        <f t="shared" si="1238"/>
        <v>1.2181408312190016</v>
      </c>
      <c r="BG647" s="32">
        <f t="shared" si="1239"/>
        <v>-1.4576351756589152</v>
      </c>
      <c r="BH647" s="33">
        <f t="shared" si="1240"/>
        <v>-0.54475231555711467</v>
      </c>
      <c r="BJ647" s="31">
        <f t="shared" si="1217"/>
        <v>2.3565374531145094</v>
      </c>
      <c r="BK647" s="25">
        <f t="shared" si="1218"/>
        <v>1.45029111</v>
      </c>
      <c r="BL647" s="32">
        <f t="shared" si="1219"/>
        <v>-0.90624634311450936</v>
      </c>
      <c r="BM647" s="33">
        <f t="shared" si="1220"/>
        <v>-0.38456691698948903</v>
      </c>
      <c r="BO647" s="62"/>
      <c r="BP647" s="62"/>
      <c r="BQ647" s="62"/>
      <c r="BR647" s="63"/>
    </row>
    <row r="648" spans="1:70">
      <c r="A648" s="1"/>
      <c r="B648" s="1284"/>
      <c r="D648" s="4" t="s">
        <v>174</v>
      </c>
      <c r="E648" s="88">
        <f t="shared" ref="E648:L648" si="1241">SUM(E634:E647)</f>
        <v>23.067889586363528</v>
      </c>
      <c r="F648" s="88">
        <f t="shared" si="1241"/>
        <v>23.088201587153545</v>
      </c>
      <c r="G648" s="88">
        <f t="shared" si="1241"/>
        <v>20.0269698204742</v>
      </c>
      <c r="H648" s="88">
        <f t="shared" si="1241"/>
        <v>20.55028030087465</v>
      </c>
      <c r="I648" s="88">
        <f t="shared" si="1241"/>
        <v>16.170968334346174</v>
      </c>
      <c r="J648" s="88">
        <f t="shared" si="1241"/>
        <v>17.315753674491546</v>
      </c>
      <c r="K648" s="88">
        <f t="shared" si="1241"/>
        <v>16.051825441159409</v>
      </c>
      <c r="L648" s="88">
        <f t="shared" si="1241"/>
        <v>17.341455723000617</v>
      </c>
      <c r="M648" s="1"/>
      <c r="N648" s="81">
        <f t="shared" ref="N648:U648" si="1242">SUM(N634:N647)</f>
        <v>20.665585803235338</v>
      </c>
      <c r="O648" s="81">
        <f t="shared" si="1242"/>
        <v>20.813430943131014</v>
      </c>
      <c r="P648" s="81">
        <f t="shared" si="1242"/>
        <v>19.471854473403273</v>
      </c>
      <c r="Q648" s="81">
        <f t="shared" si="1242"/>
        <v>19.11943384250117</v>
      </c>
      <c r="R648" s="81">
        <f t="shared" si="1242"/>
        <v>17.671237237169585</v>
      </c>
      <c r="S648" s="81">
        <f t="shared" si="1242"/>
        <v>17.51129424966965</v>
      </c>
      <c r="T648" s="81">
        <f t="shared" si="1242"/>
        <v>16.273479457649497</v>
      </c>
      <c r="U648" s="81">
        <f t="shared" si="1242"/>
        <v>16.076339206843805</v>
      </c>
      <c r="V648" s="1"/>
      <c r="W648" s="85">
        <f t="shared" ref="W648:AD648" si="1243">SUM(W634:W647)</f>
        <v>12.033235046874204</v>
      </c>
      <c r="X648" s="85">
        <f t="shared" si="1243"/>
        <v>13.606006347497313</v>
      </c>
      <c r="Y648" s="85">
        <f t="shared" si="1243"/>
        <v>11.921310190467013</v>
      </c>
      <c r="Z648" s="85">
        <f>SUM(Z634:Z647)</f>
        <v>12.867266805776653</v>
      </c>
      <c r="AA648" s="85">
        <f>SUM(AA634:AA647)</f>
        <v>10.094710992222792</v>
      </c>
      <c r="AB648" s="85">
        <f t="shared" si="1243"/>
        <v>13.624642607267923</v>
      </c>
      <c r="AC648" s="85">
        <f t="shared" ref="AC648" si="1244">SUM(AC634:AC647)</f>
        <v>18.284628193385334</v>
      </c>
      <c r="AD648" s="91">
        <f t="shared" si="1243"/>
        <v>0</v>
      </c>
      <c r="AE648" s="1"/>
      <c r="AF648" s="81">
        <f t="shared" si="1221"/>
        <v>20.665585803235338</v>
      </c>
      <c r="AG648" s="85">
        <f t="shared" si="1222"/>
        <v>12.033235046874204</v>
      </c>
      <c r="AH648" s="34">
        <f t="shared" si="1223"/>
        <v>-8.6323507563611344</v>
      </c>
      <c r="AI648" s="35">
        <f t="shared" si="1224"/>
        <v>-0.41771623793067997</v>
      </c>
      <c r="AK648" s="81">
        <f t="shared" si="1213"/>
        <v>20.813430943131014</v>
      </c>
      <c r="AL648" s="85">
        <f t="shared" si="1214"/>
        <v>13.606006347497313</v>
      </c>
      <c r="AM648" s="34">
        <f>IF(AL648&gt;0,AL648-AK648,"")</f>
        <v>-7.2074245956337002</v>
      </c>
      <c r="AN648" s="35">
        <f>IF(AL648&gt;0,AM648/AK648,"")</f>
        <v>-0.34628719384741047</v>
      </c>
      <c r="AP648" s="81">
        <f t="shared" si="1227"/>
        <v>19.471854473403273</v>
      </c>
      <c r="AQ648" s="85">
        <f t="shared" si="1228"/>
        <v>11.921310190467013</v>
      </c>
      <c r="AR648" s="34">
        <f t="shared" si="1229"/>
        <v>-7.5505442829362597</v>
      </c>
      <c r="AS648" s="35">
        <f t="shared" si="1230"/>
        <v>-0.38776708675845928</v>
      </c>
      <c r="AU648" s="949">
        <f t="shared" si="1231"/>
        <v>19.11943384250117</v>
      </c>
      <c r="AV648" s="843">
        <f t="shared" si="1232"/>
        <v>12.867266805776653</v>
      </c>
      <c r="AW648" s="34">
        <f t="shared" si="1233"/>
        <v>-6.2521670367245168</v>
      </c>
      <c r="AX648" s="35">
        <f t="shared" si="1234"/>
        <v>-0.32700586681737326</v>
      </c>
      <c r="AZ648" s="949">
        <f t="shared" si="1215"/>
        <v>17.671237237169585</v>
      </c>
      <c r="BA648" s="843">
        <f t="shared" si="1216"/>
        <v>10.094710992222792</v>
      </c>
      <c r="BB648" s="34">
        <f t="shared" si="1235"/>
        <v>-7.5765262449467929</v>
      </c>
      <c r="BC648" s="35">
        <f t="shared" si="1236"/>
        <v>-0.42874905380198103</v>
      </c>
      <c r="BE648" s="31">
        <f t="shared" si="1237"/>
        <v>17.51129424966965</v>
      </c>
      <c r="BF648" s="25">
        <f t="shared" si="1238"/>
        <v>13.624642607267923</v>
      </c>
      <c r="BG648" s="32">
        <f t="shared" si="1239"/>
        <v>-3.886651642401727</v>
      </c>
      <c r="BH648" s="33">
        <f t="shared" si="1240"/>
        <v>-0.22195113547789586</v>
      </c>
      <c r="BJ648" s="31">
        <f t="shared" si="1217"/>
        <v>16.273479457649497</v>
      </c>
      <c r="BK648" s="25">
        <f t="shared" si="1218"/>
        <v>18.284628193385334</v>
      </c>
      <c r="BL648" s="32">
        <f t="shared" si="1219"/>
        <v>2.0111487357358371</v>
      </c>
      <c r="BM648" s="33">
        <f t="shared" si="1220"/>
        <v>0.12358443324733964</v>
      </c>
      <c r="BO648" s="62"/>
      <c r="BP648" s="62"/>
      <c r="BQ648" s="62"/>
      <c r="BR648" s="63"/>
    </row>
    <row r="649" spans="1:70">
      <c r="A649" s="1"/>
      <c r="B649" s="1284"/>
      <c r="D649" s="4" t="s">
        <v>724</v>
      </c>
      <c r="E649" s="88">
        <f t="shared" ref="E649:L649" si="1245">E648-SUM(E637:E640)</f>
        <v>20.809523011206846</v>
      </c>
      <c r="F649" s="88">
        <f t="shared" si="1245"/>
        <v>20.827709514961334</v>
      </c>
      <c r="G649" s="88">
        <f t="shared" si="1245"/>
        <v>17.77004139455445</v>
      </c>
      <c r="H649" s="88">
        <f t="shared" si="1245"/>
        <v>18.292696797464878</v>
      </c>
      <c r="I649" s="88">
        <f t="shared" si="1245"/>
        <v>13.904521124963805</v>
      </c>
      <c r="J649" s="88">
        <f t="shared" si="1245"/>
        <v>15.046051884738018</v>
      </c>
      <c r="K649" s="88">
        <f t="shared" si="1245"/>
        <v>13.776154888485486</v>
      </c>
      <c r="L649" s="88">
        <f t="shared" si="1245"/>
        <v>15.056766540037831</v>
      </c>
      <c r="M649" s="1"/>
      <c r="N649" s="81">
        <f t="shared" ref="N649:U649" si="1246">N648-SUM(N637:N640)</f>
        <v>18.407219228078656</v>
      </c>
      <c r="O649" s="81">
        <f t="shared" si="1246"/>
        <v>18.552938870938803</v>
      </c>
      <c r="P649" s="81">
        <f t="shared" si="1246"/>
        <v>17.214926047483523</v>
      </c>
      <c r="Q649" s="81">
        <f t="shared" si="1246"/>
        <v>16.861850339091397</v>
      </c>
      <c r="R649" s="81">
        <f t="shared" si="1246"/>
        <v>15.404790027787216</v>
      </c>
      <c r="S649" s="81">
        <f t="shared" si="1246"/>
        <v>15.241592459916122</v>
      </c>
      <c r="T649" s="81">
        <f t="shared" si="1246"/>
        <v>13.997808904975575</v>
      </c>
      <c r="U649" s="81">
        <f t="shared" si="1246"/>
        <v>13.791650023881019</v>
      </c>
      <c r="V649" s="1"/>
      <c r="W649" s="85">
        <f t="shared" ref="W649:AD649" si="1247">W648-SUM(W637:W640)</f>
        <v>7.5571596979401816</v>
      </c>
      <c r="X649" s="85">
        <f t="shared" si="1247"/>
        <v>9.6265863574598782</v>
      </c>
      <c r="Y649" s="85">
        <f t="shared" si="1247"/>
        <v>9.5194983988858297</v>
      </c>
      <c r="Z649" s="85">
        <f>Z648-SUM(Z637:Z640)</f>
        <v>9.7700526078013041</v>
      </c>
      <c r="AA649" s="85">
        <f>AA648-SUM(AA637:AA640)</f>
        <v>8.0456044900654984</v>
      </c>
      <c r="AB649" s="85">
        <f t="shared" si="1247"/>
        <v>8.2089129027123455</v>
      </c>
      <c r="AC649" s="85">
        <f t="shared" ref="AC649" si="1248">AC648-SUM(AC637:AC640)</f>
        <v>13.505928193385333</v>
      </c>
      <c r="AD649" s="91">
        <f t="shared" si="1247"/>
        <v>0</v>
      </c>
      <c r="AE649" s="1"/>
      <c r="AF649" s="81">
        <f t="shared" si="1221"/>
        <v>18.407219228078656</v>
      </c>
      <c r="AG649" s="85">
        <f t="shared" si="1222"/>
        <v>7.5571596979401816</v>
      </c>
      <c r="AH649" s="34">
        <f t="shared" si="1223"/>
        <v>-10.850059530138473</v>
      </c>
      <c r="AI649" s="35">
        <f t="shared" si="1224"/>
        <v>-0.58944587966810469</v>
      </c>
      <c r="AK649" s="81">
        <f t="shared" si="1213"/>
        <v>18.552938870938803</v>
      </c>
      <c r="AL649" s="85">
        <f t="shared" si="1214"/>
        <v>9.6265863574598782</v>
      </c>
      <c r="AM649" s="34">
        <f>IF(AL649&gt;0,AL649-AK649,"")</f>
        <v>-8.9263525134789248</v>
      </c>
      <c r="AN649" s="35">
        <f>IF(AL649&gt;0,AM649/AK649,"")</f>
        <v>-0.48112876216398809</v>
      </c>
      <c r="AP649" s="81">
        <f t="shared" si="1227"/>
        <v>17.214926047483523</v>
      </c>
      <c r="AQ649" s="85">
        <f>Y649</f>
        <v>9.5194983988858297</v>
      </c>
      <c r="AR649" s="34">
        <f t="shared" si="1229"/>
        <v>-7.6954276485976933</v>
      </c>
      <c r="AS649" s="35">
        <f t="shared" si="1230"/>
        <v>-0.44702066261403489</v>
      </c>
      <c r="AU649" s="949">
        <f t="shared" si="1231"/>
        <v>16.861850339091397</v>
      </c>
      <c r="AV649" s="843">
        <f t="shared" si="1232"/>
        <v>9.7700526078013041</v>
      </c>
      <c r="AW649" s="34">
        <f t="shared" si="1233"/>
        <v>-7.0917977312900931</v>
      </c>
      <c r="AX649" s="35">
        <f t="shared" si="1234"/>
        <v>-0.4205824146623422</v>
      </c>
      <c r="AZ649" s="949">
        <f t="shared" si="1215"/>
        <v>15.404790027787216</v>
      </c>
      <c r="BA649" s="843">
        <f t="shared" si="1216"/>
        <v>8.0456044900654984</v>
      </c>
      <c r="BB649" s="34">
        <f t="shared" si="1235"/>
        <v>-7.3591855377217179</v>
      </c>
      <c r="BC649" s="35">
        <f t="shared" si="1236"/>
        <v>-0.47772060018002144</v>
      </c>
      <c r="BE649" s="31">
        <f t="shared" si="1237"/>
        <v>15.241592459916122</v>
      </c>
      <c r="BF649" s="25">
        <f t="shared" si="1238"/>
        <v>8.2089129027123455</v>
      </c>
      <c r="BG649" s="32">
        <f t="shared" si="1239"/>
        <v>-7.0326795572037764</v>
      </c>
      <c r="BH649" s="33">
        <f t="shared" si="1240"/>
        <v>-0.46141369910650915</v>
      </c>
      <c r="BJ649" s="31">
        <f t="shared" si="1217"/>
        <v>13.997808904975575</v>
      </c>
      <c r="BK649" s="25">
        <f t="shared" si="1218"/>
        <v>13.505928193385333</v>
      </c>
      <c r="BL649" s="32">
        <f t="shared" si="1219"/>
        <v>-0.49188071159024105</v>
      </c>
      <c r="BM649" s="33">
        <f t="shared" si="1220"/>
        <v>-3.5139836165030101E-2</v>
      </c>
      <c r="BO649" s="62"/>
      <c r="BP649" s="62"/>
      <c r="BQ649" s="62"/>
      <c r="BR649" s="63"/>
    </row>
    <row r="650" spans="1:70" ht="14.5" customHeight="1">
      <c r="B650" s="1284"/>
    </row>
    <row r="651" spans="1:70" ht="14.5" customHeight="1">
      <c r="B651" s="1284"/>
      <c r="D651" s="1" t="s">
        <v>92</v>
      </c>
    </row>
    <row r="652" spans="1:70" ht="14.5" customHeight="1">
      <c r="B652" s="1284"/>
      <c r="E652" s="1300" t="s">
        <v>733</v>
      </c>
      <c r="F652" s="1301"/>
      <c r="G652" s="1301"/>
      <c r="H652" s="1301"/>
      <c r="I652" s="1301"/>
      <c r="J652" s="1301"/>
      <c r="K652" s="1301"/>
      <c r="L652" s="1302"/>
      <c r="N652" s="245" t="s">
        <v>291</v>
      </c>
      <c r="O652" s="246"/>
      <c r="P652" s="246"/>
      <c r="Q652" s="246"/>
      <c r="R652" s="246"/>
      <c r="S652" s="246"/>
      <c r="T652" s="246"/>
      <c r="U652" s="247"/>
      <c r="W652" s="1079" t="s">
        <v>292</v>
      </c>
      <c r="X652" s="1080"/>
      <c r="Y652" s="1080"/>
      <c r="Z652" s="1080"/>
      <c r="AA652" s="1080"/>
      <c r="AB652" s="1080"/>
      <c r="AC652" s="1080"/>
      <c r="AD652" s="1081"/>
      <c r="AF652" s="102" t="s">
        <v>297</v>
      </c>
      <c r="AG652" s="102" t="s">
        <v>298</v>
      </c>
      <c r="AH652" s="1304" t="s">
        <v>602</v>
      </c>
      <c r="AI652" s="1304"/>
      <c r="AK652" s="102" t="s">
        <v>297</v>
      </c>
      <c r="AL652" s="102" t="s">
        <v>298</v>
      </c>
      <c r="AM652" s="1304" t="s">
        <v>602</v>
      </c>
      <c r="AN652" s="1304"/>
      <c r="AP652" s="6" t="s">
        <v>297</v>
      </c>
      <c r="AQ652" s="5" t="s">
        <v>298</v>
      </c>
      <c r="AR652" s="1303" t="s">
        <v>602</v>
      </c>
      <c r="AS652" s="1303"/>
      <c r="AU652" s="6" t="s">
        <v>297</v>
      </c>
      <c r="AV652" s="5" t="s">
        <v>298</v>
      </c>
      <c r="AW652" s="1303" t="s">
        <v>602</v>
      </c>
      <c r="AX652" s="1303"/>
      <c r="AZ652" s="6" t="s">
        <v>297</v>
      </c>
      <c r="BA652" s="5" t="s">
        <v>298</v>
      </c>
      <c r="BB652" s="1303" t="s">
        <v>602</v>
      </c>
      <c r="BC652" s="1303"/>
      <c r="BE652" s="6" t="s">
        <v>297</v>
      </c>
      <c r="BF652" s="5" t="s">
        <v>298</v>
      </c>
      <c r="BG652" s="1082" t="s">
        <v>602</v>
      </c>
      <c r="BH652" s="1082"/>
      <c r="BJ652" s="6" t="s">
        <v>297</v>
      </c>
      <c r="BK652" s="5" t="s">
        <v>298</v>
      </c>
      <c r="BL652" s="1082" t="s">
        <v>602</v>
      </c>
      <c r="BM652" s="1082"/>
      <c r="BO652" s="6" t="s">
        <v>297</v>
      </c>
      <c r="BP652" s="5" t="s">
        <v>298</v>
      </c>
      <c r="BQ652" s="1303" t="s">
        <v>602</v>
      </c>
      <c r="BR652" s="1303"/>
    </row>
    <row r="653" spans="1:70" ht="14.5" customHeight="1">
      <c r="A653" s="1"/>
      <c r="B653" s="1284"/>
      <c r="E653" s="196" t="s">
        <v>137</v>
      </c>
      <c r="F653" s="102" t="s">
        <v>138</v>
      </c>
      <c r="G653" s="102" t="s">
        <v>139</v>
      </c>
      <c r="H653" s="102" t="s">
        <v>140</v>
      </c>
      <c r="I653" s="102" t="s">
        <v>141</v>
      </c>
      <c r="J653" s="102" t="s">
        <v>126</v>
      </c>
      <c r="K653" s="102" t="s">
        <v>142</v>
      </c>
      <c r="L653" s="197" t="s">
        <v>143</v>
      </c>
      <c r="N653" s="196" t="s">
        <v>137</v>
      </c>
      <c r="O653" s="102" t="s">
        <v>138</v>
      </c>
      <c r="P653" s="102" t="s">
        <v>139</v>
      </c>
      <c r="Q653" s="102" t="s">
        <v>140</v>
      </c>
      <c r="R653" s="102" t="s">
        <v>141</v>
      </c>
      <c r="S653" s="102" t="s">
        <v>126</v>
      </c>
      <c r="T653" s="102" t="s">
        <v>142</v>
      </c>
      <c r="U653" s="197" t="s">
        <v>143</v>
      </c>
      <c r="W653" s="196" t="s">
        <v>137</v>
      </c>
      <c r="X653" s="1078" t="s">
        <v>138</v>
      </c>
      <c r="Y653" s="1078" t="s">
        <v>139</v>
      </c>
      <c r="Z653" s="1078" t="s">
        <v>140</v>
      </c>
      <c r="AA653" s="1078" t="s">
        <v>141</v>
      </c>
      <c r="AB653" s="1078" t="s">
        <v>126</v>
      </c>
      <c r="AC653" s="1078" t="s">
        <v>142</v>
      </c>
      <c r="AD653" s="197" t="s">
        <v>143</v>
      </c>
      <c r="AF653" s="102" t="s">
        <v>734</v>
      </c>
      <c r="AG653" s="102" t="s">
        <v>734</v>
      </c>
      <c r="AH653" s="102" t="s">
        <v>734</v>
      </c>
      <c r="AI653" s="102" t="s">
        <v>606</v>
      </c>
      <c r="AK653" s="102" t="s">
        <v>734</v>
      </c>
      <c r="AL653" s="102" t="s">
        <v>734</v>
      </c>
      <c r="AM653" s="102" t="s">
        <v>734</v>
      </c>
      <c r="AN653" s="102" t="s">
        <v>606</v>
      </c>
      <c r="AP653" s="5" t="s">
        <v>734</v>
      </c>
      <c r="AQ653" s="5" t="s">
        <v>734</v>
      </c>
      <c r="AR653" s="5" t="s">
        <v>734</v>
      </c>
      <c r="AS653" s="5" t="s">
        <v>606</v>
      </c>
      <c r="AU653" s="5" t="s">
        <v>734</v>
      </c>
      <c r="AV653" s="5" t="s">
        <v>734</v>
      </c>
      <c r="AW653" s="5" t="s">
        <v>734</v>
      </c>
      <c r="AX653" s="5" t="s">
        <v>606</v>
      </c>
      <c r="AZ653" s="5" t="s">
        <v>734</v>
      </c>
      <c r="BA653" s="5" t="s">
        <v>734</v>
      </c>
      <c r="BB653" s="5" t="s">
        <v>734</v>
      </c>
      <c r="BC653" s="5" t="s">
        <v>606</v>
      </c>
      <c r="BE653" s="5" t="s">
        <v>734</v>
      </c>
      <c r="BF653" s="5" t="s">
        <v>734</v>
      </c>
      <c r="BG653" s="5" t="s">
        <v>734</v>
      </c>
      <c r="BH653" s="5" t="s">
        <v>606</v>
      </c>
      <c r="BJ653" s="5" t="s">
        <v>734</v>
      </c>
      <c r="BK653" s="5" t="s">
        <v>734</v>
      </c>
      <c r="BL653" s="5" t="s">
        <v>734</v>
      </c>
      <c r="BM653" s="5" t="s">
        <v>606</v>
      </c>
      <c r="BO653" s="5" t="s">
        <v>734</v>
      </c>
      <c r="BP653" s="5" t="s">
        <v>734</v>
      </c>
      <c r="BQ653" s="5" t="s">
        <v>734</v>
      </c>
      <c r="BR653" s="5" t="s">
        <v>606</v>
      </c>
    </row>
    <row r="654" spans="1:70">
      <c r="B654" s="1284"/>
      <c r="D654" s="5" t="s">
        <v>161</v>
      </c>
      <c r="E654" s="87">
        <v>27.28437991937572</v>
      </c>
      <c r="F654" s="87">
        <v>27.645315785920577</v>
      </c>
      <c r="G654" s="87">
        <v>27.458596746252336</v>
      </c>
      <c r="H654" s="87">
        <v>27.446736477751013</v>
      </c>
      <c r="I654" s="87">
        <v>27.478991868191393</v>
      </c>
      <c r="J654" s="87">
        <v>27.659289010507798</v>
      </c>
      <c r="K654" s="87">
        <v>27.605922732198955</v>
      </c>
      <c r="L654" s="87">
        <v>27.667275078523804</v>
      </c>
      <c r="N654" s="29">
        <v>27.34356302238373</v>
      </c>
      <c r="O654" s="29">
        <v>26.984368421874343</v>
      </c>
      <c r="P654" s="29">
        <v>26.347262669231096</v>
      </c>
      <c r="Q654" s="29">
        <v>25.772868328025222</v>
      </c>
      <c r="R654" s="29">
        <v>25.267256939476521</v>
      </c>
      <c r="S654" s="29">
        <v>24.742662965989872</v>
      </c>
      <c r="T654" s="29">
        <v>24.14281045873847</v>
      </c>
      <c r="U654" s="29">
        <v>23.572209729357002</v>
      </c>
      <c r="W654" s="30">
        <v>38.84189518422513</v>
      </c>
      <c r="X654" s="30">
        <v>27.110207018304294</v>
      </c>
      <c r="Y654" s="30">
        <v>25.923998471441141</v>
      </c>
      <c r="Z654" s="30">
        <v>28.153653113297636</v>
      </c>
      <c r="AA654" s="30">
        <v>26.822157164772765</v>
      </c>
      <c r="AB654" s="30">
        <v>26.150572559289277</v>
      </c>
      <c r="AC654" s="30">
        <v>28.127819068049895</v>
      </c>
      <c r="AD654" s="90">
        <v>0</v>
      </c>
      <c r="AF654" s="29">
        <f>N654</f>
        <v>27.34356302238373</v>
      </c>
      <c r="AG654" s="30">
        <f>W654</f>
        <v>38.84189518422513</v>
      </c>
      <c r="AH654" s="32">
        <f>IF(AG654&gt;0,AG654-AF654,"")</f>
        <v>11.4983321618414</v>
      </c>
      <c r="AI654" s="33">
        <f>IF(AG654&gt;0,AH654/AF654,"")</f>
        <v>0.42051330883355414</v>
      </c>
      <c r="AK654" s="29">
        <f t="shared" ref="AK654:AK669" si="1249">O654</f>
        <v>26.984368421874343</v>
      </c>
      <c r="AL654" s="30">
        <f t="shared" ref="AL654:AL669" si="1250">X654</f>
        <v>27.110207018304294</v>
      </c>
      <c r="AM654" s="32">
        <f>IF(AL654&gt;0,AL654-AK654,"")</f>
        <v>0.12583859642995066</v>
      </c>
      <c r="AN654" s="33">
        <f>IF(AL654&gt;0,AM654/AK654,"")</f>
        <v>4.6633886130883866E-3</v>
      </c>
      <c r="AP654" s="29">
        <f>P654</f>
        <v>26.347262669231096</v>
      </c>
      <c r="AQ654" s="30">
        <f>Y654</f>
        <v>25.923998471441141</v>
      </c>
      <c r="AR654" s="32">
        <f>AQ654-AP654</f>
        <v>-0.42326419778995472</v>
      </c>
      <c r="AS654" s="33">
        <f>AR654/AP654</f>
        <v>-1.606482628209616E-2</v>
      </c>
      <c r="AU654" s="31">
        <f>Q654</f>
        <v>25.772868328025222</v>
      </c>
      <c r="AV654" s="25">
        <f>Z654</f>
        <v>28.153653113297636</v>
      </c>
      <c r="AW654" s="32">
        <f>AV654-AU654</f>
        <v>2.3807847852724144</v>
      </c>
      <c r="AX654" s="33">
        <f>AW654/AU654</f>
        <v>9.2375623658604078E-2</v>
      </c>
      <c r="AZ654" s="31">
        <f t="shared" ref="AZ654:AZ669" si="1251">R654</f>
        <v>25.267256939476521</v>
      </c>
      <c r="BA654" s="25">
        <f t="shared" ref="BA654:BA669" si="1252">AA654</f>
        <v>26.822157164772765</v>
      </c>
      <c r="BB654" s="32">
        <f>BA654-AZ654</f>
        <v>1.5549002252962438</v>
      </c>
      <c r="BC654" s="33">
        <f>BB654/AZ654</f>
        <v>6.1538149116097035E-2</v>
      </c>
      <c r="BE654" s="31">
        <f>S654</f>
        <v>24.742662965989872</v>
      </c>
      <c r="BF654" s="25">
        <f>AB654</f>
        <v>26.150572559289277</v>
      </c>
      <c r="BG654" s="32">
        <f>BF654-BE654</f>
        <v>1.4079095932994043</v>
      </c>
      <c r="BH654" s="33">
        <f>BG654/BE654</f>
        <v>5.6902104483848491E-2</v>
      </c>
      <c r="BJ654" s="31">
        <f t="shared" ref="BJ654:BJ669" si="1253">T654</f>
        <v>24.14281045873847</v>
      </c>
      <c r="BK654" s="25">
        <f t="shared" ref="BK654:BK669" si="1254">AC654</f>
        <v>28.127819068049895</v>
      </c>
      <c r="BL654" s="32">
        <f t="shared" ref="BL654:BL669" si="1255">BK654-BJ654</f>
        <v>3.985008609311425</v>
      </c>
      <c r="BM654" s="33">
        <f t="shared" ref="BM654:BM669" si="1256">BL654/BJ654</f>
        <v>0.1650598473662396</v>
      </c>
      <c r="BO654" s="62"/>
      <c r="BP654" s="62"/>
      <c r="BQ654" s="62"/>
      <c r="BR654" s="63"/>
    </row>
    <row r="655" spans="1:70">
      <c r="B655" s="1284"/>
      <c r="D655" s="5" t="s">
        <v>162</v>
      </c>
      <c r="E655" s="87">
        <v>25.190841014576467</v>
      </c>
      <c r="F655" s="87">
        <v>25.175546372294701</v>
      </c>
      <c r="G655" s="87">
        <v>25.135140697745726</v>
      </c>
      <c r="H655" s="87">
        <v>25.111640851408588</v>
      </c>
      <c r="I655" s="87">
        <v>25.060932361094807</v>
      </c>
      <c r="J655" s="87">
        <v>25.056869892003263</v>
      </c>
      <c r="K655" s="87">
        <v>25.020552541553485</v>
      </c>
      <c r="L655" s="87">
        <v>25.03881465903233</v>
      </c>
      <c r="N655" s="29">
        <v>22.720789658846378</v>
      </c>
      <c r="O655" s="29">
        <v>22.528991273047808</v>
      </c>
      <c r="P655" s="29">
        <v>22.237311686328358</v>
      </c>
      <c r="Q655" s="29">
        <v>22.028185942557233</v>
      </c>
      <c r="R655" s="29">
        <v>21.759371060814118</v>
      </c>
      <c r="S655" s="29">
        <v>21.584841620371318</v>
      </c>
      <c r="T655" s="29">
        <v>21.424471495557025</v>
      </c>
      <c r="U655" s="29">
        <v>21.299689441855207</v>
      </c>
      <c r="W655" s="30">
        <v>27.378387171626816</v>
      </c>
      <c r="X655" s="30">
        <v>25.14983096553572</v>
      </c>
      <c r="Y655" s="30">
        <v>28.235078468674889</v>
      </c>
      <c r="Z655" s="30">
        <v>30.020899653190483</v>
      </c>
      <c r="AA655" s="30">
        <v>27.357823524877816</v>
      </c>
      <c r="AB655" s="30">
        <v>29.33589889383239</v>
      </c>
      <c r="AC655" s="30">
        <v>30.901489058065369</v>
      </c>
      <c r="AD655" s="90">
        <v>0</v>
      </c>
      <c r="AF655" s="29">
        <f t="shared" ref="AF655:AF669" si="1257">N655</f>
        <v>22.720789658846378</v>
      </c>
      <c r="AG655" s="30">
        <f t="shared" ref="AG655:AG669" si="1258">W655</f>
        <v>27.378387171626816</v>
      </c>
      <c r="AH655" s="32">
        <f t="shared" ref="AH655:AH669" si="1259">IF(AG655&gt;0,AG655-AF655,"")</f>
        <v>4.6575975127804377</v>
      </c>
      <c r="AI655" s="33">
        <f t="shared" ref="AI655:AI669" si="1260">IF(AG655&gt;0,AH655/AF655,"")</f>
        <v>0.20499276577594627</v>
      </c>
      <c r="AK655" s="29">
        <f t="shared" si="1249"/>
        <v>22.528991273047808</v>
      </c>
      <c r="AL655" s="30">
        <f t="shared" si="1250"/>
        <v>25.14983096553572</v>
      </c>
      <c r="AM655" s="32">
        <f t="shared" ref="AM655:AM669" si="1261">IF(AL655&gt;0,AL655-AK655,"")</f>
        <v>2.6208396924879125</v>
      </c>
      <c r="AN655" s="33">
        <f t="shared" ref="AN655:AN669" si="1262">IF(AL655&gt;0,AM655/AK655,"")</f>
        <v>0.11633187037642966</v>
      </c>
      <c r="AP655" s="29">
        <f t="shared" ref="AP655:AP669" si="1263">P655</f>
        <v>22.237311686328358</v>
      </c>
      <c r="AQ655" s="30">
        <f t="shared" ref="AQ655:AQ668" si="1264">Y655</f>
        <v>28.235078468674889</v>
      </c>
      <c r="AR655" s="32">
        <f t="shared" ref="AR655:AR669" si="1265">AQ655-AP655</f>
        <v>5.997766782346531</v>
      </c>
      <c r="AS655" s="33">
        <f t="shared" ref="AS655:AS669" si="1266">AR655/AP655</f>
        <v>0.26971636081505285</v>
      </c>
      <c r="AU655" s="31">
        <f t="shared" ref="AU655:AU669" si="1267">Q655</f>
        <v>22.028185942557233</v>
      </c>
      <c r="AV655" s="25">
        <f t="shared" ref="AV655:AV669" si="1268">Z655</f>
        <v>30.020899653190483</v>
      </c>
      <c r="AW655" s="32">
        <f t="shared" ref="AW655:AW669" si="1269">AV655-AU655</f>
        <v>7.9927137106332502</v>
      </c>
      <c r="AX655" s="33">
        <f t="shared" ref="AX655:AX669" si="1270">AW655/AU655</f>
        <v>0.36284030521059707</v>
      </c>
      <c r="AZ655" s="31">
        <f t="shared" si="1251"/>
        <v>21.759371060814118</v>
      </c>
      <c r="BA655" s="25">
        <f t="shared" si="1252"/>
        <v>27.357823524877816</v>
      </c>
      <c r="BB655" s="32">
        <f t="shared" ref="BB655:BB669" si="1271">BA655-AZ655</f>
        <v>5.5984524640636977</v>
      </c>
      <c r="BC655" s="33">
        <f t="shared" ref="BC655:BC669" si="1272">BB655/AZ655</f>
        <v>0.25728925934563451</v>
      </c>
      <c r="BE655" s="31">
        <f t="shared" ref="BE655:BE669" si="1273">S655</f>
        <v>21.584841620371318</v>
      </c>
      <c r="BF655" s="25">
        <f t="shared" ref="BF655:BF669" si="1274">AB655</f>
        <v>29.33589889383239</v>
      </c>
      <c r="BG655" s="32">
        <f t="shared" ref="BG655:BG669" si="1275">BF655-BE655</f>
        <v>7.7510572734610719</v>
      </c>
      <c r="BH655" s="33">
        <f t="shared" ref="BH655:BH669" si="1276">BG655/BE655</f>
        <v>0.35909725027334866</v>
      </c>
      <c r="BJ655" s="31">
        <f t="shared" si="1253"/>
        <v>21.424471495557025</v>
      </c>
      <c r="BK655" s="25">
        <f t="shared" si="1254"/>
        <v>30.901489058065369</v>
      </c>
      <c r="BL655" s="32">
        <f t="shared" si="1255"/>
        <v>9.4770175625083439</v>
      </c>
      <c r="BM655" s="33">
        <f t="shared" si="1256"/>
        <v>0.44234545363108135</v>
      </c>
      <c r="BO655" s="62"/>
      <c r="BP655" s="62"/>
      <c r="BQ655" s="62"/>
      <c r="BR655" s="63"/>
    </row>
    <row r="656" spans="1:70">
      <c r="B656" s="1284"/>
      <c r="D656" s="5" t="s">
        <v>163</v>
      </c>
      <c r="E656" s="87">
        <v>37.701877583168802</v>
      </c>
      <c r="F656" s="87">
        <v>37.96481297684128</v>
      </c>
      <c r="G656" s="87">
        <v>37.61383502502175</v>
      </c>
      <c r="H656" s="87">
        <v>37.758914855066138</v>
      </c>
      <c r="I656" s="87">
        <v>37.736815114358301</v>
      </c>
      <c r="J656" s="87">
        <v>37.701198739815041</v>
      </c>
      <c r="K656" s="87">
        <v>37.743832768717127</v>
      </c>
      <c r="L656" s="87">
        <v>37.768541599834258</v>
      </c>
      <c r="N656" s="29">
        <v>37.196999526874393</v>
      </c>
      <c r="O656" s="29">
        <v>37.055127283543989</v>
      </c>
      <c r="P656" s="29">
        <v>36.331322085038188</v>
      </c>
      <c r="Q656" s="29">
        <v>36.00707569096226</v>
      </c>
      <c r="R656" s="29">
        <v>35.440215081548494</v>
      </c>
      <c r="S656" s="29">
        <v>35.272633206976089</v>
      </c>
      <c r="T656" s="29">
        <v>35.130177370837146</v>
      </c>
      <c r="U656" s="29">
        <v>34.977453158041754</v>
      </c>
      <c r="W656" s="30">
        <v>43.179275520764612</v>
      </c>
      <c r="X656" s="30">
        <v>39.026623184599366</v>
      </c>
      <c r="Y656" s="30">
        <v>35.961386918849783</v>
      </c>
      <c r="Z656" s="30">
        <v>41.819524422826966</v>
      </c>
      <c r="AA656" s="30">
        <v>41.12930250977309</v>
      </c>
      <c r="AB656" s="30">
        <v>44.595846259837181</v>
      </c>
      <c r="AC656" s="30">
        <v>49.276981380095435</v>
      </c>
      <c r="AD656" s="90">
        <v>0</v>
      </c>
      <c r="AF656" s="29">
        <f t="shared" si="1257"/>
        <v>37.196999526874393</v>
      </c>
      <c r="AG656" s="30">
        <f t="shared" si="1258"/>
        <v>43.179275520764612</v>
      </c>
      <c r="AH656" s="32">
        <f t="shared" si="1259"/>
        <v>5.9822759938902195</v>
      </c>
      <c r="AI656" s="33">
        <f t="shared" si="1260"/>
        <v>0.16082684275563935</v>
      </c>
      <c r="AK656" s="29">
        <f t="shared" si="1249"/>
        <v>37.055127283543989</v>
      </c>
      <c r="AL656" s="30">
        <f t="shared" si="1250"/>
        <v>39.026623184599366</v>
      </c>
      <c r="AM656" s="32">
        <f t="shared" si="1261"/>
        <v>1.971495901055377</v>
      </c>
      <c r="AN656" s="33">
        <f t="shared" si="1262"/>
        <v>5.3204402348144386E-2</v>
      </c>
      <c r="AP656" s="29">
        <f t="shared" si="1263"/>
        <v>36.331322085038188</v>
      </c>
      <c r="AQ656" s="30">
        <f t="shared" si="1264"/>
        <v>35.961386918849783</v>
      </c>
      <c r="AR656" s="32">
        <f t="shared" si="1265"/>
        <v>-0.36993516618840516</v>
      </c>
      <c r="AS656" s="33">
        <f t="shared" si="1266"/>
        <v>-1.0182265465664139E-2</v>
      </c>
      <c r="AU656" s="31">
        <f t="shared" si="1267"/>
        <v>36.00707569096226</v>
      </c>
      <c r="AV656" s="25">
        <f t="shared" si="1268"/>
        <v>41.819524422826966</v>
      </c>
      <c r="AW656" s="32">
        <f t="shared" si="1269"/>
        <v>5.8124487318647056</v>
      </c>
      <c r="AX656" s="33">
        <f t="shared" si="1270"/>
        <v>0.16142518158795174</v>
      </c>
      <c r="AZ656" s="31">
        <f t="shared" si="1251"/>
        <v>35.440215081548494</v>
      </c>
      <c r="BA656" s="25">
        <f t="shared" si="1252"/>
        <v>41.12930250977309</v>
      </c>
      <c r="BB656" s="32">
        <f t="shared" si="1271"/>
        <v>5.689087428224596</v>
      </c>
      <c r="BC656" s="33">
        <f t="shared" si="1272"/>
        <v>0.16052632341914166</v>
      </c>
      <c r="BE656" s="31">
        <f t="shared" si="1273"/>
        <v>35.272633206976089</v>
      </c>
      <c r="BF656" s="25">
        <f t="shared" si="1274"/>
        <v>44.595846259837181</v>
      </c>
      <c r="BG656" s="32">
        <f t="shared" si="1275"/>
        <v>9.3232130528610924</v>
      </c>
      <c r="BH656" s="33">
        <f t="shared" si="1276"/>
        <v>0.26431860071669339</v>
      </c>
      <c r="BJ656" s="31">
        <f t="shared" si="1253"/>
        <v>35.130177370837146</v>
      </c>
      <c r="BK656" s="25">
        <f t="shared" si="1254"/>
        <v>49.276981380095435</v>
      </c>
      <c r="BL656" s="32">
        <f t="shared" si="1255"/>
        <v>14.14680400925829</v>
      </c>
      <c r="BM656" s="33">
        <f t="shared" si="1256"/>
        <v>0.40269662916652599</v>
      </c>
      <c r="BO656" s="62"/>
      <c r="BP656" s="62"/>
      <c r="BQ656" s="62"/>
      <c r="BR656" s="63"/>
    </row>
    <row r="657" spans="1:70">
      <c r="B657" s="1284"/>
      <c r="D657" s="5" t="s">
        <v>164</v>
      </c>
      <c r="E657" s="87">
        <v>29.992407913365064</v>
      </c>
      <c r="F657" s="87">
        <v>29.955808035286672</v>
      </c>
      <c r="G657" s="87">
        <v>29.843044109639361</v>
      </c>
      <c r="H657" s="87">
        <v>29.880975499256319</v>
      </c>
      <c r="I657" s="87">
        <v>29.915376681530972</v>
      </c>
      <c r="J657" s="87">
        <v>29.963449087984149</v>
      </c>
      <c r="K657" s="87">
        <v>29.996250976910179</v>
      </c>
      <c r="L657" s="87">
        <v>30.017792547535915</v>
      </c>
      <c r="N657" s="29">
        <v>29.992407913365064</v>
      </c>
      <c r="O657" s="29">
        <v>29.955808035286672</v>
      </c>
      <c r="P657" s="29">
        <v>29.843044109639361</v>
      </c>
      <c r="Q657" s="29">
        <v>29.880975499256319</v>
      </c>
      <c r="R657" s="29">
        <v>29.915376681530972</v>
      </c>
      <c r="S657" s="29">
        <v>29.963449087984149</v>
      </c>
      <c r="T657" s="29">
        <v>29.996250976910179</v>
      </c>
      <c r="U657" s="29">
        <v>30.017792547535915</v>
      </c>
      <c r="W657" s="30">
        <v>47.706423654662281</v>
      </c>
      <c r="X657" s="30">
        <v>39.184781495290423</v>
      </c>
      <c r="Y657" s="30">
        <v>33.85400126587804</v>
      </c>
      <c r="Z657" s="30">
        <v>31.378514055374364</v>
      </c>
      <c r="AA657" s="30">
        <v>31.794339028770793</v>
      </c>
      <c r="AB657" s="30">
        <v>31.729617958506573</v>
      </c>
      <c r="AC657" s="30">
        <v>32.742699999999999</v>
      </c>
      <c r="AD657" s="90">
        <v>0</v>
      </c>
      <c r="AF657" s="29">
        <f t="shared" si="1257"/>
        <v>29.992407913365064</v>
      </c>
      <c r="AG657" s="30">
        <f t="shared" si="1258"/>
        <v>47.706423654662281</v>
      </c>
      <c r="AH657" s="32">
        <f t="shared" si="1259"/>
        <v>17.714015741297217</v>
      </c>
      <c r="AI657" s="33">
        <f t="shared" si="1260"/>
        <v>0.59061665847121225</v>
      </c>
      <c r="AK657" s="29">
        <f t="shared" si="1249"/>
        <v>29.955808035286672</v>
      </c>
      <c r="AL657" s="30">
        <f t="shared" si="1250"/>
        <v>39.184781495290423</v>
      </c>
      <c r="AM657" s="32">
        <f t="shared" si="1261"/>
        <v>9.2289734600037505</v>
      </c>
      <c r="AN657" s="33">
        <f t="shared" si="1262"/>
        <v>0.30808627993384158</v>
      </c>
      <c r="AP657" s="29">
        <f t="shared" si="1263"/>
        <v>29.843044109639361</v>
      </c>
      <c r="AQ657" s="30">
        <f t="shared" si="1264"/>
        <v>33.85400126587804</v>
      </c>
      <c r="AR657" s="32">
        <f t="shared" si="1265"/>
        <v>4.0109571562386783</v>
      </c>
      <c r="AS657" s="33">
        <f t="shared" si="1266"/>
        <v>0.1344017433845876</v>
      </c>
      <c r="AU657" s="31">
        <f t="shared" si="1267"/>
        <v>29.880975499256319</v>
      </c>
      <c r="AV657" s="25">
        <f t="shared" si="1268"/>
        <v>31.378514055374364</v>
      </c>
      <c r="AW657" s="32">
        <f t="shared" si="1269"/>
        <v>1.4975385561180445</v>
      </c>
      <c r="AX657" s="33">
        <f t="shared" si="1270"/>
        <v>5.011678939850258E-2</v>
      </c>
      <c r="AZ657" s="31">
        <f t="shared" si="1251"/>
        <v>29.915376681530972</v>
      </c>
      <c r="BA657" s="25">
        <f t="shared" si="1252"/>
        <v>31.794339028770793</v>
      </c>
      <c r="BB657" s="32">
        <f t="shared" si="1271"/>
        <v>1.8789623472398205</v>
      </c>
      <c r="BC657" s="33">
        <f t="shared" si="1272"/>
        <v>6.2809249144432339E-2</v>
      </c>
      <c r="BE657" s="31">
        <f t="shared" si="1273"/>
        <v>29.963449087984149</v>
      </c>
      <c r="BF657" s="25">
        <f t="shared" si="1274"/>
        <v>31.729617958506573</v>
      </c>
      <c r="BG657" s="32">
        <f t="shared" si="1275"/>
        <v>1.7661688705224243</v>
      </c>
      <c r="BH657" s="33">
        <f t="shared" si="1276"/>
        <v>5.8944111051310442E-2</v>
      </c>
      <c r="BJ657" s="31">
        <f t="shared" si="1253"/>
        <v>29.996250976910179</v>
      </c>
      <c r="BK657" s="25">
        <f t="shared" si="1254"/>
        <v>32.742699999999999</v>
      </c>
      <c r="BL657" s="32">
        <f t="shared" si="1255"/>
        <v>2.74644902308982</v>
      </c>
      <c r="BM657" s="33">
        <f t="shared" si="1256"/>
        <v>9.1559742755983678E-2</v>
      </c>
      <c r="BO657" s="62"/>
      <c r="BP657" s="62"/>
      <c r="BQ657" s="62"/>
      <c r="BR657" s="63"/>
    </row>
    <row r="658" spans="1:70">
      <c r="B658" s="1284"/>
      <c r="D658" s="5" t="s">
        <v>165</v>
      </c>
      <c r="E658" s="87">
        <v>36.974731932026707</v>
      </c>
      <c r="F658" s="87">
        <v>37.016835470369593</v>
      </c>
      <c r="G658" s="87">
        <v>36.951904008456424</v>
      </c>
      <c r="H658" s="87">
        <v>37.071399324131654</v>
      </c>
      <c r="I658" s="87">
        <v>37.195791579961025</v>
      </c>
      <c r="J658" s="87">
        <v>37.321943619637409</v>
      </c>
      <c r="K658" s="87">
        <v>37.447592757139624</v>
      </c>
      <c r="L658" s="87">
        <v>37.554504663901795</v>
      </c>
      <c r="N658" s="29">
        <v>36.974731932026707</v>
      </c>
      <c r="O658" s="29">
        <v>37.016835470369593</v>
      </c>
      <c r="P658" s="29">
        <v>36.951904008456424</v>
      </c>
      <c r="Q658" s="29">
        <v>37.071399324131654</v>
      </c>
      <c r="R658" s="29">
        <v>37.195791579961025</v>
      </c>
      <c r="S658" s="29">
        <v>37.321943619637409</v>
      </c>
      <c r="T658" s="29">
        <v>37.447592757139624</v>
      </c>
      <c r="U658" s="29">
        <v>37.554504663901795</v>
      </c>
      <c r="W658" s="30">
        <v>40.985114368642385</v>
      </c>
      <c r="X658" s="30">
        <v>37.011306605482424</v>
      </c>
      <c r="Y658" s="30">
        <v>33.590277350968321</v>
      </c>
      <c r="Z658" s="30">
        <v>37.653118563542144</v>
      </c>
      <c r="AA658" s="30">
        <v>39.355906021841299</v>
      </c>
      <c r="AB658" s="30">
        <v>37.14428990335422</v>
      </c>
      <c r="AC658" s="30">
        <v>35.937199999999997</v>
      </c>
      <c r="AD658" s="90">
        <v>0</v>
      </c>
      <c r="AF658" s="29">
        <f t="shared" si="1257"/>
        <v>36.974731932026707</v>
      </c>
      <c r="AG658" s="30">
        <f t="shared" si="1258"/>
        <v>40.985114368642385</v>
      </c>
      <c r="AH658" s="32">
        <f t="shared" si="1259"/>
        <v>4.0103824366156786</v>
      </c>
      <c r="AI658" s="33">
        <f t="shared" si="1260"/>
        <v>0.10846278599093703</v>
      </c>
      <c r="AK658" s="29">
        <f t="shared" si="1249"/>
        <v>37.016835470369593</v>
      </c>
      <c r="AL658" s="30">
        <f t="shared" si="1250"/>
        <v>37.011306605482424</v>
      </c>
      <c r="AM658" s="32">
        <f t="shared" si="1261"/>
        <v>-5.5288648871680834E-3</v>
      </c>
      <c r="AN658" s="33">
        <f t="shared" si="1262"/>
        <v>-1.4936081966254801E-4</v>
      </c>
      <c r="AP658" s="29">
        <f t="shared" si="1263"/>
        <v>36.951904008456424</v>
      </c>
      <c r="AQ658" s="30">
        <f t="shared" si="1264"/>
        <v>33.590277350968321</v>
      </c>
      <c r="AR658" s="32">
        <f t="shared" si="1265"/>
        <v>-3.3616266574881024</v>
      </c>
      <c r="AS658" s="33">
        <f t="shared" si="1266"/>
        <v>-9.0973029609483613E-2</v>
      </c>
      <c r="AU658" s="31">
        <f t="shared" si="1267"/>
        <v>37.071399324131654</v>
      </c>
      <c r="AV658" s="25">
        <f t="shared" si="1268"/>
        <v>37.653118563542144</v>
      </c>
      <c r="AW658" s="32">
        <f t="shared" si="1269"/>
        <v>0.58171923941048931</v>
      </c>
      <c r="AX658" s="33">
        <f t="shared" si="1270"/>
        <v>1.5691860841946119E-2</v>
      </c>
      <c r="AZ658" s="31">
        <f t="shared" si="1251"/>
        <v>37.195791579961025</v>
      </c>
      <c r="BA658" s="25">
        <f t="shared" si="1252"/>
        <v>39.355906021841299</v>
      </c>
      <c r="BB658" s="32">
        <f t="shared" si="1271"/>
        <v>2.1601144418802747</v>
      </c>
      <c r="BC658" s="33">
        <f t="shared" si="1272"/>
        <v>5.8074162428741576E-2</v>
      </c>
      <c r="BE658" s="31">
        <f t="shared" si="1273"/>
        <v>37.321943619637409</v>
      </c>
      <c r="BF658" s="25">
        <f t="shared" si="1274"/>
        <v>37.14428990335422</v>
      </c>
      <c r="BG658" s="32">
        <f t="shared" si="1275"/>
        <v>-0.1776537162831886</v>
      </c>
      <c r="BH658" s="33">
        <f t="shared" si="1276"/>
        <v>-4.7600338849907555E-3</v>
      </c>
      <c r="BJ658" s="31">
        <f t="shared" si="1253"/>
        <v>37.447592757139624</v>
      </c>
      <c r="BK658" s="25">
        <f t="shared" si="1254"/>
        <v>35.937199999999997</v>
      </c>
      <c r="BL658" s="32">
        <f t="shared" si="1255"/>
        <v>-1.510392757139627</v>
      </c>
      <c r="BM658" s="33">
        <f t="shared" si="1256"/>
        <v>-4.0333507334771493E-2</v>
      </c>
      <c r="BO658" s="62"/>
      <c r="BP658" s="62"/>
      <c r="BQ658" s="62"/>
      <c r="BR658" s="63"/>
    </row>
    <row r="659" spans="1:70">
      <c r="B659" s="1284"/>
      <c r="D659" s="5" t="s">
        <v>166</v>
      </c>
      <c r="E659" s="87">
        <v>13.655280559129324</v>
      </c>
      <c r="F659" s="87">
        <v>13.658294420672778</v>
      </c>
      <c r="G659" s="87">
        <v>13.608331044362936</v>
      </c>
      <c r="H659" s="87">
        <v>13.628319579358347</v>
      </c>
      <c r="I659" s="87">
        <v>13.658802464676674</v>
      </c>
      <c r="J659" s="87">
        <v>13.681431092881976</v>
      </c>
      <c r="K659" s="87">
        <v>13.707882874317139</v>
      </c>
      <c r="L659" s="87">
        <v>13.721219508115647</v>
      </c>
      <c r="N659" s="29">
        <v>13.655280559129324</v>
      </c>
      <c r="O659" s="29">
        <v>13.658294420672778</v>
      </c>
      <c r="P659" s="29">
        <v>13.608331044362936</v>
      </c>
      <c r="Q659" s="29">
        <v>13.628319579358347</v>
      </c>
      <c r="R659" s="29">
        <v>13.658802464676674</v>
      </c>
      <c r="S659" s="29">
        <v>13.681431092881976</v>
      </c>
      <c r="T659" s="29">
        <v>13.707882874317139</v>
      </c>
      <c r="U659" s="29">
        <v>13.721219508115647</v>
      </c>
      <c r="W659" s="30">
        <v>14.027914598374149</v>
      </c>
      <c r="X659" s="30">
        <v>10.874419748520712</v>
      </c>
      <c r="Y659" s="30">
        <v>12.354276958109619</v>
      </c>
      <c r="Z659" s="30">
        <v>12.977547150098125</v>
      </c>
      <c r="AA659" s="30">
        <v>13.05796865559692</v>
      </c>
      <c r="AB659" s="30">
        <v>13.293924009151267</v>
      </c>
      <c r="AC659" s="30">
        <v>13.1891</v>
      </c>
      <c r="AD659" s="90">
        <v>0</v>
      </c>
      <c r="AF659" s="29">
        <f t="shared" si="1257"/>
        <v>13.655280559129324</v>
      </c>
      <c r="AG659" s="30">
        <f t="shared" si="1258"/>
        <v>14.027914598374149</v>
      </c>
      <c r="AH659" s="32">
        <f t="shared" si="1259"/>
        <v>0.37263403924482574</v>
      </c>
      <c r="AI659" s="33">
        <f t="shared" si="1260"/>
        <v>2.7288640290565023E-2</v>
      </c>
      <c r="AK659" s="29">
        <f t="shared" si="1249"/>
        <v>13.658294420672778</v>
      </c>
      <c r="AL659" s="30">
        <f t="shared" si="1250"/>
        <v>10.874419748520712</v>
      </c>
      <c r="AM659" s="32">
        <f t="shared" si="1261"/>
        <v>-2.7838746721520664</v>
      </c>
      <c r="AN659" s="33">
        <f t="shared" si="1262"/>
        <v>-0.2038230094043425</v>
      </c>
      <c r="AP659" s="29">
        <f t="shared" si="1263"/>
        <v>13.608331044362936</v>
      </c>
      <c r="AQ659" s="30">
        <f t="shared" si="1264"/>
        <v>12.354276958109619</v>
      </c>
      <c r="AR659" s="32">
        <f t="shared" si="1265"/>
        <v>-1.2540540862533174</v>
      </c>
      <c r="AS659" s="33">
        <f t="shared" si="1266"/>
        <v>-9.215340824419406E-2</v>
      </c>
      <c r="AU659" s="31">
        <f t="shared" si="1267"/>
        <v>13.628319579358347</v>
      </c>
      <c r="AV659" s="25">
        <f t="shared" si="1268"/>
        <v>12.977547150098125</v>
      </c>
      <c r="AW659" s="32">
        <f t="shared" si="1269"/>
        <v>-0.65077242926022194</v>
      </c>
      <c r="AX659" s="33">
        <f t="shared" si="1270"/>
        <v>-4.7751479958386904E-2</v>
      </c>
      <c r="AZ659" s="31">
        <f t="shared" si="1251"/>
        <v>13.658802464676674</v>
      </c>
      <c r="BA659" s="25">
        <f t="shared" si="1252"/>
        <v>13.05796865559692</v>
      </c>
      <c r="BB659" s="32">
        <f t="shared" si="1271"/>
        <v>-0.60083380907975403</v>
      </c>
      <c r="BC659" s="33">
        <f t="shared" si="1272"/>
        <v>-4.3988761872322514E-2</v>
      </c>
      <c r="BE659" s="31">
        <f t="shared" si="1273"/>
        <v>13.681431092881976</v>
      </c>
      <c r="BF659" s="25">
        <f t="shared" si="1274"/>
        <v>13.293924009151267</v>
      </c>
      <c r="BG659" s="32">
        <f t="shared" si="1275"/>
        <v>-0.38750708373070886</v>
      </c>
      <c r="BH659" s="33">
        <f t="shared" si="1276"/>
        <v>-2.832357822072552E-2</v>
      </c>
      <c r="BJ659" s="31">
        <f t="shared" si="1253"/>
        <v>13.707882874317139</v>
      </c>
      <c r="BK659" s="25">
        <f t="shared" si="1254"/>
        <v>13.1891</v>
      </c>
      <c r="BL659" s="32">
        <f t="shared" si="1255"/>
        <v>-0.51878287431713943</v>
      </c>
      <c r="BM659" s="33">
        <f t="shared" si="1256"/>
        <v>-3.7845587030009016E-2</v>
      </c>
      <c r="BO659" s="62"/>
      <c r="BP659" s="62"/>
      <c r="BQ659" s="62"/>
      <c r="BR659" s="63"/>
    </row>
    <row r="660" spans="1:70">
      <c r="B660" s="1284"/>
      <c r="D660" s="5" t="s">
        <v>167</v>
      </c>
      <c r="E660" s="87">
        <v>25.832400803377656</v>
      </c>
      <c r="F660" s="87">
        <v>25.825602175143342</v>
      </c>
      <c r="G660" s="87">
        <v>25.727864106637284</v>
      </c>
      <c r="H660" s="87">
        <v>25.748492058597858</v>
      </c>
      <c r="I660" s="87">
        <v>25.785288907886052</v>
      </c>
      <c r="J660" s="87">
        <v>25.810263683738039</v>
      </c>
      <c r="K660" s="87">
        <v>25.84106161590071</v>
      </c>
      <c r="L660" s="87">
        <v>25.845275168204481</v>
      </c>
      <c r="N660" s="29">
        <v>25.832400803377656</v>
      </c>
      <c r="O660" s="29">
        <v>25.825602175143342</v>
      </c>
      <c r="P660" s="29">
        <v>25.727864106637284</v>
      </c>
      <c r="Q660" s="29">
        <v>25.748492058597858</v>
      </c>
      <c r="R660" s="29">
        <v>25.785288907886052</v>
      </c>
      <c r="S660" s="29">
        <v>25.810263683738039</v>
      </c>
      <c r="T660" s="29">
        <v>25.84106161590071</v>
      </c>
      <c r="U660" s="29">
        <v>25.845275168204481</v>
      </c>
      <c r="W660" s="30">
        <v>30.149941618838003</v>
      </c>
      <c r="X660" s="30">
        <v>25.790492965825379</v>
      </c>
      <c r="Y660" s="30">
        <v>26.222985667932544</v>
      </c>
      <c r="Z660" s="30">
        <v>23.196157397602605</v>
      </c>
      <c r="AA660" s="30">
        <v>26.328984434458892</v>
      </c>
      <c r="AB660" s="30">
        <v>26.153108778346997</v>
      </c>
      <c r="AC660" s="30">
        <v>26.197699999999998</v>
      </c>
      <c r="AD660" s="90">
        <v>0</v>
      </c>
      <c r="AF660" s="29">
        <f t="shared" si="1257"/>
        <v>25.832400803377656</v>
      </c>
      <c r="AG660" s="30">
        <f t="shared" si="1258"/>
        <v>30.149941618838003</v>
      </c>
      <c r="AH660" s="32">
        <f t="shared" si="1259"/>
        <v>4.3175408154603474</v>
      </c>
      <c r="AI660" s="33">
        <f t="shared" si="1260"/>
        <v>0.16713664549892773</v>
      </c>
      <c r="AK660" s="29">
        <f t="shared" si="1249"/>
        <v>25.825602175143342</v>
      </c>
      <c r="AL660" s="30">
        <f t="shared" si="1250"/>
        <v>25.790492965825379</v>
      </c>
      <c r="AM660" s="32">
        <f t="shared" si="1261"/>
        <v>-3.5109209317962353E-2</v>
      </c>
      <c r="AN660" s="33">
        <f t="shared" si="1262"/>
        <v>-1.3594730175064151E-3</v>
      </c>
      <c r="AP660" s="29">
        <f t="shared" si="1263"/>
        <v>25.727864106637284</v>
      </c>
      <c r="AQ660" s="30">
        <f t="shared" si="1264"/>
        <v>26.222985667932544</v>
      </c>
      <c r="AR660" s="32">
        <f t="shared" si="1265"/>
        <v>0.49512156129526019</v>
      </c>
      <c r="AS660" s="33">
        <f t="shared" si="1266"/>
        <v>1.9244565318095277E-2</v>
      </c>
      <c r="AU660" s="31">
        <f t="shared" si="1267"/>
        <v>25.748492058597858</v>
      </c>
      <c r="AV660" s="25">
        <f t="shared" si="1268"/>
        <v>23.196157397602605</v>
      </c>
      <c r="AW660" s="32">
        <f t="shared" si="1269"/>
        <v>-2.5523346609952533</v>
      </c>
      <c r="AX660" s="33">
        <f t="shared" si="1270"/>
        <v>-9.9125597537389976E-2</v>
      </c>
      <c r="AZ660" s="31">
        <f t="shared" si="1251"/>
        <v>25.785288907886052</v>
      </c>
      <c r="BA660" s="25">
        <f t="shared" si="1252"/>
        <v>26.328984434458892</v>
      </c>
      <c r="BB660" s="32">
        <f t="shared" si="1271"/>
        <v>0.54369552657284004</v>
      </c>
      <c r="BC660" s="33">
        <f t="shared" si="1272"/>
        <v>2.108549291478207E-2</v>
      </c>
      <c r="BE660" s="31">
        <f t="shared" si="1273"/>
        <v>25.810263683738039</v>
      </c>
      <c r="BF660" s="25">
        <f t="shared" si="1274"/>
        <v>26.153108778346997</v>
      </c>
      <c r="BG660" s="32">
        <f t="shared" si="1275"/>
        <v>0.34284509460895762</v>
      </c>
      <c r="BH660" s="33">
        <f t="shared" si="1276"/>
        <v>1.3283285239157392E-2</v>
      </c>
      <c r="BJ660" s="31">
        <f t="shared" si="1253"/>
        <v>25.84106161590071</v>
      </c>
      <c r="BK660" s="25">
        <f t="shared" si="1254"/>
        <v>26.197699999999998</v>
      </c>
      <c r="BL660" s="32">
        <f t="shared" si="1255"/>
        <v>0.35663838409928772</v>
      </c>
      <c r="BM660" s="33">
        <f t="shared" si="1256"/>
        <v>1.3801228037776838E-2</v>
      </c>
      <c r="BO660" s="62"/>
      <c r="BP660" s="62"/>
      <c r="BQ660" s="62"/>
      <c r="BR660" s="63"/>
    </row>
    <row r="661" spans="1:70">
      <c r="B661" s="1284"/>
      <c r="D661" s="5" t="s">
        <v>168</v>
      </c>
      <c r="E661" s="87">
        <v>22.65041303490208</v>
      </c>
      <c r="F661" s="87">
        <v>22.767601812225838</v>
      </c>
      <c r="G661" s="87">
        <v>22.773211213568796</v>
      </c>
      <c r="H661" s="87">
        <v>22.817360560436278</v>
      </c>
      <c r="I661" s="87">
        <v>22.873049542005599</v>
      </c>
      <c r="J661" s="87">
        <v>23.02527034128283</v>
      </c>
      <c r="K661" s="87">
        <v>23.311673282661257</v>
      </c>
      <c r="L661" s="87">
        <v>23.934018949089339</v>
      </c>
      <c r="N661" s="29">
        <v>23.668757072231664</v>
      </c>
      <c r="O661" s="29">
        <v>23.15190255847082</v>
      </c>
      <c r="P661" s="29">
        <v>22.590185281531021</v>
      </c>
      <c r="Q661" s="29">
        <v>22.127749196828191</v>
      </c>
      <c r="R661" s="29">
        <v>21.731762376500367</v>
      </c>
      <c r="S661" s="29">
        <v>21.474922488174943</v>
      </c>
      <c r="T661" s="29">
        <v>21.42979232168847</v>
      </c>
      <c r="U661" s="29">
        <v>21.5195688633024</v>
      </c>
      <c r="W661" s="30">
        <v>30.344428507508304</v>
      </c>
      <c r="X661" s="30">
        <v>24.443161871370648</v>
      </c>
      <c r="Y661" s="30">
        <v>25.680940253581088</v>
      </c>
      <c r="Z661" s="30">
        <v>27.430650817446132</v>
      </c>
      <c r="AA661" s="30">
        <v>31.37338966582476</v>
      </c>
      <c r="AB661" s="30">
        <v>29.413731490627978</v>
      </c>
      <c r="AC661" s="30">
        <v>28.186488005630352</v>
      </c>
      <c r="AD661" s="90">
        <v>0</v>
      </c>
      <c r="AF661" s="29">
        <f t="shared" si="1257"/>
        <v>23.668757072231664</v>
      </c>
      <c r="AG661" s="30">
        <f t="shared" si="1258"/>
        <v>30.344428507508304</v>
      </c>
      <c r="AH661" s="32">
        <f t="shared" si="1259"/>
        <v>6.6756714352766409</v>
      </c>
      <c r="AI661" s="33">
        <f t="shared" si="1260"/>
        <v>0.28204571177540122</v>
      </c>
      <c r="AK661" s="29">
        <f t="shared" si="1249"/>
        <v>23.15190255847082</v>
      </c>
      <c r="AL661" s="30">
        <f t="shared" si="1250"/>
        <v>24.443161871370648</v>
      </c>
      <c r="AM661" s="32">
        <f t="shared" si="1261"/>
        <v>1.2912593128998289</v>
      </c>
      <c r="AN661" s="33">
        <f t="shared" si="1262"/>
        <v>5.5773356407263504E-2</v>
      </c>
      <c r="AP661" s="29">
        <f t="shared" si="1263"/>
        <v>22.590185281531021</v>
      </c>
      <c r="AQ661" s="30">
        <f t="shared" si="1264"/>
        <v>25.680940253581088</v>
      </c>
      <c r="AR661" s="32">
        <f t="shared" si="1265"/>
        <v>3.0907549720500676</v>
      </c>
      <c r="AS661" s="33">
        <f t="shared" si="1266"/>
        <v>0.13681848703458688</v>
      </c>
      <c r="AU661" s="31">
        <f t="shared" si="1267"/>
        <v>22.127749196828191</v>
      </c>
      <c r="AV661" s="25">
        <f t="shared" si="1268"/>
        <v>27.430650817446132</v>
      </c>
      <c r="AW661" s="32">
        <f t="shared" si="1269"/>
        <v>5.3029016206179413</v>
      </c>
      <c r="AX661" s="33">
        <f t="shared" si="1270"/>
        <v>0.23964939106314814</v>
      </c>
      <c r="AZ661" s="31">
        <f t="shared" si="1251"/>
        <v>21.731762376500367</v>
      </c>
      <c r="BA661" s="25">
        <f t="shared" si="1252"/>
        <v>31.37338966582476</v>
      </c>
      <c r="BB661" s="32">
        <f t="shared" si="1271"/>
        <v>9.6416272893243935</v>
      </c>
      <c r="BC661" s="33">
        <f t="shared" si="1272"/>
        <v>0.44366522706646028</v>
      </c>
      <c r="BE661" s="31">
        <f t="shared" si="1273"/>
        <v>21.474922488174943</v>
      </c>
      <c r="BF661" s="25">
        <f t="shared" si="1274"/>
        <v>29.413731490627978</v>
      </c>
      <c r="BG661" s="32">
        <f t="shared" si="1275"/>
        <v>7.9388090024530342</v>
      </c>
      <c r="BH661" s="33">
        <f t="shared" si="1276"/>
        <v>0.36967812139133444</v>
      </c>
      <c r="BJ661" s="31">
        <f t="shared" si="1253"/>
        <v>21.42979232168847</v>
      </c>
      <c r="BK661" s="25">
        <f t="shared" si="1254"/>
        <v>28.186488005630352</v>
      </c>
      <c r="BL661" s="32">
        <f t="shared" si="1255"/>
        <v>6.7566956839418815</v>
      </c>
      <c r="BM661" s="33">
        <f t="shared" si="1256"/>
        <v>0.31529450134258308</v>
      </c>
      <c r="BO661" s="62"/>
      <c r="BP661" s="62"/>
      <c r="BQ661" s="62"/>
      <c r="BR661" s="63"/>
    </row>
    <row r="662" spans="1:70">
      <c r="B662" s="1284"/>
      <c r="D662" s="5" t="s">
        <v>169</v>
      </c>
      <c r="E662" s="87">
        <v>24.54072465490259</v>
      </c>
      <c r="F662" s="87">
        <v>24.710564025550614</v>
      </c>
      <c r="G662" s="87">
        <v>24.77919541567741</v>
      </c>
      <c r="H662" s="87">
        <v>24.894167412031287</v>
      </c>
      <c r="I662" s="87">
        <v>25.030867024704403</v>
      </c>
      <c r="J662" s="87">
        <v>25.234930022445116</v>
      </c>
      <c r="K662" s="87">
        <v>25.547258426669828</v>
      </c>
      <c r="L662" s="87">
        <v>26.117037457897677</v>
      </c>
      <c r="N662" s="29">
        <v>24.696066266183117</v>
      </c>
      <c r="O662" s="29">
        <v>24.224382944039718</v>
      </c>
      <c r="P662" s="29">
        <v>23.710200633197019</v>
      </c>
      <c r="Q662" s="29">
        <v>23.316965666280325</v>
      </c>
      <c r="R662" s="29">
        <v>22.950685742272604</v>
      </c>
      <c r="S662" s="29">
        <v>22.680901719523437</v>
      </c>
      <c r="T662" s="29">
        <v>22.743665402900628</v>
      </c>
      <c r="U662" s="29">
        <v>22.727685278616583</v>
      </c>
      <c r="W662" s="30">
        <v>30.60827840176545</v>
      </c>
      <c r="X662" s="30">
        <v>37.922343450105323</v>
      </c>
      <c r="Y662" s="30">
        <v>28.219510231213665</v>
      </c>
      <c r="Z662" s="30">
        <v>34.353631165921286</v>
      </c>
      <c r="AA662" s="30">
        <v>42.319207670171224</v>
      </c>
      <c r="AB662" s="30">
        <v>38.207153510870533</v>
      </c>
      <c r="AC662" s="30">
        <v>32.977858282643155</v>
      </c>
      <c r="AD662" s="90">
        <v>0</v>
      </c>
      <c r="AF662" s="29">
        <f t="shared" si="1257"/>
        <v>24.696066266183117</v>
      </c>
      <c r="AG662" s="30">
        <f t="shared" si="1258"/>
        <v>30.60827840176545</v>
      </c>
      <c r="AH662" s="32">
        <f t="shared" si="1259"/>
        <v>5.9122121355823332</v>
      </c>
      <c r="AI662" s="33">
        <f t="shared" si="1260"/>
        <v>0.23939894199579709</v>
      </c>
      <c r="AK662" s="29">
        <f t="shared" si="1249"/>
        <v>24.224382944039718</v>
      </c>
      <c r="AL662" s="30">
        <f t="shared" si="1250"/>
        <v>37.922343450105323</v>
      </c>
      <c r="AM662" s="32">
        <f t="shared" si="1261"/>
        <v>13.697960506065606</v>
      </c>
      <c r="AN662" s="33">
        <f t="shared" si="1262"/>
        <v>0.56546168947663189</v>
      </c>
      <c r="AP662" s="29">
        <f t="shared" si="1263"/>
        <v>23.710200633197019</v>
      </c>
      <c r="AQ662" s="30">
        <f t="shared" si="1264"/>
        <v>28.219510231213665</v>
      </c>
      <c r="AR662" s="32">
        <f t="shared" si="1265"/>
        <v>4.509309598016646</v>
      </c>
      <c r="AS662" s="33">
        <f t="shared" si="1266"/>
        <v>0.19018437118170531</v>
      </c>
      <c r="AU662" s="31">
        <f t="shared" si="1267"/>
        <v>23.316965666280325</v>
      </c>
      <c r="AV662" s="25">
        <f t="shared" si="1268"/>
        <v>34.353631165921286</v>
      </c>
      <c r="AW662" s="32">
        <f t="shared" si="1269"/>
        <v>11.036665499640961</v>
      </c>
      <c r="AX662" s="33">
        <f t="shared" si="1270"/>
        <v>0.47333197885184353</v>
      </c>
      <c r="AZ662" s="31">
        <f t="shared" si="1251"/>
        <v>22.950685742272604</v>
      </c>
      <c r="BA662" s="25">
        <f t="shared" si="1252"/>
        <v>42.319207670171224</v>
      </c>
      <c r="BB662" s="32">
        <f t="shared" si="1271"/>
        <v>19.36852192789862</v>
      </c>
      <c r="BC662" s="33">
        <f t="shared" si="1272"/>
        <v>0.84391909441834068</v>
      </c>
      <c r="BE662" s="31">
        <f t="shared" si="1273"/>
        <v>22.680901719523437</v>
      </c>
      <c r="BF662" s="25">
        <f t="shared" si="1274"/>
        <v>38.207153510870533</v>
      </c>
      <c r="BG662" s="32">
        <f t="shared" si="1275"/>
        <v>15.526251791347097</v>
      </c>
      <c r="BH662" s="33">
        <f t="shared" si="1276"/>
        <v>0.6845517864919054</v>
      </c>
      <c r="BJ662" s="31">
        <f t="shared" si="1253"/>
        <v>22.743665402900628</v>
      </c>
      <c r="BK662" s="25">
        <f t="shared" si="1254"/>
        <v>32.977858282643155</v>
      </c>
      <c r="BL662" s="32">
        <f t="shared" si="1255"/>
        <v>10.234192879742526</v>
      </c>
      <c r="BM662" s="33">
        <f t="shared" si="1256"/>
        <v>0.44997992621001631</v>
      </c>
      <c r="BO662" s="62"/>
      <c r="BP662" s="62"/>
      <c r="BQ662" s="62"/>
      <c r="BR662" s="63"/>
    </row>
    <row r="663" spans="1:70">
      <c r="B663" s="1284"/>
      <c r="D663" s="5" t="s">
        <v>170</v>
      </c>
      <c r="E663" s="87">
        <v>36.353459500675292</v>
      </c>
      <c r="F663" s="87">
        <v>37.072726551195991</v>
      </c>
      <c r="G663" s="87">
        <v>37.326174710677954</v>
      </c>
      <c r="H663" s="87">
        <v>37.626512670408061</v>
      </c>
      <c r="I663" s="87">
        <v>37.119504772706911</v>
      </c>
      <c r="J663" s="87">
        <v>38.308558280729841</v>
      </c>
      <c r="K663" s="87">
        <v>38.916284896642793</v>
      </c>
      <c r="L663" s="87">
        <v>39.865827926272246</v>
      </c>
      <c r="N663" s="29">
        <v>36.788345783949467</v>
      </c>
      <c r="O663" s="29">
        <v>36.455196640883237</v>
      </c>
      <c r="P663" s="29">
        <v>35.872856093537195</v>
      </c>
      <c r="Q663" s="29">
        <v>35.449921811152088</v>
      </c>
      <c r="R663" s="29">
        <v>34.331115695185623</v>
      </c>
      <c r="S663" s="29">
        <v>34.497804302449872</v>
      </c>
      <c r="T663" s="29">
        <v>34.57237516353284</v>
      </c>
      <c r="U663" s="29">
        <v>34.601614717710689</v>
      </c>
      <c r="W663" s="30">
        <v>38.45846462918189</v>
      </c>
      <c r="X663" s="30">
        <v>44.119943607160039</v>
      </c>
      <c r="Y663" s="30">
        <v>50.08655027446251</v>
      </c>
      <c r="Z663" s="30">
        <v>48.765505298406651</v>
      </c>
      <c r="AA663" s="30">
        <v>59.918567093992529</v>
      </c>
      <c r="AB663" s="30">
        <v>59.848984568063784</v>
      </c>
      <c r="AC663" s="30">
        <v>49.25804538025438</v>
      </c>
      <c r="AD663" s="90">
        <v>0</v>
      </c>
      <c r="AF663" s="29">
        <f t="shared" si="1257"/>
        <v>36.788345783949467</v>
      </c>
      <c r="AG663" s="30">
        <f t="shared" si="1258"/>
        <v>38.45846462918189</v>
      </c>
      <c r="AH663" s="32">
        <f t="shared" si="1259"/>
        <v>1.6701188452324232</v>
      </c>
      <c r="AI663" s="33">
        <f t="shared" si="1260"/>
        <v>4.5398041408023462E-2</v>
      </c>
      <c r="AK663" s="29">
        <f t="shared" si="1249"/>
        <v>36.455196640883237</v>
      </c>
      <c r="AL663" s="30">
        <f t="shared" si="1250"/>
        <v>44.119943607160039</v>
      </c>
      <c r="AM663" s="32">
        <f t="shared" si="1261"/>
        <v>7.6647469662768017</v>
      </c>
      <c r="AN663" s="33">
        <f t="shared" si="1262"/>
        <v>0.21025114860253022</v>
      </c>
      <c r="AP663" s="29">
        <f t="shared" si="1263"/>
        <v>35.872856093537195</v>
      </c>
      <c r="AQ663" s="30">
        <f t="shared" si="1264"/>
        <v>50.08655027446251</v>
      </c>
      <c r="AR663" s="32">
        <f t="shared" si="1265"/>
        <v>14.213694180925316</v>
      </c>
      <c r="AS663" s="33">
        <f t="shared" si="1266"/>
        <v>0.39622421320074475</v>
      </c>
      <c r="AU663" s="31">
        <f t="shared" si="1267"/>
        <v>35.449921811152088</v>
      </c>
      <c r="AV663" s="25">
        <f t="shared" si="1268"/>
        <v>48.765505298406651</v>
      </c>
      <c r="AW663" s="32">
        <f t="shared" si="1269"/>
        <v>13.315583487254564</v>
      </c>
      <c r="AX663" s="33">
        <f t="shared" si="1270"/>
        <v>0.37561672373183214</v>
      </c>
      <c r="AZ663" s="31">
        <f t="shared" si="1251"/>
        <v>34.331115695185623</v>
      </c>
      <c r="BA663" s="25">
        <f t="shared" si="1252"/>
        <v>59.918567093992529</v>
      </c>
      <c r="BB663" s="32">
        <f t="shared" si="1271"/>
        <v>25.587451398806905</v>
      </c>
      <c r="BC663" s="33">
        <f t="shared" si="1272"/>
        <v>0.7453137155806191</v>
      </c>
      <c r="BE663" s="31">
        <f t="shared" si="1273"/>
        <v>34.497804302449872</v>
      </c>
      <c r="BF663" s="25">
        <f t="shared" si="1274"/>
        <v>59.848984568063784</v>
      </c>
      <c r="BG663" s="32">
        <f t="shared" si="1275"/>
        <v>25.351180265613912</v>
      </c>
      <c r="BH663" s="33">
        <f t="shared" si="1276"/>
        <v>0.73486358851579403</v>
      </c>
      <c r="BJ663" s="31">
        <f t="shared" si="1253"/>
        <v>34.57237516353284</v>
      </c>
      <c r="BK663" s="25">
        <f t="shared" si="1254"/>
        <v>49.25804538025438</v>
      </c>
      <c r="BL663" s="32">
        <f t="shared" si="1255"/>
        <v>14.68567021672154</v>
      </c>
      <c r="BM663" s="33">
        <f t="shared" si="1256"/>
        <v>0.42478048289294507</v>
      </c>
      <c r="BO663" s="62"/>
      <c r="BP663" s="62"/>
      <c r="BQ663" s="62"/>
      <c r="BR663" s="63"/>
    </row>
    <row r="664" spans="1:70">
      <c r="B664" s="1284"/>
      <c r="D664" s="5" t="s">
        <v>171</v>
      </c>
      <c r="E664" s="87">
        <v>23.295474941978675</v>
      </c>
      <c r="F664" s="87">
        <v>23.16069683381216</v>
      </c>
      <c r="G664" s="87">
        <v>22.957359228982732</v>
      </c>
      <c r="H664" s="87">
        <v>22.731108224787707</v>
      </c>
      <c r="I664" s="87">
        <v>22.605701370229241</v>
      </c>
      <c r="J664" s="87">
        <v>22.539391085957796</v>
      </c>
      <c r="K664" s="87">
        <v>22.622937755945511</v>
      </c>
      <c r="L664" s="87">
        <v>22.581497701458805</v>
      </c>
      <c r="N664" s="29">
        <v>24.418794631596292</v>
      </c>
      <c r="O664" s="29">
        <v>23.871442363232301</v>
      </c>
      <c r="P664" s="29">
        <v>23.308134120941748</v>
      </c>
      <c r="Q664" s="29">
        <v>22.73604257365346</v>
      </c>
      <c r="R664" s="29">
        <v>22.214339743755346</v>
      </c>
      <c r="S664" s="29">
        <v>21.706265390499642</v>
      </c>
      <c r="T664" s="29">
        <v>21.354575031490743</v>
      </c>
      <c r="U664" s="29">
        <v>20.88916599815656</v>
      </c>
      <c r="W664" s="30">
        <v>24.128534841678832</v>
      </c>
      <c r="X664" s="30">
        <v>24.808337914600489</v>
      </c>
      <c r="Y664" s="30">
        <v>22.069031104865015</v>
      </c>
      <c r="Z664" s="30">
        <v>28.353091861416932</v>
      </c>
      <c r="AA664" s="30">
        <v>22.532722978444273</v>
      </c>
      <c r="AB664" s="30">
        <v>23.924105789185521</v>
      </c>
      <c r="AC664" s="30">
        <v>28.398055005254896</v>
      </c>
      <c r="AD664" s="90">
        <v>0</v>
      </c>
      <c r="AF664" s="29">
        <f t="shared" si="1257"/>
        <v>24.418794631596292</v>
      </c>
      <c r="AG664" s="30">
        <f t="shared" si="1258"/>
        <v>24.128534841678832</v>
      </c>
      <c r="AH664" s="32">
        <f t="shared" si="1259"/>
        <v>-0.29025978991746015</v>
      </c>
      <c r="AI664" s="33">
        <f t="shared" si="1260"/>
        <v>-1.1886737011248023E-2</v>
      </c>
      <c r="AK664" s="29">
        <f t="shared" si="1249"/>
        <v>23.871442363232301</v>
      </c>
      <c r="AL664" s="30">
        <f t="shared" si="1250"/>
        <v>24.808337914600489</v>
      </c>
      <c r="AM664" s="32">
        <f t="shared" si="1261"/>
        <v>0.93689555136818825</v>
      </c>
      <c r="AN664" s="33">
        <f t="shared" si="1262"/>
        <v>3.9247546801412812E-2</v>
      </c>
      <c r="AP664" s="29">
        <f t="shared" si="1263"/>
        <v>23.308134120941748</v>
      </c>
      <c r="AQ664" s="30">
        <f t="shared" si="1264"/>
        <v>22.069031104865015</v>
      </c>
      <c r="AR664" s="32">
        <f t="shared" si="1265"/>
        <v>-1.2391030160767329</v>
      </c>
      <c r="AS664" s="33">
        <f t="shared" si="1266"/>
        <v>-5.316182795444923E-2</v>
      </c>
      <c r="AU664" s="31">
        <f t="shared" si="1267"/>
        <v>22.73604257365346</v>
      </c>
      <c r="AV664" s="25">
        <f t="shared" si="1268"/>
        <v>28.353091861416932</v>
      </c>
      <c r="AW664" s="32">
        <f t="shared" si="1269"/>
        <v>5.6170492877634715</v>
      </c>
      <c r="AX664" s="33">
        <f t="shared" si="1270"/>
        <v>0.24705483681106893</v>
      </c>
      <c r="AZ664" s="31">
        <f t="shared" si="1251"/>
        <v>22.214339743755346</v>
      </c>
      <c r="BA664" s="25">
        <f t="shared" si="1252"/>
        <v>22.532722978444273</v>
      </c>
      <c r="BB664" s="32">
        <f t="shared" si="1271"/>
        <v>0.31838323468892682</v>
      </c>
      <c r="BC664" s="33">
        <f t="shared" si="1272"/>
        <v>1.4332329403507356E-2</v>
      </c>
      <c r="BE664" s="31">
        <f t="shared" si="1273"/>
        <v>21.706265390499642</v>
      </c>
      <c r="BF664" s="25">
        <f t="shared" si="1274"/>
        <v>23.924105789185521</v>
      </c>
      <c r="BG664" s="32">
        <f t="shared" si="1275"/>
        <v>2.2178403986858797</v>
      </c>
      <c r="BH664" s="33">
        <f t="shared" si="1276"/>
        <v>0.10217512588123888</v>
      </c>
      <c r="BJ664" s="31">
        <f t="shared" si="1253"/>
        <v>21.354575031490743</v>
      </c>
      <c r="BK664" s="25">
        <f t="shared" si="1254"/>
        <v>28.398055005254896</v>
      </c>
      <c r="BL664" s="32">
        <f t="shared" si="1255"/>
        <v>7.0434799737641534</v>
      </c>
      <c r="BM664" s="33">
        <f t="shared" si="1256"/>
        <v>0.3298347058359819</v>
      </c>
      <c r="BO664" s="62"/>
      <c r="BP664" s="62"/>
      <c r="BQ664" s="62"/>
      <c r="BR664" s="63"/>
    </row>
    <row r="665" spans="1:70">
      <c r="B665" s="1284"/>
      <c r="D665" s="5" t="s">
        <v>172</v>
      </c>
      <c r="E665" s="87">
        <v>19.325933359237158</v>
      </c>
      <c r="F665" s="87">
        <v>18.998288499819189</v>
      </c>
      <c r="G665" s="87">
        <v>19.057958214460612</v>
      </c>
      <c r="H665" s="87">
        <v>18.682654541274658</v>
      </c>
      <c r="I665" s="87">
        <v>18.487702757507083</v>
      </c>
      <c r="J665" s="87">
        <v>18.627430324409193</v>
      </c>
      <c r="K665" s="87">
        <v>18.452201681105027</v>
      </c>
      <c r="L665" s="87">
        <v>18.314468293644211</v>
      </c>
      <c r="N665" s="29">
        <v>19.022504793654708</v>
      </c>
      <c r="O665" s="29">
        <v>18.497578314945297</v>
      </c>
      <c r="P665" s="29">
        <v>18.147190059345903</v>
      </c>
      <c r="Q665" s="29">
        <v>17.513561809411375</v>
      </c>
      <c r="R665" s="29">
        <v>17.046400232301515</v>
      </c>
      <c r="S665" s="29">
        <v>16.800745415234648</v>
      </c>
      <c r="T665" s="29">
        <v>16.334630021621599</v>
      </c>
      <c r="U665" s="29">
        <v>15.869150258012377</v>
      </c>
      <c r="W665" s="30">
        <v>21.178607756197604</v>
      </c>
      <c r="X665" s="30">
        <v>24.008840572902834</v>
      </c>
      <c r="Y665" s="30">
        <v>26.788547826614597</v>
      </c>
      <c r="Z665" s="30">
        <v>32.737391509307606</v>
      </c>
      <c r="AA665" s="30">
        <v>24.925764141809999</v>
      </c>
      <c r="AB665" s="30">
        <v>23.110686975282377</v>
      </c>
      <c r="AC665" s="30">
        <v>25.815951633576816</v>
      </c>
      <c r="AD665" s="90">
        <v>0</v>
      </c>
      <c r="AF665" s="29">
        <f t="shared" si="1257"/>
        <v>19.022504793654708</v>
      </c>
      <c r="AG665" s="30">
        <f t="shared" si="1258"/>
        <v>21.178607756197604</v>
      </c>
      <c r="AH665" s="32">
        <f t="shared" si="1259"/>
        <v>2.1561029625428958</v>
      </c>
      <c r="AI665" s="33">
        <f t="shared" si="1260"/>
        <v>0.11334485052999445</v>
      </c>
      <c r="AK665" s="29">
        <f t="shared" si="1249"/>
        <v>18.497578314945297</v>
      </c>
      <c r="AL665" s="30">
        <f t="shared" si="1250"/>
        <v>24.008840572902834</v>
      </c>
      <c r="AM665" s="32">
        <f t="shared" si="1261"/>
        <v>5.5112622579575365</v>
      </c>
      <c r="AN665" s="33">
        <f t="shared" si="1262"/>
        <v>0.2979450695718725</v>
      </c>
      <c r="AP665" s="29">
        <f t="shared" si="1263"/>
        <v>18.147190059345903</v>
      </c>
      <c r="AQ665" s="30">
        <f t="shared" si="1264"/>
        <v>26.788547826614597</v>
      </c>
      <c r="AR665" s="32">
        <f t="shared" si="1265"/>
        <v>8.6413577672686941</v>
      </c>
      <c r="AS665" s="33">
        <f t="shared" si="1266"/>
        <v>0.47618158728757831</v>
      </c>
      <c r="AU665" s="31">
        <f t="shared" si="1267"/>
        <v>17.513561809411375</v>
      </c>
      <c r="AV665" s="25">
        <f t="shared" si="1268"/>
        <v>32.737391509307606</v>
      </c>
      <c r="AW665" s="32">
        <f t="shared" si="1269"/>
        <v>15.223829699896232</v>
      </c>
      <c r="AX665" s="33">
        <f t="shared" si="1270"/>
        <v>0.86925948391122276</v>
      </c>
      <c r="AZ665" s="31">
        <f t="shared" si="1251"/>
        <v>17.046400232301515</v>
      </c>
      <c r="BA665" s="25">
        <f t="shared" si="1252"/>
        <v>24.925764141809999</v>
      </c>
      <c r="BB665" s="32">
        <f t="shared" si="1271"/>
        <v>7.8793639095084842</v>
      </c>
      <c r="BC665" s="33">
        <f t="shared" si="1272"/>
        <v>0.46223037134712719</v>
      </c>
      <c r="BE665" s="31">
        <f t="shared" si="1273"/>
        <v>16.800745415234648</v>
      </c>
      <c r="BF665" s="25">
        <f t="shared" si="1274"/>
        <v>23.110686975282377</v>
      </c>
      <c r="BG665" s="32">
        <f t="shared" si="1275"/>
        <v>6.3099415600477293</v>
      </c>
      <c r="BH665" s="33">
        <f t="shared" si="1276"/>
        <v>0.37557509527678307</v>
      </c>
      <c r="BJ665" s="31">
        <f t="shared" si="1253"/>
        <v>16.334630021621599</v>
      </c>
      <c r="BK665" s="25">
        <f t="shared" si="1254"/>
        <v>25.815951633576816</v>
      </c>
      <c r="BL665" s="32">
        <f t="shared" si="1255"/>
        <v>9.4813216119552166</v>
      </c>
      <c r="BM665" s="33">
        <f t="shared" si="1256"/>
        <v>0.58044299744806649</v>
      </c>
      <c r="BO665" s="62"/>
      <c r="BP665" s="62"/>
      <c r="BQ665" s="62"/>
      <c r="BR665" s="63"/>
    </row>
    <row r="666" spans="1:70">
      <c r="B666" s="1284"/>
      <c r="D666" s="5" t="s">
        <v>28</v>
      </c>
      <c r="E666" s="87">
        <v>18.10956026842646</v>
      </c>
      <c r="F666" s="87">
        <v>17.873110635154898</v>
      </c>
      <c r="G666" s="87">
        <v>17.6163503653937</v>
      </c>
      <c r="H666" s="87">
        <v>15.978265443327727</v>
      </c>
      <c r="I666" s="87">
        <v>15.044599229506964</v>
      </c>
      <c r="J666" s="87">
        <v>15.773795178085779</v>
      </c>
      <c r="K666" s="87">
        <v>15.672736394431233</v>
      </c>
      <c r="L666" s="87">
        <v>14.704114654056539</v>
      </c>
      <c r="N666" s="29">
        <v>17.667137564982333</v>
      </c>
      <c r="O666" s="29">
        <v>17.348595057441589</v>
      </c>
      <c r="P666" s="29">
        <v>17.01642338180735</v>
      </c>
      <c r="Q666" s="29">
        <v>15.564186173272782</v>
      </c>
      <c r="R666" s="29">
        <v>14.663477789608496</v>
      </c>
      <c r="S666" s="29">
        <v>15.152276113401919</v>
      </c>
      <c r="T666" s="29">
        <v>14.955485035094329</v>
      </c>
      <c r="U666" s="29">
        <v>14.047082285261933</v>
      </c>
      <c r="W666" s="30">
        <v>12.643789880271362</v>
      </c>
      <c r="X666" s="30">
        <v>12.266614112012235</v>
      </c>
      <c r="Y666" s="30">
        <v>12.671090319207373</v>
      </c>
      <c r="Z666" s="30">
        <v>16.996973746092753</v>
      </c>
      <c r="AA666" s="30">
        <v>25.790492186380682</v>
      </c>
      <c r="AB666" s="30">
        <v>17.476040914886514</v>
      </c>
      <c r="AC666" s="30">
        <v>39.723258309999999</v>
      </c>
      <c r="AD666" s="90">
        <v>0</v>
      </c>
      <c r="AF666" s="29">
        <f t="shared" si="1257"/>
        <v>17.667137564982333</v>
      </c>
      <c r="AG666" s="30">
        <f t="shared" si="1258"/>
        <v>12.643789880271362</v>
      </c>
      <c r="AH666" s="32">
        <f t="shared" si="1259"/>
        <v>-5.0233476847109717</v>
      </c>
      <c r="AI666" s="33">
        <f t="shared" si="1260"/>
        <v>-0.28433285619893767</v>
      </c>
      <c r="AK666" s="29">
        <f t="shared" si="1249"/>
        <v>17.348595057441589</v>
      </c>
      <c r="AL666" s="30">
        <f t="shared" si="1250"/>
        <v>12.266614112012235</v>
      </c>
      <c r="AM666" s="32">
        <f t="shared" si="1261"/>
        <v>-5.0819809454293541</v>
      </c>
      <c r="AN666" s="33">
        <f t="shared" si="1262"/>
        <v>-0.29293328529502249</v>
      </c>
      <c r="AP666" s="29">
        <f t="shared" si="1263"/>
        <v>17.01642338180735</v>
      </c>
      <c r="AQ666" s="30">
        <f t="shared" si="1264"/>
        <v>12.671090319207373</v>
      </c>
      <c r="AR666" s="32">
        <f t="shared" si="1265"/>
        <v>-4.3453330625999769</v>
      </c>
      <c r="AS666" s="33">
        <f t="shared" si="1266"/>
        <v>-0.25536112760603219</v>
      </c>
      <c r="AU666" s="31">
        <f t="shared" si="1267"/>
        <v>15.564186173272782</v>
      </c>
      <c r="AV666" s="25">
        <f t="shared" si="1268"/>
        <v>16.996973746092753</v>
      </c>
      <c r="AW666" s="32">
        <f t="shared" si="1269"/>
        <v>1.4327875728199704</v>
      </c>
      <c r="AX666" s="33">
        <f t="shared" si="1270"/>
        <v>9.2056697142340133E-2</v>
      </c>
      <c r="AZ666" s="31">
        <f t="shared" si="1251"/>
        <v>14.663477789608496</v>
      </c>
      <c r="BA666" s="25">
        <f t="shared" si="1252"/>
        <v>25.790492186380682</v>
      </c>
      <c r="BB666" s="32">
        <f t="shared" si="1271"/>
        <v>11.127014396772186</v>
      </c>
      <c r="BC666" s="33">
        <f t="shared" si="1272"/>
        <v>0.75882505885865081</v>
      </c>
      <c r="BE666" s="31">
        <f t="shared" si="1273"/>
        <v>15.152276113401919</v>
      </c>
      <c r="BF666" s="25">
        <f t="shared" si="1274"/>
        <v>17.476040914886514</v>
      </c>
      <c r="BG666" s="32">
        <f t="shared" si="1275"/>
        <v>2.3237648014845949</v>
      </c>
      <c r="BH666" s="33">
        <f t="shared" si="1276"/>
        <v>0.15336077458549385</v>
      </c>
      <c r="BJ666" s="31">
        <f t="shared" si="1253"/>
        <v>14.955485035094329</v>
      </c>
      <c r="BK666" s="25">
        <f t="shared" si="1254"/>
        <v>39.723258309999999</v>
      </c>
      <c r="BL666" s="32">
        <f t="shared" si="1255"/>
        <v>24.767773274905672</v>
      </c>
      <c r="BM666" s="33">
        <f t="shared" si="1256"/>
        <v>1.656099632795992</v>
      </c>
      <c r="BO666" s="62"/>
      <c r="BP666" s="62"/>
      <c r="BQ666" s="62"/>
      <c r="BR666" s="63"/>
    </row>
    <row r="667" spans="1:70">
      <c r="B667" s="1284"/>
      <c r="D667" s="5" t="s">
        <v>173</v>
      </c>
      <c r="E667" s="87">
        <v>27.103681319788084</v>
      </c>
      <c r="F667" s="87">
        <v>26.970713003636945</v>
      </c>
      <c r="G667" s="87">
        <v>27.042387404809887</v>
      </c>
      <c r="H667" s="87">
        <v>26.820340238437215</v>
      </c>
      <c r="I667" s="87">
        <v>26.938465794341898</v>
      </c>
      <c r="J667" s="87">
        <v>26.867130036643797</v>
      </c>
      <c r="K667" s="87">
        <v>28.357260309371146</v>
      </c>
      <c r="L667" s="87">
        <v>26.905586580886162</v>
      </c>
      <c r="N667" s="29">
        <v>33.791022076912334</v>
      </c>
      <c r="O667" s="29">
        <v>33.346898131605109</v>
      </c>
      <c r="P667" s="29">
        <v>33.084236809035765</v>
      </c>
      <c r="Q667" s="29">
        <v>32.605753193000581</v>
      </c>
      <c r="R667" s="29">
        <v>32.336684669984031</v>
      </c>
      <c r="S667" s="29">
        <v>31.903974378802236</v>
      </c>
      <c r="T667" s="29">
        <v>32.912303367277516</v>
      </c>
      <c r="U667" s="29">
        <v>31.259901878232206</v>
      </c>
      <c r="W667" s="30">
        <v>30.528944783431555</v>
      </c>
      <c r="X667" s="30">
        <v>37.59779363436882</v>
      </c>
      <c r="Y667" s="30">
        <v>44.927969712167844</v>
      </c>
      <c r="Z667" s="30">
        <v>48.815827156275006</v>
      </c>
      <c r="AA667" s="30">
        <v>44.432510475730382</v>
      </c>
      <c r="AB667" s="30">
        <v>43.3418124418559</v>
      </c>
      <c r="AC667" s="30">
        <v>38.699932470000014</v>
      </c>
      <c r="AD667" s="90">
        <v>0</v>
      </c>
      <c r="AF667" s="29">
        <f t="shared" si="1257"/>
        <v>33.791022076912334</v>
      </c>
      <c r="AG667" s="30">
        <f t="shared" si="1258"/>
        <v>30.528944783431555</v>
      </c>
      <c r="AH667" s="32">
        <f t="shared" si="1259"/>
        <v>-3.2620772934807789</v>
      </c>
      <c r="AI667" s="33">
        <f t="shared" si="1260"/>
        <v>-9.6536804541037788E-2</v>
      </c>
      <c r="AK667" s="29">
        <f t="shared" si="1249"/>
        <v>33.346898131605109</v>
      </c>
      <c r="AL667" s="30">
        <f t="shared" si="1250"/>
        <v>37.59779363436882</v>
      </c>
      <c r="AM667" s="32">
        <f t="shared" si="1261"/>
        <v>4.2508955027637114</v>
      </c>
      <c r="AN667" s="33">
        <f t="shared" si="1262"/>
        <v>0.12747498990722769</v>
      </c>
      <c r="AP667" s="29">
        <f t="shared" si="1263"/>
        <v>33.084236809035765</v>
      </c>
      <c r="AQ667" s="30">
        <f t="shared" si="1264"/>
        <v>44.927969712167844</v>
      </c>
      <c r="AR667" s="32">
        <f t="shared" si="1265"/>
        <v>11.843732903132079</v>
      </c>
      <c r="AS667" s="33">
        <f t="shared" si="1266"/>
        <v>0.35798718802234514</v>
      </c>
      <c r="AU667" s="31">
        <f t="shared" si="1267"/>
        <v>32.605753193000581</v>
      </c>
      <c r="AV667" s="25">
        <f t="shared" si="1268"/>
        <v>48.815827156275006</v>
      </c>
      <c r="AW667" s="32">
        <f t="shared" si="1269"/>
        <v>16.210073963274425</v>
      </c>
      <c r="AX667" s="33">
        <f t="shared" si="1270"/>
        <v>0.497153795752653</v>
      </c>
      <c r="AZ667" s="31">
        <f t="shared" si="1251"/>
        <v>32.336684669984031</v>
      </c>
      <c r="BA667" s="25">
        <f t="shared" si="1252"/>
        <v>44.432510475730382</v>
      </c>
      <c r="BB667" s="32">
        <f t="shared" si="1271"/>
        <v>12.095825805746351</v>
      </c>
      <c r="BC667" s="33">
        <f t="shared" si="1272"/>
        <v>0.37405893427825926</v>
      </c>
      <c r="BE667" s="31">
        <f t="shared" si="1273"/>
        <v>31.903974378802236</v>
      </c>
      <c r="BF667" s="25">
        <f t="shared" si="1274"/>
        <v>43.3418124418559</v>
      </c>
      <c r="BG667" s="32">
        <f t="shared" si="1275"/>
        <v>11.437838063053665</v>
      </c>
      <c r="BH667" s="33">
        <f t="shared" si="1276"/>
        <v>0.35850825126831964</v>
      </c>
      <c r="BJ667" s="31">
        <f t="shared" si="1253"/>
        <v>32.912303367277516</v>
      </c>
      <c r="BK667" s="25">
        <f t="shared" si="1254"/>
        <v>38.699932470000014</v>
      </c>
      <c r="BL667" s="32">
        <f t="shared" si="1255"/>
        <v>5.787629102722498</v>
      </c>
      <c r="BM667" s="33">
        <f t="shared" si="1256"/>
        <v>0.17585001688082236</v>
      </c>
      <c r="BO667" s="62"/>
      <c r="BP667" s="62"/>
      <c r="BQ667" s="62"/>
      <c r="BR667" s="63"/>
    </row>
    <row r="668" spans="1:70">
      <c r="A668" s="1"/>
      <c r="B668" s="1284"/>
      <c r="D668" s="4" t="s">
        <v>174</v>
      </c>
      <c r="E668" s="88">
        <f t="shared" ref="E668:L668" si="1277">SUM(E654:E667)</f>
        <v>368.0111668049301</v>
      </c>
      <c r="F668" s="88">
        <f t="shared" si="1277"/>
        <v>368.79591659792453</v>
      </c>
      <c r="G668" s="88">
        <f t="shared" si="1277"/>
        <v>367.89135229168687</v>
      </c>
      <c r="H668" s="88">
        <f t="shared" si="1277"/>
        <v>366.1968877362728</v>
      </c>
      <c r="I668" s="88">
        <f t="shared" si="1277"/>
        <v>364.93188946870123</v>
      </c>
      <c r="J668" s="88">
        <f t="shared" si="1277"/>
        <v>367.57095039612204</v>
      </c>
      <c r="K668" s="88">
        <f t="shared" si="1277"/>
        <v>370.24344901356397</v>
      </c>
      <c r="L668" s="88">
        <f t="shared" si="1277"/>
        <v>370.03597478845319</v>
      </c>
      <c r="M668" s="1"/>
      <c r="N668" s="81">
        <f t="shared" ref="N668:U668" si="1278">SUM(N654:N667)</f>
        <v>373.7688016055132</v>
      </c>
      <c r="O668" s="81">
        <f t="shared" si="1278"/>
        <v>369.92102309055656</v>
      </c>
      <c r="P668" s="81">
        <f t="shared" si="1278"/>
        <v>364.77626608908963</v>
      </c>
      <c r="Q668" s="81">
        <f t="shared" si="1278"/>
        <v>359.45149684648771</v>
      </c>
      <c r="R668" s="81">
        <f t="shared" si="1278"/>
        <v>354.29656896550188</v>
      </c>
      <c r="S668" s="81">
        <f t="shared" si="1278"/>
        <v>352.59411508566552</v>
      </c>
      <c r="T668" s="81">
        <f t="shared" si="1278"/>
        <v>351.9930738930064</v>
      </c>
      <c r="U668" s="81">
        <f t="shared" si="1278"/>
        <v>347.90231349630449</v>
      </c>
      <c r="V668" s="1"/>
      <c r="W668" s="85">
        <f t="shared" ref="W668:AD668" si="1279">SUM(W654:W667)</f>
        <v>430.16000091716842</v>
      </c>
      <c r="X668" s="85">
        <f t="shared" si="1279"/>
        <v>409.31469714607874</v>
      </c>
      <c r="Y668" s="85">
        <f t="shared" si="1279"/>
        <v>406.58564482396645</v>
      </c>
      <c r="Z668" s="85">
        <f>SUM(Z654:Z667)</f>
        <v>442.6524859107987</v>
      </c>
      <c r="AA668" s="85">
        <f>SUM(AA654:AA667)</f>
        <v>457.13913555244545</v>
      </c>
      <c r="AB668" s="85">
        <f t="shared" si="1279"/>
        <v>443.7257740530905</v>
      </c>
      <c r="AC668" s="85">
        <f t="shared" ref="AC668" si="1280">SUM(AC654:AC667)</f>
        <v>459.43257859357027</v>
      </c>
      <c r="AD668" s="91">
        <f t="shared" si="1279"/>
        <v>0</v>
      </c>
      <c r="AE668" s="1"/>
      <c r="AF668" s="81">
        <f t="shared" si="1257"/>
        <v>373.7688016055132</v>
      </c>
      <c r="AG668" s="85">
        <f t="shared" si="1258"/>
        <v>430.16000091716842</v>
      </c>
      <c r="AH668" s="34">
        <f t="shared" si="1259"/>
        <v>56.391199311655214</v>
      </c>
      <c r="AI668" s="35">
        <f t="shared" si="1260"/>
        <v>0.15087187338651173</v>
      </c>
      <c r="AK668" s="81">
        <f t="shared" si="1249"/>
        <v>369.92102309055656</v>
      </c>
      <c r="AL668" s="85">
        <f t="shared" si="1250"/>
        <v>409.31469714607874</v>
      </c>
      <c r="AM668" s="34">
        <f t="shared" si="1261"/>
        <v>39.393674055522183</v>
      </c>
      <c r="AN668" s="35">
        <f t="shared" si="1262"/>
        <v>0.10649212020015046</v>
      </c>
      <c r="AP668" s="81">
        <f t="shared" si="1263"/>
        <v>364.77626608908963</v>
      </c>
      <c r="AQ668" s="85">
        <f t="shared" si="1264"/>
        <v>406.58564482396645</v>
      </c>
      <c r="AR668" s="34">
        <f t="shared" si="1265"/>
        <v>41.809378734876816</v>
      </c>
      <c r="AS668" s="35">
        <f t="shared" si="1266"/>
        <v>0.11461649954129877</v>
      </c>
      <c r="AU668" s="949">
        <f t="shared" si="1267"/>
        <v>359.45149684648771</v>
      </c>
      <c r="AV668" s="843">
        <f t="shared" si="1268"/>
        <v>442.6524859107987</v>
      </c>
      <c r="AW668" s="34">
        <f t="shared" si="1269"/>
        <v>83.200989064310988</v>
      </c>
      <c r="AX668" s="35">
        <f t="shared" si="1270"/>
        <v>0.23146652550968216</v>
      </c>
      <c r="AZ668" s="949">
        <f t="shared" si="1251"/>
        <v>354.29656896550188</v>
      </c>
      <c r="BA668" s="843">
        <f t="shared" si="1252"/>
        <v>457.13913555244545</v>
      </c>
      <c r="BB668" s="34">
        <f t="shared" si="1271"/>
        <v>102.84256658694358</v>
      </c>
      <c r="BC668" s="35">
        <f t="shared" si="1272"/>
        <v>0.29027254451610973</v>
      </c>
      <c r="BE668" s="31">
        <f t="shared" si="1273"/>
        <v>352.59411508566552</v>
      </c>
      <c r="BF668" s="25">
        <f t="shared" si="1274"/>
        <v>443.7257740530905</v>
      </c>
      <c r="BG668" s="32">
        <f t="shared" si="1275"/>
        <v>91.131658967424983</v>
      </c>
      <c r="BH668" s="33">
        <f t="shared" si="1276"/>
        <v>0.25846052179652468</v>
      </c>
      <c r="BJ668" s="31">
        <f t="shared" si="1253"/>
        <v>351.9930738930064</v>
      </c>
      <c r="BK668" s="25">
        <f t="shared" si="1254"/>
        <v>459.43257859357027</v>
      </c>
      <c r="BL668" s="32">
        <f t="shared" si="1255"/>
        <v>107.43950470056387</v>
      </c>
      <c r="BM668" s="33">
        <f t="shared" si="1256"/>
        <v>0.30523187150330616</v>
      </c>
      <c r="BO668" s="62"/>
      <c r="BP668" s="62"/>
      <c r="BQ668" s="62"/>
      <c r="BR668" s="63"/>
    </row>
    <row r="669" spans="1:70">
      <c r="A669" s="1"/>
      <c r="B669" s="1284"/>
      <c r="D669" s="4" t="s">
        <v>724</v>
      </c>
      <c r="E669" s="88">
        <f t="shared" ref="E669:L669" si="1281">E668-SUM(E657:E660)</f>
        <v>261.55634559703134</v>
      </c>
      <c r="F669" s="88">
        <f t="shared" si="1281"/>
        <v>262.33937649645213</v>
      </c>
      <c r="G669" s="88">
        <f t="shared" si="1281"/>
        <v>261.76020902259086</v>
      </c>
      <c r="H669" s="88">
        <f t="shared" si="1281"/>
        <v>259.86770127492861</v>
      </c>
      <c r="I669" s="88">
        <f t="shared" si="1281"/>
        <v>258.37662983464651</v>
      </c>
      <c r="J669" s="88">
        <f t="shared" si="1281"/>
        <v>260.79386291188047</v>
      </c>
      <c r="K669" s="88">
        <f t="shared" si="1281"/>
        <v>263.25066078929632</v>
      </c>
      <c r="L669" s="88">
        <f t="shared" si="1281"/>
        <v>262.89718290069533</v>
      </c>
      <c r="M669" s="1"/>
      <c r="N669" s="81">
        <f t="shared" ref="N669:U669" si="1282">N668-SUM(N657:N660)</f>
        <v>267.31398039761444</v>
      </c>
      <c r="O669" s="81">
        <f t="shared" si="1282"/>
        <v>263.46448298908416</v>
      </c>
      <c r="P669" s="81">
        <f t="shared" si="1282"/>
        <v>258.64512281999362</v>
      </c>
      <c r="Q669" s="81">
        <f t="shared" si="1282"/>
        <v>253.12231038514352</v>
      </c>
      <c r="R669" s="81">
        <f t="shared" si="1282"/>
        <v>247.74130933144716</v>
      </c>
      <c r="S669" s="81">
        <f t="shared" si="1282"/>
        <v>245.81702760142394</v>
      </c>
      <c r="T669" s="81">
        <f t="shared" si="1282"/>
        <v>245.00028566873874</v>
      </c>
      <c r="U669" s="81">
        <f t="shared" si="1282"/>
        <v>240.76352160854663</v>
      </c>
      <c r="V669" s="1"/>
      <c r="W669" s="85">
        <f t="shared" ref="W669:AD669" si="1283">W668-SUM(W657:W660)</f>
        <v>297.29060667665158</v>
      </c>
      <c r="X669" s="85">
        <f t="shared" si="1283"/>
        <v>296.45369633095981</v>
      </c>
      <c r="Y669" s="85">
        <f t="shared" si="1283"/>
        <v>300.56410358107792</v>
      </c>
      <c r="Z669" s="85">
        <f>Z668-SUM(Z657:Z660)</f>
        <v>337.4471487441815</v>
      </c>
      <c r="AA669" s="85">
        <f>AA668-SUM(AA657:AA660)</f>
        <v>346.60193741177756</v>
      </c>
      <c r="AB669" s="85">
        <f t="shared" si="1283"/>
        <v>335.40483340373146</v>
      </c>
      <c r="AC669" s="85">
        <f t="shared" ref="AC669" si="1284">AC668-SUM(AC657:AC660)</f>
        <v>351.3658785935703</v>
      </c>
      <c r="AD669" s="91">
        <f t="shared" si="1283"/>
        <v>0</v>
      </c>
      <c r="AE669" s="1"/>
      <c r="AF669" s="81">
        <f t="shared" si="1257"/>
        <v>267.31398039761444</v>
      </c>
      <c r="AG669" s="85">
        <f t="shared" si="1258"/>
        <v>297.29060667665158</v>
      </c>
      <c r="AH669" s="34">
        <f t="shared" si="1259"/>
        <v>29.976626279037134</v>
      </c>
      <c r="AI669" s="35">
        <f t="shared" si="1260"/>
        <v>0.11214013660807638</v>
      </c>
      <c r="AK669" s="81">
        <f t="shared" si="1249"/>
        <v>263.46448298908416</v>
      </c>
      <c r="AL669" s="85">
        <f t="shared" si="1250"/>
        <v>296.45369633095981</v>
      </c>
      <c r="AM669" s="34">
        <f t="shared" si="1261"/>
        <v>32.989213341875654</v>
      </c>
      <c r="AN669" s="35">
        <f t="shared" si="1262"/>
        <v>0.12521313297186423</v>
      </c>
      <c r="AP669" s="81">
        <f t="shared" si="1263"/>
        <v>258.64512281999362</v>
      </c>
      <c r="AQ669" s="85">
        <f>Y669</f>
        <v>300.56410358107792</v>
      </c>
      <c r="AR669" s="34">
        <f t="shared" si="1265"/>
        <v>41.918980761084299</v>
      </c>
      <c r="AS669" s="35">
        <f t="shared" si="1266"/>
        <v>0.16207141392825794</v>
      </c>
      <c r="AU669" s="949">
        <f t="shared" si="1267"/>
        <v>253.12231038514352</v>
      </c>
      <c r="AV669" s="843">
        <f t="shared" si="1268"/>
        <v>337.4471487441815</v>
      </c>
      <c r="AW669" s="34">
        <f t="shared" si="1269"/>
        <v>84.324838359037983</v>
      </c>
      <c r="AX669" s="35">
        <f t="shared" si="1270"/>
        <v>0.33313870369913962</v>
      </c>
      <c r="AZ669" s="949">
        <f t="shared" si="1251"/>
        <v>247.74130933144716</v>
      </c>
      <c r="BA669" s="843">
        <f t="shared" si="1252"/>
        <v>346.60193741177756</v>
      </c>
      <c r="BB669" s="34">
        <f t="shared" si="1271"/>
        <v>98.8606280803304</v>
      </c>
      <c r="BC669" s="35">
        <f t="shared" si="1272"/>
        <v>0.39904781462209493</v>
      </c>
      <c r="BE669" s="31">
        <f t="shared" si="1273"/>
        <v>245.81702760142394</v>
      </c>
      <c r="BF669" s="25">
        <f t="shared" si="1274"/>
        <v>335.40483340373146</v>
      </c>
      <c r="BG669" s="32">
        <f t="shared" si="1275"/>
        <v>89.587805802307514</v>
      </c>
      <c r="BH669" s="33">
        <f t="shared" si="1276"/>
        <v>0.36444914608425016</v>
      </c>
      <c r="BJ669" s="31">
        <f t="shared" si="1253"/>
        <v>245.00028566873874</v>
      </c>
      <c r="BK669" s="25">
        <f t="shared" si="1254"/>
        <v>351.3658785935703</v>
      </c>
      <c r="BL669" s="32">
        <f t="shared" si="1255"/>
        <v>106.36559292483156</v>
      </c>
      <c r="BM669" s="33">
        <f t="shared" si="1256"/>
        <v>0.43414477103364241</v>
      </c>
      <c r="BO669" s="62"/>
      <c r="BP669" s="62"/>
      <c r="BQ669" s="62"/>
      <c r="BR669" s="63"/>
    </row>
    <row r="670" spans="1:70" ht="14.5" customHeight="1">
      <c r="B670" s="1284"/>
    </row>
    <row r="671" spans="1:70" ht="14.5" customHeight="1">
      <c r="B671" s="1284"/>
      <c r="D671" s="1" t="s">
        <v>93</v>
      </c>
    </row>
    <row r="672" spans="1:70" ht="14.5" customHeight="1">
      <c r="B672" s="1284"/>
      <c r="E672" s="1300" t="s">
        <v>733</v>
      </c>
      <c r="F672" s="1301"/>
      <c r="G672" s="1301"/>
      <c r="H672" s="1301"/>
      <c r="I672" s="1301"/>
      <c r="J672" s="1301"/>
      <c r="K672" s="1301"/>
      <c r="L672" s="1302"/>
      <c r="N672" s="245" t="s">
        <v>291</v>
      </c>
      <c r="O672" s="246"/>
      <c r="P672" s="246"/>
      <c r="Q672" s="246"/>
      <c r="R672" s="246"/>
      <c r="S672" s="246"/>
      <c r="T672" s="246"/>
      <c r="U672" s="247"/>
      <c r="W672" s="1079" t="s">
        <v>292</v>
      </c>
      <c r="X672" s="1080"/>
      <c r="Y672" s="1080"/>
      <c r="Z672" s="1080"/>
      <c r="AA672" s="1080"/>
      <c r="AB672" s="1080"/>
      <c r="AC672" s="1080"/>
      <c r="AD672" s="1081"/>
      <c r="AF672" s="102" t="s">
        <v>297</v>
      </c>
      <c r="AG672" s="102" t="s">
        <v>298</v>
      </c>
      <c r="AH672" s="1304" t="s">
        <v>602</v>
      </c>
      <c r="AI672" s="1304"/>
      <c r="AK672" s="102" t="s">
        <v>297</v>
      </c>
      <c r="AL672" s="102" t="s">
        <v>298</v>
      </c>
      <c r="AM672" s="1304" t="s">
        <v>602</v>
      </c>
      <c r="AN672" s="1304"/>
      <c r="AP672" s="6" t="s">
        <v>297</v>
      </c>
      <c r="AQ672" s="5" t="s">
        <v>298</v>
      </c>
      <c r="AR672" s="1303" t="s">
        <v>602</v>
      </c>
      <c r="AS672" s="1303"/>
      <c r="AU672" s="6" t="s">
        <v>297</v>
      </c>
      <c r="AV672" s="5" t="s">
        <v>298</v>
      </c>
      <c r="AW672" s="1303" t="s">
        <v>602</v>
      </c>
      <c r="AX672" s="1303"/>
      <c r="AZ672" s="6" t="s">
        <v>297</v>
      </c>
      <c r="BA672" s="5" t="s">
        <v>298</v>
      </c>
      <c r="BB672" s="1303" t="s">
        <v>602</v>
      </c>
      <c r="BC672" s="1303"/>
      <c r="BE672" s="6" t="s">
        <v>297</v>
      </c>
      <c r="BF672" s="5" t="s">
        <v>298</v>
      </c>
      <c r="BG672" s="1082" t="s">
        <v>602</v>
      </c>
      <c r="BH672" s="1082"/>
      <c r="BJ672" s="6" t="s">
        <v>297</v>
      </c>
      <c r="BK672" s="5" t="s">
        <v>298</v>
      </c>
      <c r="BL672" s="1082" t="s">
        <v>602</v>
      </c>
      <c r="BM672" s="1082"/>
      <c r="BO672" s="6" t="s">
        <v>297</v>
      </c>
      <c r="BP672" s="5" t="s">
        <v>298</v>
      </c>
      <c r="BQ672" s="1303" t="s">
        <v>602</v>
      </c>
      <c r="BR672" s="1303"/>
    </row>
    <row r="673" spans="1:70" ht="14.5" customHeight="1">
      <c r="A673" s="1"/>
      <c r="B673" s="1284"/>
      <c r="E673" s="196" t="s">
        <v>137</v>
      </c>
      <c r="F673" s="102" t="s">
        <v>138</v>
      </c>
      <c r="G673" s="102" t="s">
        <v>139</v>
      </c>
      <c r="H673" s="102" t="s">
        <v>140</v>
      </c>
      <c r="I673" s="102" t="s">
        <v>141</v>
      </c>
      <c r="J673" s="102" t="s">
        <v>126</v>
      </c>
      <c r="K673" s="102" t="s">
        <v>142</v>
      </c>
      <c r="L673" s="197" t="s">
        <v>143</v>
      </c>
      <c r="N673" s="196" t="s">
        <v>137</v>
      </c>
      <c r="O673" s="102" t="s">
        <v>138</v>
      </c>
      <c r="P673" s="102" t="s">
        <v>139</v>
      </c>
      <c r="Q673" s="102" t="s">
        <v>140</v>
      </c>
      <c r="R673" s="102" t="s">
        <v>141</v>
      </c>
      <c r="S673" s="102" t="s">
        <v>126</v>
      </c>
      <c r="T673" s="102" t="s">
        <v>142</v>
      </c>
      <c r="U673" s="197" t="s">
        <v>143</v>
      </c>
      <c r="W673" s="196" t="s">
        <v>137</v>
      </c>
      <c r="X673" s="1078" t="s">
        <v>138</v>
      </c>
      <c r="Y673" s="1078" t="s">
        <v>139</v>
      </c>
      <c r="Z673" s="1078" t="s">
        <v>140</v>
      </c>
      <c r="AA673" s="1078" t="s">
        <v>141</v>
      </c>
      <c r="AB673" s="1078" t="s">
        <v>126</v>
      </c>
      <c r="AC673" s="1078" t="s">
        <v>142</v>
      </c>
      <c r="AD673" s="197" t="s">
        <v>143</v>
      </c>
      <c r="AF673" s="102" t="s">
        <v>734</v>
      </c>
      <c r="AG673" s="102" t="s">
        <v>734</v>
      </c>
      <c r="AH673" s="102" t="s">
        <v>734</v>
      </c>
      <c r="AI673" s="102" t="s">
        <v>606</v>
      </c>
      <c r="AK673" s="102" t="s">
        <v>734</v>
      </c>
      <c r="AL673" s="102" t="s">
        <v>734</v>
      </c>
      <c r="AM673" s="102" t="s">
        <v>734</v>
      </c>
      <c r="AN673" s="102" t="s">
        <v>606</v>
      </c>
      <c r="AP673" s="5" t="s">
        <v>734</v>
      </c>
      <c r="AQ673" s="5" t="s">
        <v>734</v>
      </c>
      <c r="AR673" s="5" t="s">
        <v>734</v>
      </c>
      <c r="AS673" s="5" t="s">
        <v>606</v>
      </c>
      <c r="AU673" s="5" t="s">
        <v>734</v>
      </c>
      <c r="AV673" s="5" t="s">
        <v>734</v>
      </c>
      <c r="AW673" s="5" t="s">
        <v>734</v>
      </c>
      <c r="AX673" s="5" t="s">
        <v>606</v>
      </c>
      <c r="AZ673" s="5" t="s">
        <v>734</v>
      </c>
      <c r="BA673" s="5" t="s">
        <v>734</v>
      </c>
      <c r="BB673" s="5" t="s">
        <v>734</v>
      </c>
      <c r="BC673" s="5" t="s">
        <v>606</v>
      </c>
      <c r="BE673" s="5" t="s">
        <v>734</v>
      </c>
      <c r="BF673" s="5" t="s">
        <v>734</v>
      </c>
      <c r="BG673" s="5" t="s">
        <v>734</v>
      </c>
      <c r="BH673" s="5" t="s">
        <v>606</v>
      </c>
      <c r="BJ673" s="5" t="s">
        <v>734</v>
      </c>
      <c r="BK673" s="5" t="s">
        <v>734</v>
      </c>
      <c r="BL673" s="5" t="s">
        <v>734</v>
      </c>
      <c r="BM673" s="5" t="s">
        <v>606</v>
      </c>
      <c r="BO673" s="5" t="s">
        <v>734</v>
      </c>
      <c r="BP673" s="5" t="s">
        <v>734</v>
      </c>
      <c r="BQ673" s="5" t="s">
        <v>734</v>
      </c>
      <c r="BR673" s="5" t="s">
        <v>606</v>
      </c>
    </row>
    <row r="674" spans="1:70">
      <c r="B674" s="1284"/>
      <c r="D674" s="5" t="s">
        <v>161</v>
      </c>
      <c r="E674" s="87">
        <v>0.37028331807569786</v>
      </c>
      <c r="F674" s="87">
        <v>0.37505012988067365</v>
      </c>
      <c r="G674" s="87">
        <v>0.38001086103113979</v>
      </c>
      <c r="H674" s="87">
        <v>0.38512218490341688</v>
      </c>
      <c r="I674" s="87">
        <v>0.39043875577244991</v>
      </c>
      <c r="J674" s="87">
        <v>0.39892185036293937</v>
      </c>
      <c r="K674" s="87">
        <v>0.40526206634452344</v>
      </c>
      <c r="L674" s="87">
        <v>0.41179759557760243</v>
      </c>
      <c r="N674" s="29">
        <v>0.55731349703456401</v>
      </c>
      <c r="O674" s="29">
        <v>0.55006381914394065</v>
      </c>
      <c r="P674" s="29">
        <v>0.53633206651531684</v>
      </c>
      <c r="Q674" s="29">
        <v>0.52421267991034959</v>
      </c>
      <c r="R674" s="29">
        <v>0.51303672393279742</v>
      </c>
      <c r="S674" s="29">
        <v>0.50154722852208644</v>
      </c>
      <c r="T674" s="29">
        <v>0.48873460193520812</v>
      </c>
      <c r="U674" s="29">
        <v>0.47699880412518164</v>
      </c>
      <c r="W674" s="30">
        <v>0</v>
      </c>
      <c r="X674" s="30">
        <v>0</v>
      </c>
      <c r="Y674" s="30">
        <v>0</v>
      </c>
      <c r="Z674" s="30">
        <v>0</v>
      </c>
      <c r="AA674" s="30">
        <v>0</v>
      </c>
      <c r="AB674" s="30">
        <v>0</v>
      </c>
      <c r="AC674" s="30">
        <v>0</v>
      </c>
      <c r="AD674" s="90">
        <v>0</v>
      </c>
      <c r="AF674" s="29">
        <f>N674</f>
        <v>0.55731349703456401</v>
      </c>
      <c r="AG674" s="30">
        <f>W674</f>
        <v>0</v>
      </c>
      <c r="AH674" s="32">
        <f>AG674-AF674</f>
        <v>-0.55731349703456401</v>
      </c>
      <c r="AI674" s="33">
        <f>AH674/AF674</f>
        <v>-1</v>
      </c>
      <c r="AK674" s="29">
        <f t="shared" ref="AK674:AK689" si="1285">O674</f>
        <v>0.55006381914394065</v>
      </c>
      <c r="AL674" s="30">
        <f t="shared" ref="AL674:AL689" si="1286">X674</f>
        <v>0</v>
      </c>
      <c r="AM674" s="32">
        <f>AL674-AK674</f>
        <v>-0.55006381914394065</v>
      </c>
      <c r="AN674" s="33">
        <f>AM674/AK674</f>
        <v>-1</v>
      </c>
      <c r="AP674" s="29">
        <f>P674</f>
        <v>0.53633206651531684</v>
      </c>
      <c r="AQ674" s="30">
        <f>Y674</f>
        <v>0</v>
      </c>
      <c r="AR674" s="32">
        <f>AQ674-AP674</f>
        <v>-0.53633206651531684</v>
      </c>
      <c r="AS674" s="33">
        <f>AR674/AP674</f>
        <v>-1</v>
      </c>
      <c r="AU674" s="31">
        <f>Q674</f>
        <v>0.52421267991034959</v>
      </c>
      <c r="AV674" s="25">
        <f>Z674</f>
        <v>0</v>
      </c>
      <c r="AW674" s="32">
        <f>AV674-AU674</f>
        <v>-0.52421267991034959</v>
      </c>
      <c r="AX674" s="33">
        <f>AW674/AU674</f>
        <v>-1</v>
      </c>
      <c r="AZ674" s="31">
        <f t="shared" ref="AZ674:AZ689" si="1287">R674</f>
        <v>0.51303672393279742</v>
      </c>
      <c r="BA674" s="25">
        <f t="shared" ref="BA674:BA689" si="1288">AA674</f>
        <v>0</v>
      </c>
      <c r="BB674" s="32">
        <f>BA674-AZ674</f>
        <v>-0.51303672393279742</v>
      </c>
      <c r="BC674" s="33">
        <f>BB674/AZ674</f>
        <v>-1</v>
      </c>
      <c r="BE674" s="31">
        <f>S674</f>
        <v>0.50154722852208644</v>
      </c>
      <c r="BF674" s="25">
        <f>AB674</f>
        <v>0</v>
      </c>
      <c r="BG674" s="32">
        <f>BF674-BE674</f>
        <v>-0.50154722852208644</v>
      </c>
      <c r="BH674" s="33">
        <f>BG674/BE674</f>
        <v>-1</v>
      </c>
      <c r="BJ674" s="31">
        <f t="shared" ref="BJ674:BJ689" si="1289">T674</f>
        <v>0.48873460193520812</v>
      </c>
      <c r="BK674" s="25">
        <f t="shared" ref="BK674:BK689" si="1290">AC674</f>
        <v>0</v>
      </c>
      <c r="BL674" s="32">
        <f t="shared" ref="BL674:BL689" si="1291">BK674-BJ674</f>
        <v>-0.48873460193520812</v>
      </c>
      <c r="BM674" s="33">
        <f t="shared" ref="BM674:BM689" si="1292">BL674/BJ674</f>
        <v>-1</v>
      </c>
      <c r="BO674" s="62"/>
      <c r="BP674" s="62"/>
      <c r="BQ674" s="62"/>
      <c r="BR674" s="63"/>
    </row>
    <row r="675" spans="1:70">
      <c r="B675" s="1284"/>
      <c r="D675" s="5" t="s">
        <v>162</v>
      </c>
      <c r="E675" s="87">
        <v>3.2085650985933345</v>
      </c>
      <c r="F675" s="87">
        <v>3.244673256680338</v>
      </c>
      <c r="G675" s="87">
        <v>3.2816098236017841</v>
      </c>
      <c r="H675" s="87">
        <v>3.318479615516674</v>
      </c>
      <c r="I675" s="87">
        <v>3.3563349251448829</v>
      </c>
      <c r="J675" s="87">
        <v>3.3952925873004736</v>
      </c>
      <c r="K675" s="87">
        <v>3.4352860659061371</v>
      </c>
      <c r="L675" s="87">
        <v>3.4749653624618269</v>
      </c>
      <c r="N675" s="29">
        <v>1.3226141201212216</v>
      </c>
      <c r="O675" s="29">
        <v>1.3260615282538577</v>
      </c>
      <c r="P675" s="29">
        <v>1.3278114026910821</v>
      </c>
      <c r="Q675" s="29">
        <v>1.3303312139194419</v>
      </c>
      <c r="R675" s="29">
        <v>1.3323368016570496</v>
      </c>
      <c r="S675" s="29">
        <v>1.338156541171982</v>
      </c>
      <c r="T675" s="29">
        <v>1.3437990438661185</v>
      </c>
      <c r="U675" s="29">
        <v>1.3499430404639914</v>
      </c>
      <c r="W675" s="30">
        <v>0</v>
      </c>
      <c r="X675" s="30">
        <v>0</v>
      </c>
      <c r="Y675" s="30">
        <v>0</v>
      </c>
      <c r="Z675" s="30">
        <v>0</v>
      </c>
      <c r="AA675" s="30">
        <v>0</v>
      </c>
      <c r="AB675" s="30">
        <v>0</v>
      </c>
      <c r="AC675" s="30">
        <v>11.129968527217935</v>
      </c>
      <c r="AD675" s="90">
        <v>0</v>
      </c>
      <c r="AF675" s="29">
        <f t="shared" ref="AF675:AF689" si="1293">N675</f>
        <v>1.3226141201212216</v>
      </c>
      <c r="AG675" s="30">
        <f t="shared" ref="AG675:AG689" si="1294">W675</f>
        <v>0</v>
      </c>
      <c r="AH675" s="32">
        <f t="shared" ref="AH675:AH687" si="1295">AG675-AF675</f>
        <v>-1.3226141201212216</v>
      </c>
      <c r="AI675" s="33">
        <f t="shared" ref="AI675:AI687" si="1296">AH675/AF675</f>
        <v>-1</v>
      </c>
      <c r="AK675" s="29">
        <f t="shared" si="1285"/>
        <v>1.3260615282538577</v>
      </c>
      <c r="AL675" s="30">
        <f t="shared" si="1286"/>
        <v>0</v>
      </c>
      <c r="AM675" s="32">
        <f t="shared" ref="AM675:AM689" si="1297">AL675-AK675</f>
        <v>-1.3260615282538577</v>
      </c>
      <c r="AN675" s="33">
        <f t="shared" ref="AN675:AN689" si="1298">AM675/AK675</f>
        <v>-1</v>
      </c>
      <c r="AP675" s="29">
        <f t="shared" ref="AP675:AP689" si="1299">P675</f>
        <v>1.3278114026910821</v>
      </c>
      <c r="AQ675" s="30">
        <f t="shared" ref="AQ675:AQ688" si="1300">Y675</f>
        <v>0</v>
      </c>
      <c r="AR675" s="32">
        <f t="shared" ref="AR675:AR689" si="1301">AQ675-AP675</f>
        <v>-1.3278114026910821</v>
      </c>
      <c r="AS675" s="33">
        <f t="shared" ref="AS675:AS689" si="1302">AR675/AP675</f>
        <v>-1</v>
      </c>
      <c r="AU675" s="31">
        <f t="shared" ref="AU675:AU689" si="1303">Q675</f>
        <v>1.3303312139194419</v>
      </c>
      <c r="AV675" s="25">
        <f t="shared" ref="AV675:AV689" si="1304">Z675</f>
        <v>0</v>
      </c>
      <c r="AW675" s="32">
        <f t="shared" ref="AW675:AW689" si="1305">AV675-AU675</f>
        <v>-1.3303312139194419</v>
      </c>
      <c r="AX675" s="33">
        <f t="shared" ref="AX675:AX689" si="1306">AW675/AU675</f>
        <v>-1</v>
      </c>
      <c r="AZ675" s="31">
        <f t="shared" si="1287"/>
        <v>1.3323368016570496</v>
      </c>
      <c r="BA675" s="25">
        <f t="shared" si="1288"/>
        <v>0</v>
      </c>
      <c r="BB675" s="32">
        <f t="shared" ref="BB675:BB689" si="1307">BA675-AZ675</f>
        <v>-1.3323368016570496</v>
      </c>
      <c r="BC675" s="33">
        <f t="shared" ref="BC675:BC689" si="1308">BB675/AZ675</f>
        <v>-1</v>
      </c>
      <c r="BE675" s="31">
        <f t="shared" ref="BE675:BE689" si="1309">S675</f>
        <v>1.338156541171982</v>
      </c>
      <c r="BF675" s="25">
        <f t="shared" ref="BF675:BF689" si="1310">AB675</f>
        <v>0</v>
      </c>
      <c r="BG675" s="32">
        <f t="shared" ref="BG675:BG689" si="1311">BF675-BE675</f>
        <v>-1.338156541171982</v>
      </c>
      <c r="BH675" s="33">
        <f t="shared" ref="BH675:BH689" si="1312">BG675/BE675</f>
        <v>-1</v>
      </c>
      <c r="BJ675" s="31">
        <f t="shared" si="1289"/>
        <v>1.3437990438661185</v>
      </c>
      <c r="BK675" s="25">
        <f t="shared" si="1290"/>
        <v>11.129968527217935</v>
      </c>
      <c r="BL675" s="32">
        <f t="shared" si="1291"/>
        <v>9.7861694833518165</v>
      </c>
      <c r="BM675" s="33">
        <f t="shared" si="1292"/>
        <v>7.2824649846430489</v>
      </c>
      <c r="BO675" s="62"/>
      <c r="BP675" s="62"/>
      <c r="BQ675" s="62"/>
      <c r="BR675" s="63"/>
    </row>
    <row r="676" spans="1:70">
      <c r="B676" s="1284"/>
      <c r="D676" s="5" t="s">
        <v>163</v>
      </c>
      <c r="E676" s="87">
        <v>2.9729077763142628</v>
      </c>
      <c r="F676" s="87">
        <v>3.0057654664303231</v>
      </c>
      <c r="G676" s="87">
        <v>3.0390404307175247</v>
      </c>
      <c r="H676" s="87">
        <v>3.0724774470791063</v>
      </c>
      <c r="I676" s="87">
        <v>3.1070084683099517</v>
      </c>
      <c r="J676" s="87">
        <v>3.1420737649953772</v>
      </c>
      <c r="K676" s="87">
        <v>3.1780764453068677</v>
      </c>
      <c r="L676" s="87">
        <v>3.2138183972027128</v>
      </c>
      <c r="N676" s="29">
        <v>1.1727290781473219</v>
      </c>
      <c r="O676" s="29">
        <v>1.1782774092825206</v>
      </c>
      <c r="P676" s="29">
        <v>1.1769586751357857</v>
      </c>
      <c r="Q676" s="29">
        <v>1.1796838872638824</v>
      </c>
      <c r="R676" s="29">
        <v>1.1810964032549442</v>
      </c>
      <c r="S676" s="29">
        <v>1.1879121868240241</v>
      </c>
      <c r="T676" s="29">
        <v>1.1954364924390868</v>
      </c>
      <c r="U676" s="29">
        <v>1.2015782419201553</v>
      </c>
      <c r="W676" s="30">
        <v>0</v>
      </c>
      <c r="X676" s="30">
        <v>0</v>
      </c>
      <c r="Y676" s="30">
        <v>0</v>
      </c>
      <c r="Z676" s="30">
        <v>0</v>
      </c>
      <c r="AA676" s="30">
        <v>0</v>
      </c>
      <c r="AB676" s="30">
        <v>0</v>
      </c>
      <c r="AC676" s="30">
        <v>0</v>
      </c>
      <c r="AD676" s="90">
        <v>0</v>
      </c>
      <c r="AF676" s="29">
        <f t="shared" si="1293"/>
        <v>1.1727290781473219</v>
      </c>
      <c r="AG676" s="30">
        <f t="shared" si="1294"/>
        <v>0</v>
      </c>
      <c r="AH676" s="32">
        <f t="shared" si="1295"/>
        <v>-1.1727290781473219</v>
      </c>
      <c r="AI676" s="33">
        <f t="shared" si="1296"/>
        <v>-1</v>
      </c>
      <c r="AK676" s="29">
        <f t="shared" si="1285"/>
        <v>1.1782774092825206</v>
      </c>
      <c r="AL676" s="30">
        <f t="shared" si="1286"/>
        <v>0</v>
      </c>
      <c r="AM676" s="32">
        <f t="shared" si="1297"/>
        <v>-1.1782774092825206</v>
      </c>
      <c r="AN676" s="33">
        <f t="shared" si="1298"/>
        <v>-1</v>
      </c>
      <c r="AP676" s="29">
        <f t="shared" si="1299"/>
        <v>1.1769586751357857</v>
      </c>
      <c r="AQ676" s="30">
        <f t="shared" si="1300"/>
        <v>0</v>
      </c>
      <c r="AR676" s="32">
        <f t="shared" si="1301"/>
        <v>-1.1769586751357857</v>
      </c>
      <c r="AS676" s="33">
        <f t="shared" si="1302"/>
        <v>-1</v>
      </c>
      <c r="AU676" s="31">
        <f t="shared" si="1303"/>
        <v>1.1796838872638824</v>
      </c>
      <c r="AV676" s="25">
        <f t="shared" si="1304"/>
        <v>0</v>
      </c>
      <c r="AW676" s="32">
        <f t="shared" si="1305"/>
        <v>-1.1796838872638824</v>
      </c>
      <c r="AX676" s="33">
        <f t="shared" si="1306"/>
        <v>-1</v>
      </c>
      <c r="AZ676" s="31">
        <f t="shared" si="1287"/>
        <v>1.1810964032549442</v>
      </c>
      <c r="BA676" s="25">
        <f t="shared" si="1288"/>
        <v>0</v>
      </c>
      <c r="BB676" s="32">
        <f t="shared" si="1307"/>
        <v>-1.1810964032549442</v>
      </c>
      <c r="BC676" s="33">
        <f t="shared" si="1308"/>
        <v>-1</v>
      </c>
      <c r="BE676" s="31">
        <f t="shared" si="1309"/>
        <v>1.1879121868240241</v>
      </c>
      <c r="BF676" s="25">
        <f t="shared" si="1310"/>
        <v>0</v>
      </c>
      <c r="BG676" s="32">
        <f t="shared" si="1311"/>
        <v>-1.1879121868240241</v>
      </c>
      <c r="BH676" s="33">
        <f t="shared" si="1312"/>
        <v>-1</v>
      </c>
      <c r="BJ676" s="31">
        <f t="shared" si="1289"/>
        <v>1.1954364924390868</v>
      </c>
      <c r="BK676" s="25">
        <f t="shared" si="1290"/>
        <v>0</v>
      </c>
      <c r="BL676" s="32">
        <f t="shared" si="1291"/>
        <v>-1.1954364924390868</v>
      </c>
      <c r="BM676" s="33">
        <f t="shared" si="1292"/>
        <v>-1</v>
      </c>
      <c r="BO676" s="62"/>
      <c r="BP676" s="62"/>
      <c r="BQ676" s="62"/>
      <c r="BR676" s="63"/>
    </row>
    <row r="677" spans="1:70">
      <c r="B677" s="1284"/>
      <c r="D677" s="5" t="s">
        <v>164</v>
      </c>
      <c r="E677" s="87">
        <v>2.0627457205624826</v>
      </c>
      <c r="F677" s="87">
        <v>2.0885083675390046</v>
      </c>
      <c r="G677" s="87">
        <v>2.108970731831084</v>
      </c>
      <c r="H677" s="87">
        <v>2.1416115553781969</v>
      </c>
      <c r="I677" s="87">
        <v>2.174814964122032</v>
      </c>
      <c r="J677" s="87">
        <v>2.2086084781434665</v>
      </c>
      <c r="K677" s="87">
        <v>2.2430856655543563</v>
      </c>
      <c r="L677" s="87">
        <v>2.2783258626676997</v>
      </c>
      <c r="N677" s="29">
        <v>2.0627457205624826</v>
      </c>
      <c r="O677" s="29">
        <v>2.0885083675390046</v>
      </c>
      <c r="P677" s="29">
        <v>2.108970731831084</v>
      </c>
      <c r="Q677" s="29">
        <v>2.1416115553781969</v>
      </c>
      <c r="R677" s="29">
        <v>2.174814964122032</v>
      </c>
      <c r="S677" s="29">
        <v>2.2086084781434665</v>
      </c>
      <c r="T677" s="29">
        <v>2.2430856655543563</v>
      </c>
      <c r="U677" s="29">
        <v>2.2783258626676997</v>
      </c>
      <c r="W677" s="30">
        <v>0</v>
      </c>
      <c r="X677" s="30">
        <v>0</v>
      </c>
      <c r="Y677" s="30">
        <v>0</v>
      </c>
      <c r="Z677" s="30">
        <v>0</v>
      </c>
      <c r="AA677" s="30">
        <v>0</v>
      </c>
      <c r="AB677" s="30">
        <v>0</v>
      </c>
      <c r="AC677" s="30">
        <v>0</v>
      </c>
      <c r="AD677" s="90">
        <v>0</v>
      </c>
      <c r="AF677" s="29">
        <f t="shared" si="1293"/>
        <v>2.0627457205624826</v>
      </c>
      <c r="AG677" s="30">
        <f t="shared" si="1294"/>
        <v>0</v>
      </c>
      <c r="AH677" s="32">
        <f t="shared" si="1295"/>
        <v>-2.0627457205624826</v>
      </c>
      <c r="AI677" s="33">
        <f t="shared" si="1296"/>
        <v>-1</v>
      </c>
      <c r="AK677" s="29">
        <f t="shared" si="1285"/>
        <v>2.0885083675390046</v>
      </c>
      <c r="AL677" s="30">
        <f t="shared" si="1286"/>
        <v>0</v>
      </c>
      <c r="AM677" s="32">
        <f t="shared" si="1297"/>
        <v>-2.0885083675390046</v>
      </c>
      <c r="AN677" s="33">
        <f t="shared" si="1298"/>
        <v>-1</v>
      </c>
      <c r="AP677" s="29">
        <f t="shared" si="1299"/>
        <v>2.108970731831084</v>
      </c>
      <c r="AQ677" s="30">
        <f t="shared" si="1300"/>
        <v>0</v>
      </c>
      <c r="AR677" s="32">
        <f t="shared" si="1301"/>
        <v>-2.108970731831084</v>
      </c>
      <c r="AS677" s="33">
        <f t="shared" si="1302"/>
        <v>-1</v>
      </c>
      <c r="AU677" s="31">
        <f t="shared" si="1303"/>
        <v>2.1416115553781969</v>
      </c>
      <c r="AV677" s="25">
        <f t="shared" si="1304"/>
        <v>0</v>
      </c>
      <c r="AW677" s="32">
        <f t="shared" si="1305"/>
        <v>-2.1416115553781969</v>
      </c>
      <c r="AX677" s="33">
        <f t="shared" si="1306"/>
        <v>-1</v>
      </c>
      <c r="AZ677" s="31">
        <f t="shared" si="1287"/>
        <v>2.174814964122032</v>
      </c>
      <c r="BA677" s="25">
        <f t="shared" si="1288"/>
        <v>0</v>
      </c>
      <c r="BB677" s="32">
        <f t="shared" si="1307"/>
        <v>-2.174814964122032</v>
      </c>
      <c r="BC677" s="33">
        <f t="shared" si="1308"/>
        <v>-1</v>
      </c>
      <c r="BE677" s="31">
        <f t="shared" si="1309"/>
        <v>2.2086084781434665</v>
      </c>
      <c r="BF677" s="25">
        <f t="shared" si="1310"/>
        <v>0</v>
      </c>
      <c r="BG677" s="32">
        <f t="shared" si="1311"/>
        <v>-2.2086084781434665</v>
      </c>
      <c r="BH677" s="33">
        <f t="shared" si="1312"/>
        <v>-1</v>
      </c>
      <c r="BJ677" s="31">
        <f t="shared" si="1289"/>
        <v>2.2430856655543563</v>
      </c>
      <c r="BK677" s="25">
        <f t="shared" si="1290"/>
        <v>0</v>
      </c>
      <c r="BL677" s="32">
        <f t="shared" si="1291"/>
        <v>-2.2430856655543563</v>
      </c>
      <c r="BM677" s="33">
        <f t="shared" si="1292"/>
        <v>-1</v>
      </c>
      <c r="BO677" s="62"/>
      <c r="BP677" s="62"/>
      <c r="BQ677" s="62"/>
      <c r="BR677" s="63"/>
    </row>
    <row r="678" spans="1:70">
      <c r="B678" s="1284"/>
      <c r="D678" s="5" t="s">
        <v>165</v>
      </c>
      <c r="E678" s="87">
        <v>2.0629488421534656</v>
      </c>
      <c r="F678" s="87">
        <v>2.0887821029436475</v>
      </c>
      <c r="G678" s="87">
        <v>2.1093294040098511</v>
      </c>
      <c r="H678" s="87">
        <v>2.1420854956576942</v>
      </c>
      <c r="I678" s="87">
        <v>2.1754244748097946</v>
      </c>
      <c r="J678" s="87">
        <v>2.2093820495930068</v>
      </c>
      <c r="K678" s="87">
        <v>2.2439676038726732</v>
      </c>
      <c r="L678" s="87">
        <v>2.2793174013456978</v>
      </c>
      <c r="N678" s="29">
        <v>2.0629488421534656</v>
      </c>
      <c r="O678" s="29">
        <v>2.0887821029436475</v>
      </c>
      <c r="P678" s="29">
        <v>2.1093294040098511</v>
      </c>
      <c r="Q678" s="29">
        <v>2.1420854956576942</v>
      </c>
      <c r="R678" s="29">
        <v>2.1754244748097946</v>
      </c>
      <c r="S678" s="29">
        <v>2.2093820495930068</v>
      </c>
      <c r="T678" s="29">
        <v>2.2439676038726732</v>
      </c>
      <c r="U678" s="29">
        <v>2.2793174013456978</v>
      </c>
      <c r="W678" s="30">
        <v>0</v>
      </c>
      <c r="X678" s="30">
        <v>0</v>
      </c>
      <c r="Y678" s="30">
        <v>0</v>
      </c>
      <c r="Z678" s="30">
        <v>0</v>
      </c>
      <c r="AA678" s="30">
        <v>0</v>
      </c>
      <c r="AB678" s="30">
        <v>0</v>
      </c>
      <c r="AC678" s="30">
        <v>0</v>
      </c>
      <c r="AD678" s="90">
        <v>0</v>
      </c>
      <c r="AF678" s="29">
        <f t="shared" si="1293"/>
        <v>2.0629488421534656</v>
      </c>
      <c r="AG678" s="30">
        <f t="shared" si="1294"/>
        <v>0</v>
      </c>
      <c r="AH678" s="32">
        <f t="shared" si="1295"/>
        <v>-2.0629488421534656</v>
      </c>
      <c r="AI678" s="33">
        <f t="shared" si="1296"/>
        <v>-1</v>
      </c>
      <c r="AK678" s="29">
        <f t="shared" si="1285"/>
        <v>2.0887821029436475</v>
      </c>
      <c r="AL678" s="30">
        <f t="shared" si="1286"/>
        <v>0</v>
      </c>
      <c r="AM678" s="32">
        <f t="shared" si="1297"/>
        <v>-2.0887821029436475</v>
      </c>
      <c r="AN678" s="33">
        <f t="shared" si="1298"/>
        <v>-1</v>
      </c>
      <c r="AP678" s="29">
        <f t="shared" si="1299"/>
        <v>2.1093294040098511</v>
      </c>
      <c r="AQ678" s="30">
        <f t="shared" si="1300"/>
        <v>0</v>
      </c>
      <c r="AR678" s="32">
        <f t="shared" si="1301"/>
        <v>-2.1093294040098511</v>
      </c>
      <c r="AS678" s="33">
        <f t="shared" si="1302"/>
        <v>-1</v>
      </c>
      <c r="AU678" s="31">
        <f t="shared" si="1303"/>
        <v>2.1420854956576942</v>
      </c>
      <c r="AV678" s="25">
        <f t="shared" si="1304"/>
        <v>0</v>
      </c>
      <c r="AW678" s="32">
        <f t="shared" si="1305"/>
        <v>-2.1420854956576942</v>
      </c>
      <c r="AX678" s="33">
        <f t="shared" si="1306"/>
        <v>-1</v>
      </c>
      <c r="AZ678" s="31">
        <f t="shared" si="1287"/>
        <v>2.1754244748097946</v>
      </c>
      <c r="BA678" s="25">
        <f t="shared" si="1288"/>
        <v>0</v>
      </c>
      <c r="BB678" s="32">
        <f t="shared" si="1307"/>
        <v>-2.1754244748097946</v>
      </c>
      <c r="BC678" s="33">
        <f t="shared" si="1308"/>
        <v>-1</v>
      </c>
      <c r="BE678" s="31">
        <f t="shared" si="1309"/>
        <v>2.2093820495930068</v>
      </c>
      <c r="BF678" s="25">
        <f t="shared" si="1310"/>
        <v>0</v>
      </c>
      <c r="BG678" s="32">
        <f t="shared" si="1311"/>
        <v>-2.2093820495930068</v>
      </c>
      <c r="BH678" s="33">
        <f t="shared" si="1312"/>
        <v>-1</v>
      </c>
      <c r="BJ678" s="31">
        <f t="shared" si="1289"/>
        <v>2.2439676038726732</v>
      </c>
      <c r="BK678" s="25">
        <f t="shared" si="1290"/>
        <v>0</v>
      </c>
      <c r="BL678" s="32">
        <f t="shared" si="1291"/>
        <v>-2.2439676038726732</v>
      </c>
      <c r="BM678" s="33">
        <f t="shared" si="1292"/>
        <v>-1</v>
      </c>
      <c r="BO678" s="62"/>
      <c r="BP678" s="62"/>
      <c r="BQ678" s="62"/>
      <c r="BR678" s="63"/>
    </row>
    <row r="679" spans="1:70">
      <c r="B679" s="1284"/>
      <c r="D679" s="5" t="s">
        <v>166</v>
      </c>
      <c r="E679" s="87">
        <v>1.0304410123786969</v>
      </c>
      <c r="F679" s="87">
        <v>1.0428841258840855</v>
      </c>
      <c r="G679" s="87">
        <v>1.0528320642304163</v>
      </c>
      <c r="H679" s="87">
        <v>1.0686910576126722</v>
      </c>
      <c r="I679" s="87">
        <v>1.0848146283807547</v>
      </c>
      <c r="J679" s="87">
        <v>1.1013319181939569</v>
      </c>
      <c r="K679" s="87">
        <v>1.1181404231000232</v>
      </c>
      <c r="L679" s="87">
        <v>1.1354130645205471</v>
      </c>
      <c r="N679" s="29">
        <v>1.0304410123786969</v>
      </c>
      <c r="O679" s="29">
        <v>1.0428841258840855</v>
      </c>
      <c r="P679" s="29">
        <v>1.0528320642304163</v>
      </c>
      <c r="Q679" s="29">
        <v>1.0686910576126722</v>
      </c>
      <c r="R679" s="29">
        <v>1.0848146283807547</v>
      </c>
      <c r="S679" s="29">
        <v>1.1013319181939569</v>
      </c>
      <c r="T679" s="29">
        <v>1.1181404231000232</v>
      </c>
      <c r="U679" s="29">
        <v>1.1354130645205471</v>
      </c>
      <c r="W679" s="30">
        <v>0</v>
      </c>
      <c r="X679" s="30">
        <v>0</v>
      </c>
      <c r="Y679" s="30">
        <v>0</v>
      </c>
      <c r="Z679" s="30">
        <v>0</v>
      </c>
      <c r="AA679" s="30">
        <v>0</v>
      </c>
      <c r="AB679" s="30">
        <v>0</v>
      </c>
      <c r="AC679" s="30">
        <v>1.0985</v>
      </c>
      <c r="AD679" s="90">
        <v>0</v>
      </c>
      <c r="AF679" s="29">
        <f t="shared" si="1293"/>
        <v>1.0304410123786969</v>
      </c>
      <c r="AG679" s="30">
        <f t="shared" si="1294"/>
        <v>0</v>
      </c>
      <c r="AH679" s="32">
        <f t="shared" si="1295"/>
        <v>-1.0304410123786969</v>
      </c>
      <c r="AI679" s="33">
        <f t="shared" si="1296"/>
        <v>-1</v>
      </c>
      <c r="AK679" s="29">
        <f t="shared" si="1285"/>
        <v>1.0428841258840855</v>
      </c>
      <c r="AL679" s="30">
        <f t="shared" si="1286"/>
        <v>0</v>
      </c>
      <c r="AM679" s="32">
        <f t="shared" si="1297"/>
        <v>-1.0428841258840855</v>
      </c>
      <c r="AN679" s="33">
        <f t="shared" si="1298"/>
        <v>-1</v>
      </c>
      <c r="AP679" s="29">
        <f t="shared" si="1299"/>
        <v>1.0528320642304163</v>
      </c>
      <c r="AQ679" s="30">
        <f t="shared" si="1300"/>
        <v>0</v>
      </c>
      <c r="AR679" s="32">
        <f t="shared" si="1301"/>
        <v>-1.0528320642304163</v>
      </c>
      <c r="AS679" s="33">
        <f t="shared" si="1302"/>
        <v>-1</v>
      </c>
      <c r="AU679" s="31">
        <f t="shared" si="1303"/>
        <v>1.0686910576126722</v>
      </c>
      <c r="AV679" s="25">
        <f t="shared" si="1304"/>
        <v>0</v>
      </c>
      <c r="AW679" s="32">
        <f t="shared" si="1305"/>
        <v>-1.0686910576126722</v>
      </c>
      <c r="AX679" s="33">
        <f t="shared" si="1306"/>
        <v>-1</v>
      </c>
      <c r="AZ679" s="31">
        <f t="shared" si="1287"/>
        <v>1.0848146283807547</v>
      </c>
      <c r="BA679" s="25">
        <f t="shared" si="1288"/>
        <v>0</v>
      </c>
      <c r="BB679" s="32">
        <f t="shared" si="1307"/>
        <v>-1.0848146283807547</v>
      </c>
      <c r="BC679" s="33">
        <f t="shared" si="1308"/>
        <v>-1</v>
      </c>
      <c r="BE679" s="31">
        <f t="shared" si="1309"/>
        <v>1.1013319181939569</v>
      </c>
      <c r="BF679" s="25">
        <f t="shared" si="1310"/>
        <v>0</v>
      </c>
      <c r="BG679" s="32">
        <f t="shared" si="1311"/>
        <v>-1.1013319181939569</v>
      </c>
      <c r="BH679" s="33">
        <f t="shared" si="1312"/>
        <v>-1</v>
      </c>
      <c r="BJ679" s="31">
        <f t="shared" si="1289"/>
        <v>1.1181404231000232</v>
      </c>
      <c r="BK679" s="25">
        <f t="shared" si="1290"/>
        <v>1.0985</v>
      </c>
      <c r="BL679" s="32">
        <f t="shared" si="1291"/>
        <v>-1.9640423100023119E-2</v>
      </c>
      <c r="BM679" s="33">
        <f t="shared" si="1292"/>
        <v>-1.7565256290055606E-2</v>
      </c>
      <c r="BO679" s="62"/>
      <c r="BP679" s="62"/>
      <c r="BQ679" s="62"/>
      <c r="BR679" s="63"/>
    </row>
    <row r="680" spans="1:70">
      <c r="B680" s="1284"/>
      <c r="D680" s="5" t="s">
        <v>167</v>
      </c>
      <c r="E680" s="87">
        <v>1.6739373185458886</v>
      </c>
      <c r="F680" s="87">
        <v>1.6940314692926173</v>
      </c>
      <c r="G680" s="87">
        <v>1.7100479410271767</v>
      </c>
      <c r="H680" s="87">
        <v>1.7356462534250041</v>
      </c>
      <c r="I680" s="87">
        <v>1.7616939915364482</v>
      </c>
      <c r="J680" s="87">
        <v>1.7884026655022653</v>
      </c>
      <c r="K680" s="87">
        <v>1.8156116797740165</v>
      </c>
      <c r="L680" s="87">
        <v>1.8436164613689312</v>
      </c>
      <c r="N680" s="29">
        <v>1.6739373185458886</v>
      </c>
      <c r="O680" s="29">
        <v>1.6940314692926173</v>
      </c>
      <c r="P680" s="29">
        <v>1.7100479410271767</v>
      </c>
      <c r="Q680" s="29">
        <v>1.7356462534250041</v>
      </c>
      <c r="R680" s="29">
        <v>1.7616939915364482</v>
      </c>
      <c r="S680" s="29">
        <v>1.7884026655022653</v>
      </c>
      <c r="T680" s="29">
        <v>1.8156116797740165</v>
      </c>
      <c r="U680" s="29">
        <v>1.8436164613689312</v>
      </c>
      <c r="W680" s="30">
        <v>0</v>
      </c>
      <c r="X680" s="30">
        <v>0</v>
      </c>
      <c r="Y680" s="30">
        <v>0</v>
      </c>
      <c r="Z680" s="30">
        <v>0</v>
      </c>
      <c r="AA680" s="30">
        <v>0</v>
      </c>
      <c r="AB680" s="30">
        <v>0</v>
      </c>
      <c r="AC680" s="30">
        <v>2.8346</v>
      </c>
      <c r="AD680" s="90">
        <v>0</v>
      </c>
      <c r="AF680" s="29">
        <f t="shared" si="1293"/>
        <v>1.6739373185458886</v>
      </c>
      <c r="AG680" s="30">
        <f t="shared" si="1294"/>
        <v>0</v>
      </c>
      <c r="AH680" s="32">
        <f t="shared" si="1295"/>
        <v>-1.6739373185458886</v>
      </c>
      <c r="AI680" s="33">
        <f t="shared" si="1296"/>
        <v>-1</v>
      </c>
      <c r="AK680" s="29">
        <f t="shared" si="1285"/>
        <v>1.6940314692926173</v>
      </c>
      <c r="AL680" s="30">
        <f t="shared" si="1286"/>
        <v>0</v>
      </c>
      <c r="AM680" s="32">
        <f t="shared" si="1297"/>
        <v>-1.6940314692926173</v>
      </c>
      <c r="AN680" s="33">
        <f t="shared" si="1298"/>
        <v>-1</v>
      </c>
      <c r="AP680" s="29">
        <f t="shared" si="1299"/>
        <v>1.7100479410271767</v>
      </c>
      <c r="AQ680" s="30">
        <f t="shared" si="1300"/>
        <v>0</v>
      </c>
      <c r="AR680" s="32">
        <f t="shared" si="1301"/>
        <v>-1.7100479410271767</v>
      </c>
      <c r="AS680" s="33">
        <f t="shared" si="1302"/>
        <v>-1</v>
      </c>
      <c r="AU680" s="31">
        <f t="shared" si="1303"/>
        <v>1.7356462534250041</v>
      </c>
      <c r="AV680" s="25">
        <f t="shared" si="1304"/>
        <v>0</v>
      </c>
      <c r="AW680" s="32">
        <f t="shared" si="1305"/>
        <v>-1.7356462534250041</v>
      </c>
      <c r="AX680" s="33">
        <f t="shared" si="1306"/>
        <v>-1</v>
      </c>
      <c r="AZ680" s="31">
        <f t="shared" si="1287"/>
        <v>1.7616939915364482</v>
      </c>
      <c r="BA680" s="25">
        <f t="shared" si="1288"/>
        <v>0</v>
      </c>
      <c r="BB680" s="32">
        <f t="shared" si="1307"/>
        <v>-1.7616939915364482</v>
      </c>
      <c r="BC680" s="33">
        <f t="shared" si="1308"/>
        <v>-1</v>
      </c>
      <c r="BE680" s="31">
        <f t="shared" si="1309"/>
        <v>1.7884026655022653</v>
      </c>
      <c r="BF680" s="25">
        <f t="shared" si="1310"/>
        <v>0</v>
      </c>
      <c r="BG680" s="32">
        <f t="shared" si="1311"/>
        <v>-1.7884026655022653</v>
      </c>
      <c r="BH680" s="33">
        <f t="shared" si="1312"/>
        <v>-1</v>
      </c>
      <c r="BJ680" s="31">
        <f t="shared" si="1289"/>
        <v>1.8156116797740165</v>
      </c>
      <c r="BK680" s="25">
        <f t="shared" si="1290"/>
        <v>2.8346</v>
      </c>
      <c r="BL680" s="32">
        <f t="shared" si="1291"/>
        <v>1.0189883202259835</v>
      </c>
      <c r="BM680" s="33">
        <f t="shared" si="1292"/>
        <v>0.56123692724471441</v>
      </c>
      <c r="BO680" s="62"/>
      <c r="BP680" s="62"/>
      <c r="BQ680" s="62"/>
      <c r="BR680" s="63"/>
    </row>
    <row r="681" spans="1:70">
      <c r="B681" s="1284"/>
      <c r="D681" s="5" t="s">
        <v>168</v>
      </c>
      <c r="E681" s="87">
        <v>0</v>
      </c>
      <c r="F681" s="87">
        <v>0</v>
      </c>
      <c r="G681" s="87">
        <v>0</v>
      </c>
      <c r="H681" s="87">
        <v>0</v>
      </c>
      <c r="I681" s="87">
        <v>0</v>
      </c>
      <c r="J681" s="87">
        <v>0</v>
      </c>
      <c r="K681" s="87">
        <v>0</v>
      </c>
      <c r="L681" s="87">
        <v>0</v>
      </c>
      <c r="N681" s="29">
        <v>0</v>
      </c>
      <c r="O681" s="29">
        <v>0</v>
      </c>
      <c r="P681" s="29">
        <v>0</v>
      </c>
      <c r="Q681" s="29">
        <v>0</v>
      </c>
      <c r="R681" s="29">
        <v>0</v>
      </c>
      <c r="S681" s="29">
        <v>0</v>
      </c>
      <c r="T681" s="29">
        <v>0</v>
      </c>
      <c r="U681" s="29">
        <v>0</v>
      </c>
      <c r="W681" s="30">
        <v>0</v>
      </c>
      <c r="X681" s="30">
        <v>0</v>
      </c>
      <c r="Y681" s="30">
        <v>0</v>
      </c>
      <c r="Z681" s="30">
        <v>0</v>
      </c>
      <c r="AA681" s="30">
        <v>0</v>
      </c>
      <c r="AB681" s="30">
        <v>0</v>
      </c>
      <c r="AC681" s="30">
        <v>0</v>
      </c>
      <c r="AD681" s="90">
        <v>0</v>
      </c>
      <c r="AF681" s="29">
        <f t="shared" si="1293"/>
        <v>0</v>
      </c>
      <c r="AG681" s="30">
        <f t="shared" si="1294"/>
        <v>0</v>
      </c>
      <c r="AH681" s="32">
        <f t="shared" si="1295"/>
        <v>0</v>
      </c>
      <c r="AI681" s="33" t="e">
        <f t="shared" si="1296"/>
        <v>#DIV/0!</v>
      </c>
      <c r="AK681" s="29">
        <f t="shared" si="1285"/>
        <v>0</v>
      </c>
      <c r="AL681" s="30">
        <f t="shared" si="1286"/>
        <v>0</v>
      </c>
      <c r="AM681" s="32">
        <f t="shared" si="1297"/>
        <v>0</v>
      </c>
      <c r="AN681" s="33" t="e">
        <f t="shared" si="1298"/>
        <v>#DIV/0!</v>
      </c>
      <c r="AP681" s="29">
        <f t="shared" si="1299"/>
        <v>0</v>
      </c>
      <c r="AQ681" s="30">
        <f t="shared" si="1300"/>
        <v>0</v>
      </c>
      <c r="AR681" s="32">
        <f t="shared" si="1301"/>
        <v>0</v>
      </c>
      <c r="AS681" s="33" t="e">
        <f t="shared" si="1302"/>
        <v>#DIV/0!</v>
      </c>
      <c r="AU681" s="31">
        <f t="shared" si="1303"/>
        <v>0</v>
      </c>
      <c r="AV681" s="25">
        <f t="shared" si="1304"/>
        <v>0</v>
      </c>
      <c r="AW681" s="32">
        <f t="shared" si="1305"/>
        <v>0</v>
      </c>
      <c r="AX681" s="33" t="e">
        <f t="shared" si="1306"/>
        <v>#DIV/0!</v>
      </c>
      <c r="AZ681" s="31">
        <f t="shared" si="1287"/>
        <v>0</v>
      </c>
      <c r="BA681" s="25">
        <f t="shared" si="1288"/>
        <v>0</v>
      </c>
      <c r="BB681" s="32">
        <f t="shared" si="1307"/>
        <v>0</v>
      </c>
      <c r="BC681" s="33" t="e">
        <f t="shared" si="1308"/>
        <v>#DIV/0!</v>
      </c>
      <c r="BE681" s="31">
        <f t="shared" si="1309"/>
        <v>0</v>
      </c>
      <c r="BF681" s="25">
        <f t="shared" si="1310"/>
        <v>0</v>
      </c>
      <c r="BG681" s="32">
        <f t="shared" si="1311"/>
        <v>0</v>
      </c>
      <c r="BH681" s="33" t="e">
        <f t="shared" si="1312"/>
        <v>#DIV/0!</v>
      </c>
      <c r="BJ681" s="31">
        <f t="shared" si="1289"/>
        <v>0</v>
      </c>
      <c r="BK681" s="25">
        <f t="shared" si="1290"/>
        <v>0</v>
      </c>
      <c r="BL681" s="32">
        <f t="shared" si="1291"/>
        <v>0</v>
      </c>
      <c r="BM681" s="33" t="e">
        <f t="shared" si="1292"/>
        <v>#DIV/0!</v>
      </c>
      <c r="BO681" s="62"/>
      <c r="BP681" s="62"/>
      <c r="BQ681" s="62"/>
      <c r="BR681" s="63"/>
    </row>
    <row r="682" spans="1:70">
      <c r="B682" s="1284"/>
      <c r="D682" s="5" t="s">
        <v>169</v>
      </c>
      <c r="E682" s="87">
        <v>0.95973917366143546</v>
      </c>
      <c r="F682" s="87">
        <v>0.97066143398451388</v>
      </c>
      <c r="G682" s="87">
        <v>0.98171771983289768</v>
      </c>
      <c r="H682" s="87">
        <v>0.99290969116856742</v>
      </c>
      <c r="I682" s="87">
        <v>1.0042390286389482</v>
      </c>
      <c r="J682" s="87">
        <v>1.0157074338357035</v>
      </c>
      <c r="K682" s="87">
        <v>1.0273166295567802</v>
      </c>
      <c r="L682" s="87">
        <v>1.0390683600717354</v>
      </c>
      <c r="N682" s="29">
        <v>0.6851539663931725</v>
      </c>
      <c r="O682" s="29">
        <v>0.67515627317315041</v>
      </c>
      <c r="P682" s="29">
        <v>0.66542958060269841</v>
      </c>
      <c r="Q682" s="29">
        <v>0.65808269558862842</v>
      </c>
      <c r="R682" s="29">
        <v>0.65132065489258506</v>
      </c>
      <c r="S682" s="29">
        <v>0.64652522770777232</v>
      </c>
      <c r="T682" s="29">
        <v>0.64914776772947702</v>
      </c>
      <c r="U682" s="29">
        <v>0.64839943083028517</v>
      </c>
      <c r="W682" s="30">
        <v>0</v>
      </c>
      <c r="X682" s="30">
        <v>0</v>
      </c>
      <c r="Y682" s="30">
        <v>0</v>
      </c>
      <c r="Z682" s="30">
        <v>0</v>
      </c>
      <c r="AA682" s="30">
        <v>0</v>
      </c>
      <c r="AB682" s="30">
        <v>0</v>
      </c>
      <c r="AC682" s="30">
        <v>9.209779231574462</v>
      </c>
      <c r="AD682" s="90">
        <v>0</v>
      </c>
      <c r="AF682" s="29">
        <f t="shared" si="1293"/>
        <v>0.6851539663931725</v>
      </c>
      <c r="AG682" s="30">
        <f t="shared" si="1294"/>
        <v>0</v>
      </c>
      <c r="AH682" s="32">
        <f t="shared" si="1295"/>
        <v>-0.6851539663931725</v>
      </c>
      <c r="AI682" s="33">
        <f t="shared" si="1296"/>
        <v>-1</v>
      </c>
      <c r="AK682" s="29">
        <f t="shared" si="1285"/>
        <v>0.67515627317315041</v>
      </c>
      <c r="AL682" s="30">
        <f t="shared" si="1286"/>
        <v>0</v>
      </c>
      <c r="AM682" s="32">
        <f t="shared" si="1297"/>
        <v>-0.67515627317315041</v>
      </c>
      <c r="AN682" s="33">
        <f t="shared" si="1298"/>
        <v>-1</v>
      </c>
      <c r="AP682" s="29">
        <f t="shared" si="1299"/>
        <v>0.66542958060269841</v>
      </c>
      <c r="AQ682" s="30">
        <f t="shared" si="1300"/>
        <v>0</v>
      </c>
      <c r="AR682" s="32">
        <f t="shared" si="1301"/>
        <v>-0.66542958060269841</v>
      </c>
      <c r="AS682" s="33">
        <f t="shared" si="1302"/>
        <v>-1</v>
      </c>
      <c r="AU682" s="31">
        <f t="shared" si="1303"/>
        <v>0.65808269558862842</v>
      </c>
      <c r="AV682" s="25">
        <f t="shared" si="1304"/>
        <v>0</v>
      </c>
      <c r="AW682" s="32">
        <f t="shared" si="1305"/>
        <v>-0.65808269558862842</v>
      </c>
      <c r="AX682" s="33">
        <f t="shared" si="1306"/>
        <v>-1</v>
      </c>
      <c r="AZ682" s="31">
        <f t="shared" si="1287"/>
        <v>0.65132065489258506</v>
      </c>
      <c r="BA682" s="25">
        <f t="shared" si="1288"/>
        <v>0</v>
      </c>
      <c r="BB682" s="32">
        <f t="shared" si="1307"/>
        <v>-0.65132065489258506</v>
      </c>
      <c r="BC682" s="33">
        <f t="shared" si="1308"/>
        <v>-1</v>
      </c>
      <c r="BE682" s="31">
        <f t="shared" si="1309"/>
        <v>0.64652522770777232</v>
      </c>
      <c r="BF682" s="25">
        <f t="shared" si="1310"/>
        <v>0</v>
      </c>
      <c r="BG682" s="32">
        <f t="shared" si="1311"/>
        <v>-0.64652522770777232</v>
      </c>
      <c r="BH682" s="33">
        <f t="shared" si="1312"/>
        <v>-1</v>
      </c>
      <c r="BJ682" s="31">
        <f t="shared" si="1289"/>
        <v>0.64914776772947702</v>
      </c>
      <c r="BK682" s="25">
        <f t="shared" si="1290"/>
        <v>9.209779231574462</v>
      </c>
      <c r="BL682" s="32">
        <f t="shared" si="1291"/>
        <v>8.5606314638449845</v>
      </c>
      <c r="BM682" s="33">
        <f t="shared" si="1292"/>
        <v>13.187492724172017</v>
      </c>
      <c r="BO682" s="62"/>
      <c r="BP682" s="62"/>
      <c r="BQ682" s="62"/>
      <c r="BR682" s="63"/>
    </row>
    <row r="683" spans="1:70">
      <c r="B683" s="1284"/>
      <c r="D683" s="5" t="s">
        <v>170</v>
      </c>
      <c r="E683" s="87">
        <v>1.1195350650758791</v>
      </c>
      <c r="F683" s="87">
        <v>1.1322758739926642</v>
      </c>
      <c r="G683" s="87">
        <v>1.1451730235896174</v>
      </c>
      <c r="H683" s="87">
        <v>1.1582284502112117</v>
      </c>
      <c r="I683" s="87">
        <v>1.1714441143314758</v>
      </c>
      <c r="J683" s="87">
        <v>1.1848220008558779</v>
      </c>
      <c r="K683" s="87">
        <v>1.1983641194270003</v>
      </c>
      <c r="L683" s="87">
        <v>1.2120725047340437</v>
      </c>
      <c r="N683" s="29">
        <v>1.3754026166963242</v>
      </c>
      <c r="O683" s="29">
        <v>1.3551479093868817</v>
      </c>
      <c r="P683" s="29">
        <v>1.3337023182093239</v>
      </c>
      <c r="Q683" s="29">
        <v>1.3153574096629681</v>
      </c>
      <c r="R683" s="29">
        <v>1.2784819676377157</v>
      </c>
      <c r="S683" s="29">
        <v>1.281407247614712</v>
      </c>
      <c r="T683" s="29">
        <v>1.2827960505324039</v>
      </c>
      <c r="U683" s="29">
        <v>1.2804020755989067</v>
      </c>
      <c r="W683" s="30">
        <v>0</v>
      </c>
      <c r="X683" s="30">
        <v>0</v>
      </c>
      <c r="Y683" s="30">
        <v>0</v>
      </c>
      <c r="Z683" s="30">
        <v>0</v>
      </c>
      <c r="AA683" s="30">
        <v>0</v>
      </c>
      <c r="AB683" s="30">
        <v>0</v>
      </c>
      <c r="AC683" s="30">
        <v>5.987797002579164</v>
      </c>
      <c r="AD683" s="90">
        <v>0</v>
      </c>
      <c r="AF683" s="29">
        <f t="shared" si="1293"/>
        <v>1.3754026166963242</v>
      </c>
      <c r="AG683" s="30">
        <f t="shared" si="1294"/>
        <v>0</v>
      </c>
      <c r="AH683" s="32">
        <f t="shared" si="1295"/>
        <v>-1.3754026166963242</v>
      </c>
      <c r="AI683" s="33">
        <f t="shared" si="1296"/>
        <v>-1</v>
      </c>
      <c r="AK683" s="29">
        <f t="shared" si="1285"/>
        <v>1.3551479093868817</v>
      </c>
      <c r="AL683" s="30">
        <f t="shared" si="1286"/>
        <v>0</v>
      </c>
      <c r="AM683" s="32">
        <f t="shared" si="1297"/>
        <v>-1.3551479093868817</v>
      </c>
      <c r="AN683" s="33">
        <f t="shared" si="1298"/>
        <v>-1</v>
      </c>
      <c r="AP683" s="29">
        <f t="shared" si="1299"/>
        <v>1.3337023182093239</v>
      </c>
      <c r="AQ683" s="30">
        <f t="shared" si="1300"/>
        <v>0</v>
      </c>
      <c r="AR683" s="32">
        <f t="shared" si="1301"/>
        <v>-1.3337023182093239</v>
      </c>
      <c r="AS683" s="33">
        <f t="shared" si="1302"/>
        <v>-1</v>
      </c>
      <c r="AU683" s="31">
        <f t="shared" si="1303"/>
        <v>1.3153574096629681</v>
      </c>
      <c r="AV683" s="25">
        <f t="shared" si="1304"/>
        <v>0</v>
      </c>
      <c r="AW683" s="32">
        <f t="shared" si="1305"/>
        <v>-1.3153574096629681</v>
      </c>
      <c r="AX683" s="33">
        <f t="shared" si="1306"/>
        <v>-1</v>
      </c>
      <c r="AZ683" s="31">
        <f t="shared" si="1287"/>
        <v>1.2784819676377157</v>
      </c>
      <c r="BA683" s="25">
        <f t="shared" si="1288"/>
        <v>0</v>
      </c>
      <c r="BB683" s="32">
        <f t="shared" si="1307"/>
        <v>-1.2784819676377157</v>
      </c>
      <c r="BC683" s="33">
        <f t="shared" si="1308"/>
        <v>-1</v>
      </c>
      <c r="BE683" s="31">
        <f t="shared" si="1309"/>
        <v>1.281407247614712</v>
      </c>
      <c r="BF683" s="25">
        <f t="shared" si="1310"/>
        <v>0</v>
      </c>
      <c r="BG683" s="32">
        <f t="shared" si="1311"/>
        <v>-1.281407247614712</v>
      </c>
      <c r="BH683" s="33">
        <f t="shared" si="1312"/>
        <v>-1</v>
      </c>
      <c r="BJ683" s="31">
        <f t="shared" si="1289"/>
        <v>1.2827960505324039</v>
      </c>
      <c r="BK683" s="25">
        <f t="shared" si="1290"/>
        <v>5.987797002579164</v>
      </c>
      <c r="BL683" s="32">
        <f t="shared" si="1291"/>
        <v>4.7050009520467597</v>
      </c>
      <c r="BM683" s="33">
        <f t="shared" si="1292"/>
        <v>3.6677700637556723</v>
      </c>
      <c r="BO683" s="62"/>
      <c r="BP683" s="62"/>
      <c r="BQ683" s="62"/>
      <c r="BR683" s="63"/>
    </row>
    <row r="684" spans="1:70">
      <c r="B684" s="1284"/>
      <c r="D684" s="5" t="s">
        <v>171</v>
      </c>
      <c r="E684" s="87">
        <v>0.63318111559263446</v>
      </c>
      <c r="F684" s="87">
        <v>0.63676640427125419</v>
      </c>
      <c r="G684" s="87">
        <v>0.63990954459083349</v>
      </c>
      <c r="H684" s="87">
        <v>0.64170435340692999</v>
      </c>
      <c r="I684" s="87">
        <v>0.64656214658965661</v>
      </c>
      <c r="J684" s="87">
        <v>0.65151978973894409</v>
      </c>
      <c r="K684" s="87">
        <v>0.65657872406383699</v>
      </c>
      <c r="L684" s="87">
        <v>0.66174041959363694</v>
      </c>
      <c r="N684" s="29">
        <v>0.73105629908624326</v>
      </c>
      <c r="O684" s="29">
        <v>0.7161443283540474</v>
      </c>
      <c r="P684" s="29">
        <v>0.70113034642791083</v>
      </c>
      <c r="Q684" s="29">
        <v>0.68570210951627308</v>
      </c>
      <c r="R684" s="29">
        <v>0.67179269522796237</v>
      </c>
      <c r="S684" s="29">
        <v>0.65790255365821959</v>
      </c>
      <c r="T684" s="29">
        <v>0.6477223477939047</v>
      </c>
      <c r="U684" s="29">
        <v>0.63499540755099371</v>
      </c>
      <c r="W684" s="30">
        <v>0</v>
      </c>
      <c r="X684" s="30">
        <v>0</v>
      </c>
      <c r="Y684" s="30">
        <v>0</v>
      </c>
      <c r="Z684" s="30">
        <v>0</v>
      </c>
      <c r="AA684" s="30">
        <v>0</v>
      </c>
      <c r="AB684" s="30">
        <v>0</v>
      </c>
      <c r="AC684" s="30">
        <v>0</v>
      </c>
      <c r="AD684" s="90">
        <v>0</v>
      </c>
      <c r="AF684" s="29">
        <f t="shared" si="1293"/>
        <v>0.73105629908624326</v>
      </c>
      <c r="AG684" s="30">
        <f t="shared" si="1294"/>
        <v>0</v>
      </c>
      <c r="AH684" s="32">
        <f t="shared" si="1295"/>
        <v>-0.73105629908624326</v>
      </c>
      <c r="AI684" s="33">
        <f t="shared" si="1296"/>
        <v>-1</v>
      </c>
      <c r="AK684" s="29">
        <f t="shared" si="1285"/>
        <v>0.7161443283540474</v>
      </c>
      <c r="AL684" s="30">
        <f t="shared" si="1286"/>
        <v>0</v>
      </c>
      <c r="AM684" s="32">
        <f t="shared" si="1297"/>
        <v>-0.7161443283540474</v>
      </c>
      <c r="AN684" s="33">
        <f t="shared" si="1298"/>
        <v>-1</v>
      </c>
      <c r="AP684" s="29">
        <f t="shared" si="1299"/>
        <v>0.70113034642791083</v>
      </c>
      <c r="AQ684" s="30">
        <f t="shared" si="1300"/>
        <v>0</v>
      </c>
      <c r="AR684" s="32">
        <f t="shared" si="1301"/>
        <v>-0.70113034642791083</v>
      </c>
      <c r="AS684" s="33">
        <f t="shared" si="1302"/>
        <v>-1</v>
      </c>
      <c r="AU684" s="31">
        <f t="shared" si="1303"/>
        <v>0.68570210951627308</v>
      </c>
      <c r="AV684" s="25">
        <f t="shared" si="1304"/>
        <v>0</v>
      </c>
      <c r="AW684" s="32">
        <f t="shared" si="1305"/>
        <v>-0.68570210951627308</v>
      </c>
      <c r="AX684" s="33">
        <f t="shared" si="1306"/>
        <v>-1</v>
      </c>
      <c r="AZ684" s="31">
        <f t="shared" si="1287"/>
        <v>0.67179269522796237</v>
      </c>
      <c r="BA684" s="25">
        <f t="shared" si="1288"/>
        <v>0</v>
      </c>
      <c r="BB684" s="32">
        <f t="shared" si="1307"/>
        <v>-0.67179269522796237</v>
      </c>
      <c r="BC684" s="33">
        <f t="shared" si="1308"/>
        <v>-1</v>
      </c>
      <c r="BE684" s="31">
        <f t="shared" si="1309"/>
        <v>0.65790255365821959</v>
      </c>
      <c r="BF684" s="25">
        <f t="shared" si="1310"/>
        <v>0</v>
      </c>
      <c r="BG684" s="32">
        <f t="shared" si="1311"/>
        <v>-0.65790255365821959</v>
      </c>
      <c r="BH684" s="33">
        <f t="shared" si="1312"/>
        <v>-1</v>
      </c>
      <c r="BJ684" s="31">
        <f t="shared" si="1289"/>
        <v>0.6477223477939047</v>
      </c>
      <c r="BK684" s="25">
        <f t="shared" si="1290"/>
        <v>0</v>
      </c>
      <c r="BL684" s="32">
        <f t="shared" si="1291"/>
        <v>-0.6477223477939047</v>
      </c>
      <c r="BM684" s="33">
        <f t="shared" si="1292"/>
        <v>-1</v>
      </c>
      <c r="BO684" s="62"/>
      <c r="BP684" s="62"/>
      <c r="BQ684" s="62"/>
      <c r="BR684" s="63"/>
    </row>
    <row r="685" spans="1:70">
      <c r="B685" s="1284"/>
      <c r="D685" s="5" t="s">
        <v>172</v>
      </c>
      <c r="E685" s="87">
        <v>0.63722754667618731</v>
      </c>
      <c r="F685" s="87">
        <v>0.64083574763566231</v>
      </c>
      <c r="G685" s="87">
        <v>0.64399897462614175</v>
      </c>
      <c r="H685" s="87">
        <v>0.64580525341505268</v>
      </c>
      <c r="I685" s="87">
        <v>0.65069409099384234</v>
      </c>
      <c r="J685" s="87">
        <v>0.65568341664414964</v>
      </c>
      <c r="K685" s="87">
        <v>0.6607746807852638</v>
      </c>
      <c r="L685" s="87">
        <v>0.66596936284091113</v>
      </c>
      <c r="N685" s="29">
        <v>0.69674145354007166</v>
      </c>
      <c r="O685" s="29">
        <v>0.68083121279258352</v>
      </c>
      <c r="P685" s="29">
        <v>0.66781458919805647</v>
      </c>
      <c r="Q685" s="29">
        <v>0.64783923485257489</v>
      </c>
      <c r="R685" s="29">
        <v>0.63320550758583116</v>
      </c>
      <c r="S685" s="29">
        <v>0.62383092746917712</v>
      </c>
      <c r="T685" s="29">
        <v>0.60912829824259773</v>
      </c>
      <c r="U685" s="29">
        <v>0.59411662599200454</v>
      </c>
      <c r="W685" s="30">
        <v>2.0676346853101955E-2</v>
      </c>
      <c r="X685" s="30">
        <v>0</v>
      </c>
      <c r="Y685" s="30">
        <v>0</v>
      </c>
      <c r="Z685" s="30">
        <v>0</v>
      </c>
      <c r="AA685" s="30">
        <v>0</v>
      </c>
      <c r="AB685" s="30">
        <v>0</v>
      </c>
      <c r="AC685" s="30">
        <v>0</v>
      </c>
      <c r="AD685" s="90">
        <v>0</v>
      </c>
      <c r="AF685" s="29">
        <f t="shared" si="1293"/>
        <v>0.69674145354007166</v>
      </c>
      <c r="AG685" s="30">
        <f t="shared" si="1294"/>
        <v>2.0676346853101955E-2</v>
      </c>
      <c r="AH685" s="32">
        <f t="shared" si="1295"/>
        <v>-0.67606510668696973</v>
      </c>
      <c r="AI685" s="33">
        <f t="shared" si="1296"/>
        <v>-0.97032421890782072</v>
      </c>
      <c r="AK685" s="29">
        <f t="shared" si="1285"/>
        <v>0.68083121279258352</v>
      </c>
      <c r="AL685" s="30">
        <f t="shared" si="1286"/>
        <v>0</v>
      </c>
      <c r="AM685" s="32">
        <f t="shared" si="1297"/>
        <v>-0.68083121279258352</v>
      </c>
      <c r="AN685" s="33">
        <f t="shared" si="1298"/>
        <v>-1</v>
      </c>
      <c r="AP685" s="29">
        <f t="shared" si="1299"/>
        <v>0.66781458919805647</v>
      </c>
      <c r="AQ685" s="30">
        <f t="shared" si="1300"/>
        <v>0</v>
      </c>
      <c r="AR685" s="32">
        <f t="shared" si="1301"/>
        <v>-0.66781458919805647</v>
      </c>
      <c r="AS685" s="33">
        <f t="shared" si="1302"/>
        <v>-1</v>
      </c>
      <c r="AU685" s="31">
        <f t="shared" si="1303"/>
        <v>0.64783923485257489</v>
      </c>
      <c r="AV685" s="25">
        <f t="shared" si="1304"/>
        <v>0</v>
      </c>
      <c r="AW685" s="32">
        <f t="shared" si="1305"/>
        <v>-0.64783923485257489</v>
      </c>
      <c r="AX685" s="33">
        <f t="shared" si="1306"/>
        <v>-1</v>
      </c>
      <c r="AZ685" s="31">
        <f t="shared" si="1287"/>
        <v>0.63320550758583116</v>
      </c>
      <c r="BA685" s="25">
        <f t="shared" si="1288"/>
        <v>0</v>
      </c>
      <c r="BB685" s="32">
        <f t="shared" si="1307"/>
        <v>-0.63320550758583116</v>
      </c>
      <c r="BC685" s="33">
        <f t="shared" si="1308"/>
        <v>-1</v>
      </c>
      <c r="BE685" s="31">
        <f t="shared" si="1309"/>
        <v>0.62383092746917712</v>
      </c>
      <c r="BF685" s="25">
        <f t="shared" si="1310"/>
        <v>0</v>
      </c>
      <c r="BG685" s="32">
        <f t="shared" si="1311"/>
        <v>-0.62383092746917712</v>
      </c>
      <c r="BH685" s="33">
        <f t="shared" si="1312"/>
        <v>-1</v>
      </c>
      <c r="BJ685" s="31">
        <f t="shared" si="1289"/>
        <v>0.60912829824259773</v>
      </c>
      <c r="BK685" s="25">
        <f t="shared" si="1290"/>
        <v>0</v>
      </c>
      <c r="BL685" s="32">
        <f t="shared" si="1291"/>
        <v>-0.60912829824259773</v>
      </c>
      <c r="BM685" s="33">
        <f t="shared" si="1292"/>
        <v>-1</v>
      </c>
      <c r="BO685" s="62"/>
      <c r="BP685" s="62"/>
      <c r="BQ685" s="62"/>
      <c r="BR685" s="63"/>
    </row>
    <row r="686" spans="1:70">
      <c r="B686" s="1284"/>
      <c r="D686" s="5" t="s">
        <v>28</v>
      </c>
      <c r="E686" s="87">
        <v>1.2895308117838766</v>
      </c>
      <c r="F686" s="87">
        <v>1.3015019858812003</v>
      </c>
      <c r="G686" s="87">
        <v>1.3126286398596749</v>
      </c>
      <c r="H686" s="87">
        <v>1.320834733387829</v>
      </c>
      <c r="I686" s="87">
        <v>1.335509801624694</v>
      </c>
      <c r="J686" s="87">
        <v>1.3503972998847753</v>
      </c>
      <c r="K686" s="87">
        <v>1.3655004354054774</v>
      </c>
      <c r="L686" s="87">
        <v>1.3808224710862309</v>
      </c>
      <c r="N686" s="29">
        <v>1.1866008724524686</v>
      </c>
      <c r="O686" s="29">
        <v>1.1725666403835204</v>
      </c>
      <c r="P686" s="29">
        <v>1.1576804322603305</v>
      </c>
      <c r="Q686" s="29">
        <v>1.0914340821988278</v>
      </c>
      <c r="R686" s="29">
        <v>1.0513132619593315</v>
      </c>
      <c r="S686" s="29">
        <v>1.0750668959655594</v>
      </c>
      <c r="T686" s="29">
        <v>1.0675850442494672</v>
      </c>
      <c r="U686" s="29">
        <v>1.0276966835777159</v>
      </c>
      <c r="W686" s="30">
        <v>0</v>
      </c>
      <c r="X686" s="30">
        <v>0</v>
      </c>
      <c r="Y686" s="30">
        <v>0</v>
      </c>
      <c r="Z686" s="30">
        <v>0</v>
      </c>
      <c r="AA686" s="30">
        <v>0</v>
      </c>
      <c r="AB686" s="30">
        <v>0</v>
      </c>
      <c r="AC686" s="30">
        <v>11.672510560000001</v>
      </c>
      <c r="AD686" s="90">
        <v>0</v>
      </c>
      <c r="AF686" s="29">
        <f t="shared" si="1293"/>
        <v>1.1866008724524686</v>
      </c>
      <c r="AG686" s="30">
        <f t="shared" si="1294"/>
        <v>0</v>
      </c>
      <c r="AH686" s="32">
        <f t="shared" si="1295"/>
        <v>-1.1866008724524686</v>
      </c>
      <c r="AI686" s="33">
        <f t="shared" si="1296"/>
        <v>-1</v>
      </c>
      <c r="AK686" s="29">
        <f t="shared" si="1285"/>
        <v>1.1725666403835204</v>
      </c>
      <c r="AL686" s="30">
        <f t="shared" si="1286"/>
        <v>0</v>
      </c>
      <c r="AM686" s="32">
        <f t="shared" si="1297"/>
        <v>-1.1725666403835204</v>
      </c>
      <c r="AN686" s="33">
        <f t="shared" si="1298"/>
        <v>-1</v>
      </c>
      <c r="AP686" s="29">
        <f t="shared" si="1299"/>
        <v>1.1576804322603305</v>
      </c>
      <c r="AQ686" s="30">
        <f t="shared" si="1300"/>
        <v>0</v>
      </c>
      <c r="AR686" s="32">
        <f t="shared" si="1301"/>
        <v>-1.1576804322603305</v>
      </c>
      <c r="AS686" s="33">
        <f t="shared" si="1302"/>
        <v>-1</v>
      </c>
      <c r="AU686" s="31">
        <f t="shared" si="1303"/>
        <v>1.0914340821988278</v>
      </c>
      <c r="AV686" s="25">
        <f t="shared" si="1304"/>
        <v>0</v>
      </c>
      <c r="AW686" s="32">
        <f t="shared" si="1305"/>
        <v>-1.0914340821988278</v>
      </c>
      <c r="AX686" s="33">
        <f t="shared" si="1306"/>
        <v>-1</v>
      </c>
      <c r="AZ686" s="31">
        <f t="shared" si="1287"/>
        <v>1.0513132619593315</v>
      </c>
      <c r="BA686" s="25">
        <f t="shared" si="1288"/>
        <v>0</v>
      </c>
      <c r="BB686" s="32">
        <f t="shared" si="1307"/>
        <v>-1.0513132619593315</v>
      </c>
      <c r="BC686" s="33">
        <f t="shared" si="1308"/>
        <v>-1</v>
      </c>
      <c r="BE686" s="31">
        <f t="shared" si="1309"/>
        <v>1.0750668959655594</v>
      </c>
      <c r="BF686" s="25">
        <f t="shared" si="1310"/>
        <v>0</v>
      </c>
      <c r="BG686" s="32">
        <f t="shared" si="1311"/>
        <v>-1.0750668959655594</v>
      </c>
      <c r="BH686" s="33">
        <f t="shared" si="1312"/>
        <v>-1</v>
      </c>
      <c r="BJ686" s="31">
        <f t="shared" si="1289"/>
        <v>1.0675850442494672</v>
      </c>
      <c r="BK686" s="25">
        <f t="shared" si="1290"/>
        <v>11.672510560000001</v>
      </c>
      <c r="BL686" s="32">
        <f t="shared" si="1291"/>
        <v>10.604925515750534</v>
      </c>
      <c r="BM686" s="33">
        <f t="shared" si="1292"/>
        <v>9.9335650802470727</v>
      </c>
      <c r="BO686" s="62"/>
      <c r="BP686" s="62"/>
      <c r="BQ686" s="62"/>
      <c r="BR686" s="63"/>
    </row>
    <row r="687" spans="1:70">
      <c r="B687" s="1284"/>
      <c r="D687" s="5" t="s">
        <v>173</v>
      </c>
      <c r="E687" s="87">
        <v>1.284885944862695</v>
      </c>
      <c r="F687" s="87">
        <v>1.296334083885873</v>
      </c>
      <c r="G687" s="87">
        <v>1.3073023966201214</v>
      </c>
      <c r="H687" s="87">
        <v>1.3151788942129199</v>
      </c>
      <c r="I687" s="87">
        <v>1.3292341035373108</v>
      </c>
      <c r="J687" s="87">
        <v>1.3434907423250957</v>
      </c>
      <c r="K687" s="87">
        <v>1.3579518960246899</v>
      </c>
      <c r="L687" s="87">
        <v>1.3726207054990678</v>
      </c>
      <c r="N687" s="29">
        <v>1.2870098958247429</v>
      </c>
      <c r="O687" s="29">
        <v>1.2750858258668964</v>
      </c>
      <c r="P687" s="29">
        <v>1.2680567917724939</v>
      </c>
      <c r="Q687" s="29">
        <v>1.2549369139385436</v>
      </c>
      <c r="R687" s="29">
        <v>1.248204406332303</v>
      </c>
      <c r="S687" s="29">
        <v>1.2371794047626929</v>
      </c>
      <c r="T687" s="29">
        <v>1.2639840560629507</v>
      </c>
      <c r="U687" s="29">
        <v>1.220980261791927</v>
      </c>
      <c r="W687" s="30">
        <v>0</v>
      </c>
      <c r="X687" s="30">
        <v>0</v>
      </c>
      <c r="Y687" s="30">
        <v>0</v>
      </c>
      <c r="Z687" s="30">
        <v>0</v>
      </c>
      <c r="AA687" s="30">
        <v>0</v>
      </c>
      <c r="AB687" s="30">
        <v>0</v>
      </c>
      <c r="AC687" s="30">
        <v>7.2145473399999993</v>
      </c>
      <c r="AD687" s="90">
        <v>0</v>
      </c>
      <c r="AF687" s="29">
        <f t="shared" si="1293"/>
        <v>1.2870098958247429</v>
      </c>
      <c r="AG687" s="30">
        <f t="shared" si="1294"/>
        <v>0</v>
      </c>
      <c r="AH687" s="32">
        <f t="shared" si="1295"/>
        <v>-1.2870098958247429</v>
      </c>
      <c r="AI687" s="33">
        <f t="shared" si="1296"/>
        <v>-1</v>
      </c>
      <c r="AK687" s="29">
        <f t="shared" si="1285"/>
        <v>1.2750858258668964</v>
      </c>
      <c r="AL687" s="30">
        <f t="shared" si="1286"/>
        <v>0</v>
      </c>
      <c r="AM687" s="32">
        <f t="shared" si="1297"/>
        <v>-1.2750858258668964</v>
      </c>
      <c r="AN687" s="33">
        <f t="shared" si="1298"/>
        <v>-1</v>
      </c>
      <c r="AP687" s="29">
        <f t="shared" si="1299"/>
        <v>1.2680567917724939</v>
      </c>
      <c r="AQ687" s="30">
        <f t="shared" si="1300"/>
        <v>0</v>
      </c>
      <c r="AR687" s="32">
        <f t="shared" si="1301"/>
        <v>-1.2680567917724939</v>
      </c>
      <c r="AS687" s="33">
        <f t="shared" si="1302"/>
        <v>-1</v>
      </c>
      <c r="AU687" s="31">
        <f t="shared" si="1303"/>
        <v>1.2549369139385436</v>
      </c>
      <c r="AV687" s="25">
        <f t="shared" si="1304"/>
        <v>0</v>
      </c>
      <c r="AW687" s="32">
        <f t="shared" si="1305"/>
        <v>-1.2549369139385436</v>
      </c>
      <c r="AX687" s="33">
        <f t="shared" si="1306"/>
        <v>-1</v>
      </c>
      <c r="AZ687" s="31">
        <f t="shared" si="1287"/>
        <v>1.248204406332303</v>
      </c>
      <c r="BA687" s="25">
        <f t="shared" si="1288"/>
        <v>0</v>
      </c>
      <c r="BB687" s="32">
        <f t="shared" si="1307"/>
        <v>-1.248204406332303</v>
      </c>
      <c r="BC687" s="33">
        <f t="shared" si="1308"/>
        <v>-1</v>
      </c>
      <c r="BE687" s="31">
        <f t="shared" si="1309"/>
        <v>1.2371794047626929</v>
      </c>
      <c r="BF687" s="25">
        <f t="shared" si="1310"/>
        <v>0</v>
      </c>
      <c r="BG687" s="32">
        <f t="shared" si="1311"/>
        <v>-1.2371794047626929</v>
      </c>
      <c r="BH687" s="33">
        <f t="shared" si="1312"/>
        <v>-1</v>
      </c>
      <c r="BJ687" s="31">
        <f t="shared" si="1289"/>
        <v>1.2639840560629507</v>
      </c>
      <c r="BK687" s="25">
        <f t="shared" si="1290"/>
        <v>7.2145473399999993</v>
      </c>
      <c r="BL687" s="32">
        <f t="shared" si="1291"/>
        <v>5.9505632839370488</v>
      </c>
      <c r="BM687" s="33">
        <f t="shared" si="1292"/>
        <v>4.7077835004278645</v>
      </c>
      <c r="BO687" s="62"/>
      <c r="BP687" s="62"/>
      <c r="BQ687" s="62"/>
      <c r="BR687" s="63"/>
    </row>
    <row r="688" spans="1:70">
      <c r="A688" s="1"/>
      <c r="B688" s="1284"/>
      <c r="D688" s="4" t="s">
        <v>174</v>
      </c>
      <c r="E688" s="88">
        <f t="shared" ref="E688:L688" si="1313">SUM(E674:E687)</f>
        <v>19.305928744276535</v>
      </c>
      <c r="F688" s="88">
        <f t="shared" si="1313"/>
        <v>19.518070448301859</v>
      </c>
      <c r="G688" s="88">
        <f t="shared" si="1313"/>
        <v>19.712571555568264</v>
      </c>
      <c r="H688" s="88">
        <f t="shared" si="1313"/>
        <v>19.938774985375275</v>
      </c>
      <c r="I688" s="88">
        <f t="shared" si="1313"/>
        <v>20.18821349379224</v>
      </c>
      <c r="J688" s="88">
        <f t="shared" si="1313"/>
        <v>20.445633997376031</v>
      </c>
      <c r="K688" s="88">
        <f t="shared" si="1313"/>
        <v>20.705916435121647</v>
      </c>
      <c r="L688" s="88">
        <f t="shared" si="1313"/>
        <v>20.969547968970641</v>
      </c>
      <c r="M688" s="1"/>
      <c r="N688" s="81">
        <f t="shared" ref="N688:U688" si="1314">SUM(N674:N687)</f>
        <v>15.844694692936665</v>
      </c>
      <c r="O688" s="81">
        <f t="shared" si="1314"/>
        <v>15.843541012296754</v>
      </c>
      <c r="P688" s="81">
        <f t="shared" si="1314"/>
        <v>15.816096343911527</v>
      </c>
      <c r="Q688" s="81">
        <f t="shared" si="1314"/>
        <v>15.775614588925055</v>
      </c>
      <c r="R688" s="81">
        <f t="shared" si="1314"/>
        <v>15.757536481329549</v>
      </c>
      <c r="S688" s="81">
        <f t="shared" si="1314"/>
        <v>15.857253325128923</v>
      </c>
      <c r="T688" s="81">
        <f t="shared" si="1314"/>
        <v>15.969139075152286</v>
      </c>
      <c r="U688" s="81">
        <f t="shared" si="1314"/>
        <v>15.971783361754039</v>
      </c>
      <c r="V688" s="1"/>
      <c r="W688" s="85">
        <f t="shared" ref="W688:AD688" si="1315">SUM(W674:W687)</f>
        <v>2.0676346853101955E-2</v>
      </c>
      <c r="X688" s="85">
        <f t="shared" si="1315"/>
        <v>0</v>
      </c>
      <c r="Y688" s="85">
        <f t="shared" si="1315"/>
        <v>0</v>
      </c>
      <c r="Z688" s="85">
        <f>SUM(Z674:Z687)</f>
        <v>0</v>
      </c>
      <c r="AA688" s="85">
        <f>SUM(AA674:AA687)</f>
        <v>0</v>
      </c>
      <c r="AB688" s="85">
        <f t="shared" si="1315"/>
        <v>0</v>
      </c>
      <c r="AC688" s="85">
        <f>SUM(AC674:AC687)</f>
        <v>49.147702661371554</v>
      </c>
      <c r="AD688" s="91">
        <f t="shared" si="1315"/>
        <v>0</v>
      </c>
      <c r="AE688" s="1"/>
      <c r="AF688" s="81">
        <f t="shared" si="1293"/>
        <v>15.844694692936665</v>
      </c>
      <c r="AG688" s="85">
        <f t="shared" si="1294"/>
        <v>2.0676346853101955E-2</v>
      </c>
      <c r="AH688" s="34">
        <f>IF(AG688&gt;0,AG688-AF688,"")</f>
        <v>-15.824018346083562</v>
      </c>
      <c r="AI688" s="35">
        <f>IF(AG688&gt;0,AH688/AF688,"")</f>
        <v>-0.99869506183275847</v>
      </c>
      <c r="AK688" s="81">
        <f t="shared" si="1285"/>
        <v>15.843541012296754</v>
      </c>
      <c r="AL688" s="85">
        <f t="shared" si="1286"/>
        <v>0</v>
      </c>
      <c r="AM688" s="34">
        <f t="shared" si="1297"/>
        <v>-15.843541012296754</v>
      </c>
      <c r="AN688" s="35">
        <f t="shared" si="1298"/>
        <v>-1</v>
      </c>
      <c r="AP688" s="81">
        <f t="shared" si="1299"/>
        <v>15.816096343911527</v>
      </c>
      <c r="AQ688" s="85">
        <f t="shared" si="1300"/>
        <v>0</v>
      </c>
      <c r="AR688" s="34">
        <f t="shared" si="1301"/>
        <v>-15.816096343911527</v>
      </c>
      <c r="AS688" s="35">
        <f t="shared" si="1302"/>
        <v>-1</v>
      </c>
      <c r="AU688" s="949">
        <f t="shared" si="1303"/>
        <v>15.775614588925055</v>
      </c>
      <c r="AV688" s="843">
        <f t="shared" si="1304"/>
        <v>0</v>
      </c>
      <c r="AW688" s="34">
        <f t="shared" si="1305"/>
        <v>-15.775614588925055</v>
      </c>
      <c r="AX688" s="35">
        <f t="shared" si="1306"/>
        <v>-1</v>
      </c>
      <c r="AZ688" s="949">
        <f t="shared" si="1287"/>
        <v>15.757536481329549</v>
      </c>
      <c r="BA688" s="843">
        <f t="shared" si="1288"/>
        <v>0</v>
      </c>
      <c r="BB688" s="34">
        <f t="shared" si="1307"/>
        <v>-15.757536481329549</v>
      </c>
      <c r="BC688" s="35">
        <f t="shared" si="1308"/>
        <v>-1</v>
      </c>
      <c r="BE688" s="31">
        <f t="shared" si="1309"/>
        <v>15.857253325128923</v>
      </c>
      <c r="BF688" s="25">
        <f t="shared" si="1310"/>
        <v>0</v>
      </c>
      <c r="BG688" s="32">
        <f t="shared" si="1311"/>
        <v>-15.857253325128923</v>
      </c>
      <c r="BH688" s="33">
        <f t="shared" si="1312"/>
        <v>-1</v>
      </c>
      <c r="BJ688" s="31">
        <f t="shared" si="1289"/>
        <v>15.969139075152286</v>
      </c>
      <c r="BK688" s="25">
        <f t="shared" si="1290"/>
        <v>49.147702661371554</v>
      </c>
      <c r="BL688" s="32">
        <f t="shared" si="1291"/>
        <v>33.178563586219269</v>
      </c>
      <c r="BM688" s="33">
        <f t="shared" si="1292"/>
        <v>2.0776676457057448</v>
      </c>
      <c r="BO688" s="62"/>
      <c r="BP688" s="62"/>
      <c r="BQ688" s="62"/>
      <c r="BR688" s="63"/>
    </row>
    <row r="689" spans="1:70">
      <c r="A689" s="1"/>
      <c r="B689" s="1284"/>
      <c r="D689" s="4" t="s">
        <v>724</v>
      </c>
      <c r="E689" s="88">
        <f t="shared" ref="E689:L689" si="1316">E688-SUM(E677:E680)</f>
        <v>12.475855850636002</v>
      </c>
      <c r="F689" s="88">
        <f t="shared" si="1316"/>
        <v>12.603864382642506</v>
      </c>
      <c r="G689" s="88">
        <f t="shared" si="1316"/>
        <v>12.731391414469737</v>
      </c>
      <c r="H689" s="88">
        <f t="shared" si="1316"/>
        <v>12.850740623301707</v>
      </c>
      <c r="I689" s="88">
        <f t="shared" si="1316"/>
        <v>12.99146543494321</v>
      </c>
      <c r="J689" s="88">
        <f t="shared" si="1316"/>
        <v>13.137908885943336</v>
      </c>
      <c r="K689" s="88">
        <f t="shared" si="1316"/>
        <v>13.28511106282058</v>
      </c>
      <c r="L689" s="88">
        <f t="shared" si="1316"/>
        <v>13.432875179067764</v>
      </c>
      <c r="M689" s="1"/>
      <c r="N689" s="81">
        <f t="shared" ref="N689:U689" si="1317">N688-SUM(N677:N680)</f>
        <v>9.0146217992961315</v>
      </c>
      <c r="O689" s="81">
        <f t="shared" si="1317"/>
        <v>8.9293349466374003</v>
      </c>
      <c r="P689" s="81">
        <f t="shared" si="1317"/>
        <v>8.8349162028129982</v>
      </c>
      <c r="Q689" s="81">
        <f t="shared" si="1317"/>
        <v>8.6875802268514875</v>
      </c>
      <c r="R689" s="81">
        <f t="shared" si="1317"/>
        <v>8.5607884224805186</v>
      </c>
      <c r="S689" s="81">
        <f t="shared" si="1317"/>
        <v>8.5495282136962274</v>
      </c>
      <c r="T689" s="81">
        <f t="shared" si="1317"/>
        <v>8.5483337028512167</v>
      </c>
      <c r="U689" s="81">
        <f t="shared" si="1317"/>
        <v>8.4351105718511619</v>
      </c>
      <c r="V689" s="1"/>
      <c r="W689" s="85">
        <f t="shared" ref="W689:AD689" si="1318">W688-SUM(W677:W680)</f>
        <v>2.0676346853101955E-2</v>
      </c>
      <c r="X689" s="85">
        <f t="shared" si="1318"/>
        <v>0</v>
      </c>
      <c r="Y689" s="85">
        <f t="shared" si="1318"/>
        <v>0</v>
      </c>
      <c r="Z689" s="85">
        <f>Z688-SUM(Z677:Z680)</f>
        <v>0</v>
      </c>
      <c r="AA689" s="85">
        <f>AA688-SUM(AA677:AA680)</f>
        <v>0</v>
      </c>
      <c r="AB689" s="85">
        <f t="shared" si="1318"/>
        <v>0</v>
      </c>
      <c r="AC689" s="85">
        <f>AC688-SUM(AC677:AC680)</f>
        <v>45.214602661371551</v>
      </c>
      <c r="AD689" s="91">
        <f t="shared" si="1318"/>
        <v>0</v>
      </c>
      <c r="AE689" s="1"/>
      <c r="AF689" s="81">
        <f t="shared" si="1293"/>
        <v>9.0146217992961315</v>
      </c>
      <c r="AG689" s="85">
        <f t="shared" si="1294"/>
        <v>2.0676346853101955E-2</v>
      </c>
      <c r="AH689" s="34">
        <f>IF(AG689&gt;0,AG689-AF689,"")</f>
        <v>-8.9939454524430289</v>
      </c>
      <c r="AI689" s="35">
        <f>IF(AG689&gt;0,AH689/AF689,"")</f>
        <v>-0.997706354485696</v>
      </c>
      <c r="AK689" s="81">
        <f t="shared" si="1285"/>
        <v>8.9293349466374003</v>
      </c>
      <c r="AL689" s="85">
        <f t="shared" si="1286"/>
        <v>0</v>
      </c>
      <c r="AM689" s="34">
        <f t="shared" si="1297"/>
        <v>-8.9293349466374003</v>
      </c>
      <c r="AN689" s="35">
        <f t="shared" si="1298"/>
        <v>-1</v>
      </c>
      <c r="AP689" s="81">
        <f t="shared" si="1299"/>
        <v>8.8349162028129982</v>
      </c>
      <c r="AQ689" s="85">
        <f>Y689</f>
        <v>0</v>
      </c>
      <c r="AR689" s="34">
        <f t="shared" si="1301"/>
        <v>-8.8349162028129982</v>
      </c>
      <c r="AS689" s="35">
        <f t="shared" si="1302"/>
        <v>-1</v>
      </c>
      <c r="AU689" s="949">
        <f t="shared" si="1303"/>
        <v>8.6875802268514875</v>
      </c>
      <c r="AV689" s="843">
        <f t="shared" si="1304"/>
        <v>0</v>
      </c>
      <c r="AW689" s="34">
        <f t="shared" si="1305"/>
        <v>-8.6875802268514875</v>
      </c>
      <c r="AX689" s="35">
        <f t="shared" si="1306"/>
        <v>-1</v>
      </c>
      <c r="AZ689" s="949">
        <f t="shared" si="1287"/>
        <v>8.5607884224805186</v>
      </c>
      <c r="BA689" s="843">
        <f t="shared" si="1288"/>
        <v>0</v>
      </c>
      <c r="BB689" s="34">
        <f t="shared" si="1307"/>
        <v>-8.5607884224805186</v>
      </c>
      <c r="BC689" s="35">
        <f t="shared" si="1308"/>
        <v>-1</v>
      </c>
      <c r="BE689" s="31">
        <f t="shared" si="1309"/>
        <v>8.5495282136962274</v>
      </c>
      <c r="BF689" s="25">
        <f t="shared" si="1310"/>
        <v>0</v>
      </c>
      <c r="BG689" s="32">
        <f t="shared" si="1311"/>
        <v>-8.5495282136962274</v>
      </c>
      <c r="BH689" s="33">
        <f t="shared" si="1312"/>
        <v>-1</v>
      </c>
      <c r="BJ689" s="31">
        <f t="shared" si="1289"/>
        <v>8.5483337028512167</v>
      </c>
      <c r="BK689" s="25">
        <f t="shared" si="1290"/>
        <v>45.214602661371551</v>
      </c>
      <c r="BL689" s="32">
        <f t="shared" si="1291"/>
        <v>36.666268958520334</v>
      </c>
      <c r="BM689" s="33">
        <f t="shared" si="1292"/>
        <v>4.2892884429968667</v>
      </c>
      <c r="BO689" s="62"/>
      <c r="BP689" s="62"/>
      <c r="BQ689" s="62"/>
      <c r="BR689" s="63"/>
    </row>
    <row r="690" spans="1:70" ht="14.5" customHeight="1">
      <c r="B690" s="1284"/>
    </row>
    <row r="691" spans="1:70" ht="14.5" customHeight="1">
      <c r="B691" s="1284"/>
      <c r="D691" s="1" t="s">
        <v>94</v>
      </c>
    </row>
    <row r="692" spans="1:70" ht="14.5" customHeight="1">
      <c r="B692" s="1284"/>
      <c r="E692" s="1300" t="s">
        <v>733</v>
      </c>
      <c r="F692" s="1301"/>
      <c r="G692" s="1301"/>
      <c r="H692" s="1301"/>
      <c r="I692" s="1301"/>
      <c r="J692" s="1301"/>
      <c r="K692" s="1301"/>
      <c r="L692" s="1302"/>
      <c r="N692" s="245" t="s">
        <v>291</v>
      </c>
      <c r="O692" s="246"/>
      <c r="P692" s="246"/>
      <c r="Q692" s="246"/>
      <c r="R692" s="246"/>
      <c r="S692" s="246"/>
      <c r="T692" s="246"/>
      <c r="U692" s="247"/>
      <c r="W692" s="1079" t="s">
        <v>292</v>
      </c>
      <c r="X692" s="1080"/>
      <c r="Y692" s="1080"/>
      <c r="Z692" s="1080"/>
      <c r="AA692" s="1080"/>
      <c r="AB692" s="1080"/>
      <c r="AC692" s="1080"/>
      <c r="AD692" s="1081"/>
      <c r="AF692" s="102" t="s">
        <v>297</v>
      </c>
      <c r="AG692" s="102" t="s">
        <v>298</v>
      </c>
      <c r="AH692" s="1304" t="s">
        <v>602</v>
      </c>
      <c r="AI692" s="1304"/>
      <c r="AK692" s="102" t="s">
        <v>297</v>
      </c>
      <c r="AL692" s="102" t="s">
        <v>298</v>
      </c>
      <c r="AM692" s="1304" t="s">
        <v>602</v>
      </c>
      <c r="AN692" s="1304"/>
      <c r="AP692" s="6" t="s">
        <v>297</v>
      </c>
      <c r="AQ692" s="5" t="s">
        <v>298</v>
      </c>
      <c r="AR692" s="1303" t="s">
        <v>602</v>
      </c>
      <c r="AS692" s="1303"/>
      <c r="AU692" s="6" t="s">
        <v>297</v>
      </c>
      <c r="AV692" s="5" t="s">
        <v>298</v>
      </c>
      <c r="AW692" s="1303" t="s">
        <v>602</v>
      </c>
      <c r="AX692" s="1303"/>
      <c r="AZ692" s="6" t="s">
        <v>297</v>
      </c>
      <c r="BA692" s="5" t="s">
        <v>298</v>
      </c>
      <c r="BB692" s="1303" t="s">
        <v>602</v>
      </c>
      <c r="BC692" s="1303"/>
      <c r="BE692" s="6" t="s">
        <v>297</v>
      </c>
      <c r="BF692" s="5" t="s">
        <v>298</v>
      </c>
      <c r="BG692" s="1082" t="s">
        <v>602</v>
      </c>
      <c r="BH692" s="1082"/>
      <c r="BJ692" s="6" t="s">
        <v>297</v>
      </c>
      <c r="BK692" s="5" t="s">
        <v>298</v>
      </c>
      <c r="BL692" s="1082" t="s">
        <v>602</v>
      </c>
      <c r="BM692" s="1082"/>
      <c r="BO692" s="6" t="s">
        <v>297</v>
      </c>
      <c r="BP692" s="5" t="s">
        <v>298</v>
      </c>
      <c r="BQ692" s="1303" t="s">
        <v>602</v>
      </c>
      <c r="BR692" s="1303"/>
    </row>
    <row r="693" spans="1:70" ht="14.5" customHeight="1">
      <c r="A693" s="1"/>
      <c r="B693" s="1284"/>
      <c r="E693" s="196" t="s">
        <v>137</v>
      </c>
      <c r="F693" s="102" t="s">
        <v>138</v>
      </c>
      <c r="G693" s="102" t="s">
        <v>139</v>
      </c>
      <c r="H693" s="102" t="s">
        <v>140</v>
      </c>
      <c r="I693" s="102" t="s">
        <v>141</v>
      </c>
      <c r="J693" s="102" t="s">
        <v>126</v>
      </c>
      <c r="K693" s="102" t="s">
        <v>142</v>
      </c>
      <c r="L693" s="197" t="s">
        <v>143</v>
      </c>
      <c r="N693" s="196" t="s">
        <v>137</v>
      </c>
      <c r="O693" s="102" t="s">
        <v>138</v>
      </c>
      <c r="P693" s="102" t="s">
        <v>139</v>
      </c>
      <c r="Q693" s="102" t="s">
        <v>140</v>
      </c>
      <c r="R693" s="102" t="s">
        <v>141</v>
      </c>
      <c r="S693" s="102" t="s">
        <v>126</v>
      </c>
      <c r="T693" s="102" t="s">
        <v>142</v>
      </c>
      <c r="U693" s="197" t="s">
        <v>143</v>
      </c>
      <c r="W693" s="196" t="s">
        <v>137</v>
      </c>
      <c r="X693" s="1078" t="s">
        <v>138</v>
      </c>
      <c r="Y693" s="1078" t="s">
        <v>139</v>
      </c>
      <c r="Z693" s="1078" t="s">
        <v>140</v>
      </c>
      <c r="AA693" s="1078" t="s">
        <v>141</v>
      </c>
      <c r="AB693" s="1078" t="s">
        <v>126</v>
      </c>
      <c r="AC693" s="1078" t="s">
        <v>142</v>
      </c>
      <c r="AD693" s="197" t="s">
        <v>143</v>
      </c>
      <c r="AF693" s="102" t="s">
        <v>734</v>
      </c>
      <c r="AG693" s="102" t="s">
        <v>734</v>
      </c>
      <c r="AH693" s="102" t="s">
        <v>734</v>
      </c>
      <c r="AI693" s="102" t="s">
        <v>606</v>
      </c>
      <c r="AK693" s="102" t="s">
        <v>734</v>
      </c>
      <c r="AL693" s="102" t="s">
        <v>734</v>
      </c>
      <c r="AM693" s="102" t="s">
        <v>734</v>
      </c>
      <c r="AN693" s="102" t="s">
        <v>606</v>
      </c>
      <c r="AP693" s="5" t="s">
        <v>734</v>
      </c>
      <c r="AQ693" s="5" t="s">
        <v>734</v>
      </c>
      <c r="AR693" s="5" t="s">
        <v>734</v>
      </c>
      <c r="AS693" s="5" t="s">
        <v>606</v>
      </c>
      <c r="AU693" s="5" t="s">
        <v>734</v>
      </c>
      <c r="AV693" s="5" t="s">
        <v>734</v>
      </c>
      <c r="AW693" s="5" t="s">
        <v>734</v>
      </c>
      <c r="AX693" s="5" t="s">
        <v>606</v>
      </c>
      <c r="AZ693" s="5" t="s">
        <v>734</v>
      </c>
      <c r="BA693" s="5" t="s">
        <v>734</v>
      </c>
      <c r="BB693" s="5" t="s">
        <v>734</v>
      </c>
      <c r="BC693" s="5" t="s">
        <v>606</v>
      </c>
      <c r="BE693" s="5" t="s">
        <v>734</v>
      </c>
      <c r="BF693" s="5" t="s">
        <v>734</v>
      </c>
      <c r="BG693" s="5" t="s">
        <v>734</v>
      </c>
      <c r="BH693" s="5" t="s">
        <v>606</v>
      </c>
      <c r="BJ693" s="5" t="s">
        <v>734</v>
      </c>
      <c r="BK693" s="5" t="s">
        <v>734</v>
      </c>
      <c r="BL693" s="5" t="s">
        <v>734</v>
      </c>
      <c r="BM693" s="5" t="s">
        <v>606</v>
      </c>
      <c r="BO693" s="5" t="s">
        <v>734</v>
      </c>
      <c r="BP693" s="5" t="s">
        <v>734</v>
      </c>
      <c r="BQ693" s="5" t="s">
        <v>734</v>
      </c>
      <c r="BR693" s="5" t="s">
        <v>606</v>
      </c>
    </row>
    <row r="694" spans="1:70">
      <c r="B694" s="1284"/>
      <c r="D694" s="5" t="s">
        <v>161</v>
      </c>
      <c r="E694" s="87">
        <v>6.0625848949104055</v>
      </c>
      <c r="F694" s="87">
        <v>6.139994617642679</v>
      </c>
      <c r="G694" s="87">
        <v>6.1208888604649987</v>
      </c>
      <c r="H694" s="87">
        <v>6.1027947449910709</v>
      </c>
      <c r="I694" s="87">
        <v>6.0911924464794795</v>
      </c>
      <c r="J694" s="87">
        <v>6.1107814013392714</v>
      </c>
      <c r="K694" s="87">
        <v>6.0776487346036534</v>
      </c>
      <c r="L694" s="87">
        <v>6.0670563268675748</v>
      </c>
      <c r="N694" s="29">
        <v>5.4135741928487935</v>
      </c>
      <c r="O694" s="29">
        <v>5.3341513909636831</v>
      </c>
      <c r="P694" s="29">
        <v>5.2296045968234113</v>
      </c>
      <c r="Q694" s="29">
        <v>5.1200765931798244</v>
      </c>
      <c r="R694" s="29">
        <v>5.0263530176802593</v>
      </c>
      <c r="S694" s="29">
        <v>4.9285343225929683</v>
      </c>
      <c r="T694" s="29">
        <v>4.8174728407976932</v>
      </c>
      <c r="U694" s="29">
        <v>4.7043131730658878</v>
      </c>
      <c r="W694" s="30">
        <v>9.9944530979310766</v>
      </c>
      <c r="X694" s="30">
        <v>9.359307794350153</v>
      </c>
      <c r="Y694" s="30">
        <v>10.107666053701934</v>
      </c>
      <c r="Z694" s="30">
        <v>10.976073677699537</v>
      </c>
      <c r="AA694" s="30">
        <v>8.4110737519890417</v>
      </c>
      <c r="AB694" s="30">
        <v>7.9874178054822487</v>
      </c>
      <c r="AC694" s="30">
        <v>11.038205312541018</v>
      </c>
      <c r="AD694" s="90">
        <v>0</v>
      </c>
      <c r="AF694" s="29">
        <f>N694</f>
        <v>5.4135741928487935</v>
      </c>
      <c r="AG694" s="30">
        <f>W694</f>
        <v>9.9944530979310766</v>
      </c>
      <c r="AH694" s="32">
        <f>IF(AG694&gt;0,AG694-AF694,"")</f>
        <v>4.5808789050822831</v>
      </c>
      <c r="AI694" s="33">
        <f>IF(AG694&gt;0,AH694/AF694,"")</f>
        <v>0.84618382271984349</v>
      </c>
      <c r="AK694" s="29">
        <f t="shared" ref="AK694:AK709" si="1319">O694</f>
        <v>5.3341513909636831</v>
      </c>
      <c r="AL694" s="30">
        <f t="shared" ref="AL694:AL709" si="1320">X694</f>
        <v>9.359307794350153</v>
      </c>
      <c r="AM694" s="32">
        <f>IF(AL694&gt;0,AL694-AK694,"")</f>
        <v>4.02515640338647</v>
      </c>
      <c r="AN694" s="33">
        <f>IF(AL694&gt;0,AM694/AK694,"")</f>
        <v>0.75460108054024944</v>
      </c>
      <c r="AP694" s="29">
        <f>P694</f>
        <v>5.2296045968234113</v>
      </c>
      <c r="AQ694" s="30">
        <f>Y694</f>
        <v>10.107666053701934</v>
      </c>
      <c r="AR694" s="32">
        <f>AQ694-AP694</f>
        <v>4.8780614568785223</v>
      </c>
      <c r="AS694" s="33">
        <f>AR694/AP694</f>
        <v>0.93277825628376865</v>
      </c>
      <c r="AU694" s="31">
        <f>Q694</f>
        <v>5.1200765931798244</v>
      </c>
      <c r="AV694" s="25">
        <f>Z694</f>
        <v>10.976073677699537</v>
      </c>
      <c r="AW694" s="32">
        <f>AV694-AU694</f>
        <v>5.8559970845197125</v>
      </c>
      <c r="AX694" s="33">
        <f>AW694/AU694</f>
        <v>1.1437323207860148</v>
      </c>
      <c r="AZ694" s="31">
        <f t="shared" ref="AZ694:AZ709" si="1321">R694</f>
        <v>5.0263530176802593</v>
      </c>
      <c r="BA694" s="25">
        <f t="shared" ref="BA694:BA709" si="1322">AA694</f>
        <v>8.4110737519890417</v>
      </c>
      <c r="BB694" s="32">
        <f>BA694-AZ694</f>
        <v>3.3847207343087824</v>
      </c>
      <c r="BC694" s="33">
        <f>BB694/AZ694</f>
        <v>0.67339494906207042</v>
      </c>
      <c r="BE694" s="31">
        <f>S694</f>
        <v>4.9285343225929683</v>
      </c>
      <c r="BF694" s="25">
        <f>AB694</f>
        <v>7.9874178054822487</v>
      </c>
      <c r="BG694" s="32">
        <f>BF694-BE694</f>
        <v>3.0588834828892804</v>
      </c>
      <c r="BH694" s="33">
        <f>BG694/BE694</f>
        <v>0.62064769821466126</v>
      </c>
      <c r="BJ694" s="31">
        <f t="shared" ref="BJ694:BJ709" si="1323">T694</f>
        <v>4.8174728407976932</v>
      </c>
      <c r="BK694" s="25">
        <f t="shared" ref="BK694:BK709" si="1324">AC694</f>
        <v>11.038205312541018</v>
      </c>
      <c r="BL694" s="32">
        <f t="shared" ref="BL694:BL709" si="1325">BK694-BJ694</f>
        <v>6.2207324717433252</v>
      </c>
      <c r="BM694" s="33">
        <f t="shared" ref="BM694:BM709" si="1326">BL694/BJ694</f>
        <v>1.2912854264712939</v>
      </c>
      <c r="BO694" s="62"/>
      <c r="BP694" s="62"/>
      <c r="BQ694" s="62"/>
      <c r="BR694" s="63"/>
    </row>
    <row r="695" spans="1:70">
      <c r="B695" s="1284"/>
      <c r="D695" s="5" t="s">
        <v>162</v>
      </c>
      <c r="E695" s="87">
        <v>5.9498180966296914</v>
      </c>
      <c r="F695" s="87">
        <v>5.9431812872571541</v>
      </c>
      <c r="G695" s="87">
        <v>5.8326571747231668</v>
      </c>
      <c r="H695" s="87">
        <v>5.7469282266724191</v>
      </c>
      <c r="I695" s="87">
        <v>5.6347692749770859</v>
      </c>
      <c r="J695" s="87">
        <v>5.7213848140248036</v>
      </c>
      <c r="K695" s="87">
        <v>5.8124585639641717</v>
      </c>
      <c r="L695" s="87">
        <v>5.8804534077844339</v>
      </c>
      <c r="N695" s="29">
        <v>5.5602506684586803</v>
      </c>
      <c r="O695" s="29">
        <v>5.5132257773046573</v>
      </c>
      <c r="P695" s="29">
        <v>5.4205329389716166</v>
      </c>
      <c r="Q695" s="29">
        <v>5.3478471783278021</v>
      </c>
      <c r="R695" s="29">
        <v>5.2584704853675506</v>
      </c>
      <c r="S695" s="29">
        <v>5.2423249252540227</v>
      </c>
      <c r="T695" s="29">
        <v>5.2290276854536772</v>
      </c>
      <c r="U695" s="29">
        <v>5.2150203295611721</v>
      </c>
      <c r="W695" s="30">
        <v>6.5520570504853941</v>
      </c>
      <c r="X695" s="30">
        <v>6.6935369775211351</v>
      </c>
      <c r="Y695" s="30">
        <v>6.3469500971969515</v>
      </c>
      <c r="Z695" s="30">
        <v>6.439676813346912</v>
      </c>
      <c r="AA695" s="30">
        <v>7.2149000629107034</v>
      </c>
      <c r="AB695" s="30">
        <v>8.0685999547026839</v>
      </c>
      <c r="AC695" s="30">
        <v>5.8532459578941429</v>
      </c>
      <c r="AD695" s="90">
        <v>0</v>
      </c>
      <c r="AF695" s="29">
        <f t="shared" ref="AF695:AF709" si="1327">N695</f>
        <v>5.5602506684586803</v>
      </c>
      <c r="AG695" s="30">
        <f t="shared" ref="AG695:AG709" si="1328">W695</f>
        <v>6.5520570504853941</v>
      </c>
      <c r="AH695" s="32">
        <f t="shared" ref="AH695:AH709" si="1329">IF(AG695&gt;0,AG695-AF695,"")</f>
        <v>0.99180638202671378</v>
      </c>
      <c r="AI695" s="33">
        <f t="shared" ref="AI695:AI709" si="1330">IF(AG695&gt;0,AH695/AF695,"")</f>
        <v>0.17837440093355464</v>
      </c>
      <c r="AK695" s="29">
        <f t="shared" si="1319"/>
        <v>5.5132257773046573</v>
      </c>
      <c r="AL695" s="30">
        <f t="shared" si="1320"/>
        <v>6.6935369775211351</v>
      </c>
      <c r="AM695" s="32">
        <f t="shared" ref="AM695:AM709" si="1331">IF(AL695&gt;0,AL695-AK695,"")</f>
        <v>1.1803112002164777</v>
      </c>
      <c r="AN695" s="33">
        <f t="shared" ref="AN695:AN709" si="1332">IF(AL695&gt;0,AM695/AK695,"")</f>
        <v>0.21408722368586111</v>
      </c>
      <c r="AP695" s="29">
        <f t="shared" ref="AP695:AP709" si="1333">P695</f>
        <v>5.4205329389716166</v>
      </c>
      <c r="AQ695" s="30">
        <f t="shared" ref="AQ695:AQ708" si="1334">Y695</f>
        <v>6.3469500971969515</v>
      </c>
      <c r="AR695" s="32">
        <f t="shared" ref="AR695:AR709" si="1335">AQ695-AP695</f>
        <v>0.92641715822533488</v>
      </c>
      <c r="AS695" s="33">
        <f t="shared" ref="AS695:AS709" si="1336">AR695/AP695</f>
        <v>0.17090886978376976</v>
      </c>
      <c r="AU695" s="31">
        <f t="shared" ref="AU695:AU709" si="1337">Q695</f>
        <v>5.3478471783278021</v>
      </c>
      <c r="AV695" s="25">
        <f t="shared" ref="AV695:AV709" si="1338">Z695</f>
        <v>6.439676813346912</v>
      </c>
      <c r="AW695" s="32">
        <f t="shared" ref="AW695:AW709" si="1339">AV695-AU695</f>
        <v>1.0918296350191099</v>
      </c>
      <c r="AX695" s="33">
        <f t="shared" ref="AX695:AX709" si="1340">AW695/AU695</f>
        <v>0.20416245988549545</v>
      </c>
      <c r="AZ695" s="31">
        <f t="shared" si="1321"/>
        <v>5.2584704853675506</v>
      </c>
      <c r="BA695" s="25">
        <f t="shared" si="1322"/>
        <v>7.2149000629107034</v>
      </c>
      <c r="BB695" s="32">
        <f t="shared" ref="BB695:BB709" si="1341">BA695-AZ695</f>
        <v>1.9564295775431528</v>
      </c>
      <c r="BC695" s="33">
        <f t="shared" ref="BC695:BC709" si="1342">BB695/AZ695</f>
        <v>0.37205297300559148</v>
      </c>
      <c r="BE695" s="31">
        <f t="shared" ref="BE695:BE709" si="1343">S695</f>
        <v>5.2423249252540227</v>
      </c>
      <c r="BF695" s="25">
        <f t="shared" ref="BF695:BF709" si="1344">AB695</f>
        <v>8.0685999547026839</v>
      </c>
      <c r="BG695" s="32">
        <f t="shared" ref="BG695:BG709" si="1345">BF695-BE695</f>
        <v>2.8262750294486612</v>
      </c>
      <c r="BH695" s="33">
        <f t="shared" ref="BH695:BH709" si="1346">BG695/BE695</f>
        <v>0.5391262597695069</v>
      </c>
      <c r="BJ695" s="31">
        <f t="shared" si="1323"/>
        <v>5.2290276854536772</v>
      </c>
      <c r="BK695" s="25">
        <f t="shared" si="1324"/>
        <v>5.8532459578941429</v>
      </c>
      <c r="BL695" s="32">
        <f t="shared" si="1325"/>
        <v>0.62421827244046568</v>
      </c>
      <c r="BM695" s="33">
        <f t="shared" si="1326"/>
        <v>0.11937559140812001</v>
      </c>
      <c r="BO695" s="62"/>
      <c r="BP695" s="62"/>
      <c r="BQ695" s="62"/>
      <c r="BR695" s="63"/>
    </row>
    <row r="696" spans="1:70">
      <c r="B696" s="1284"/>
      <c r="D696" s="5" t="s">
        <v>163</v>
      </c>
      <c r="E696" s="87">
        <v>12.477026252726263</v>
      </c>
      <c r="F696" s="87">
        <v>12.435105800054172</v>
      </c>
      <c r="G696" s="87">
        <v>12.124840907401319</v>
      </c>
      <c r="H696" s="87">
        <v>11.806433942496612</v>
      </c>
      <c r="I696" s="87">
        <v>11.451765061453541</v>
      </c>
      <c r="J696" s="87">
        <v>11.787398478022096</v>
      </c>
      <c r="K696" s="87">
        <v>12.116505245778658</v>
      </c>
      <c r="L696" s="87">
        <v>12.278798654392885</v>
      </c>
      <c r="N696" s="29">
        <v>11.521779644833014</v>
      </c>
      <c r="O696" s="29">
        <v>11.450204884786599</v>
      </c>
      <c r="P696" s="29">
        <v>11.180822462232957</v>
      </c>
      <c r="Q696" s="29">
        <v>10.991958862547412</v>
      </c>
      <c r="R696" s="29">
        <v>10.738064523711502</v>
      </c>
      <c r="S696" s="29">
        <v>10.775552085949041</v>
      </c>
      <c r="T696" s="29">
        <v>10.814315848092782</v>
      </c>
      <c r="U696" s="29">
        <v>10.805751301404166</v>
      </c>
      <c r="W696" s="30">
        <v>15.043260209373022</v>
      </c>
      <c r="X696" s="30">
        <v>15.061978485910382</v>
      </c>
      <c r="Y696" s="30">
        <v>12.816832261864466</v>
      </c>
      <c r="Z696" s="30">
        <v>12.90727545564315</v>
      </c>
      <c r="AA696" s="30">
        <v>13.669522237420104</v>
      </c>
      <c r="AB696" s="30">
        <v>12.561817253537916</v>
      </c>
      <c r="AC696" s="30">
        <v>11.557860801210353</v>
      </c>
      <c r="AD696" s="90">
        <v>0</v>
      </c>
      <c r="AF696" s="29">
        <f t="shared" si="1327"/>
        <v>11.521779644833014</v>
      </c>
      <c r="AG696" s="30">
        <f t="shared" si="1328"/>
        <v>15.043260209373022</v>
      </c>
      <c r="AH696" s="32">
        <f t="shared" si="1329"/>
        <v>3.521480564540008</v>
      </c>
      <c r="AI696" s="33">
        <f t="shared" si="1330"/>
        <v>0.30563686106592303</v>
      </c>
      <c r="AK696" s="29">
        <f t="shared" si="1319"/>
        <v>11.450204884786599</v>
      </c>
      <c r="AL696" s="30">
        <f t="shared" si="1320"/>
        <v>15.061978485910382</v>
      </c>
      <c r="AM696" s="32">
        <f t="shared" si="1331"/>
        <v>3.6117736011237831</v>
      </c>
      <c r="AN696" s="33">
        <f t="shared" si="1332"/>
        <v>0.31543309813805981</v>
      </c>
      <c r="AP696" s="29">
        <f t="shared" si="1333"/>
        <v>11.180822462232957</v>
      </c>
      <c r="AQ696" s="30">
        <f t="shared" si="1334"/>
        <v>12.816832261864466</v>
      </c>
      <c r="AR696" s="32">
        <f t="shared" si="1335"/>
        <v>1.6360097996315091</v>
      </c>
      <c r="AS696" s="33">
        <f t="shared" si="1336"/>
        <v>0.14632284924992686</v>
      </c>
      <c r="AU696" s="31">
        <f t="shared" si="1337"/>
        <v>10.991958862547412</v>
      </c>
      <c r="AV696" s="25">
        <f t="shared" si="1338"/>
        <v>12.90727545564315</v>
      </c>
      <c r="AW696" s="32">
        <f t="shared" si="1339"/>
        <v>1.9153165930957385</v>
      </c>
      <c r="AX696" s="33">
        <f t="shared" si="1340"/>
        <v>0.17424706706479245</v>
      </c>
      <c r="AZ696" s="31">
        <f t="shared" si="1321"/>
        <v>10.738064523711502</v>
      </c>
      <c r="BA696" s="25">
        <f t="shared" si="1322"/>
        <v>13.669522237420104</v>
      </c>
      <c r="BB696" s="32">
        <f t="shared" si="1341"/>
        <v>2.9314577137086015</v>
      </c>
      <c r="BC696" s="33">
        <f t="shared" si="1342"/>
        <v>0.2729968428887195</v>
      </c>
      <c r="BE696" s="31">
        <f t="shared" si="1343"/>
        <v>10.775552085949041</v>
      </c>
      <c r="BF696" s="25">
        <f t="shared" si="1344"/>
        <v>12.561817253537916</v>
      </c>
      <c r="BG696" s="32">
        <f t="shared" si="1345"/>
        <v>1.7862651675888745</v>
      </c>
      <c r="BH696" s="33">
        <f t="shared" si="1346"/>
        <v>0.16577017616740997</v>
      </c>
      <c r="BJ696" s="31">
        <f t="shared" si="1323"/>
        <v>10.814315848092782</v>
      </c>
      <c r="BK696" s="25">
        <f t="shared" si="1324"/>
        <v>11.557860801210353</v>
      </c>
      <c r="BL696" s="32">
        <f t="shared" si="1325"/>
        <v>0.74354495311757063</v>
      </c>
      <c r="BM696" s="33">
        <f t="shared" si="1326"/>
        <v>6.8755616495952687E-2</v>
      </c>
      <c r="BO696" s="62"/>
      <c r="BP696" s="62"/>
      <c r="BQ696" s="62"/>
      <c r="BR696" s="63"/>
    </row>
    <row r="697" spans="1:70">
      <c r="B697" s="1284"/>
      <c r="D697" s="5" t="s">
        <v>164</v>
      </c>
      <c r="E697" s="87">
        <v>5.7316864997862442</v>
      </c>
      <c r="F697" s="87">
        <v>5.637604568752935</v>
      </c>
      <c r="G697" s="87">
        <v>5.484227355333787</v>
      </c>
      <c r="H697" s="87">
        <v>5.3309222481608458</v>
      </c>
      <c r="I697" s="87">
        <v>5.1780379240451317</v>
      </c>
      <c r="J697" s="87">
        <v>5.1610268802263972</v>
      </c>
      <c r="K697" s="87">
        <v>5.2229603052351621</v>
      </c>
      <c r="L697" s="87">
        <v>5.2821907371880963</v>
      </c>
      <c r="N697" s="29">
        <v>5.7316864997862442</v>
      </c>
      <c r="O697" s="29">
        <v>5.637604568752935</v>
      </c>
      <c r="P697" s="29">
        <v>5.484227355333787</v>
      </c>
      <c r="Q697" s="29">
        <v>5.3309222481608458</v>
      </c>
      <c r="R697" s="29">
        <v>5.1780379240451317</v>
      </c>
      <c r="S697" s="29">
        <v>5.1610268802263972</v>
      </c>
      <c r="T697" s="29">
        <v>5.2229603052351621</v>
      </c>
      <c r="U697" s="29">
        <v>5.2821907371880963</v>
      </c>
      <c r="W697" s="30">
        <v>8.314082078995348</v>
      </c>
      <c r="X697" s="30">
        <v>8.9381366078975972</v>
      </c>
      <c r="Y697" s="30">
        <v>9.1861943923057883</v>
      </c>
      <c r="Z697" s="30">
        <v>8.52392886187471</v>
      </c>
      <c r="AA697" s="30">
        <v>9.387991074930671</v>
      </c>
      <c r="AB697" s="30">
        <v>8.8471021970513366</v>
      </c>
      <c r="AC697" s="30">
        <v>9.3211999999999993</v>
      </c>
      <c r="AD697" s="90">
        <v>0</v>
      </c>
      <c r="AF697" s="29">
        <f t="shared" si="1327"/>
        <v>5.7316864997862442</v>
      </c>
      <c r="AG697" s="30">
        <f t="shared" si="1328"/>
        <v>8.314082078995348</v>
      </c>
      <c r="AH697" s="32">
        <f t="shared" si="1329"/>
        <v>2.5823955792091038</v>
      </c>
      <c r="AI697" s="33">
        <f t="shared" si="1330"/>
        <v>0.45054724805786411</v>
      </c>
      <c r="AK697" s="29">
        <f t="shared" si="1319"/>
        <v>5.637604568752935</v>
      </c>
      <c r="AL697" s="30">
        <f t="shared" si="1320"/>
        <v>8.9381366078975972</v>
      </c>
      <c r="AM697" s="32">
        <f t="shared" si="1331"/>
        <v>3.3005320391446622</v>
      </c>
      <c r="AN697" s="33">
        <f t="shared" si="1332"/>
        <v>0.58544936930096814</v>
      </c>
      <c r="AP697" s="29">
        <f t="shared" si="1333"/>
        <v>5.484227355333787</v>
      </c>
      <c r="AQ697" s="30">
        <f t="shared" si="1334"/>
        <v>9.1861943923057883</v>
      </c>
      <c r="AR697" s="32">
        <f t="shared" si="1335"/>
        <v>3.7019670369720012</v>
      </c>
      <c r="AS697" s="33">
        <f t="shared" si="1336"/>
        <v>0.67502070886459231</v>
      </c>
      <c r="AU697" s="31">
        <f t="shared" si="1337"/>
        <v>5.3309222481608458</v>
      </c>
      <c r="AV697" s="25">
        <f t="shared" si="1338"/>
        <v>8.52392886187471</v>
      </c>
      <c r="AW697" s="32">
        <f t="shared" si="1339"/>
        <v>3.1930066137138642</v>
      </c>
      <c r="AX697" s="33">
        <f t="shared" si="1340"/>
        <v>0.59895951677318926</v>
      </c>
      <c r="AZ697" s="31">
        <f t="shared" si="1321"/>
        <v>5.1780379240451317</v>
      </c>
      <c r="BA697" s="25">
        <f t="shared" si="1322"/>
        <v>9.387991074930671</v>
      </c>
      <c r="BB697" s="32">
        <f t="shared" si="1341"/>
        <v>4.2099531508855392</v>
      </c>
      <c r="BC697" s="33">
        <f t="shared" si="1342"/>
        <v>0.81304023119179558</v>
      </c>
      <c r="BE697" s="31">
        <f t="shared" si="1343"/>
        <v>5.1610268802263972</v>
      </c>
      <c r="BF697" s="25">
        <f t="shared" si="1344"/>
        <v>8.8471021970513366</v>
      </c>
      <c r="BG697" s="32">
        <f t="shared" si="1345"/>
        <v>3.6860753168249394</v>
      </c>
      <c r="BH697" s="33">
        <f t="shared" si="1346"/>
        <v>0.71421354749139443</v>
      </c>
      <c r="BJ697" s="31">
        <f t="shared" si="1323"/>
        <v>5.2229603052351621</v>
      </c>
      <c r="BK697" s="25">
        <f t="shared" si="1324"/>
        <v>9.3211999999999993</v>
      </c>
      <c r="BL697" s="32">
        <f t="shared" si="1325"/>
        <v>4.0982396947648372</v>
      </c>
      <c r="BM697" s="33">
        <f t="shared" si="1326"/>
        <v>0.78465840352204541</v>
      </c>
      <c r="BO697" s="62"/>
      <c r="BP697" s="62"/>
      <c r="BQ697" s="62"/>
      <c r="BR697" s="63"/>
    </row>
    <row r="698" spans="1:70">
      <c r="B698" s="1284"/>
      <c r="D698" s="5" t="s">
        <v>165</v>
      </c>
      <c r="E698" s="87">
        <v>4.056914862235601</v>
      </c>
      <c r="F698" s="87">
        <v>3.9560210792246959</v>
      </c>
      <c r="G698" s="87">
        <v>3.8105737008306479</v>
      </c>
      <c r="H698" s="87">
        <v>3.6709906084699728</v>
      </c>
      <c r="I698" s="87">
        <v>3.543765955354826</v>
      </c>
      <c r="J698" s="87">
        <v>3.5324457054736529</v>
      </c>
      <c r="K698" s="87">
        <v>3.585379489872869</v>
      </c>
      <c r="L698" s="87">
        <v>3.6386023993435956</v>
      </c>
      <c r="N698" s="29">
        <v>4.056914862235601</v>
      </c>
      <c r="O698" s="29">
        <v>3.9560210792246959</v>
      </c>
      <c r="P698" s="29">
        <v>3.8105737008306479</v>
      </c>
      <c r="Q698" s="29">
        <v>3.6709906084699728</v>
      </c>
      <c r="R698" s="29">
        <v>3.543765955354826</v>
      </c>
      <c r="S698" s="29">
        <v>3.5324457054736529</v>
      </c>
      <c r="T698" s="29">
        <v>3.585379489872869</v>
      </c>
      <c r="U698" s="29">
        <v>3.6386023993435956</v>
      </c>
      <c r="W698" s="30">
        <v>7.1135055987480396</v>
      </c>
      <c r="X698" s="30">
        <v>7.296581828885401</v>
      </c>
      <c r="Y698" s="30">
        <v>7.8822890276019599</v>
      </c>
      <c r="Z698" s="30">
        <v>5.4300095726206115</v>
      </c>
      <c r="AA698" s="30">
        <v>8.0615318501799464</v>
      </c>
      <c r="AB698" s="30">
        <v>6.8849579388578599</v>
      </c>
      <c r="AC698" s="30">
        <v>7.2912999999999988</v>
      </c>
      <c r="AD698" s="90">
        <v>0</v>
      </c>
      <c r="AF698" s="29">
        <f t="shared" si="1327"/>
        <v>4.056914862235601</v>
      </c>
      <c r="AG698" s="30">
        <f t="shared" si="1328"/>
        <v>7.1135055987480396</v>
      </c>
      <c r="AH698" s="32">
        <f t="shared" si="1329"/>
        <v>3.0565907365124385</v>
      </c>
      <c r="AI698" s="33">
        <f t="shared" si="1330"/>
        <v>0.75342738024038181</v>
      </c>
      <c r="AK698" s="29">
        <f t="shared" si="1319"/>
        <v>3.9560210792246959</v>
      </c>
      <c r="AL698" s="30">
        <f t="shared" si="1320"/>
        <v>7.296581828885401</v>
      </c>
      <c r="AM698" s="32">
        <f t="shared" si="1331"/>
        <v>3.340560749660705</v>
      </c>
      <c r="AN698" s="33">
        <f t="shared" si="1332"/>
        <v>0.84442440592743018</v>
      </c>
      <c r="AP698" s="29">
        <f t="shared" si="1333"/>
        <v>3.8105737008306479</v>
      </c>
      <c r="AQ698" s="30">
        <f t="shared" si="1334"/>
        <v>7.8822890276019599</v>
      </c>
      <c r="AR698" s="32">
        <f t="shared" si="1335"/>
        <v>4.0717153267713115</v>
      </c>
      <c r="AS698" s="33">
        <f t="shared" si="1336"/>
        <v>1.0685307899657572</v>
      </c>
      <c r="AU698" s="31">
        <f t="shared" si="1337"/>
        <v>3.6709906084699728</v>
      </c>
      <c r="AV698" s="25">
        <f t="shared" si="1338"/>
        <v>5.4300095726206115</v>
      </c>
      <c r="AW698" s="32">
        <f t="shared" si="1339"/>
        <v>1.7590189641506386</v>
      </c>
      <c r="AX698" s="33">
        <f t="shared" si="1340"/>
        <v>0.47916738334663778</v>
      </c>
      <c r="AZ698" s="31">
        <f t="shared" si="1321"/>
        <v>3.543765955354826</v>
      </c>
      <c r="BA698" s="25">
        <f t="shared" si="1322"/>
        <v>8.0615318501799464</v>
      </c>
      <c r="BB698" s="32">
        <f t="shared" si="1341"/>
        <v>4.5177658948251205</v>
      </c>
      <c r="BC698" s="33">
        <f t="shared" si="1342"/>
        <v>1.2748488336252926</v>
      </c>
      <c r="BE698" s="31">
        <f t="shared" si="1343"/>
        <v>3.5324457054736529</v>
      </c>
      <c r="BF698" s="25">
        <f t="shared" si="1344"/>
        <v>6.8849579388578599</v>
      </c>
      <c r="BG698" s="32">
        <f t="shared" si="1345"/>
        <v>3.352512233384207</v>
      </c>
      <c r="BH698" s="33">
        <f t="shared" si="1346"/>
        <v>0.949062636175658</v>
      </c>
      <c r="BJ698" s="31">
        <f t="shared" si="1323"/>
        <v>3.585379489872869</v>
      </c>
      <c r="BK698" s="25">
        <f t="shared" si="1324"/>
        <v>7.2912999999999988</v>
      </c>
      <c r="BL698" s="32">
        <f t="shared" si="1325"/>
        <v>3.7059205101271298</v>
      </c>
      <c r="BM698" s="33">
        <f t="shared" si="1326"/>
        <v>1.0336201566932417</v>
      </c>
      <c r="BO698" s="62"/>
      <c r="BP698" s="62"/>
      <c r="BQ698" s="62"/>
      <c r="BR698" s="63"/>
    </row>
    <row r="699" spans="1:70">
      <c r="B699" s="1284"/>
      <c r="D699" s="5" t="s">
        <v>166</v>
      </c>
      <c r="E699" s="87">
        <v>2.7058625509528742</v>
      </c>
      <c r="F699" s="87">
        <v>2.6410182887625537</v>
      </c>
      <c r="G699" s="87">
        <v>2.5316907566414444</v>
      </c>
      <c r="H699" s="87">
        <v>2.41271399091494</v>
      </c>
      <c r="I699" s="87">
        <v>2.2978720994076589</v>
      </c>
      <c r="J699" s="87">
        <v>2.282719957900452</v>
      </c>
      <c r="K699" s="87">
        <v>2.3175096361532979</v>
      </c>
      <c r="L699" s="87">
        <v>2.3515377539735258</v>
      </c>
      <c r="N699" s="29">
        <v>2.7058625509528742</v>
      </c>
      <c r="O699" s="29">
        <v>2.6410182887625537</v>
      </c>
      <c r="P699" s="29">
        <v>2.5316907566414444</v>
      </c>
      <c r="Q699" s="29">
        <v>2.41271399091494</v>
      </c>
      <c r="R699" s="29">
        <v>2.2978720994076589</v>
      </c>
      <c r="S699" s="29">
        <v>2.282719957900452</v>
      </c>
      <c r="T699" s="29">
        <v>2.3175096361532979</v>
      </c>
      <c r="U699" s="29">
        <v>2.3515377539735258</v>
      </c>
      <c r="W699" s="30">
        <v>3.2862932626150112</v>
      </c>
      <c r="X699" s="30">
        <v>3.7116986097693516</v>
      </c>
      <c r="Y699" s="30">
        <v>3.8064529006067485</v>
      </c>
      <c r="Z699" s="30">
        <v>3.1894716421703588</v>
      </c>
      <c r="AA699" s="30">
        <v>3.3926951438539517</v>
      </c>
      <c r="AB699" s="30">
        <v>3.6048450845948055</v>
      </c>
      <c r="AC699" s="30">
        <v>3.9914999999999994</v>
      </c>
      <c r="AD699" s="90">
        <v>0</v>
      </c>
      <c r="AF699" s="29">
        <f t="shared" si="1327"/>
        <v>2.7058625509528742</v>
      </c>
      <c r="AG699" s="30">
        <f t="shared" si="1328"/>
        <v>3.2862932626150112</v>
      </c>
      <c r="AH699" s="32">
        <f t="shared" si="1329"/>
        <v>0.580430711662137</v>
      </c>
      <c r="AI699" s="33">
        <f t="shared" si="1330"/>
        <v>0.21450857193678863</v>
      </c>
      <c r="AK699" s="29">
        <f t="shared" si="1319"/>
        <v>2.6410182887625537</v>
      </c>
      <c r="AL699" s="30">
        <f t="shared" si="1320"/>
        <v>3.7116986097693516</v>
      </c>
      <c r="AM699" s="32">
        <f t="shared" si="1331"/>
        <v>1.0706803210067979</v>
      </c>
      <c r="AN699" s="33">
        <f t="shared" si="1332"/>
        <v>0.40540435693403093</v>
      </c>
      <c r="AP699" s="29">
        <f t="shared" si="1333"/>
        <v>2.5316907566414444</v>
      </c>
      <c r="AQ699" s="30">
        <f t="shared" si="1334"/>
        <v>3.8064529006067485</v>
      </c>
      <c r="AR699" s="32">
        <f t="shared" si="1335"/>
        <v>1.2747621439653041</v>
      </c>
      <c r="AS699" s="33">
        <f t="shared" si="1336"/>
        <v>0.50352205956481466</v>
      </c>
      <c r="AU699" s="31">
        <f t="shared" si="1337"/>
        <v>2.41271399091494</v>
      </c>
      <c r="AV699" s="25">
        <f t="shared" si="1338"/>
        <v>3.1894716421703588</v>
      </c>
      <c r="AW699" s="32">
        <f t="shared" si="1339"/>
        <v>0.77675765125541885</v>
      </c>
      <c r="AX699" s="33">
        <f t="shared" si="1340"/>
        <v>0.32194352674220611</v>
      </c>
      <c r="AZ699" s="31">
        <f t="shared" si="1321"/>
        <v>2.2978720994076589</v>
      </c>
      <c r="BA699" s="25">
        <f t="shared" si="1322"/>
        <v>3.3926951438539517</v>
      </c>
      <c r="BB699" s="32">
        <f t="shared" si="1341"/>
        <v>1.0948230444462927</v>
      </c>
      <c r="BC699" s="33">
        <f t="shared" si="1342"/>
        <v>0.47645081931605948</v>
      </c>
      <c r="BE699" s="31">
        <f t="shared" si="1343"/>
        <v>2.282719957900452</v>
      </c>
      <c r="BF699" s="25">
        <f t="shared" si="1344"/>
        <v>3.6048450845948055</v>
      </c>
      <c r="BG699" s="32">
        <f t="shared" si="1345"/>
        <v>1.3221251266943534</v>
      </c>
      <c r="BH699" s="33">
        <f t="shared" si="1346"/>
        <v>0.5791884905191732</v>
      </c>
      <c r="BJ699" s="31">
        <f t="shared" si="1323"/>
        <v>2.3175096361532979</v>
      </c>
      <c r="BK699" s="25">
        <f t="shared" si="1324"/>
        <v>3.9914999999999994</v>
      </c>
      <c r="BL699" s="32">
        <f t="shared" si="1325"/>
        <v>1.6739903638467015</v>
      </c>
      <c r="BM699" s="33">
        <f t="shared" si="1326"/>
        <v>0.72232293567730865</v>
      </c>
      <c r="BO699" s="62"/>
      <c r="BP699" s="62"/>
      <c r="BQ699" s="62"/>
      <c r="BR699" s="63"/>
    </row>
    <row r="700" spans="1:70">
      <c r="B700" s="1284"/>
      <c r="D700" s="5" t="s">
        <v>167</v>
      </c>
      <c r="E700" s="87">
        <v>3.7642198377394358</v>
      </c>
      <c r="F700" s="87">
        <v>3.6772269269143845</v>
      </c>
      <c r="G700" s="87">
        <v>3.5507618507321554</v>
      </c>
      <c r="H700" s="87">
        <v>3.4262238216461212</v>
      </c>
      <c r="I700" s="87">
        <v>3.3120231813495238</v>
      </c>
      <c r="J700" s="87">
        <v>3.2952029821083504</v>
      </c>
      <c r="K700" s="87">
        <v>3.3361131745615786</v>
      </c>
      <c r="L700" s="87">
        <v>3.373065320844896</v>
      </c>
      <c r="N700" s="29">
        <v>3.7642198377394358</v>
      </c>
      <c r="O700" s="29">
        <v>3.6772269269143845</v>
      </c>
      <c r="P700" s="29">
        <v>3.5507618507321554</v>
      </c>
      <c r="Q700" s="29">
        <v>3.4262238216461212</v>
      </c>
      <c r="R700" s="29">
        <v>3.3120231813495238</v>
      </c>
      <c r="S700" s="29">
        <v>3.2952029821083504</v>
      </c>
      <c r="T700" s="29">
        <v>3.3361131745615786</v>
      </c>
      <c r="U700" s="29">
        <v>3.373065320844896</v>
      </c>
      <c r="W700" s="30">
        <v>5.5291284454945986</v>
      </c>
      <c r="X700" s="30">
        <v>5.5740061058447052</v>
      </c>
      <c r="Y700" s="30">
        <v>5.7860800558732368</v>
      </c>
      <c r="Z700" s="30">
        <v>5.395962182501024</v>
      </c>
      <c r="AA700" s="30">
        <v>6.1184136153756183</v>
      </c>
      <c r="AB700" s="30">
        <v>5.5680471024962017</v>
      </c>
      <c r="AC700" s="30">
        <v>5.8787999999999991</v>
      </c>
      <c r="AD700" s="90">
        <v>0</v>
      </c>
      <c r="AF700" s="29">
        <f t="shared" si="1327"/>
        <v>3.7642198377394358</v>
      </c>
      <c r="AG700" s="30">
        <f t="shared" si="1328"/>
        <v>5.5291284454945986</v>
      </c>
      <c r="AH700" s="32">
        <f t="shared" si="1329"/>
        <v>1.7649086077551628</v>
      </c>
      <c r="AI700" s="33">
        <f t="shared" si="1330"/>
        <v>0.46886438195253249</v>
      </c>
      <c r="AK700" s="29">
        <f t="shared" si="1319"/>
        <v>3.6772269269143845</v>
      </c>
      <c r="AL700" s="30">
        <f t="shared" si="1320"/>
        <v>5.5740061058447052</v>
      </c>
      <c r="AM700" s="32">
        <f t="shared" si="1331"/>
        <v>1.8967791789303208</v>
      </c>
      <c r="AN700" s="33">
        <f t="shared" si="1332"/>
        <v>0.51581782050147673</v>
      </c>
      <c r="AP700" s="29">
        <f t="shared" si="1333"/>
        <v>3.5507618507321554</v>
      </c>
      <c r="AQ700" s="30">
        <f t="shared" si="1334"/>
        <v>5.7860800558732368</v>
      </c>
      <c r="AR700" s="32">
        <f t="shared" si="1335"/>
        <v>2.2353182051410814</v>
      </c>
      <c r="AS700" s="33">
        <f t="shared" si="1336"/>
        <v>0.62953199879630506</v>
      </c>
      <c r="AU700" s="31">
        <f t="shared" si="1337"/>
        <v>3.4262238216461212</v>
      </c>
      <c r="AV700" s="25">
        <f t="shared" si="1338"/>
        <v>5.395962182501024</v>
      </c>
      <c r="AW700" s="32">
        <f t="shared" si="1339"/>
        <v>1.9697383608549028</v>
      </c>
      <c r="AX700" s="33">
        <f t="shared" si="1340"/>
        <v>0.57490066714571686</v>
      </c>
      <c r="AZ700" s="31">
        <f t="shared" si="1321"/>
        <v>3.3120231813495238</v>
      </c>
      <c r="BA700" s="25">
        <f t="shared" si="1322"/>
        <v>6.1184136153756183</v>
      </c>
      <c r="BB700" s="32">
        <f t="shared" si="1341"/>
        <v>2.8063904340260946</v>
      </c>
      <c r="BC700" s="33">
        <f t="shared" si="1342"/>
        <v>0.84733417623079466</v>
      </c>
      <c r="BE700" s="31">
        <f t="shared" si="1343"/>
        <v>3.2952029821083504</v>
      </c>
      <c r="BF700" s="25">
        <f t="shared" si="1344"/>
        <v>5.5680471024962017</v>
      </c>
      <c r="BG700" s="32">
        <f t="shared" si="1345"/>
        <v>2.2728441203878513</v>
      </c>
      <c r="BH700" s="33">
        <f t="shared" si="1346"/>
        <v>0.68974328219793934</v>
      </c>
      <c r="BJ700" s="31">
        <f t="shared" si="1323"/>
        <v>3.3361131745615786</v>
      </c>
      <c r="BK700" s="25">
        <f t="shared" si="1324"/>
        <v>5.8787999999999991</v>
      </c>
      <c r="BL700" s="32">
        <f t="shared" si="1325"/>
        <v>2.5426868254384205</v>
      </c>
      <c r="BM700" s="33">
        <f t="shared" si="1326"/>
        <v>0.76217043379308391</v>
      </c>
      <c r="BO700" s="62"/>
      <c r="BP700" s="62"/>
      <c r="BQ700" s="62"/>
      <c r="BR700" s="63"/>
    </row>
    <row r="701" spans="1:70">
      <c r="B701" s="1284"/>
      <c r="D701" s="5" t="s">
        <v>168</v>
      </c>
      <c r="E701" s="87">
        <v>7.5313409979971029</v>
      </c>
      <c r="F701" s="87">
        <v>7.1169819765914557</v>
      </c>
      <c r="G701" s="87">
        <v>6.9295929096360434</v>
      </c>
      <c r="H701" s="87">
        <v>6.7422420296837418</v>
      </c>
      <c r="I701" s="87">
        <v>6.6029719057663545</v>
      </c>
      <c r="J701" s="87">
        <v>6.5948980925835929</v>
      </c>
      <c r="K701" s="87">
        <v>6.8214459532709153</v>
      </c>
      <c r="L701" s="87">
        <v>6.8217352549330137</v>
      </c>
      <c r="N701" s="29">
        <v>6.6531512016463825</v>
      </c>
      <c r="O701" s="29">
        <v>6.4054637125231668</v>
      </c>
      <c r="P701" s="29">
        <v>6.2067293372789036</v>
      </c>
      <c r="Q701" s="29">
        <v>6.034049798143954</v>
      </c>
      <c r="R701" s="29">
        <v>5.8911666451591449</v>
      </c>
      <c r="S701" s="29">
        <v>5.8109531070207892</v>
      </c>
      <c r="T701" s="29">
        <v>5.8355912094633391</v>
      </c>
      <c r="U701" s="29">
        <v>5.8169715584310069</v>
      </c>
      <c r="W701" s="30">
        <v>8.4052403135600713</v>
      </c>
      <c r="X701" s="30">
        <v>9.9947670016166974</v>
      </c>
      <c r="Y701" s="30">
        <v>9.8488523957232506</v>
      </c>
      <c r="Z701" s="30">
        <v>7.7970092819251349</v>
      </c>
      <c r="AA701" s="30">
        <v>9.0473885829533298</v>
      </c>
      <c r="AB701" s="30">
        <v>9.7203885072922063</v>
      </c>
      <c r="AC701" s="30">
        <v>8.5188362881821611</v>
      </c>
      <c r="AD701" s="90">
        <v>0</v>
      </c>
      <c r="AF701" s="29">
        <f t="shared" si="1327"/>
        <v>6.6531512016463825</v>
      </c>
      <c r="AG701" s="30">
        <f t="shared" si="1328"/>
        <v>8.4052403135600713</v>
      </c>
      <c r="AH701" s="32">
        <f t="shared" si="1329"/>
        <v>1.7520891119136888</v>
      </c>
      <c r="AI701" s="33">
        <f t="shared" si="1330"/>
        <v>0.26334725588081004</v>
      </c>
      <c r="AK701" s="29">
        <f t="shared" si="1319"/>
        <v>6.4054637125231668</v>
      </c>
      <c r="AL701" s="30">
        <f t="shared" si="1320"/>
        <v>9.9947670016166974</v>
      </c>
      <c r="AM701" s="32">
        <f t="shared" si="1331"/>
        <v>3.5893032890935306</v>
      </c>
      <c r="AN701" s="33">
        <f t="shared" si="1332"/>
        <v>0.56035026505203223</v>
      </c>
      <c r="AP701" s="29">
        <f t="shared" si="1333"/>
        <v>6.2067293372789036</v>
      </c>
      <c r="AQ701" s="30">
        <f t="shared" si="1334"/>
        <v>9.8488523957232506</v>
      </c>
      <c r="AR701" s="32">
        <f t="shared" si="1335"/>
        <v>3.6421230584443469</v>
      </c>
      <c r="AS701" s="33">
        <f t="shared" si="1336"/>
        <v>0.58680230126501576</v>
      </c>
      <c r="AU701" s="31">
        <f t="shared" si="1337"/>
        <v>6.034049798143954</v>
      </c>
      <c r="AV701" s="25">
        <f t="shared" si="1338"/>
        <v>7.7970092819251349</v>
      </c>
      <c r="AW701" s="32">
        <f t="shared" si="1339"/>
        <v>1.7629594837811808</v>
      </c>
      <c r="AX701" s="33">
        <f t="shared" si="1340"/>
        <v>0.29216853402891357</v>
      </c>
      <c r="AZ701" s="31">
        <f t="shared" si="1321"/>
        <v>5.8911666451591449</v>
      </c>
      <c r="BA701" s="25">
        <f t="shared" si="1322"/>
        <v>9.0473885829533298</v>
      </c>
      <c r="BB701" s="32">
        <f t="shared" si="1341"/>
        <v>3.1562219377941849</v>
      </c>
      <c r="BC701" s="33">
        <f t="shared" si="1342"/>
        <v>0.53575499182113562</v>
      </c>
      <c r="BE701" s="31">
        <f t="shared" si="1343"/>
        <v>5.8109531070207892</v>
      </c>
      <c r="BF701" s="25">
        <f t="shared" si="1344"/>
        <v>9.7203885072922063</v>
      </c>
      <c r="BG701" s="32">
        <f t="shared" si="1345"/>
        <v>3.9094354002714171</v>
      </c>
      <c r="BH701" s="33">
        <f t="shared" si="1346"/>
        <v>0.67277008233779068</v>
      </c>
      <c r="BJ701" s="31">
        <f t="shared" si="1323"/>
        <v>5.8355912094633391</v>
      </c>
      <c r="BK701" s="25">
        <f t="shared" si="1324"/>
        <v>8.5188362881821611</v>
      </c>
      <c r="BL701" s="32">
        <f t="shared" si="1325"/>
        <v>2.683245078718822</v>
      </c>
      <c r="BM701" s="33">
        <f t="shared" si="1326"/>
        <v>0.45980689572078204</v>
      </c>
      <c r="BO701" s="62"/>
      <c r="BP701" s="62"/>
      <c r="BQ701" s="62"/>
      <c r="BR701" s="63"/>
    </row>
    <row r="702" spans="1:70">
      <c r="B702" s="1284"/>
      <c r="D702" s="5" t="s">
        <v>169</v>
      </c>
      <c r="E702" s="87">
        <v>6.8890419858001524</v>
      </c>
      <c r="F702" s="87">
        <v>6.3667722653529051</v>
      </c>
      <c r="G702" s="87">
        <v>6.2394395656780279</v>
      </c>
      <c r="H702" s="87">
        <v>6.1130266941432554</v>
      </c>
      <c r="I702" s="87">
        <v>6.0183065199688803</v>
      </c>
      <c r="J702" s="87">
        <v>6.0118774779506481</v>
      </c>
      <c r="K702" s="87">
        <v>6.4984402198087592</v>
      </c>
      <c r="L702" s="87">
        <v>6.4860072654331473</v>
      </c>
      <c r="N702" s="29">
        <v>6.3852196248181565</v>
      </c>
      <c r="O702" s="29">
        <v>6.1379081886374562</v>
      </c>
      <c r="P702" s="29">
        <v>5.964597374574458</v>
      </c>
      <c r="Q702" s="29">
        <v>5.8277022200698108</v>
      </c>
      <c r="R702" s="29">
        <v>5.7030624489811075</v>
      </c>
      <c r="S702" s="29">
        <v>5.6198421419914686</v>
      </c>
      <c r="T702" s="29">
        <v>5.7348807439184331</v>
      </c>
      <c r="U702" s="29">
        <v>5.6883963642541877</v>
      </c>
      <c r="W702" s="30">
        <v>12.298484838462045</v>
      </c>
      <c r="X702" s="30">
        <v>12.379764425229981</v>
      </c>
      <c r="Y702" s="30">
        <v>11.703671101050848</v>
      </c>
      <c r="Z702" s="30">
        <v>10.130906729364362</v>
      </c>
      <c r="AA702" s="30">
        <v>10.248879869521407</v>
      </c>
      <c r="AB702" s="30">
        <v>11.088965819716057</v>
      </c>
      <c r="AC702" s="30">
        <v>10.184077869938456</v>
      </c>
      <c r="AD702" s="90">
        <v>0</v>
      </c>
      <c r="AF702" s="29">
        <f t="shared" si="1327"/>
        <v>6.3852196248181565</v>
      </c>
      <c r="AG702" s="30">
        <f t="shared" si="1328"/>
        <v>12.298484838462045</v>
      </c>
      <c r="AH702" s="32">
        <f t="shared" si="1329"/>
        <v>5.9132652136438884</v>
      </c>
      <c r="AI702" s="33">
        <f t="shared" si="1330"/>
        <v>0.926086424758223</v>
      </c>
      <c r="AK702" s="29">
        <f t="shared" si="1319"/>
        <v>6.1379081886374562</v>
      </c>
      <c r="AL702" s="30">
        <f t="shared" si="1320"/>
        <v>12.379764425229981</v>
      </c>
      <c r="AM702" s="32">
        <f t="shared" si="1331"/>
        <v>6.2418562365925245</v>
      </c>
      <c r="AN702" s="33">
        <f t="shared" si="1332"/>
        <v>1.0169354191624269</v>
      </c>
      <c r="AP702" s="29">
        <f t="shared" si="1333"/>
        <v>5.964597374574458</v>
      </c>
      <c r="AQ702" s="30">
        <f t="shared" si="1334"/>
        <v>11.703671101050848</v>
      </c>
      <c r="AR702" s="32">
        <f t="shared" si="1335"/>
        <v>5.7390737264763896</v>
      </c>
      <c r="AS702" s="33">
        <f t="shared" si="1336"/>
        <v>0.96218962757496129</v>
      </c>
      <c r="AU702" s="31">
        <f t="shared" si="1337"/>
        <v>5.8277022200698108</v>
      </c>
      <c r="AV702" s="25">
        <f t="shared" si="1338"/>
        <v>10.130906729364362</v>
      </c>
      <c r="AW702" s="32">
        <f t="shared" si="1339"/>
        <v>4.3032045092945514</v>
      </c>
      <c r="AX702" s="33">
        <f t="shared" si="1340"/>
        <v>0.73840500883434002</v>
      </c>
      <c r="AZ702" s="31">
        <f t="shared" si="1321"/>
        <v>5.7030624489811075</v>
      </c>
      <c r="BA702" s="25">
        <f t="shared" si="1322"/>
        <v>10.248879869521407</v>
      </c>
      <c r="BB702" s="32">
        <f t="shared" si="1341"/>
        <v>4.545817420540299</v>
      </c>
      <c r="BC702" s="33">
        <f t="shared" si="1342"/>
        <v>0.79708357767543669</v>
      </c>
      <c r="BE702" s="31">
        <f t="shared" si="1343"/>
        <v>5.6198421419914686</v>
      </c>
      <c r="BF702" s="25">
        <f t="shared" si="1344"/>
        <v>11.088965819716057</v>
      </c>
      <c r="BG702" s="32">
        <f t="shared" si="1345"/>
        <v>5.4691236777245882</v>
      </c>
      <c r="BH702" s="33">
        <f t="shared" si="1346"/>
        <v>0.97318101461592454</v>
      </c>
      <c r="BJ702" s="31">
        <f t="shared" si="1323"/>
        <v>5.7348807439184331</v>
      </c>
      <c r="BK702" s="25">
        <f t="shared" si="1324"/>
        <v>10.184077869938456</v>
      </c>
      <c r="BL702" s="32">
        <f t="shared" si="1325"/>
        <v>4.4491971260200227</v>
      </c>
      <c r="BM702" s="33">
        <f t="shared" si="1326"/>
        <v>0.77581336468734485</v>
      </c>
      <c r="BO702" s="62"/>
      <c r="BP702" s="62"/>
      <c r="BQ702" s="62"/>
      <c r="BR702" s="63"/>
    </row>
    <row r="703" spans="1:70">
      <c r="B703" s="1284"/>
      <c r="D703" s="5" t="s">
        <v>170</v>
      </c>
      <c r="E703" s="87">
        <v>11.983523626120013</v>
      </c>
      <c r="F703" s="87">
        <v>11.30151212518402</v>
      </c>
      <c r="G703" s="87">
        <v>11.056393571707275</v>
      </c>
      <c r="H703" s="87">
        <v>10.878798406135456</v>
      </c>
      <c r="I703" s="87">
        <v>10.636386009921562</v>
      </c>
      <c r="J703" s="87">
        <v>10.622607067514267</v>
      </c>
      <c r="K703" s="87">
        <v>11.103572507429414</v>
      </c>
      <c r="L703" s="87">
        <v>11.086427257761516</v>
      </c>
      <c r="N703" s="29">
        <v>10.459776086210963</v>
      </c>
      <c r="O703" s="29">
        <v>10.156469451705584</v>
      </c>
      <c r="P703" s="29">
        <v>9.9197116356601427</v>
      </c>
      <c r="Q703" s="29">
        <v>9.744405725367363</v>
      </c>
      <c r="R703" s="29">
        <v>9.4181113509943035</v>
      </c>
      <c r="S703" s="29">
        <v>9.3713283444417179</v>
      </c>
      <c r="T703" s="29">
        <v>9.4688979461258658</v>
      </c>
      <c r="U703" s="29">
        <v>9.4043823095313446</v>
      </c>
      <c r="W703" s="30">
        <v>19.8384172220564</v>
      </c>
      <c r="X703" s="30">
        <v>18.59721286393988</v>
      </c>
      <c r="Y703" s="30">
        <v>17.362056229278377</v>
      </c>
      <c r="Z703" s="30">
        <v>16.657930464324789</v>
      </c>
      <c r="AA703" s="30">
        <v>17.633587654832517</v>
      </c>
      <c r="AB703" s="30">
        <v>19.527984075302868</v>
      </c>
      <c r="AC703" s="30">
        <v>18.18401149425646</v>
      </c>
      <c r="AD703" s="90">
        <v>0</v>
      </c>
      <c r="AF703" s="29">
        <f t="shared" si="1327"/>
        <v>10.459776086210963</v>
      </c>
      <c r="AG703" s="30">
        <f t="shared" si="1328"/>
        <v>19.8384172220564</v>
      </c>
      <c r="AH703" s="32">
        <f t="shared" si="1329"/>
        <v>9.3786411358454362</v>
      </c>
      <c r="AI703" s="33">
        <f t="shared" si="1330"/>
        <v>0.89663880551030362</v>
      </c>
      <c r="AK703" s="29">
        <f t="shared" si="1319"/>
        <v>10.156469451705584</v>
      </c>
      <c r="AL703" s="30">
        <f t="shared" si="1320"/>
        <v>18.59721286393988</v>
      </c>
      <c r="AM703" s="32">
        <f t="shared" si="1331"/>
        <v>8.4407434122342959</v>
      </c>
      <c r="AN703" s="33">
        <f t="shared" si="1332"/>
        <v>0.83107062472548809</v>
      </c>
      <c r="AP703" s="29">
        <f t="shared" si="1333"/>
        <v>9.9197116356601427</v>
      </c>
      <c r="AQ703" s="30">
        <f t="shared" si="1334"/>
        <v>17.362056229278377</v>
      </c>
      <c r="AR703" s="32">
        <f t="shared" si="1335"/>
        <v>7.442344593618234</v>
      </c>
      <c r="AS703" s="33">
        <f t="shared" si="1336"/>
        <v>0.75025815940696516</v>
      </c>
      <c r="AU703" s="31">
        <f t="shared" si="1337"/>
        <v>9.744405725367363</v>
      </c>
      <c r="AV703" s="25">
        <f t="shared" si="1338"/>
        <v>16.657930464324789</v>
      </c>
      <c r="AW703" s="32">
        <f t="shared" si="1339"/>
        <v>6.9135247389574257</v>
      </c>
      <c r="AX703" s="33">
        <f t="shared" si="1340"/>
        <v>0.70948654374680054</v>
      </c>
      <c r="AZ703" s="31">
        <f t="shared" si="1321"/>
        <v>9.4181113509943035</v>
      </c>
      <c r="BA703" s="25">
        <f t="shared" si="1322"/>
        <v>17.633587654832517</v>
      </c>
      <c r="BB703" s="32">
        <f t="shared" si="1341"/>
        <v>8.2154763038382139</v>
      </c>
      <c r="BC703" s="33">
        <f t="shared" si="1342"/>
        <v>0.87230613417740877</v>
      </c>
      <c r="BE703" s="31">
        <f t="shared" si="1343"/>
        <v>9.3713283444417179</v>
      </c>
      <c r="BF703" s="25">
        <f t="shared" si="1344"/>
        <v>19.527984075302868</v>
      </c>
      <c r="BG703" s="32">
        <f t="shared" si="1345"/>
        <v>10.15665573086115</v>
      </c>
      <c r="BH703" s="33">
        <f t="shared" si="1346"/>
        <v>1.0838010746774465</v>
      </c>
      <c r="BJ703" s="31">
        <f t="shared" si="1323"/>
        <v>9.4688979461258658</v>
      </c>
      <c r="BK703" s="25">
        <f t="shared" si="1324"/>
        <v>18.18401149425646</v>
      </c>
      <c r="BL703" s="32">
        <f t="shared" si="1325"/>
        <v>8.7151135481305939</v>
      </c>
      <c r="BM703" s="33">
        <f t="shared" si="1326"/>
        <v>0.92039365063558665</v>
      </c>
      <c r="BO703" s="62"/>
      <c r="BP703" s="62"/>
      <c r="BQ703" s="62"/>
      <c r="BR703" s="63"/>
    </row>
    <row r="704" spans="1:70">
      <c r="B704" s="1284"/>
      <c r="D704" s="5" t="s">
        <v>171</v>
      </c>
      <c r="E704" s="87">
        <v>5.8501310168595078</v>
      </c>
      <c r="F704" s="87">
        <v>5.8170411839658458</v>
      </c>
      <c r="G704" s="87">
        <v>5.7842668294230482</v>
      </c>
      <c r="H704" s="87">
        <v>5.7342234809303356</v>
      </c>
      <c r="I704" s="87">
        <v>5.7189172590052761</v>
      </c>
      <c r="J704" s="87">
        <v>5.6917702246266453</v>
      </c>
      <c r="K704" s="87">
        <v>5.7488399118649163</v>
      </c>
      <c r="L704" s="87">
        <v>5.7407739046198651</v>
      </c>
      <c r="N704" s="29">
        <v>6.8266608544163105</v>
      </c>
      <c r="O704" s="29">
        <v>6.6674074594871264</v>
      </c>
      <c r="P704" s="29">
        <v>6.5144243805809134</v>
      </c>
      <c r="Q704" s="29">
        <v>6.3526988527129307</v>
      </c>
      <c r="R704" s="29">
        <v>6.2116203061516897</v>
      </c>
      <c r="S704" s="29">
        <v>6.0610539143250506</v>
      </c>
      <c r="T704" s="29">
        <v>5.9613148073682636</v>
      </c>
      <c r="U704" s="29">
        <v>5.8282262092084398</v>
      </c>
      <c r="W704" s="30">
        <v>6.1706388416439308</v>
      </c>
      <c r="X704" s="30">
        <v>5.1616663282512114</v>
      </c>
      <c r="Y704" s="30">
        <v>4.9599796177807489</v>
      </c>
      <c r="Z704" s="30">
        <v>6.2286213638040495</v>
      </c>
      <c r="AA704" s="30">
        <v>5.2151892526833574</v>
      </c>
      <c r="AB704" s="30">
        <v>4.5187941149985251</v>
      </c>
      <c r="AC704" s="30">
        <v>4.4707291356589263</v>
      </c>
      <c r="AD704" s="90">
        <v>0</v>
      </c>
      <c r="AF704" s="29">
        <f t="shared" si="1327"/>
        <v>6.8266608544163105</v>
      </c>
      <c r="AG704" s="30">
        <f t="shared" si="1328"/>
        <v>6.1706388416439308</v>
      </c>
      <c r="AH704" s="32">
        <f t="shared" si="1329"/>
        <v>-0.6560220127723797</v>
      </c>
      <c r="AI704" s="33">
        <f t="shared" si="1330"/>
        <v>-9.6097056344608842E-2</v>
      </c>
      <c r="AK704" s="29">
        <f t="shared" si="1319"/>
        <v>6.6674074594871264</v>
      </c>
      <c r="AL704" s="30">
        <f t="shared" si="1320"/>
        <v>5.1616663282512114</v>
      </c>
      <c r="AM704" s="32">
        <f t="shared" si="1331"/>
        <v>-1.505741131235915</v>
      </c>
      <c r="AN704" s="33">
        <f t="shared" si="1332"/>
        <v>-0.22583607502394046</v>
      </c>
      <c r="AP704" s="29">
        <f t="shared" si="1333"/>
        <v>6.5144243805809134</v>
      </c>
      <c r="AQ704" s="30">
        <f t="shared" si="1334"/>
        <v>4.9599796177807489</v>
      </c>
      <c r="AR704" s="32">
        <f t="shared" si="1335"/>
        <v>-1.5544447628001645</v>
      </c>
      <c r="AS704" s="33">
        <f t="shared" si="1336"/>
        <v>-0.23861582727613909</v>
      </c>
      <c r="AU704" s="31">
        <f t="shared" si="1337"/>
        <v>6.3526988527129307</v>
      </c>
      <c r="AV704" s="25">
        <f t="shared" si="1338"/>
        <v>6.2286213638040495</v>
      </c>
      <c r="AW704" s="32">
        <f t="shared" si="1339"/>
        <v>-0.12407748890888115</v>
      </c>
      <c r="AX704" s="33">
        <f t="shared" si="1340"/>
        <v>-1.9531460846108524E-2</v>
      </c>
      <c r="AZ704" s="31">
        <f t="shared" si="1321"/>
        <v>6.2116203061516897</v>
      </c>
      <c r="BA704" s="25">
        <f t="shared" si="1322"/>
        <v>5.2151892526833574</v>
      </c>
      <c r="BB704" s="32">
        <f t="shared" si="1341"/>
        <v>-0.99643105346833227</v>
      </c>
      <c r="BC704" s="33">
        <f t="shared" si="1342"/>
        <v>-0.16041403117983805</v>
      </c>
      <c r="BE704" s="31">
        <f t="shared" si="1343"/>
        <v>6.0610539143250506</v>
      </c>
      <c r="BF704" s="25">
        <f t="shared" si="1344"/>
        <v>4.5187941149985251</v>
      </c>
      <c r="BG704" s="32">
        <f t="shared" si="1345"/>
        <v>-1.5422597993265255</v>
      </c>
      <c r="BH704" s="33">
        <f t="shared" si="1346"/>
        <v>-0.25445406378607821</v>
      </c>
      <c r="BJ704" s="31">
        <f t="shared" si="1323"/>
        <v>5.9613148073682636</v>
      </c>
      <c r="BK704" s="25">
        <f t="shared" si="1324"/>
        <v>4.4707291356589263</v>
      </c>
      <c r="BL704" s="32">
        <f t="shared" si="1325"/>
        <v>-1.4905856717093373</v>
      </c>
      <c r="BM704" s="33">
        <f t="shared" si="1326"/>
        <v>-0.25004310624007875</v>
      </c>
      <c r="BO704" s="62"/>
      <c r="BP704" s="62"/>
      <c r="BQ704" s="62"/>
      <c r="BR704" s="63"/>
    </row>
    <row r="705" spans="1:70">
      <c r="B705" s="1284"/>
      <c r="D705" s="5" t="s">
        <v>172</v>
      </c>
      <c r="E705" s="87">
        <v>6.4184567831267225</v>
      </c>
      <c r="F705" s="87">
        <v>6.3372085759726762</v>
      </c>
      <c r="G705" s="87">
        <v>6.239039857221095</v>
      </c>
      <c r="H705" s="87">
        <v>6.1481293908069574</v>
      </c>
      <c r="I705" s="87">
        <v>6.115835933854413</v>
      </c>
      <c r="J705" s="87">
        <v>6.0668695107681865</v>
      </c>
      <c r="K705" s="87">
        <v>6.1181486917833103</v>
      </c>
      <c r="L705" s="87">
        <v>6.0974455433281234</v>
      </c>
      <c r="N705" s="29">
        <v>6.4956919602076457</v>
      </c>
      <c r="O705" s="29">
        <v>6.3446560187710075</v>
      </c>
      <c r="P705" s="29">
        <v>6.1769534006746092</v>
      </c>
      <c r="Q705" s="29">
        <v>5.9579278092903039</v>
      </c>
      <c r="R705" s="29">
        <v>5.8117414776844836</v>
      </c>
      <c r="S705" s="29">
        <v>5.7000587992274125</v>
      </c>
      <c r="T705" s="29">
        <v>5.5559310722606954</v>
      </c>
      <c r="U705" s="29">
        <v>5.3933118954262786</v>
      </c>
      <c r="W705" s="30">
        <v>5.0318505352726586</v>
      </c>
      <c r="X705" s="30">
        <v>4.8907250368708119</v>
      </c>
      <c r="Y705" s="30">
        <v>4.4618092391996038</v>
      </c>
      <c r="Z705" s="30">
        <v>6.0745460304829004</v>
      </c>
      <c r="AA705" s="30">
        <v>5.1594082281598928</v>
      </c>
      <c r="AB705" s="30">
        <v>5.1878144036073754</v>
      </c>
      <c r="AC705" s="30">
        <v>5.5843523975850626</v>
      </c>
      <c r="AD705" s="90">
        <v>0</v>
      </c>
      <c r="AF705" s="29">
        <f t="shared" si="1327"/>
        <v>6.4956919602076457</v>
      </c>
      <c r="AG705" s="30">
        <f t="shared" si="1328"/>
        <v>5.0318505352726586</v>
      </c>
      <c r="AH705" s="32">
        <f t="shared" si="1329"/>
        <v>-1.4638414249349871</v>
      </c>
      <c r="AI705" s="33">
        <f t="shared" si="1330"/>
        <v>-0.22535573329253022</v>
      </c>
      <c r="AK705" s="29">
        <f t="shared" si="1319"/>
        <v>6.3446560187710075</v>
      </c>
      <c r="AL705" s="30">
        <f t="shared" si="1320"/>
        <v>4.8907250368708119</v>
      </c>
      <c r="AM705" s="32">
        <f t="shared" si="1331"/>
        <v>-1.4539309819001955</v>
      </c>
      <c r="AN705" s="33">
        <f t="shared" si="1332"/>
        <v>-0.22915836218680133</v>
      </c>
      <c r="AP705" s="29">
        <f t="shared" si="1333"/>
        <v>6.1769534006746092</v>
      </c>
      <c r="AQ705" s="30">
        <f t="shared" si="1334"/>
        <v>4.4618092391996038</v>
      </c>
      <c r="AR705" s="32">
        <f t="shared" si="1335"/>
        <v>-1.7151441614750054</v>
      </c>
      <c r="AS705" s="33">
        <f t="shared" si="1336"/>
        <v>-0.27766830186669172</v>
      </c>
      <c r="AU705" s="31">
        <f t="shared" si="1337"/>
        <v>5.9579278092903039</v>
      </c>
      <c r="AV705" s="25">
        <f t="shared" si="1338"/>
        <v>6.0745460304829004</v>
      </c>
      <c r="AW705" s="32">
        <f t="shared" si="1339"/>
        <v>0.11661822119259657</v>
      </c>
      <c r="AX705" s="33">
        <f t="shared" si="1340"/>
        <v>1.9573621051727361E-2</v>
      </c>
      <c r="AZ705" s="31">
        <f t="shared" si="1321"/>
        <v>5.8117414776844836</v>
      </c>
      <c r="BA705" s="25">
        <f t="shared" si="1322"/>
        <v>5.1594082281598928</v>
      </c>
      <c r="BB705" s="32">
        <f t="shared" si="1341"/>
        <v>-0.65233324952459082</v>
      </c>
      <c r="BC705" s="33">
        <f t="shared" si="1342"/>
        <v>-0.11224402393488668</v>
      </c>
      <c r="BE705" s="31">
        <f t="shared" si="1343"/>
        <v>5.7000587992274125</v>
      </c>
      <c r="BF705" s="25">
        <f t="shared" si="1344"/>
        <v>5.1878144036073754</v>
      </c>
      <c r="BG705" s="32">
        <f t="shared" si="1345"/>
        <v>-0.5122443956200371</v>
      </c>
      <c r="BH705" s="33">
        <f t="shared" si="1346"/>
        <v>-8.9866510796251228E-2</v>
      </c>
      <c r="BJ705" s="31">
        <f t="shared" si="1323"/>
        <v>5.5559310722606954</v>
      </c>
      <c r="BK705" s="25">
        <f t="shared" si="1324"/>
        <v>5.5843523975850626</v>
      </c>
      <c r="BL705" s="32">
        <f t="shared" si="1325"/>
        <v>2.8421325324367253E-2</v>
      </c>
      <c r="BM705" s="33">
        <f t="shared" si="1326"/>
        <v>5.1154927868467381E-3</v>
      </c>
      <c r="BO705" s="62"/>
      <c r="BP705" s="62"/>
      <c r="BQ705" s="62"/>
      <c r="BR705" s="63"/>
    </row>
    <row r="706" spans="1:70">
      <c r="B706" s="1284"/>
      <c r="D706" s="5" t="s">
        <v>28</v>
      </c>
      <c r="E706" s="87">
        <v>1.612655034294376</v>
      </c>
      <c r="F706" s="87">
        <v>1.6084336632306677</v>
      </c>
      <c r="G706" s="87">
        <v>1.6064875113127388</v>
      </c>
      <c r="H706" s="87">
        <v>1.6008937341814771</v>
      </c>
      <c r="I706" s="87">
        <v>1.6064494082828065</v>
      </c>
      <c r="J706" s="87">
        <v>1.6052286042320238</v>
      </c>
      <c r="K706" s="87">
        <v>1.6074962100781167</v>
      </c>
      <c r="L706" s="87">
        <v>1.6098306295981828</v>
      </c>
      <c r="N706" s="29">
        <v>1.4558118731931844</v>
      </c>
      <c r="O706" s="29">
        <v>1.4338086639360799</v>
      </c>
      <c r="P706" s="29">
        <v>1.4120470980880984</v>
      </c>
      <c r="Q706" s="29">
        <v>1.3258233695633046</v>
      </c>
      <c r="R706" s="29">
        <v>1.2733021612648285</v>
      </c>
      <c r="S706" s="29">
        <v>1.298131373502345</v>
      </c>
      <c r="T706" s="29">
        <v>1.2848479995225945</v>
      </c>
      <c r="U706" s="29">
        <v>1.2315959405177035</v>
      </c>
      <c r="W706" s="30">
        <v>1.2713397293328144</v>
      </c>
      <c r="X706" s="30">
        <v>1.6821026850510203</v>
      </c>
      <c r="Y706" s="30">
        <v>1.5797723361628442</v>
      </c>
      <c r="Z706" s="30">
        <v>1.5517655576284413</v>
      </c>
      <c r="AA706" s="30">
        <v>0.99475658078647478</v>
      </c>
      <c r="AB706" s="30">
        <v>0.92754767910683411</v>
      </c>
      <c r="AC706" s="30">
        <v>0.98309182000000006</v>
      </c>
      <c r="AD706" s="90">
        <v>0</v>
      </c>
      <c r="AF706" s="29">
        <f t="shared" si="1327"/>
        <v>1.4558118731931844</v>
      </c>
      <c r="AG706" s="30">
        <f t="shared" si="1328"/>
        <v>1.2713397293328144</v>
      </c>
      <c r="AH706" s="32">
        <f t="shared" si="1329"/>
        <v>-0.18447214386037003</v>
      </c>
      <c r="AI706" s="33">
        <f t="shared" si="1330"/>
        <v>-0.12671427349726719</v>
      </c>
      <c r="AK706" s="29">
        <f t="shared" si="1319"/>
        <v>1.4338086639360799</v>
      </c>
      <c r="AL706" s="30">
        <f t="shared" si="1320"/>
        <v>1.6821026850510203</v>
      </c>
      <c r="AM706" s="32">
        <f t="shared" si="1331"/>
        <v>0.24829402111494048</v>
      </c>
      <c r="AN706" s="33">
        <f t="shared" si="1332"/>
        <v>0.17317095883165173</v>
      </c>
      <c r="AP706" s="29">
        <f t="shared" si="1333"/>
        <v>1.4120470980880984</v>
      </c>
      <c r="AQ706" s="30">
        <f t="shared" si="1334"/>
        <v>1.5797723361628442</v>
      </c>
      <c r="AR706" s="32">
        <f t="shared" si="1335"/>
        <v>0.16772523807474582</v>
      </c>
      <c r="AS706" s="33">
        <f t="shared" si="1336"/>
        <v>0.1187816173425409</v>
      </c>
      <c r="AU706" s="31">
        <f t="shared" si="1337"/>
        <v>1.3258233695633046</v>
      </c>
      <c r="AV706" s="25">
        <f t="shared" si="1338"/>
        <v>1.5517655576284413</v>
      </c>
      <c r="AW706" s="32">
        <f t="shared" si="1339"/>
        <v>0.22594218806513666</v>
      </c>
      <c r="AX706" s="33">
        <f t="shared" si="1340"/>
        <v>0.17041650739612227</v>
      </c>
      <c r="AZ706" s="31">
        <f t="shared" si="1321"/>
        <v>1.2733021612648285</v>
      </c>
      <c r="BA706" s="25">
        <f t="shared" si="1322"/>
        <v>0.99475658078647478</v>
      </c>
      <c r="BB706" s="32">
        <f t="shared" si="1341"/>
        <v>-0.27854558047835376</v>
      </c>
      <c r="BC706" s="33">
        <f t="shared" si="1342"/>
        <v>-0.21875842902965142</v>
      </c>
      <c r="BE706" s="31">
        <f t="shared" si="1343"/>
        <v>1.298131373502345</v>
      </c>
      <c r="BF706" s="25">
        <f t="shared" si="1344"/>
        <v>0.92754767910683411</v>
      </c>
      <c r="BG706" s="32">
        <f t="shared" si="1345"/>
        <v>-0.37058369439551087</v>
      </c>
      <c r="BH706" s="33">
        <f t="shared" si="1346"/>
        <v>-0.28547472309807898</v>
      </c>
      <c r="BJ706" s="31">
        <f t="shared" si="1323"/>
        <v>1.2848479995225945</v>
      </c>
      <c r="BK706" s="25">
        <f t="shared" si="1324"/>
        <v>0.98309182000000006</v>
      </c>
      <c r="BL706" s="32">
        <f t="shared" si="1325"/>
        <v>-0.30175617952259448</v>
      </c>
      <c r="BM706" s="33">
        <f t="shared" si="1326"/>
        <v>-0.23485749258645125</v>
      </c>
      <c r="BO706" s="62"/>
      <c r="BP706" s="62"/>
      <c r="BQ706" s="62"/>
      <c r="BR706" s="63"/>
    </row>
    <row r="707" spans="1:70">
      <c r="B707" s="1284"/>
      <c r="D707" s="5" t="s">
        <v>173</v>
      </c>
      <c r="E707" s="87">
        <v>9.1264112478399024</v>
      </c>
      <c r="F707" s="87">
        <v>9.1238326398754062</v>
      </c>
      <c r="G707" s="87">
        <v>9.1172722588964525</v>
      </c>
      <c r="H707" s="87">
        <v>9.0887844701324365</v>
      </c>
      <c r="I707" s="87">
        <v>9.1024478207413217</v>
      </c>
      <c r="J707" s="87">
        <v>9.1165563573951953</v>
      </c>
      <c r="K707" s="87">
        <v>9.131111590852182</v>
      </c>
      <c r="L707" s="87">
        <v>9.1461151260333349</v>
      </c>
      <c r="N707" s="29">
        <v>9.4742713347286411</v>
      </c>
      <c r="O707" s="29">
        <v>9.3649907295435195</v>
      </c>
      <c r="P707" s="29">
        <v>9.2866159496743581</v>
      </c>
      <c r="Q707" s="29">
        <v>9.166627263259123</v>
      </c>
      <c r="R707" s="29">
        <v>9.0871881536935319</v>
      </c>
      <c r="S707" s="29">
        <v>8.9783573877338601</v>
      </c>
      <c r="T707" s="29">
        <v>9.1476777352173055</v>
      </c>
      <c r="U707" s="29">
        <v>8.8125847742479824</v>
      </c>
      <c r="W707" s="30">
        <v>7.8043468101590783</v>
      </c>
      <c r="X707" s="30">
        <v>8.5649378533183658</v>
      </c>
      <c r="Y707" s="30">
        <v>9.2197616704794392</v>
      </c>
      <c r="Z707" s="30">
        <v>9.3476420723120288</v>
      </c>
      <c r="AA707" s="30">
        <v>7.9448892578513686</v>
      </c>
      <c r="AB707" s="30">
        <v>9.4600761056213667</v>
      </c>
      <c r="AC707" s="30">
        <v>10.61988414</v>
      </c>
      <c r="AD707" s="90">
        <v>0</v>
      </c>
      <c r="AF707" s="29">
        <f t="shared" si="1327"/>
        <v>9.4742713347286411</v>
      </c>
      <c r="AG707" s="30">
        <f t="shared" si="1328"/>
        <v>7.8043468101590783</v>
      </c>
      <c r="AH707" s="32">
        <f t="shared" si="1329"/>
        <v>-1.6699245245695629</v>
      </c>
      <c r="AI707" s="33">
        <f t="shared" si="1330"/>
        <v>-0.1762588874194822</v>
      </c>
      <c r="AK707" s="29">
        <f t="shared" si="1319"/>
        <v>9.3649907295435195</v>
      </c>
      <c r="AL707" s="30">
        <f t="shared" si="1320"/>
        <v>8.5649378533183658</v>
      </c>
      <c r="AM707" s="32">
        <f t="shared" si="1331"/>
        <v>-0.80005287622515375</v>
      </c>
      <c r="AN707" s="33">
        <f t="shared" si="1332"/>
        <v>-8.5430183470576807E-2</v>
      </c>
      <c r="AP707" s="29">
        <f t="shared" si="1333"/>
        <v>9.2866159496743581</v>
      </c>
      <c r="AQ707" s="30">
        <f t="shared" si="1334"/>
        <v>9.2197616704794392</v>
      </c>
      <c r="AR707" s="32">
        <f t="shared" si="1335"/>
        <v>-6.6854279194918931E-2</v>
      </c>
      <c r="AS707" s="33">
        <f t="shared" si="1336"/>
        <v>-7.1989925670677942E-3</v>
      </c>
      <c r="AU707" s="31">
        <f t="shared" si="1337"/>
        <v>9.166627263259123</v>
      </c>
      <c r="AV707" s="25">
        <f t="shared" si="1338"/>
        <v>9.3476420723120288</v>
      </c>
      <c r="AW707" s="32">
        <f t="shared" si="1339"/>
        <v>0.18101480905290579</v>
      </c>
      <c r="AX707" s="33">
        <f t="shared" si="1340"/>
        <v>1.9747154962701886E-2</v>
      </c>
      <c r="AZ707" s="31">
        <f t="shared" si="1321"/>
        <v>9.0871881536935319</v>
      </c>
      <c r="BA707" s="25">
        <f t="shared" si="1322"/>
        <v>7.9448892578513686</v>
      </c>
      <c r="BB707" s="32">
        <f t="shared" si="1341"/>
        <v>-1.1422988958421634</v>
      </c>
      <c r="BC707" s="33">
        <f t="shared" si="1342"/>
        <v>-0.1257043297136827</v>
      </c>
      <c r="BE707" s="31">
        <f t="shared" si="1343"/>
        <v>8.9783573877338601</v>
      </c>
      <c r="BF707" s="25">
        <f t="shared" si="1344"/>
        <v>9.4600761056213667</v>
      </c>
      <c r="BG707" s="32">
        <f t="shared" si="1345"/>
        <v>0.48171871788750664</v>
      </c>
      <c r="BH707" s="33">
        <f t="shared" si="1346"/>
        <v>5.36533239972855E-2</v>
      </c>
      <c r="BJ707" s="31">
        <f t="shared" si="1323"/>
        <v>9.1476777352173055</v>
      </c>
      <c r="BK707" s="25">
        <f t="shared" si="1324"/>
        <v>10.61988414</v>
      </c>
      <c r="BL707" s="32">
        <f t="shared" si="1325"/>
        <v>1.4722064047826944</v>
      </c>
      <c r="BM707" s="33">
        <f t="shared" si="1326"/>
        <v>0.16093772074139664</v>
      </c>
      <c r="BO707" s="62"/>
      <c r="BP707" s="62"/>
      <c r="BQ707" s="62"/>
      <c r="BR707" s="63"/>
    </row>
    <row r="708" spans="1:70">
      <c r="A708" s="1"/>
      <c r="B708" s="1284"/>
      <c r="D708" s="4" t="s">
        <v>174</v>
      </c>
      <c r="E708" s="88">
        <f t="shared" ref="E708:L708" si="1347">SUM(E694:E707)</f>
        <v>90.159673687018298</v>
      </c>
      <c r="F708" s="88">
        <f t="shared" si="1347"/>
        <v>88.101934998781559</v>
      </c>
      <c r="G708" s="88">
        <f t="shared" si="1347"/>
        <v>86.428133110002193</v>
      </c>
      <c r="H708" s="88">
        <f t="shared" si="1347"/>
        <v>84.803105789365645</v>
      </c>
      <c r="I708" s="88">
        <f t="shared" si="1347"/>
        <v>83.310740800607874</v>
      </c>
      <c r="J708" s="88">
        <f t="shared" si="1347"/>
        <v>83.600767554165586</v>
      </c>
      <c r="K708" s="88">
        <f t="shared" si="1347"/>
        <v>85.497630235256992</v>
      </c>
      <c r="L708" s="88">
        <f t="shared" si="1347"/>
        <v>85.860039582102189</v>
      </c>
      <c r="M708" s="1"/>
      <c r="N708" s="81">
        <f t="shared" ref="N708:U708" si="1348">SUM(N694:N707)</f>
        <v>86.504871192075925</v>
      </c>
      <c r="O708" s="81">
        <f t="shared" si="1348"/>
        <v>84.720157141313436</v>
      </c>
      <c r="P708" s="81">
        <f t="shared" si="1348"/>
        <v>82.689292838097501</v>
      </c>
      <c r="Q708" s="81">
        <f t="shared" si="1348"/>
        <v>80.709968341653706</v>
      </c>
      <c r="R708" s="81">
        <f t="shared" si="1348"/>
        <v>78.750779730845537</v>
      </c>
      <c r="S708" s="81">
        <f t="shared" si="1348"/>
        <v>78.057531927747533</v>
      </c>
      <c r="T708" s="81">
        <f t="shared" si="1348"/>
        <v>78.311920494043548</v>
      </c>
      <c r="U708" s="81">
        <f t="shared" si="1348"/>
        <v>77.545950066998273</v>
      </c>
      <c r="V708" s="1"/>
      <c r="W708" s="85">
        <f t="shared" ref="W708:AD708" si="1349">SUM(W694:W707)</f>
        <v>116.65309803412948</v>
      </c>
      <c r="X708" s="85">
        <f t="shared" si="1349"/>
        <v>117.90642260445668</v>
      </c>
      <c r="Y708" s="85">
        <f t="shared" si="1349"/>
        <v>115.06836737882621</v>
      </c>
      <c r="Z708" s="85">
        <f>SUM(Z694:Z707)</f>
        <v>110.65081970569803</v>
      </c>
      <c r="AA708" s="85">
        <f>SUM(AA694:AA707)</f>
        <v>112.50022716344837</v>
      </c>
      <c r="AB708" s="85">
        <f t="shared" si="1349"/>
        <v>113.95435804236828</v>
      </c>
      <c r="AC708" s="85">
        <f t="shared" ref="AC708" si="1350">SUM(AC694:AC707)</f>
        <v>113.47709521726658</v>
      </c>
      <c r="AD708" s="91">
        <f t="shared" si="1349"/>
        <v>0</v>
      </c>
      <c r="AE708" s="1"/>
      <c r="AF708" s="81">
        <f t="shared" si="1327"/>
        <v>86.504871192075925</v>
      </c>
      <c r="AG708" s="85">
        <f t="shared" si="1328"/>
        <v>116.65309803412948</v>
      </c>
      <c r="AH708" s="34">
        <f t="shared" si="1329"/>
        <v>30.14822684205356</v>
      </c>
      <c r="AI708" s="35">
        <f t="shared" si="1330"/>
        <v>0.34851478797202368</v>
      </c>
      <c r="AK708" s="81">
        <f t="shared" si="1319"/>
        <v>84.720157141313436</v>
      </c>
      <c r="AL708" s="85">
        <f t="shared" si="1320"/>
        <v>117.90642260445668</v>
      </c>
      <c r="AM708" s="34">
        <f t="shared" si="1331"/>
        <v>33.186265463143243</v>
      </c>
      <c r="AN708" s="35">
        <f t="shared" si="1332"/>
        <v>0.39171628786982143</v>
      </c>
      <c r="AP708" s="81">
        <f t="shared" si="1333"/>
        <v>82.689292838097501</v>
      </c>
      <c r="AQ708" s="85">
        <f t="shared" si="1334"/>
        <v>115.06836737882621</v>
      </c>
      <c r="AR708" s="34">
        <f t="shared" si="1335"/>
        <v>32.379074540728709</v>
      </c>
      <c r="AS708" s="35">
        <f t="shared" si="1336"/>
        <v>0.39157517774551187</v>
      </c>
      <c r="AU708" s="949">
        <f t="shared" si="1337"/>
        <v>80.709968341653706</v>
      </c>
      <c r="AV708" s="843">
        <f t="shared" si="1338"/>
        <v>110.65081970569803</v>
      </c>
      <c r="AW708" s="34">
        <f t="shared" si="1339"/>
        <v>29.94085136404432</v>
      </c>
      <c r="AX708" s="35">
        <f t="shared" si="1340"/>
        <v>0.37096844391391132</v>
      </c>
      <c r="AZ708" s="949">
        <f t="shared" si="1321"/>
        <v>78.750779730845537</v>
      </c>
      <c r="BA708" s="843">
        <f t="shared" si="1322"/>
        <v>112.50022716344837</v>
      </c>
      <c r="BB708" s="34">
        <f t="shared" si="1341"/>
        <v>33.749447432602835</v>
      </c>
      <c r="BC708" s="35">
        <f t="shared" si="1342"/>
        <v>0.42856016852089235</v>
      </c>
      <c r="BE708" s="31">
        <f t="shared" si="1343"/>
        <v>78.057531927747533</v>
      </c>
      <c r="BF708" s="25">
        <f t="shared" si="1344"/>
        <v>113.95435804236828</v>
      </c>
      <c r="BG708" s="32">
        <f t="shared" si="1345"/>
        <v>35.896826114620751</v>
      </c>
      <c r="BH708" s="33">
        <f t="shared" si="1346"/>
        <v>0.45987651964000048</v>
      </c>
      <c r="BJ708" s="31">
        <f t="shared" si="1323"/>
        <v>78.311920494043548</v>
      </c>
      <c r="BK708" s="25">
        <f t="shared" si="1324"/>
        <v>113.47709521726658</v>
      </c>
      <c r="BL708" s="32">
        <f t="shared" si="1325"/>
        <v>35.165174723223032</v>
      </c>
      <c r="BM708" s="33">
        <f t="shared" si="1326"/>
        <v>0.44903987159780762</v>
      </c>
      <c r="BO708" s="62"/>
      <c r="BP708" s="62"/>
      <c r="BQ708" s="62"/>
      <c r="BR708" s="63"/>
    </row>
    <row r="709" spans="1:70">
      <c r="A709" s="1"/>
      <c r="B709" s="1284"/>
      <c r="D709" s="4" t="s">
        <v>724</v>
      </c>
      <c r="E709" s="88">
        <f t="shared" ref="E709:L709" si="1351">E708-SUM(E697:E700)</f>
        <v>73.900989936304143</v>
      </c>
      <c r="F709" s="88">
        <f t="shared" si="1351"/>
        <v>72.190064135126988</v>
      </c>
      <c r="G709" s="88">
        <f t="shared" si="1351"/>
        <v>71.050879446464165</v>
      </c>
      <c r="H709" s="88">
        <f t="shared" si="1351"/>
        <v>69.962255120173765</v>
      </c>
      <c r="I709" s="88">
        <f t="shared" si="1351"/>
        <v>68.979041640450731</v>
      </c>
      <c r="J709" s="88">
        <f t="shared" si="1351"/>
        <v>69.329372028456731</v>
      </c>
      <c r="K709" s="88">
        <f t="shared" si="1351"/>
        <v>71.035667629434087</v>
      </c>
      <c r="L709" s="88">
        <f t="shared" si="1351"/>
        <v>71.214643370752071</v>
      </c>
      <c r="M709" s="1"/>
      <c r="N709" s="81">
        <f t="shared" ref="N709:U709" si="1352">N708-SUM(N697:N700)</f>
        <v>70.246187441361769</v>
      </c>
      <c r="O709" s="81">
        <f t="shared" si="1352"/>
        <v>68.808286277658866</v>
      </c>
      <c r="P709" s="81">
        <f t="shared" si="1352"/>
        <v>67.312039174559459</v>
      </c>
      <c r="Q709" s="81">
        <f t="shared" si="1352"/>
        <v>65.869117672461826</v>
      </c>
      <c r="R709" s="81">
        <f t="shared" si="1352"/>
        <v>64.419080570688394</v>
      </c>
      <c r="S709" s="81">
        <f t="shared" si="1352"/>
        <v>63.786136402038679</v>
      </c>
      <c r="T709" s="81">
        <f t="shared" si="1352"/>
        <v>63.849957888220644</v>
      </c>
      <c r="U709" s="81">
        <f t="shared" si="1352"/>
        <v>62.900553855648155</v>
      </c>
      <c r="V709" s="1"/>
      <c r="W709" s="85">
        <f t="shared" ref="W709:AD709" si="1353">W708-SUM(W697:W700)</f>
        <v>92.410088648276485</v>
      </c>
      <c r="X709" s="85">
        <f t="shared" si="1353"/>
        <v>92.385999452059622</v>
      </c>
      <c r="Y709" s="85">
        <f t="shared" si="1353"/>
        <v>88.407351002438475</v>
      </c>
      <c r="Z709" s="85">
        <f>Z708-SUM(Z697:Z700)</f>
        <v>88.111447446531315</v>
      </c>
      <c r="AA709" s="85">
        <f>AA708-SUM(AA697:AA700)</f>
        <v>85.539595479108186</v>
      </c>
      <c r="AB709" s="85">
        <f t="shared" si="1353"/>
        <v>89.049405719368082</v>
      </c>
      <c r="AC709" s="85">
        <f t="shared" ref="AC709" si="1354">AC708-SUM(AC697:AC700)</f>
        <v>86.994295217266583</v>
      </c>
      <c r="AD709" s="91">
        <f t="shared" si="1353"/>
        <v>0</v>
      </c>
      <c r="AE709" s="1"/>
      <c r="AF709" s="81">
        <f t="shared" si="1327"/>
        <v>70.246187441361769</v>
      </c>
      <c r="AG709" s="85">
        <f t="shared" si="1328"/>
        <v>92.410088648276485</v>
      </c>
      <c r="AH709" s="34">
        <f t="shared" si="1329"/>
        <v>22.163901206914716</v>
      </c>
      <c r="AI709" s="35">
        <f t="shared" si="1330"/>
        <v>0.31551749659604095</v>
      </c>
      <c r="AK709" s="81">
        <f t="shared" si="1319"/>
        <v>68.808286277658866</v>
      </c>
      <c r="AL709" s="85">
        <f t="shared" si="1320"/>
        <v>92.385999452059622</v>
      </c>
      <c r="AM709" s="34">
        <f t="shared" si="1331"/>
        <v>23.577713174400756</v>
      </c>
      <c r="AN709" s="35">
        <f t="shared" si="1332"/>
        <v>0.34265804963167823</v>
      </c>
      <c r="AP709" s="81">
        <f t="shared" si="1333"/>
        <v>67.312039174559459</v>
      </c>
      <c r="AQ709" s="85">
        <f>Y709</f>
        <v>88.407351002438475</v>
      </c>
      <c r="AR709" s="34">
        <f t="shared" si="1335"/>
        <v>21.095311827879016</v>
      </c>
      <c r="AS709" s="35">
        <f t="shared" si="1336"/>
        <v>0.31339582170691355</v>
      </c>
      <c r="AU709" s="949">
        <f t="shared" si="1337"/>
        <v>65.869117672461826</v>
      </c>
      <c r="AV709" s="843">
        <f t="shared" si="1338"/>
        <v>88.111447446531315</v>
      </c>
      <c r="AW709" s="34">
        <f t="shared" si="1339"/>
        <v>22.242329774069489</v>
      </c>
      <c r="AX709" s="35">
        <f t="shared" si="1340"/>
        <v>0.33767462750405769</v>
      </c>
      <c r="AZ709" s="949">
        <f t="shared" si="1321"/>
        <v>64.419080570688394</v>
      </c>
      <c r="BA709" s="843">
        <f t="shared" si="1322"/>
        <v>85.539595479108186</v>
      </c>
      <c r="BB709" s="34">
        <f t="shared" si="1341"/>
        <v>21.120514908419793</v>
      </c>
      <c r="BC709" s="35">
        <f t="shared" si="1342"/>
        <v>0.32786116661885317</v>
      </c>
      <c r="BE709" s="31">
        <f t="shared" si="1343"/>
        <v>63.786136402038679</v>
      </c>
      <c r="BF709" s="25">
        <f t="shared" si="1344"/>
        <v>89.049405719368082</v>
      </c>
      <c r="BG709" s="32">
        <f t="shared" si="1345"/>
        <v>25.263269317329403</v>
      </c>
      <c r="BH709" s="33">
        <f t="shared" si="1346"/>
        <v>0.39606207151499395</v>
      </c>
      <c r="BJ709" s="31">
        <f t="shared" si="1323"/>
        <v>63.849957888220644</v>
      </c>
      <c r="BK709" s="25">
        <f t="shared" si="1324"/>
        <v>86.994295217266583</v>
      </c>
      <c r="BL709" s="32">
        <f t="shared" si="1325"/>
        <v>23.144337329045939</v>
      </c>
      <c r="BM709" s="33">
        <f t="shared" si="1326"/>
        <v>0.362480071945603</v>
      </c>
      <c r="BO709" s="62"/>
      <c r="BP709" s="62"/>
      <c r="BQ709" s="62"/>
      <c r="BR709" s="63"/>
    </row>
    <row r="710" spans="1:70" ht="14.5" customHeight="1">
      <c r="B710" s="1284"/>
    </row>
    <row r="711" spans="1:70" ht="14.5" customHeight="1">
      <c r="B711" s="1284"/>
      <c r="D711" s="1" t="s">
        <v>95</v>
      </c>
    </row>
    <row r="712" spans="1:70" ht="14.5" customHeight="1">
      <c r="B712" s="1284"/>
      <c r="E712" s="1300" t="s">
        <v>733</v>
      </c>
      <c r="F712" s="1301"/>
      <c r="G712" s="1301"/>
      <c r="H712" s="1301"/>
      <c r="I712" s="1301"/>
      <c r="J712" s="1301"/>
      <c r="K712" s="1301"/>
      <c r="L712" s="1302"/>
      <c r="N712" s="245" t="s">
        <v>291</v>
      </c>
      <c r="O712" s="246"/>
      <c r="P712" s="246"/>
      <c r="Q712" s="246"/>
      <c r="R712" s="246"/>
      <c r="S712" s="246"/>
      <c r="T712" s="246"/>
      <c r="U712" s="247"/>
      <c r="W712" s="1079" t="s">
        <v>292</v>
      </c>
      <c r="X712" s="1080"/>
      <c r="Y712" s="1080"/>
      <c r="Z712" s="1080"/>
      <c r="AA712" s="1080"/>
      <c r="AB712" s="1080"/>
      <c r="AC712" s="1080"/>
      <c r="AD712" s="1081"/>
      <c r="AF712" s="102" t="s">
        <v>297</v>
      </c>
      <c r="AG712" s="102" t="s">
        <v>298</v>
      </c>
      <c r="AH712" s="1304" t="s">
        <v>602</v>
      </c>
      <c r="AI712" s="1304"/>
      <c r="AK712" s="102" t="s">
        <v>297</v>
      </c>
      <c r="AL712" s="102" t="s">
        <v>298</v>
      </c>
      <c r="AM712" s="1304" t="s">
        <v>602</v>
      </c>
      <c r="AN712" s="1304"/>
      <c r="AP712" s="6" t="s">
        <v>297</v>
      </c>
      <c r="AQ712" s="5" t="s">
        <v>298</v>
      </c>
      <c r="AR712" s="1303" t="s">
        <v>602</v>
      </c>
      <c r="AS712" s="1303"/>
      <c r="AU712" s="6" t="s">
        <v>297</v>
      </c>
      <c r="AV712" s="5" t="s">
        <v>298</v>
      </c>
      <c r="AW712" s="1303" t="s">
        <v>602</v>
      </c>
      <c r="AX712" s="1303"/>
      <c r="AZ712" s="6" t="s">
        <v>297</v>
      </c>
      <c r="BA712" s="5" t="s">
        <v>298</v>
      </c>
      <c r="BB712" s="1303" t="s">
        <v>602</v>
      </c>
      <c r="BC712" s="1303"/>
      <c r="BE712" s="6" t="s">
        <v>297</v>
      </c>
      <c r="BF712" s="5" t="s">
        <v>298</v>
      </c>
      <c r="BG712" s="1082" t="s">
        <v>602</v>
      </c>
      <c r="BH712" s="1082"/>
      <c r="BJ712" s="6" t="s">
        <v>297</v>
      </c>
      <c r="BK712" s="5" t="s">
        <v>298</v>
      </c>
      <c r="BL712" s="1082" t="s">
        <v>602</v>
      </c>
      <c r="BM712" s="1082"/>
      <c r="BO712" s="6" t="s">
        <v>297</v>
      </c>
      <c r="BP712" s="5" t="s">
        <v>298</v>
      </c>
      <c r="BQ712" s="1303" t="s">
        <v>602</v>
      </c>
      <c r="BR712" s="1303"/>
    </row>
    <row r="713" spans="1:70" ht="14.5" customHeight="1">
      <c r="A713" s="1"/>
      <c r="B713" s="1284"/>
      <c r="E713" s="196" t="s">
        <v>137</v>
      </c>
      <c r="F713" s="102" t="s">
        <v>138</v>
      </c>
      <c r="G713" s="102" t="s">
        <v>139</v>
      </c>
      <c r="H713" s="102" t="s">
        <v>140</v>
      </c>
      <c r="I713" s="102" t="s">
        <v>141</v>
      </c>
      <c r="J713" s="102" t="s">
        <v>126</v>
      </c>
      <c r="K713" s="102" t="s">
        <v>142</v>
      </c>
      <c r="L713" s="197" t="s">
        <v>143</v>
      </c>
      <c r="N713" s="196" t="s">
        <v>137</v>
      </c>
      <c r="O713" s="102" t="s">
        <v>138</v>
      </c>
      <c r="P713" s="102" t="s">
        <v>139</v>
      </c>
      <c r="Q713" s="102" t="s">
        <v>140</v>
      </c>
      <c r="R713" s="102" t="s">
        <v>141</v>
      </c>
      <c r="S713" s="102" t="s">
        <v>126</v>
      </c>
      <c r="T713" s="102" t="s">
        <v>142</v>
      </c>
      <c r="U713" s="197" t="s">
        <v>143</v>
      </c>
      <c r="W713" s="196" t="s">
        <v>137</v>
      </c>
      <c r="X713" s="1078" t="s">
        <v>138</v>
      </c>
      <c r="Y713" s="1078" t="s">
        <v>139</v>
      </c>
      <c r="Z713" s="1078" t="s">
        <v>140</v>
      </c>
      <c r="AA713" s="1078" t="s">
        <v>141</v>
      </c>
      <c r="AB713" s="1078" t="s">
        <v>126</v>
      </c>
      <c r="AC713" s="1078" t="s">
        <v>142</v>
      </c>
      <c r="AD713" s="197" t="s">
        <v>143</v>
      </c>
      <c r="AF713" s="102" t="s">
        <v>734</v>
      </c>
      <c r="AG713" s="102" t="s">
        <v>734</v>
      </c>
      <c r="AH713" s="102" t="s">
        <v>734</v>
      </c>
      <c r="AI713" s="102" t="s">
        <v>606</v>
      </c>
      <c r="AK713" s="102" t="s">
        <v>734</v>
      </c>
      <c r="AL713" s="102" t="s">
        <v>734</v>
      </c>
      <c r="AM713" s="102" t="s">
        <v>734</v>
      </c>
      <c r="AN713" s="102" t="s">
        <v>606</v>
      </c>
      <c r="AP713" s="5" t="s">
        <v>734</v>
      </c>
      <c r="AQ713" s="5" t="s">
        <v>734</v>
      </c>
      <c r="AR713" s="5" t="s">
        <v>734</v>
      </c>
      <c r="AS713" s="5" t="s">
        <v>606</v>
      </c>
      <c r="AU713" s="5" t="s">
        <v>734</v>
      </c>
      <c r="AV713" s="5" t="s">
        <v>734</v>
      </c>
      <c r="AW713" s="5" t="s">
        <v>734</v>
      </c>
      <c r="AX713" s="5" t="s">
        <v>606</v>
      </c>
      <c r="AZ713" s="5" t="s">
        <v>734</v>
      </c>
      <c r="BA713" s="5" t="s">
        <v>734</v>
      </c>
      <c r="BB713" s="5" t="s">
        <v>734</v>
      </c>
      <c r="BC713" s="5" t="s">
        <v>606</v>
      </c>
      <c r="BE713" s="5" t="s">
        <v>734</v>
      </c>
      <c r="BF713" s="5" t="s">
        <v>734</v>
      </c>
      <c r="BG713" s="5" t="s">
        <v>734</v>
      </c>
      <c r="BH713" s="5" t="s">
        <v>606</v>
      </c>
      <c r="BJ713" s="5" t="s">
        <v>734</v>
      </c>
      <c r="BK713" s="5" t="s">
        <v>734</v>
      </c>
      <c r="BL713" s="5" t="s">
        <v>734</v>
      </c>
      <c r="BM713" s="5" t="s">
        <v>606</v>
      </c>
      <c r="BO713" s="5" t="s">
        <v>734</v>
      </c>
      <c r="BP713" s="5" t="s">
        <v>734</v>
      </c>
      <c r="BQ713" s="5" t="s">
        <v>734</v>
      </c>
      <c r="BR713" s="5" t="s">
        <v>606</v>
      </c>
    </row>
    <row r="714" spans="1:70">
      <c r="B714" s="1284"/>
      <c r="D714" s="5" t="s">
        <v>161</v>
      </c>
      <c r="E714" s="87">
        <v>4.630809100838162</v>
      </c>
      <c r="F714" s="87">
        <v>4.6738286887449476</v>
      </c>
      <c r="G714" s="87">
        <v>4.6675856926361314</v>
      </c>
      <c r="H714" s="87">
        <v>4.6638498894712326</v>
      </c>
      <c r="I714" s="87">
        <v>4.6651746942809229</v>
      </c>
      <c r="J714" s="87">
        <v>4.6638283709825084</v>
      </c>
      <c r="K714" s="87">
        <v>4.6501808381199918</v>
      </c>
      <c r="L714" s="87">
        <v>4.650648145267902</v>
      </c>
      <c r="N714" s="29">
        <v>5.8621170761486567</v>
      </c>
      <c r="O714" s="29">
        <v>5.7924677416582506</v>
      </c>
      <c r="P714" s="29">
        <v>5.6915696706524255</v>
      </c>
      <c r="Q714" s="29">
        <v>5.5836927220559831</v>
      </c>
      <c r="R714" s="29">
        <v>5.4863708210910902</v>
      </c>
      <c r="S714" s="29">
        <v>5.3792692312666119</v>
      </c>
      <c r="T714" s="29">
        <v>5.2648399370871353</v>
      </c>
      <c r="U714" s="29">
        <v>5.15788634129495</v>
      </c>
      <c r="W714" s="30">
        <v>4.2228747260188113</v>
      </c>
      <c r="X714" s="30">
        <v>4.6909131355504021</v>
      </c>
      <c r="Y714" s="30">
        <v>5.0684352535143633</v>
      </c>
      <c r="Z714" s="30">
        <v>4.5480137657385606</v>
      </c>
      <c r="AA714" s="30">
        <v>5.5173205394970086</v>
      </c>
      <c r="AB714" s="30">
        <v>5.5527790014576928</v>
      </c>
      <c r="AC714" s="30">
        <v>5.2653743248595291</v>
      </c>
      <c r="AD714" s="90">
        <v>0</v>
      </c>
      <c r="AF714" s="29">
        <f>N714</f>
        <v>5.8621170761486567</v>
      </c>
      <c r="AG714" s="30">
        <f>W714</f>
        <v>4.2228747260188113</v>
      </c>
      <c r="AH714" s="32">
        <f>AG714-AF714</f>
        <v>-1.6392423501298454</v>
      </c>
      <c r="AI714" s="33">
        <f>AH714/AF714</f>
        <v>-0.27963316474852951</v>
      </c>
      <c r="AK714" s="29">
        <f t="shared" ref="AK714:AK729" si="1355">O714</f>
        <v>5.7924677416582506</v>
      </c>
      <c r="AL714" s="30">
        <f t="shared" ref="AL714:AL729" si="1356">X714</f>
        <v>4.6909131355504021</v>
      </c>
      <c r="AM714" s="32">
        <f>AL714-AK714</f>
        <v>-1.1015546061078485</v>
      </c>
      <c r="AN714" s="33">
        <f>AM714/AK714</f>
        <v>-0.19017017534438591</v>
      </c>
      <c r="AP714" s="29">
        <f>P714</f>
        <v>5.6915696706524255</v>
      </c>
      <c r="AQ714" s="30">
        <f>Y714</f>
        <v>5.0684352535143633</v>
      </c>
      <c r="AR714" s="32">
        <f>AQ714-AP714</f>
        <v>-0.62313441713806217</v>
      </c>
      <c r="AS714" s="33">
        <f>AR714/AP714</f>
        <v>-0.10948375460484035</v>
      </c>
      <c r="AU714" s="31">
        <f>Q714</f>
        <v>5.5836927220559831</v>
      </c>
      <c r="AV714" s="25">
        <f>Z714</f>
        <v>4.5480137657385606</v>
      </c>
      <c r="AW714" s="32">
        <f>AV714-AU714</f>
        <v>-1.0356789563174225</v>
      </c>
      <c r="AX714" s="33">
        <f>AW714/AU714</f>
        <v>-0.18548279926408145</v>
      </c>
      <c r="AZ714" s="31">
        <f t="shared" ref="AZ714:AZ729" si="1357">R714</f>
        <v>5.4863708210910902</v>
      </c>
      <c r="BA714" s="25">
        <f t="shared" ref="BA714:BA729" si="1358">AA714</f>
        <v>5.5173205394970086</v>
      </c>
      <c r="BB714" s="32">
        <f>BA714-AZ714</f>
        <v>3.0949718405918425E-2</v>
      </c>
      <c r="BC714" s="33">
        <f>BB714/AZ714</f>
        <v>5.6412006069548482E-3</v>
      </c>
      <c r="BE714" s="31">
        <f>S714</f>
        <v>5.3792692312666119</v>
      </c>
      <c r="BF714" s="25">
        <f>AB714</f>
        <v>5.5527790014576928</v>
      </c>
      <c r="BG714" s="32">
        <f>BF714-BE714</f>
        <v>0.17350977019108083</v>
      </c>
      <c r="BH714" s="33">
        <f>BG714/BE714</f>
        <v>3.2255267905641885E-2</v>
      </c>
      <c r="BJ714" s="31">
        <f t="shared" ref="BJ714:BJ729" si="1359">T714</f>
        <v>5.2648399370871353</v>
      </c>
      <c r="BK714" s="25">
        <f t="shared" ref="BK714:BK729" si="1360">AC714</f>
        <v>5.2653743248595291</v>
      </c>
      <c r="BL714" s="32">
        <f t="shared" ref="BL714:BL729" si="1361">BK714-BJ714</f>
        <v>5.343877723937851E-4</v>
      </c>
      <c r="BM714" s="33">
        <f t="shared" ref="BM714:BM729" si="1362">BL714/BJ714</f>
        <v>1.0150123817238867E-4</v>
      </c>
      <c r="BO714" s="62"/>
      <c r="BP714" s="62"/>
      <c r="BQ714" s="62"/>
      <c r="BR714" s="63"/>
    </row>
    <row r="715" spans="1:70">
      <c r="B715" s="1284"/>
      <c r="D715" s="5" t="s">
        <v>162</v>
      </c>
      <c r="E715" s="87">
        <v>5.2381665142545843</v>
      </c>
      <c r="F715" s="87">
        <v>5.1491405482143753</v>
      </c>
      <c r="G715" s="87">
        <v>5.1537330982562599</v>
      </c>
      <c r="H715" s="87">
        <v>5.1546805365824735</v>
      </c>
      <c r="I715" s="87">
        <v>5.297358837277427</v>
      </c>
      <c r="J715" s="87">
        <v>5.4452836750066718</v>
      </c>
      <c r="K715" s="87">
        <v>5.4745967106476776</v>
      </c>
      <c r="L715" s="87">
        <v>5.456586164386545</v>
      </c>
      <c r="N715" s="29">
        <v>5.5184745088604137</v>
      </c>
      <c r="O715" s="29">
        <v>5.3786454087124955</v>
      </c>
      <c r="P715" s="29">
        <v>5.3367248997394885</v>
      </c>
      <c r="Q715" s="29">
        <v>5.2927262621752593</v>
      </c>
      <c r="R715" s="29">
        <v>5.392148339140717</v>
      </c>
      <c r="S715" s="29">
        <v>5.4940968313433354</v>
      </c>
      <c r="T715" s="29">
        <v>5.4759177588035444</v>
      </c>
      <c r="U715" s="29">
        <v>5.4117600681936313</v>
      </c>
      <c r="W715" s="30">
        <v>5.5279865302721207</v>
      </c>
      <c r="X715" s="30">
        <v>4.853341736139889</v>
      </c>
      <c r="Y715" s="30">
        <v>4.0160432207859502</v>
      </c>
      <c r="Z715" s="30">
        <v>3.8399966819960243</v>
      </c>
      <c r="AA715" s="30">
        <v>4.0455227371032834</v>
      </c>
      <c r="AB715" s="30">
        <v>4.3220309639871939</v>
      </c>
      <c r="AC715" s="30">
        <v>4.1973049249227943</v>
      </c>
      <c r="AD715" s="90">
        <v>0</v>
      </c>
      <c r="AF715" s="29">
        <f t="shared" ref="AF715:AF729" si="1363">N715</f>
        <v>5.5184745088604137</v>
      </c>
      <c r="AG715" s="30">
        <f t="shared" ref="AG715:AG729" si="1364">W715</f>
        <v>5.5279865302721207</v>
      </c>
      <c r="AH715" s="32">
        <f t="shared" ref="AH715:AH727" si="1365">AG715-AF715</f>
        <v>9.512021411707039E-3</v>
      </c>
      <c r="AI715" s="33">
        <f t="shared" ref="AI715:AI727" si="1366">AH715/AF715</f>
        <v>1.7236686327778848E-3</v>
      </c>
      <c r="AK715" s="29">
        <f t="shared" si="1355"/>
        <v>5.3786454087124955</v>
      </c>
      <c r="AL715" s="30">
        <f t="shared" si="1356"/>
        <v>4.853341736139889</v>
      </c>
      <c r="AM715" s="32">
        <f t="shared" ref="AM715:AM727" si="1367">AL715-AK715</f>
        <v>-0.52530367257260657</v>
      </c>
      <c r="AN715" s="33">
        <f t="shared" ref="AN715:AN727" si="1368">AM715/AK715</f>
        <v>-9.7664678121689066E-2</v>
      </c>
      <c r="AP715" s="29">
        <f t="shared" ref="AP715:AP729" si="1369">P715</f>
        <v>5.3367248997394885</v>
      </c>
      <c r="AQ715" s="30">
        <f t="shared" ref="AQ715:AQ728" si="1370">Y715</f>
        <v>4.0160432207859502</v>
      </c>
      <c r="AR715" s="32">
        <f t="shared" ref="AR715:AR729" si="1371">AQ715-AP715</f>
        <v>-1.3206816789535383</v>
      </c>
      <c r="AS715" s="33">
        <f t="shared" ref="AS715:AS729" si="1372">AR715/AP715</f>
        <v>-0.24747044372064356</v>
      </c>
      <c r="AU715" s="31">
        <f t="shared" ref="AU715:AU729" si="1373">Q715</f>
        <v>5.2927262621752593</v>
      </c>
      <c r="AV715" s="25">
        <f t="shared" ref="AV715:AV729" si="1374">Z715</f>
        <v>3.8399966819960243</v>
      </c>
      <c r="AW715" s="32">
        <f t="shared" ref="AW715:AW729" si="1375">AV715-AU715</f>
        <v>-1.452729580179235</v>
      </c>
      <c r="AX715" s="33">
        <f t="shared" ref="AX715:AX729" si="1376">AW715/AU715</f>
        <v>-0.2744766134158953</v>
      </c>
      <c r="AZ715" s="31">
        <f t="shared" si="1357"/>
        <v>5.392148339140717</v>
      </c>
      <c r="BA715" s="25">
        <f t="shared" si="1358"/>
        <v>4.0455227371032834</v>
      </c>
      <c r="BB715" s="32">
        <f t="shared" ref="BB715:BB729" si="1377">BA715-AZ715</f>
        <v>-1.3466256020374336</v>
      </c>
      <c r="BC715" s="33">
        <f t="shared" ref="BC715:BC729" si="1378">BB715/AZ715</f>
        <v>-0.24973823369481513</v>
      </c>
      <c r="BE715" s="31">
        <f t="shared" ref="BE715:BE729" si="1379">S715</f>
        <v>5.4940968313433354</v>
      </c>
      <c r="BF715" s="25">
        <f t="shared" ref="BF715:BF729" si="1380">AB715</f>
        <v>4.3220309639871939</v>
      </c>
      <c r="BG715" s="32">
        <f t="shared" ref="BG715:BG729" si="1381">BF715-BE715</f>
        <v>-1.1720658673561415</v>
      </c>
      <c r="BH715" s="33">
        <f t="shared" ref="BH715:BH729" si="1382">BG715/BE715</f>
        <v>-0.21333185477722375</v>
      </c>
      <c r="BJ715" s="31">
        <f t="shared" si="1359"/>
        <v>5.4759177588035444</v>
      </c>
      <c r="BK715" s="25">
        <f t="shared" si="1360"/>
        <v>4.1973049249227943</v>
      </c>
      <c r="BL715" s="32">
        <f t="shared" si="1361"/>
        <v>-1.2786128338807501</v>
      </c>
      <c r="BM715" s="33">
        <f t="shared" si="1362"/>
        <v>-0.23349745014434245</v>
      </c>
      <c r="BO715" s="62"/>
      <c r="BP715" s="62"/>
      <c r="BQ715" s="62"/>
      <c r="BR715" s="63"/>
    </row>
    <row r="716" spans="1:70">
      <c r="B716" s="1284"/>
      <c r="D716" s="5" t="s">
        <v>163</v>
      </c>
      <c r="E716" s="87">
        <v>6.9992924242249268</v>
      </c>
      <c r="F716" s="87">
        <v>6.8936320902664887</v>
      </c>
      <c r="G716" s="87">
        <v>6.8933026703598097</v>
      </c>
      <c r="H716" s="87">
        <v>6.9145096962717574</v>
      </c>
      <c r="I716" s="87">
        <v>7.080024366511295</v>
      </c>
      <c r="J716" s="87">
        <v>7.2663961237375343</v>
      </c>
      <c r="K716" s="87">
        <v>7.2951382244720753</v>
      </c>
      <c r="L716" s="87">
        <v>7.288413916491276</v>
      </c>
      <c r="N716" s="29">
        <v>6.4977823149147653</v>
      </c>
      <c r="O716" s="29">
        <v>6.3467844875740296</v>
      </c>
      <c r="P716" s="29">
        <v>6.2938106146101056</v>
      </c>
      <c r="Q716" s="29">
        <v>6.2612939605370563</v>
      </c>
      <c r="R716" s="29">
        <v>6.3561751548961718</v>
      </c>
      <c r="S716" s="29">
        <v>6.4688633778422231</v>
      </c>
      <c r="T716" s="29">
        <v>6.4401837866849965</v>
      </c>
      <c r="U716" s="29">
        <v>6.3813270042134649</v>
      </c>
      <c r="W716" s="30">
        <v>8.5056446824118996</v>
      </c>
      <c r="X716" s="30">
        <v>7.0420423383522017</v>
      </c>
      <c r="Y716" s="30">
        <v>5.7758808919402949</v>
      </c>
      <c r="Z716" s="30">
        <v>3.9765847184095304</v>
      </c>
      <c r="AA716" s="30">
        <v>3.6623884172354688</v>
      </c>
      <c r="AB716" s="30">
        <v>4.7546320269921871</v>
      </c>
      <c r="AC716" s="30">
        <v>5.2260543766859593</v>
      </c>
      <c r="AD716" s="90">
        <v>0</v>
      </c>
      <c r="AF716" s="29">
        <f t="shared" si="1363"/>
        <v>6.4977823149147653</v>
      </c>
      <c r="AG716" s="30">
        <f t="shared" si="1364"/>
        <v>8.5056446824118996</v>
      </c>
      <c r="AH716" s="32">
        <f t="shared" si="1365"/>
        <v>2.0078623674971343</v>
      </c>
      <c r="AI716" s="33">
        <f t="shared" si="1366"/>
        <v>0.30900733053004292</v>
      </c>
      <c r="AK716" s="29">
        <f t="shared" si="1355"/>
        <v>6.3467844875740296</v>
      </c>
      <c r="AL716" s="30">
        <f t="shared" si="1356"/>
        <v>7.0420423383522017</v>
      </c>
      <c r="AM716" s="32">
        <f t="shared" si="1367"/>
        <v>0.69525785077817215</v>
      </c>
      <c r="AN716" s="33">
        <f t="shared" si="1368"/>
        <v>0.1095448966542623</v>
      </c>
      <c r="AP716" s="29">
        <f t="shared" si="1369"/>
        <v>6.2938106146101056</v>
      </c>
      <c r="AQ716" s="30">
        <f t="shared" si="1370"/>
        <v>5.7758808919402949</v>
      </c>
      <c r="AR716" s="32">
        <f t="shared" si="1371"/>
        <v>-0.51792972266981074</v>
      </c>
      <c r="AS716" s="33">
        <f t="shared" si="1372"/>
        <v>-8.2291914133469035E-2</v>
      </c>
      <c r="AU716" s="31">
        <f t="shared" si="1373"/>
        <v>6.2612939605370563</v>
      </c>
      <c r="AV716" s="25">
        <f t="shared" si="1374"/>
        <v>3.9765847184095304</v>
      </c>
      <c r="AW716" s="32">
        <f t="shared" si="1375"/>
        <v>-2.2847092421275259</v>
      </c>
      <c r="AX716" s="33">
        <f t="shared" si="1376"/>
        <v>-0.36489410280483897</v>
      </c>
      <c r="AZ716" s="31">
        <f t="shared" si="1357"/>
        <v>6.3561751548961718</v>
      </c>
      <c r="BA716" s="25">
        <f t="shared" si="1358"/>
        <v>3.6623884172354688</v>
      </c>
      <c r="BB716" s="32">
        <f t="shared" si="1377"/>
        <v>-2.693786737660703</v>
      </c>
      <c r="BC716" s="33">
        <f t="shared" si="1378"/>
        <v>-0.42380624699835007</v>
      </c>
      <c r="BE716" s="31">
        <f t="shared" si="1379"/>
        <v>6.4688633778422231</v>
      </c>
      <c r="BF716" s="25">
        <f t="shared" si="1380"/>
        <v>4.7546320269921871</v>
      </c>
      <c r="BG716" s="32">
        <f t="shared" si="1381"/>
        <v>-1.714231350850036</v>
      </c>
      <c r="BH716" s="33">
        <f t="shared" si="1382"/>
        <v>-0.2649973033472599</v>
      </c>
      <c r="BJ716" s="31">
        <f t="shared" si="1359"/>
        <v>6.4401837866849965</v>
      </c>
      <c r="BK716" s="25">
        <f t="shared" si="1360"/>
        <v>5.2260543766859593</v>
      </c>
      <c r="BL716" s="32">
        <f t="shared" si="1361"/>
        <v>-1.2141294099990372</v>
      </c>
      <c r="BM716" s="33">
        <f t="shared" si="1362"/>
        <v>-0.18852403133420437</v>
      </c>
      <c r="BO716" s="62"/>
      <c r="BP716" s="62"/>
      <c r="BQ716" s="62"/>
      <c r="BR716" s="63"/>
    </row>
    <row r="717" spans="1:70">
      <c r="B717" s="1284"/>
      <c r="D717" s="5" t="s">
        <v>164</v>
      </c>
      <c r="E717" s="87">
        <v>10.406321738142125</v>
      </c>
      <c r="F717" s="87">
        <v>10.439080019721876</v>
      </c>
      <c r="G717" s="87">
        <v>10.446895700787653</v>
      </c>
      <c r="H717" s="87">
        <v>10.518640219415012</v>
      </c>
      <c r="I717" s="87">
        <v>10.591105369497823</v>
      </c>
      <c r="J717" s="87">
        <v>10.664811603256121</v>
      </c>
      <c r="K717" s="87">
        <v>10.736003540222338</v>
      </c>
      <c r="L717" s="87">
        <v>10.812173198238026</v>
      </c>
      <c r="N717" s="29">
        <v>10.406321738142125</v>
      </c>
      <c r="O717" s="29">
        <v>10.439080019721876</v>
      </c>
      <c r="P717" s="29">
        <v>10.446895700787653</v>
      </c>
      <c r="Q717" s="29">
        <v>10.518640219415012</v>
      </c>
      <c r="R717" s="29">
        <v>10.591105369497823</v>
      </c>
      <c r="S717" s="29">
        <v>10.664811603256121</v>
      </c>
      <c r="T717" s="29">
        <v>10.736003540222338</v>
      </c>
      <c r="U717" s="29">
        <v>10.812173198238026</v>
      </c>
      <c r="W717" s="30">
        <v>18.029036614463077</v>
      </c>
      <c r="X717" s="30">
        <v>21.643160004830332</v>
      </c>
      <c r="Y717" s="30">
        <v>18.851166535713766</v>
      </c>
      <c r="Z717" s="30">
        <v>15.917704032360541</v>
      </c>
      <c r="AA717" s="30">
        <v>14.011863061773592</v>
      </c>
      <c r="AB717" s="30">
        <v>14.337932840869307</v>
      </c>
      <c r="AC717" s="30">
        <v>13.915299999999998</v>
      </c>
      <c r="AD717" s="90">
        <v>0</v>
      </c>
      <c r="AF717" s="29">
        <f t="shared" si="1363"/>
        <v>10.406321738142125</v>
      </c>
      <c r="AG717" s="30">
        <f t="shared" si="1364"/>
        <v>18.029036614463077</v>
      </c>
      <c r="AH717" s="32">
        <f t="shared" si="1365"/>
        <v>7.622714876320952</v>
      </c>
      <c r="AI717" s="33">
        <f t="shared" si="1366"/>
        <v>0.73250809153646834</v>
      </c>
      <c r="AK717" s="29">
        <f t="shared" si="1355"/>
        <v>10.439080019721876</v>
      </c>
      <c r="AL717" s="30">
        <f t="shared" si="1356"/>
        <v>21.643160004830332</v>
      </c>
      <c r="AM717" s="32">
        <f t="shared" si="1367"/>
        <v>11.204079985108455</v>
      </c>
      <c r="AN717" s="33">
        <f t="shared" si="1368"/>
        <v>1.0732823164437206</v>
      </c>
      <c r="AP717" s="29">
        <f t="shared" si="1369"/>
        <v>10.446895700787653</v>
      </c>
      <c r="AQ717" s="30">
        <f t="shared" si="1370"/>
        <v>18.851166535713766</v>
      </c>
      <c r="AR717" s="32">
        <f t="shared" si="1371"/>
        <v>8.4042708349261126</v>
      </c>
      <c r="AS717" s="33">
        <f t="shared" si="1372"/>
        <v>0.80447542271264993</v>
      </c>
      <c r="AU717" s="31">
        <f t="shared" si="1373"/>
        <v>10.518640219415012</v>
      </c>
      <c r="AV717" s="25">
        <f t="shared" si="1374"/>
        <v>15.917704032360541</v>
      </c>
      <c r="AW717" s="32">
        <f t="shared" si="1375"/>
        <v>5.3990638129455295</v>
      </c>
      <c r="AX717" s="33">
        <f t="shared" si="1376"/>
        <v>0.51328533920003161</v>
      </c>
      <c r="AZ717" s="31">
        <f t="shared" si="1357"/>
        <v>10.591105369497823</v>
      </c>
      <c r="BA717" s="25">
        <f t="shared" si="1358"/>
        <v>14.011863061773592</v>
      </c>
      <c r="BB717" s="32">
        <f t="shared" si="1377"/>
        <v>3.4207576922757692</v>
      </c>
      <c r="BC717" s="33">
        <f t="shared" si="1378"/>
        <v>0.3229840109161301</v>
      </c>
      <c r="BE717" s="31">
        <f t="shared" si="1379"/>
        <v>10.664811603256121</v>
      </c>
      <c r="BF717" s="25">
        <f t="shared" si="1380"/>
        <v>14.337932840869307</v>
      </c>
      <c r="BG717" s="32">
        <f t="shared" si="1381"/>
        <v>3.6731212376131861</v>
      </c>
      <c r="BH717" s="33">
        <f t="shared" si="1382"/>
        <v>0.34441501399722141</v>
      </c>
      <c r="BJ717" s="31">
        <f t="shared" si="1359"/>
        <v>10.736003540222338</v>
      </c>
      <c r="BK717" s="25">
        <f t="shared" si="1360"/>
        <v>13.915299999999998</v>
      </c>
      <c r="BL717" s="32">
        <f t="shared" si="1361"/>
        <v>3.1792964597776603</v>
      </c>
      <c r="BM717" s="33">
        <f t="shared" si="1362"/>
        <v>0.29613407334176589</v>
      </c>
      <c r="BO717" s="62"/>
      <c r="BP717" s="62"/>
      <c r="BQ717" s="62"/>
      <c r="BR717" s="63"/>
    </row>
    <row r="718" spans="1:70">
      <c r="B718" s="1284"/>
      <c r="D718" s="5" t="s">
        <v>165</v>
      </c>
      <c r="E718" s="87">
        <v>8.0911934337602016</v>
      </c>
      <c r="F718" s="87">
        <v>8.1195011978106191</v>
      </c>
      <c r="G718" s="87">
        <v>8.1257703764224392</v>
      </c>
      <c r="H718" s="87">
        <v>8.1815494911861784</v>
      </c>
      <c r="I718" s="87">
        <v>8.2397629673110675</v>
      </c>
      <c r="J718" s="87">
        <v>8.2947786499176388</v>
      </c>
      <c r="K718" s="87">
        <v>8.3534035950544361</v>
      </c>
      <c r="L718" s="87">
        <v>8.4115312676429586</v>
      </c>
      <c r="N718" s="29">
        <v>8.0911934337602016</v>
      </c>
      <c r="O718" s="29">
        <v>8.1195011978106191</v>
      </c>
      <c r="P718" s="29">
        <v>8.1257703764224392</v>
      </c>
      <c r="Q718" s="29">
        <v>8.1815494911861784</v>
      </c>
      <c r="R718" s="29">
        <v>8.2397629673110675</v>
      </c>
      <c r="S718" s="29">
        <v>8.2947786499176388</v>
      </c>
      <c r="T718" s="29">
        <v>8.3534035950544361</v>
      </c>
      <c r="U718" s="29">
        <v>8.4115312676429586</v>
      </c>
      <c r="W718" s="30">
        <v>12.721792933050153</v>
      </c>
      <c r="X718" s="30">
        <v>10.535071156865113</v>
      </c>
      <c r="Y718" s="30">
        <v>15.109229785964759</v>
      </c>
      <c r="Z718" s="30">
        <v>10.438270828921175</v>
      </c>
      <c r="AA718" s="30">
        <v>11.38142697201368</v>
      </c>
      <c r="AB718" s="30">
        <v>14.641509877042633</v>
      </c>
      <c r="AC718" s="30">
        <v>9.6685000000000016</v>
      </c>
      <c r="AD718" s="90">
        <v>0</v>
      </c>
      <c r="AF718" s="29">
        <f t="shared" si="1363"/>
        <v>8.0911934337602016</v>
      </c>
      <c r="AG718" s="30">
        <f t="shared" si="1364"/>
        <v>12.721792933050153</v>
      </c>
      <c r="AH718" s="32">
        <f t="shared" si="1365"/>
        <v>4.6305994992899517</v>
      </c>
      <c r="AI718" s="33">
        <f t="shared" si="1366"/>
        <v>0.57230117376368095</v>
      </c>
      <c r="AK718" s="29">
        <f t="shared" si="1355"/>
        <v>8.1195011978106191</v>
      </c>
      <c r="AL718" s="30">
        <f t="shared" si="1356"/>
        <v>10.535071156865113</v>
      </c>
      <c r="AM718" s="32">
        <f t="shared" si="1367"/>
        <v>2.4155699590544941</v>
      </c>
      <c r="AN718" s="33">
        <f t="shared" si="1368"/>
        <v>0.29750226032429677</v>
      </c>
      <c r="AP718" s="29">
        <f t="shared" si="1369"/>
        <v>8.1257703764224392</v>
      </c>
      <c r="AQ718" s="30">
        <f t="shared" si="1370"/>
        <v>15.109229785964759</v>
      </c>
      <c r="AR718" s="32">
        <f t="shared" si="1371"/>
        <v>6.9834594095423199</v>
      </c>
      <c r="AS718" s="33">
        <f t="shared" si="1372"/>
        <v>0.85942121005601835</v>
      </c>
      <c r="AU718" s="31">
        <f t="shared" si="1373"/>
        <v>8.1815494911861784</v>
      </c>
      <c r="AV718" s="25">
        <f t="shared" si="1374"/>
        <v>10.438270828921175</v>
      </c>
      <c r="AW718" s="32">
        <f t="shared" si="1375"/>
        <v>2.2567213377349962</v>
      </c>
      <c r="AX718" s="33">
        <f t="shared" si="1376"/>
        <v>0.27583055510036547</v>
      </c>
      <c r="AZ718" s="31">
        <f t="shared" si="1357"/>
        <v>8.2397629673110675</v>
      </c>
      <c r="BA718" s="25">
        <f t="shared" si="1358"/>
        <v>11.38142697201368</v>
      </c>
      <c r="BB718" s="32">
        <f t="shared" si="1377"/>
        <v>3.1416640047026121</v>
      </c>
      <c r="BC718" s="33">
        <f t="shared" si="1378"/>
        <v>0.38128087144815653</v>
      </c>
      <c r="BE718" s="31">
        <f t="shared" si="1379"/>
        <v>8.2947786499176388</v>
      </c>
      <c r="BF718" s="25">
        <f t="shared" si="1380"/>
        <v>14.641509877042633</v>
      </c>
      <c r="BG718" s="32">
        <f t="shared" si="1381"/>
        <v>6.3467312271249945</v>
      </c>
      <c r="BH718" s="33">
        <f t="shared" si="1382"/>
        <v>0.76514775077066255</v>
      </c>
      <c r="BJ718" s="31">
        <f t="shared" si="1359"/>
        <v>8.3534035950544361</v>
      </c>
      <c r="BK718" s="25">
        <f t="shared" si="1360"/>
        <v>9.6685000000000016</v>
      </c>
      <c r="BL718" s="32">
        <f t="shared" si="1361"/>
        <v>1.3150964049455656</v>
      </c>
      <c r="BM718" s="33">
        <f t="shared" si="1362"/>
        <v>0.15743240344859641</v>
      </c>
      <c r="BO718" s="62"/>
      <c r="BP718" s="62"/>
      <c r="BQ718" s="62"/>
      <c r="BR718" s="63"/>
    </row>
    <row r="719" spans="1:70">
      <c r="B719" s="1284"/>
      <c r="D719" s="5" t="s">
        <v>166</v>
      </c>
      <c r="E719" s="87">
        <v>10.026291909471082</v>
      </c>
      <c r="F719" s="87">
        <v>10.060623414523388</v>
      </c>
      <c r="G719" s="87">
        <v>10.065935751915443</v>
      </c>
      <c r="H719" s="87">
        <v>10.134725003522307</v>
      </c>
      <c r="I719" s="87">
        <v>10.204713374130785</v>
      </c>
      <c r="J719" s="87">
        <v>10.273826702211307</v>
      </c>
      <c r="K719" s="87">
        <v>10.343745374352997</v>
      </c>
      <c r="L719" s="87">
        <v>10.415807147290488</v>
      </c>
      <c r="N719" s="29">
        <v>10.026291909471082</v>
      </c>
      <c r="O719" s="29">
        <v>10.060623414523388</v>
      </c>
      <c r="P719" s="29">
        <v>10.065935751915443</v>
      </c>
      <c r="Q719" s="29">
        <v>10.134725003522307</v>
      </c>
      <c r="R719" s="29">
        <v>10.204713374130785</v>
      </c>
      <c r="S719" s="29">
        <v>10.273826702211307</v>
      </c>
      <c r="T719" s="29">
        <v>10.343745374352997</v>
      </c>
      <c r="U719" s="29">
        <v>10.415807147290488</v>
      </c>
      <c r="W719" s="30">
        <v>12.598257091426303</v>
      </c>
      <c r="X719" s="30">
        <v>9.6591055880932259</v>
      </c>
      <c r="Y719" s="30">
        <v>8.654219113303359</v>
      </c>
      <c r="Z719" s="30">
        <v>9.3520492538156361</v>
      </c>
      <c r="AA719" s="30">
        <v>10.096720701068667</v>
      </c>
      <c r="AB719" s="30">
        <v>9.1422171555612994</v>
      </c>
      <c r="AC719" s="30">
        <v>8.8666</v>
      </c>
      <c r="AD719" s="90">
        <v>0</v>
      </c>
      <c r="AF719" s="29">
        <f t="shared" si="1363"/>
        <v>10.026291909471082</v>
      </c>
      <c r="AG719" s="30">
        <f t="shared" si="1364"/>
        <v>12.598257091426303</v>
      </c>
      <c r="AH719" s="32">
        <f t="shared" si="1365"/>
        <v>2.5719651819552212</v>
      </c>
      <c r="AI719" s="33">
        <f t="shared" si="1366"/>
        <v>0.25652207268428717</v>
      </c>
      <c r="AK719" s="29">
        <f t="shared" si="1355"/>
        <v>10.060623414523388</v>
      </c>
      <c r="AL719" s="30">
        <f t="shared" si="1356"/>
        <v>9.6591055880932259</v>
      </c>
      <c r="AM719" s="32">
        <f t="shared" si="1367"/>
        <v>-0.40151782643016176</v>
      </c>
      <c r="AN719" s="33">
        <f t="shared" si="1368"/>
        <v>-3.9909835592348654E-2</v>
      </c>
      <c r="AP719" s="29">
        <f t="shared" si="1369"/>
        <v>10.065935751915443</v>
      </c>
      <c r="AQ719" s="30">
        <f t="shared" si="1370"/>
        <v>8.654219113303359</v>
      </c>
      <c r="AR719" s="32">
        <f t="shared" si="1371"/>
        <v>-1.4117166386120843</v>
      </c>
      <c r="AS719" s="33">
        <f t="shared" si="1372"/>
        <v>-0.14024693514892039</v>
      </c>
      <c r="AU719" s="31">
        <f t="shared" si="1373"/>
        <v>10.134725003522307</v>
      </c>
      <c r="AV719" s="25">
        <f t="shared" si="1374"/>
        <v>9.3520492538156361</v>
      </c>
      <c r="AW719" s="32">
        <f t="shared" si="1375"/>
        <v>-0.7826757497066712</v>
      </c>
      <c r="AX719" s="33">
        <f t="shared" si="1376"/>
        <v>-7.7227132402177018E-2</v>
      </c>
      <c r="AZ719" s="31">
        <f t="shared" si="1357"/>
        <v>10.204713374130785</v>
      </c>
      <c r="BA719" s="25">
        <f t="shared" si="1358"/>
        <v>10.096720701068667</v>
      </c>
      <c r="BB719" s="32">
        <f t="shared" si="1377"/>
        <v>-0.10799267306211746</v>
      </c>
      <c r="BC719" s="33">
        <f t="shared" si="1378"/>
        <v>-1.0582626782627889E-2</v>
      </c>
      <c r="BE719" s="31">
        <f t="shared" si="1379"/>
        <v>10.273826702211307</v>
      </c>
      <c r="BF719" s="25">
        <f t="shared" si="1380"/>
        <v>9.1422171555612994</v>
      </c>
      <c r="BG719" s="32">
        <f t="shared" si="1381"/>
        <v>-1.131609546650008</v>
      </c>
      <c r="BH719" s="33">
        <f t="shared" si="1382"/>
        <v>-0.1101448933732203</v>
      </c>
      <c r="BJ719" s="31">
        <f t="shared" si="1359"/>
        <v>10.343745374352997</v>
      </c>
      <c r="BK719" s="25">
        <f t="shared" si="1360"/>
        <v>8.8666</v>
      </c>
      <c r="BL719" s="32">
        <f t="shared" si="1361"/>
        <v>-1.4771453743529968</v>
      </c>
      <c r="BM719" s="33">
        <f t="shared" si="1362"/>
        <v>-0.14280565896522684</v>
      </c>
      <c r="BO719" s="62"/>
      <c r="BP719" s="62"/>
      <c r="BQ719" s="62"/>
      <c r="BR719" s="63"/>
    </row>
    <row r="720" spans="1:70">
      <c r="B720" s="1284"/>
      <c r="D720" s="5" t="s">
        <v>167</v>
      </c>
      <c r="E720" s="87">
        <v>14.012124307783045</v>
      </c>
      <c r="F720" s="87">
        <v>14.058094765003757</v>
      </c>
      <c r="G720" s="87">
        <v>14.059303889359096</v>
      </c>
      <c r="H720" s="87">
        <v>14.147582921687491</v>
      </c>
      <c r="I720" s="87">
        <v>14.239463819441111</v>
      </c>
      <c r="J720" s="87">
        <v>14.330602184859533</v>
      </c>
      <c r="K720" s="87">
        <v>14.422539314528931</v>
      </c>
      <c r="L720" s="87">
        <v>14.512494449159947</v>
      </c>
      <c r="N720" s="29">
        <v>14.012124307783045</v>
      </c>
      <c r="O720" s="29">
        <v>14.058094765003757</v>
      </c>
      <c r="P720" s="29">
        <v>14.059303889359096</v>
      </c>
      <c r="Q720" s="29">
        <v>14.147582921687491</v>
      </c>
      <c r="R720" s="29">
        <v>14.239463819441111</v>
      </c>
      <c r="S720" s="29">
        <v>14.330602184859533</v>
      </c>
      <c r="T720" s="29">
        <v>14.422539314528931</v>
      </c>
      <c r="U720" s="29">
        <v>14.512494449159947</v>
      </c>
      <c r="W720" s="30">
        <v>17.396964881106104</v>
      </c>
      <c r="X720" s="30">
        <v>14.927815383105903</v>
      </c>
      <c r="Y720" s="30">
        <v>14.541034913498335</v>
      </c>
      <c r="Z720" s="30">
        <v>13.288366872802746</v>
      </c>
      <c r="AA720" s="30">
        <v>15.000016301842129</v>
      </c>
      <c r="AB720" s="30">
        <v>12.594744842215478</v>
      </c>
      <c r="AC720" s="30">
        <v>12.776199999999999</v>
      </c>
      <c r="AD720" s="90">
        <v>0</v>
      </c>
      <c r="AF720" s="29">
        <f t="shared" si="1363"/>
        <v>14.012124307783045</v>
      </c>
      <c r="AG720" s="30">
        <f t="shared" si="1364"/>
        <v>17.396964881106104</v>
      </c>
      <c r="AH720" s="32">
        <f t="shared" si="1365"/>
        <v>3.3848405733230589</v>
      </c>
      <c r="AI720" s="33">
        <f t="shared" si="1366"/>
        <v>0.24156512595616544</v>
      </c>
      <c r="AK720" s="29">
        <f t="shared" si="1355"/>
        <v>14.058094765003757</v>
      </c>
      <c r="AL720" s="30">
        <f t="shared" si="1356"/>
        <v>14.927815383105903</v>
      </c>
      <c r="AM720" s="32">
        <f t="shared" si="1367"/>
        <v>0.8697206181021464</v>
      </c>
      <c r="AN720" s="33">
        <f t="shared" si="1368"/>
        <v>6.1866179780437264E-2</v>
      </c>
      <c r="AP720" s="29">
        <f t="shared" si="1369"/>
        <v>14.059303889359096</v>
      </c>
      <c r="AQ720" s="30">
        <f t="shared" si="1370"/>
        <v>14.541034913498335</v>
      </c>
      <c r="AR720" s="32">
        <f t="shared" si="1371"/>
        <v>0.48173102413923807</v>
      </c>
      <c r="AS720" s="33">
        <f t="shared" si="1372"/>
        <v>3.426421591924194E-2</v>
      </c>
      <c r="AU720" s="31">
        <f t="shared" si="1373"/>
        <v>14.147582921687491</v>
      </c>
      <c r="AV720" s="25">
        <f t="shared" si="1374"/>
        <v>13.288366872802746</v>
      </c>
      <c r="AW720" s="32">
        <f t="shared" si="1375"/>
        <v>-0.85921604888474512</v>
      </c>
      <c r="AX720" s="33">
        <f t="shared" si="1376"/>
        <v>-6.0732356448507732E-2</v>
      </c>
      <c r="AZ720" s="31">
        <f t="shared" si="1357"/>
        <v>14.239463819441111</v>
      </c>
      <c r="BA720" s="25">
        <f t="shared" si="1358"/>
        <v>15.000016301842129</v>
      </c>
      <c r="BB720" s="32">
        <f t="shared" si="1377"/>
        <v>0.76055248240101747</v>
      </c>
      <c r="BC720" s="33">
        <f t="shared" si="1378"/>
        <v>5.3411595551978351E-2</v>
      </c>
      <c r="BE720" s="31">
        <f t="shared" si="1379"/>
        <v>14.330602184859533</v>
      </c>
      <c r="BF720" s="25">
        <f t="shared" si="1380"/>
        <v>12.594744842215478</v>
      </c>
      <c r="BG720" s="32">
        <f t="shared" si="1381"/>
        <v>-1.7358573426440547</v>
      </c>
      <c r="BH720" s="33">
        <f t="shared" si="1382"/>
        <v>-0.121129406863168</v>
      </c>
      <c r="BJ720" s="31">
        <f t="shared" si="1359"/>
        <v>14.422539314528931</v>
      </c>
      <c r="BK720" s="25">
        <f t="shared" si="1360"/>
        <v>12.776199999999999</v>
      </c>
      <c r="BL720" s="32">
        <f t="shared" si="1361"/>
        <v>-1.646339314528932</v>
      </c>
      <c r="BM720" s="33">
        <f t="shared" si="1362"/>
        <v>-0.11415044733977241</v>
      </c>
      <c r="BO720" s="62"/>
      <c r="BP720" s="62"/>
      <c r="BQ720" s="62"/>
      <c r="BR720" s="63"/>
    </row>
    <row r="721" spans="1:70">
      <c r="B721" s="1284"/>
      <c r="D721" s="5" t="s">
        <v>168</v>
      </c>
      <c r="E721" s="87">
        <v>2.2239773150795721E-2</v>
      </c>
      <c r="F721" s="87">
        <v>2.2492871699386265E-2</v>
      </c>
      <c r="G721" s="87">
        <v>2.2749075984786364E-2</v>
      </c>
      <c r="H721" s="87">
        <v>2.3008424472840593E-2</v>
      </c>
      <c r="I721" s="87">
        <v>2.3270956108731655E-2</v>
      </c>
      <c r="J721" s="87">
        <v>2.3536710322977394E-2</v>
      </c>
      <c r="K721" s="87">
        <v>2.3805727037503013E-2</v>
      </c>
      <c r="L721" s="87">
        <v>2.4078046671789487E-2</v>
      </c>
      <c r="N721" s="29">
        <v>2.1704465682830593E-2</v>
      </c>
      <c r="O721" s="29">
        <v>2.1494190600206305E-2</v>
      </c>
      <c r="P721" s="29">
        <v>2.1284691951784396E-2</v>
      </c>
      <c r="Q721" s="29">
        <v>2.1075979354026029E-2</v>
      </c>
      <c r="R721" s="29">
        <v>2.0868062543226863E-2</v>
      </c>
      <c r="S721" s="29">
        <v>2.066095137701637E-2</v>
      </c>
      <c r="T721" s="29">
        <v>2.045465583587585E-2</v>
      </c>
      <c r="U721" s="29">
        <v>2.0249186024675535E-2</v>
      </c>
      <c r="W721" s="30">
        <v>-8.4450000839044609E-4</v>
      </c>
      <c r="X721" s="30">
        <v>0</v>
      </c>
      <c r="Y721" s="30">
        <v>0</v>
      </c>
      <c r="Z721" s="30">
        <v>0</v>
      </c>
      <c r="AA721" s="30">
        <v>0</v>
      </c>
      <c r="AB721" s="30">
        <v>0</v>
      </c>
      <c r="AC721" s="30">
        <v>0</v>
      </c>
      <c r="AD721" s="90">
        <v>0</v>
      </c>
      <c r="AF721" s="29">
        <f t="shared" si="1363"/>
        <v>2.1704465682830593E-2</v>
      </c>
      <c r="AG721" s="30">
        <f t="shared" si="1364"/>
        <v>-8.4450000839044609E-4</v>
      </c>
      <c r="AH721" s="32">
        <f t="shared" si="1365"/>
        <v>-2.2548965691221039E-2</v>
      </c>
      <c r="AI721" s="33">
        <f t="shared" si="1366"/>
        <v>-1.0389090439143356</v>
      </c>
      <c r="AK721" s="29">
        <f t="shared" si="1355"/>
        <v>2.1494190600206305E-2</v>
      </c>
      <c r="AL721" s="30">
        <f t="shared" si="1356"/>
        <v>0</v>
      </c>
      <c r="AM721" s="32">
        <f t="shared" si="1367"/>
        <v>-2.1494190600206305E-2</v>
      </c>
      <c r="AN721" s="33">
        <f t="shared" si="1368"/>
        <v>-1</v>
      </c>
      <c r="AP721" s="29">
        <f t="shared" si="1369"/>
        <v>2.1284691951784396E-2</v>
      </c>
      <c r="AQ721" s="30">
        <f t="shared" si="1370"/>
        <v>0</v>
      </c>
      <c r="AR721" s="32">
        <f t="shared" si="1371"/>
        <v>-2.1284691951784396E-2</v>
      </c>
      <c r="AS721" s="33">
        <f t="shared" si="1372"/>
        <v>-1</v>
      </c>
      <c r="AU721" s="31">
        <f t="shared" si="1373"/>
        <v>2.1075979354026029E-2</v>
      </c>
      <c r="AV721" s="25">
        <f t="shared" si="1374"/>
        <v>0</v>
      </c>
      <c r="AW721" s="32">
        <f t="shared" si="1375"/>
        <v>-2.1075979354026029E-2</v>
      </c>
      <c r="AX721" s="33">
        <f t="shared" si="1376"/>
        <v>-1</v>
      </c>
      <c r="AZ721" s="31">
        <f t="shared" si="1357"/>
        <v>2.0868062543226863E-2</v>
      </c>
      <c r="BA721" s="25">
        <f t="shared" si="1358"/>
        <v>0</v>
      </c>
      <c r="BB721" s="32">
        <f t="shared" si="1377"/>
        <v>-2.0868062543226863E-2</v>
      </c>
      <c r="BC721" s="33">
        <f t="shared" si="1378"/>
        <v>-1</v>
      </c>
      <c r="BE721" s="31">
        <f t="shared" si="1379"/>
        <v>2.066095137701637E-2</v>
      </c>
      <c r="BF721" s="25">
        <f t="shared" si="1380"/>
        <v>0</v>
      </c>
      <c r="BG721" s="32">
        <f t="shared" si="1381"/>
        <v>-2.066095137701637E-2</v>
      </c>
      <c r="BH721" s="33">
        <f t="shared" si="1382"/>
        <v>-1</v>
      </c>
      <c r="BJ721" s="31">
        <f t="shared" si="1359"/>
        <v>2.045465583587585E-2</v>
      </c>
      <c r="BK721" s="25">
        <f t="shared" si="1360"/>
        <v>0</v>
      </c>
      <c r="BL721" s="32">
        <f t="shared" si="1361"/>
        <v>-2.045465583587585E-2</v>
      </c>
      <c r="BM721" s="33">
        <f t="shared" si="1362"/>
        <v>-1</v>
      </c>
      <c r="BO721" s="62"/>
      <c r="BP721" s="62"/>
      <c r="BQ721" s="62"/>
      <c r="BR721" s="63"/>
    </row>
    <row r="722" spans="1:70">
      <c r="B722" s="1284"/>
      <c r="D722" s="5" t="s">
        <v>169</v>
      </c>
      <c r="E722" s="87">
        <v>10.556883219945332</v>
      </c>
      <c r="F722" s="87">
        <v>10.689150926235499</v>
      </c>
      <c r="G722" s="87">
        <v>10.822651136508641</v>
      </c>
      <c r="H722" s="87">
        <v>10.94041795028156</v>
      </c>
      <c r="I722" s="87">
        <v>11.129801706213138</v>
      </c>
      <c r="J722" s="87">
        <v>11.11791232128626</v>
      </c>
      <c r="K722" s="87">
        <v>11.118859463036864</v>
      </c>
      <c r="L722" s="87">
        <v>11.097586624057532</v>
      </c>
      <c r="N722" s="29">
        <v>9.6661785428823883</v>
      </c>
      <c r="O722" s="29">
        <v>9.5896956160873419</v>
      </c>
      <c r="P722" s="29">
        <v>9.5109519106321905</v>
      </c>
      <c r="Q722" s="29">
        <v>9.4180924284541021</v>
      </c>
      <c r="R722" s="29">
        <v>9.3876077687843615</v>
      </c>
      <c r="S722" s="29">
        <v>9.178636277415249</v>
      </c>
      <c r="T722" s="29">
        <v>8.9819325745833485</v>
      </c>
      <c r="U722" s="29">
        <v>8.766637983632048</v>
      </c>
      <c r="W722" s="30">
        <v>2.8724312103968948</v>
      </c>
      <c r="X722" s="30">
        <v>6.9428587298028566</v>
      </c>
      <c r="Y722" s="30">
        <v>5.9157091981176189</v>
      </c>
      <c r="Z722" s="30">
        <v>5.037446946938668</v>
      </c>
      <c r="AA722" s="30">
        <v>5.419275644114915</v>
      </c>
      <c r="AB722" s="30">
        <v>5.4663783455013943</v>
      </c>
      <c r="AC722" s="30">
        <v>7.1232128079946015</v>
      </c>
      <c r="AD722" s="90">
        <v>0</v>
      </c>
      <c r="AF722" s="29">
        <f t="shared" si="1363"/>
        <v>9.6661785428823883</v>
      </c>
      <c r="AG722" s="30">
        <f t="shared" si="1364"/>
        <v>2.8724312103968948</v>
      </c>
      <c r="AH722" s="32">
        <f t="shared" si="1365"/>
        <v>-6.7937473324854931</v>
      </c>
      <c r="AI722" s="33">
        <f t="shared" si="1366"/>
        <v>-0.70283693833567906</v>
      </c>
      <c r="AK722" s="29">
        <f t="shared" si="1355"/>
        <v>9.5896956160873419</v>
      </c>
      <c r="AL722" s="30">
        <f t="shared" si="1356"/>
        <v>6.9428587298028566</v>
      </c>
      <c r="AM722" s="32">
        <f t="shared" si="1367"/>
        <v>-2.6468368862844853</v>
      </c>
      <c r="AN722" s="33">
        <f t="shared" si="1368"/>
        <v>-0.27600843574682843</v>
      </c>
      <c r="AP722" s="29">
        <f t="shared" si="1369"/>
        <v>9.5109519106321905</v>
      </c>
      <c r="AQ722" s="30">
        <f t="shared" si="1370"/>
        <v>5.9157091981176189</v>
      </c>
      <c r="AR722" s="32">
        <f t="shared" si="1371"/>
        <v>-3.5952427125145716</v>
      </c>
      <c r="AS722" s="33">
        <f t="shared" si="1372"/>
        <v>-0.37801081808598869</v>
      </c>
      <c r="AU722" s="31">
        <f t="shared" si="1373"/>
        <v>9.4180924284541021</v>
      </c>
      <c r="AV722" s="25">
        <f t="shared" si="1374"/>
        <v>5.037446946938668</v>
      </c>
      <c r="AW722" s="32">
        <f t="shared" si="1375"/>
        <v>-4.3806454815154341</v>
      </c>
      <c r="AX722" s="33">
        <f t="shared" si="1376"/>
        <v>-0.46513086538422077</v>
      </c>
      <c r="AZ722" s="31">
        <f t="shared" si="1357"/>
        <v>9.3876077687843615</v>
      </c>
      <c r="BA722" s="25">
        <f t="shared" si="1358"/>
        <v>5.419275644114915</v>
      </c>
      <c r="BB722" s="32">
        <f t="shared" si="1377"/>
        <v>-3.9683321246694465</v>
      </c>
      <c r="BC722" s="33">
        <f t="shared" si="1378"/>
        <v>-0.42272027362124459</v>
      </c>
      <c r="BE722" s="31">
        <f t="shared" si="1379"/>
        <v>9.178636277415249</v>
      </c>
      <c r="BF722" s="25">
        <f t="shared" si="1380"/>
        <v>5.4663783455013943</v>
      </c>
      <c r="BG722" s="32">
        <f t="shared" si="1381"/>
        <v>-3.7122579319138547</v>
      </c>
      <c r="BH722" s="33">
        <f t="shared" si="1382"/>
        <v>-0.40444547748864995</v>
      </c>
      <c r="BJ722" s="31">
        <f t="shared" si="1359"/>
        <v>8.9819325745833485</v>
      </c>
      <c r="BK722" s="25">
        <f t="shared" si="1360"/>
        <v>7.1232128079946015</v>
      </c>
      <c r="BL722" s="32">
        <f t="shared" si="1361"/>
        <v>-1.8587197665887469</v>
      </c>
      <c r="BM722" s="33">
        <f t="shared" si="1362"/>
        <v>-0.20693984854088807</v>
      </c>
      <c r="BO722" s="62"/>
      <c r="BP722" s="62"/>
      <c r="BQ722" s="62"/>
      <c r="BR722" s="63"/>
    </row>
    <row r="723" spans="1:70">
      <c r="B723" s="1284"/>
      <c r="D723" s="5" t="s">
        <v>170</v>
      </c>
      <c r="E723" s="87">
        <v>20.206632274347953</v>
      </c>
      <c r="F723" s="87">
        <v>20.554735362482347</v>
      </c>
      <c r="G723" s="87">
        <v>20.997542492167003</v>
      </c>
      <c r="H723" s="87">
        <v>21.236265119669138</v>
      </c>
      <c r="I723" s="87">
        <v>21.437970673005694</v>
      </c>
      <c r="J723" s="87">
        <v>21.410198781034385</v>
      </c>
      <c r="K723" s="87">
        <v>21.410568017632585</v>
      </c>
      <c r="L723" s="87">
        <v>21.381088944033966</v>
      </c>
      <c r="N723" s="29">
        <v>20.298852885211534</v>
      </c>
      <c r="O723" s="29">
        <v>20.215950239820856</v>
      </c>
      <c r="P723" s="29">
        <v>20.219800921589798</v>
      </c>
      <c r="Q723" s="29">
        <v>20.02052021972305</v>
      </c>
      <c r="R723" s="29">
        <v>19.781887106228456</v>
      </c>
      <c r="S723" s="29">
        <v>19.319525713772414</v>
      </c>
      <c r="T723" s="29">
        <v>18.888431644499168</v>
      </c>
      <c r="U723" s="29">
        <v>18.429944044509675</v>
      </c>
      <c r="W723" s="30">
        <v>7.8817890471145224</v>
      </c>
      <c r="X723" s="30">
        <v>12.648345142959805</v>
      </c>
      <c r="Y723" s="30">
        <v>10.804661179078439</v>
      </c>
      <c r="Z723" s="30">
        <v>10.920045239892485</v>
      </c>
      <c r="AA723" s="30">
        <v>14.486899926259261</v>
      </c>
      <c r="AB723" s="30">
        <v>10.802782025002855</v>
      </c>
      <c r="AC723" s="30">
        <v>12.459990018666339</v>
      </c>
      <c r="AD723" s="90">
        <v>0</v>
      </c>
      <c r="AF723" s="29">
        <f t="shared" si="1363"/>
        <v>20.298852885211534</v>
      </c>
      <c r="AG723" s="30">
        <f t="shared" si="1364"/>
        <v>7.8817890471145224</v>
      </c>
      <c r="AH723" s="32">
        <f t="shared" si="1365"/>
        <v>-12.417063838097011</v>
      </c>
      <c r="AI723" s="33">
        <f t="shared" si="1366"/>
        <v>-0.61171258830804676</v>
      </c>
      <c r="AK723" s="29">
        <f t="shared" si="1355"/>
        <v>20.215950239820856</v>
      </c>
      <c r="AL723" s="30">
        <f t="shared" si="1356"/>
        <v>12.648345142959805</v>
      </c>
      <c r="AM723" s="32">
        <f t="shared" si="1367"/>
        <v>-7.5676050968610511</v>
      </c>
      <c r="AN723" s="33">
        <f t="shared" si="1368"/>
        <v>-0.37433833221228346</v>
      </c>
      <c r="AP723" s="29">
        <f t="shared" si="1369"/>
        <v>20.219800921589798</v>
      </c>
      <c r="AQ723" s="30">
        <f t="shared" si="1370"/>
        <v>10.804661179078439</v>
      </c>
      <c r="AR723" s="32">
        <f t="shared" si="1371"/>
        <v>-9.415139742511359</v>
      </c>
      <c r="AS723" s="33">
        <f t="shared" si="1372"/>
        <v>-0.46563958661226457</v>
      </c>
      <c r="AU723" s="31">
        <f t="shared" si="1373"/>
        <v>20.02052021972305</v>
      </c>
      <c r="AV723" s="25">
        <f t="shared" si="1374"/>
        <v>10.920045239892485</v>
      </c>
      <c r="AW723" s="32">
        <f t="shared" si="1375"/>
        <v>-9.1004749798305653</v>
      </c>
      <c r="AX723" s="33">
        <f t="shared" si="1376"/>
        <v>-0.45455736813798214</v>
      </c>
      <c r="AZ723" s="31">
        <f t="shared" si="1357"/>
        <v>19.781887106228456</v>
      </c>
      <c r="BA723" s="25">
        <f t="shared" si="1358"/>
        <v>14.486899926259261</v>
      </c>
      <c r="BB723" s="32">
        <f t="shared" si="1377"/>
        <v>-5.2949871799691959</v>
      </c>
      <c r="BC723" s="33">
        <f t="shared" si="1378"/>
        <v>-0.26766845607475104</v>
      </c>
      <c r="BE723" s="31">
        <f t="shared" si="1379"/>
        <v>19.319525713772414</v>
      </c>
      <c r="BF723" s="25">
        <f t="shared" si="1380"/>
        <v>10.802782025002855</v>
      </c>
      <c r="BG723" s="32">
        <f t="shared" si="1381"/>
        <v>-8.5167436887695587</v>
      </c>
      <c r="BH723" s="33">
        <f t="shared" si="1382"/>
        <v>-0.44083606476416665</v>
      </c>
      <c r="BJ723" s="31">
        <f t="shared" si="1359"/>
        <v>18.888431644499168</v>
      </c>
      <c r="BK723" s="25">
        <f t="shared" si="1360"/>
        <v>12.459990018666339</v>
      </c>
      <c r="BL723" s="32">
        <f t="shared" si="1361"/>
        <v>-6.4284416258328285</v>
      </c>
      <c r="BM723" s="33">
        <f t="shared" si="1362"/>
        <v>-0.3403375011130142</v>
      </c>
      <c r="BO723" s="62"/>
      <c r="BP723" s="62"/>
      <c r="BQ723" s="62"/>
      <c r="BR723" s="63"/>
    </row>
    <row r="724" spans="1:70">
      <c r="B724" s="1284"/>
      <c r="D724" s="5" t="s">
        <v>171</v>
      </c>
      <c r="E724" s="87">
        <v>9.1816835911539236</v>
      </c>
      <c r="F724" s="87">
        <v>9.9185035796014986</v>
      </c>
      <c r="G724" s="87">
        <v>10.508788316268225</v>
      </c>
      <c r="H724" s="87">
        <v>9.5173808109278291</v>
      </c>
      <c r="I724" s="87">
        <v>10.25588115299459</v>
      </c>
      <c r="J724" s="87">
        <v>10.858013075683257</v>
      </c>
      <c r="K724" s="87">
        <v>9.9200512776685397</v>
      </c>
      <c r="L724" s="87">
        <v>10.654427892165343</v>
      </c>
      <c r="N724" s="29">
        <v>8.4563014177895983</v>
      </c>
      <c r="O724" s="29">
        <v>8.9595008982584279</v>
      </c>
      <c r="P724" s="29">
        <v>9.3286806184196873</v>
      </c>
      <c r="Q724" s="29">
        <v>8.2984559597449632</v>
      </c>
      <c r="R724" s="29">
        <v>8.7868774853000993</v>
      </c>
      <c r="S724" s="29">
        <v>9.1429443935182793</v>
      </c>
      <c r="T724" s="29">
        <v>8.1431990960802061</v>
      </c>
      <c r="U724" s="29">
        <v>8.6113601157364084</v>
      </c>
      <c r="W724" s="30">
        <v>3.7557856399968497</v>
      </c>
      <c r="X724" s="30">
        <v>3.8500760239530769</v>
      </c>
      <c r="Y724" s="30">
        <v>4.0121084254483286</v>
      </c>
      <c r="Z724" s="30">
        <v>3.6633182748479989</v>
      </c>
      <c r="AA724" s="30">
        <v>5.1875055526223113</v>
      </c>
      <c r="AB724" s="30">
        <v>4.9963826697956826</v>
      </c>
      <c r="AC724" s="30">
        <v>5.3029252269618903</v>
      </c>
      <c r="AD724" s="90">
        <v>0</v>
      </c>
      <c r="AF724" s="29">
        <f t="shared" si="1363"/>
        <v>8.4563014177895983</v>
      </c>
      <c r="AG724" s="30">
        <f t="shared" si="1364"/>
        <v>3.7557856399968497</v>
      </c>
      <c r="AH724" s="32">
        <f t="shared" si="1365"/>
        <v>-4.7005157777927487</v>
      </c>
      <c r="AI724" s="33">
        <f t="shared" si="1366"/>
        <v>-0.55585953545887457</v>
      </c>
      <c r="AK724" s="29">
        <f t="shared" si="1355"/>
        <v>8.9595008982584279</v>
      </c>
      <c r="AL724" s="30">
        <f t="shared" si="1356"/>
        <v>3.8500760239530769</v>
      </c>
      <c r="AM724" s="32">
        <f t="shared" si="1367"/>
        <v>-5.1094248743053505</v>
      </c>
      <c r="AN724" s="33">
        <f t="shared" si="1368"/>
        <v>-0.57028007835777261</v>
      </c>
      <c r="AP724" s="29">
        <f t="shared" si="1369"/>
        <v>9.3286806184196873</v>
      </c>
      <c r="AQ724" s="30">
        <f t="shared" si="1370"/>
        <v>4.0121084254483286</v>
      </c>
      <c r="AR724" s="32">
        <f t="shared" si="1371"/>
        <v>-5.3165721929713587</v>
      </c>
      <c r="AS724" s="33">
        <f t="shared" si="1372"/>
        <v>-0.56991684145276333</v>
      </c>
      <c r="AU724" s="31">
        <f t="shared" si="1373"/>
        <v>8.2984559597449632</v>
      </c>
      <c r="AV724" s="25">
        <f t="shared" si="1374"/>
        <v>3.6633182748479989</v>
      </c>
      <c r="AW724" s="32">
        <f t="shared" si="1375"/>
        <v>-4.6351376848969643</v>
      </c>
      <c r="AX724" s="33">
        <f t="shared" si="1376"/>
        <v>-0.55855423073660759</v>
      </c>
      <c r="AZ724" s="31">
        <f t="shared" si="1357"/>
        <v>8.7868774853000993</v>
      </c>
      <c r="BA724" s="25">
        <f t="shared" si="1358"/>
        <v>5.1875055526223113</v>
      </c>
      <c r="BB724" s="32">
        <f t="shared" si="1377"/>
        <v>-3.599371932677788</v>
      </c>
      <c r="BC724" s="33">
        <f t="shared" si="1378"/>
        <v>-0.40963037651308032</v>
      </c>
      <c r="BE724" s="31">
        <f t="shared" si="1379"/>
        <v>9.1429443935182793</v>
      </c>
      <c r="BF724" s="25">
        <f t="shared" si="1380"/>
        <v>4.9963826697956826</v>
      </c>
      <c r="BG724" s="32">
        <f t="shared" si="1381"/>
        <v>-4.1465617237225967</v>
      </c>
      <c r="BH724" s="33">
        <f t="shared" si="1382"/>
        <v>-0.45352586051624955</v>
      </c>
      <c r="BJ724" s="31">
        <f t="shared" si="1359"/>
        <v>8.1431990960802061</v>
      </c>
      <c r="BK724" s="25">
        <f t="shared" si="1360"/>
        <v>5.3029252269618903</v>
      </c>
      <c r="BL724" s="32">
        <f t="shared" si="1361"/>
        <v>-2.8402738691183158</v>
      </c>
      <c r="BM724" s="33">
        <f t="shared" si="1362"/>
        <v>-0.34879091565936343</v>
      </c>
      <c r="BO724" s="62"/>
      <c r="BP724" s="62"/>
      <c r="BQ724" s="62"/>
      <c r="BR724" s="63"/>
    </row>
    <row r="725" spans="1:70">
      <c r="B725" s="1284"/>
      <c r="D725" s="5" t="s">
        <v>172</v>
      </c>
      <c r="E725" s="87">
        <v>14.043881395192713</v>
      </c>
      <c r="F725" s="87">
        <v>14.599035926988835</v>
      </c>
      <c r="G725" s="87">
        <v>14.192196067811732</v>
      </c>
      <c r="H725" s="87">
        <v>14.5046994516235</v>
      </c>
      <c r="I725" s="87">
        <v>14.872967610014861</v>
      </c>
      <c r="J725" s="87">
        <v>14.733003382284268</v>
      </c>
      <c r="K725" s="87">
        <v>14.920157812980376</v>
      </c>
      <c r="L725" s="87">
        <v>15.486348677420743</v>
      </c>
      <c r="N725" s="29">
        <v>13.628293386253077</v>
      </c>
      <c r="O725" s="29">
        <v>13.916606607141132</v>
      </c>
      <c r="P725" s="29">
        <v>13.270366125874341</v>
      </c>
      <c r="Q725" s="29">
        <v>13.340020491256677</v>
      </c>
      <c r="R725" s="29">
        <v>13.421025464190928</v>
      </c>
      <c r="S725" s="29">
        <v>13.019364124357736</v>
      </c>
      <c r="T725" s="29">
        <v>12.920608461134041</v>
      </c>
      <c r="U725" s="29">
        <v>13.17115425157083</v>
      </c>
      <c r="W725" s="30">
        <v>13.206237323252008</v>
      </c>
      <c r="X725" s="30">
        <v>13.369812060657196</v>
      </c>
      <c r="Y725" s="30">
        <v>10.994986301206035</v>
      </c>
      <c r="Z725" s="30">
        <v>10.206173347965324</v>
      </c>
      <c r="AA725" s="30">
        <v>11.558352771023873</v>
      </c>
      <c r="AB725" s="30">
        <v>9.7197263003186212</v>
      </c>
      <c r="AC725" s="30">
        <v>10.706592090341562</v>
      </c>
      <c r="AD725" s="90">
        <v>0</v>
      </c>
      <c r="AF725" s="29">
        <f t="shared" si="1363"/>
        <v>13.628293386253077</v>
      </c>
      <c r="AG725" s="30">
        <f t="shared" si="1364"/>
        <v>13.206237323252008</v>
      </c>
      <c r="AH725" s="32">
        <f t="shared" si="1365"/>
        <v>-0.42205606300106879</v>
      </c>
      <c r="AI725" s="33">
        <f t="shared" si="1366"/>
        <v>-3.0969106038383258E-2</v>
      </c>
      <c r="AK725" s="29">
        <f t="shared" si="1355"/>
        <v>13.916606607141132</v>
      </c>
      <c r="AL725" s="30">
        <f t="shared" si="1356"/>
        <v>13.369812060657196</v>
      </c>
      <c r="AM725" s="32">
        <f t="shared" si="1367"/>
        <v>-0.54679454648393566</v>
      </c>
      <c r="AN725" s="33">
        <f t="shared" si="1368"/>
        <v>-3.9290795660154317E-2</v>
      </c>
      <c r="AP725" s="29">
        <f t="shared" si="1369"/>
        <v>13.270366125874341</v>
      </c>
      <c r="AQ725" s="30">
        <f t="shared" si="1370"/>
        <v>10.994986301206035</v>
      </c>
      <c r="AR725" s="32">
        <f t="shared" si="1371"/>
        <v>-2.2753798246683061</v>
      </c>
      <c r="AS725" s="33">
        <f t="shared" si="1372"/>
        <v>-0.17146322890306756</v>
      </c>
      <c r="AU725" s="31">
        <f t="shared" si="1373"/>
        <v>13.340020491256677</v>
      </c>
      <c r="AV725" s="25">
        <f t="shared" si="1374"/>
        <v>10.206173347965324</v>
      </c>
      <c r="AW725" s="32">
        <f t="shared" si="1375"/>
        <v>-3.1338471432913533</v>
      </c>
      <c r="AX725" s="33">
        <f t="shared" si="1376"/>
        <v>-0.2349207143531257</v>
      </c>
      <c r="AZ725" s="31">
        <f t="shared" si="1357"/>
        <v>13.421025464190928</v>
      </c>
      <c r="BA725" s="25">
        <f t="shared" si="1358"/>
        <v>11.558352771023873</v>
      </c>
      <c r="BB725" s="32">
        <f t="shared" si="1377"/>
        <v>-1.8626726931670543</v>
      </c>
      <c r="BC725" s="33">
        <f t="shared" si="1378"/>
        <v>-0.13878765807701593</v>
      </c>
      <c r="BE725" s="31">
        <f t="shared" si="1379"/>
        <v>13.019364124357736</v>
      </c>
      <c r="BF725" s="25">
        <f t="shared" si="1380"/>
        <v>9.7197263003186212</v>
      </c>
      <c r="BG725" s="32">
        <f t="shared" si="1381"/>
        <v>-3.2996378240391149</v>
      </c>
      <c r="BH725" s="33">
        <f t="shared" si="1382"/>
        <v>-0.25344078194002356</v>
      </c>
      <c r="BJ725" s="31">
        <f t="shared" si="1359"/>
        <v>12.920608461134041</v>
      </c>
      <c r="BK725" s="25">
        <f t="shared" si="1360"/>
        <v>10.706592090341562</v>
      </c>
      <c r="BL725" s="32">
        <f t="shared" si="1361"/>
        <v>-2.2140163707924785</v>
      </c>
      <c r="BM725" s="33">
        <f t="shared" si="1362"/>
        <v>-0.17135542629067133</v>
      </c>
      <c r="BO725" s="62"/>
      <c r="BP725" s="62"/>
      <c r="BQ725" s="62"/>
      <c r="BR725" s="63"/>
    </row>
    <row r="726" spans="1:70">
      <c r="B726" s="1284"/>
      <c r="D726" s="5" t="s">
        <v>28</v>
      </c>
      <c r="E726" s="87">
        <v>8.6342407569370767</v>
      </c>
      <c r="F726" s="87">
        <v>8.6413544676540912</v>
      </c>
      <c r="G726" s="87">
        <v>8.6487328414829125</v>
      </c>
      <c r="H726" s="87">
        <v>8.6318628902435925</v>
      </c>
      <c r="I726" s="87">
        <v>8.652167890544666</v>
      </c>
      <c r="J726" s="87">
        <v>8.6728016113938367</v>
      </c>
      <c r="K726" s="87">
        <v>8.6937686380292956</v>
      </c>
      <c r="L726" s="87">
        <v>8.7151575557447831</v>
      </c>
      <c r="N726" s="29">
        <v>9.8548240362453967</v>
      </c>
      <c r="O726" s="29">
        <v>9.6989764974493529</v>
      </c>
      <c r="P726" s="29">
        <v>9.5393953269457263</v>
      </c>
      <c r="Q726" s="29">
        <v>9.3790336516896957</v>
      </c>
      <c r="R726" s="29">
        <v>9.2246966810033122</v>
      </c>
      <c r="S726" s="29">
        <v>9.0744176465362205</v>
      </c>
      <c r="T726" s="29">
        <v>8.9250315246890519</v>
      </c>
      <c r="U726" s="29">
        <v>8.7724856567167997</v>
      </c>
      <c r="W726" s="30">
        <v>8.0082409176935858</v>
      </c>
      <c r="X726" s="30">
        <v>7.8009022374997468</v>
      </c>
      <c r="Y726" s="30">
        <v>8.1089434451464708</v>
      </c>
      <c r="Z726" s="30">
        <v>8.7567247674778823</v>
      </c>
      <c r="AA726" s="30">
        <v>8.2331960685747418</v>
      </c>
      <c r="AB726" s="30">
        <v>7.6394259518643457</v>
      </c>
      <c r="AC726" s="30">
        <v>8.0388984800000003</v>
      </c>
      <c r="AD726" s="90">
        <v>0</v>
      </c>
      <c r="AF726" s="29">
        <f t="shared" si="1363"/>
        <v>9.8548240362453967</v>
      </c>
      <c r="AG726" s="30">
        <f t="shared" si="1364"/>
        <v>8.0082409176935858</v>
      </c>
      <c r="AH726" s="32">
        <f t="shared" si="1365"/>
        <v>-1.8465831185518109</v>
      </c>
      <c r="AI726" s="33">
        <f t="shared" si="1366"/>
        <v>-0.18737859872080914</v>
      </c>
      <c r="AK726" s="29">
        <f t="shared" si="1355"/>
        <v>9.6989764974493529</v>
      </c>
      <c r="AL726" s="30">
        <f t="shared" si="1356"/>
        <v>7.8009022374997468</v>
      </c>
      <c r="AM726" s="32">
        <f t="shared" si="1367"/>
        <v>-1.8980742599496061</v>
      </c>
      <c r="AN726" s="33">
        <f t="shared" si="1368"/>
        <v>-0.19569840801746077</v>
      </c>
      <c r="AP726" s="29">
        <f t="shared" si="1369"/>
        <v>9.5393953269457263</v>
      </c>
      <c r="AQ726" s="30">
        <f t="shared" si="1370"/>
        <v>8.1089434451464708</v>
      </c>
      <c r="AR726" s="32">
        <f t="shared" si="1371"/>
        <v>-1.4304518817992555</v>
      </c>
      <c r="AS726" s="33">
        <f t="shared" si="1372"/>
        <v>-0.14995204966070425</v>
      </c>
      <c r="AU726" s="31">
        <f t="shared" si="1373"/>
        <v>9.3790336516896957</v>
      </c>
      <c r="AV726" s="25">
        <f t="shared" si="1374"/>
        <v>8.7567247674778823</v>
      </c>
      <c r="AW726" s="32">
        <f t="shared" si="1375"/>
        <v>-0.62230888421181341</v>
      </c>
      <c r="AX726" s="33">
        <f t="shared" si="1376"/>
        <v>-6.6351066359560437E-2</v>
      </c>
      <c r="AZ726" s="31">
        <f t="shared" si="1357"/>
        <v>9.2246966810033122</v>
      </c>
      <c r="BA726" s="25">
        <f t="shared" si="1358"/>
        <v>8.2331960685747418</v>
      </c>
      <c r="BB726" s="32">
        <f t="shared" si="1377"/>
        <v>-0.99150061242857035</v>
      </c>
      <c r="BC726" s="33">
        <f t="shared" si="1378"/>
        <v>-0.10748327524637169</v>
      </c>
      <c r="BE726" s="31">
        <f t="shared" si="1379"/>
        <v>9.0744176465362205</v>
      </c>
      <c r="BF726" s="25">
        <f t="shared" si="1380"/>
        <v>7.6394259518643457</v>
      </c>
      <c r="BG726" s="32">
        <f t="shared" si="1381"/>
        <v>-1.4349916946718748</v>
      </c>
      <c r="BH726" s="33">
        <f t="shared" si="1382"/>
        <v>-0.15813595434629601</v>
      </c>
      <c r="BJ726" s="31">
        <f t="shared" si="1359"/>
        <v>8.9250315246890519</v>
      </c>
      <c r="BK726" s="25">
        <f t="shared" si="1360"/>
        <v>8.0388984800000003</v>
      </c>
      <c r="BL726" s="32">
        <f t="shared" si="1361"/>
        <v>-0.88613304468905163</v>
      </c>
      <c r="BM726" s="33">
        <f t="shared" si="1362"/>
        <v>-9.9286264954669107E-2</v>
      </c>
      <c r="BO726" s="62"/>
      <c r="BP726" s="62"/>
      <c r="BQ726" s="62"/>
      <c r="BR726" s="63"/>
    </row>
    <row r="727" spans="1:70">
      <c r="B727" s="1284"/>
      <c r="D727" s="5" t="s">
        <v>173</v>
      </c>
      <c r="E727" s="87">
        <v>23.078629019565597</v>
      </c>
      <c r="F727" s="87">
        <v>22.101697340111233</v>
      </c>
      <c r="G727" s="87">
        <v>21.424547556834948</v>
      </c>
      <c r="H727" s="87">
        <v>19.43211673078579</v>
      </c>
      <c r="I727" s="87">
        <v>19.262596784696978</v>
      </c>
      <c r="J727" s="87">
        <v>19.258749621351964</v>
      </c>
      <c r="K727" s="87">
        <v>19.0795879117189</v>
      </c>
      <c r="L727" s="87">
        <v>18.9030930780348</v>
      </c>
      <c r="N727" s="29">
        <v>18.834574981575297</v>
      </c>
      <c r="O727" s="29">
        <v>17.961536161264593</v>
      </c>
      <c r="P727" s="29">
        <v>17.326618918338475</v>
      </c>
      <c r="Q727" s="29">
        <v>15.694827852529279</v>
      </c>
      <c r="R727" s="29">
        <v>15.454257546580147</v>
      </c>
      <c r="S727" s="29">
        <v>15.347983079297519</v>
      </c>
      <c r="T727" s="29">
        <v>15.116585621246953</v>
      </c>
      <c r="U727" s="29">
        <v>14.886857033866008</v>
      </c>
      <c r="W727" s="30">
        <v>21.606778513142121</v>
      </c>
      <c r="X727" s="30">
        <v>23.592025650289905</v>
      </c>
      <c r="Y727" s="30">
        <v>11.971279890405716</v>
      </c>
      <c r="Z727" s="30">
        <v>13.672898402817651</v>
      </c>
      <c r="AA727" s="30">
        <v>23.457530117131896</v>
      </c>
      <c r="AB727" s="30">
        <v>21.630439936174685</v>
      </c>
      <c r="AC727" s="30">
        <v>15.647180349999999</v>
      </c>
      <c r="AD727" s="90">
        <v>0</v>
      </c>
      <c r="AF727" s="29">
        <f t="shared" si="1363"/>
        <v>18.834574981575297</v>
      </c>
      <c r="AG727" s="30">
        <f t="shared" si="1364"/>
        <v>21.606778513142121</v>
      </c>
      <c r="AH727" s="32">
        <f t="shared" si="1365"/>
        <v>2.7722035315668236</v>
      </c>
      <c r="AI727" s="33">
        <f t="shared" si="1366"/>
        <v>0.14718694391982295</v>
      </c>
      <c r="AK727" s="29">
        <f t="shared" si="1355"/>
        <v>17.961536161264593</v>
      </c>
      <c r="AL727" s="30">
        <f t="shared" si="1356"/>
        <v>23.592025650289905</v>
      </c>
      <c r="AM727" s="32">
        <f t="shared" si="1367"/>
        <v>5.6304894890253117</v>
      </c>
      <c r="AN727" s="33">
        <f t="shared" si="1368"/>
        <v>0.31347482968455043</v>
      </c>
      <c r="AP727" s="29">
        <f t="shared" si="1369"/>
        <v>17.326618918338475</v>
      </c>
      <c r="AQ727" s="30">
        <f t="shared" si="1370"/>
        <v>11.971279890405716</v>
      </c>
      <c r="AR727" s="32">
        <f t="shared" si="1371"/>
        <v>-5.3553390279327591</v>
      </c>
      <c r="AS727" s="33">
        <f t="shared" si="1372"/>
        <v>-0.30908159596357682</v>
      </c>
      <c r="AU727" s="31">
        <f t="shared" si="1373"/>
        <v>15.694827852529279</v>
      </c>
      <c r="AV727" s="25">
        <f t="shared" si="1374"/>
        <v>13.672898402817651</v>
      </c>
      <c r="AW727" s="32">
        <f t="shared" si="1375"/>
        <v>-2.021929449711628</v>
      </c>
      <c r="AX727" s="33">
        <f t="shared" si="1376"/>
        <v>-0.12882775578744476</v>
      </c>
      <c r="AZ727" s="31">
        <f t="shared" si="1357"/>
        <v>15.454257546580147</v>
      </c>
      <c r="BA727" s="25">
        <f t="shared" si="1358"/>
        <v>23.457530117131896</v>
      </c>
      <c r="BB727" s="32">
        <f t="shared" si="1377"/>
        <v>8.0032725705517489</v>
      </c>
      <c r="BC727" s="33">
        <f t="shared" si="1378"/>
        <v>0.51786846093572336</v>
      </c>
      <c r="BE727" s="31">
        <f t="shared" si="1379"/>
        <v>15.347983079297519</v>
      </c>
      <c r="BF727" s="25">
        <f t="shared" si="1380"/>
        <v>21.630439936174685</v>
      </c>
      <c r="BG727" s="32">
        <f t="shared" si="1381"/>
        <v>6.2824568568771664</v>
      </c>
      <c r="BH727" s="33">
        <f t="shared" si="1382"/>
        <v>0.40933436168244175</v>
      </c>
      <c r="BJ727" s="31">
        <f t="shared" si="1359"/>
        <v>15.116585621246953</v>
      </c>
      <c r="BK727" s="25">
        <f t="shared" si="1360"/>
        <v>15.647180349999999</v>
      </c>
      <c r="BL727" s="32">
        <f t="shared" si="1361"/>
        <v>0.53059472875304614</v>
      </c>
      <c r="BM727" s="33">
        <f t="shared" si="1362"/>
        <v>3.5100170239982929E-2</v>
      </c>
      <c r="BO727" s="62"/>
      <c r="BP727" s="62"/>
      <c r="BQ727" s="62"/>
      <c r="BR727" s="63"/>
    </row>
    <row r="728" spans="1:70">
      <c r="A728" s="1"/>
      <c r="B728" s="1284"/>
      <c r="D728" s="4" t="s">
        <v>174</v>
      </c>
      <c r="E728" s="88">
        <f t="shared" ref="E728:L728" si="1383">SUM(E714:E727)</f>
        <v>145.12838945876751</v>
      </c>
      <c r="F728" s="88">
        <f t="shared" si="1383"/>
        <v>145.92087119905835</v>
      </c>
      <c r="G728" s="88">
        <f t="shared" si="1383"/>
        <v>146.02973466679509</v>
      </c>
      <c r="H728" s="88">
        <f t="shared" si="1383"/>
        <v>144.00128913614071</v>
      </c>
      <c r="I728" s="88">
        <f t="shared" si="1383"/>
        <v>145.95226020202907</v>
      </c>
      <c r="J728" s="88">
        <f t="shared" si="1383"/>
        <v>147.01374281332826</v>
      </c>
      <c r="K728" s="88">
        <f t="shared" si="1383"/>
        <v>146.44240644550251</v>
      </c>
      <c r="L728" s="88">
        <f t="shared" si="1383"/>
        <v>147.80943510660609</v>
      </c>
      <c r="M728" s="1"/>
      <c r="N728" s="81">
        <f t="shared" ref="N728:U728" si="1384">SUM(N714:N727)</f>
        <v>141.1750350047204</v>
      </c>
      <c r="O728" s="81">
        <f t="shared" si="1384"/>
        <v>140.55895724562635</v>
      </c>
      <c r="P728" s="81">
        <f t="shared" si="1384"/>
        <v>139.23710941723866</v>
      </c>
      <c r="Q728" s="81">
        <f t="shared" si="1384"/>
        <v>136.29223716333109</v>
      </c>
      <c r="R728" s="81">
        <f t="shared" si="1384"/>
        <v>136.5869599601393</v>
      </c>
      <c r="S728" s="81">
        <f t="shared" si="1384"/>
        <v>136.00978076697118</v>
      </c>
      <c r="T728" s="81">
        <f t="shared" si="1384"/>
        <v>134.03287688480302</v>
      </c>
      <c r="U728" s="81">
        <f t="shared" si="1384"/>
        <v>133.76166774808991</v>
      </c>
      <c r="V728" s="1"/>
      <c r="W728" s="85">
        <f t="shared" ref="W728:AD728" si="1385">SUM(W714:W727)</f>
        <v>136.33297561033606</v>
      </c>
      <c r="X728" s="85">
        <f t="shared" si="1385"/>
        <v>141.55546918809964</v>
      </c>
      <c r="Y728" s="85">
        <f t="shared" si="1385"/>
        <v>123.82369815412343</v>
      </c>
      <c r="Z728" s="85">
        <f>SUM(Z714:Z727)</f>
        <v>113.61759313398422</v>
      </c>
      <c r="AA728" s="85">
        <f>SUM(AA714:AA727)</f>
        <v>132.05801881026082</v>
      </c>
      <c r="AB728" s="85">
        <f t="shared" si="1385"/>
        <v>125.60098193678337</v>
      </c>
      <c r="AC728" s="85">
        <f t="shared" ref="AC728" si="1386">SUM(AC714:AC727)</f>
        <v>119.19413260043267</v>
      </c>
      <c r="AD728" s="91">
        <f t="shared" si="1385"/>
        <v>0</v>
      </c>
      <c r="AE728" s="1"/>
      <c r="AF728" s="81">
        <f t="shared" si="1363"/>
        <v>141.1750350047204</v>
      </c>
      <c r="AG728" s="85">
        <f t="shared" si="1364"/>
        <v>136.33297561033606</v>
      </c>
      <c r="AH728" s="34">
        <f>IF(AG728&gt;0,AG728-AF728,"")</f>
        <v>-4.8420593943843357</v>
      </c>
      <c r="AI728" s="35">
        <f>IF(AG728&gt;0,AH728/AF728,"")</f>
        <v>-3.4298269479603349E-2</v>
      </c>
      <c r="AK728" s="81">
        <f t="shared" si="1355"/>
        <v>140.55895724562635</v>
      </c>
      <c r="AL728" s="85">
        <f t="shared" si="1356"/>
        <v>141.55546918809964</v>
      </c>
      <c r="AM728" s="34">
        <f>IF(AL728&gt;0,AL728-AK728,"")</f>
        <v>0.99651194247329045</v>
      </c>
      <c r="AN728" s="35">
        <f>IF(AL728&gt;0,AM728/AK728,"")</f>
        <v>7.0896367047735623E-3</v>
      </c>
      <c r="AP728" s="81">
        <f t="shared" si="1369"/>
        <v>139.23710941723866</v>
      </c>
      <c r="AQ728" s="85">
        <f t="shared" si="1370"/>
        <v>123.82369815412343</v>
      </c>
      <c r="AR728" s="34">
        <f t="shared" si="1371"/>
        <v>-15.413411263115222</v>
      </c>
      <c r="AS728" s="35">
        <f t="shared" si="1372"/>
        <v>-0.11069901786690582</v>
      </c>
      <c r="AU728" s="949">
        <f t="shared" si="1373"/>
        <v>136.29223716333109</v>
      </c>
      <c r="AV728" s="843">
        <f t="shared" si="1374"/>
        <v>113.61759313398422</v>
      </c>
      <c r="AW728" s="34">
        <f t="shared" si="1375"/>
        <v>-22.674644029346879</v>
      </c>
      <c r="AX728" s="35">
        <f t="shared" si="1376"/>
        <v>-0.16636783210311412</v>
      </c>
      <c r="AZ728" s="949">
        <f t="shared" si="1357"/>
        <v>136.5869599601393</v>
      </c>
      <c r="BA728" s="843">
        <f t="shared" si="1358"/>
        <v>132.05801881026082</v>
      </c>
      <c r="BB728" s="34">
        <f t="shared" si="1377"/>
        <v>-4.5289411498784773</v>
      </c>
      <c r="BC728" s="35">
        <f t="shared" si="1378"/>
        <v>-3.3157932142278995E-2</v>
      </c>
      <c r="BE728" s="31">
        <f t="shared" si="1379"/>
        <v>136.00978076697118</v>
      </c>
      <c r="BF728" s="25">
        <f t="shared" si="1380"/>
        <v>125.60098193678337</v>
      </c>
      <c r="BG728" s="32">
        <f t="shared" si="1381"/>
        <v>-10.408798830187806</v>
      </c>
      <c r="BH728" s="33">
        <f t="shared" si="1382"/>
        <v>-7.6529781692843482E-2</v>
      </c>
      <c r="BJ728" s="31">
        <f t="shared" si="1359"/>
        <v>134.03287688480302</v>
      </c>
      <c r="BK728" s="25">
        <f t="shared" si="1360"/>
        <v>119.19413260043267</v>
      </c>
      <c r="BL728" s="32">
        <f t="shared" si="1361"/>
        <v>-14.83874428437035</v>
      </c>
      <c r="BM728" s="33">
        <f t="shared" si="1362"/>
        <v>-0.11070973502362243</v>
      </c>
      <c r="BO728" s="62"/>
      <c r="BP728" s="62"/>
      <c r="BQ728" s="62"/>
      <c r="BR728" s="63"/>
    </row>
    <row r="729" spans="1:70">
      <c r="A729" s="1"/>
      <c r="B729" s="1284"/>
      <c r="D729" s="4" t="s">
        <v>724</v>
      </c>
      <c r="E729" s="88">
        <f t="shared" ref="E729:L729" si="1387">E728-SUM(E717:E720)</f>
        <v>102.59245806961106</v>
      </c>
      <c r="F729" s="88">
        <f t="shared" si="1387"/>
        <v>103.24357180199871</v>
      </c>
      <c r="G729" s="88">
        <f t="shared" si="1387"/>
        <v>103.33182894831046</v>
      </c>
      <c r="H729" s="88">
        <f t="shared" si="1387"/>
        <v>101.01879150032973</v>
      </c>
      <c r="I729" s="88">
        <f t="shared" si="1387"/>
        <v>102.67721467164827</v>
      </c>
      <c r="J729" s="88">
        <f t="shared" si="1387"/>
        <v>103.44972367308367</v>
      </c>
      <c r="K729" s="88">
        <f t="shared" si="1387"/>
        <v>102.58671462134382</v>
      </c>
      <c r="L729" s="88">
        <f t="shared" si="1387"/>
        <v>103.65742904427466</v>
      </c>
      <c r="M729" s="1"/>
      <c r="N729" s="81">
        <f t="shared" ref="N729:U729" si="1388">N728-SUM(N717:N720)</f>
        <v>98.63910361556394</v>
      </c>
      <c r="O729" s="81">
        <f t="shared" si="1388"/>
        <v>97.881657848566704</v>
      </c>
      <c r="P729" s="81">
        <f t="shared" si="1388"/>
        <v>96.539203698754022</v>
      </c>
      <c r="Q729" s="81">
        <f t="shared" si="1388"/>
        <v>93.309739527520108</v>
      </c>
      <c r="R729" s="81">
        <f t="shared" si="1388"/>
        <v>93.311914429758502</v>
      </c>
      <c r="S729" s="81">
        <f t="shared" si="1388"/>
        <v>92.445761626726579</v>
      </c>
      <c r="T729" s="81">
        <f t="shared" si="1388"/>
        <v>90.177185060644319</v>
      </c>
      <c r="U729" s="81">
        <f t="shared" si="1388"/>
        <v>89.609661685758482</v>
      </c>
      <c r="V729" s="1"/>
      <c r="W729" s="85">
        <f t="shared" ref="W729:AD729" si="1389">W728-SUM(W717:W720)</f>
        <v>75.586924090290424</v>
      </c>
      <c r="X729" s="85">
        <f t="shared" si="1389"/>
        <v>84.790317055205065</v>
      </c>
      <c r="Y729" s="85">
        <f t="shared" si="1389"/>
        <v>66.668047805643212</v>
      </c>
      <c r="Z729" s="85">
        <f>Z728-SUM(Z717:Z720)</f>
        <v>64.621202146084116</v>
      </c>
      <c r="AA729" s="85">
        <f>AA728-SUM(AA717:AA720)</f>
        <v>81.567991773562738</v>
      </c>
      <c r="AB729" s="85">
        <f t="shared" si="1389"/>
        <v>74.884577221094645</v>
      </c>
      <c r="AC729" s="85">
        <f t="shared" ref="AC729" si="1390">AC728-SUM(AC717:AC720)</f>
        <v>73.967532600432662</v>
      </c>
      <c r="AD729" s="91">
        <f t="shared" si="1389"/>
        <v>0</v>
      </c>
      <c r="AE729" s="1"/>
      <c r="AF729" s="81">
        <f t="shared" si="1363"/>
        <v>98.63910361556394</v>
      </c>
      <c r="AG729" s="85">
        <f t="shared" si="1364"/>
        <v>75.586924090290424</v>
      </c>
      <c r="AH729" s="34">
        <f>IF(AG729&gt;0,AG729-AF729,"")</f>
        <v>-23.052179525273516</v>
      </c>
      <c r="AI729" s="35">
        <f>IF(AG729&gt;0,AH729/AF729,"")</f>
        <v>-0.23370224059534325</v>
      </c>
      <c r="AK729" s="81">
        <f t="shared" si="1355"/>
        <v>97.881657848566704</v>
      </c>
      <c r="AL729" s="85">
        <f t="shared" si="1356"/>
        <v>84.790317055205065</v>
      </c>
      <c r="AM729" s="34">
        <f>IF(AL729&gt;0,AL729-AK729,"")</f>
        <v>-13.091340793361638</v>
      </c>
      <c r="AN729" s="35">
        <f>IF(AL729&gt;0,AM729/AK729,"")</f>
        <v>-0.13374661893871198</v>
      </c>
      <c r="AP729" s="81">
        <f t="shared" si="1369"/>
        <v>96.539203698754022</v>
      </c>
      <c r="AQ729" s="85">
        <f>Y729</f>
        <v>66.668047805643212</v>
      </c>
      <c r="AR729" s="34">
        <f t="shared" si="1371"/>
        <v>-29.87115589311081</v>
      </c>
      <c r="AS729" s="35">
        <f t="shared" si="1372"/>
        <v>-0.30941995322773042</v>
      </c>
      <c r="AU729" s="949">
        <f t="shared" si="1373"/>
        <v>93.309739527520108</v>
      </c>
      <c r="AV729" s="843">
        <f t="shared" si="1374"/>
        <v>64.621202146084116</v>
      </c>
      <c r="AW729" s="34">
        <f t="shared" si="1375"/>
        <v>-28.688537381435992</v>
      </c>
      <c r="AX729" s="35">
        <f t="shared" si="1376"/>
        <v>-0.30745490799462366</v>
      </c>
      <c r="AZ729" s="949">
        <f t="shared" si="1357"/>
        <v>93.311914429758502</v>
      </c>
      <c r="BA729" s="843">
        <f t="shared" si="1358"/>
        <v>81.567991773562738</v>
      </c>
      <c r="BB729" s="34">
        <f t="shared" si="1377"/>
        <v>-11.743922656195764</v>
      </c>
      <c r="BC729" s="35">
        <f t="shared" si="1378"/>
        <v>-0.1258566253619855</v>
      </c>
      <c r="BE729" s="31">
        <f t="shared" si="1379"/>
        <v>92.445761626726579</v>
      </c>
      <c r="BF729" s="25">
        <f t="shared" si="1380"/>
        <v>74.884577221094645</v>
      </c>
      <c r="BG729" s="32">
        <f t="shared" si="1381"/>
        <v>-17.561184405631934</v>
      </c>
      <c r="BH729" s="33">
        <f t="shared" si="1382"/>
        <v>-0.1899620285085617</v>
      </c>
      <c r="BJ729" s="31">
        <f t="shared" si="1359"/>
        <v>90.177185060644319</v>
      </c>
      <c r="BK729" s="25">
        <f t="shared" si="1360"/>
        <v>73.967532600432662</v>
      </c>
      <c r="BL729" s="32">
        <f t="shared" si="1361"/>
        <v>-16.209652460211657</v>
      </c>
      <c r="BM729" s="33">
        <f t="shared" si="1362"/>
        <v>-0.17975336499260469</v>
      </c>
      <c r="BO729" s="62"/>
      <c r="BP729" s="62"/>
      <c r="BQ729" s="62"/>
      <c r="BR729" s="63"/>
    </row>
    <row r="730" spans="1:70" ht="14.5" customHeight="1">
      <c r="B730" s="1284"/>
    </row>
    <row r="731" spans="1:70" ht="14.5" customHeight="1">
      <c r="B731" s="1284"/>
      <c r="D731" s="1" t="s">
        <v>97</v>
      </c>
    </row>
    <row r="732" spans="1:70" ht="14.5" customHeight="1">
      <c r="B732" s="1284"/>
      <c r="E732" s="1300" t="s">
        <v>733</v>
      </c>
      <c r="F732" s="1301"/>
      <c r="G732" s="1301"/>
      <c r="H732" s="1301"/>
      <c r="I732" s="1301"/>
      <c r="J732" s="1301"/>
      <c r="K732" s="1301"/>
      <c r="L732" s="1302"/>
      <c r="N732" s="245" t="s">
        <v>291</v>
      </c>
      <c r="O732" s="246"/>
      <c r="P732" s="246"/>
      <c r="Q732" s="246"/>
      <c r="R732" s="246"/>
      <c r="S732" s="246"/>
      <c r="T732" s="246"/>
      <c r="U732" s="247"/>
      <c r="W732" s="1079" t="s">
        <v>292</v>
      </c>
      <c r="X732" s="1080"/>
      <c r="Y732" s="1080"/>
      <c r="Z732" s="1080"/>
      <c r="AA732" s="1080"/>
      <c r="AB732" s="1080"/>
      <c r="AC732" s="1080"/>
      <c r="AD732" s="1081"/>
      <c r="AF732" s="102" t="s">
        <v>297</v>
      </c>
      <c r="AG732" s="102" t="s">
        <v>298</v>
      </c>
      <c r="AH732" s="1304" t="s">
        <v>602</v>
      </c>
      <c r="AI732" s="1304"/>
      <c r="AK732" s="102" t="s">
        <v>297</v>
      </c>
      <c r="AL732" s="102" t="s">
        <v>298</v>
      </c>
      <c r="AM732" s="1304" t="s">
        <v>602</v>
      </c>
      <c r="AN732" s="1304"/>
      <c r="AP732" s="6" t="s">
        <v>297</v>
      </c>
      <c r="AQ732" s="5" t="s">
        <v>298</v>
      </c>
      <c r="AR732" s="1303" t="s">
        <v>602</v>
      </c>
      <c r="AS732" s="1303"/>
      <c r="AU732" s="6" t="s">
        <v>297</v>
      </c>
      <c r="AV732" s="5" t="s">
        <v>298</v>
      </c>
      <c r="AW732" s="1303" t="s">
        <v>602</v>
      </c>
      <c r="AX732" s="1303"/>
      <c r="AZ732" s="6" t="s">
        <v>297</v>
      </c>
      <c r="BA732" s="5" t="s">
        <v>298</v>
      </c>
      <c r="BB732" s="1303" t="s">
        <v>602</v>
      </c>
      <c r="BC732" s="1303"/>
      <c r="BE732" s="6" t="s">
        <v>297</v>
      </c>
      <c r="BF732" s="5" t="s">
        <v>298</v>
      </c>
      <c r="BG732" s="1082" t="s">
        <v>602</v>
      </c>
      <c r="BH732" s="1082"/>
      <c r="BJ732" s="6" t="s">
        <v>297</v>
      </c>
      <c r="BK732" s="5" t="s">
        <v>298</v>
      </c>
      <c r="BL732" s="1082" t="s">
        <v>602</v>
      </c>
      <c r="BM732" s="1082"/>
      <c r="BO732" s="6" t="s">
        <v>297</v>
      </c>
      <c r="BP732" s="5" t="s">
        <v>298</v>
      </c>
      <c r="BQ732" s="1303" t="s">
        <v>602</v>
      </c>
      <c r="BR732" s="1303"/>
    </row>
    <row r="733" spans="1:70" ht="14.5" customHeight="1">
      <c r="A733" s="1"/>
      <c r="B733" s="1284"/>
      <c r="E733" s="196" t="s">
        <v>137</v>
      </c>
      <c r="F733" s="102" t="s">
        <v>138</v>
      </c>
      <c r="G733" s="102" t="s">
        <v>139</v>
      </c>
      <c r="H733" s="102" t="s">
        <v>140</v>
      </c>
      <c r="I733" s="102" t="s">
        <v>141</v>
      </c>
      <c r="J733" s="102" t="s">
        <v>126</v>
      </c>
      <c r="K733" s="102" t="s">
        <v>142</v>
      </c>
      <c r="L733" s="197" t="s">
        <v>143</v>
      </c>
      <c r="N733" s="196" t="s">
        <v>137</v>
      </c>
      <c r="O733" s="102" t="s">
        <v>138</v>
      </c>
      <c r="P733" s="102" t="s">
        <v>139</v>
      </c>
      <c r="Q733" s="102" t="s">
        <v>140</v>
      </c>
      <c r="R733" s="102" t="s">
        <v>141</v>
      </c>
      <c r="S733" s="102" t="s">
        <v>126</v>
      </c>
      <c r="T733" s="102" t="s">
        <v>142</v>
      </c>
      <c r="U733" s="197" t="s">
        <v>143</v>
      </c>
      <c r="W733" s="196" t="s">
        <v>137</v>
      </c>
      <c r="X733" s="1078" t="s">
        <v>138</v>
      </c>
      <c r="Y733" s="1078" t="s">
        <v>139</v>
      </c>
      <c r="Z733" s="1078" t="s">
        <v>140</v>
      </c>
      <c r="AA733" s="1078" t="s">
        <v>141</v>
      </c>
      <c r="AB733" s="1078" t="s">
        <v>126</v>
      </c>
      <c r="AC733" s="1078" t="s">
        <v>142</v>
      </c>
      <c r="AD733" s="197" t="s">
        <v>143</v>
      </c>
      <c r="AF733" s="102" t="s">
        <v>734</v>
      </c>
      <c r="AG733" s="102" t="s">
        <v>734</v>
      </c>
      <c r="AH733" s="102" t="s">
        <v>734</v>
      </c>
      <c r="AI733" s="102" t="s">
        <v>606</v>
      </c>
      <c r="AK733" s="102" t="s">
        <v>734</v>
      </c>
      <c r="AL733" s="102" t="s">
        <v>734</v>
      </c>
      <c r="AM733" s="102" t="s">
        <v>734</v>
      </c>
      <c r="AN733" s="102" t="s">
        <v>606</v>
      </c>
      <c r="AP733" s="5" t="s">
        <v>734</v>
      </c>
      <c r="AQ733" s="5" t="s">
        <v>734</v>
      </c>
      <c r="AR733" s="5" t="s">
        <v>734</v>
      </c>
      <c r="AS733" s="5" t="s">
        <v>606</v>
      </c>
      <c r="AU733" s="5" t="s">
        <v>734</v>
      </c>
      <c r="AV733" s="5" t="s">
        <v>734</v>
      </c>
      <c r="AW733" s="5" t="s">
        <v>734</v>
      </c>
      <c r="AX733" s="5" t="s">
        <v>606</v>
      </c>
      <c r="AZ733" s="5" t="s">
        <v>734</v>
      </c>
      <c r="BA733" s="5" t="s">
        <v>734</v>
      </c>
      <c r="BB733" s="5" t="s">
        <v>734</v>
      </c>
      <c r="BC733" s="5" t="s">
        <v>606</v>
      </c>
      <c r="BE733" s="5" t="s">
        <v>734</v>
      </c>
      <c r="BF733" s="5" t="s">
        <v>734</v>
      </c>
      <c r="BG733" s="5" t="s">
        <v>734</v>
      </c>
      <c r="BH733" s="5" t="s">
        <v>606</v>
      </c>
      <c r="BJ733" s="5" t="s">
        <v>734</v>
      </c>
      <c r="BK733" s="5" t="s">
        <v>734</v>
      </c>
      <c r="BL733" s="5" t="s">
        <v>734</v>
      </c>
      <c r="BM733" s="5" t="s">
        <v>606</v>
      </c>
      <c r="BO733" s="5" t="s">
        <v>734</v>
      </c>
      <c r="BP733" s="5" t="s">
        <v>734</v>
      </c>
      <c r="BQ733" s="5" t="s">
        <v>734</v>
      </c>
      <c r="BR733" s="5" t="s">
        <v>606</v>
      </c>
    </row>
    <row r="734" spans="1:70">
      <c r="B734" s="1284"/>
      <c r="D734" s="5" t="s">
        <v>161</v>
      </c>
      <c r="E734" s="87">
        <v>11.328045511169964</v>
      </c>
      <c r="F734" s="87">
        <v>10.317564296995281</v>
      </c>
      <c r="G734" s="87">
        <v>9.9936277248642806</v>
      </c>
      <c r="H734" s="87">
        <v>10.580214364680796</v>
      </c>
      <c r="I734" s="87">
        <v>9.8655798248394984</v>
      </c>
      <c r="J734" s="87">
        <v>11.159371037184004</v>
      </c>
      <c r="K734" s="87">
        <v>11.181078401733288</v>
      </c>
      <c r="L734" s="87">
        <v>10.49874911950991</v>
      </c>
      <c r="N734" s="29">
        <v>10.133792492247753</v>
      </c>
      <c r="O734" s="29">
        <v>9.551389058880611</v>
      </c>
      <c r="P734" s="29">
        <v>9.3744438668317702</v>
      </c>
      <c r="Q734" s="29">
        <v>9.4930718113419239</v>
      </c>
      <c r="R734" s="29">
        <v>9.1976838540806192</v>
      </c>
      <c r="S734" s="29">
        <v>9.5670990668780593</v>
      </c>
      <c r="T734" s="29">
        <v>9.4962452423581016</v>
      </c>
      <c r="U734" s="29">
        <v>9.1580358092392959</v>
      </c>
      <c r="W734" s="30">
        <v>13.476332645476973</v>
      </c>
      <c r="X734" s="30">
        <v>12.253120403034625</v>
      </c>
      <c r="Y734" s="30">
        <v>11.173390977149479</v>
      </c>
      <c r="Z734" s="30">
        <v>12.444668823416212</v>
      </c>
      <c r="AA734" s="30">
        <v>10.443051043320301</v>
      </c>
      <c r="AB734" s="30">
        <v>10.94279761903203</v>
      </c>
      <c r="AC734" s="30">
        <v>9.4236121714589416</v>
      </c>
      <c r="AD734" s="90">
        <v>0</v>
      </c>
      <c r="AF734" s="29">
        <f>N734</f>
        <v>10.133792492247753</v>
      </c>
      <c r="AG734" s="30">
        <f>W734</f>
        <v>13.476332645476973</v>
      </c>
      <c r="AH734" s="32">
        <f>IF(AG734&gt;0,AG734-AF734,"")</f>
        <v>3.3425401532292192</v>
      </c>
      <c r="AI734" s="33">
        <f>IF(AG734&gt;0,AH734/AF734,"")</f>
        <v>0.32984099050639015</v>
      </c>
      <c r="AK734" s="29">
        <f t="shared" ref="AK734:AK749" si="1391">O734</f>
        <v>9.551389058880611</v>
      </c>
      <c r="AL734" s="30">
        <f t="shared" ref="AL734:AL749" si="1392">X734</f>
        <v>12.253120403034625</v>
      </c>
      <c r="AM734" s="32">
        <f>IF(AL734&gt;0,AL734-AK734,"")</f>
        <v>2.7017313441540143</v>
      </c>
      <c r="AN734" s="33">
        <f>IF(AL734&gt;0,AM734/AK734,"")</f>
        <v>0.28286266295916623</v>
      </c>
      <c r="AP734" s="29">
        <f>P734</f>
        <v>9.3744438668317702</v>
      </c>
      <c r="AQ734" s="30">
        <f>Y734</f>
        <v>11.173390977149479</v>
      </c>
      <c r="AR734" s="32">
        <f>AQ734-AP734</f>
        <v>1.7989471103177088</v>
      </c>
      <c r="AS734" s="33">
        <f>AR734/AP734</f>
        <v>0.19189907538757167</v>
      </c>
      <c r="AU734" s="31">
        <f>Q734</f>
        <v>9.4930718113419239</v>
      </c>
      <c r="AV734" s="25">
        <f>Z734</f>
        <v>12.444668823416212</v>
      </c>
      <c r="AW734" s="32">
        <f>AV734-AU734</f>
        <v>2.9515970120742878</v>
      </c>
      <c r="AX734" s="33">
        <f>AW734/AU734</f>
        <v>0.31092117185375584</v>
      </c>
      <c r="AZ734" s="31">
        <f t="shared" ref="AZ734:AZ749" si="1393">R734</f>
        <v>9.1976838540806192</v>
      </c>
      <c r="BA734" s="25">
        <f t="shared" ref="BA734:BA749" si="1394">AA734</f>
        <v>10.443051043320301</v>
      </c>
      <c r="BB734" s="32">
        <f>BA734-AZ734</f>
        <v>1.2453671892396816</v>
      </c>
      <c r="BC734" s="33">
        <f>BB734/AZ734</f>
        <v>0.13540008647798493</v>
      </c>
      <c r="BE734" s="31">
        <f>S734</f>
        <v>9.5670990668780593</v>
      </c>
      <c r="BF734" s="25">
        <f>AB734</f>
        <v>10.94279761903203</v>
      </c>
      <c r="BG734" s="32">
        <f>BF734-BE734</f>
        <v>1.3756985521539704</v>
      </c>
      <c r="BH734" s="33">
        <f>BG734/BE734</f>
        <v>0.14379474306027951</v>
      </c>
      <c r="BJ734" s="31">
        <f t="shared" ref="BJ734:BJ749" si="1395">T734</f>
        <v>9.4962452423581016</v>
      </c>
      <c r="BK734" s="25">
        <f t="shared" ref="BK734:BK749" si="1396">AC734</f>
        <v>9.4236121714589416</v>
      </c>
      <c r="BL734" s="32">
        <f t="shared" ref="BL734:BL749" si="1397">BK734-BJ734</f>
        <v>-7.2633070899160046E-2</v>
      </c>
      <c r="BM734" s="33">
        <f t="shared" ref="BM734:BM749" si="1398">BL734/BJ734</f>
        <v>-7.6486094288276667E-3</v>
      </c>
      <c r="BO734" s="62"/>
      <c r="BP734" s="62"/>
      <c r="BQ734" s="62"/>
      <c r="BR734" s="63"/>
    </row>
    <row r="735" spans="1:70">
      <c r="B735" s="1284"/>
      <c r="D735" s="5" t="s">
        <v>162</v>
      </c>
      <c r="E735" s="87">
        <v>7.8234081279445196</v>
      </c>
      <c r="F735" s="87">
        <v>8.3751901834717213</v>
      </c>
      <c r="G735" s="87">
        <v>8.3796325333039547</v>
      </c>
      <c r="H735" s="87">
        <v>8.4118688263331762</v>
      </c>
      <c r="I735" s="87">
        <v>8.1932071502726771</v>
      </c>
      <c r="J735" s="87">
        <v>7.5427644326892036</v>
      </c>
      <c r="K735" s="87">
        <v>7.3830720592004626</v>
      </c>
      <c r="L735" s="87">
        <v>6.8549627895798411</v>
      </c>
      <c r="N735" s="29">
        <v>7.2166619231214302</v>
      </c>
      <c r="O735" s="29">
        <v>7.3484939100443167</v>
      </c>
      <c r="P735" s="29">
        <v>7.3396510405691844</v>
      </c>
      <c r="Q735" s="29">
        <v>7.3516848071538705</v>
      </c>
      <c r="R735" s="29">
        <v>7.2332417839826215</v>
      </c>
      <c r="S735" s="29">
        <v>6.9519801526166161</v>
      </c>
      <c r="T735" s="29">
        <v>6.8455802677786615</v>
      </c>
      <c r="U735" s="29">
        <v>6.612603722678319</v>
      </c>
      <c r="W735" s="30">
        <v>9.3589124672303807</v>
      </c>
      <c r="X735" s="30">
        <v>8.7174621930318459</v>
      </c>
      <c r="Y735" s="30">
        <v>7.2204933224832741</v>
      </c>
      <c r="Z735" s="30">
        <v>9.1800443543433463</v>
      </c>
      <c r="AA735" s="30">
        <v>11.068688297514615</v>
      </c>
      <c r="AB735" s="30">
        <v>10.322396438147226</v>
      </c>
      <c r="AC735" s="30">
        <v>7.3712895701013279</v>
      </c>
      <c r="AD735" s="90">
        <v>0</v>
      </c>
      <c r="AF735" s="29">
        <f t="shared" ref="AF735:AF749" si="1399">N735</f>
        <v>7.2166619231214302</v>
      </c>
      <c r="AG735" s="30">
        <f t="shared" ref="AG735:AG749" si="1400">W735</f>
        <v>9.3589124672303807</v>
      </c>
      <c r="AH735" s="32">
        <f t="shared" ref="AH735:AH749" si="1401">IF(AG735&gt;0,AG735-AF735,"")</f>
        <v>2.1422505441089505</v>
      </c>
      <c r="AI735" s="33">
        <f t="shared" ref="AI735:AI749" si="1402">IF(AG735&gt;0,AH735/AF735,"")</f>
        <v>0.2968478455732288</v>
      </c>
      <c r="AK735" s="29">
        <f t="shared" si="1391"/>
        <v>7.3484939100443167</v>
      </c>
      <c r="AL735" s="30">
        <f t="shared" si="1392"/>
        <v>8.7174621930318459</v>
      </c>
      <c r="AM735" s="32">
        <f t="shared" ref="AM735:AM749" si="1403">IF(AL735&gt;0,AL735-AK735,"")</f>
        <v>1.3689682829875292</v>
      </c>
      <c r="AN735" s="33">
        <f t="shared" ref="AN735:AN749" si="1404">IF(AL735&gt;0,AM735/AK735,"")</f>
        <v>0.18629236136623176</v>
      </c>
      <c r="AP735" s="29">
        <f t="shared" ref="AP735:AP749" si="1405">P735</f>
        <v>7.3396510405691844</v>
      </c>
      <c r="AQ735" s="30">
        <f t="shared" ref="AQ735:AQ748" si="1406">Y735</f>
        <v>7.2204933224832741</v>
      </c>
      <c r="AR735" s="32">
        <f t="shared" ref="AR735:AR749" si="1407">AQ735-AP735</f>
        <v>-0.11915771808591025</v>
      </c>
      <c r="AS735" s="33">
        <f t="shared" ref="AS735:AS749" si="1408">AR735/AP735</f>
        <v>-1.6234793374681974E-2</v>
      </c>
      <c r="AU735" s="31">
        <f t="shared" ref="AU735:AU749" si="1409">Q735</f>
        <v>7.3516848071538705</v>
      </c>
      <c r="AV735" s="25">
        <f t="shared" ref="AV735:AV749" si="1410">Z735</f>
        <v>9.1800443543433463</v>
      </c>
      <c r="AW735" s="32">
        <f t="shared" ref="AW735:AW749" si="1411">AV735-AU735</f>
        <v>1.8283595471894758</v>
      </c>
      <c r="AX735" s="33">
        <f t="shared" ref="AX735:AX749" si="1412">AW735/AU735</f>
        <v>0.2486993927446825</v>
      </c>
      <c r="AZ735" s="31">
        <f t="shared" si="1393"/>
        <v>7.2332417839826215</v>
      </c>
      <c r="BA735" s="25">
        <f t="shared" si="1394"/>
        <v>11.068688297514615</v>
      </c>
      <c r="BB735" s="32">
        <f t="shared" ref="BB735:BB749" si="1413">BA735-AZ735</f>
        <v>3.835446513531994</v>
      </c>
      <c r="BC735" s="33">
        <f t="shared" ref="BC735:BC749" si="1414">BB735/AZ735</f>
        <v>0.53025277297176121</v>
      </c>
      <c r="BE735" s="31">
        <f t="shared" ref="BE735:BE749" si="1415">S735</f>
        <v>6.9519801526166161</v>
      </c>
      <c r="BF735" s="25">
        <f t="shared" ref="BF735:BF749" si="1416">AB735</f>
        <v>10.322396438147226</v>
      </c>
      <c r="BG735" s="32">
        <f t="shared" ref="BG735:BG749" si="1417">BF735-BE735</f>
        <v>3.3704162855306103</v>
      </c>
      <c r="BH735" s="33">
        <f t="shared" ref="BH735:BH749" si="1418">BG735/BE735</f>
        <v>0.48481385325331211</v>
      </c>
      <c r="BJ735" s="31">
        <f t="shared" si="1395"/>
        <v>6.8455802677786615</v>
      </c>
      <c r="BK735" s="25">
        <f t="shared" si="1396"/>
        <v>7.3712895701013279</v>
      </c>
      <c r="BL735" s="32">
        <f t="shared" si="1397"/>
        <v>0.52570930232266644</v>
      </c>
      <c r="BM735" s="33">
        <f t="shared" si="1398"/>
        <v>7.6795433222384094E-2</v>
      </c>
      <c r="BO735" s="62"/>
      <c r="BP735" s="62"/>
      <c r="BQ735" s="62"/>
      <c r="BR735" s="63"/>
    </row>
    <row r="736" spans="1:70">
      <c r="B736" s="1284"/>
      <c r="D736" s="5" t="s">
        <v>163</v>
      </c>
      <c r="E736" s="87">
        <v>11.073398129578818</v>
      </c>
      <c r="F736" s="87">
        <v>11.000711143132781</v>
      </c>
      <c r="G736" s="87">
        <v>11.218364063261166</v>
      </c>
      <c r="H736" s="87">
        <v>11.732965794876909</v>
      </c>
      <c r="I736" s="87">
        <v>11.234455356693939</v>
      </c>
      <c r="J736" s="87">
        <v>10.592398361111339</v>
      </c>
      <c r="K736" s="87">
        <v>10.587742207236177</v>
      </c>
      <c r="L736" s="87">
        <v>10.050292263674381</v>
      </c>
      <c r="N736" s="29">
        <v>10.280761327028191</v>
      </c>
      <c r="O736" s="29">
        <v>10.15286552395537</v>
      </c>
      <c r="P736" s="29">
        <v>10.182196486117148</v>
      </c>
      <c r="Q736" s="29">
        <v>10.36119535150212</v>
      </c>
      <c r="R736" s="29">
        <v>10.092805273640547</v>
      </c>
      <c r="S736" s="29">
        <v>9.7800288729526752</v>
      </c>
      <c r="T736" s="29">
        <v>9.6637535791046787</v>
      </c>
      <c r="U736" s="29">
        <v>9.3753846488639727</v>
      </c>
      <c r="W736" s="30">
        <v>13.095671202763807</v>
      </c>
      <c r="X736" s="30">
        <v>12.53721688734627</v>
      </c>
      <c r="Y736" s="30">
        <v>11.26759095960877</v>
      </c>
      <c r="Z736" s="30">
        <v>10.846025100412728</v>
      </c>
      <c r="AA736" s="30">
        <v>12.305551320395665</v>
      </c>
      <c r="AB736" s="30">
        <v>12.592658325785095</v>
      </c>
      <c r="AC736" s="30">
        <v>9.4458760939746771</v>
      </c>
      <c r="AD736" s="90">
        <v>0</v>
      </c>
      <c r="AF736" s="29">
        <f t="shared" si="1399"/>
        <v>10.280761327028191</v>
      </c>
      <c r="AG736" s="30">
        <f t="shared" si="1400"/>
        <v>13.095671202763807</v>
      </c>
      <c r="AH736" s="32">
        <f t="shared" si="1401"/>
        <v>2.8149098757356157</v>
      </c>
      <c r="AI736" s="33">
        <f t="shared" si="1402"/>
        <v>0.27380364023578668</v>
      </c>
      <c r="AK736" s="29">
        <f t="shared" si="1391"/>
        <v>10.15286552395537</v>
      </c>
      <c r="AL736" s="30">
        <f t="shared" si="1392"/>
        <v>12.53721688734627</v>
      </c>
      <c r="AM736" s="32">
        <f t="shared" si="1403"/>
        <v>2.3843513633909001</v>
      </c>
      <c r="AN736" s="33">
        <f t="shared" si="1404"/>
        <v>0.23484516344327594</v>
      </c>
      <c r="AP736" s="29">
        <f t="shared" si="1405"/>
        <v>10.182196486117148</v>
      </c>
      <c r="AQ736" s="30">
        <f t="shared" si="1406"/>
        <v>11.26759095960877</v>
      </c>
      <c r="AR736" s="32">
        <f t="shared" si="1407"/>
        <v>1.0853944734916219</v>
      </c>
      <c r="AS736" s="33">
        <f t="shared" si="1408"/>
        <v>0.10659728232228638</v>
      </c>
      <c r="AU736" s="31">
        <f t="shared" si="1409"/>
        <v>10.36119535150212</v>
      </c>
      <c r="AV736" s="25">
        <f t="shared" si="1410"/>
        <v>10.846025100412728</v>
      </c>
      <c r="AW736" s="32">
        <f t="shared" si="1411"/>
        <v>0.48482974891060771</v>
      </c>
      <c r="AX736" s="33">
        <f t="shared" si="1412"/>
        <v>4.6792839287632892E-2</v>
      </c>
      <c r="AZ736" s="31">
        <f t="shared" si="1393"/>
        <v>10.092805273640547</v>
      </c>
      <c r="BA736" s="25">
        <f t="shared" si="1394"/>
        <v>12.305551320395665</v>
      </c>
      <c r="BB736" s="32">
        <f t="shared" si="1413"/>
        <v>2.2127460467551181</v>
      </c>
      <c r="BC736" s="33">
        <f t="shared" si="1414"/>
        <v>0.21923994239085967</v>
      </c>
      <c r="BE736" s="31">
        <f t="shared" si="1415"/>
        <v>9.7800288729526752</v>
      </c>
      <c r="BF736" s="25">
        <f t="shared" si="1416"/>
        <v>12.592658325785095</v>
      </c>
      <c r="BG736" s="32">
        <f t="shared" si="1417"/>
        <v>2.8126294528324198</v>
      </c>
      <c r="BH736" s="33">
        <f t="shared" si="1418"/>
        <v>0.2875890745691902</v>
      </c>
      <c r="BJ736" s="31">
        <f t="shared" si="1395"/>
        <v>9.6637535791046787</v>
      </c>
      <c r="BK736" s="25">
        <f t="shared" si="1396"/>
        <v>9.4458760939746771</v>
      </c>
      <c r="BL736" s="32">
        <f t="shared" si="1397"/>
        <v>-0.2178774851300016</v>
      </c>
      <c r="BM736" s="33">
        <f t="shared" si="1398"/>
        <v>-2.2545844463698273E-2</v>
      </c>
      <c r="BO736" s="62"/>
      <c r="BP736" s="62"/>
      <c r="BQ736" s="62"/>
      <c r="BR736" s="63"/>
    </row>
    <row r="737" spans="1:70">
      <c r="B737" s="1284"/>
      <c r="D737" s="5" t="s">
        <v>164</v>
      </c>
      <c r="E737" s="87">
        <v>11.842205718317333</v>
      </c>
      <c r="F737" s="87">
        <v>11.836796911818686</v>
      </c>
      <c r="G737" s="87">
        <v>11.811762388677518</v>
      </c>
      <c r="H737" s="87">
        <v>11.829790800146682</v>
      </c>
      <c r="I737" s="87">
        <v>11.848422492231879</v>
      </c>
      <c r="J737" s="87">
        <v>12.196707889009677</v>
      </c>
      <c r="K737" s="87">
        <v>12.211359144488144</v>
      </c>
      <c r="L737" s="87">
        <v>12.221672998596651</v>
      </c>
      <c r="N737" s="29">
        <v>11.842205718317333</v>
      </c>
      <c r="O737" s="29">
        <v>11.836796911818686</v>
      </c>
      <c r="P737" s="29">
        <v>11.811762388677518</v>
      </c>
      <c r="Q737" s="29">
        <v>11.829790800146682</v>
      </c>
      <c r="R737" s="29">
        <v>11.848422492231879</v>
      </c>
      <c r="S737" s="29">
        <v>12.196707889009677</v>
      </c>
      <c r="T737" s="29">
        <v>12.211359144488144</v>
      </c>
      <c r="U737" s="29">
        <v>12.221672998596651</v>
      </c>
      <c r="W737" s="30">
        <v>18.12618615981776</v>
      </c>
      <c r="X737" s="30">
        <v>15.897718278287645</v>
      </c>
      <c r="Y737" s="30">
        <v>13.413700066931479</v>
      </c>
      <c r="Z737" s="30">
        <v>14.056080604854083</v>
      </c>
      <c r="AA737" s="30">
        <v>12.660780300163086</v>
      </c>
      <c r="AB737" s="30">
        <v>12.652921626151134</v>
      </c>
      <c r="AC737" s="30">
        <v>12.798499999999999</v>
      </c>
      <c r="AD737" s="90">
        <v>0</v>
      </c>
      <c r="AF737" s="29">
        <f t="shared" si="1399"/>
        <v>11.842205718317333</v>
      </c>
      <c r="AG737" s="30">
        <f t="shared" si="1400"/>
        <v>18.12618615981776</v>
      </c>
      <c r="AH737" s="32">
        <f t="shared" si="1401"/>
        <v>6.283980441500427</v>
      </c>
      <c r="AI737" s="33">
        <f t="shared" si="1402"/>
        <v>0.53064273590353761</v>
      </c>
      <c r="AK737" s="29">
        <f t="shared" si="1391"/>
        <v>11.836796911818686</v>
      </c>
      <c r="AL737" s="30">
        <f t="shared" si="1392"/>
        <v>15.897718278287645</v>
      </c>
      <c r="AM737" s="32">
        <f t="shared" si="1403"/>
        <v>4.0609213664689587</v>
      </c>
      <c r="AN737" s="33">
        <f t="shared" si="1404"/>
        <v>0.3430760362555727</v>
      </c>
      <c r="AP737" s="29">
        <f t="shared" si="1405"/>
        <v>11.811762388677518</v>
      </c>
      <c r="AQ737" s="30">
        <f t="shared" si="1406"/>
        <v>13.413700066931479</v>
      </c>
      <c r="AR737" s="32">
        <f t="shared" si="1407"/>
        <v>1.6019376782539609</v>
      </c>
      <c r="AS737" s="33">
        <f t="shared" si="1408"/>
        <v>0.13562224040246029</v>
      </c>
      <c r="AU737" s="31">
        <f t="shared" si="1409"/>
        <v>11.829790800146682</v>
      </c>
      <c r="AV737" s="25">
        <f t="shared" si="1410"/>
        <v>14.056080604854083</v>
      </c>
      <c r="AW737" s="32">
        <f t="shared" si="1411"/>
        <v>2.2262898047074007</v>
      </c>
      <c r="AX737" s="33">
        <f t="shared" si="1412"/>
        <v>0.18819350589697631</v>
      </c>
      <c r="AZ737" s="31">
        <f t="shared" si="1393"/>
        <v>11.848422492231879</v>
      </c>
      <c r="BA737" s="25">
        <f t="shared" si="1394"/>
        <v>12.660780300163086</v>
      </c>
      <c r="BB737" s="32">
        <f t="shared" si="1413"/>
        <v>0.81235780793120682</v>
      </c>
      <c r="BC737" s="33">
        <f t="shared" si="1414"/>
        <v>6.856252876396067E-2</v>
      </c>
      <c r="BE737" s="31">
        <f t="shared" si="1415"/>
        <v>12.196707889009677</v>
      </c>
      <c r="BF737" s="25">
        <f t="shared" si="1416"/>
        <v>12.652921626151134</v>
      </c>
      <c r="BG737" s="32">
        <f t="shared" si="1417"/>
        <v>0.45621373714145719</v>
      </c>
      <c r="BH737" s="33">
        <f t="shared" si="1418"/>
        <v>3.7404662085294881E-2</v>
      </c>
      <c r="BJ737" s="31">
        <f t="shared" si="1395"/>
        <v>12.211359144488144</v>
      </c>
      <c r="BK737" s="25">
        <f t="shared" si="1396"/>
        <v>12.798499999999999</v>
      </c>
      <c r="BL737" s="32">
        <f t="shared" si="1397"/>
        <v>0.58714085551185491</v>
      </c>
      <c r="BM737" s="33">
        <f t="shared" si="1398"/>
        <v>4.8081532003493105E-2</v>
      </c>
      <c r="BO737" s="62"/>
      <c r="BP737" s="62"/>
      <c r="BQ737" s="62"/>
      <c r="BR737" s="63"/>
    </row>
    <row r="738" spans="1:70">
      <c r="B738" s="1284"/>
      <c r="D738" s="5" t="s">
        <v>165</v>
      </c>
      <c r="E738" s="87">
        <v>10.663914561215986</v>
      </c>
      <c r="F738" s="87">
        <v>10.669668139476405</v>
      </c>
      <c r="G738" s="87">
        <v>10.639594360988166</v>
      </c>
      <c r="H738" s="87">
        <v>10.653963909211823</v>
      </c>
      <c r="I738" s="87">
        <v>10.666708843452847</v>
      </c>
      <c r="J738" s="87">
        <v>11.020136153065602</v>
      </c>
      <c r="K738" s="87">
        <v>11.029738115152297</v>
      </c>
      <c r="L738" s="87">
        <v>11.034007284203552</v>
      </c>
      <c r="N738" s="29">
        <v>10.663914561215986</v>
      </c>
      <c r="O738" s="29">
        <v>10.669668139476405</v>
      </c>
      <c r="P738" s="29">
        <v>10.639594360988166</v>
      </c>
      <c r="Q738" s="29">
        <v>10.653963909211823</v>
      </c>
      <c r="R738" s="29">
        <v>10.666708843452847</v>
      </c>
      <c r="S738" s="29">
        <v>11.020136153065602</v>
      </c>
      <c r="T738" s="29">
        <v>11.029738115152297</v>
      </c>
      <c r="U738" s="29">
        <v>11.034007284203552</v>
      </c>
      <c r="W738" s="30">
        <v>17.906700149942377</v>
      </c>
      <c r="X738" s="30">
        <v>14.345403959364811</v>
      </c>
      <c r="Y738" s="30">
        <v>12.937186040420793</v>
      </c>
      <c r="Z738" s="30">
        <v>13.001709814053964</v>
      </c>
      <c r="AA738" s="30">
        <v>12.576203803992541</v>
      </c>
      <c r="AB738" s="30">
        <v>11.233408098121137</v>
      </c>
      <c r="AC738" s="30">
        <v>11.176399999999999</v>
      </c>
      <c r="AD738" s="90">
        <v>0</v>
      </c>
      <c r="AF738" s="29">
        <f t="shared" si="1399"/>
        <v>10.663914561215986</v>
      </c>
      <c r="AG738" s="30">
        <f t="shared" si="1400"/>
        <v>17.906700149942377</v>
      </c>
      <c r="AH738" s="32">
        <f t="shared" si="1401"/>
        <v>7.2427855887263917</v>
      </c>
      <c r="AI738" s="33">
        <f t="shared" si="1402"/>
        <v>0.67918638574505896</v>
      </c>
      <c r="AK738" s="29">
        <f t="shared" si="1391"/>
        <v>10.669668139476405</v>
      </c>
      <c r="AL738" s="30">
        <f t="shared" si="1392"/>
        <v>14.345403959364811</v>
      </c>
      <c r="AM738" s="32">
        <f t="shared" si="1403"/>
        <v>3.6757358198884056</v>
      </c>
      <c r="AN738" s="33">
        <f t="shared" si="1404"/>
        <v>0.34450329399549495</v>
      </c>
      <c r="AP738" s="29">
        <f t="shared" si="1405"/>
        <v>10.639594360988166</v>
      </c>
      <c r="AQ738" s="30">
        <f t="shared" si="1406"/>
        <v>12.937186040420793</v>
      </c>
      <c r="AR738" s="32">
        <f t="shared" si="1407"/>
        <v>2.2975916794326263</v>
      </c>
      <c r="AS738" s="33">
        <f t="shared" si="1408"/>
        <v>0.21594730038366186</v>
      </c>
      <c r="AU738" s="31">
        <f t="shared" si="1409"/>
        <v>10.653963909211823</v>
      </c>
      <c r="AV738" s="25">
        <f t="shared" si="1410"/>
        <v>13.001709814053964</v>
      </c>
      <c r="AW738" s="32">
        <f t="shared" si="1411"/>
        <v>2.3477459048421405</v>
      </c>
      <c r="AX738" s="33">
        <f t="shared" si="1412"/>
        <v>0.22036360596380375</v>
      </c>
      <c r="AZ738" s="31">
        <f t="shared" si="1393"/>
        <v>10.666708843452847</v>
      </c>
      <c r="BA738" s="25">
        <f t="shared" si="1394"/>
        <v>12.576203803992541</v>
      </c>
      <c r="BB738" s="32">
        <f t="shared" si="1413"/>
        <v>1.9094949605396945</v>
      </c>
      <c r="BC738" s="33">
        <f t="shared" si="1414"/>
        <v>0.17901444471428779</v>
      </c>
      <c r="BE738" s="31">
        <f t="shared" si="1415"/>
        <v>11.020136153065602</v>
      </c>
      <c r="BF738" s="25">
        <f t="shared" si="1416"/>
        <v>11.233408098121137</v>
      </c>
      <c r="BG738" s="32">
        <f t="shared" si="1417"/>
        <v>0.21327194505553493</v>
      </c>
      <c r="BH738" s="33">
        <f t="shared" si="1418"/>
        <v>1.9352931950501043E-2</v>
      </c>
      <c r="BJ738" s="31">
        <f t="shared" si="1395"/>
        <v>11.029738115152297</v>
      </c>
      <c r="BK738" s="25">
        <f t="shared" si="1396"/>
        <v>11.176399999999999</v>
      </c>
      <c r="BL738" s="32">
        <f t="shared" si="1397"/>
        <v>0.14666188484770259</v>
      </c>
      <c r="BM738" s="33">
        <f t="shared" si="1398"/>
        <v>1.3296950781290378E-2</v>
      </c>
      <c r="BO738" s="62"/>
      <c r="BP738" s="62"/>
      <c r="BQ738" s="62"/>
      <c r="BR738" s="63"/>
    </row>
    <row r="739" spans="1:70">
      <c r="B739" s="1284"/>
      <c r="D739" s="5" t="s">
        <v>166</v>
      </c>
      <c r="E739" s="87">
        <v>6.1323879321084256</v>
      </c>
      <c r="F739" s="87">
        <v>6.126972649693136</v>
      </c>
      <c r="G739" s="87">
        <v>6.1024188093121676</v>
      </c>
      <c r="H739" s="87">
        <v>6.1029432675998532</v>
      </c>
      <c r="I739" s="87">
        <v>6.1057187596445939</v>
      </c>
      <c r="J739" s="87">
        <v>6.2539861656833136</v>
      </c>
      <c r="K739" s="87">
        <v>6.251914496865993</v>
      </c>
      <c r="L739" s="87">
        <v>6.2496069010105328</v>
      </c>
      <c r="N739" s="29">
        <v>6.1323879321084256</v>
      </c>
      <c r="O739" s="29">
        <v>6.126972649693136</v>
      </c>
      <c r="P739" s="29">
        <v>6.1024188093121676</v>
      </c>
      <c r="Q739" s="29">
        <v>6.1029432675998532</v>
      </c>
      <c r="R739" s="29">
        <v>6.1057187596445939</v>
      </c>
      <c r="S739" s="29">
        <v>6.2539861656833136</v>
      </c>
      <c r="T739" s="29">
        <v>6.251914496865993</v>
      </c>
      <c r="U739" s="29">
        <v>6.2496069010105328</v>
      </c>
      <c r="W739" s="30">
        <v>8.9425556810428901</v>
      </c>
      <c r="X739" s="30">
        <v>7.6288851210602582</v>
      </c>
      <c r="Y739" s="30">
        <v>8.896437644593826</v>
      </c>
      <c r="Z739" s="30">
        <v>7.7682964618012917</v>
      </c>
      <c r="AA739" s="30">
        <v>7.3442375155689819</v>
      </c>
      <c r="AB739" s="30">
        <v>6.5739765847290839</v>
      </c>
      <c r="AC739" s="30">
        <v>6.7292999999999994</v>
      </c>
      <c r="AD739" s="90">
        <v>0</v>
      </c>
      <c r="AF739" s="29">
        <f t="shared" si="1399"/>
        <v>6.1323879321084256</v>
      </c>
      <c r="AG739" s="30">
        <f t="shared" si="1400"/>
        <v>8.9425556810428901</v>
      </c>
      <c r="AH739" s="32">
        <f t="shared" si="1401"/>
        <v>2.8101677489344645</v>
      </c>
      <c r="AI739" s="33">
        <f t="shared" si="1402"/>
        <v>0.45825015965163807</v>
      </c>
      <c r="AK739" s="29">
        <f t="shared" si="1391"/>
        <v>6.126972649693136</v>
      </c>
      <c r="AL739" s="30">
        <f t="shared" si="1392"/>
        <v>7.6288851210602582</v>
      </c>
      <c r="AM739" s="32">
        <f t="shared" si="1403"/>
        <v>1.5019124713671221</v>
      </c>
      <c r="AN739" s="33">
        <f t="shared" si="1404"/>
        <v>0.24513125114771714</v>
      </c>
      <c r="AP739" s="29">
        <f t="shared" si="1405"/>
        <v>6.1024188093121676</v>
      </c>
      <c r="AQ739" s="30">
        <f t="shared" si="1406"/>
        <v>8.896437644593826</v>
      </c>
      <c r="AR739" s="32">
        <f t="shared" si="1407"/>
        <v>2.7940188352816584</v>
      </c>
      <c r="AS739" s="33">
        <f t="shared" si="1408"/>
        <v>0.45785432343942734</v>
      </c>
      <c r="AU739" s="31">
        <f t="shared" si="1409"/>
        <v>6.1029432675998532</v>
      </c>
      <c r="AV739" s="25">
        <f t="shared" si="1410"/>
        <v>7.7682964618012917</v>
      </c>
      <c r="AW739" s="32">
        <f t="shared" si="1411"/>
        <v>1.6653531942014386</v>
      </c>
      <c r="AX739" s="33">
        <f t="shared" si="1412"/>
        <v>0.27287705639387067</v>
      </c>
      <c r="AZ739" s="31">
        <f t="shared" si="1393"/>
        <v>6.1057187596445939</v>
      </c>
      <c r="BA739" s="25">
        <f t="shared" si="1394"/>
        <v>7.3442375155689819</v>
      </c>
      <c r="BB739" s="32">
        <f t="shared" si="1413"/>
        <v>1.238518755924388</v>
      </c>
      <c r="BC739" s="33">
        <f t="shared" si="1414"/>
        <v>0.20284569346860656</v>
      </c>
      <c r="BE739" s="31">
        <f t="shared" si="1415"/>
        <v>6.2539861656833136</v>
      </c>
      <c r="BF739" s="25">
        <f t="shared" si="1416"/>
        <v>6.5739765847290839</v>
      </c>
      <c r="BG739" s="32">
        <f t="shared" si="1417"/>
        <v>0.3199904190457703</v>
      </c>
      <c r="BH739" s="33">
        <f t="shared" si="1418"/>
        <v>5.1165834168551923E-2</v>
      </c>
      <c r="BJ739" s="31">
        <f t="shared" si="1395"/>
        <v>6.251914496865993</v>
      </c>
      <c r="BK739" s="25">
        <f t="shared" si="1396"/>
        <v>6.7292999999999994</v>
      </c>
      <c r="BL739" s="32">
        <f t="shared" si="1397"/>
        <v>0.47738550313400641</v>
      </c>
      <c r="BM739" s="33">
        <f t="shared" si="1398"/>
        <v>7.6358290468193993E-2</v>
      </c>
      <c r="BO739" s="62"/>
      <c r="BP739" s="62"/>
      <c r="BQ739" s="62"/>
      <c r="BR739" s="63"/>
    </row>
    <row r="740" spans="1:70">
      <c r="B740" s="1284"/>
      <c r="D740" s="5" t="s">
        <v>167</v>
      </c>
      <c r="E740" s="87">
        <v>8.4928978581177663</v>
      </c>
      <c r="F740" s="87">
        <v>8.4862924251463436</v>
      </c>
      <c r="G740" s="87">
        <v>8.4485642483975916</v>
      </c>
      <c r="H740" s="87">
        <v>8.4397022830944053</v>
      </c>
      <c r="I740" s="87">
        <v>8.4402555535957635</v>
      </c>
      <c r="J740" s="87">
        <v>8.6402403280681472</v>
      </c>
      <c r="K740" s="87">
        <v>8.6314692949670171</v>
      </c>
      <c r="L740" s="87">
        <v>8.7143062738777495</v>
      </c>
      <c r="N740" s="29">
        <v>8.4928978581177663</v>
      </c>
      <c r="O740" s="29">
        <v>8.4862924251463436</v>
      </c>
      <c r="P740" s="29">
        <v>8.4485642483975916</v>
      </c>
      <c r="Q740" s="29">
        <v>8.4397022830944053</v>
      </c>
      <c r="R740" s="29">
        <v>8.4402555535957635</v>
      </c>
      <c r="S740" s="29">
        <v>8.6402403280681472</v>
      </c>
      <c r="T740" s="29">
        <v>8.6314692949670171</v>
      </c>
      <c r="U740" s="29">
        <v>8.7143062738777495</v>
      </c>
      <c r="W740" s="30">
        <v>11.825858237001462</v>
      </c>
      <c r="X740" s="30">
        <v>10.597304635611641</v>
      </c>
      <c r="Y740" s="30">
        <v>9.71477408442097</v>
      </c>
      <c r="Z740" s="30">
        <v>9.7770924788569342</v>
      </c>
      <c r="AA740" s="30">
        <v>9.5335911189711062</v>
      </c>
      <c r="AB740" s="30">
        <v>8.2833162727294383</v>
      </c>
      <c r="AC740" s="30">
        <v>9.2222999999999988</v>
      </c>
      <c r="AD740" s="90">
        <v>0</v>
      </c>
      <c r="AF740" s="29">
        <f t="shared" si="1399"/>
        <v>8.4928978581177663</v>
      </c>
      <c r="AG740" s="30">
        <f t="shared" si="1400"/>
        <v>11.825858237001462</v>
      </c>
      <c r="AH740" s="32">
        <f t="shared" si="1401"/>
        <v>3.3329603788836959</v>
      </c>
      <c r="AI740" s="33">
        <f t="shared" si="1402"/>
        <v>0.39244088820613243</v>
      </c>
      <c r="AK740" s="29">
        <f t="shared" si="1391"/>
        <v>8.4862924251463436</v>
      </c>
      <c r="AL740" s="30">
        <f t="shared" si="1392"/>
        <v>10.597304635611641</v>
      </c>
      <c r="AM740" s="32">
        <f t="shared" si="1403"/>
        <v>2.1110122104652973</v>
      </c>
      <c r="AN740" s="33">
        <f t="shared" si="1404"/>
        <v>0.24875553477393791</v>
      </c>
      <c r="AP740" s="29">
        <f t="shared" si="1405"/>
        <v>8.4485642483975916</v>
      </c>
      <c r="AQ740" s="30">
        <f t="shared" si="1406"/>
        <v>9.71477408442097</v>
      </c>
      <c r="AR740" s="32">
        <f t="shared" si="1407"/>
        <v>1.2662098360233784</v>
      </c>
      <c r="AS740" s="33">
        <f t="shared" si="1408"/>
        <v>0.14987278297179735</v>
      </c>
      <c r="AU740" s="31">
        <f t="shared" si="1409"/>
        <v>8.4397022830944053</v>
      </c>
      <c r="AV740" s="25">
        <f t="shared" si="1410"/>
        <v>9.7770924788569342</v>
      </c>
      <c r="AW740" s="32">
        <f t="shared" si="1411"/>
        <v>1.3373901957625289</v>
      </c>
      <c r="AX740" s="33">
        <f t="shared" si="1412"/>
        <v>0.1584641437460963</v>
      </c>
      <c r="AZ740" s="31">
        <f t="shared" si="1393"/>
        <v>8.4402555535957635</v>
      </c>
      <c r="BA740" s="25">
        <f t="shared" si="1394"/>
        <v>9.5335911189711062</v>
      </c>
      <c r="BB740" s="32">
        <f t="shared" si="1413"/>
        <v>1.0933355653753427</v>
      </c>
      <c r="BC740" s="33">
        <f t="shared" si="1414"/>
        <v>0.12953820632949364</v>
      </c>
      <c r="BE740" s="31">
        <f t="shared" si="1415"/>
        <v>8.6402403280681472</v>
      </c>
      <c r="BF740" s="25">
        <f t="shared" si="1416"/>
        <v>8.2833162727294383</v>
      </c>
      <c r="BG740" s="32">
        <f t="shared" si="1417"/>
        <v>-0.35692405533870897</v>
      </c>
      <c r="BH740" s="33">
        <f t="shared" si="1418"/>
        <v>-4.1309505498270421E-2</v>
      </c>
      <c r="BJ740" s="31">
        <f t="shared" si="1395"/>
        <v>8.6314692949670171</v>
      </c>
      <c r="BK740" s="25">
        <f t="shared" si="1396"/>
        <v>9.2222999999999988</v>
      </c>
      <c r="BL740" s="32">
        <f t="shared" si="1397"/>
        <v>0.59083070503298174</v>
      </c>
      <c r="BM740" s="33">
        <f t="shared" si="1398"/>
        <v>6.8450768327183095E-2</v>
      </c>
      <c r="BO740" s="62"/>
      <c r="BP740" s="62"/>
      <c r="BQ740" s="62"/>
      <c r="BR740" s="63"/>
    </row>
    <row r="741" spans="1:70">
      <c r="B741" s="1284"/>
      <c r="D741" s="5" t="s">
        <v>168</v>
      </c>
      <c r="E741" s="87">
        <v>20.380286885910987</v>
      </c>
      <c r="F741" s="87">
        <v>20.61990348718804</v>
      </c>
      <c r="G741" s="87">
        <v>19.304496092781257</v>
      </c>
      <c r="H741" s="87">
        <v>19.534167501025632</v>
      </c>
      <c r="I741" s="87">
        <v>19.423935446645856</v>
      </c>
      <c r="J741" s="87">
        <v>19.349569408494109</v>
      </c>
      <c r="K741" s="87">
        <v>17.146408950592175</v>
      </c>
      <c r="L741" s="87">
        <v>16.66820565442189</v>
      </c>
      <c r="N741" s="29">
        <v>19.992478582877013</v>
      </c>
      <c r="O741" s="29">
        <v>19.58029107366831</v>
      </c>
      <c r="P741" s="29">
        <v>18.604414236166441</v>
      </c>
      <c r="Q741" s="29">
        <v>18.541196708710917</v>
      </c>
      <c r="R741" s="29">
        <v>18.213577432658319</v>
      </c>
      <c r="S741" s="29">
        <v>17.821307350804204</v>
      </c>
      <c r="T741" s="29">
        <v>16.783388741346954</v>
      </c>
      <c r="U741" s="29">
        <v>16.262718803527843</v>
      </c>
      <c r="W741" s="30">
        <v>14.409330443119575</v>
      </c>
      <c r="X741" s="30">
        <v>14.076335899657975</v>
      </c>
      <c r="Y741" s="30">
        <v>13.740346599282113</v>
      </c>
      <c r="Z741" s="30">
        <v>12.57008311925382</v>
      </c>
      <c r="AA741" s="30">
        <v>13.066647503625129</v>
      </c>
      <c r="AB741" s="30">
        <v>15.371825496401412</v>
      </c>
      <c r="AC741" s="30">
        <v>15.489664737799906</v>
      </c>
      <c r="AD741" s="90">
        <v>0</v>
      </c>
      <c r="AF741" s="29">
        <f t="shared" si="1399"/>
        <v>19.992478582877013</v>
      </c>
      <c r="AG741" s="30">
        <f t="shared" si="1400"/>
        <v>14.409330443119575</v>
      </c>
      <c r="AH741" s="32">
        <f t="shared" si="1401"/>
        <v>-5.5831481397574372</v>
      </c>
      <c r="AI741" s="33">
        <f t="shared" si="1402"/>
        <v>-0.27926242944880503</v>
      </c>
      <c r="AK741" s="29">
        <f t="shared" si="1391"/>
        <v>19.58029107366831</v>
      </c>
      <c r="AL741" s="30">
        <f t="shared" si="1392"/>
        <v>14.076335899657975</v>
      </c>
      <c r="AM741" s="32">
        <f t="shared" si="1403"/>
        <v>-5.5039551740103345</v>
      </c>
      <c r="AN741" s="33">
        <f t="shared" si="1404"/>
        <v>-0.28109669837401374</v>
      </c>
      <c r="AP741" s="29">
        <f t="shared" si="1405"/>
        <v>18.604414236166441</v>
      </c>
      <c r="AQ741" s="30">
        <f t="shared" si="1406"/>
        <v>13.740346599282113</v>
      </c>
      <c r="AR741" s="32">
        <f t="shared" si="1407"/>
        <v>-4.8640676368843287</v>
      </c>
      <c r="AS741" s="33">
        <f t="shared" si="1408"/>
        <v>-0.26144696495892478</v>
      </c>
      <c r="AU741" s="31">
        <f t="shared" si="1409"/>
        <v>18.541196708710917</v>
      </c>
      <c r="AV741" s="25">
        <f t="shared" si="1410"/>
        <v>12.57008311925382</v>
      </c>
      <c r="AW741" s="32">
        <f t="shared" si="1411"/>
        <v>-5.9711135894570972</v>
      </c>
      <c r="AX741" s="33">
        <f t="shared" si="1412"/>
        <v>-0.32204574943384229</v>
      </c>
      <c r="AZ741" s="31">
        <f t="shared" si="1393"/>
        <v>18.213577432658319</v>
      </c>
      <c r="BA741" s="25">
        <f t="shared" si="1394"/>
        <v>13.066647503625129</v>
      </c>
      <c r="BB741" s="32">
        <f t="shared" si="1413"/>
        <v>-5.14692992903319</v>
      </c>
      <c r="BC741" s="33">
        <f t="shared" si="1414"/>
        <v>-0.28258753383639812</v>
      </c>
      <c r="BE741" s="31">
        <f t="shared" si="1415"/>
        <v>17.821307350804204</v>
      </c>
      <c r="BF741" s="25">
        <f t="shared" si="1416"/>
        <v>15.371825496401412</v>
      </c>
      <c r="BG741" s="32">
        <f t="shared" si="1417"/>
        <v>-2.4494818544027925</v>
      </c>
      <c r="BH741" s="33">
        <f t="shared" si="1418"/>
        <v>-0.13744681050530544</v>
      </c>
      <c r="BJ741" s="31">
        <f t="shared" si="1395"/>
        <v>16.783388741346954</v>
      </c>
      <c r="BK741" s="25">
        <f t="shared" si="1396"/>
        <v>15.489664737799906</v>
      </c>
      <c r="BL741" s="32">
        <f t="shared" si="1397"/>
        <v>-1.2937240035470481</v>
      </c>
      <c r="BM741" s="33">
        <f t="shared" si="1398"/>
        <v>-7.7083598758567518E-2</v>
      </c>
      <c r="BO741" s="62"/>
      <c r="BP741" s="62"/>
      <c r="BQ741" s="62"/>
      <c r="BR741" s="63"/>
    </row>
    <row r="742" spans="1:70">
      <c r="B742" s="1284"/>
      <c r="D742" s="5" t="s">
        <v>169</v>
      </c>
      <c r="E742" s="87">
        <v>12.592437757238208</v>
      </c>
      <c r="F742" s="87">
        <v>12.688681498612921</v>
      </c>
      <c r="G742" s="87">
        <v>11.894740698816749</v>
      </c>
      <c r="H742" s="87">
        <v>11.696428668602868</v>
      </c>
      <c r="I742" s="87">
        <v>11.571419407547939</v>
      </c>
      <c r="J742" s="87">
        <v>11.726415017047966</v>
      </c>
      <c r="K742" s="87">
        <v>11.861293093443821</v>
      </c>
      <c r="L742" s="87">
        <v>11.543688670593106</v>
      </c>
      <c r="N742" s="29">
        <v>11.060984409069427</v>
      </c>
      <c r="O742" s="29">
        <v>10.968001684435674</v>
      </c>
      <c r="P742" s="29">
        <v>10.410404878234619</v>
      </c>
      <c r="Q742" s="29">
        <v>10.23446046000999</v>
      </c>
      <c r="R742" s="29">
        <v>9.9987724071647062</v>
      </c>
      <c r="S742" s="29">
        <v>9.8761233948284968</v>
      </c>
      <c r="T742" s="29">
        <v>9.8517629624247025</v>
      </c>
      <c r="U742" s="29">
        <v>9.5823290437818365</v>
      </c>
      <c r="W742" s="30">
        <v>11.037529396458325</v>
      </c>
      <c r="X742" s="30">
        <v>9.8219592326520786</v>
      </c>
      <c r="Y742" s="30">
        <v>11.400373247384655</v>
      </c>
      <c r="Z742" s="30">
        <v>13.052298984723882</v>
      </c>
      <c r="AA742" s="30">
        <v>12.313853859284862</v>
      </c>
      <c r="AB742" s="30">
        <v>12.110617976029269</v>
      </c>
      <c r="AC742" s="30">
        <v>10.753639091523976</v>
      </c>
      <c r="AD742" s="90">
        <v>0</v>
      </c>
      <c r="AF742" s="29">
        <f t="shared" si="1399"/>
        <v>11.060984409069427</v>
      </c>
      <c r="AG742" s="30">
        <f t="shared" si="1400"/>
        <v>11.037529396458325</v>
      </c>
      <c r="AH742" s="32">
        <f t="shared" si="1401"/>
        <v>-2.3455012611101722E-2</v>
      </c>
      <c r="AI742" s="33">
        <f t="shared" si="1402"/>
        <v>-2.1205176450542541E-3</v>
      </c>
      <c r="AK742" s="29">
        <f t="shared" si="1391"/>
        <v>10.968001684435674</v>
      </c>
      <c r="AL742" s="30">
        <f t="shared" si="1392"/>
        <v>9.8219592326520786</v>
      </c>
      <c r="AM742" s="32">
        <f t="shared" si="1403"/>
        <v>-1.146042451783595</v>
      </c>
      <c r="AN742" s="33">
        <f t="shared" si="1404"/>
        <v>-0.10448963127074512</v>
      </c>
      <c r="AP742" s="29">
        <f t="shared" si="1405"/>
        <v>10.410404878234619</v>
      </c>
      <c r="AQ742" s="30">
        <f t="shared" si="1406"/>
        <v>11.400373247384655</v>
      </c>
      <c r="AR742" s="32">
        <f t="shared" si="1407"/>
        <v>0.98996836915003605</v>
      </c>
      <c r="AS742" s="33">
        <f t="shared" si="1408"/>
        <v>9.5094127531946043E-2</v>
      </c>
      <c r="AU742" s="31">
        <f t="shared" si="1409"/>
        <v>10.23446046000999</v>
      </c>
      <c r="AV742" s="25">
        <f t="shared" si="1410"/>
        <v>13.052298984723882</v>
      </c>
      <c r="AW742" s="32">
        <f t="shared" si="1411"/>
        <v>2.817838524713892</v>
      </c>
      <c r="AX742" s="33">
        <f t="shared" si="1412"/>
        <v>0.27532848807460647</v>
      </c>
      <c r="AZ742" s="31">
        <f t="shared" si="1393"/>
        <v>9.9987724071647062</v>
      </c>
      <c r="BA742" s="25">
        <f t="shared" si="1394"/>
        <v>12.313853859284862</v>
      </c>
      <c r="BB742" s="32">
        <f t="shared" si="1413"/>
        <v>2.3150814521201557</v>
      </c>
      <c r="BC742" s="33">
        <f t="shared" si="1414"/>
        <v>0.23153656847527246</v>
      </c>
      <c r="BE742" s="31">
        <f t="shared" si="1415"/>
        <v>9.8761233948284968</v>
      </c>
      <c r="BF742" s="25">
        <f t="shared" si="1416"/>
        <v>12.110617976029269</v>
      </c>
      <c r="BG742" s="32">
        <f t="shared" si="1417"/>
        <v>2.2344945812007726</v>
      </c>
      <c r="BH742" s="33">
        <f t="shared" si="1418"/>
        <v>0.2262521934842204</v>
      </c>
      <c r="BJ742" s="31">
        <f t="shared" si="1395"/>
        <v>9.8517629624247025</v>
      </c>
      <c r="BK742" s="25">
        <f t="shared" si="1396"/>
        <v>10.753639091523976</v>
      </c>
      <c r="BL742" s="32">
        <f t="shared" si="1397"/>
        <v>0.90187612909927317</v>
      </c>
      <c r="BM742" s="33">
        <f t="shared" si="1398"/>
        <v>9.1544643587050403E-2</v>
      </c>
      <c r="BO742" s="62"/>
      <c r="BP742" s="62"/>
      <c r="BQ742" s="62"/>
      <c r="BR742" s="63"/>
    </row>
    <row r="743" spans="1:70">
      <c r="B743" s="1284"/>
      <c r="D743" s="5" t="s">
        <v>170</v>
      </c>
      <c r="E743" s="87">
        <v>21.053473798692448</v>
      </c>
      <c r="F743" s="87">
        <v>20.289242156307306</v>
      </c>
      <c r="G743" s="87">
        <v>19.29315883256459</v>
      </c>
      <c r="H743" s="87">
        <v>19.143197178875457</v>
      </c>
      <c r="I743" s="87">
        <v>19.044370242402458</v>
      </c>
      <c r="J743" s="87">
        <v>19.329065656969096</v>
      </c>
      <c r="K743" s="87">
        <v>19.270922081719707</v>
      </c>
      <c r="L743" s="87">
        <v>19.237738917405377</v>
      </c>
      <c r="N743" s="29">
        <v>17.539394192838873</v>
      </c>
      <c r="O743" s="29">
        <v>17.031471170218616</v>
      </c>
      <c r="P743" s="29">
        <v>16.369340797156724</v>
      </c>
      <c r="Q743" s="29">
        <v>16.270333463053156</v>
      </c>
      <c r="R743" s="29">
        <v>15.968471962725339</v>
      </c>
      <c r="S743" s="29">
        <v>15.6760352158259</v>
      </c>
      <c r="T743" s="29">
        <v>15.51722024653079</v>
      </c>
      <c r="U743" s="29">
        <v>15.247390571830879</v>
      </c>
      <c r="W743" s="30">
        <v>15.322795355983995</v>
      </c>
      <c r="X743" s="30">
        <v>11.510036139645141</v>
      </c>
      <c r="Y743" s="30">
        <v>13.158064542981666</v>
      </c>
      <c r="Z743" s="30">
        <v>13.925199724727607</v>
      </c>
      <c r="AA743" s="30">
        <v>14.826887333019123</v>
      </c>
      <c r="AB743" s="30">
        <v>15.463955415946293</v>
      </c>
      <c r="AC743" s="30">
        <v>15.663342597668045</v>
      </c>
      <c r="AD743" s="90">
        <v>0</v>
      </c>
      <c r="AF743" s="29">
        <f t="shared" si="1399"/>
        <v>17.539394192838873</v>
      </c>
      <c r="AG743" s="30">
        <f t="shared" si="1400"/>
        <v>15.322795355983995</v>
      </c>
      <c r="AH743" s="32">
        <f t="shared" si="1401"/>
        <v>-2.2165988368548781</v>
      </c>
      <c r="AI743" s="33">
        <f t="shared" si="1402"/>
        <v>-0.126378300897068</v>
      </c>
      <c r="AK743" s="29">
        <f t="shared" si="1391"/>
        <v>17.031471170218616</v>
      </c>
      <c r="AL743" s="30">
        <f t="shared" si="1392"/>
        <v>11.510036139645141</v>
      </c>
      <c r="AM743" s="32">
        <f t="shared" si="1403"/>
        <v>-5.5214350305734747</v>
      </c>
      <c r="AN743" s="33">
        <f t="shared" si="1404"/>
        <v>-0.32419014044002881</v>
      </c>
      <c r="AP743" s="29">
        <f t="shared" si="1405"/>
        <v>16.369340797156724</v>
      </c>
      <c r="AQ743" s="30">
        <f t="shared" si="1406"/>
        <v>13.158064542981666</v>
      </c>
      <c r="AR743" s="32">
        <f t="shared" si="1407"/>
        <v>-3.2112762541750577</v>
      </c>
      <c r="AS743" s="33">
        <f t="shared" si="1408"/>
        <v>-0.19617627209110589</v>
      </c>
      <c r="AU743" s="31">
        <f t="shared" si="1409"/>
        <v>16.270333463053156</v>
      </c>
      <c r="AV743" s="25">
        <f t="shared" si="1410"/>
        <v>13.925199724727607</v>
      </c>
      <c r="AW743" s="32">
        <f t="shared" si="1411"/>
        <v>-2.3451337383255488</v>
      </c>
      <c r="AX743" s="33">
        <f t="shared" si="1412"/>
        <v>-0.14413556696000751</v>
      </c>
      <c r="AZ743" s="31">
        <f t="shared" si="1393"/>
        <v>15.968471962725339</v>
      </c>
      <c r="BA743" s="25">
        <f t="shared" si="1394"/>
        <v>14.826887333019123</v>
      </c>
      <c r="BB743" s="32">
        <f t="shared" si="1413"/>
        <v>-1.141584629706216</v>
      </c>
      <c r="BC743" s="33">
        <f t="shared" si="1414"/>
        <v>-7.1489910391612815E-2</v>
      </c>
      <c r="BE743" s="31">
        <f t="shared" si="1415"/>
        <v>15.6760352158259</v>
      </c>
      <c r="BF743" s="25">
        <f t="shared" si="1416"/>
        <v>15.463955415946293</v>
      </c>
      <c r="BG743" s="32">
        <f t="shared" si="1417"/>
        <v>-0.21207979987960712</v>
      </c>
      <c r="BH743" s="33">
        <f t="shared" si="1418"/>
        <v>-1.3528918311276809E-2</v>
      </c>
      <c r="BJ743" s="31">
        <f t="shared" si="1395"/>
        <v>15.51722024653079</v>
      </c>
      <c r="BK743" s="25">
        <f t="shared" si="1396"/>
        <v>15.663342597668045</v>
      </c>
      <c r="BL743" s="32">
        <f t="shared" si="1397"/>
        <v>0.14612235113725447</v>
      </c>
      <c r="BM743" s="33">
        <f t="shared" si="1398"/>
        <v>9.4167865645860948E-3</v>
      </c>
      <c r="BO743" s="62"/>
      <c r="BP743" s="62"/>
      <c r="BQ743" s="62"/>
      <c r="BR743" s="63"/>
    </row>
    <row r="744" spans="1:70">
      <c r="B744" s="1284"/>
      <c r="D744" s="5" t="s">
        <v>171</v>
      </c>
      <c r="E744" s="87">
        <v>7.8930527388879419</v>
      </c>
      <c r="F744" s="87">
        <v>8.0245749781486868</v>
      </c>
      <c r="G744" s="87">
        <v>7.8689619628892604</v>
      </c>
      <c r="H744" s="87">
        <v>7.7409565358448544</v>
      </c>
      <c r="I744" s="87">
        <v>8.1147936372809308</v>
      </c>
      <c r="J744" s="87">
        <v>9.1264686743298391</v>
      </c>
      <c r="K744" s="87">
        <v>10.28778692480649</v>
      </c>
      <c r="L744" s="87">
        <v>10.167733670500464</v>
      </c>
      <c r="N744" s="29">
        <v>8.3790820357653093</v>
      </c>
      <c r="O744" s="29">
        <v>8.3464858861462083</v>
      </c>
      <c r="P744" s="29">
        <v>8.2294382821322358</v>
      </c>
      <c r="Q744" s="29">
        <v>8.1090130105129603</v>
      </c>
      <c r="R744" s="29">
        <v>8.1788247568036159</v>
      </c>
      <c r="S744" s="29">
        <v>8.410955220237371</v>
      </c>
      <c r="T744" s="29">
        <v>8.6893358684730782</v>
      </c>
      <c r="U744" s="29">
        <v>8.5791281557297037</v>
      </c>
      <c r="W744" s="30">
        <v>7.3862673921272073</v>
      </c>
      <c r="X744" s="30">
        <v>9.7998835714016259</v>
      </c>
      <c r="Y744" s="30">
        <v>9.3174800683241319</v>
      </c>
      <c r="Z744" s="30">
        <v>9.7209012695314758</v>
      </c>
      <c r="AA744" s="30">
        <v>9.3955401729363945</v>
      </c>
      <c r="AB744" s="30">
        <v>8.9039432427575065</v>
      </c>
      <c r="AC744" s="30">
        <v>8.450575242587032</v>
      </c>
      <c r="AD744" s="90">
        <v>0</v>
      </c>
      <c r="AF744" s="29">
        <f t="shared" si="1399"/>
        <v>8.3790820357653093</v>
      </c>
      <c r="AG744" s="30">
        <f t="shared" si="1400"/>
        <v>7.3862673921272073</v>
      </c>
      <c r="AH744" s="32">
        <f t="shared" si="1401"/>
        <v>-0.99281464363810201</v>
      </c>
      <c r="AI744" s="33">
        <f t="shared" si="1402"/>
        <v>-0.1184872805159763</v>
      </c>
      <c r="AK744" s="29">
        <f t="shared" si="1391"/>
        <v>8.3464858861462083</v>
      </c>
      <c r="AL744" s="30">
        <f t="shared" si="1392"/>
        <v>9.7998835714016259</v>
      </c>
      <c r="AM744" s="32">
        <f t="shared" si="1403"/>
        <v>1.4533976852554176</v>
      </c>
      <c r="AN744" s="33">
        <f t="shared" si="1404"/>
        <v>0.17413288719122119</v>
      </c>
      <c r="AP744" s="29">
        <f t="shared" si="1405"/>
        <v>8.2294382821322358</v>
      </c>
      <c r="AQ744" s="30">
        <f t="shared" si="1406"/>
        <v>9.3174800683241319</v>
      </c>
      <c r="AR744" s="32">
        <f t="shared" si="1407"/>
        <v>1.0880417861918961</v>
      </c>
      <c r="AS744" s="33">
        <f t="shared" si="1408"/>
        <v>0.13221337215132331</v>
      </c>
      <c r="AU744" s="31">
        <f t="shared" si="1409"/>
        <v>8.1090130105129603</v>
      </c>
      <c r="AV744" s="25">
        <f t="shared" si="1410"/>
        <v>9.7209012695314758</v>
      </c>
      <c r="AW744" s="32">
        <f t="shared" si="1411"/>
        <v>1.6118882590185155</v>
      </c>
      <c r="AX744" s="33">
        <f t="shared" si="1412"/>
        <v>0.19877736747108149</v>
      </c>
      <c r="AZ744" s="31">
        <f t="shared" si="1393"/>
        <v>8.1788247568036159</v>
      </c>
      <c r="BA744" s="25">
        <f t="shared" si="1394"/>
        <v>9.3955401729363945</v>
      </c>
      <c r="BB744" s="32">
        <f t="shared" si="1413"/>
        <v>1.2167154161327787</v>
      </c>
      <c r="BC744" s="33">
        <f t="shared" si="1414"/>
        <v>0.14876408925630116</v>
      </c>
      <c r="BE744" s="31">
        <f t="shared" si="1415"/>
        <v>8.410955220237371</v>
      </c>
      <c r="BF744" s="25">
        <f t="shared" si="1416"/>
        <v>8.9039432427575065</v>
      </c>
      <c r="BG744" s="32">
        <f t="shared" si="1417"/>
        <v>0.49298802252013552</v>
      </c>
      <c r="BH744" s="33">
        <f t="shared" si="1418"/>
        <v>5.8612608153467569E-2</v>
      </c>
      <c r="BJ744" s="31">
        <f t="shared" si="1395"/>
        <v>8.6893358684730782</v>
      </c>
      <c r="BK744" s="25">
        <f t="shared" si="1396"/>
        <v>8.450575242587032</v>
      </c>
      <c r="BL744" s="32">
        <f t="shared" si="1397"/>
        <v>-0.23876062588604618</v>
      </c>
      <c r="BM744" s="33">
        <f t="shared" si="1398"/>
        <v>-2.7477430899215786E-2</v>
      </c>
      <c r="BO744" s="62"/>
      <c r="BP744" s="62"/>
      <c r="BQ744" s="62"/>
      <c r="BR744" s="63"/>
    </row>
    <row r="745" spans="1:70">
      <c r="B745" s="1284"/>
      <c r="D745" s="5" t="s">
        <v>172</v>
      </c>
      <c r="E745" s="87">
        <v>10.476193193953989</v>
      </c>
      <c r="F745" s="87">
        <v>10.744198733879671</v>
      </c>
      <c r="G745" s="87">
        <v>10.659569822640158</v>
      </c>
      <c r="H745" s="87">
        <v>10.423718045644094</v>
      </c>
      <c r="I745" s="87">
        <v>10.830191609769003</v>
      </c>
      <c r="J745" s="87">
        <v>11.445608764075317</v>
      </c>
      <c r="K745" s="87">
        <v>12.045044507044931</v>
      </c>
      <c r="L745" s="87">
        <v>12.12108981093842</v>
      </c>
      <c r="N745" s="29">
        <v>10.494548787186162</v>
      </c>
      <c r="O745" s="29">
        <v>10.468134224155403</v>
      </c>
      <c r="P745" s="29">
        <v>10.162369103219273</v>
      </c>
      <c r="Q745" s="29">
        <v>9.8255588516633967</v>
      </c>
      <c r="R745" s="29">
        <v>9.8834247684844723</v>
      </c>
      <c r="S745" s="29">
        <v>9.8630607788825078</v>
      </c>
      <c r="T745" s="29">
        <v>10.072131683635321</v>
      </c>
      <c r="U745" s="29">
        <v>10.05228716130847</v>
      </c>
      <c r="W745" s="30">
        <v>11.951825330878442</v>
      </c>
      <c r="X745" s="30">
        <v>15.229720197529957</v>
      </c>
      <c r="Y745" s="30">
        <v>12.763799914901613</v>
      </c>
      <c r="Z745" s="30">
        <v>12.541189670579381</v>
      </c>
      <c r="AA745" s="30">
        <v>11.253160692528461</v>
      </c>
      <c r="AB745" s="30">
        <v>11.456878120056023</v>
      </c>
      <c r="AC745" s="30">
        <v>10.799037976526078</v>
      </c>
      <c r="AD745" s="90">
        <v>0</v>
      </c>
      <c r="AF745" s="29">
        <f t="shared" si="1399"/>
        <v>10.494548787186162</v>
      </c>
      <c r="AG745" s="30">
        <f t="shared" si="1400"/>
        <v>11.951825330878442</v>
      </c>
      <c r="AH745" s="32">
        <f t="shared" si="1401"/>
        <v>1.4572765436922808</v>
      </c>
      <c r="AI745" s="33">
        <f t="shared" si="1402"/>
        <v>0.13886033342106283</v>
      </c>
      <c r="AK745" s="29">
        <f t="shared" si="1391"/>
        <v>10.468134224155403</v>
      </c>
      <c r="AL745" s="30">
        <f t="shared" si="1392"/>
        <v>15.229720197529957</v>
      </c>
      <c r="AM745" s="32">
        <f t="shared" si="1403"/>
        <v>4.7615859733745545</v>
      </c>
      <c r="AN745" s="33">
        <f t="shared" si="1404"/>
        <v>0.45486481844941495</v>
      </c>
      <c r="AP745" s="29">
        <f t="shared" si="1405"/>
        <v>10.162369103219273</v>
      </c>
      <c r="AQ745" s="30">
        <f t="shared" si="1406"/>
        <v>12.763799914901613</v>
      </c>
      <c r="AR745" s="32">
        <f t="shared" si="1407"/>
        <v>2.6014308116823397</v>
      </c>
      <c r="AS745" s="33">
        <f t="shared" si="1408"/>
        <v>0.25598664890633116</v>
      </c>
      <c r="AU745" s="31">
        <f t="shared" si="1409"/>
        <v>9.8255588516633967</v>
      </c>
      <c r="AV745" s="25">
        <f t="shared" si="1410"/>
        <v>12.541189670579381</v>
      </c>
      <c r="AW745" s="32">
        <f t="shared" si="1411"/>
        <v>2.7156308189159848</v>
      </c>
      <c r="AX745" s="33">
        <f t="shared" si="1412"/>
        <v>0.27638436244837594</v>
      </c>
      <c r="AZ745" s="31">
        <f t="shared" si="1393"/>
        <v>9.8834247684844723</v>
      </c>
      <c r="BA745" s="25">
        <f t="shared" si="1394"/>
        <v>11.253160692528461</v>
      </c>
      <c r="BB745" s="32">
        <f t="shared" si="1413"/>
        <v>1.3697359240439884</v>
      </c>
      <c r="BC745" s="33">
        <f t="shared" si="1414"/>
        <v>0.138589199202659</v>
      </c>
      <c r="BE745" s="31">
        <f t="shared" si="1415"/>
        <v>9.8630607788825078</v>
      </c>
      <c r="BF745" s="25">
        <f t="shared" si="1416"/>
        <v>11.456878120056023</v>
      </c>
      <c r="BG745" s="32">
        <f t="shared" si="1417"/>
        <v>1.5938173411735157</v>
      </c>
      <c r="BH745" s="33">
        <f t="shared" si="1418"/>
        <v>0.16159459795543268</v>
      </c>
      <c r="BJ745" s="31">
        <f t="shared" si="1395"/>
        <v>10.072131683635321</v>
      </c>
      <c r="BK745" s="25">
        <f t="shared" si="1396"/>
        <v>10.799037976526078</v>
      </c>
      <c r="BL745" s="32">
        <f t="shared" si="1397"/>
        <v>0.72690629289075659</v>
      </c>
      <c r="BM745" s="33">
        <f t="shared" si="1398"/>
        <v>7.2170054534910058E-2</v>
      </c>
      <c r="BO745" s="62"/>
      <c r="BP745" s="62"/>
      <c r="BQ745" s="62"/>
      <c r="BR745" s="63"/>
    </row>
    <row r="746" spans="1:70">
      <c r="B746" s="1284"/>
      <c r="D746" s="5" t="s">
        <v>28</v>
      </c>
      <c r="E746" s="87">
        <v>5.3297142672002087</v>
      </c>
      <c r="F746" s="87">
        <v>5.366565840559903</v>
      </c>
      <c r="G746" s="87">
        <v>5.3946458418379137</v>
      </c>
      <c r="H746" s="87">
        <v>5.3964261859361358</v>
      </c>
      <c r="I746" s="87">
        <v>5.1992517185555718</v>
      </c>
      <c r="J746" s="87">
        <v>5.1144363083571278</v>
      </c>
      <c r="K746" s="87">
        <v>4.9402709110812539</v>
      </c>
      <c r="L746" s="87">
        <v>4.9224819707367846</v>
      </c>
      <c r="N746" s="29">
        <v>5.604207165533003</v>
      </c>
      <c r="O746" s="29">
        <v>5.6505220453589802</v>
      </c>
      <c r="P746" s="29">
        <v>5.6222060584683424</v>
      </c>
      <c r="Q746" s="29">
        <v>5.6491861393785205</v>
      </c>
      <c r="R746" s="29">
        <v>5.4844953859949879</v>
      </c>
      <c r="S746" s="29">
        <v>5.4165170808250442</v>
      </c>
      <c r="T746" s="29">
        <v>5.3783018857647384</v>
      </c>
      <c r="U746" s="29">
        <v>5.3029051102215892</v>
      </c>
      <c r="W746" s="30">
        <v>6.4824590569575191</v>
      </c>
      <c r="X746" s="30">
        <v>7.161569791432755</v>
      </c>
      <c r="Y746" s="30">
        <v>5.2295081212258792</v>
      </c>
      <c r="Z746" s="30">
        <v>4.6785764964805923</v>
      </c>
      <c r="AA746" s="30">
        <v>4.5077689935706315</v>
      </c>
      <c r="AB746" s="30">
        <v>3.9853683429961895</v>
      </c>
      <c r="AC746" s="30">
        <v>3.2889735400000006</v>
      </c>
      <c r="AD746" s="90">
        <v>0</v>
      </c>
      <c r="AF746" s="29">
        <f t="shared" si="1399"/>
        <v>5.604207165533003</v>
      </c>
      <c r="AG746" s="30">
        <f t="shared" si="1400"/>
        <v>6.4824590569575191</v>
      </c>
      <c r="AH746" s="32">
        <f t="shared" si="1401"/>
        <v>0.8782518914245161</v>
      </c>
      <c r="AI746" s="33">
        <f t="shared" si="1402"/>
        <v>0.15671295965394377</v>
      </c>
      <c r="AK746" s="29">
        <f t="shared" si="1391"/>
        <v>5.6505220453589802</v>
      </c>
      <c r="AL746" s="30">
        <f t="shared" si="1392"/>
        <v>7.161569791432755</v>
      </c>
      <c r="AM746" s="32">
        <f t="shared" si="1403"/>
        <v>1.5110477460737748</v>
      </c>
      <c r="AN746" s="33">
        <f t="shared" si="1404"/>
        <v>0.2674173702790637</v>
      </c>
      <c r="AP746" s="29">
        <f t="shared" si="1405"/>
        <v>5.6222060584683424</v>
      </c>
      <c r="AQ746" s="30">
        <f t="shared" si="1406"/>
        <v>5.2295081212258792</v>
      </c>
      <c r="AR746" s="32">
        <f t="shared" si="1407"/>
        <v>-0.39269793724246327</v>
      </c>
      <c r="AS746" s="33">
        <f t="shared" si="1408"/>
        <v>-6.9847660003668738E-2</v>
      </c>
      <c r="AU746" s="31">
        <f t="shared" si="1409"/>
        <v>5.6491861393785205</v>
      </c>
      <c r="AV746" s="25">
        <f t="shared" si="1410"/>
        <v>4.6785764964805923</v>
      </c>
      <c r="AW746" s="32">
        <f t="shared" si="1411"/>
        <v>-0.97060964289792828</v>
      </c>
      <c r="AX746" s="33">
        <f t="shared" si="1412"/>
        <v>-0.17181406647802672</v>
      </c>
      <c r="AZ746" s="31">
        <f t="shared" si="1393"/>
        <v>5.4844953859949879</v>
      </c>
      <c r="BA746" s="25">
        <f t="shared" si="1394"/>
        <v>4.5077689935706315</v>
      </c>
      <c r="BB746" s="32">
        <f t="shared" si="1413"/>
        <v>-0.97672639242435633</v>
      </c>
      <c r="BC746" s="33">
        <f t="shared" si="1414"/>
        <v>-0.17808865240701816</v>
      </c>
      <c r="BE746" s="31">
        <f t="shared" si="1415"/>
        <v>5.4165170808250442</v>
      </c>
      <c r="BF746" s="25">
        <f t="shared" si="1416"/>
        <v>3.9853683429961895</v>
      </c>
      <c r="BG746" s="32">
        <f t="shared" si="1417"/>
        <v>-1.4311487378288548</v>
      </c>
      <c r="BH746" s="33">
        <f t="shared" si="1418"/>
        <v>-0.26421937131800977</v>
      </c>
      <c r="BJ746" s="31">
        <f t="shared" si="1395"/>
        <v>5.3783018857647384</v>
      </c>
      <c r="BK746" s="25">
        <f t="shared" si="1396"/>
        <v>3.2889735400000006</v>
      </c>
      <c r="BL746" s="32">
        <f t="shared" si="1397"/>
        <v>-2.0893283457647378</v>
      </c>
      <c r="BM746" s="33">
        <f t="shared" si="1398"/>
        <v>-0.38847360935516861</v>
      </c>
      <c r="BO746" s="62"/>
      <c r="BP746" s="62"/>
      <c r="BQ746" s="62"/>
      <c r="BR746" s="63"/>
    </row>
    <row r="747" spans="1:70">
      <c r="B747" s="1284"/>
      <c r="D747" s="5" t="s">
        <v>173</v>
      </c>
      <c r="E747" s="87">
        <v>20.303452595610533</v>
      </c>
      <c r="F747" s="87">
        <v>19.028035952083385</v>
      </c>
      <c r="G747" s="87">
        <v>19.970835825069628</v>
      </c>
      <c r="H747" s="87">
        <v>20.859834064315042</v>
      </c>
      <c r="I747" s="87">
        <v>21.158479494945301</v>
      </c>
      <c r="J747" s="87">
        <v>19.790942373925319</v>
      </c>
      <c r="K747" s="87">
        <v>20.530171915248957</v>
      </c>
      <c r="L747" s="87">
        <v>19.226082947532554</v>
      </c>
      <c r="N747" s="29">
        <v>16.836870900508583</v>
      </c>
      <c r="O747" s="29">
        <v>16.410924662944385</v>
      </c>
      <c r="P747" s="29">
        <v>16.714104469931033</v>
      </c>
      <c r="Q747" s="29">
        <v>16.941314648862026</v>
      </c>
      <c r="R747" s="29">
        <v>16.939705416447509</v>
      </c>
      <c r="S747" s="29">
        <v>16.395552130961157</v>
      </c>
      <c r="T747" s="29">
        <v>16.566274565833144</v>
      </c>
      <c r="U747" s="29">
        <v>16.027112574001595</v>
      </c>
      <c r="W747" s="30">
        <v>20.252995236906028</v>
      </c>
      <c r="X747" s="30">
        <v>18.487597496265359</v>
      </c>
      <c r="Y747" s="30">
        <v>19.419565305442767</v>
      </c>
      <c r="Z747" s="30">
        <v>15.384119410391218</v>
      </c>
      <c r="AA747" s="30">
        <v>14.271656636136907</v>
      </c>
      <c r="AB747" s="30">
        <v>13.154706510356565</v>
      </c>
      <c r="AC747" s="30">
        <v>11.260292249999999</v>
      </c>
      <c r="AD747" s="90">
        <v>0</v>
      </c>
      <c r="AF747" s="29">
        <f t="shared" si="1399"/>
        <v>16.836870900508583</v>
      </c>
      <c r="AG747" s="30">
        <f t="shared" si="1400"/>
        <v>20.252995236906028</v>
      </c>
      <c r="AH747" s="32">
        <f t="shared" si="1401"/>
        <v>3.4161243363974449</v>
      </c>
      <c r="AI747" s="33">
        <f t="shared" si="1402"/>
        <v>0.20289544040479968</v>
      </c>
      <c r="AK747" s="29">
        <f t="shared" si="1391"/>
        <v>16.410924662944385</v>
      </c>
      <c r="AL747" s="30">
        <f t="shared" si="1392"/>
        <v>18.487597496265359</v>
      </c>
      <c r="AM747" s="32">
        <f t="shared" si="1403"/>
        <v>2.0766728333209734</v>
      </c>
      <c r="AN747" s="33">
        <f t="shared" si="1404"/>
        <v>0.12654209777771197</v>
      </c>
      <c r="AP747" s="29">
        <f t="shared" si="1405"/>
        <v>16.714104469931033</v>
      </c>
      <c r="AQ747" s="30">
        <f t="shared" si="1406"/>
        <v>19.419565305442767</v>
      </c>
      <c r="AR747" s="32">
        <f t="shared" si="1407"/>
        <v>2.7054608355117331</v>
      </c>
      <c r="AS747" s="33">
        <f t="shared" si="1408"/>
        <v>0.16186693342613148</v>
      </c>
      <c r="AU747" s="31">
        <f t="shared" si="1409"/>
        <v>16.941314648862026</v>
      </c>
      <c r="AV747" s="25">
        <f t="shared" si="1410"/>
        <v>15.384119410391218</v>
      </c>
      <c r="AW747" s="32">
        <f t="shared" si="1411"/>
        <v>-1.5571952384708077</v>
      </c>
      <c r="AX747" s="33">
        <f t="shared" si="1412"/>
        <v>-9.1917024785051551E-2</v>
      </c>
      <c r="AZ747" s="31">
        <f t="shared" si="1393"/>
        <v>16.939705416447509</v>
      </c>
      <c r="BA747" s="25">
        <f t="shared" si="1394"/>
        <v>14.271656636136907</v>
      </c>
      <c r="BB747" s="32">
        <f t="shared" si="1413"/>
        <v>-2.6680487803106026</v>
      </c>
      <c r="BC747" s="33">
        <f t="shared" si="1414"/>
        <v>-0.15750266694248863</v>
      </c>
      <c r="BE747" s="31">
        <f t="shared" si="1415"/>
        <v>16.395552130961157</v>
      </c>
      <c r="BF747" s="25">
        <f t="shared" si="1416"/>
        <v>13.154706510356565</v>
      </c>
      <c r="BG747" s="32">
        <f t="shared" si="1417"/>
        <v>-3.2408456206045919</v>
      </c>
      <c r="BH747" s="33">
        <f t="shared" si="1418"/>
        <v>-0.19766614717930842</v>
      </c>
      <c r="BJ747" s="31">
        <f t="shared" si="1395"/>
        <v>16.566274565833144</v>
      </c>
      <c r="BK747" s="25">
        <f t="shared" si="1396"/>
        <v>11.260292249999999</v>
      </c>
      <c r="BL747" s="32">
        <f t="shared" si="1397"/>
        <v>-5.3059823158331447</v>
      </c>
      <c r="BM747" s="33">
        <f t="shared" si="1398"/>
        <v>-0.32028820328599322</v>
      </c>
      <c r="BO747" s="62"/>
      <c r="BP747" s="62"/>
      <c r="BQ747" s="62"/>
      <c r="BR747" s="63"/>
    </row>
    <row r="748" spans="1:70">
      <c r="A748" s="1"/>
      <c r="B748" s="1284"/>
      <c r="D748" s="4" t="s">
        <v>174</v>
      </c>
      <c r="E748" s="88">
        <f t="shared" ref="E748:L748" si="1419">SUM(E734:E747)</f>
        <v>165.38486907594717</v>
      </c>
      <c r="F748" s="88">
        <f t="shared" si="1419"/>
        <v>163.57439839651425</v>
      </c>
      <c r="G748" s="88">
        <f t="shared" si="1419"/>
        <v>160.98037320540442</v>
      </c>
      <c r="H748" s="88">
        <f t="shared" si="1419"/>
        <v>162.54617742618771</v>
      </c>
      <c r="I748" s="88">
        <f t="shared" si="1419"/>
        <v>161.69678953787826</v>
      </c>
      <c r="J748" s="88">
        <f t="shared" si="1419"/>
        <v>163.28811057001008</v>
      </c>
      <c r="K748" s="88">
        <f t="shared" si="1419"/>
        <v>163.3582721035807</v>
      </c>
      <c r="L748" s="88">
        <f t="shared" si="1419"/>
        <v>159.51061927258121</v>
      </c>
      <c r="M748" s="1"/>
      <c r="N748" s="81">
        <f t="shared" ref="N748:U748" si="1420">SUM(N734:N747)</f>
        <v>154.67018788593526</v>
      </c>
      <c r="O748" s="81">
        <f t="shared" si="1420"/>
        <v>152.62830936594241</v>
      </c>
      <c r="P748" s="81">
        <f t="shared" si="1420"/>
        <v>150.01090902620223</v>
      </c>
      <c r="Q748" s="81">
        <f t="shared" si="1420"/>
        <v>149.80341551224166</v>
      </c>
      <c r="R748" s="81">
        <f t="shared" si="1420"/>
        <v>148.25210869090782</v>
      </c>
      <c r="S748" s="81">
        <f t="shared" si="1420"/>
        <v>147.86972980063879</v>
      </c>
      <c r="T748" s="81">
        <f t="shared" si="1420"/>
        <v>146.98847609472361</v>
      </c>
      <c r="U748" s="81">
        <f t="shared" si="1420"/>
        <v>144.41948905887199</v>
      </c>
      <c r="V748" s="1"/>
      <c r="W748" s="85">
        <f t="shared" ref="W748:AD748" si="1421">SUM(W734:W747)</f>
        <v>179.57541875570672</v>
      </c>
      <c r="X748" s="85">
        <f t="shared" si="1421"/>
        <v>168.06421380632196</v>
      </c>
      <c r="Y748" s="85">
        <f t="shared" si="1421"/>
        <v>159.65271089515139</v>
      </c>
      <c r="Z748" s="85">
        <f>SUM(Z734:Z747)</f>
        <v>158.94628631342653</v>
      </c>
      <c r="AA748" s="85">
        <f>SUM(AA734:AA747)</f>
        <v>155.56761859102781</v>
      </c>
      <c r="AB748" s="85">
        <f t="shared" si="1421"/>
        <v>153.0487700692384</v>
      </c>
      <c r="AC748" s="85">
        <f t="shared" ref="AC748" si="1422">SUM(AC734:AC747)</f>
        <v>141.87280327163998</v>
      </c>
      <c r="AD748" s="91">
        <f t="shared" si="1421"/>
        <v>0</v>
      </c>
      <c r="AE748" s="1"/>
      <c r="AF748" s="81">
        <f t="shared" si="1399"/>
        <v>154.67018788593526</v>
      </c>
      <c r="AG748" s="85">
        <f t="shared" si="1400"/>
        <v>179.57541875570672</v>
      </c>
      <c r="AH748" s="34">
        <f t="shared" si="1401"/>
        <v>24.905230869771458</v>
      </c>
      <c r="AI748" s="35">
        <f t="shared" si="1402"/>
        <v>0.16102153369166614</v>
      </c>
      <c r="AK748" s="81">
        <f t="shared" si="1391"/>
        <v>152.62830936594241</v>
      </c>
      <c r="AL748" s="85">
        <f t="shared" si="1392"/>
        <v>168.06421380632196</v>
      </c>
      <c r="AM748" s="34">
        <f t="shared" si="1403"/>
        <v>15.435904440379545</v>
      </c>
      <c r="AN748" s="35">
        <f t="shared" si="1404"/>
        <v>0.10113395414326672</v>
      </c>
      <c r="AP748" s="81">
        <f t="shared" si="1405"/>
        <v>150.01090902620223</v>
      </c>
      <c r="AQ748" s="85">
        <f t="shared" si="1406"/>
        <v>159.65271089515139</v>
      </c>
      <c r="AR748" s="34">
        <f t="shared" si="1407"/>
        <v>9.6418018689491589</v>
      </c>
      <c r="AS748" s="35">
        <f t="shared" si="1408"/>
        <v>6.4274004680986485E-2</v>
      </c>
      <c r="AU748" s="949">
        <f t="shared" si="1409"/>
        <v>149.80341551224166</v>
      </c>
      <c r="AV748" s="843">
        <f t="shared" si="1410"/>
        <v>158.94628631342653</v>
      </c>
      <c r="AW748" s="34">
        <f t="shared" si="1411"/>
        <v>9.1428708011848698</v>
      </c>
      <c r="AX748" s="35">
        <f t="shared" si="1412"/>
        <v>6.1032458905703198E-2</v>
      </c>
      <c r="AZ748" s="949">
        <f t="shared" si="1393"/>
        <v>148.25210869090782</v>
      </c>
      <c r="BA748" s="843">
        <f t="shared" si="1394"/>
        <v>155.56761859102781</v>
      </c>
      <c r="BB748" s="34">
        <f t="shared" si="1413"/>
        <v>7.3155099001199915</v>
      </c>
      <c r="BC748" s="35">
        <f t="shared" si="1414"/>
        <v>4.9345064732753081E-2</v>
      </c>
      <c r="BE748" s="31">
        <f t="shared" si="1415"/>
        <v>147.86972980063879</v>
      </c>
      <c r="BF748" s="25">
        <f t="shared" si="1416"/>
        <v>153.0487700692384</v>
      </c>
      <c r="BG748" s="32">
        <f t="shared" si="1417"/>
        <v>5.1790402685996071</v>
      </c>
      <c r="BH748" s="33">
        <f t="shared" si="1418"/>
        <v>3.5024343897713903E-2</v>
      </c>
      <c r="BJ748" s="31">
        <f t="shared" si="1395"/>
        <v>146.98847609472361</v>
      </c>
      <c r="BK748" s="25">
        <f t="shared" si="1396"/>
        <v>141.87280327163998</v>
      </c>
      <c r="BL748" s="32">
        <f t="shared" si="1397"/>
        <v>-5.1156728230836279</v>
      </c>
      <c r="BM748" s="33">
        <f t="shared" si="1398"/>
        <v>-3.4803223756037456E-2</v>
      </c>
      <c r="BO748" s="62"/>
      <c r="BP748" s="62"/>
      <c r="BQ748" s="62"/>
      <c r="BR748" s="63"/>
    </row>
    <row r="749" spans="1:70">
      <c r="A749" s="1"/>
      <c r="B749" s="1284"/>
      <c r="D749" s="4" t="s">
        <v>724</v>
      </c>
      <c r="E749" s="88">
        <f t="shared" ref="E749:L749" si="1423">E748-SUM(E737:E740)</f>
        <v>128.25346300618764</v>
      </c>
      <c r="F749" s="88">
        <f t="shared" si="1423"/>
        <v>126.45466827037968</v>
      </c>
      <c r="G749" s="88">
        <f t="shared" si="1423"/>
        <v>123.97803339802897</v>
      </c>
      <c r="H749" s="88">
        <f t="shared" si="1423"/>
        <v>125.51977716613494</v>
      </c>
      <c r="I749" s="88">
        <f t="shared" si="1423"/>
        <v>124.63568388895317</v>
      </c>
      <c r="J749" s="88">
        <f t="shared" si="1423"/>
        <v>125.17704003418334</v>
      </c>
      <c r="K749" s="88">
        <f t="shared" si="1423"/>
        <v>125.23379105210725</v>
      </c>
      <c r="L749" s="88">
        <f t="shared" si="1423"/>
        <v>121.29102581489272</v>
      </c>
      <c r="M749" s="1"/>
      <c r="N749" s="81">
        <f t="shared" ref="N749:U749" si="1424">N748-SUM(N737:N740)</f>
        <v>117.53878181617574</v>
      </c>
      <c r="O749" s="81">
        <f t="shared" si="1424"/>
        <v>115.50857923980784</v>
      </c>
      <c r="P749" s="81">
        <f t="shared" si="1424"/>
        <v>113.00856921882678</v>
      </c>
      <c r="Q749" s="81">
        <f t="shared" si="1424"/>
        <v>112.77701525218889</v>
      </c>
      <c r="R749" s="81">
        <f t="shared" si="1424"/>
        <v>111.19100304198273</v>
      </c>
      <c r="S749" s="81">
        <f t="shared" si="1424"/>
        <v>109.75865926481205</v>
      </c>
      <c r="T749" s="81">
        <f t="shared" si="1424"/>
        <v>108.86399504325016</v>
      </c>
      <c r="U749" s="81">
        <f t="shared" si="1424"/>
        <v>106.1998956011835</v>
      </c>
      <c r="V749" s="1"/>
      <c r="W749" s="85">
        <f t="shared" ref="W749:AD749" si="1425">W748-SUM(W737:W740)</f>
        <v>122.77411852790223</v>
      </c>
      <c r="X749" s="85">
        <f t="shared" si="1425"/>
        <v>119.5949018119976</v>
      </c>
      <c r="Y749" s="85">
        <f t="shared" si="1425"/>
        <v>114.69061305878432</v>
      </c>
      <c r="Z749" s="85">
        <f>Z748-SUM(Z737:Z740)</f>
        <v>114.34310695386026</v>
      </c>
      <c r="AA749" s="85">
        <f>AA748-SUM(AA737:AA740)</f>
        <v>113.45280585233209</v>
      </c>
      <c r="AB749" s="85">
        <f t="shared" si="1425"/>
        <v>114.30514748750761</v>
      </c>
      <c r="AC749" s="85">
        <f t="shared" ref="AC749" si="1426">AC748-SUM(AC737:AC740)</f>
        <v>101.94630327163998</v>
      </c>
      <c r="AD749" s="91">
        <f t="shared" si="1425"/>
        <v>0</v>
      </c>
      <c r="AE749" s="1"/>
      <c r="AF749" s="81">
        <f t="shared" si="1399"/>
        <v>117.53878181617574</v>
      </c>
      <c r="AG749" s="85">
        <f t="shared" si="1400"/>
        <v>122.77411852790223</v>
      </c>
      <c r="AH749" s="34">
        <f t="shared" si="1401"/>
        <v>5.2353367117264895</v>
      </c>
      <c r="AI749" s="35">
        <f t="shared" si="1402"/>
        <v>4.4541355889788539E-2</v>
      </c>
      <c r="AK749" s="81">
        <f t="shared" si="1391"/>
        <v>115.50857923980784</v>
      </c>
      <c r="AL749" s="85">
        <f t="shared" si="1392"/>
        <v>119.5949018119976</v>
      </c>
      <c r="AM749" s="34">
        <f t="shared" si="1403"/>
        <v>4.0863225721897578</v>
      </c>
      <c r="AN749" s="35">
        <f t="shared" si="1404"/>
        <v>3.5376788452277007E-2</v>
      </c>
      <c r="AP749" s="81">
        <f t="shared" si="1405"/>
        <v>113.00856921882678</v>
      </c>
      <c r="AQ749" s="85">
        <f>Y749</f>
        <v>114.69061305878432</v>
      </c>
      <c r="AR749" s="34">
        <f t="shared" si="1407"/>
        <v>1.6820438399575437</v>
      </c>
      <c r="AS749" s="35">
        <f t="shared" si="1408"/>
        <v>1.4884214989931241E-2</v>
      </c>
      <c r="AU749" s="949">
        <f t="shared" si="1409"/>
        <v>112.77701525218889</v>
      </c>
      <c r="AV749" s="843">
        <f t="shared" si="1410"/>
        <v>114.34310695386026</v>
      </c>
      <c r="AW749" s="34">
        <f t="shared" si="1411"/>
        <v>1.5660917016713682</v>
      </c>
      <c r="AX749" s="35">
        <f t="shared" si="1412"/>
        <v>1.3886621295742902E-2</v>
      </c>
      <c r="AZ749" s="949">
        <f t="shared" si="1393"/>
        <v>111.19100304198273</v>
      </c>
      <c r="BA749" s="843">
        <f t="shared" si="1394"/>
        <v>113.45280585233209</v>
      </c>
      <c r="BB749" s="34">
        <f t="shared" si="1413"/>
        <v>2.2618028103493657</v>
      </c>
      <c r="BC749" s="35">
        <f t="shared" si="1414"/>
        <v>2.0341599126463227E-2</v>
      </c>
      <c r="BE749" s="31">
        <f t="shared" si="1415"/>
        <v>109.75865926481205</v>
      </c>
      <c r="BF749" s="25">
        <f t="shared" si="1416"/>
        <v>114.30514748750761</v>
      </c>
      <c r="BG749" s="32">
        <f t="shared" si="1417"/>
        <v>4.5464882226955581</v>
      </c>
      <c r="BH749" s="33">
        <f t="shared" si="1418"/>
        <v>4.142259256034056E-2</v>
      </c>
      <c r="BJ749" s="31">
        <f t="shared" si="1395"/>
        <v>108.86399504325016</v>
      </c>
      <c r="BK749" s="25">
        <f t="shared" si="1396"/>
        <v>101.94630327163998</v>
      </c>
      <c r="BL749" s="32">
        <f t="shared" si="1397"/>
        <v>-6.9176917716101798</v>
      </c>
      <c r="BM749" s="33">
        <f t="shared" si="1398"/>
        <v>-6.3544349707742004E-2</v>
      </c>
      <c r="BO749" s="62"/>
      <c r="BP749" s="62"/>
      <c r="BQ749" s="62"/>
      <c r="BR749" s="63"/>
    </row>
    <row r="750" spans="1:70" ht="14.5" customHeight="1">
      <c r="B750" s="1284"/>
    </row>
    <row r="751" spans="1:70" ht="14.5" customHeight="1">
      <c r="B751" s="1284"/>
      <c r="D751" s="1" t="s">
        <v>99</v>
      </c>
    </row>
    <row r="752" spans="1:70" ht="14.5" customHeight="1">
      <c r="B752" s="1284"/>
      <c r="E752" s="1300" t="s">
        <v>733</v>
      </c>
      <c r="F752" s="1301"/>
      <c r="G752" s="1301"/>
      <c r="H752" s="1301"/>
      <c r="I752" s="1301"/>
      <c r="J752" s="1301"/>
      <c r="K752" s="1301"/>
      <c r="L752" s="1302"/>
      <c r="N752" s="245" t="s">
        <v>291</v>
      </c>
      <c r="O752" s="246"/>
      <c r="P752" s="246"/>
      <c r="Q752" s="246"/>
      <c r="R752" s="246"/>
      <c r="S752" s="246"/>
      <c r="T752" s="246"/>
      <c r="U752" s="247"/>
      <c r="W752" s="1079" t="s">
        <v>292</v>
      </c>
      <c r="X752" s="1080"/>
      <c r="Y752" s="1080"/>
      <c r="Z752" s="1080"/>
      <c r="AA752" s="1080"/>
      <c r="AB752" s="1080"/>
      <c r="AC752" s="1080"/>
      <c r="AD752" s="1081"/>
      <c r="AF752" s="102" t="s">
        <v>297</v>
      </c>
      <c r="AG752" s="102" t="s">
        <v>298</v>
      </c>
      <c r="AH752" s="1304" t="s">
        <v>602</v>
      </c>
      <c r="AI752" s="1304"/>
      <c r="AK752" s="102" t="s">
        <v>297</v>
      </c>
      <c r="AL752" s="102" t="s">
        <v>298</v>
      </c>
      <c r="AM752" s="1304" t="s">
        <v>602</v>
      </c>
      <c r="AN752" s="1304"/>
      <c r="AP752" s="6" t="s">
        <v>297</v>
      </c>
      <c r="AQ752" s="5" t="s">
        <v>298</v>
      </c>
      <c r="AR752" s="1303" t="s">
        <v>602</v>
      </c>
      <c r="AS752" s="1303"/>
      <c r="AU752" s="6" t="s">
        <v>297</v>
      </c>
      <c r="AV752" s="5" t="s">
        <v>298</v>
      </c>
      <c r="AW752" s="1303" t="s">
        <v>602</v>
      </c>
      <c r="AX752" s="1303"/>
      <c r="AZ752" s="6" t="s">
        <v>297</v>
      </c>
      <c r="BA752" s="5" t="s">
        <v>298</v>
      </c>
      <c r="BB752" s="1303" t="s">
        <v>602</v>
      </c>
      <c r="BC752" s="1303"/>
      <c r="BE752" s="6" t="s">
        <v>297</v>
      </c>
      <c r="BF752" s="5" t="s">
        <v>298</v>
      </c>
      <c r="BG752" s="1082" t="s">
        <v>602</v>
      </c>
      <c r="BH752" s="1082"/>
      <c r="BJ752" s="6" t="s">
        <v>297</v>
      </c>
      <c r="BK752" s="5" t="s">
        <v>298</v>
      </c>
      <c r="BL752" s="1082" t="s">
        <v>602</v>
      </c>
      <c r="BM752" s="1082"/>
      <c r="BO752" s="6" t="s">
        <v>297</v>
      </c>
      <c r="BP752" s="5" t="s">
        <v>298</v>
      </c>
      <c r="BQ752" s="1303" t="s">
        <v>602</v>
      </c>
      <c r="BR752" s="1303"/>
    </row>
    <row r="753" spans="1:70" ht="14.5" customHeight="1">
      <c r="A753" s="1"/>
      <c r="B753" s="1284"/>
      <c r="E753" s="196" t="s">
        <v>137</v>
      </c>
      <c r="F753" s="102" t="s">
        <v>138</v>
      </c>
      <c r="G753" s="102" t="s">
        <v>139</v>
      </c>
      <c r="H753" s="102" t="s">
        <v>140</v>
      </c>
      <c r="I753" s="102" t="s">
        <v>141</v>
      </c>
      <c r="J753" s="102" t="s">
        <v>126</v>
      </c>
      <c r="K753" s="102" t="s">
        <v>142</v>
      </c>
      <c r="L753" s="197" t="s">
        <v>143</v>
      </c>
      <c r="N753" s="196" t="s">
        <v>137</v>
      </c>
      <c r="O753" s="102" t="s">
        <v>138</v>
      </c>
      <c r="P753" s="102" t="s">
        <v>139</v>
      </c>
      <c r="Q753" s="102" t="s">
        <v>140</v>
      </c>
      <c r="R753" s="102" t="s">
        <v>141</v>
      </c>
      <c r="S753" s="102" t="s">
        <v>126</v>
      </c>
      <c r="T753" s="102" t="s">
        <v>142</v>
      </c>
      <c r="U753" s="197" t="s">
        <v>143</v>
      </c>
      <c r="W753" s="196" t="s">
        <v>137</v>
      </c>
      <c r="X753" s="1078" t="s">
        <v>138</v>
      </c>
      <c r="Y753" s="1078" t="s">
        <v>139</v>
      </c>
      <c r="Z753" s="1078" t="s">
        <v>140</v>
      </c>
      <c r="AA753" s="1078" t="s">
        <v>141</v>
      </c>
      <c r="AB753" s="1078" t="s">
        <v>126</v>
      </c>
      <c r="AC753" s="1078" t="s">
        <v>142</v>
      </c>
      <c r="AD753" s="197" t="s">
        <v>143</v>
      </c>
      <c r="AF753" s="102" t="s">
        <v>734</v>
      </c>
      <c r="AG753" s="102" t="s">
        <v>734</v>
      </c>
      <c r="AH753" s="102" t="s">
        <v>734</v>
      </c>
      <c r="AI753" s="102" t="s">
        <v>606</v>
      </c>
      <c r="AK753" s="102" t="s">
        <v>734</v>
      </c>
      <c r="AL753" s="102" t="s">
        <v>734</v>
      </c>
      <c r="AM753" s="102" t="s">
        <v>734</v>
      </c>
      <c r="AN753" s="102" t="s">
        <v>606</v>
      </c>
      <c r="AP753" s="5" t="s">
        <v>734</v>
      </c>
      <c r="AQ753" s="5" t="s">
        <v>734</v>
      </c>
      <c r="AR753" s="5" t="s">
        <v>734</v>
      </c>
      <c r="AS753" s="5" t="s">
        <v>606</v>
      </c>
      <c r="AU753" s="5" t="s">
        <v>734</v>
      </c>
      <c r="AV753" s="5" t="s">
        <v>734</v>
      </c>
      <c r="AW753" s="5" t="s">
        <v>734</v>
      </c>
      <c r="AX753" s="5" t="s">
        <v>606</v>
      </c>
      <c r="AZ753" s="5" t="s">
        <v>734</v>
      </c>
      <c r="BA753" s="5" t="s">
        <v>734</v>
      </c>
      <c r="BB753" s="5" t="s">
        <v>734</v>
      </c>
      <c r="BC753" s="5" t="s">
        <v>606</v>
      </c>
      <c r="BE753" s="5" t="s">
        <v>734</v>
      </c>
      <c r="BF753" s="5" t="s">
        <v>734</v>
      </c>
      <c r="BG753" s="5" t="s">
        <v>734</v>
      </c>
      <c r="BH753" s="5" t="s">
        <v>606</v>
      </c>
      <c r="BJ753" s="5" t="s">
        <v>734</v>
      </c>
      <c r="BK753" s="5" t="s">
        <v>734</v>
      </c>
      <c r="BL753" s="5" t="s">
        <v>734</v>
      </c>
      <c r="BM753" s="5" t="s">
        <v>606</v>
      </c>
      <c r="BO753" s="5" t="s">
        <v>734</v>
      </c>
      <c r="BP753" s="5" t="s">
        <v>734</v>
      </c>
      <c r="BQ753" s="5" t="s">
        <v>734</v>
      </c>
      <c r="BR753" s="5" t="s">
        <v>606</v>
      </c>
    </row>
    <row r="754" spans="1:70">
      <c r="B754" s="1284"/>
      <c r="D754" s="5" t="s">
        <v>161</v>
      </c>
      <c r="E754" s="87">
        <v>2.3204777559686023</v>
      </c>
      <c r="F754" s="87">
        <v>2.3540153652355156</v>
      </c>
      <c r="G754" s="87">
        <v>2.3763680117823069</v>
      </c>
      <c r="H754" s="87">
        <v>2.3958904846150948</v>
      </c>
      <c r="I754" s="87">
        <v>2.4142447717060072</v>
      </c>
      <c r="J754" s="87">
        <v>2.4350686069215706</v>
      </c>
      <c r="K754" s="87">
        <v>2.4457853637157392</v>
      </c>
      <c r="L754" s="87">
        <v>2.4567745372846281</v>
      </c>
      <c r="N754" s="29">
        <v>2.410788219662459</v>
      </c>
      <c r="O754" s="29">
        <v>2.3446671311721894</v>
      </c>
      <c r="P754" s="29">
        <v>2.3171059545906618</v>
      </c>
      <c r="Q754" s="29">
        <v>2.3175601129760675</v>
      </c>
      <c r="R754" s="29">
        <v>2.2880694653950937</v>
      </c>
      <c r="S754" s="29">
        <v>2.3079754269302555</v>
      </c>
      <c r="T754" s="29">
        <v>2.2871196672454182</v>
      </c>
      <c r="U754" s="29">
        <v>2.2484927810055741</v>
      </c>
      <c r="W754" s="30">
        <v>2.4292633876645748</v>
      </c>
      <c r="X754" s="30">
        <v>2.4093720625331754</v>
      </c>
      <c r="Y754" s="30">
        <v>2.6159833269749542</v>
      </c>
      <c r="Z754" s="30">
        <v>2.3205292378269871</v>
      </c>
      <c r="AA754" s="30">
        <v>2.304382703319646</v>
      </c>
      <c r="AB754" s="30">
        <v>2.893483671148593</v>
      </c>
      <c r="AC754" s="30">
        <v>2.0711070615455891</v>
      </c>
      <c r="AD754" s="90">
        <v>0</v>
      </c>
      <c r="AF754" s="29">
        <f>N754</f>
        <v>2.410788219662459</v>
      </c>
      <c r="AG754" s="30">
        <f>W754</f>
        <v>2.4292633876645748</v>
      </c>
      <c r="AH754" s="32">
        <f>IF(AG754&gt;0,AG754-AF754,"")</f>
        <v>1.8475168002115794E-2</v>
      </c>
      <c r="AI754" s="33">
        <f>IF(AG754&gt;0,AH754/AF754,"")</f>
        <v>7.6635383612014465E-3</v>
      </c>
      <c r="AK754" s="29">
        <f t="shared" ref="AK754:AK769" si="1427">O754</f>
        <v>2.3446671311721894</v>
      </c>
      <c r="AL754" s="30">
        <f t="shared" ref="AL754:AL769" si="1428">X754</f>
        <v>2.4093720625331754</v>
      </c>
      <c r="AM754" s="32">
        <f>IF(AL754&gt;0,AL754-AK754,"")</f>
        <v>6.4704931360985984E-2</v>
      </c>
      <c r="AN754" s="33">
        <f>IF(AL754&gt;0,AM754/AK754,"")</f>
        <v>2.7596638559366633E-2</v>
      </c>
      <c r="AP754" s="29">
        <f>P754</f>
        <v>2.3171059545906618</v>
      </c>
      <c r="AQ754" s="30">
        <f>Y754</f>
        <v>2.6159833269749542</v>
      </c>
      <c r="AR754" s="32">
        <f>AQ754-AP754</f>
        <v>0.29887737238429235</v>
      </c>
      <c r="AS754" s="33">
        <f>AR754/AP754</f>
        <v>0.128987356746529</v>
      </c>
      <c r="AU754" s="31">
        <f>Q754</f>
        <v>2.3175601129760675</v>
      </c>
      <c r="AV754" s="25">
        <f>Z754</f>
        <v>2.3205292378269871</v>
      </c>
      <c r="AW754" s="32">
        <f>AV754-AU754</f>
        <v>2.9691248509196022E-3</v>
      </c>
      <c r="AX754" s="33">
        <f>AW754/AU754</f>
        <v>1.2811425405086195E-3</v>
      </c>
      <c r="AZ754" s="31">
        <f t="shared" ref="AZ754:AZ769" si="1429">R754</f>
        <v>2.2880694653950937</v>
      </c>
      <c r="BA754" s="25">
        <f t="shared" ref="BA754:BA769" si="1430">AA754</f>
        <v>2.304382703319646</v>
      </c>
      <c r="BB754" s="32">
        <f>BA754-AZ754</f>
        <v>1.6313237924552304E-2</v>
      </c>
      <c r="BC754" s="33">
        <f>BB754/AZ754</f>
        <v>7.1296952174200734E-3</v>
      </c>
      <c r="BE754" s="31">
        <f>S754</f>
        <v>2.3079754269302555</v>
      </c>
      <c r="BF754" s="25">
        <f>AB754</f>
        <v>2.893483671148593</v>
      </c>
      <c r="BG754" s="32">
        <f>BF754-BE754</f>
        <v>0.58550824421833747</v>
      </c>
      <c r="BH754" s="33">
        <f>BG754/BE754</f>
        <v>0.25368911531137844</v>
      </c>
      <c r="BJ754" s="31">
        <f t="shared" ref="BJ754:BJ769" si="1431">T754</f>
        <v>2.2871196672454182</v>
      </c>
      <c r="BK754" s="25">
        <f t="shared" ref="BK754:BK769" si="1432">AC754</f>
        <v>2.0711070615455891</v>
      </c>
      <c r="BL754" s="32">
        <f t="shared" ref="BL754:BL769" si="1433">BK754-BJ754</f>
        <v>-0.21601260569982905</v>
      </c>
      <c r="BM754" s="33">
        <f t="shared" ref="BM754:BM769" si="1434">BL754/BJ754</f>
        <v>-9.4447443565553471E-2</v>
      </c>
      <c r="BO754" s="62"/>
      <c r="BP754" s="62"/>
      <c r="BQ754" s="62"/>
      <c r="BR754" s="63"/>
    </row>
    <row r="755" spans="1:70">
      <c r="B755" s="1284"/>
      <c r="D755" s="5" t="s">
        <v>162</v>
      </c>
      <c r="E755" s="87">
        <v>1.2338658075237263</v>
      </c>
      <c r="F755" s="87">
        <v>1.2089510967390094</v>
      </c>
      <c r="G755" s="87">
        <v>1.2104522181012543</v>
      </c>
      <c r="H755" s="87">
        <v>1.2112910555093155</v>
      </c>
      <c r="I755" s="87">
        <v>1.2120190932133181</v>
      </c>
      <c r="J755" s="87">
        <v>1.2129691819926471</v>
      </c>
      <c r="K755" s="87">
        <v>1.2142404622906409</v>
      </c>
      <c r="L755" s="87">
        <v>1.2169638983166406</v>
      </c>
      <c r="N755" s="29">
        <v>1.2300279612000991</v>
      </c>
      <c r="O755" s="29">
        <v>1.2235704078075156</v>
      </c>
      <c r="P755" s="29">
        <v>1.224473679463727</v>
      </c>
      <c r="Q755" s="29">
        <v>1.2255961487589619</v>
      </c>
      <c r="R755" s="29">
        <v>1.2155085731906135</v>
      </c>
      <c r="S755" s="29">
        <v>1.1963282045081975</v>
      </c>
      <c r="T755" s="29">
        <v>1.1853770467004501</v>
      </c>
      <c r="U755" s="29">
        <v>1.1683069300764737</v>
      </c>
      <c r="W755" s="30">
        <v>1.1028449862301362</v>
      </c>
      <c r="X755" s="30">
        <v>1.1659611719846128</v>
      </c>
      <c r="Y755" s="30">
        <v>0.95235333030082026</v>
      </c>
      <c r="Z755" s="30">
        <v>1.1868886998619297</v>
      </c>
      <c r="AA755" s="30">
        <v>1.0866245545474524</v>
      </c>
      <c r="AB755" s="30">
        <v>1.1167436828959576</v>
      </c>
      <c r="AC755" s="30">
        <v>1.2197710744999313</v>
      </c>
      <c r="AD755" s="90">
        <v>0</v>
      </c>
      <c r="AF755" s="29">
        <f t="shared" ref="AF755:AF769" si="1435">N755</f>
        <v>1.2300279612000991</v>
      </c>
      <c r="AG755" s="30">
        <f t="shared" ref="AG755:AG769" si="1436">W755</f>
        <v>1.1028449862301362</v>
      </c>
      <c r="AH755" s="32">
        <f t="shared" ref="AH755:AH769" si="1437">IF(AG755&gt;0,AG755-AF755,"")</f>
        <v>-0.12718297496996289</v>
      </c>
      <c r="AI755" s="33">
        <f t="shared" ref="AI755:AI769" si="1438">IF(AG755&gt;0,AH755/AF755,"")</f>
        <v>-0.10339844213449792</v>
      </c>
      <c r="AK755" s="29">
        <f t="shared" si="1427"/>
        <v>1.2235704078075156</v>
      </c>
      <c r="AL755" s="30">
        <f t="shared" si="1428"/>
        <v>1.1659611719846128</v>
      </c>
      <c r="AM755" s="32">
        <f t="shared" ref="AM755:AM769" si="1439">IF(AL755&gt;0,AL755-AK755,"")</f>
        <v>-5.7609235822902782E-2</v>
      </c>
      <c r="AN755" s="33">
        <f t="shared" ref="AN755:AN769" si="1440">IF(AL755&gt;0,AM755/AK755,"")</f>
        <v>-4.7082894008634364E-2</v>
      </c>
      <c r="AP755" s="29">
        <f t="shared" ref="AP755:AP769" si="1441">P755</f>
        <v>1.224473679463727</v>
      </c>
      <c r="AQ755" s="30">
        <f t="shared" ref="AQ755:AQ768" si="1442">Y755</f>
        <v>0.95235333030082026</v>
      </c>
      <c r="AR755" s="32">
        <f t="shared" ref="AR755:AR769" si="1443">AQ755-AP755</f>
        <v>-0.27212034916290673</v>
      </c>
      <c r="AS755" s="33">
        <f t="shared" ref="AS755:AS769" si="1444">AR755/AP755</f>
        <v>-0.22223454348327448</v>
      </c>
      <c r="AU755" s="31">
        <f t="shared" ref="AU755:AU769" si="1445">Q755</f>
        <v>1.2255961487589619</v>
      </c>
      <c r="AV755" s="25">
        <f t="shared" ref="AV755:AV769" si="1446">Z755</f>
        <v>1.1868886998619297</v>
      </c>
      <c r="AW755" s="32">
        <f t="shared" ref="AW755:AW769" si="1447">AV755-AU755</f>
        <v>-3.8707448897032259E-2</v>
      </c>
      <c r="AX755" s="33">
        <f t="shared" ref="AX755:AX769" si="1448">AW755/AU755</f>
        <v>-3.1582547755414705E-2</v>
      </c>
      <c r="AZ755" s="31">
        <f t="shared" si="1429"/>
        <v>1.2155085731906135</v>
      </c>
      <c r="BA755" s="25">
        <f t="shared" si="1430"/>
        <v>1.0866245545474524</v>
      </c>
      <c r="BB755" s="32">
        <f t="shared" ref="BB755:BB769" si="1449">BA755-AZ755</f>
        <v>-0.12888401864316101</v>
      </c>
      <c r="BC755" s="33">
        <f t="shared" ref="BC755:BC769" si="1450">BB755/AZ755</f>
        <v>-0.10603299843854717</v>
      </c>
      <c r="BE755" s="31">
        <f t="shared" ref="BE755:BE769" si="1451">S755</f>
        <v>1.1963282045081975</v>
      </c>
      <c r="BF755" s="25">
        <f t="shared" ref="BF755:BF769" si="1452">AB755</f>
        <v>1.1167436828959576</v>
      </c>
      <c r="BG755" s="32">
        <f t="shared" ref="BG755:BG769" si="1453">BF755-BE755</f>
        <v>-7.9584521612239945E-2</v>
      </c>
      <c r="BH755" s="33">
        <f t="shared" ref="BH755:BH769" si="1454">BG755/BE755</f>
        <v>-6.6523986739037561E-2</v>
      </c>
      <c r="BJ755" s="31">
        <f t="shared" si="1431"/>
        <v>1.1853770467004501</v>
      </c>
      <c r="BK755" s="25">
        <f t="shared" si="1432"/>
        <v>1.2197710744999313</v>
      </c>
      <c r="BL755" s="32">
        <f t="shared" si="1433"/>
        <v>3.4394027799481197E-2</v>
      </c>
      <c r="BM755" s="33">
        <f t="shared" si="1434"/>
        <v>2.9015263873396663E-2</v>
      </c>
      <c r="BO755" s="62"/>
      <c r="BP755" s="62"/>
      <c r="BQ755" s="62"/>
      <c r="BR755" s="63"/>
    </row>
    <row r="756" spans="1:70">
      <c r="B756" s="1284"/>
      <c r="D756" s="5" t="s">
        <v>163</v>
      </c>
      <c r="E756" s="87">
        <v>2.3765867469235173</v>
      </c>
      <c r="F756" s="87">
        <v>2.3294532257833165</v>
      </c>
      <c r="G756" s="87">
        <v>2.3327914414911262</v>
      </c>
      <c r="H756" s="87">
        <v>2.3355374643632243</v>
      </c>
      <c r="I756" s="87">
        <v>2.3380095770691218</v>
      </c>
      <c r="J756" s="87">
        <v>2.3398922458236124</v>
      </c>
      <c r="K756" s="87">
        <v>2.3431717320472023</v>
      </c>
      <c r="L756" s="87">
        <v>2.3463800570734104</v>
      </c>
      <c r="N756" s="29">
        <v>2.3650902171206849</v>
      </c>
      <c r="O756" s="29">
        <v>2.3284132054151527</v>
      </c>
      <c r="P756" s="29">
        <v>2.3254000972825781</v>
      </c>
      <c r="Q756" s="29">
        <v>2.3393089659916799</v>
      </c>
      <c r="R756" s="29">
        <v>2.3102021399399959</v>
      </c>
      <c r="S756" s="29">
        <v>2.2750643664590631</v>
      </c>
      <c r="T756" s="29">
        <v>2.2504836119424607</v>
      </c>
      <c r="U756" s="29">
        <v>2.2129026816112538</v>
      </c>
      <c r="W756" s="30">
        <v>1.8438445714281393</v>
      </c>
      <c r="X756" s="30">
        <v>1.9039331666351809</v>
      </c>
      <c r="Y756" s="30">
        <v>1.4759085576764859</v>
      </c>
      <c r="Z756" s="30">
        <v>1.8786086671732964</v>
      </c>
      <c r="AA756" s="30">
        <v>2.0448363831223797</v>
      </c>
      <c r="AB756" s="30">
        <v>1.817490471651509</v>
      </c>
      <c r="AC756" s="30">
        <v>1.6688837129169305</v>
      </c>
      <c r="AD756" s="90">
        <v>0</v>
      </c>
      <c r="AF756" s="29">
        <f t="shared" si="1435"/>
        <v>2.3650902171206849</v>
      </c>
      <c r="AG756" s="30">
        <f t="shared" si="1436"/>
        <v>1.8438445714281393</v>
      </c>
      <c r="AH756" s="32">
        <f t="shared" si="1437"/>
        <v>-0.52124564569254561</v>
      </c>
      <c r="AI756" s="33">
        <f t="shared" si="1438"/>
        <v>-0.22039144296454027</v>
      </c>
      <c r="AK756" s="29">
        <f t="shared" si="1427"/>
        <v>2.3284132054151527</v>
      </c>
      <c r="AL756" s="30">
        <f t="shared" si="1428"/>
        <v>1.9039331666351809</v>
      </c>
      <c r="AM756" s="32">
        <f t="shared" si="1439"/>
        <v>-0.42448003877997187</v>
      </c>
      <c r="AN756" s="33">
        <f t="shared" si="1440"/>
        <v>-0.18230442852358231</v>
      </c>
      <c r="AP756" s="29">
        <f t="shared" si="1441"/>
        <v>2.3254000972825781</v>
      </c>
      <c r="AQ756" s="30">
        <f t="shared" si="1442"/>
        <v>1.4759085576764859</v>
      </c>
      <c r="AR756" s="32">
        <f t="shared" si="1443"/>
        <v>-0.84949153960609225</v>
      </c>
      <c r="AS756" s="33">
        <f t="shared" si="1444"/>
        <v>-0.36530984091674945</v>
      </c>
      <c r="AU756" s="31">
        <f t="shared" si="1445"/>
        <v>2.3393089659916799</v>
      </c>
      <c r="AV756" s="25">
        <f t="shared" si="1446"/>
        <v>1.8786086671732964</v>
      </c>
      <c r="AW756" s="32">
        <f t="shared" si="1447"/>
        <v>-0.46070029881838348</v>
      </c>
      <c r="AX756" s="33">
        <f t="shared" si="1448"/>
        <v>-0.19693862825130642</v>
      </c>
      <c r="AZ756" s="31">
        <f t="shared" si="1429"/>
        <v>2.3102021399399959</v>
      </c>
      <c r="BA756" s="25">
        <f t="shared" si="1430"/>
        <v>2.0448363831223797</v>
      </c>
      <c r="BB756" s="32">
        <f t="shared" si="1449"/>
        <v>-0.26536575681761621</v>
      </c>
      <c r="BC756" s="33">
        <f t="shared" si="1450"/>
        <v>-0.11486689940669377</v>
      </c>
      <c r="BE756" s="31">
        <f t="shared" si="1451"/>
        <v>2.2750643664590631</v>
      </c>
      <c r="BF756" s="25">
        <f t="shared" si="1452"/>
        <v>1.817490471651509</v>
      </c>
      <c r="BG756" s="32">
        <f t="shared" si="1453"/>
        <v>-0.45757389480755406</v>
      </c>
      <c r="BH756" s="33">
        <f t="shared" si="1454"/>
        <v>-0.20112569189403967</v>
      </c>
      <c r="BJ756" s="31">
        <f t="shared" si="1431"/>
        <v>2.2504836119424607</v>
      </c>
      <c r="BK756" s="25">
        <f t="shared" si="1432"/>
        <v>1.6688837129169305</v>
      </c>
      <c r="BL756" s="32">
        <f t="shared" si="1433"/>
        <v>-0.58159989902553022</v>
      </c>
      <c r="BM756" s="33">
        <f t="shared" si="1434"/>
        <v>-0.25843329670973864</v>
      </c>
      <c r="BO756" s="62"/>
      <c r="BP756" s="62"/>
      <c r="BQ756" s="62"/>
      <c r="BR756" s="63"/>
    </row>
    <row r="757" spans="1:70">
      <c r="B757" s="1284"/>
      <c r="D757" s="5" t="s">
        <v>164</v>
      </c>
      <c r="E757" s="87">
        <v>3.3637344928751478</v>
      </c>
      <c r="F757" s="87">
        <v>3.3652443646425159</v>
      </c>
      <c r="G757" s="87">
        <v>3.3611749426693107</v>
      </c>
      <c r="H757" s="87">
        <v>3.3720126812638833</v>
      </c>
      <c r="I757" s="87">
        <v>3.3838883933056958</v>
      </c>
      <c r="J757" s="87">
        <v>3.397183464244256</v>
      </c>
      <c r="K757" s="87">
        <v>3.4084321072389807</v>
      </c>
      <c r="L757" s="87">
        <v>3.4221009370285551</v>
      </c>
      <c r="N757" s="29">
        <v>3.3637344928751478</v>
      </c>
      <c r="O757" s="29">
        <v>3.3652443646425159</v>
      </c>
      <c r="P757" s="29">
        <v>3.3611749426693107</v>
      </c>
      <c r="Q757" s="29">
        <v>3.3720126812638833</v>
      </c>
      <c r="R757" s="29">
        <v>3.3838883933056958</v>
      </c>
      <c r="S757" s="29">
        <v>3.397183464244256</v>
      </c>
      <c r="T757" s="29">
        <v>3.4084321072389807</v>
      </c>
      <c r="U757" s="29">
        <v>3.4221009370285551</v>
      </c>
      <c r="W757" s="30">
        <v>2.4299380109700772</v>
      </c>
      <c r="X757" s="30">
        <v>1.901056643219418</v>
      </c>
      <c r="Y757" s="30">
        <v>2.1041320077989729</v>
      </c>
      <c r="Z757" s="30">
        <v>2.1812295734677454</v>
      </c>
      <c r="AA757" s="30">
        <v>2.1615183008649814</v>
      </c>
      <c r="AB757" s="30">
        <v>2.0784978260647868</v>
      </c>
      <c r="AC757" s="30">
        <v>2.5834999999999999</v>
      </c>
      <c r="AD757" s="90">
        <v>0</v>
      </c>
      <c r="AF757" s="29">
        <f t="shared" si="1435"/>
        <v>3.3637344928751478</v>
      </c>
      <c r="AG757" s="30">
        <f t="shared" si="1436"/>
        <v>2.4299380109700772</v>
      </c>
      <c r="AH757" s="32">
        <f t="shared" si="1437"/>
        <v>-0.93379648190507059</v>
      </c>
      <c r="AI757" s="33">
        <f t="shared" si="1438"/>
        <v>-0.2776070715102455</v>
      </c>
      <c r="AK757" s="29">
        <f t="shared" si="1427"/>
        <v>3.3652443646425159</v>
      </c>
      <c r="AL757" s="30">
        <f t="shared" si="1428"/>
        <v>1.901056643219418</v>
      </c>
      <c r="AM757" s="32">
        <f t="shared" si="1439"/>
        <v>-1.4641877214230978</v>
      </c>
      <c r="AN757" s="33">
        <f t="shared" si="1440"/>
        <v>-0.43509105514203456</v>
      </c>
      <c r="AP757" s="29">
        <f t="shared" si="1441"/>
        <v>3.3611749426693107</v>
      </c>
      <c r="AQ757" s="30">
        <f t="shared" si="1442"/>
        <v>2.1041320077989729</v>
      </c>
      <c r="AR757" s="32">
        <f t="shared" si="1443"/>
        <v>-1.2570429348703378</v>
      </c>
      <c r="AS757" s="33">
        <f t="shared" si="1444"/>
        <v>-0.37398914258001836</v>
      </c>
      <c r="AU757" s="31">
        <f t="shared" si="1445"/>
        <v>3.3720126812638833</v>
      </c>
      <c r="AV757" s="25">
        <f t="shared" si="1446"/>
        <v>2.1812295734677454</v>
      </c>
      <c r="AW757" s="32">
        <f t="shared" si="1447"/>
        <v>-1.1907831077961379</v>
      </c>
      <c r="AX757" s="33">
        <f t="shared" si="1448"/>
        <v>-0.3531371973814208</v>
      </c>
      <c r="AZ757" s="31">
        <f t="shared" si="1429"/>
        <v>3.3838883933056958</v>
      </c>
      <c r="BA757" s="25">
        <f t="shared" si="1430"/>
        <v>2.1615183008649814</v>
      </c>
      <c r="BB757" s="32">
        <f t="shared" si="1449"/>
        <v>-1.2223700924407144</v>
      </c>
      <c r="BC757" s="33">
        <f t="shared" si="1450"/>
        <v>-0.3612323901872514</v>
      </c>
      <c r="BE757" s="31">
        <f t="shared" si="1451"/>
        <v>3.397183464244256</v>
      </c>
      <c r="BF757" s="25">
        <f t="shared" si="1452"/>
        <v>2.0784978260647868</v>
      </c>
      <c r="BG757" s="32">
        <f t="shared" si="1453"/>
        <v>-1.3186856381794692</v>
      </c>
      <c r="BH757" s="33">
        <f t="shared" si="1454"/>
        <v>-0.38817027459917491</v>
      </c>
      <c r="BJ757" s="31">
        <f t="shared" si="1431"/>
        <v>3.4084321072389807</v>
      </c>
      <c r="BK757" s="25">
        <f t="shared" si="1432"/>
        <v>2.5834999999999999</v>
      </c>
      <c r="BL757" s="32">
        <f t="shared" si="1433"/>
        <v>-0.82493210723898081</v>
      </c>
      <c r="BM757" s="33">
        <f t="shared" si="1434"/>
        <v>-0.24202685612747077</v>
      </c>
      <c r="BO757" s="62"/>
      <c r="BP757" s="62"/>
      <c r="BQ757" s="62"/>
      <c r="BR757" s="63"/>
    </row>
    <row r="758" spans="1:70">
      <c r="B758" s="1284"/>
      <c r="D758" s="5" t="s">
        <v>165</v>
      </c>
      <c r="E758" s="87">
        <v>4.0190170583970923</v>
      </c>
      <c r="F758" s="87">
        <v>4.0205436250665745</v>
      </c>
      <c r="G758" s="87">
        <v>4.0168865873532029</v>
      </c>
      <c r="H758" s="87">
        <v>4.030225915837307</v>
      </c>
      <c r="I758" s="87">
        <v>4.0445943444846115</v>
      </c>
      <c r="J758" s="87">
        <v>4.060319140301571</v>
      </c>
      <c r="K758" s="87">
        <v>4.0742193367955508</v>
      </c>
      <c r="L758" s="87">
        <v>4.0904377060819632</v>
      </c>
      <c r="N758" s="29">
        <v>4.0190170583970923</v>
      </c>
      <c r="O758" s="29">
        <v>4.0205436250665745</v>
      </c>
      <c r="P758" s="29">
        <v>4.0168865873532029</v>
      </c>
      <c r="Q758" s="29">
        <v>4.030225915837307</v>
      </c>
      <c r="R758" s="29">
        <v>4.0445943444846115</v>
      </c>
      <c r="S758" s="29">
        <v>4.060319140301571</v>
      </c>
      <c r="T758" s="29">
        <v>4.0742193367955508</v>
      </c>
      <c r="U758" s="29">
        <v>4.0904377060819632</v>
      </c>
      <c r="W758" s="30">
        <v>2.9936452494478347</v>
      </c>
      <c r="X758" s="30">
        <v>2.3860080908102881</v>
      </c>
      <c r="Y758" s="30">
        <v>2.6293161130269032</v>
      </c>
      <c r="Z758" s="30">
        <v>3.5881555974416539</v>
      </c>
      <c r="AA758" s="30">
        <v>3.6806834662574581</v>
      </c>
      <c r="AB758" s="30">
        <v>3.670426186485908</v>
      </c>
      <c r="AC758" s="30">
        <v>3.0088999999999997</v>
      </c>
      <c r="AD758" s="90">
        <v>0</v>
      </c>
      <c r="AF758" s="29">
        <f t="shared" si="1435"/>
        <v>4.0190170583970923</v>
      </c>
      <c r="AG758" s="30">
        <f t="shared" si="1436"/>
        <v>2.9936452494478347</v>
      </c>
      <c r="AH758" s="32">
        <f t="shared" si="1437"/>
        <v>-1.0253718089492576</v>
      </c>
      <c r="AI758" s="33">
        <f t="shared" si="1438"/>
        <v>-0.25512999672566888</v>
      </c>
      <c r="AK758" s="29">
        <f t="shared" si="1427"/>
        <v>4.0205436250665745</v>
      </c>
      <c r="AL758" s="30">
        <f t="shared" si="1428"/>
        <v>2.3860080908102881</v>
      </c>
      <c r="AM758" s="32">
        <f t="shared" si="1439"/>
        <v>-1.6345355342562864</v>
      </c>
      <c r="AN758" s="33">
        <f t="shared" si="1440"/>
        <v>-0.40654590191872891</v>
      </c>
      <c r="AP758" s="29">
        <f t="shared" si="1441"/>
        <v>4.0168865873532029</v>
      </c>
      <c r="AQ758" s="30">
        <f t="shared" si="1442"/>
        <v>2.6293161130269032</v>
      </c>
      <c r="AR758" s="32">
        <f t="shared" si="1443"/>
        <v>-1.3875704743262998</v>
      </c>
      <c r="AS758" s="33">
        <f t="shared" si="1444"/>
        <v>-0.34543431688983639</v>
      </c>
      <c r="AU758" s="31">
        <f t="shared" si="1445"/>
        <v>4.030225915837307</v>
      </c>
      <c r="AV758" s="25">
        <f t="shared" si="1446"/>
        <v>3.5881555974416539</v>
      </c>
      <c r="AW758" s="32">
        <f t="shared" si="1447"/>
        <v>-0.44207031839565314</v>
      </c>
      <c r="AX758" s="33">
        <f t="shared" si="1448"/>
        <v>-0.10968871910095145</v>
      </c>
      <c r="AZ758" s="31">
        <f t="shared" si="1429"/>
        <v>4.0445943444846115</v>
      </c>
      <c r="BA758" s="25">
        <f t="shared" si="1430"/>
        <v>3.6806834662574581</v>
      </c>
      <c r="BB758" s="32">
        <f t="shared" si="1449"/>
        <v>-0.3639108782271534</v>
      </c>
      <c r="BC758" s="33">
        <f t="shared" si="1450"/>
        <v>-8.9974629649422919E-2</v>
      </c>
      <c r="BE758" s="31">
        <f t="shared" si="1451"/>
        <v>4.060319140301571</v>
      </c>
      <c r="BF758" s="25">
        <f t="shared" si="1452"/>
        <v>3.670426186485908</v>
      </c>
      <c r="BG758" s="32">
        <f t="shared" si="1453"/>
        <v>-0.38989295381566302</v>
      </c>
      <c r="BH758" s="33">
        <f t="shared" si="1454"/>
        <v>-9.6025199089819477E-2</v>
      </c>
      <c r="BJ758" s="31">
        <f t="shared" si="1431"/>
        <v>4.0742193367955508</v>
      </c>
      <c r="BK758" s="25">
        <f t="shared" si="1432"/>
        <v>3.0088999999999997</v>
      </c>
      <c r="BL758" s="32">
        <f t="shared" si="1433"/>
        <v>-1.0653193367955511</v>
      </c>
      <c r="BM758" s="33">
        <f t="shared" si="1434"/>
        <v>-0.26147815047027995</v>
      </c>
      <c r="BO758" s="62"/>
      <c r="BP758" s="62"/>
      <c r="BQ758" s="62"/>
      <c r="BR758" s="63"/>
    </row>
    <row r="759" spans="1:70">
      <c r="B759" s="1284"/>
      <c r="D759" s="5" t="s">
        <v>166</v>
      </c>
      <c r="E759" s="87">
        <v>1.5132493428703548</v>
      </c>
      <c r="F759" s="87">
        <v>1.5118215587618347</v>
      </c>
      <c r="G759" s="87">
        <v>1.5108883820747665</v>
      </c>
      <c r="H759" s="87">
        <v>1.5129438541027487</v>
      </c>
      <c r="I759" s="87">
        <v>1.5188100743511581</v>
      </c>
      <c r="J759" s="87">
        <v>1.5219308848779054</v>
      </c>
      <c r="K759" s="87">
        <v>1.5276081455836938</v>
      </c>
      <c r="L759" s="87">
        <v>1.5291839467391637</v>
      </c>
      <c r="N759" s="29">
        <v>1.5132493428703548</v>
      </c>
      <c r="O759" s="29">
        <v>1.5118215587618347</v>
      </c>
      <c r="P759" s="29">
        <v>1.5108883820747665</v>
      </c>
      <c r="Q759" s="29">
        <v>1.5129438541027487</v>
      </c>
      <c r="R759" s="29">
        <v>1.5188100743511581</v>
      </c>
      <c r="S759" s="29">
        <v>1.5219308848779054</v>
      </c>
      <c r="T759" s="29">
        <v>1.5276081455836938</v>
      </c>
      <c r="U759" s="29">
        <v>1.5291839467391637</v>
      </c>
      <c r="W759" s="30">
        <v>1.5064176415490707</v>
      </c>
      <c r="X759" s="30">
        <v>1.0168715583866683</v>
      </c>
      <c r="Y759" s="30">
        <v>1.1295985711583512</v>
      </c>
      <c r="Z759" s="30">
        <v>1.4508581402572465</v>
      </c>
      <c r="AA759" s="30">
        <v>1.4688475031137966</v>
      </c>
      <c r="AB759" s="30">
        <v>1.451246319267627</v>
      </c>
      <c r="AC759" s="30">
        <v>1.6623999999999999</v>
      </c>
      <c r="AD759" s="90">
        <v>0</v>
      </c>
      <c r="AF759" s="29">
        <f t="shared" si="1435"/>
        <v>1.5132493428703548</v>
      </c>
      <c r="AG759" s="30">
        <f t="shared" si="1436"/>
        <v>1.5064176415490707</v>
      </c>
      <c r="AH759" s="32">
        <f t="shared" si="1437"/>
        <v>-6.8317013212841893E-3</v>
      </c>
      <c r="AI759" s="33">
        <f t="shared" si="1438"/>
        <v>-4.514590641305492E-3</v>
      </c>
      <c r="AK759" s="29">
        <f t="shared" si="1427"/>
        <v>1.5118215587618347</v>
      </c>
      <c r="AL759" s="30">
        <f t="shared" si="1428"/>
        <v>1.0168715583866683</v>
      </c>
      <c r="AM759" s="32">
        <f t="shared" si="1439"/>
        <v>-0.49495000037516634</v>
      </c>
      <c r="AN759" s="33">
        <f t="shared" si="1440"/>
        <v>-0.32738652092018383</v>
      </c>
      <c r="AP759" s="29">
        <f t="shared" si="1441"/>
        <v>1.5108883820747665</v>
      </c>
      <c r="AQ759" s="30">
        <f t="shared" si="1442"/>
        <v>1.1295985711583512</v>
      </c>
      <c r="AR759" s="32">
        <f t="shared" si="1443"/>
        <v>-0.38128981091641534</v>
      </c>
      <c r="AS759" s="33">
        <f t="shared" si="1444"/>
        <v>-0.25236133617813944</v>
      </c>
      <c r="AU759" s="31">
        <f t="shared" si="1445"/>
        <v>1.5129438541027487</v>
      </c>
      <c r="AV759" s="25">
        <f t="shared" si="1446"/>
        <v>1.4508581402572465</v>
      </c>
      <c r="AW759" s="32">
        <f t="shared" si="1447"/>
        <v>-6.2085713845502211E-2</v>
      </c>
      <c r="AX759" s="33">
        <f t="shared" si="1448"/>
        <v>-4.1036363429574944E-2</v>
      </c>
      <c r="AZ759" s="31">
        <f t="shared" si="1429"/>
        <v>1.5188100743511581</v>
      </c>
      <c r="BA759" s="25">
        <f t="shared" si="1430"/>
        <v>1.4688475031137966</v>
      </c>
      <c r="BB759" s="32">
        <f t="shared" si="1449"/>
        <v>-4.9962571237361475E-2</v>
      </c>
      <c r="BC759" s="33">
        <f t="shared" si="1450"/>
        <v>-3.289586504665877E-2</v>
      </c>
      <c r="BE759" s="31">
        <f t="shared" si="1451"/>
        <v>1.5219308848779054</v>
      </c>
      <c r="BF759" s="25">
        <f t="shared" si="1452"/>
        <v>1.451246319267627</v>
      </c>
      <c r="BG759" s="32">
        <f t="shared" si="1453"/>
        <v>-7.068456561027836E-2</v>
      </c>
      <c r="BH759" s="33">
        <f t="shared" si="1454"/>
        <v>-4.6444004989062905E-2</v>
      </c>
      <c r="BJ759" s="31">
        <f t="shared" si="1431"/>
        <v>1.5276081455836938</v>
      </c>
      <c r="BK759" s="25">
        <f t="shared" si="1432"/>
        <v>1.6623999999999999</v>
      </c>
      <c r="BL759" s="32">
        <f t="shared" si="1433"/>
        <v>0.13479185441630603</v>
      </c>
      <c r="BM759" s="33">
        <f t="shared" si="1434"/>
        <v>8.823719276830809E-2</v>
      </c>
      <c r="BO759" s="62"/>
      <c r="BP759" s="62"/>
      <c r="BQ759" s="62"/>
      <c r="BR759" s="63"/>
    </row>
    <row r="760" spans="1:70">
      <c r="B760" s="1284"/>
      <c r="D760" s="5" t="s">
        <v>167</v>
      </c>
      <c r="E760" s="87">
        <v>2.3529288777681701</v>
      </c>
      <c r="F760" s="87">
        <v>2.3606728259733591</v>
      </c>
      <c r="G760" s="87">
        <v>2.3683435826390862</v>
      </c>
      <c r="H760" s="87">
        <v>2.3834830436730572</v>
      </c>
      <c r="I760" s="87">
        <v>2.4026428935778745</v>
      </c>
      <c r="J760" s="87">
        <v>2.4180458393363908</v>
      </c>
      <c r="K760" s="87">
        <v>2.4358770513542765</v>
      </c>
      <c r="L760" s="87">
        <v>2.4530476430166379</v>
      </c>
      <c r="N760" s="29">
        <v>2.3529288777681701</v>
      </c>
      <c r="O760" s="29">
        <v>2.3606728259733591</v>
      </c>
      <c r="P760" s="29">
        <v>2.3683435826390862</v>
      </c>
      <c r="Q760" s="29">
        <v>2.3834830436730572</v>
      </c>
      <c r="R760" s="29">
        <v>2.4026428935778745</v>
      </c>
      <c r="S760" s="29">
        <v>2.4180458393363908</v>
      </c>
      <c r="T760" s="29">
        <v>2.4358770513542765</v>
      </c>
      <c r="U760" s="29">
        <v>2.4530476430166379</v>
      </c>
      <c r="W760" s="30">
        <v>2.3519784992657065</v>
      </c>
      <c r="X760" s="30">
        <v>2.3918791737109042</v>
      </c>
      <c r="Y760" s="30">
        <v>2.2150545127824581</v>
      </c>
      <c r="Z760" s="30">
        <v>2.8544892555099044</v>
      </c>
      <c r="AA760" s="30">
        <v>3.193565671857475</v>
      </c>
      <c r="AB760" s="30">
        <v>3.151066169896692</v>
      </c>
      <c r="AC760" s="30">
        <v>3.0793999999999997</v>
      </c>
      <c r="AD760" s="90">
        <v>0</v>
      </c>
      <c r="AF760" s="29">
        <f t="shared" si="1435"/>
        <v>2.3529288777681701</v>
      </c>
      <c r="AG760" s="30">
        <f t="shared" si="1436"/>
        <v>2.3519784992657065</v>
      </c>
      <c r="AH760" s="32">
        <f t="shared" si="1437"/>
        <v>-9.5037850246360023E-4</v>
      </c>
      <c r="AI760" s="33">
        <f t="shared" si="1438"/>
        <v>-4.0391297477935893E-4</v>
      </c>
      <c r="AK760" s="29">
        <f t="shared" si="1427"/>
        <v>2.3606728259733591</v>
      </c>
      <c r="AL760" s="30">
        <f t="shared" si="1428"/>
        <v>2.3918791737109042</v>
      </c>
      <c r="AM760" s="32">
        <f t="shared" si="1439"/>
        <v>3.1206347737545048E-2</v>
      </c>
      <c r="AN760" s="33">
        <f t="shared" si="1440"/>
        <v>1.3219259947501602E-2</v>
      </c>
      <c r="AP760" s="29">
        <f t="shared" si="1441"/>
        <v>2.3683435826390862</v>
      </c>
      <c r="AQ760" s="30">
        <f t="shared" si="1442"/>
        <v>2.2150545127824581</v>
      </c>
      <c r="AR760" s="32">
        <f t="shared" si="1443"/>
        <v>-0.15328906985662805</v>
      </c>
      <c r="AS760" s="33">
        <f t="shared" si="1444"/>
        <v>-6.4724168815833469E-2</v>
      </c>
      <c r="AU760" s="31">
        <f t="shared" si="1445"/>
        <v>2.3834830436730572</v>
      </c>
      <c r="AV760" s="25">
        <f t="shared" si="1446"/>
        <v>2.8544892555099044</v>
      </c>
      <c r="AW760" s="32">
        <f t="shared" si="1447"/>
        <v>0.47100621183684721</v>
      </c>
      <c r="AX760" s="33">
        <f t="shared" si="1448"/>
        <v>0.19761257084967759</v>
      </c>
      <c r="AZ760" s="31">
        <f t="shared" si="1429"/>
        <v>2.4026428935778745</v>
      </c>
      <c r="BA760" s="25">
        <f t="shared" si="1430"/>
        <v>3.193565671857475</v>
      </c>
      <c r="BB760" s="32">
        <f t="shared" si="1449"/>
        <v>0.79092277827960045</v>
      </c>
      <c r="BC760" s="33">
        <f t="shared" si="1450"/>
        <v>0.32918865320921858</v>
      </c>
      <c r="BE760" s="31">
        <f t="shared" si="1451"/>
        <v>2.4180458393363908</v>
      </c>
      <c r="BF760" s="25">
        <f t="shared" si="1452"/>
        <v>3.151066169896692</v>
      </c>
      <c r="BG760" s="32">
        <f t="shared" si="1453"/>
        <v>0.73302033056030114</v>
      </c>
      <c r="BH760" s="33">
        <f t="shared" si="1454"/>
        <v>0.30314575457406195</v>
      </c>
      <c r="BJ760" s="31">
        <f t="shared" si="1431"/>
        <v>2.4358770513542765</v>
      </c>
      <c r="BK760" s="25">
        <f t="shared" si="1432"/>
        <v>3.0793999999999997</v>
      </c>
      <c r="BL760" s="32">
        <f t="shared" si="1433"/>
        <v>0.64352294864572324</v>
      </c>
      <c r="BM760" s="33">
        <f t="shared" si="1434"/>
        <v>0.2641853160396348</v>
      </c>
      <c r="BO760" s="62"/>
      <c r="BP760" s="62"/>
      <c r="BQ760" s="62"/>
      <c r="BR760" s="63"/>
    </row>
    <row r="761" spans="1:70">
      <c r="B761" s="1284"/>
      <c r="D761" s="5" t="s">
        <v>168</v>
      </c>
      <c r="E761" s="87">
        <v>3.6996885055954047</v>
      </c>
      <c r="F761" s="87">
        <v>3.7417926127126049</v>
      </c>
      <c r="G761" s="87">
        <v>3.7844133734259442</v>
      </c>
      <c r="H761" s="87">
        <v>3.8275571867055076</v>
      </c>
      <c r="I761" s="87">
        <v>3.8712305312614781</v>
      </c>
      <c r="J761" s="87">
        <v>3.9154399665417707</v>
      </c>
      <c r="K761" s="87">
        <v>3.9601921337421757</v>
      </c>
      <c r="L761" s="87">
        <v>4.0054937568291704</v>
      </c>
      <c r="N761" s="29">
        <v>3.5474243865452335</v>
      </c>
      <c r="O761" s="29">
        <v>3.4728343525050889</v>
      </c>
      <c r="P761" s="29">
        <v>3.3767674067018119</v>
      </c>
      <c r="Q761" s="29">
        <v>3.3695626705981412</v>
      </c>
      <c r="R761" s="29">
        <v>3.3262752892397063</v>
      </c>
      <c r="S761" s="29">
        <v>3.2708223255396143</v>
      </c>
      <c r="T761" s="29">
        <v>3.1967963912246393</v>
      </c>
      <c r="U761" s="29">
        <v>3.1389443213186059</v>
      </c>
      <c r="W761" s="30">
        <v>1.6204140574764969</v>
      </c>
      <c r="X761" s="30">
        <v>1.8109769384567285</v>
      </c>
      <c r="Y761" s="30">
        <v>1.9598740837023809</v>
      </c>
      <c r="Z761" s="30">
        <v>2.4210539991398385</v>
      </c>
      <c r="AA761" s="30">
        <v>2.1419749935042209</v>
      </c>
      <c r="AB761" s="30">
        <v>2.6046081917538553</v>
      </c>
      <c r="AC761" s="30">
        <v>2.4533424740185636</v>
      </c>
      <c r="AD761" s="90">
        <v>0</v>
      </c>
      <c r="AF761" s="29">
        <f t="shared" si="1435"/>
        <v>3.5474243865452335</v>
      </c>
      <c r="AG761" s="30">
        <f t="shared" si="1436"/>
        <v>1.6204140574764969</v>
      </c>
      <c r="AH761" s="32">
        <f t="shared" si="1437"/>
        <v>-1.9270103290687366</v>
      </c>
      <c r="AI761" s="33">
        <f t="shared" si="1438"/>
        <v>-0.54321392624394005</v>
      </c>
      <c r="AK761" s="29">
        <f t="shared" si="1427"/>
        <v>3.4728343525050889</v>
      </c>
      <c r="AL761" s="30">
        <f t="shared" si="1428"/>
        <v>1.8109769384567285</v>
      </c>
      <c r="AM761" s="32">
        <f t="shared" si="1439"/>
        <v>-1.6618574140483604</v>
      </c>
      <c r="AN761" s="33">
        <f t="shared" si="1440"/>
        <v>-0.47853057340601313</v>
      </c>
      <c r="AP761" s="29">
        <f t="shared" si="1441"/>
        <v>3.3767674067018119</v>
      </c>
      <c r="AQ761" s="30">
        <f t="shared" si="1442"/>
        <v>1.9598740837023809</v>
      </c>
      <c r="AR761" s="32">
        <f t="shared" si="1443"/>
        <v>-1.4168933229994309</v>
      </c>
      <c r="AS761" s="33">
        <f t="shared" si="1444"/>
        <v>-0.41960050911038388</v>
      </c>
      <c r="AU761" s="31">
        <f t="shared" si="1445"/>
        <v>3.3695626705981412</v>
      </c>
      <c r="AV761" s="25">
        <f t="shared" si="1446"/>
        <v>2.4210539991398385</v>
      </c>
      <c r="AW761" s="32">
        <f t="shared" si="1447"/>
        <v>-0.94850867145830264</v>
      </c>
      <c r="AX761" s="33">
        <f t="shared" si="1448"/>
        <v>-0.28149310880451145</v>
      </c>
      <c r="AZ761" s="31">
        <f t="shared" si="1429"/>
        <v>3.3262752892397063</v>
      </c>
      <c r="BA761" s="25">
        <f t="shared" si="1430"/>
        <v>2.1419749935042209</v>
      </c>
      <c r="BB761" s="32">
        <f t="shared" si="1449"/>
        <v>-1.1843002957354853</v>
      </c>
      <c r="BC761" s="33">
        <f t="shared" si="1450"/>
        <v>-0.35604398095570233</v>
      </c>
      <c r="BE761" s="31">
        <f t="shared" si="1451"/>
        <v>3.2708223255396143</v>
      </c>
      <c r="BF761" s="25">
        <f t="shared" si="1452"/>
        <v>2.6046081917538553</v>
      </c>
      <c r="BG761" s="32">
        <f t="shared" si="1453"/>
        <v>-0.666214133785759</v>
      </c>
      <c r="BH761" s="33">
        <f t="shared" si="1454"/>
        <v>-0.20368398753541228</v>
      </c>
      <c r="BJ761" s="31">
        <f t="shared" si="1431"/>
        <v>3.1967963912246393</v>
      </c>
      <c r="BK761" s="25">
        <f t="shared" si="1432"/>
        <v>2.4533424740185636</v>
      </c>
      <c r="BL761" s="32">
        <f t="shared" si="1433"/>
        <v>-0.74345391720607568</v>
      </c>
      <c r="BM761" s="33">
        <f t="shared" si="1434"/>
        <v>-0.23256217357066988</v>
      </c>
      <c r="BO761" s="62"/>
      <c r="BP761" s="62"/>
      <c r="BQ761" s="62"/>
      <c r="BR761" s="63"/>
    </row>
    <row r="762" spans="1:70">
      <c r="B762" s="1284"/>
      <c r="D762" s="5" t="s">
        <v>169</v>
      </c>
      <c r="E762" s="87">
        <v>3.1042295265075901</v>
      </c>
      <c r="F762" s="87">
        <v>3.1395570445683076</v>
      </c>
      <c r="G762" s="87">
        <v>3.1753180616508181</v>
      </c>
      <c r="H762" s="87">
        <v>3.2115179468211492</v>
      </c>
      <c r="I762" s="87">
        <v>3.2481621360513899</v>
      </c>
      <c r="J762" s="87">
        <v>3.2852561330567478</v>
      </c>
      <c r="K762" s="87">
        <v>3.3228055101431146</v>
      </c>
      <c r="L762" s="87">
        <v>3.3608159090652627</v>
      </c>
      <c r="N762" s="29">
        <v>2.8159363159944961</v>
      </c>
      <c r="O762" s="29">
        <v>2.7782198895891517</v>
      </c>
      <c r="P762" s="29">
        <v>2.7030256188638937</v>
      </c>
      <c r="Q762" s="29">
        <v>2.680041500969184</v>
      </c>
      <c r="R762" s="29">
        <v>2.6360051539261748</v>
      </c>
      <c r="S762" s="29">
        <v>2.6045076749781422</v>
      </c>
      <c r="T762" s="29">
        <v>2.6016476933367407</v>
      </c>
      <c r="U762" s="29">
        <v>2.5639608905499891</v>
      </c>
      <c r="W762" s="30">
        <v>1.6204870275794525</v>
      </c>
      <c r="X762" s="30">
        <v>1.5275976110455058</v>
      </c>
      <c r="Y762" s="30">
        <v>1.1006268884351917</v>
      </c>
      <c r="Z762" s="30">
        <v>1.8588357296594842</v>
      </c>
      <c r="AA762" s="30">
        <v>1.7810710794109728</v>
      </c>
      <c r="AB762" s="30">
        <v>1.7223983133624781</v>
      </c>
      <c r="AC762" s="30">
        <v>1.6522684912654664</v>
      </c>
      <c r="AD762" s="90">
        <v>0</v>
      </c>
      <c r="AF762" s="29">
        <f t="shared" si="1435"/>
        <v>2.8159363159944961</v>
      </c>
      <c r="AG762" s="30">
        <f t="shared" si="1436"/>
        <v>1.6204870275794525</v>
      </c>
      <c r="AH762" s="32">
        <f t="shared" si="1437"/>
        <v>-1.1954492884150436</v>
      </c>
      <c r="AI762" s="33">
        <f t="shared" si="1438"/>
        <v>-0.42452994466703703</v>
      </c>
      <c r="AK762" s="29">
        <f t="shared" si="1427"/>
        <v>2.7782198895891517</v>
      </c>
      <c r="AL762" s="30">
        <f t="shared" si="1428"/>
        <v>1.5275976110455058</v>
      </c>
      <c r="AM762" s="32">
        <f t="shared" si="1439"/>
        <v>-1.2506222785436458</v>
      </c>
      <c r="AN762" s="33">
        <f t="shared" si="1440"/>
        <v>-0.45015237391039992</v>
      </c>
      <c r="AP762" s="29">
        <f t="shared" si="1441"/>
        <v>2.7030256188638937</v>
      </c>
      <c r="AQ762" s="30">
        <f t="shared" si="1442"/>
        <v>1.1006268884351917</v>
      </c>
      <c r="AR762" s="32">
        <f t="shared" si="1443"/>
        <v>-1.602398730428702</v>
      </c>
      <c r="AS762" s="33">
        <f t="shared" si="1444"/>
        <v>-0.59281670112405549</v>
      </c>
      <c r="AU762" s="31">
        <f t="shared" si="1445"/>
        <v>2.680041500969184</v>
      </c>
      <c r="AV762" s="25">
        <f t="shared" si="1446"/>
        <v>1.8588357296594842</v>
      </c>
      <c r="AW762" s="32">
        <f t="shared" si="1447"/>
        <v>-0.82120577130969985</v>
      </c>
      <c r="AX762" s="33">
        <f t="shared" si="1448"/>
        <v>-0.30641531894663832</v>
      </c>
      <c r="AZ762" s="31">
        <f t="shared" si="1429"/>
        <v>2.6360051539261748</v>
      </c>
      <c r="BA762" s="25">
        <f t="shared" si="1430"/>
        <v>1.7810710794109728</v>
      </c>
      <c r="BB762" s="32">
        <f t="shared" si="1449"/>
        <v>-0.85493407451520209</v>
      </c>
      <c r="BC762" s="33">
        <f t="shared" si="1450"/>
        <v>-0.3243294396605515</v>
      </c>
      <c r="BE762" s="31">
        <f t="shared" si="1451"/>
        <v>2.6045076749781422</v>
      </c>
      <c r="BF762" s="25">
        <f t="shared" si="1452"/>
        <v>1.7223983133624781</v>
      </c>
      <c r="BG762" s="32">
        <f t="shared" si="1453"/>
        <v>-0.88210936161566411</v>
      </c>
      <c r="BH762" s="33">
        <f t="shared" si="1454"/>
        <v>-0.33868564492637443</v>
      </c>
      <c r="BJ762" s="31">
        <f t="shared" si="1431"/>
        <v>2.6016476933367407</v>
      </c>
      <c r="BK762" s="25">
        <f t="shared" si="1432"/>
        <v>1.6522684912654664</v>
      </c>
      <c r="BL762" s="32">
        <f t="shared" si="1433"/>
        <v>-0.94937920207127435</v>
      </c>
      <c r="BM762" s="33">
        <f t="shared" si="1434"/>
        <v>-0.3649145902816876</v>
      </c>
      <c r="BO762" s="62"/>
      <c r="BP762" s="62"/>
      <c r="BQ762" s="62"/>
      <c r="BR762" s="63"/>
    </row>
    <row r="763" spans="1:70">
      <c r="B763" s="1284"/>
      <c r="D763" s="5" t="s">
        <v>170</v>
      </c>
      <c r="E763" s="87">
        <v>5.7842361351795448</v>
      </c>
      <c r="F763" s="87">
        <v>5.8500633250790326</v>
      </c>
      <c r="G763" s="87">
        <v>5.916698271197899</v>
      </c>
      <c r="H763" s="87">
        <v>5.984150977933524</v>
      </c>
      <c r="I763" s="87">
        <v>6.0524315743520418</v>
      </c>
      <c r="J763" s="87">
        <v>6.1215503157480828</v>
      </c>
      <c r="K763" s="87">
        <v>6.1915175852240614</v>
      </c>
      <c r="L763" s="87">
        <v>6.2623438952892956</v>
      </c>
      <c r="N763" s="29">
        <v>5.7956522232045522</v>
      </c>
      <c r="O763" s="29">
        <v>5.6714756641222168</v>
      </c>
      <c r="P763" s="29">
        <v>5.541917011299982</v>
      </c>
      <c r="Q763" s="29">
        <v>5.5305518574559516</v>
      </c>
      <c r="R763" s="29">
        <v>5.4504804123322597</v>
      </c>
      <c r="S763" s="29">
        <v>5.3593891733027865</v>
      </c>
      <c r="T763" s="29">
        <v>5.3282492677515769</v>
      </c>
      <c r="U763" s="29">
        <v>5.2629841121602023</v>
      </c>
      <c r="W763" s="30">
        <v>3.3516837460479585</v>
      </c>
      <c r="X763" s="30">
        <v>3.1084599497129606</v>
      </c>
      <c r="Y763" s="30">
        <v>2.7886664299535977</v>
      </c>
      <c r="Z763" s="30">
        <v>2.6478638617067571</v>
      </c>
      <c r="AA763" s="30">
        <v>3.7575940866468489</v>
      </c>
      <c r="AB763" s="30">
        <v>4.488073442039493</v>
      </c>
      <c r="AC763" s="30">
        <v>3.7901694571400912</v>
      </c>
      <c r="AD763" s="90">
        <v>0</v>
      </c>
      <c r="AF763" s="29">
        <f t="shared" si="1435"/>
        <v>5.7956522232045522</v>
      </c>
      <c r="AG763" s="30">
        <f t="shared" si="1436"/>
        <v>3.3516837460479585</v>
      </c>
      <c r="AH763" s="32">
        <f t="shared" si="1437"/>
        <v>-2.4439684771565937</v>
      </c>
      <c r="AI763" s="33">
        <f t="shared" si="1438"/>
        <v>-0.42168998121927787</v>
      </c>
      <c r="AK763" s="29">
        <f t="shared" si="1427"/>
        <v>5.6714756641222168</v>
      </c>
      <c r="AL763" s="30">
        <f t="shared" si="1428"/>
        <v>3.1084599497129606</v>
      </c>
      <c r="AM763" s="32">
        <f t="shared" si="1439"/>
        <v>-2.5630157144092562</v>
      </c>
      <c r="AN763" s="33">
        <f t="shared" si="1440"/>
        <v>-0.45191337602361698</v>
      </c>
      <c r="AP763" s="29">
        <f t="shared" si="1441"/>
        <v>5.541917011299982</v>
      </c>
      <c r="AQ763" s="30">
        <f t="shared" si="1442"/>
        <v>2.7886664299535977</v>
      </c>
      <c r="AR763" s="32">
        <f t="shared" si="1443"/>
        <v>-2.7532505813463843</v>
      </c>
      <c r="AS763" s="33">
        <f t="shared" si="1444"/>
        <v>-0.49680472943432746</v>
      </c>
      <c r="AU763" s="31">
        <f t="shared" si="1445"/>
        <v>5.5305518574559516</v>
      </c>
      <c r="AV763" s="25">
        <f t="shared" si="1446"/>
        <v>2.6478638617067571</v>
      </c>
      <c r="AW763" s="32">
        <f t="shared" si="1447"/>
        <v>-2.8826879957491944</v>
      </c>
      <c r="AX763" s="33">
        <f t="shared" si="1448"/>
        <v>-0.52122971993525946</v>
      </c>
      <c r="AZ763" s="31">
        <f t="shared" si="1429"/>
        <v>5.4504804123322597</v>
      </c>
      <c r="BA763" s="25">
        <f t="shared" si="1430"/>
        <v>3.7575940866468489</v>
      </c>
      <c r="BB763" s="32">
        <f t="shared" si="1449"/>
        <v>-1.6928863256854108</v>
      </c>
      <c r="BC763" s="33">
        <f t="shared" si="1450"/>
        <v>-0.31059396559890123</v>
      </c>
      <c r="BE763" s="31">
        <f t="shared" si="1451"/>
        <v>5.3593891733027865</v>
      </c>
      <c r="BF763" s="25">
        <f t="shared" si="1452"/>
        <v>4.488073442039493</v>
      </c>
      <c r="BG763" s="32">
        <f t="shared" si="1453"/>
        <v>-0.87131573126329354</v>
      </c>
      <c r="BH763" s="33">
        <f t="shared" si="1454"/>
        <v>-0.16257743244391692</v>
      </c>
      <c r="BJ763" s="31">
        <f t="shared" si="1431"/>
        <v>5.3282492677515769</v>
      </c>
      <c r="BK763" s="25">
        <f t="shared" si="1432"/>
        <v>3.7901694571400912</v>
      </c>
      <c r="BL763" s="32">
        <f t="shared" si="1433"/>
        <v>-1.5380798106114857</v>
      </c>
      <c r="BM763" s="33">
        <f t="shared" si="1434"/>
        <v>-0.28866513808212413</v>
      </c>
      <c r="BO763" s="62"/>
      <c r="BP763" s="62"/>
      <c r="BQ763" s="62"/>
      <c r="BR763" s="63"/>
    </row>
    <row r="764" spans="1:70">
      <c r="B764" s="1284"/>
      <c r="D764" s="5" t="s">
        <v>171</v>
      </c>
      <c r="E764" s="87">
        <v>2.8031437860357173</v>
      </c>
      <c r="F764" s="87">
        <v>2.8267543346928337</v>
      </c>
      <c r="G764" s="87">
        <v>2.8427648329576884</v>
      </c>
      <c r="H764" s="87">
        <v>2.8512723539822478</v>
      </c>
      <c r="I764" s="87">
        <v>2.8773099924747778</v>
      </c>
      <c r="J764" s="87">
        <v>2.887091990019985</v>
      </c>
      <c r="K764" s="87">
        <v>2.910526923977677</v>
      </c>
      <c r="L764" s="87">
        <v>2.9365563410042621</v>
      </c>
      <c r="N764" s="29">
        <v>2.6874336836676718</v>
      </c>
      <c r="O764" s="29">
        <v>2.6782211259380788</v>
      </c>
      <c r="P764" s="29">
        <v>2.6583827313583828</v>
      </c>
      <c r="Q764" s="29">
        <v>2.635915480436354</v>
      </c>
      <c r="R764" s="29">
        <v>2.6358965549194822</v>
      </c>
      <c r="S764" s="29">
        <v>2.6374911426679404</v>
      </c>
      <c r="T764" s="29">
        <v>2.647795465864911</v>
      </c>
      <c r="U764" s="29">
        <v>2.6313866382230549</v>
      </c>
      <c r="W764" s="30">
        <v>2.1404935730199344</v>
      </c>
      <c r="X764" s="30">
        <v>2.872763442102666</v>
      </c>
      <c r="Y764" s="30">
        <v>1.7329928852507135</v>
      </c>
      <c r="Z764" s="30">
        <v>2.3783965176219279</v>
      </c>
      <c r="AA764" s="30">
        <v>2.6746483606857376</v>
      </c>
      <c r="AB764" s="30">
        <v>2.3761680057501793</v>
      </c>
      <c r="AC764" s="30">
        <v>2.4038705351797862</v>
      </c>
      <c r="AD764" s="90">
        <v>0</v>
      </c>
      <c r="AF764" s="29">
        <f t="shared" si="1435"/>
        <v>2.6874336836676718</v>
      </c>
      <c r="AG764" s="30">
        <f t="shared" si="1436"/>
        <v>2.1404935730199344</v>
      </c>
      <c r="AH764" s="32">
        <f t="shared" si="1437"/>
        <v>-0.5469401106477374</v>
      </c>
      <c r="AI764" s="33">
        <f t="shared" si="1438"/>
        <v>-0.20351762127997949</v>
      </c>
      <c r="AK764" s="29">
        <f t="shared" si="1427"/>
        <v>2.6782211259380788</v>
      </c>
      <c r="AL764" s="30">
        <f t="shared" si="1428"/>
        <v>2.872763442102666</v>
      </c>
      <c r="AM764" s="32">
        <f t="shared" si="1439"/>
        <v>0.19454231616458717</v>
      </c>
      <c r="AN764" s="33">
        <f t="shared" si="1440"/>
        <v>7.263863102283849E-2</v>
      </c>
      <c r="AP764" s="29">
        <f t="shared" si="1441"/>
        <v>2.6583827313583828</v>
      </c>
      <c r="AQ764" s="30">
        <f t="shared" si="1442"/>
        <v>1.7329928852507135</v>
      </c>
      <c r="AR764" s="32">
        <f t="shared" si="1443"/>
        <v>-0.92538984610766928</v>
      </c>
      <c r="AS764" s="33">
        <f t="shared" si="1444"/>
        <v>-0.34810256446212046</v>
      </c>
      <c r="AU764" s="31">
        <f t="shared" si="1445"/>
        <v>2.635915480436354</v>
      </c>
      <c r="AV764" s="25">
        <f t="shared" si="1446"/>
        <v>2.3783965176219279</v>
      </c>
      <c r="AW764" s="32">
        <f t="shared" si="1447"/>
        <v>-0.2575189628144261</v>
      </c>
      <c r="AX764" s="33">
        <f t="shared" si="1448"/>
        <v>-9.7696213981715366E-2</v>
      </c>
      <c r="AZ764" s="31">
        <f t="shared" si="1429"/>
        <v>2.6358965549194822</v>
      </c>
      <c r="BA764" s="25">
        <f t="shared" si="1430"/>
        <v>2.6746483606857376</v>
      </c>
      <c r="BB764" s="32">
        <f t="shared" si="1449"/>
        <v>3.8751805766255476E-2</v>
      </c>
      <c r="BC764" s="33">
        <f t="shared" si="1450"/>
        <v>1.4701565466949524E-2</v>
      </c>
      <c r="BE764" s="31">
        <f t="shared" si="1451"/>
        <v>2.6374911426679404</v>
      </c>
      <c r="BF764" s="25">
        <f t="shared" si="1452"/>
        <v>2.3761680057501793</v>
      </c>
      <c r="BG764" s="32">
        <f t="shared" si="1453"/>
        <v>-0.2613231369177611</v>
      </c>
      <c r="BH764" s="33">
        <f t="shared" si="1454"/>
        <v>-9.9080195072587446E-2</v>
      </c>
      <c r="BJ764" s="31">
        <f t="shared" si="1431"/>
        <v>2.647795465864911</v>
      </c>
      <c r="BK764" s="25">
        <f t="shared" si="1432"/>
        <v>2.4038705351797862</v>
      </c>
      <c r="BL764" s="32">
        <f t="shared" si="1433"/>
        <v>-0.24392493068512477</v>
      </c>
      <c r="BM764" s="33">
        <f t="shared" si="1434"/>
        <v>-9.2123781398441934E-2</v>
      </c>
      <c r="BO764" s="62"/>
      <c r="BP764" s="62"/>
      <c r="BQ764" s="62"/>
      <c r="BR764" s="63"/>
    </row>
    <row r="765" spans="1:70">
      <c r="B765" s="1284"/>
      <c r="D765" s="5" t="s">
        <v>172</v>
      </c>
      <c r="E765" s="87">
        <v>2.9973739350394495</v>
      </c>
      <c r="F765" s="87">
        <v>3.0199114071110382</v>
      </c>
      <c r="G765" s="87">
        <v>3.0357400135553902</v>
      </c>
      <c r="H765" s="87">
        <v>3.0706814462307066</v>
      </c>
      <c r="I765" s="87">
        <v>3.088978176320341</v>
      </c>
      <c r="J765" s="87">
        <v>3.1174952255902224</v>
      </c>
      <c r="K765" s="87">
        <v>3.1473378631510669</v>
      </c>
      <c r="L765" s="87">
        <v>3.203821637219086</v>
      </c>
      <c r="N765" s="29">
        <v>1.9746611624594961</v>
      </c>
      <c r="O765" s="29">
        <v>1.9596655647948369</v>
      </c>
      <c r="P765" s="29">
        <v>1.9245963890293722</v>
      </c>
      <c r="Q765" s="29">
        <v>1.8940908113786139</v>
      </c>
      <c r="R765" s="29">
        <v>1.8919645354277375</v>
      </c>
      <c r="S765" s="29">
        <v>1.8727524080457358</v>
      </c>
      <c r="T765" s="29">
        <v>1.8971782364875487</v>
      </c>
      <c r="U765" s="29">
        <v>1.910944845630365</v>
      </c>
      <c r="W765" s="30">
        <v>1.5840742357454831</v>
      </c>
      <c r="X765" s="30">
        <v>1.9534256021051086</v>
      </c>
      <c r="Y765" s="30">
        <v>1.7058308246491729</v>
      </c>
      <c r="Z765" s="30">
        <v>1.8272212744192218</v>
      </c>
      <c r="AA765" s="30">
        <v>1.9052045279133591</v>
      </c>
      <c r="AB765" s="30">
        <v>1.8213954789715847</v>
      </c>
      <c r="AC765" s="30">
        <v>1.8507904421029358</v>
      </c>
      <c r="AD765" s="90">
        <v>0</v>
      </c>
      <c r="AF765" s="29">
        <f t="shared" si="1435"/>
        <v>1.9746611624594961</v>
      </c>
      <c r="AG765" s="30">
        <f t="shared" si="1436"/>
        <v>1.5840742357454831</v>
      </c>
      <c r="AH765" s="32">
        <f t="shared" si="1437"/>
        <v>-0.39058692671401296</v>
      </c>
      <c r="AI765" s="33">
        <f t="shared" si="1438"/>
        <v>-0.19779946764513562</v>
      </c>
      <c r="AK765" s="29">
        <f t="shared" si="1427"/>
        <v>1.9596655647948369</v>
      </c>
      <c r="AL765" s="30">
        <f t="shared" si="1428"/>
        <v>1.9534256021051086</v>
      </c>
      <c r="AM765" s="32">
        <f t="shared" si="1439"/>
        <v>-6.2399626897282623E-3</v>
      </c>
      <c r="AN765" s="33">
        <f t="shared" si="1440"/>
        <v>-3.1841977538557922E-3</v>
      </c>
      <c r="AP765" s="29">
        <f t="shared" si="1441"/>
        <v>1.9245963890293722</v>
      </c>
      <c r="AQ765" s="30">
        <f t="shared" si="1442"/>
        <v>1.7058308246491729</v>
      </c>
      <c r="AR765" s="32">
        <f t="shared" si="1443"/>
        <v>-0.21876556438019934</v>
      </c>
      <c r="AS765" s="33">
        <f t="shared" si="1444"/>
        <v>-0.1136682816341191</v>
      </c>
      <c r="AU765" s="31">
        <f t="shared" si="1445"/>
        <v>1.8940908113786139</v>
      </c>
      <c r="AV765" s="25">
        <f t="shared" si="1446"/>
        <v>1.8272212744192218</v>
      </c>
      <c r="AW765" s="32">
        <f t="shared" si="1447"/>
        <v>-6.6869536959392128E-2</v>
      </c>
      <c r="AX765" s="33">
        <f t="shared" si="1448"/>
        <v>-3.5304292992541966E-2</v>
      </c>
      <c r="AZ765" s="31">
        <f t="shared" si="1429"/>
        <v>1.8919645354277375</v>
      </c>
      <c r="BA765" s="25">
        <f t="shared" si="1430"/>
        <v>1.9052045279133591</v>
      </c>
      <c r="BB765" s="32">
        <f t="shared" si="1449"/>
        <v>1.3239992485621688E-2</v>
      </c>
      <c r="BC765" s="33">
        <f t="shared" si="1450"/>
        <v>6.9980130376113923E-3</v>
      </c>
      <c r="BE765" s="31">
        <f t="shared" si="1451"/>
        <v>1.8727524080457358</v>
      </c>
      <c r="BF765" s="25">
        <f t="shared" si="1452"/>
        <v>1.8213954789715847</v>
      </c>
      <c r="BG765" s="32">
        <f t="shared" si="1453"/>
        <v>-5.1356929074151125E-2</v>
      </c>
      <c r="BH765" s="33">
        <f t="shared" si="1454"/>
        <v>-2.742323483526761E-2</v>
      </c>
      <c r="BJ765" s="31">
        <f t="shared" si="1431"/>
        <v>1.8971782364875487</v>
      </c>
      <c r="BK765" s="25">
        <f t="shared" si="1432"/>
        <v>1.8507904421029358</v>
      </c>
      <c r="BL765" s="32">
        <f t="shared" si="1433"/>
        <v>-4.6387794384612935E-2</v>
      </c>
      <c r="BM765" s="33">
        <f t="shared" si="1434"/>
        <v>-2.4450941662969777E-2</v>
      </c>
      <c r="BO765" s="62"/>
      <c r="BP765" s="62"/>
      <c r="BQ765" s="62"/>
      <c r="BR765" s="63"/>
    </row>
    <row r="766" spans="1:70">
      <c r="B766" s="1284"/>
      <c r="D766" s="5" t="s">
        <v>28</v>
      </c>
      <c r="E766" s="87">
        <v>10.209620859836145</v>
      </c>
      <c r="F766" s="87">
        <v>10.485117190806397</v>
      </c>
      <c r="G766" s="87">
        <v>9.8544102456636686</v>
      </c>
      <c r="H766" s="87">
        <v>10.399640966348061</v>
      </c>
      <c r="I766" s="87">
        <v>9.653626991247414</v>
      </c>
      <c r="J766" s="87">
        <v>9.412155302898956</v>
      </c>
      <c r="K766" s="87">
        <v>10.000102285740851</v>
      </c>
      <c r="L766" s="87">
        <v>9.6611667525729388</v>
      </c>
      <c r="N766" s="29">
        <v>8.4848757437367599</v>
      </c>
      <c r="O766" s="29">
        <v>8.6165728382277376</v>
      </c>
      <c r="P766" s="29">
        <v>8.4231671457395123</v>
      </c>
      <c r="Q766" s="29">
        <v>8.604562797497076</v>
      </c>
      <c r="R766" s="29">
        <v>8.2570659018634682</v>
      </c>
      <c r="S766" s="29">
        <v>8.1304743193564839</v>
      </c>
      <c r="T766" s="29">
        <v>8.2896910384032001</v>
      </c>
      <c r="U766" s="29">
        <v>8.1114282125103774</v>
      </c>
      <c r="W766" s="30">
        <v>6.232967846292107</v>
      </c>
      <c r="X766" s="30">
        <v>5.525398041534384</v>
      </c>
      <c r="Y766" s="30">
        <v>4.8541867631756155</v>
      </c>
      <c r="Z766" s="30">
        <v>6.2889300663599004</v>
      </c>
      <c r="AA766" s="30">
        <v>7.0664096781211247</v>
      </c>
      <c r="AB766" s="30">
        <v>14.436318731151628</v>
      </c>
      <c r="AC766" s="30">
        <v>13.050783510000002</v>
      </c>
      <c r="AD766" s="90">
        <v>0</v>
      </c>
      <c r="AF766" s="29">
        <f t="shared" si="1435"/>
        <v>8.4848757437367599</v>
      </c>
      <c r="AG766" s="30">
        <f t="shared" si="1436"/>
        <v>6.232967846292107</v>
      </c>
      <c r="AH766" s="32">
        <f t="shared" si="1437"/>
        <v>-2.2519078974446529</v>
      </c>
      <c r="AI766" s="33">
        <f t="shared" si="1438"/>
        <v>-0.26540257812342544</v>
      </c>
      <c r="AK766" s="29">
        <f t="shared" si="1427"/>
        <v>8.6165728382277376</v>
      </c>
      <c r="AL766" s="30">
        <f t="shared" si="1428"/>
        <v>5.525398041534384</v>
      </c>
      <c r="AM766" s="32">
        <f t="shared" si="1439"/>
        <v>-3.0911747966933536</v>
      </c>
      <c r="AN766" s="33">
        <f t="shared" si="1440"/>
        <v>-0.35874759660583899</v>
      </c>
      <c r="AP766" s="29">
        <f t="shared" si="1441"/>
        <v>8.4231671457395123</v>
      </c>
      <c r="AQ766" s="30">
        <f t="shared" si="1442"/>
        <v>4.8541867631756155</v>
      </c>
      <c r="AR766" s="32">
        <f t="shared" si="1443"/>
        <v>-3.5689803825638968</v>
      </c>
      <c r="AS766" s="33">
        <f t="shared" si="1444"/>
        <v>-0.42371002745316627</v>
      </c>
      <c r="AU766" s="31">
        <f t="shared" si="1445"/>
        <v>8.604562797497076</v>
      </c>
      <c r="AV766" s="25">
        <f t="shared" si="1446"/>
        <v>6.2889300663599004</v>
      </c>
      <c r="AW766" s="32">
        <f t="shared" si="1447"/>
        <v>-2.3156327311371756</v>
      </c>
      <c r="AX766" s="33">
        <f t="shared" si="1448"/>
        <v>-0.26911683784918794</v>
      </c>
      <c r="AZ766" s="31">
        <f t="shared" si="1429"/>
        <v>8.2570659018634682</v>
      </c>
      <c r="BA766" s="25">
        <f t="shared" si="1430"/>
        <v>7.0664096781211247</v>
      </c>
      <c r="BB766" s="32">
        <f t="shared" si="1449"/>
        <v>-1.1906562237423435</v>
      </c>
      <c r="BC766" s="33">
        <f t="shared" si="1450"/>
        <v>-0.14419846442955411</v>
      </c>
      <c r="BE766" s="31">
        <f t="shared" si="1451"/>
        <v>8.1304743193564839</v>
      </c>
      <c r="BF766" s="25">
        <f t="shared" si="1452"/>
        <v>14.436318731151628</v>
      </c>
      <c r="BG766" s="32">
        <f t="shared" si="1453"/>
        <v>6.3058444117951442</v>
      </c>
      <c r="BH766" s="33">
        <f t="shared" si="1454"/>
        <v>0.77558137005397287</v>
      </c>
      <c r="BJ766" s="31">
        <f t="shared" si="1431"/>
        <v>8.2896910384032001</v>
      </c>
      <c r="BK766" s="25">
        <f t="shared" si="1432"/>
        <v>13.050783510000002</v>
      </c>
      <c r="BL766" s="32">
        <f t="shared" si="1433"/>
        <v>4.7610924715968022</v>
      </c>
      <c r="BM766" s="33">
        <f t="shared" si="1434"/>
        <v>0.57433895298876014</v>
      </c>
      <c r="BO766" s="62"/>
      <c r="BP766" s="62"/>
      <c r="BQ766" s="62"/>
      <c r="BR766" s="63"/>
    </row>
    <row r="767" spans="1:70">
      <c r="B767" s="1284"/>
      <c r="D767" s="5" t="s">
        <v>173</v>
      </c>
      <c r="E767" s="87">
        <v>1.2888899708317278</v>
      </c>
      <c r="F767" s="87">
        <v>1.300474582453516</v>
      </c>
      <c r="G767" s="87">
        <v>1.3118045735286961</v>
      </c>
      <c r="H767" s="87">
        <v>1.3213355431840219</v>
      </c>
      <c r="I767" s="87">
        <v>1.3351458066649635</v>
      </c>
      <c r="J767" s="87">
        <v>1.3491901874086896</v>
      </c>
      <c r="K767" s="87">
        <v>1.3634728911150427</v>
      </c>
      <c r="L767" s="87">
        <v>1.3779821944934745</v>
      </c>
      <c r="N767" s="29">
        <v>1.3091228024579247</v>
      </c>
      <c r="O767" s="29">
        <v>1.3030330971403454</v>
      </c>
      <c r="P767" s="29">
        <v>1.3133082937787288</v>
      </c>
      <c r="Q767" s="29">
        <v>1.3171013830130693</v>
      </c>
      <c r="R767" s="29">
        <v>1.3158820236814661</v>
      </c>
      <c r="S767" s="29">
        <v>1.303155328893665</v>
      </c>
      <c r="T767" s="29">
        <v>1.3057700959926093</v>
      </c>
      <c r="U767" s="29">
        <v>1.2911667862462242</v>
      </c>
      <c r="W767" s="30">
        <v>1.4044705877818167</v>
      </c>
      <c r="X767" s="30">
        <v>1.3102944260038039</v>
      </c>
      <c r="Y767" s="30">
        <v>1.5222006394574914</v>
      </c>
      <c r="Z767" s="30">
        <v>1.4607593189985459</v>
      </c>
      <c r="AA767" s="30">
        <v>2.0756696885449455</v>
      </c>
      <c r="AB767" s="30">
        <v>3.2442297418370529</v>
      </c>
      <c r="AC767" s="30">
        <v>2.8567682900000002</v>
      </c>
      <c r="AD767" s="90">
        <v>0</v>
      </c>
      <c r="AF767" s="29">
        <f t="shared" si="1435"/>
        <v>1.3091228024579247</v>
      </c>
      <c r="AG767" s="30">
        <f t="shared" si="1436"/>
        <v>1.4044705877818167</v>
      </c>
      <c r="AH767" s="32">
        <f t="shared" si="1437"/>
        <v>9.5347785323891987E-2</v>
      </c>
      <c r="AI767" s="33">
        <f t="shared" si="1438"/>
        <v>7.2833339351261114E-2</v>
      </c>
      <c r="AK767" s="29">
        <f t="shared" si="1427"/>
        <v>1.3030330971403454</v>
      </c>
      <c r="AL767" s="30">
        <f t="shared" si="1428"/>
        <v>1.3102944260038039</v>
      </c>
      <c r="AM767" s="32">
        <f t="shared" si="1439"/>
        <v>7.2613288634584272E-3</v>
      </c>
      <c r="AN767" s="33">
        <f t="shared" si="1440"/>
        <v>5.5726357829238874E-3</v>
      </c>
      <c r="AP767" s="29">
        <f t="shared" si="1441"/>
        <v>1.3133082937787288</v>
      </c>
      <c r="AQ767" s="30">
        <f t="shared" si="1442"/>
        <v>1.5222006394574914</v>
      </c>
      <c r="AR767" s="32">
        <f t="shared" si="1443"/>
        <v>0.20889234567876258</v>
      </c>
      <c r="AS767" s="33">
        <f t="shared" si="1444"/>
        <v>0.15905811808872775</v>
      </c>
      <c r="AU767" s="31">
        <f t="shared" si="1445"/>
        <v>1.3171013830130693</v>
      </c>
      <c r="AV767" s="25">
        <f t="shared" si="1446"/>
        <v>1.4607593189985459</v>
      </c>
      <c r="AW767" s="32">
        <f t="shared" si="1447"/>
        <v>0.1436579359854766</v>
      </c>
      <c r="AX767" s="33">
        <f t="shared" si="1448"/>
        <v>0.10907128170865425</v>
      </c>
      <c r="AZ767" s="31">
        <f t="shared" si="1429"/>
        <v>1.3158820236814661</v>
      </c>
      <c r="BA767" s="25">
        <f t="shared" si="1430"/>
        <v>2.0756696885449455</v>
      </c>
      <c r="BB767" s="32">
        <f t="shared" si="1449"/>
        <v>0.75978766486347937</v>
      </c>
      <c r="BC767" s="33">
        <f t="shared" si="1450"/>
        <v>0.57739801227606113</v>
      </c>
      <c r="BE767" s="31">
        <f t="shared" si="1451"/>
        <v>1.303155328893665</v>
      </c>
      <c r="BF767" s="25">
        <f t="shared" si="1452"/>
        <v>3.2442297418370529</v>
      </c>
      <c r="BG767" s="32">
        <f t="shared" si="1453"/>
        <v>1.9410744129433879</v>
      </c>
      <c r="BH767" s="33">
        <f t="shared" si="1454"/>
        <v>1.4895188393169483</v>
      </c>
      <c r="BJ767" s="31">
        <f t="shared" si="1431"/>
        <v>1.3057700959926093</v>
      </c>
      <c r="BK767" s="25">
        <f t="shared" si="1432"/>
        <v>2.8567682900000002</v>
      </c>
      <c r="BL767" s="32">
        <f t="shared" si="1433"/>
        <v>1.5509981940073909</v>
      </c>
      <c r="BM767" s="33">
        <f t="shared" si="1434"/>
        <v>1.1878034263208994</v>
      </c>
      <c r="BO767" s="62"/>
      <c r="BP767" s="62"/>
      <c r="BQ767" s="62"/>
      <c r="BR767" s="63"/>
    </row>
    <row r="768" spans="1:70">
      <c r="A768" s="1"/>
      <c r="B768" s="1284"/>
      <c r="D768" s="4" t="s">
        <v>174</v>
      </c>
      <c r="E768" s="88">
        <f t="shared" ref="E768:L768" si="1455">SUM(E754:E767)</f>
        <v>47.06704280135218</v>
      </c>
      <c r="F768" s="88">
        <f t="shared" si="1455"/>
        <v>47.514372559625862</v>
      </c>
      <c r="G768" s="88">
        <f t="shared" si="1455"/>
        <v>47.098054538091155</v>
      </c>
      <c r="H768" s="88">
        <f t="shared" si="1455"/>
        <v>47.907540920569851</v>
      </c>
      <c r="I768" s="88">
        <f t="shared" si="1455"/>
        <v>47.441094356080185</v>
      </c>
      <c r="J768" s="88">
        <f t="shared" si="1455"/>
        <v>47.473588484762409</v>
      </c>
      <c r="K768" s="88">
        <f t="shared" si="1455"/>
        <v>48.345289392120073</v>
      </c>
      <c r="L768" s="88">
        <f t="shared" si="1455"/>
        <v>48.323069212014488</v>
      </c>
      <c r="M768" s="1"/>
      <c r="N768" s="81">
        <f t="shared" ref="N768:U768" si="1456">SUM(N754:N767)</f>
        <v>43.869942487960145</v>
      </c>
      <c r="O768" s="81">
        <f t="shared" si="1456"/>
        <v>43.634955651156602</v>
      </c>
      <c r="P768" s="81">
        <f t="shared" si="1456"/>
        <v>43.06543782284502</v>
      </c>
      <c r="Q768" s="81">
        <f t="shared" si="1456"/>
        <v>43.212957223952095</v>
      </c>
      <c r="R768" s="81">
        <f t="shared" si="1456"/>
        <v>42.677285755635346</v>
      </c>
      <c r="S768" s="81">
        <f t="shared" si="1456"/>
        <v>42.355439699442016</v>
      </c>
      <c r="T768" s="81">
        <f t="shared" si="1456"/>
        <v>42.436245155922052</v>
      </c>
      <c r="U768" s="81">
        <f t="shared" si="1456"/>
        <v>42.035288432198442</v>
      </c>
      <c r="V768" s="1"/>
      <c r="W768" s="85">
        <f t="shared" ref="W768:AD768" si="1457">SUM(W754:W767)</f>
        <v>32.612523420498789</v>
      </c>
      <c r="X768" s="85">
        <f t="shared" si="1457"/>
        <v>31.283997878241404</v>
      </c>
      <c r="Y768" s="85">
        <f t="shared" si="1457"/>
        <v>28.786724934343109</v>
      </c>
      <c r="Z768" s="85">
        <f>SUM(Z754:Z767)</f>
        <v>34.343819939444444</v>
      </c>
      <c r="AA768" s="85">
        <f>SUM(AA754:AA767)</f>
        <v>37.343030997910397</v>
      </c>
      <c r="AB768" s="85">
        <f t="shared" si="1457"/>
        <v>46.872146232277345</v>
      </c>
      <c r="AC768" s="85">
        <f t="shared" ref="AC768" si="1458">SUM(AC754:AC767)</f>
        <v>43.351955048669289</v>
      </c>
      <c r="AD768" s="91">
        <f t="shared" si="1457"/>
        <v>0</v>
      </c>
      <c r="AE768" s="1"/>
      <c r="AF768" s="81">
        <f t="shared" si="1435"/>
        <v>43.869942487960145</v>
      </c>
      <c r="AG768" s="85">
        <f t="shared" si="1436"/>
        <v>32.612523420498789</v>
      </c>
      <c r="AH768" s="34">
        <f t="shared" si="1437"/>
        <v>-11.257419067461356</v>
      </c>
      <c r="AI768" s="35">
        <f t="shared" si="1438"/>
        <v>-0.25660893151503195</v>
      </c>
      <c r="AK768" s="81">
        <f t="shared" si="1427"/>
        <v>43.634955651156602</v>
      </c>
      <c r="AL768" s="85">
        <f t="shared" si="1428"/>
        <v>31.283997878241404</v>
      </c>
      <c r="AM768" s="34">
        <f t="shared" si="1439"/>
        <v>-12.350957772915198</v>
      </c>
      <c r="AN768" s="35">
        <f t="shared" si="1440"/>
        <v>-0.28305191534181884</v>
      </c>
      <c r="AP768" s="81">
        <f t="shared" si="1441"/>
        <v>43.06543782284502</v>
      </c>
      <c r="AQ768" s="85">
        <f t="shared" si="1442"/>
        <v>28.786724934343109</v>
      </c>
      <c r="AR768" s="34">
        <f t="shared" si="1443"/>
        <v>-14.278712888501911</v>
      </c>
      <c r="AS768" s="35">
        <f t="shared" si="1444"/>
        <v>-0.33155852141197667</v>
      </c>
      <c r="AU768" s="949">
        <f t="shared" si="1445"/>
        <v>43.212957223952095</v>
      </c>
      <c r="AV768" s="843">
        <f t="shared" si="1446"/>
        <v>34.343819939444444</v>
      </c>
      <c r="AW768" s="34">
        <f t="shared" si="1447"/>
        <v>-8.8691372845076515</v>
      </c>
      <c r="AX768" s="35">
        <f t="shared" si="1448"/>
        <v>-0.20524254423373883</v>
      </c>
      <c r="AZ768" s="949">
        <f t="shared" si="1429"/>
        <v>42.677285755635346</v>
      </c>
      <c r="BA768" s="843">
        <f t="shared" si="1430"/>
        <v>37.343030997910397</v>
      </c>
      <c r="BB768" s="34">
        <f t="shared" si="1449"/>
        <v>-5.3342547577249491</v>
      </c>
      <c r="BC768" s="35">
        <f t="shared" si="1450"/>
        <v>-0.12499048763944845</v>
      </c>
      <c r="BE768" s="31">
        <f t="shared" si="1451"/>
        <v>42.355439699442016</v>
      </c>
      <c r="BF768" s="25">
        <f t="shared" si="1452"/>
        <v>46.872146232277345</v>
      </c>
      <c r="BG768" s="32">
        <f t="shared" si="1453"/>
        <v>4.5167065328353289</v>
      </c>
      <c r="BH768" s="33">
        <f t="shared" si="1454"/>
        <v>0.10663816890784943</v>
      </c>
      <c r="BJ768" s="31">
        <f t="shared" si="1431"/>
        <v>42.436245155922052</v>
      </c>
      <c r="BK768" s="25">
        <f t="shared" si="1432"/>
        <v>43.351955048669289</v>
      </c>
      <c r="BL768" s="32">
        <f t="shared" si="1433"/>
        <v>0.91570989274723757</v>
      </c>
      <c r="BM768" s="33">
        <f t="shared" si="1434"/>
        <v>2.1578485310909952E-2</v>
      </c>
      <c r="BO768" s="62"/>
      <c r="BP768" s="62"/>
      <c r="BQ768" s="62"/>
      <c r="BR768" s="63"/>
    </row>
    <row r="769" spans="1:70" ht="12" customHeight="1">
      <c r="A769" s="1"/>
      <c r="B769" s="1284"/>
      <c r="D769" s="4" t="s">
        <v>724</v>
      </c>
      <c r="E769" s="88">
        <f t="shared" ref="E769:L769" si="1459">E768-SUM(E757:E760)</f>
        <v>35.818113029441413</v>
      </c>
      <c r="F769" s="88">
        <f t="shared" si="1459"/>
        <v>36.256090185181577</v>
      </c>
      <c r="G769" s="88">
        <f t="shared" si="1459"/>
        <v>35.840761043354789</v>
      </c>
      <c r="H769" s="88">
        <f t="shared" si="1459"/>
        <v>36.608875425692858</v>
      </c>
      <c r="I769" s="88">
        <f t="shared" si="1459"/>
        <v>36.091158650360846</v>
      </c>
      <c r="J769" s="88">
        <f t="shared" si="1459"/>
        <v>36.076109156002289</v>
      </c>
      <c r="K769" s="88">
        <f t="shared" si="1459"/>
        <v>36.899152751147568</v>
      </c>
      <c r="L769" s="88">
        <f t="shared" si="1459"/>
        <v>36.828298979148173</v>
      </c>
      <c r="M769" s="1"/>
      <c r="N769" s="81">
        <f t="shared" ref="N769:U769" si="1460">N768-SUM(N757:N760)</f>
        <v>32.621012716049378</v>
      </c>
      <c r="O769" s="81">
        <f t="shared" si="1460"/>
        <v>32.376673276712317</v>
      </c>
      <c r="P769" s="81">
        <f t="shared" si="1460"/>
        <v>31.808144328108654</v>
      </c>
      <c r="Q769" s="81">
        <f t="shared" si="1460"/>
        <v>31.914291729075099</v>
      </c>
      <c r="R769" s="81">
        <f t="shared" si="1460"/>
        <v>31.327350049916006</v>
      </c>
      <c r="S769" s="81">
        <f t="shared" si="1460"/>
        <v>30.957960370681892</v>
      </c>
      <c r="T769" s="81">
        <f t="shared" si="1460"/>
        <v>30.990108514949547</v>
      </c>
      <c r="U769" s="81">
        <f t="shared" si="1460"/>
        <v>30.540518199332123</v>
      </c>
      <c r="V769" s="1"/>
      <c r="W769" s="85">
        <f t="shared" ref="W769:AD769" si="1461">W768-SUM(W757:W760)</f>
        <v>23.3305440192661</v>
      </c>
      <c r="X769" s="85">
        <f t="shared" si="1461"/>
        <v>23.588182412114126</v>
      </c>
      <c r="Y769" s="85">
        <f t="shared" si="1461"/>
        <v>20.708623729576424</v>
      </c>
      <c r="Z769" s="85">
        <f>Z768-SUM(Z757:Z760)</f>
        <v>24.269087372767892</v>
      </c>
      <c r="AA769" s="85">
        <f>AA768-SUM(AA757:AA760)</f>
        <v>26.838416055816687</v>
      </c>
      <c r="AB769" s="85">
        <f t="shared" si="1461"/>
        <v>36.52090973056233</v>
      </c>
      <c r="AC769" s="85">
        <f t="shared" ref="AC769" si="1462">AC768-SUM(AC757:AC760)</f>
        <v>33.017755048669287</v>
      </c>
      <c r="AD769" s="91">
        <f t="shared" si="1461"/>
        <v>0</v>
      </c>
      <c r="AE769" s="1"/>
      <c r="AF769" s="81">
        <f t="shared" si="1435"/>
        <v>32.621012716049378</v>
      </c>
      <c r="AG769" s="85">
        <f t="shared" si="1436"/>
        <v>23.3305440192661</v>
      </c>
      <c r="AH769" s="34">
        <f t="shared" si="1437"/>
        <v>-9.2904686967832788</v>
      </c>
      <c r="AI769" s="35">
        <f t="shared" si="1438"/>
        <v>-0.28480013105823698</v>
      </c>
      <c r="AK769" s="81">
        <f t="shared" si="1427"/>
        <v>32.376673276712317</v>
      </c>
      <c r="AL769" s="85">
        <f t="shared" si="1428"/>
        <v>23.588182412114126</v>
      </c>
      <c r="AM769" s="34">
        <f t="shared" si="1439"/>
        <v>-8.7884908645981916</v>
      </c>
      <c r="AN769" s="35">
        <f t="shared" si="1440"/>
        <v>-0.27144514785339358</v>
      </c>
      <c r="AP769" s="81">
        <f t="shared" si="1441"/>
        <v>31.808144328108654</v>
      </c>
      <c r="AQ769" s="85">
        <f>Y769</f>
        <v>20.708623729576424</v>
      </c>
      <c r="AR769" s="34">
        <f t="shared" si="1443"/>
        <v>-11.09952059853223</v>
      </c>
      <c r="AS769" s="35">
        <f t="shared" si="1444"/>
        <v>-0.34895215778820693</v>
      </c>
      <c r="AU769" s="949">
        <f t="shared" si="1445"/>
        <v>31.914291729075099</v>
      </c>
      <c r="AV769" s="843">
        <f t="shared" si="1446"/>
        <v>24.269087372767892</v>
      </c>
      <c r="AW769" s="34">
        <f t="shared" si="1447"/>
        <v>-7.6452043563072074</v>
      </c>
      <c r="AX769" s="35">
        <f t="shared" si="1448"/>
        <v>-0.23955425428859334</v>
      </c>
      <c r="AZ769" s="949">
        <f t="shared" si="1429"/>
        <v>31.327350049916006</v>
      </c>
      <c r="BA769" s="843">
        <f t="shared" si="1430"/>
        <v>26.838416055816687</v>
      </c>
      <c r="BB769" s="34">
        <f t="shared" si="1449"/>
        <v>-4.4889339940993196</v>
      </c>
      <c r="BC769" s="35">
        <f t="shared" si="1450"/>
        <v>-0.14329121317145543</v>
      </c>
      <c r="BE769" s="31">
        <f t="shared" si="1451"/>
        <v>30.957960370681892</v>
      </c>
      <c r="BF769" s="25">
        <f t="shared" si="1452"/>
        <v>36.52090973056233</v>
      </c>
      <c r="BG769" s="32">
        <f t="shared" si="1453"/>
        <v>5.562949359880438</v>
      </c>
      <c r="BH769" s="33">
        <f t="shared" si="1454"/>
        <v>0.17969366499831546</v>
      </c>
      <c r="BJ769" s="31">
        <f t="shared" si="1431"/>
        <v>30.990108514949547</v>
      </c>
      <c r="BK769" s="25">
        <f t="shared" si="1432"/>
        <v>33.017755048669287</v>
      </c>
      <c r="BL769" s="32">
        <f t="shared" si="1433"/>
        <v>2.0276465337197394</v>
      </c>
      <c r="BM769" s="33">
        <f t="shared" si="1434"/>
        <v>6.5428829742290445E-2</v>
      </c>
      <c r="BO769" s="62"/>
      <c r="BP769" s="62"/>
      <c r="BQ769" s="62"/>
      <c r="BR769" s="63"/>
    </row>
    <row r="770" spans="1:70" ht="14.5" customHeight="1">
      <c r="B770" s="1284"/>
    </row>
    <row r="771" spans="1:70" ht="14.5" customHeight="1">
      <c r="B771" s="1284"/>
      <c r="D771" s="1" t="s">
        <v>101</v>
      </c>
    </row>
    <row r="772" spans="1:70" ht="14.5" customHeight="1">
      <c r="B772" s="1284"/>
      <c r="E772" s="1300" t="s">
        <v>733</v>
      </c>
      <c r="F772" s="1301"/>
      <c r="G772" s="1301"/>
      <c r="H772" s="1301"/>
      <c r="I772" s="1301"/>
      <c r="J772" s="1301"/>
      <c r="K772" s="1301"/>
      <c r="L772" s="1302"/>
      <c r="N772" s="245" t="s">
        <v>291</v>
      </c>
      <c r="O772" s="246"/>
      <c r="P772" s="246"/>
      <c r="Q772" s="246"/>
      <c r="R772" s="246"/>
      <c r="S772" s="246"/>
      <c r="T772" s="246"/>
      <c r="U772" s="247"/>
      <c r="W772" s="1079" t="s">
        <v>292</v>
      </c>
      <c r="X772" s="1080"/>
      <c r="Y772" s="1080"/>
      <c r="Z772" s="1080"/>
      <c r="AA772" s="1080"/>
      <c r="AB772" s="1080"/>
      <c r="AC772" s="1080"/>
      <c r="AD772" s="1081"/>
      <c r="AF772" s="102" t="s">
        <v>297</v>
      </c>
      <c r="AG772" s="102" t="s">
        <v>298</v>
      </c>
      <c r="AH772" s="1304" t="s">
        <v>602</v>
      </c>
      <c r="AI772" s="1304"/>
      <c r="AK772" s="102" t="s">
        <v>297</v>
      </c>
      <c r="AL772" s="102" t="s">
        <v>298</v>
      </c>
      <c r="AM772" s="1304" t="s">
        <v>602</v>
      </c>
      <c r="AN772" s="1304"/>
      <c r="AP772" s="6" t="s">
        <v>297</v>
      </c>
      <c r="AQ772" s="5" t="s">
        <v>298</v>
      </c>
      <c r="AR772" s="1303" t="s">
        <v>602</v>
      </c>
      <c r="AS772" s="1303"/>
      <c r="AU772" s="6" t="s">
        <v>297</v>
      </c>
      <c r="AV772" s="5" t="s">
        <v>298</v>
      </c>
      <c r="AW772" s="1303" t="s">
        <v>602</v>
      </c>
      <c r="AX772" s="1303"/>
      <c r="AZ772" s="6" t="s">
        <v>297</v>
      </c>
      <c r="BA772" s="5" t="s">
        <v>298</v>
      </c>
      <c r="BB772" s="1303" t="s">
        <v>602</v>
      </c>
      <c r="BC772" s="1303"/>
      <c r="BE772" s="6" t="s">
        <v>297</v>
      </c>
      <c r="BF772" s="5" t="s">
        <v>298</v>
      </c>
      <c r="BG772" s="1082" t="s">
        <v>602</v>
      </c>
      <c r="BH772" s="1082"/>
      <c r="BJ772" s="6" t="s">
        <v>297</v>
      </c>
      <c r="BK772" s="5" t="s">
        <v>298</v>
      </c>
      <c r="BL772" s="1082" t="s">
        <v>602</v>
      </c>
      <c r="BM772" s="1082"/>
      <c r="BO772" s="6" t="s">
        <v>297</v>
      </c>
      <c r="BP772" s="5" t="s">
        <v>298</v>
      </c>
      <c r="BQ772" s="1303" t="s">
        <v>602</v>
      </c>
      <c r="BR772" s="1303"/>
    </row>
    <row r="773" spans="1:70" ht="14.5" customHeight="1">
      <c r="A773" s="1"/>
      <c r="B773" s="1284"/>
      <c r="E773" s="196" t="s">
        <v>137</v>
      </c>
      <c r="F773" s="102" t="s">
        <v>138</v>
      </c>
      <c r="G773" s="102" t="s">
        <v>139</v>
      </c>
      <c r="H773" s="102" t="s">
        <v>140</v>
      </c>
      <c r="I773" s="102" t="s">
        <v>141</v>
      </c>
      <c r="J773" s="102" t="s">
        <v>126</v>
      </c>
      <c r="K773" s="102" t="s">
        <v>142</v>
      </c>
      <c r="L773" s="197" t="s">
        <v>143</v>
      </c>
      <c r="N773" s="196" t="s">
        <v>137</v>
      </c>
      <c r="O773" s="102" t="s">
        <v>138</v>
      </c>
      <c r="P773" s="102" t="s">
        <v>139</v>
      </c>
      <c r="Q773" s="102" t="s">
        <v>140</v>
      </c>
      <c r="R773" s="102" t="s">
        <v>141</v>
      </c>
      <c r="S773" s="102" t="s">
        <v>126</v>
      </c>
      <c r="T773" s="102" t="s">
        <v>142</v>
      </c>
      <c r="U773" s="197" t="s">
        <v>143</v>
      </c>
      <c r="W773" s="196" t="s">
        <v>137</v>
      </c>
      <c r="X773" s="1078" t="s">
        <v>138</v>
      </c>
      <c r="Y773" s="1078" t="s">
        <v>139</v>
      </c>
      <c r="Z773" s="1078" t="s">
        <v>140</v>
      </c>
      <c r="AA773" s="1078" t="s">
        <v>141</v>
      </c>
      <c r="AB773" s="1078" t="s">
        <v>126</v>
      </c>
      <c r="AC773" s="1078" t="s">
        <v>142</v>
      </c>
      <c r="AD773" s="197" t="s">
        <v>143</v>
      </c>
      <c r="AF773" s="102" t="s">
        <v>734</v>
      </c>
      <c r="AG773" s="102" t="s">
        <v>734</v>
      </c>
      <c r="AH773" s="102" t="s">
        <v>734</v>
      </c>
      <c r="AI773" s="102" t="s">
        <v>606</v>
      </c>
      <c r="AK773" s="102" t="s">
        <v>734</v>
      </c>
      <c r="AL773" s="102" t="s">
        <v>734</v>
      </c>
      <c r="AM773" s="102" t="s">
        <v>734</v>
      </c>
      <c r="AN773" s="102" t="s">
        <v>606</v>
      </c>
      <c r="AP773" s="5" t="s">
        <v>734</v>
      </c>
      <c r="AQ773" s="5" t="s">
        <v>734</v>
      </c>
      <c r="AR773" s="5" t="s">
        <v>734</v>
      </c>
      <c r="AS773" s="5" t="s">
        <v>606</v>
      </c>
      <c r="AU773" s="5" t="s">
        <v>734</v>
      </c>
      <c r="AV773" s="5" t="s">
        <v>734</v>
      </c>
      <c r="AW773" s="5" t="s">
        <v>734</v>
      </c>
      <c r="AX773" s="5" t="s">
        <v>606</v>
      </c>
      <c r="AZ773" s="5" t="s">
        <v>734</v>
      </c>
      <c r="BA773" s="5" t="s">
        <v>734</v>
      </c>
      <c r="BB773" s="5" t="s">
        <v>734</v>
      </c>
      <c r="BC773" s="5" t="s">
        <v>606</v>
      </c>
      <c r="BE773" s="5" t="s">
        <v>734</v>
      </c>
      <c r="BF773" s="5" t="s">
        <v>734</v>
      </c>
      <c r="BG773" s="5" t="s">
        <v>734</v>
      </c>
      <c r="BH773" s="5" t="s">
        <v>606</v>
      </c>
      <c r="BJ773" s="5" t="s">
        <v>734</v>
      </c>
      <c r="BK773" s="5" t="s">
        <v>734</v>
      </c>
      <c r="BL773" s="5" t="s">
        <v>734</v>
      </c>
      <c r="BM773" s="5" t="s">
        <v>606</v>
      </c>
      <c r="BO773" s="5" t="s">
        <v>734</v>
      </c>
      <c r="BP773" s="5" t="s">
        <v>734</v>
      </c>
      <c r="BQ773" s="5" t="s">
        <v>734</v>
      </c>
      <c r="BR773" s="5" t="s">
        <v>606</v>
      </c>
    </row>
    <row r="774" spans="1:70">
      <c r="B774" s="1284"/>
      <c r="D774" s="5" t="s">
        <v>161</v>
      </c>
      <c r="E774" s="87">
        <v>5.1284477980452507</v>
      </c>
      <c r="F774" s="87">
        <v>5.6563187326424558</v>
      </c>
      <c r="G774" s="87">
        <v>5.7940312845854276</v>
      </c>
      <c r="H774" s="87">
        <v>6.4342895398816164</v>
      </c>
      <c r="I774" s="87">
        <v>7.3932948994975174</v>
      </c>
      <c r="J774" s="87">
        <v>7.2588253143737154</v>
      </c>
      <c r="K774" s="87">
        <v>6.9487918962368749</v>
      </c>
      <c r="L774" s="87">
        <v>7.1077481715525339</v>
      </c>
      <c r="N774" s="29">
        <v>8.0736204418734587</v>
      </c>
      <c r="O774" s="29">
        <v>6.7820594222362924</v>
      </c>
      <c r="P774" s="29">
        <v>7.0232427945122318</v>
      </c>
      <c r="Q774" s="29">
        <v>8.2172388522024935</v>
      </c>
      <c r="R774" s="29">
        <v>8.14387311015245</v>
      </c>
      <c r="S774" s="29">
        <v>7.6529124273422715</v>
      </c>
      <c r="T774" s="29">
        <v>9.9050903830101067</v>
      </c>
      <c r="U774" s="29">
        <v>9.8300593930865698</v>
      </c>
      <c r="W774" s="30">
        <v>19.135224461667516</v>
      </c>
      <c r="X774" s="30">
        <v>11.139621482338386</v>
      </c>
      <c r="Y774" s="30">
        <v>13.407950010798743</v>
      </c>
      <c r="Z774" s="30">
        <v>15.267120171620617</v>
      </c>
      <c r="AA774" s="30">
        <v>10.058999421278564</v>
      </c>
      <c r="AB774" s="30">
        <v>9.155259834207909</v>
      </c>
      <c r="AC774" s="30">
        <v>10.36849354198284</v>
      </c>
      <c r="AD774" s="90">
        <v>0</v>
      </c>
      <c r="AF774" s="29">
        <f>N774</f>
        <v>8.0736204418734587</v>
      </c>
      <c r="AG774" s="30">
        <f>W774</f>
        <v>19.135224461667516</v>
      </c>
      <c r="AH774" s="32">
        <f>IF(AG774&gt;0,AG774-AF774,"")</f>
        <v>11.061604019794057</v>
      </c>
      <c r="AI774" s="33">
        <f>IF(AG774&gt;0,AH774/AF774,"")</f>
        <v>1.3700921537534214</v>
      </c>
      <c r="AK774" s="29">
        <f t="shared" ref="AK774:AK789" si="1463">O774</f>
        <v>6.7820594222362924</v>
      </c>
      <c r="AL774" s="30">
        <f t="shared" ref="AL774:AL789" si="1464">X774</f>
        <v>11.139621482338386</v>
      </c>
      <c r="AM774" s="32">
        <f>IF(AL774&gt;0,AL774-AK774,"")</f>
        <v>4.3575620601020937</v>
      </c>
      <c r="AN774" s="33">
        <f>IF(AL774&gt;0,AM774/AK774,"")</f>
        <v>0.64251310535778916</v>
      </c>
      <c r="AP774" s="29">
        <f>P774</f>
        <v>7.0232427945122318</v>
      </c>
      <c r="AQ774" s="30">
        <f>Y774</f>
        <v>13.407950010798743</v>
      </c>
      <c r="AR774" s="32">
        <f>AQ774-AP774</f>
        <v>6.3847072162865111</v>
      </c>
      <c r="AS774" s="33">
        <f>AR774/AP774</f>
        <v>0.90908251403117446</v>
      </c>
      <c r="AU774" s="31">
        <f>Q774</f>
        <v>8.2172388522024935</v>
      </c>
      <c r="AV774" s="25">
        <f>Z774</f>
        <v>15.267120171620617</v>
      </c>
      <c r="AW774" s="32">
        <f>AV774-AU774</f>
        <v>7.0498813194181231</v>
      </c>
      <c r="AX774" s="33">
        <f>AW774/AU774</f>
        <v>0.85793798211530881</v>
      </c>
      <c r="AZ774" s="31">
        <f t="shared" ref="AZ774:AZ789" si="1465">R774</f>
        <v>8.14387311015245</v>
      </c>
      <c r="BA774" s="25">
        <f t="shared" ref="BA774:BA789" si="1466">AA774</f>
        <v>10.058999421278564</v>
      </c>
      <c r="BB774" s="32">
        <f>BA774-AZ774</f>
        <v>1.9151263111261141</v>
      </c>
      <c r="BC774" s="33">
        <f>BB774/AZ774</f>
        <v>0.23516160986578336</v>
      </c>
      <c r="BE774" s="946">
        <f>S774</f>
        <v>7.6529124273422715</v>
      </c>
      <c r="BF774" s="25">
        <f>AB774</f>
        <v>9.155259834207909</v>
      </c>
      <c r="BG774" s="32">
        <f>BF774-BE774</f>
        <v>1.5023474068656375</v>
      </c>
      <c r="BH774" s="33">
        <f>BG774/BE774</f>
        <v>0.19631054466245573</v>
      </c>
      <c r="BJ774" s="946">
        <f t="shared" ref="BJ774:BJ789" si="1467">T774</f>
        <v>9.9050903830101067</v>
      </c>
      <c r="BK774" s="25">
        <f t="shared" ref="BK774:BK789" si="1468">AC774</f>
        <v>10.36849354198284</v>
      </c>
      <c r="BL774" s="32">
        <f t="shared" ref="BL774:BL789" si="1469">BK774-BJ774</f>
        <v>0.46340315897273321</v>
      </c>
      <c r="BM774" s="33">
        <f t="shared" ref="BM774:BM789" si="1470">BL774/BJ774</f>
        <v>4.6784344317301156E-2</v>
      </c>
      <c r="BO774" s="62"/>
      <c r="BP774" s="62"/>
      <c r="BQ774" s="62"/>
      <c r="BR774" s="63"/>
    </row>
    <row r="775" spans="1:70">
      <c r="B775" s="1284"/>
      <c r="D775" s="5" t="s">
        <v>162</v>
      </c>
      <c r="E775" s="87">
        <v>11.246112933274</v>
      </c>
      <c r="F775" s="87">
        <v>9.0820154560014554</v>
      </c>
      <c r="G775" s="87">
        <v>8.5943507698269013</v>
      </c>
      <c r="H775" s="87">
        <v>9.5647311571995353</v>
      </c>
      <c r="I775" s="87">
        <v>9.1234966489169764</v>
      </c>
      <c r="J775" s="87">
        <v>7.8618571628007867</v>
      </c>
      <c r="K775" s="87">
        <v>11.659349718014496</v>
      </c>
      <c r="L775" s="87">
        <v>9.0461867238137046</v>
      </c>
      <c r="N775" s="29">
        <v>10.979131095931578</v>
      </c>
      <c r="O775" s="29">
        <v>9.9246840833655376</v>
      </c>
      <c r="P775" s="29">
        <v>9.243231408364629</v>
      </c>
      <c r="Q775" s="29">
        <v>9.9016990371137101</v>
      </c>
      <c r="R775" s="29">
        <v>8.8993838474442377</v>
      </c>
      <c r="S775" s="29">
        <v>8.0994046629481335</v>
      </c>
      <c r="T775" s="29">
        <v>10.884259592921257</v>
      </c>
      <c r="U775" s="29">
        <v>9.1847751603342047</v>
      </c>
      <c r="W775" s="30">
        <v>11.225491061878929</v>
      </c>
      <c r="X775" s="30">
        <v>10.502851412169694</v>
      </c>
      <c r="Y775" s="30">
        <v>10.318118451410246</v>
      </c>
      <c r="Z775" s="30">
        <v>7.084763196782343</v>
      </c>
      <c r="AA775" s="30">
        <v>9.9700039674906957</v>
      </c>
      <c r="AB775" s="30">
        <v>8.3737064507618229</v>
      </c>
      <c r="AC775" s="30">
        <v>8.2218640179145588</v>
      </c>
      <c r="AD775" s="90">
        <v>0</v>
      </c>
      <c r="AF775" s="29">
        <f t="shared" ref="AF775:AF789" si="1471">N775</f>
        <v>10.979131095931578</v>
      </c>
      <c r="AG775" s="30">
        <f t="shared" ref="AG775:AG789" si="1472">W775</f>
        <v>11.225491061878929</v>
      </c>
      <c r="AH775" s="32">
        <f t="shared" ref="AH775:AH789" si="1473">IF(AG775&gt;0,AG775-AF775,"")</f>
        <v>0.24635996594735055</v>
      </c>
      <c r="AI775" s="33">
        <f t="shared" ref="AI775:AI789" si="1474">IF(AG775&gt;0,AH775/AF775,"")</f>
        <v>2.2438931077035922E-2</v>
      </c>
      <c r="AK775" s="29">
        <f t="shared" si="1463"/>
        <v>9.9246840833655376</v>
      </c>
      <c r="AL775" s="30">
        <f t="shared" si="1464"/>
        <v>10.502851412169694</v>
      </c>
      <c r="AM775" s="32">
        <f t="shared" ref="AM775:AM789" si="1475">IF(AL775&gt;0,AL775-AK775,"")</f>
        <v>0.578167328804156</v>
      </c>
      <c r="AN775" s="33">
        <f t="shared" ref="AN775:AN789" si="1476">IF(AL775&gt;0,AM775/AK775,"")</f>
        <v>5.825548943902454E-2</v>
      </c>
      <c r="AP775" s="29">
        <f t="shared" ref="AP775:AP789" si="1477">P775</f>
        <v>9.243231408364629</v>
      </c>
      <c r="AQ775" s="30">
        <f t="shared" ref="AQ775:AQ788" si="1478">Y775</f>
        <v>10.318118451410246</v>
      </c>
      <c r="AR775" s="32">
        <f t="shared" ref="AR775:AR789" si="1479">AQ775-AP775</f>
        <v>1.0748870430456172</v>
      </c>
      <c r="AS775" s="33">
        <f t="shared" ref="AS775:AS789" si="1480">AR775/AP775</f>
        <v>0.1162890979958483</v>
      </c>
      <c r="AU775" s="31">
        <f t="shared" ref="AU775:AU789" si="1481">Q775</f>
        <v>9.9016990371137101</v>
      </c>
      <c r="AV775" s="25">
        <f t="shared" ref="AV775:AV789" si="1482">Z775</f>
        <v>7.084763196782343</v>
      </c>
      <c r="AW775" s="32">
        <f t="shared" ref="AW775:AW789" si="1483">AV775-AU775</f>
        <v>-2.8169358403313671</v>
      </c>
      <c r="AX775" s="33">
        <f t="shared" ref="AX775:AX789" si="1484">AW775/AU775</f>
        <v>-0.2844901495968401</v>
      </c>
      <c r="AZ775" s="31">
        <f t="shared" si="1465"/>
        <v>8.8993838474442377</v>
      </c>
      <c r="BA775" s="25">
        <f t="shared" si="1466"/>
        <v>9.9700039674906957</v>
      </c>
      <c r="BB775" s="32">
        <f t="shared" ref="BB775:BB789" si="1485">BA775-AZ775</f>
        <v>1.070620120046458</v>
      </c>
      <c r="BC775" s="33">
        <f t="shared" ref="BC775:BC789" si="1486">BB775/AZ775</f>
        <v>0.12030272414352856</v>
      </c>
      <c r="BE775" s="946">
        <f t="shared" ref="BE775:BE789" si="1487">S775</f>
        <v>8.0994046629481335</v>
      </c>
      <c r="BF775" s="25">
        <f t="shared" ref="BF775:BF789" si="1488">AB775</f>
        <v>8.3737064507618229</v>
      </c>
      <c r="BG775" s="32">
        <f t="shared" ref="BG775:BG789" si="1489">BF775-BE775</f>
        <v>0.2743017878136893</v>
      </c>
      <c r="BH775" s="33">
        <f t="shared" ref="BH775:BH789" si="1490">BG775/BE775</f>
        <v>3.3866907412160974E-2</v>
      </c>
      <c r="BJ775" s="946">
        <f t="shared" si="1467"/>
        <v>10.884259592921257</v>
      </c>
      <c r="BK775" s="25">
        <f t="shared" si="1468"/>
        <v>8.2218640179145588</v>
      </c>
      <c r="BL775" s="32">
        <f t="shared" si="1469"/>
        <v>-2.6623955750066983</v>
      </c>
      <c r="BM775" s="33">
        <f t="shared" si="1470"/>
        <v>-0.24460970930335285</v>
      </c>
      <c r="BO775" s="62"/>
      <c r="BP775" s="62"/>
      <c r="BQ775" s="62"/>
      <c r="BR775" s="63"/>
    </row>
    <row r="776" spans="1:70">
      <c r="B776" s="1284"/>
      <c r="D776" s="5" t="s">
        <v>163</v>
      </c>
      <c r="E776" s="87">
        <v>12.79719559993355</v>
      </c>
      <c r="F776" s="87">
        <v>10.798325729617298</v>
      </c>
      <c r="G776" s="87">
        <v>10.573380508957516</v>
      </c>
      <c r="H776" s="87">
        <v>11.267449451503937</v>
      </c>
      <c r="I776" s="87">
        <v>11.248514272297502</v>
      </c>
      <c r="J776" s="87">
        <v>9.3103292375767222</v>
      </c>
      <c r="K776" s="87">
        <v>13.362583606416704</v>
      </c>
      <c r="L776" s="87">
        <v>10.860966874868234</v>
      </c>
      <c r="N776" s="29">
        <v>13.290218928256047</v>
      </c>
      <c r="O776" s="29">
        <v>12.199449482588271</v>
      </c>
      <c r="P776" s="29">
        <v>11.541416370520414</v>
      </c>
      <c r="Q776" s="29">
        <v>11.885263504836658</v>
      </c>
      <c r="R776" s="29">
        <v>11.251560863299703</v>
      </c>
      <c r="S776" s="29">
        <v>9.9827439206320729</v>
      </c>
      <c r="T776" s="29">
        <v>12.733251722397323</v>
      </c>
      <c r="U776" s="29">
        <v>10.844850798912578</v>
      </c>
      <c r="W776" s="30">
        <v>9.0899627167463262</v>
      </c>
      <c r="X776" s="30">
        <v>10.896088054929791</v>
      </c>
      <c r="Y776" s="30">
        <v>11.032953623118395</v>
      </c>
      <c r="Z776" s="30">
        <v>6.8211886889153712</v>
      </c>
      <c r="AA776" s="30">
        <v>7.8366991786331681</v>
      </c>
      <c r="AB776" s="30">
        <v>9.9410567715997544</v>
      </c>
      <c r="AC776" s="30">
        <v>8.467013549806957</v>
      </c>
      <c r="AD776" s="90">
        <v>0</v>
      </c>
      <c r="AF776" s="29">
        <f t="shared" si="1471"/>
        <v>13.290218928256047</v>
      </c>
      <c r="AG776" s="30">
        <f t="shared" si="1472"/>
        <v>9.0899627167463262</v>
      </c>
      <c r="AH776" s="32">
        <f t="shared" si="1473"/>
        <v>-4.2002562115097213</v>
      </c>
      <c r="AI776" s="33">
        <f t="shared" si="1474"/>
        <v>-0.31604116035888974</v>
      </c>
      <c r="AK776" s="29">
        <f t="shared" si="1463"/>
        <v>12.199449482588271</v>
      </c>
      <c r="AL776" s="30">
        <f t="shared" si="1464"/>
        <v>10.896088054929791</v>
      </c>
      <c r="AM776" s="32">
        <f t="shared" si="1475"/>
        <v>-1.30336142765848</v>
      </c>
      <c r="AN776" s="33">
        <f t="shared" si="1476"/>
        <v>-0.10683772489231662</v>
      </c>
      <c r="AP776" s="29">
        <f t="shared" si="1477"/>
        <v>11.541416370520414</v>
      </c>
      <c r="AQ776" s="30">
        <f t="shared" si="1478"/>
        <v>11.032953623118395</v>
      </c>
      <c r="AR776" s="32">
        <f t="shared" si="1479"/>
        <v>-0.50846274740201913</v>
      </c>
      <c r="AS776" s="33">
        <f t="shared" si="1480"/>
        <v>-4.4055489471877707E-2</v>
      </c>
      <c r="AU776" s="31">
        <f t="shared" si="1481"/>
        <v>11.885263504836658</v>
      </c>
      <c r="AV776" s="25">
        <f t="shared" si="1482"/>
        <v>6.8211886889153712</v>
      </c>
      <c r="AW776" s="32">
        <f t="shared" si="1483"/>
        <v>-5.0640748159212867</v>
      </c>
      <c r="AX776" s="33">
        <f t="shared" si="1484"/>
        <v>-0.42608014654958914</v>
      </c>
      <c r="AZ776" s="31">
        <f t="shared" si="1465"/>
        <v>11.251560863299703</v>
      </c>
      <c r="BA776" s="25">
        <f t="shared" si="1466"/>
        <v>7.8366991786331681</v>
      </c>
      <c r="BB776" s="32">
        <f t="shared" si="1485"/>
        <v>-3.4148616846665352</v>
      </c>
      <c r="BC776" s="33">
        <f t="shared" si="1486"/>
        <v>-0.30350115207616374</v>
      </c>
      <c r="BE776" s="946">
        <f t="shared" si="1487"/>
        <v>9.9827439206320729</v>
      </c>
      <c r="BF776" s="25">
        <f t="shared" si="1488"/>
        <v>9.9410567715997544</v>
      </c>
      <c r="BG776" s="32">
        <f t="shared" si="1489"/>
        <v>-4.1687149032318516E-2</v>
      </c>
      <c r="BH776" s="33">
        <f t="shared" si="1490"/>
        <v>-4.1759209054897835E-3</v>
      </c>
      <c r="BJ776" s="946">
        <f t="shared" si="1467"/>
        <v>12.733251722397323</v>
      </c>
      <c r="BK776" s="25">
        <f t="shared" si="1468"/>
        <v>8.467013549806957</v>
      </c>
      <c r="BL776" s="32">
        <f t="shared" si="1469"/>
        <v>-4.2662381725903664</v>
      </c>
      <c r="BM776" s="33">
        <f t="shared" si="1470"/>
        <v>-0.33504703005958875</v>
      </c>
      <c r="BO776" s="62"/>
      <c r="BP776" s="62"/>
      <c r="BQ776" s="62"/>
      <c r="BR776" s="63"/>
    </row>
    <row r="777" spans="1:70">
      <c r="B777" s="1284"/>
      <c r="D777" s="5" t="s">
        <v>164</v>
      </c>
      <c r="E777" s="87">
        <v>16.211960636704077</v>
      </c>
      <c r="F777" s="87">
        <v>16.425475588709197</v>
      </c>
      <c r="G777" s="87">
        <v>8.9941291830202044</v>
      </c>
      <c r="H777" s="87">
        <v>13.296125940374699</v>
      </c>
      <c r="I777" s="87">
        <v>17.622717310992112</v>
      </c>
      <c r="J777" s="87">
        <v>19.777824973764275</v>
      </c>
      <c r="K777" s="87">
        <v>18.273473268934566</v>
      </c>
      <c r="L777" s="87">
        <v>12.986251897442296</v>
      </c>
      <c r="N777" s="29">
        <v>16.211960636704077</v>
      </c>
      <c r="O777" s="29">
        <v>16.425475588709197</v>
      </c>
      <c r="P777" s="29">
        <v>8.9941291830202044</v>
      </c>
      <c r="Q777" s="29">
        <v>13.296125940374699</v>
      </c>
      <c r="R777" s="29">
        <v>17.622717310992112</v>
      </c>
      <c r="S777" s="29">
        <v>19.777824973764275</v>
      </c>
      <c r="T777" s="29">
        <v>18.273473268934566</v>
      </c>
      <c r="U777" s="29">
        <v>12.986251897442296</v>
      </c>
      <c r="W777" s="30">
        <v>11.943157317688962</v>
      </c>
      <c r="X777" s="30">
        <v>10.733044072273879</v>
      </c>
      <c r="Y777" s="30">
        <v>16.856146053225078</v>
      </c>
      <c r="Z777" s="30">
        <v>10.986763300718653</v>
      </c>
      <c r="AA777" s="30">
        <v>10.13472659491746</v>
      </c>
      <c r="AB777" s="30">
        <v>15.502843607202715</v>
      </c>
      <c r="AC777" s="30">
        <v>16.193399999999997</v>
      </c>
      <c r="AD777" s="90">
        <v>0</v>
      </c>
      <c r="AF777" s="29">
        <f t="shared" si="1471"/>
        <v>16.211960636704077</v>
      </c>
      <c r="AG777" s="30">
        <f t="shared" si="1472"/>
        <v>11.943157317688962</v>
      </c>
      <c r="AH777" s="32">
        <f t="shared" si="1473"/>
        <v>-4.2688033190151149</v>
      </c>
      <c r="AI777" s="33">
        <f t="shared" si="1474"/>
        <v>-0.26331197161622094</v>
      </c>
      <c r="AK777" s="29">
        <f t="shared" si="1463"/>
        <v>16.425475588709197</v>
      </c>
      <c r="AL777" s="30">
        <f t="shared" si="1464"/>
        <v>10.733044072273879</v>
      </c>
      <c r="AM777" s="32">
        <f t="shared" si="1475"/>
        <v>-5.6924315164353185</v>
      </c>
      <c r="AN777" s="33">
        <f t="shared" si="1476"/>
        <v>-0.34656113825698126</v>
      </c>
      <c r="AP777" s="29">
        <f t="shared" si="1477"/>
        <v>8.9941291830202044</v>
      </c>
      <c r="AQ777" s="30">
        <f t="shared" si="1478"/>
        <v>16.856146053225078</v>
      </c>
      <c r="AR777" s="32">
        <f t="shared" si="1479"/>
        <v>7.8620168702048741</v>
      </c>
      <c r="AS777" s="33">
        <f t="shared" si="1480"/>
        <v>0.87412763484066724</v>
      </c>
      <c r="AU777" s="31">
        <f t="shared" si="1481"/>
        <v>13.296125940374699</v>
      </c>
      <c r="AV777" s="25">
        <f t="shared" si="1482"/>
        <v>10.986763300718653</v>
      </c>
      <c r="AW777" s="32">
        <f t="shared" si="1483"/>
        <v>-2.3093626396560456</v>
      </c>
      <c r="AX777" s="33">
        <f t="shared" si="1484"/>
        <v>-0.17368688067578317</v>
      </c>
      <c r="AZ777" s="31">
        <f t="shared" si="1465"/>
        <v>17.622717310992112</v>
      </c>
      <c r="BA777" s="25">
        <f t="shared" si="1466"/>
        <v>10.13472659491746</v>
      </c>
      <c r="BB777" s="32">
        <f t="shared" si="1485"/>
        <v>-7.4879907160746519</v>
      </c>
      <c r="BC777" s="33">
        <f t="shared" si="1486"/>
        <v>-0.42490556841674143</v>
      </c>
      <c r="BE777" s="946">
        <f t="shared" si="1487"/>
        <v>19.777824973764275</v>
      </c>
      <c r="BF777" s="25">
        <f t="shared" si="1488"/>
        <v>15.502843607202715</v>
      </c>
      <c r="BG777" s="32">
        <f t="shared" si="1489"/>
        <v>-4.2749813665615601</v>
      </c>
      <c r="BH777" s="33">
        <f t="shared" si="1490"/>
        <v>-0.21615022745081514</v>
      </c>
      <c r="BJ777" s="946">
        <f t="shared" si="1467"/>
        <v>18.273473268934566</v>
      </c>
      <c r="BK777" s="25">
        <f t="shared" si="1468"/>
        <v>16.193399999999997</v>
      </c>
      <c r="BL777" s="32">
        <f t="shared" si="1469"/>
        <v>-2.0800732689345693</v>
      </c>
      <c r="BM777" s="33">
        <f t="shared" si="1470"/>
        <v>-0.1138302083200983</v>
      </c>
      <c r="BO777" s="62"/>
      <c r="BP777" s="62"/>
      <c r="BQ777" s="62"/>
      <c r="BR777" s="63"/>
    </row>
    <row r="778" spans="1:70">
      <c r="B778" s="1284"/>
      <c r="D778" s="5" t="s">
        <v>165</v>
      </c>
      <c r="E778" s="87">
        <v>13.203281934362863</v>
      </c>
      <c r="F778" s="87">
        <v>13.616238041123205</v>
      </c>
      <c r="G778" s="87">
        <v>9.640720651969902</v>
      </c>
      <c r="H778" s="87">
        <v>13.615213502938264</v>
      </c>
      <c r="I778" s="87">
        <v>15.970734947412792</v>
      </c>
      <c r="J778" s="87">
        <v>16.212053711196049</v>
      </c>
      <c r="K778" s="87">
        <v>18.778394442409173</v>
      </c>
      <c r="L778" s="87">
        <v>13.102806962330314</v>
      </c>
      <c r="N778" s="29">
        <v>13.203281934362863</v>
      </c>
      <c r="O778" s="29">
        <v>13.616238041123205</v>
      </c>
      <c r="P778" s="29">
        <v>9.640720651969902</v>
      </c>
      <c r="Q778" s="29">
        <v>13.615213502938264</v>
      </c>
      <c r="R778" s="29">
        <v>15.970734947412792</v>
      </c>
      <c r="S778" s="29">
        <v>16.212053711196049</v>
      </c>
      <c r="T778" s="29">
        <v>18.778394442409173</v>
      </c>
      <c r="U778" s="29">
        <v>13.102806962330314</v>
      </c>
      <c r="W778" s="30">
        <v>10.15020848619875</v>
      </c>
      <c r="X778" s="30">
        <v>13.023353511804128</v>
      </c>
      <c r="Y778" s="30">
        <v>12.657955612059308</v>
      </c>
      <c r="Z778" s="30">
        <v>11.260021064001014</v>
      </c>
      <c r="AA778" s="30">
        <v>11.322223424694299</v>
      </c>
      <c r="AB778" s="30">
        <v>13.095594063916078</v>
      </c>
      <c r="AC778" s="30">
        <v>12.052000000000001</v>
      </c>
      <c r="AD778" s="90">
        <v>0</v>
      </c>
      <c r="AF778" s="29">
        <f t="shared" si="1471"/>
        <v>13.203281934362863</v>
      </c>
      <c r="AG778" s="30">
        <f t="shared" si="1472"/>
        <v>10.15020848619875</v>
      </c>
      <c r="AH778" s="32">
        <f t="shared" si="1473"/>
        <v>-3.0530734481641133</v>
      </c>
      <c r="AI778" s="33">
        <f t="shared" si="1474"/>
        <v>-0.23123595052667806</v>
      </c>
      <c r="AK778" s="29">
        <f t="shared" si="1463"/>
        <v>13.616238041123205</v>
      </c>
      <c r="AL778" s="30">
        <f t="shared" si="1464"/>
        <v>13.023353511804128</v>
      </c>
      <c r="AM778" s="32">
        <f t="shared" si="1475"/>
        <v>-0.5928845293190772</v>
      </c>
      <c r="AN778" s="33">
        <f t="shared" si="1476"/>
        <v>-4.3542462134436223E-2</v>
      </c>
      <c r="AP778" s="29">
        <f t="shared" si="1477"/>
        <v>9.640720651969902</v>
      </c>
      <c r="AQ778" s="30">
        <f t="shared" si="1478"/>
        <v>12.657955612059308</v>
      </c>
      <c r="AR778" s="32">
        <f t="shared" si="1479"/>
        <v>3.0172349600894055</v>
      </c>
      <c r="AS778" s="33">
        <f t="shared" si="1480"/>
        <v>0.31296778207891435</v>
      </c>
      <c r="AU778" s="31">
        <f t="shared" si="1481"/>
        <v>13.615213502938264</v>
      </c>
      <c r="AV778" s="25">
        <f t="shared" si="1482"/>
        <v>11.260021064001014</v>
      </c>
      <c r="AW778" s="32">
        <f t="shared" si="1483"/>
        <v>-2.3551924389372498</v>
      </c>
      <c r="AX778" s="33">
        <f t="shared" si="1484"/>
        <v>-0.17298240959857014</v>
      </c>
      <c r="AZ778" s="31">
        <f t="shared" si="1465"/>
        <v>15.970734947412792</v>
      </c>
      <c r="BA778" s="25">
        <f t="shared" si="1466"/>
        <v>11.322223424694299</v>
      </c>
      <c r="BB778" s="32">
        <f t="shared" si="1485"/>
        <v>-4.6485115227184934</v>
      </c>
      <c r="BC778" s="33">
        <f t="shared" si="1486"/>
        <v>-0.29106434600691544</v>
      </c>
      <c r="BE778" s="946">
        <f t="shared" si="1487"/>
        <v>16.212053711196049</v>
      </c>
      <c r="BF778" s="25">
        <f t="shared" si="1488"/>
        <v>13.095594063916078</v>
      </c>
      <c r="BG778" s="32">
        <f t="shared" si="1489"/>
        <v>-3.1164596472799708</v>
      </c>
      <c r="BH778" s="33">
        <f t="shared" si="1490"/>
        <v>-0.19223102160880104</v>
      </c>
      <c r="BJ778" s="946">
        <f t="shared" si="1467"/>
        <v>18.778394442409173</v>
      </c>
      <c r="BK778" s="25">
        <f t="shared" si="1468"/>
        <v>12.052000000000001</v>
      </c>
      <c r="BL778" s="32">
        <f t="shared" si="1469"/>
        <v>-6.7263944424091715</v>
      </c>
      <c r="BM778" s="33">
        <f t="shared" si="1470"/>
        <v>-0.35819859163349266</v>
      </c>
      <c r="BO778" s="62"/>
      <c r="BP778" s="62"/>
      <c r="BQ778" s="62"/>
      <c r="BR778" s="63"/>
    </row>
    <row r="779" spans="1:70">
      <c r="B779" s="1284"/>
      <c r="D779" s="5" t="s">
        <v>166</v>
      </c>
      <c r="E779" s="87">
        <v>8.1588064280947616</v>
      </c>
      <c r="F779" s="87">
        <v>9.7235515554288519</v>
      </c>
      <c r="G779" s="87">
        <v>7.3809742289316222</v>
      </c>
      <c r="H779" s="87">
        <v>10.608132767254876</v>
      </c>
      <c r="I779" s="87">
        <v>7.9343726859345836</v>
      </c>
      <c r="J779" s="87">
        <v>7.2433288714773667</v>
      </c>
      <c r="K779" s="87">
        <v>6.775030927844969</v>
      </c>
      <c r="L779" s="87">
        <v>6.3459280528487332</v>
      </c>
      <c r="N779" s="29">
        <v>8.1588064280947616</v>
      </c>
      <c r="O779" s="29">
        <v>9.7235515554288519</v>
      </c>
      <c r="P779" s="29">
        <v>7.3809742289316222</v>
      </c>
      <c r="Q779" s="29">
        <v>10.608132767254876</v>
      </c>
      <c r="R779" s="29">
        <v>7.9343726859345836</v>
      </c>
      <c r="S779" s="29">
        <v>7.2433288714773667</v>
      </c>
      <c r="T779" s="29">
        <v>6.775030927844969</v>
      </c>
      <c r="U779" s="29">
        <v>6.3459280528487332</v>
      </c>
      <c r="W779" s="30">
        <v>8.6880478597556987</v>
      </c>
      <c r="X779" s="30">
        <v>9.2892273653544244</v>
      </c>
      <c r="Y779" s="30">
        <v>10.160388270257686</v>
      </c>
      <c r="Z779" s="30">
        <v>13.286829248732829</v>
      </c>
      <c r="AA779" s="30">
        <v>12.853807417372575</v>
      </c>
      <c r="AB779" s="30">
        <v>17.235771336689705</v>
      </c>
      <c r="AC779" s="30">
        <v>5.5281000000000002</v>
      </c>
      <c r="AD779" s="90">
        <v>0</v>
      </c>
      <c r="AF779" s="29">
        <f t="shared" si="1471"/>
        <v>8.1588064280947616</v>
      </c>
      <c r="AG779" s="30">
        <f t="shared" si="1472"/>
        <v>8.6880478597556987</v>
      </c>
      <c r="AH779" s="32">
        <f t="shared" si="1473"/>
        <v>0.52924143166093707</v>
      </c>
      <c r="AI779" s="33">
        <f t="shared" si="1474"/>
        <v>6.4867506825324342E-2</v>
      </c>
      <c r="AK779" s="29">
        <f t="shared" si="1463"/>
        <v>9.7235515554288519</v>
      </c>
      <c r="AL779" s="30">
        <f t="shared" si="1464"/>
        <v>9.2892273653544244</v>
      </c>
      <c r="AM779" s="32">
        <f t="shared" si="1475"/>
        <v>-0.43432419007442746</v>
      </c>
      <c r="AN779" s="33">
        <f t="shared" si="1476"/>
        <v>-4.4667237850138784E-2</v>
      </c>
      <c r="AP779" s="29">
        <f t="shared" si="1477"/>
        <v>7.3809742289316222</v>
      </c>
      <c r="AQ779" s="30">
        <f t="shared" si="1478"/>
        <v>10.160388270257686</v>
      </c>
      <c r="AR779" s="32">
        <f t="shared" si="1479"/>
        <v>2.7794140413260635</v>
      </c>
      <c r="AS779" s="33">
        <f t="shared" si="1480"/>
        <v>0.37656465869118427</v>
      </c>
      <c r="AU779" s="31">
        <f t="shared" si="1481"/>
        <v>10.608132767254876</v>
      </c>
      <c r="AV779" s="25">
        <f t="shared" si="1482"/>
        <v>13.286829248732829</v>
      </c>
      <c r="AW779" s="32">
        <f t="shared" si="1483"/>
        <v>2.678696481477953</v>
      </c>
      <c r="AX779" s="33">
        <f t="shared" si="1484"/>
        <v>0.25251347624028031</v>
      </c>
      <c r="AZ779" s="31">
        <f t="shared" si="1465"/>
        <v>7.9343726859345836</v>
      </c>
      <c r="BA779" s="25">
        <f t="shared" si="1466"/>
        <v>12.853807417372575</v>
      </c>
      <c r="BB779" s="32">
        <f t="shared" si="1485"/>
        <v>4.9194347314379918</v>
      </c>
      <c r="BC779" s="33">
        <f t="shared" si="1486"/>
        <v>0.62001558612929408</v>
      </c>
      <c r="BE779" s="946">
        <f t="shared" si="1487"/>
        <v>7.2433288714773667</v>
      </c>
      <c r="BF779" s="25">
        <f t="shared" si="1488"/>
        <v>17.235771336689705</v>
      </c>
      <c r="BG779" s="32">
        <f t="shared" si="1489"/>
        <v>9.9924424652123385</v>
      </c>
      <c r="BH779" s="33">
        <f t="shared" si="1490"/>
        <v>1.3795373153026884</v>
      </c>
      <c r="BJ779" s="946">
        <f t="shared" si="1467"/>
        <v>6.775030927844969</v>
      </c>
      <c r="BK779" s="25">
        <f t="shared" si="1468"/>
        <v>5.5281000000000002</v>
      </c>
      <c r="BL779" s="32">
        <f t="shared" si="1469"/>
        <v>-1.2469309278449687</v>
      </c>
      <c r="BM779" s="33">
        <f t="shared" si="1470"/>
        <v>-0.18404800526004358</v>
      </c>
      <c r="BO779" s="62"/>
      <c r="BP779" s="62"/>
      <c r="BQ779" s="62"/>
      <c r="BR779" s="63"/>
    </row>
    <row r="780" spans="1:70">
      <c r="B780" s="1284"/>
      <c r="D780" s="5" t="s">
        <v>167</v>
      </c>
      <c r="E780" s="87">
        <v>16.489836676811684</v>
      </c>
      <c r="F780" s="87">
        <v>17.497886537412846</v>
      </c>
      <c r="G780" s="87">
        <v>11.581023016382117</v>
      </c>
      <c r="H780" s="87">
        <v>14.894022044346848</v>
      </c>
      <c r="I780" s="87">
        <v>11.905306066580376</v>
      </c>
      <c r="J780" s="87">
        <v>11.186615598363623</v>
      </c>
      <c r="K780" s="87">
        <v>12.192517010666711</v>
      </c>
      <c r="L780" s="87">
        <v>11.579404886330929</v>
      </c>
      <c r="N780" s="29">
        <v>16.489836676811684</v>
      </c>
      <c r="O780" s="29">
        <v>17.497886537412846</v>
      </c>
      <c r="P780" s="29">
        <v>11.581023016382117</v>
      </c>
      <c r="Q780" s="29">
        <v>14.894022044346848</v>
      </c>
      <c r="R780" s="29">
        <v>11.905306066580376</v>
      </c>
      <c r="S780" s="29">
        <v>11.186615598363623</v>
      </c>
      <c r="T780" s="29">
        <v>12.192517010666711</v>
      </c>
      <c r="U780" s="29">
        <v>11.579404886330929</v>
      </c>
      <c r="W780" s="30">
        <v>12.767729076100574</v>
      </c>
      <c r="X780" s="30">
        <v>16.691371264792899</v>
      </c>
      <c r="Y780" s="30">
        <v>15.062597059379863</v>
      </c>
      <c r="Z780" s="30">
        <v>15.011274643144562</v>
      </c>
      <c r="AA780" s="30">
        <v>10.686614997144254</v>
      </c>
      <c r="AB780" s="30">
        <v>13.956822018105363</v>
      </c>
      <c r="AC780" s="30">
        <v>10.304899999999998</v>
      </c>
      <c r="AD780" s="90">
        <v>0</v>
      </c>
      <c r="AF780" s="29">
        <f t="shared" si="1471"/>
        <v>16.489836676811684</v>
      </c>
      <c r="AG780" s="30">
        <f t="shared" si="1472"/>
        <v>12.767729076100574</v>
      </c>
      <c r="AH780" s="32">
        <f t="shared" si="1473"/>
        <v>-3.7221076007111105</v>
      </c>
      <c r="AI780" s="33">
        <f t="shared" si="1474"/>
        <v>-0.22572131390150199</v>
      </c>
      <c r="AK780" s="29">
        <f t="shared" si="1463"/>
        <v>17.497886537412846</v>
      </c>
      <c r="AL780" s="30">
        <f t="shared" si="1464"/>
        <v>16.691371264792899</v>
      </c>
      <c r="AM780" s="32">
        <f t="shared" si="1475"/>
        <v>-0.80651527261994715</v>
      </c>
      <c r="AN780" s="33">
        <f t="shared" si="1476"/>
        <v>-4.6092153523541741E-2</v>
      </c>
      <c r="AP780" s="29">
        <f t="shared" si="1477"/>
        <v>11.581023016382117</v>
      </c>
      <c r="AQ780" s="30">
        <f t="shared" si="1478"/>
        <v>15.062597059379863</v>
      </c>
      <c r="AR780" s="32">
        <f t="shared" si="1479"/>
        <v>3.481574042997746</v>
      </c>
      <c r="AS780" s="33">
        <f t="shared" si="1480"/>
        <v>0.30062750398413257</v>
      </c>
      <c r="AU780" s="31">
        <f t="shared" si="1481"/>
        <v>14.894022044346848</v>
      </c>
      <c r="AV780" s="25">
        <f t="shared" si="1482"/>
        <v>15.011274643144562</v>
      </c>
      <c r="AW780" s="32">
        <f t="shared" si="1483"/>
        <v>0.11725259879771421</v>
      </c>
      <c r="AX780" s="33">
        <f t="shared" si="1484"/>
        <v>7.8724604038180827E-3</v>
      </c>
      <c r="AZ780" s="31">
        <f t="shared" si="1465"/>
        <v>11.905306066580376</v>
      </c>
      <c r="BA780" s="25">
        <f t="shared" si="1466"/>
        <v>10.686614997144254</v>
      </c>
      <c r="BB780" s="32">
        <f t="shared" si="1485"/>
        <v>-1.2186910694361224</v>
      </c>
      <c r="BC780" s="33">
        <f t="shared" si="1486"/>
        <v>-0.10236537075322528</v>
      </c>
      <c r="BE780" s="946">
        <f t="shared" si="1487"/>
        <v>11.186615598363623</v>
      </c>
      <c r="BF780" s="25">
        <f t="shared" si="1488"/>
        <v>13.956822018105363</v>
      </c>
      <c r="BG780" s="32">
        <f t="shared" si="1489"/>
        <v>2.77020641974174</v>
      </c>
      <c r="BH780" s="33">
        <f t="shared" si="1490"/>
        <v>0.24763579255793552</v>
      </c>
      <c r="BJ780" s="946">
        <f t="shared" si="1467"/>
        <v>12.192517010666711</v>
      </c>
      <c r="BK780" s="25">
        <f t="shared" si="1468"/>
        <v>10.304899999999998</v>
      </c>
      <c r="BL780" s="32">
        <f t="shared" si="1469"/>
        <v>-1.8876170106667125</v>
      </c>
      <c r="BM780" s="33">
        <f t="shared" si="1470"/>
        <v>-0.15481766472134648</v>
      </c>
      <c r="BO780" s="62"/>
      <c r="BP780" s="62"/>
      <c r="BQ780" s="62"/>
      <c r="BR780" s="63"/>
    </row>
    <row r="781" spans="1:70">
      <c r="B781" s="1284"/>
      <c r="D781" s="5" t="s">
        <v>168</v>
      </c>
      <c r="E781" s="87">
        <v>12.421683180999523</v>
      </c>
      <c r="F781" s="87">
        <v>12.900284479865887</v>
      </c>
      <c r="G781" s="87">
        <v>9.0244234170690536</v>
      </c>
      <c r="H781" s="87">
        <v>8.5743290736260942</v>
      </c>
      <c r="I781" s="87">
        <v>8.374421227370787</v>
      </c>
      <c r="J781" s="87">
        <v>8.5101057051124869</v>
      </c>
      <c r="K781" s="87">
        <v>11.081628517561839</v>
      </c>
      <c r="L781" s="87">
        <v>8.0957425729949293</v>
      </c>
      <c r="N781" s="29">
        <v>8.8923401962578357</v>
      </c>
      <c r="O781" s="29">
        <v>9.9329906485159078</v>
      </c>
      <c r="P781" s="29">
        <v>8.049943112891409</v>
      </c>
      <c r="Q781" s="29">
        <v>7.571190476361469</v>
      </c>
      <c r="R781" s="29">
        <v>7.4280485438316255</v>
      </c>
      <c r="S781" s="29">
        <v>7.5082538623136523</v>
      </c>
      <c r="T781" s="29">
        <v>8.9574081526325706</v>
      </c>
      <c r="U781" s="29">
        <v>7.0799283991268762</v>
      </c>
      <c r="W781" s="30">
        <v>5.9750469211747541</v>
      </c>
      <c r="X781" s="30">
        <v>9.5017141691811062</v>
      </c>
      <c r="Y781" s="30">
        <v>13.402540440820943</v>
      </c>
      <c r="Z781" s="30">
        <v>12.09230496425236</v>
      </c>
      <c r="AA781" s="30">
        <v>11.038424620184022</v>
      </c>
      <c r="AB781" s="30">
        <v>9.6393930133801735</v>
      </c>
      <c r="AC781" s="30">
        <v>10.69315038492557</v>
      </c>
      <c r="AD781" s="90">
        <v>0</v>
      </c>
      <c r="AF781" s="29">
        <f t="shared" si="1471"/>
        <v>8.8923401962578357</v>
      </c>
      <c r="AG781" s="30">
        <f t="shared" si="1472"/>
        <v>5.9750469211747541</v>
      </c>
      <c r="AH781" s="32">
        <f t="shared" si="1473"/>
        <v>-2.9172932750830816</v>
      </c>
      <c r="AI781" s="33">
        <f t="shared" si="1474"/>
        <v>-0.328068113758262</v>
      </c>
      <c r="AK781" s="29">
        <f t="shared" si="1463"/>
        <v>9.9329906485159078</v>
      </c>
      <c r="AL781" s="30">
        <f t="shared" si="1464"/>
        <v>9.5017141691811062</v>
      </c>
      <c r="AM781" s="32">
        <f t="shared" si="1475"/>
        <v>-0.43127647933480162</v>
      </c>
      <c r="AN781" s="33">
        <f t="shared" si="1476"/>
        <v>-4.3418593110146418E-2</v>
      </c>
      <c r="AP781" s="29">
        <f t="shared" si="1477"/>
        <v>8.049943112891409</v>
      </c>
      <c r="AQ781" s="30">
        <f t="shared" si="1478"/>
        <v>13.402540440820943</v>
      </c>
      <c r="AR781" s="32">
        <f t="shared" si="1479"/>
        <v>5.3525973279295336</v>
      </c>
      <c r="AS781" s="33">
        <f t="shared" si="1480"/>
        <v>0.66492362155426055</v>
      </c>
      <c r="AU781" s="31">
        <f t="shared" si="1481"/>
        <v>7.571190476361469</v>
      </c>
      <c r="AV781" s="25">
        <f t="shared" si="1482"/>
        <v>12.09230496425236</v>
      </c>
      <c r="AW781" s="32">
        <f t="shared" si="1483"/>
        <v>4.5211144878908911</v>
      </c>
      <c r="AX781" s="33">
        <f t="shared" si="1484"/>
        <v>0.59714710678678229</v>
      </c>
      <c r="AZ781" s="31">
        <f t="shared" si="1465"/>
        <v>7.4280485438316255</v>
      </c>
      <c r="BA781" s="25">
        <f t="shared" si="1466"/>
        <v>11.038424620184022</v>
      </c>
      <c r="BB781" s="32">
        <f t="shared" si="1485"/>
        <v>3.6103760763523969</v>
      </c>
      <c r="BC781" s="33">
        <f t="shared" si="1486"/>
        <v>0.4860463761172526</v>
      </c>
      <c r="BE781" s="946">
        <f t="shared" si="1487"/>
        <v>7.5082538623136523</v>
      </c>
      <c r="BF781" s="25">
        <f t="shared" si="1488"/>
        <v>9.6393930133801735</v>
      </c>
      <c r="BG781" s="32">
        <f t="shared" si="1489"/>
        <v>2.1311391510665212</v>
      </c>
      <c r="BH781" s="33">
        <f t="shared" si="1490"/>
        <v>0.28383951716968386</v>
      </c>
      <c r="BJ781" s="946">
        <f t="shared" si="1467"/>
        <v>8.9574081526325706</v>
      </c>
      <c r="BK781" s="25">
        <f t="shared" si="1468"/>
        <v>10.69315038492557</v>
      </c>
      <c r="BL781" s="32">
        <f t="shared" si="1469"/>
        <v>1.7357422322929992</v>
      </c>
      <c r="BM781" s="33">
        <f t="shared" si="1470"/>
        <v>0.19377728498202537</v>
      </c>
      <c r="BO781" s="62"/>
      <c r="BP781" s="62"/>
      <c r="BQ781" s="62"/>
      <c r="BR781" s="63"/>
    </row>
    <row r="782" spans="1:70">
      <c r="B782" s="1284"/>
      <c r="D782" s="5" t="s">
        <v>169</v>
      </c>
      <c r="E782" s="87">
        <v>7.7562756119229537</v>
      </c>
      <c r="F782" s="87">
        <v>13.688658688046583</v>
      </c>
      <c r="G782" s="87">
        <v>9.9062486713800162</v>
      </c>
      <c r="H782" s="87">
        <v>12.769581814214105</v>
      </c>
      <c r="I782" s="87">
        <v>12.689190199269392</v>
      </c>
      <c r="J782" s="87">
        <v>11.06280445629012</v>
      </c>
      <c r="K782" s="87">
        <v>13.51096609212717</v>
      </c>
      <c r="L782" s="87">
        <v>11.135846839351219</v>
      </c>
      <c r="N782" s="29">
        <v>8.4503361489879172</v>
      </c>
      <c r="O782" s="29">
        <v>12.097641651858638</v>
      </c>
      <c r="P782" s="29">
        <v>9.9280706906292018</v>
      </c>
      <c r="Q782" s="29">
        <v>10.058386713489071</v>
      </c>
      <c r="R782" s="29">
        <v>10.075851003147125</v>
      </c>
      <c r="S782" s="29">
        <v>9.0080271494848638</v>
      </c>
      <c r="T782" s="29">
        <v>10.498135628763675</v>
      </c>
      <c r="U782" s="29">
        <v>9.1680635748193495</v>
      </c>
      <c r="W782" s="30">
        <v>6.2327260203132502</v>
      </c>
      <c r="X782" s="30">
        <v>7.9567780680239579</v>
      </c>
      <c r="Y782" s="30">
        <v>13.665408635190529</v>
      </c>
      <c r="Z782" s="30">
        <v>13.41964560174025</v>
      </c>
      <c r="AA782" s="30">
        <v>11.464534657961091</v>
      </c>
      <c r="AB782" s="30">
        <v>10.989074835319162</v>
      </c>
      <c r="AC782" s="30">
        <v>11.593382874546254</v>
      </c>
      <c r="AD782" s="90">
        <v>0</v>
      </c>
      <c r="AF782" s="29">
        <f t="shared" si="1471"/>
        <v>8.4503361489879172</v>
      </c>
      <c r="AG782" s="30">
        <f t="shared" si="1472"/>
        <v>6.2327260203132502</v>
      </c>
      <c r="AH782" s="32">
        <f t="shared" si="1473"/>
        <v>-2.217610128674667</v>
      </c>
      <c r="AI782" s="33">
        <f t="shared" si="1474"/>
        <v>-0.26242862882327661</v>
      </c>
      <c r="AK782" s="29">
        <f t="shared" si="1463"/>
        <v>12.097641651858638</v>
      </c>
      <c r="AL782" s="30">
        <f t="shared" si="1464"/>
        <v>7.9567780680239579</v>
      </c>
      <c r="AM782" s="32">
        <f t="shared" si="1475"/>
        <v>-4.1408635838346797</v>
      </c>
      <c r="AN782" s="33">
        <f t="shared" si="1476"/>
        <v>-0.3422868442460843</v>
      </c>
      <c r="AP782" s="29">
        <f t="shared" si="1477"/>
        <v>9.9280706906292018</v>
      </c>
      <c r="AQ782" s="30">
        <f t="shared" si="1478"/>
        <v>13.665408635190529</v>
      </c>
      <c r="AR782" s="32">
        <f t="shared" si="1479"/>
        <v>3.7373379445613271</v>
      </c>
      <c r="AS782" s="33">
        <f t="shared" si="1480"/>
        <v>0.37644151225563738</v>
      </c>
      <c r="AU782" s="31">
        <f t="shared" si="1481"/>
        <v>10.058386713489071</v>
      </c>
      <c r="AV782" s="25">
        <f t="shared" si="1482"/>
        <v>13.41964560174025</v>
      </c>
      <c r="AW782" s="32">
        <f t="shared" si="1483"/>
        <v>3.3612588882511787</v>
      </c>
      <c r="AX782" s="33">
        <f t="shared" si="1484"/>
        <v>0.33417475227349053</v>
      </c>
      <c r="AZ782" s="31">
        <f t="shared" si="1465"/>
        <v>10.075851003147125</v>
      </c>
      <c r="BA782" s="25">
        <f t="shared" si="1466"/>
        <v>11.464534657961091</v>
      </c>
      <c r="BB782" s="32">
        <f t="shared" si="1485"/>
        <v>1.3886836548139652</v>
      </c>
      <c r="BC782" s="33">
        <f t="shared" si="1486"/>
        <v>0.13782296447021886</v>
      </c>
      <c r="BE782" s="946">
        <f t="shared" si="1487"/>
        <v>9.0080271494848638</v>
      </c>
      <c r="BF782" s="25">
        <f t="shared" si="1488"/>
        <v>10.989074835319162</v>
      </c>
      <c r="BG782" s="32">
        <f t="shared" si="1489"/>
        <v>1.981047685834298</v>
      </c>
      <c r="BH782" s="33">
        <f t="shared" si="1490"/>
        <v>0.21992026144676827</v>
      </c>
      <c r="BJ782" s="946">
        <f t="shared" si="1467"/>
        <v>10.498135628763675</v>
      </c>
      <c r="BK782" s="25">
        <f t="shared" si="1468"/>
        <v>11.593382874546254</v>
      </c>
      <c r="BL782" s="32">
        <f t="shared" si="1469"/>
        <v>1.0952472457825788</v>
      </c>
      <c r="BM782" s="33">
        <f t="shared" si="1470"/>
        <v>0.10432778585768393</v>
      </c>
      <c r="BO782" s="62"/>
      <c r="BP782" s="62"/>
      <c r="BQ782" s="62"/>
      <c r="BR782" s="63"/>
    </row>
    <row r="783" spans="1:70">
      <c r="B783" s="1284"/>
      <c r="D783" s="5" t="s">
        <v>170</v>
      </c>
      <c r="E783" s="87">
        <v>12.149519011595052</v>
      </c>
      <c r="F783" s="87">
        <v>26.314538287464678</v>
      </c>
      <c r="G783" s="87">
        <v>15.953493177328522</v>
      </c>
      <c r="H783" s="87">
        <v>18.776998264983611</v>
      </c>
      <c r="I783" s="87">
        <v>19.082980446992476</v>
      </c>
      <c r="J783" s="87">
        <v>11.906252694710682</v>
      </c>
      <c r="K783" s="87">
        <v>11.997949799006937</v>
      </c>
      <c r="L783" s="87">
        <v>10.888748851665257</v>
      </c>
      <c r="N783" s="29">
        <v>14.565120269706242</v>
      </c>
      <c r="O783" s="29">
        <v>22.816133379544251</v>
      </c>
      <c r="P783" s="29">
        <v>15.430276758465412</v>
      </c>
      <c r="Q783" s="29">
        <v>15.811654784063915</v>
      </c>
      <c r="R783" s="29">
        <v>16.100814359879653</v>
      </c>
      <c r="S783" s="29">
        <v>11.399140064043822</v>
      </c>
      <c r="T783" s="29">
        <v>11.581882066855108</v>
      </c>
      <c r="U783" s="29">
        <v>10.7873554708307</v>
      </c>
      <c r="W783" s="30">
        <v>10.555388569654358</v>
      </c>
      <c r="X783" s="30">
        <v>27.266208054133433</v>
      </c>
      <c r="Y783" s="30">
        <v>22.566972634373549</v>
      </c>
      <c r="Z783" s="30">
        <v>18.334046922099652</v>
      </c>
      <c r="AA783" s="30">
        <v>16.377513563963749</v>
      </c>
      <c r="AB783" s="30">
        <v>15.055518212398734</v>
      </c>
      <c r="AC783" s="30">
        <v>17.37776892871349</v>
      </c>
      <c r="AD783" s="90">
        <v>0</v>
      </c>
      <c r="AF783" s="29">
        <f t="shared" si="1471"/>
        <v>14.565120269706242</v>
      </c>
      <c r="AG783" s="30">
        <f t="shared" si="1472"/>
        <v>10.555388569654358</v>
      </c>
      <c r="AH783" s="32">
        <f t="shared" si="1473"/>
        <v>-4.0097317000518835</v>
      </c>
      <c r="AI783" s="33">
        <f t="shared" si="1474"/>
        <v>-0.27529684793552028</v>
      </c>
      <c r="AK783" s="29">
        <f t="shared" si="1463"/>
        <v>22.816133379544251</v>
      </c>
      <c r="AL783" s="30">
        <f t="shared" si="1464"/>
        <v>27.266208054133433</v>
      </c>
      <c r="AM783" s="32">
        <f t="shared" si="1475"/>
        <v>4.4500746745891817</v>
      </c>
      <c r="AN783" s="33">
        <f t="shared" si="1476"/>
        <v>0.19504070214539004</v>
      </c>
      <c r="AP783" s="29">
        <f t="shared" si="1477"/>
        <v>15.430276758465412</v>
      </c>
      <c r="AQ783" s="30">
        <f t="shared" si="1478"/>
        <v>22.566972634373549</v>
      </c>
      <c r="AR783" s="32">
        <f t="shared" si="1479"/>
        <v>7.1366958759081367</v>
      </c>
      <c r="AS783" s="33">
        <f t="shared" si="1480"/>
        <v>0.46251249978343895</v>
      </c>
      <c r="AU783" s="31">
        <f t="shared" si="1481"/>
        <v>15.811654784063915</v>
      </c>
      <c r="AV783" s="25">
        <f t="shared" si="1482"/>
        <v>18.334046922099652</v>
      </c>
      <c r="AW783" s="32">
        <f t="shared" si="1483"/>
        <v>2.5223921380357375</v>
      </c>
      <c r="AX783" s="33">
        <f t="shared" si="1484"/>
        <v>0.15952739751047307</v>
      </c>
      <c r="AZ783" s="31">
        <f t="shared" si="1465"/>
        <v>16.100814359879653</v>
      </c>
      <c r="BA783" s="25">
        <f t="shared" si="1466"/>
        <v>16.377513563963749</v>
      </c>
      <c r="BB783" s="32">
        <f t="shared" si="1485"/>
        <v>0.2766992040840961</v>
      </c>
      <c r="BC783" s="33">
        <f t="shared" si="1486"/>
        <v>1.718541670622456E-2</v>
      </c>
      <c r="BE783" s="946">
        <f t="shared" si="1487"/>
        <v>11.399140064043822</v>
      </c>
      <c r="BF783" s="25">
        <f t="shared" si="1488"/>
        <v>15.055518212398734</v>
      </c>
      <c r="BG783" s="32">
        <f t="shared" si="1489"/>
        <v>3.6563781483549125</v>
      </c>
      <c r="BH783" s="33">
        <f t="shared" si="1490"/>
        <v>0.32075912111021293</v>
      </c>
      <c r="BJ783" s="946">
        <f t="shared" si="1467"/>
        <v>11.581882066855108</v>
      </c>
      <c r="BK783" s="25">
        <f t="shared" si="1468"/>
        <v>17.37776892871349</v>
      </c>
      <c r="BL783" s="32">
        <f t="shared" si="1469"/>
        <v>5.7958868618583814</v>
      </c>
      <c r="BM783" s="33">
        <f t="shared" si="1470"/>
        <v>0.50042703149645951</v>
      </c>
      <c r="BO783" s="62"/>
      <c r="BP783" s="62"/>
      <c r="BQ783" s="62"/>
      <c r="BR783" s="63"/>
    </row>
    <row r="784" spans="1:70">
      <c r="B784" s="1284"/>
      <c r="D784" s="5" t="s">
        <v>171</v>
      </c>
      <c r="E784" s="87">
        <v>17.504442386947588</v>
      </c>
      <c r="F784" s="87">
        <v>8.3258310781702676</v>
      </c>
      <c r="G784" s="87">
        <v>8.3351073656080956</v>
      </c>
      <c r="H784" s="87">
        <v>9.8093118093830949</v>
      </c>
      <c r="I784" s="87">
        <v>12.070482561494389</v>
      </c>
      <c r="J784" s="87">
        <v>4.8506725244394078</v>
      </c>
      <c r="K784" s="87">
        <v>5.0887515047018068</v>
      </c>
      <c r="L784" s="87">
        <v>5.1640567330281488</v>
      </c>
      <c r="N784" s="29">
        <v>15.200825259969555</v>
      </c>
      <c r="O784" s="29">
        <v>8.8378467960266409</v>
      </c>
      <c r="P784" s="29">
        <v>8.1510792589059449</v>
      </c>
      <c r="Q784" s="29">
        <v>8.4165429989580716</v>
      </c>
      <c r="R784" s="29">
        <v>9.8145829112724883</v>
      </c>
      <c r="S784" s="29">
        <v>5.3180021402781579</v>
      </c>
      <c r="T784" s="29">
        <v>5.2453357763861623</v>
      </c>
      <c r="U784" s="29">
        <v>4.8826520434127358</v>
      </c>
      <c r="W784" s="30">
        <v>11.047405755130949</v>
      </c>
      <c r="X784" s="30">
        <v>8.7406203850854691</v>
      </c>
      <c r="Y784" s="30">
        <v>8.8434275514501106</v>
      </c>
      <c r="Z784" s="30">
        <v>4.6259193829147343</v>
      </c>
      <c r="AA784" s="30">
        <v>3.3602906493745768</v>
      </c>
      <c r="AB784" s="30">
        <v>4.7082689029679052</v>
      </c>
      <c r="AC784" s="30">
        <v>5.0843640958481782</v>
      </c>
      <c r="AD784" s="90">
        <v>0</v>
      </c>
      <c r="AF784" s="29">
        <f t="shared" si="1471"/>
        <v>15.200825259969555</v>
      </c>
      <c r="AG784" s="30">
        <f t="shared" si="1472"/>
        <v>11.047405755130949</v>
      </c>
      <c r="AH784" s="32">
        <f t="shared" si="1473"/>
        <v>-4.153419504838606</v>
      </c>
      <c r="AI784" s="33">
        <f t="shared" si="1474"/>
        <v>-0.27323644827208049</v>
      </c>
      <c r="AK784" s="29">
        <f t="shared" si="1463"/>
        <v>8.8378467960266409</v>
      </c>
      <c r="AL784" s="30">
        <f t="shared" si="1464"/>
        <v>8.7406203850854691</v>
      </c>
      <c r="AM784" s="32">
        <f t="shared" si="1475"/>
        <v>-9.7226410941171793E-2</v>
      </c>
      <c r="AN784" s="33">
        <f t="shared" si="1476"/>
        <v>-1.1001142380617333E-2</v>
      </c>
      <c r="AP784" s="29">
        <f t="shared" si="1477"/>
        <v>8.1510792589059449</v>
      </c>
      <c r="AQ784" s="30">
        <f t="shared" si="1478"/>
        <v>8.8434275514501106</v>
      </c>
      <c r="AR784" s="32">
        <f t="shared" si="1479"/>
        <v>0.69234829254416574</v>
      </c>
      <c r="AS784" s="33">
        <f t="shared" si="1480"/>
        <v>8.4939462683754366E-2</v>
      </c>
      <c r="AU784" s="31">
        <f t="shared" si="1481"/>
        <v>8.4165429989580716</v>
      </c>
      <c r="AV784" s="25">
        <f t="shared" si="1482"/>
        <v>4.6259193829147343</v>
      </c>
      <c r="AW784" s="32">
        <f t="shared" si="1483"/>
        <v>-3.7906236160433373</v>
      </c>
      <c r="AX784" s="33">
        <f t="shared" si="1484"/>
        <v>-0.45037774018532295</v>
      </c>
      <c r="AZ784" s="31">
        <f t="shared" si="1465"/>
        <v>9.8145829112724883</v>
      </c>
      <c r="BA784" s="25">
        <f t="shared" si="1466"/>
        <v>3.3602906493745768</v>
      </c>
      <c r="BB784" s="32">
        <f t="shared" si="1485"/>
        <v>-6.4542922618979119</v>
      </c>
      <c r="BC784" s="33">
        <f t="shared" si="1486"/>
        <v>-0.65762267436600574</v>
      </c>
      <c r="BE784" s="946">
        <f t="shared" si="1487"/>
        <v>5.3180021402781579</v>
      </c>
      <c r="BF784" s="25">
        <f t="shared" si="1488"/>
        <v>4.7082689029679052</v>
      </c>
      <c r="BG784" s="32">
        <f t="shared" si="1489"/>
        <v>-0.60973323731025264</v>
      </c>
      <c r="BH784" s="33">
        <f t="shared" si="1490"/>
        <v>-0.11465456786716535</v>
      </c>
      <c r="BJ784" s="946">
        <f t="shared" si="1467"/>
        <v>5.2453357763861623</v>
      </c>
      <c r="BK784" s="25">
        <f t="shared" si="1468"/>
        <v>5.0843640958481782</v>
      </c>
      <c r="BL784" s="32">
        <f t="shared" si="1469"/>
        <v>-0.16097168053798416</v>
      </c>
      <c r="BM784" s="33">
        <f t="shared" si="1470"/>
        <v>-3.0688536902186186E-2</v>
      </c>
      <c r="BO784" s="62"/>
      <c r="BP784" s="62"/>
      <c r="BQ784" s="62"/>
      <c r="BR784" s="63"/>
    </row>
    <row r="785" spans="1:70">
      <c r="B785" s="1284"/>
      <c r="D785" s="5" t="s">
        <v>172</v>
      </c>
      <c r="E785" s="87">
        <v>14.055858202708809</v>
      </c>
      <c r="F785" s="87">
        <v>9.6560218054221814</v>
      </c>
      <c r="G785" s="87">
        <v>10.084186789823795</v>
      </c>
      <c r="H785" s="87">
        <v>8.6829826724649557</v>
      </c>
      <c r="I785" s="87">
        <v>12.699366471781399</v>
      </c>
      <c r="J785" s="87">
        <v>4.2605818830698547</v>
      </c>
      <c r="K785" s="87">
        <v>4.0304236731126668</v>
      </c>
      <c r="L785" s="87">
        <v>4.0075390645408824</v>
      </c>
      <c r="N785" s="29">
        <v>11.545091625450716</v>
      </c>
      <c r="O785" s="29">
        <v>10.913128637653728</v>
      </c>
      <c r="P785" s="29">
        <v>8.1987036689118078</v>
      </c>
      <c r="Q785" s="29">
        <v>5.8410388719347264</v>
      </c>
      <c r="R785" s="29">
        <v>7.7651898295094055</v>
      </c>
      <c r="S785" s="29">
        <v>3.7716397332143803</v>
      </c>
      <c r="T785" s="29">
        <v>3.5740317260973247</v>
      </c>
      <c r="U785" s="29">
        <v>3.3978583739550237</v>
      </c>
      <c r="W785" s="30">
        <v>11.269667260376277</v>
      </c>
      <c r="X785" s="30">
        <v>8.6175984546059805</v>
      </c>
      <c r="Y785" s="30">
        <v>8.957618498707884</v>
      </c>
      <c r="Z785" s="30">
        <v>5.3402844083989134</v>
      </c>
      <c r="AA785" s="30">
        <v>5.3364709789045177</v>
      </c>
      <c r="AB785" s="30">
        <v>4.1916515008038804</v>
      </c>
      <c r="AC785" s="30">
        <v>5.2191587338000005</v>
      </c>
      <c r="AD785" s="90">
        <v>0</v>
      </c>
      <c r="AF785" s="29">
        <f t="shared" si="1471"/>
        <v>11.545091625450716</v>
      </c>
      <c r="AG785" s="30">
        <f t="shared" si="1472"/>
        <v>11.269667260376277</v>
      </c>
      <c r="AH785" s="32">
        <f t="shared" si="1473"/>
        <v>-0.27542436507443924</v>
      </c>
      <c r="AI785" s="33">
        <f t="shared" si="1474"/>
        <v>-2.3856403570438254E-2</v>
      </c>
      <c r="AK785" s="29">
        <f t="shared" si="1463"/>
        <v>10.913128637653728</v>
      </c>
      <c r="AL785" s="30">
        <f t="shared" si="1464"/>
        <v>8.6175984546059805</v>
      </c>
      <c r="AM785" s="32">
        <f t="shared" si="1475"/>
        <v>-2.295530183047747</v>
      </c>
      <c r="AN785" s="33">
        <f t="shared" si="1476"/>
        <v>-0.21034574586864538</v>
      </c>
      <c r="AP785" s="29">
        <f t="shared" si="1477"/>
        <v>8.1987036689118078</v>
      </c>
      <c r="AQ785" s="30">
        <f t="shared" si="1478"/>
        <v>8.957618498707884</v>
      </c>
      <c r="AR785" s="32">
        <f t="shared" si="1479"/>
        <v>0.75891482979607616</v>
      </c>
      <c r="AS785" s="33">
        <f t="shared" si="1480"/>
        <v>9.2565222557532065E-2</v>
      </c>
      <c r="AU785" s="31">
        <f t="shared" si="1481"/>
        <v>5.8410388719347264</v>
      </c>
      <c r="AV785" s="25">
        <f t="shared" si="1482"/>
        <v>5.3402844083989134</v>
      </c>
      <c r="AW785" s="32">
        <f t="shared" si="1483"/>
        <v>-0.50075446353581299</v>
      </c>
      <c r="AX785" s="33">
        <f t="shared" si="1484"/>
        <v>-8.5730376824208351E-2</v>
      </c>
      <c r="AZ785" s="31">
        <f t="shared" si="1465"/>
        <v>7.7651898295094055</v>
      </c>
      <c r="BA785" s="25">
        <f t="shared" si="1466"/>
        <v>5.3364709789045177</v>
      </c>
      <c r="BB785" s="32">
        <f t="shared" si="1485"/>
        <v>-2.4287188506048878</v>
      </c>
      <c r="BC785" s="33">
        <f t="shared" si="1486"/>
        <v>-0.31277005507002925</v>
      </c>
      <c r="BE785" s="946">
        <f t="shared" si="1487"/>
        <v>3.7716397332143803</v>
      </c>
      <c r="BF785" s="25">
        <f t="shared" si="1488"/>
        <v>4.1916515008038804</v>
      </c>
      <c r="BG785" s="32">
        <f t="shared" si="1489"/>
        <v>0.4200117675895001</v>
      </c>
      <c r="BH785" s="33">
        <f t="shared" si="1490"/>
        <v>0.11136052149698429</v>
      </c>
      <c r="BJ785" s="946">
        <f t="shared" si="1467"/>
        <v>3.5740317260973247</v>
      </c>
      <c r="BK785" s="25">
        <f t="shared" si="1468"/>
        <v>5.2191587338000005</v>
      </c>
      <c r="BL785" s="32">
        <f t="shared" si="1469"/>
        <v>1.6451270077026758</v>
      </c>
      <c r="BM785" s="33">
        <f t="shared" si="1470"/>
        <v>0.46030005712878141</v>
      </c>
      <c r="BO785" s="62"/>
      <c r="BP785" s="62"/>
      <c r="BQ785" s="62"/>
      <c r="BR785" s="63"/>
    </row>
    <row r="786" spans="1:70">
      <c r="B786" s="1284"/>
      <c r="D786" s="5" t="s">
        <v>28</v>
      </c>
      <c r="E786" s="87">
        <v>8.7111872346659709</v>
      </c>
      <c r="F786" s="87">
        <v>8.2413379201919472</v>
      </c>
      <c r="G786" s="87">
        <v>7.1053938921605964</v>
      </c>
      <c r="H786" s="87">
        <v>7.4556564776470564</v>
      </c>
      <c r="I786" s="87">
        <v>7.9045458354119411</v>
      </c>
      <c r="J786" s="87">
        <v>7.8020922837614961</v>
      </c>
      <c r="K786" s="87">
        <v>7.273590029410169</v>
      </c>
      <c r="L786" s="87">
        <v>7.4070135688775505</v>
      </c>
      <c r="N786" s="29">
        <v>7.6056101680857777</v>
      </c>
      <c r="O786" s="29">
        <v>6.9617507200586024</v>
      </c>
      <c r="P786" s="29">
        <v>5.9353838188474484</v>
      </c>
      <c r="Q786" s="29">
        <v>6.1417347195817209</v>
      </c>
      <c r="R786" s="29">
        <v>5.8287684545971654</v>
      </c>
      <c r="S786" s="29">
        <v>5.5860786401191396</v>
      </c>
      <c r="T786" s="29">
        <v>5.0286381379930694</v>
      </c>
      <c r="U786" s="29">
        <v>4.8394646698217425</v>
      </c>
      <c r="W786" s="30">
        <v>9.7290060755562031</v>
      </c>
      <c r="X786" s="30">
        <v>12.899109004758113</v>
      </c>
      <c r="Y786" s="30">
        <v>12.057577788821858</v>
      </c>
      <c r="Z786" s="30">
        <v>9.8326094538524753</v>
      </c>
      <c r="AA786" s="30">
        <v>10.493100163295541</v>
      </c>
      <c r="AB786" s="30">
        <v>8.5126941045565925</v>
      </c>
      <c r="AC786" s="30">
        <v>9.2766526720524833</v>
      </c>
      <c r="AD786" s="90">
        <v>0</v>
      </c>
      <c r="AF786" s="29">
        <f t="shared" si="1471"/>
        <v>7.6056101680857777</v>
      </c>
      <c r="AG786" s="30">
        <f t="shared" si="1472"/>
        <v>9.7290060755562031</v>
      </c>
      <c r="AH786" s="32">
        <f t="shared" si="1473"/>
        <v>2.1233959074704254</v>
      </c>
      <c r="AI786" s="33">
        <f t="shared" si="1474"/>
        <v>0.27918810727119525</v>
      </c>
      <c r="AK786" s="29">
        <f t="shared" si="1463"/>
        <v>6.9617507200586024</v>
      </c>
      <c r="AL786" s="30">
        <f t="shared" si="1464"/>
        <v>12.899109004758113</v>
      </c>
      <c r="AM786" s="32">
        <f t="shared" si="1475"/>
        <v>5.9373582846995108</v>
      </c>
      <c r="AN786" s="33">
        <f t="shared" si="1476"/>
        <v>0.85285419191934686</v>
      </c>
      <c r="AP786" s="29">
        <f t="shared" si="1477"/>
        <v>5.9353838188474484</v>
      </c>
      <c r="AQ786" s="30">
        <f t="shared" si="1478"/>
        <v>12.057577788821858</v>
      </c>
      <c r="AR786" s="32">
        <f t="shared" si="1479"/>
        <v>6.1221939699744095</v>
      </c>
      <c r="AS786" s="33">
        <f t="shared" si="1480"/>
        <v>1.0314739799191683</v>
      </c>
      <c r="AU786" s="31">
        <f t="shared" si="1481"/>
        <v>6.1417347195817209</v>
      </c>
      <c r="AV786" s="25">
        <f t="shared" si="1482"/>
        <v>9.8326094538524753</v>
      </c>
      <c r="AW786" s="32">
        <f t="shared" si="1483"/>
        <v>3.6908747342707544</v>
      </c>
      <c r="AX786" s="33">
        <f t="shared" si="1484"/>
        <v>0.60094987862356242</v>
      </c>
      <c r="AZ786" s="31">
        <f t="shared" si="1465"/>
        <v>5.8287684545971654</v>
      </c>
      <c r="BA786" s="25">
        <f t="shared" si="1466"/>
        <v>10.493100163295541</v>
      </c>
      <c r="BB786" s="32">
        <f t="shared" si="1485"/>
        <v>4.6643317086983753</v>
      </c>
      <c r="BC786" s="33">
        <f t="shared" si="1486"/>
        <v>0.80022593881210091</v>
      </c>
      <c r="BE786" s="946">
        <f t="shared" si="1487"/>
        <v>5.5860786401191396</v>
      </c>
      <c r="BF786" s="25">
        <f t="shared" si="1488"/>
        <v>8.5126941045565925</v>
      </c>
      <c r="BG786" s="32">
        <f t="shared" si="1489"/>
        <v>2.9266154644374529</v>
      </c>
      <c r="BH786" s="33">
        <f t="shared" si="1490"/>
        <v>0.52391232794657439</v>
      </c>
      <c r="BJ786" s="946">
        <f t="shared" si="1467"/>
        <v>5.0286381379930694</v>
      </c>
      <c r="BK786" s="25">
        <f t="shared" si="1468"/>
        <v>9.2766526720524833</v>
      </c>
      <c r="BL786" s="32">
        <f t="shared" si="1469"/>
        <v>4.248014534059414</v>
      </c>
      <c r="BM786" s="33">
        <f t="shared" si="1470"/>
        <v>0.8447644108579262</v>
      </c>
      <c r="BO786" s="62"/>
      <c r="BP786" s="62"/>
      <c r="BQ786" s="62"/>
      <c r="BR786" s="63"/>
    </row>
    <row r="787" spans="1:70">
      <c r="B787" s="1284"/>
      <c r="D787" s="5" t="s">
        <v>173</v>
      </c>
      <c r="E787" s="87">
        <v>15.502463944248856</v>
      </c>
      <c r="F787" s="87">
        <v>17.233232346237536</v>
      </c>
      <c r="G787" s="87">
        <v>15.286315087139235</v>
      </c>
      <c r="H787" s="87">
        <v>16.654970402641208</v>
      </c>
      <c r="I787" s="87">
        <v>13.008959547202062</v>
      </c>
      <c r="J787" s="87">
        <v>12.95532292341572</v>
      </c>
      <c r="K787" s="87">
        <v>13.063530936011766</v>
      </c>
      <c r="L787" s="87">
        <v>12.754103808792252</v>
      </c>
      <c r="N787" s="29">
        <v>15.773326897513554</v>
      </c>
      <c r="O787" s="29">
        <v>16.553308043276544</v>
      </c>
      <c r="P787" s="29">
        <v>14.140656336503191</v>
      </c>
      <c r="Q787" s="29">
        <v>15.053892762731394</v>
      </c>
      <c r="R787" s="29">
        <v>11.268980042762196</v>
      </c>
      <c r="S787" s="29">
        <v>10.858719422320764</v>
      </c>
      <c r="T787" s="29">
        <v>10.648125315245657</v>
      </c>
      <c r="U787" s="29">
        <v>10.185394510026335</v>
      </c>
      <c r="W787" s="30">
        <v>17.421794575556895</v>
      </c>
      <c r="X787" s="30">
        <v>18.052828156928356</v>
      </c>
      <c r="Y787" s="30">
        <v>16.454850654670643</v>
      </c>
      <c r="Z787" s="30">
        <v>19.507618677646846</v>
      </c>
      <c r="AA787" s="30">
        <v>28.387755083137133</v>
      </c>
      <c r="AB787" s="30">
        <v>12.223762824507117</v>
      </c>
      <c r="AC787" s="30">
        <v>14.686258761728961</v>
      </c>
      <c r="AD787" s="90">
        <v>0</v>
      </c>
      <c r="AF787" s="29">
        <f t="shared" si="1471"/>
        <v>15.773326897513554</v>
      </c>
      <c r="AG787" s="30">
        <f t="shared" si="1472"/>
        <v>17.421794575556895</v>
      </c>
      <c r="AH787" s="32">
        <f t="shared" si="1473"/>
        <v>1.6484676780433407</v>
      </c>
      <c r="AI787" s="33">
        <f t="shared" si="1474"/>
        <v>0.10450982780957889</v>
      </c>
      <c r="AK787" s="29">
        <f t="shared" si="1463"/>
        <v>16.553308043276544</v>
      </c>
      <c r="AL787" s="30">
        <f t="shared" si="1464"/>
        <v>18.052828156928356</v>
      </c>
      <c r="AM787" s="32">
        <f t="shared" si="1475"/>
        <v>1.4995201136518119</v>
      </c>
      <c r="AN787" s="33">
        <f t="shared" si="1476"/>
        <v>9.0587338176242774E-2</v>
      </c>
      <c r="AP787" s="29">
        <f t="shared" si="1477"/>
        <v>14.140656336503191</v>
      </c>
      <c r="AQ787" s="30">
        <f t="shared" si="1478"/>
        <v>16.454850654670643</v>
      </c>
      <c r="AR787" s="32">
        <f t="shared" si="1479"/>
        <v>2.314194318167452</v>
      </c>
      <c r="AS787" s="33">
        <f t="shared" si="1480"/>
        <v>0.1636553681170731</v>
      </c>
      <c r="AU787" s="31">
        <f t="shared" si="1481"/>
        <v>15.053892762731394</v>
      </c>
      <c r="AV787" s="25">
        <f t="shared" si="1482"/>
        <v>19.507618677646846</v>
      </c>
      <c r="AW787" s="32">
        <f t="shared" si="1483"/>
        <v>4.4537259149154522</v>
      </c>
      <c r="AX787" s="33">
        <f t="shared" si="1484"/>
        <v>0.29585210849524901</v>
      </c>
      <c r="AZ787" s="31">
        <f t="shared" si="1465"/>
        <v>11.268980042762196</v>
      </c>
      <c r="BA787" s="25">
        <f t="shared" si="1466"/>
        <v>28.387755083137133</v>
      </c>
      <c r="BB787" s="32">
        <f t="shared" si="1485"/>
        <v>17.118775040374935</v>
      </c>
      <c r="BC787" s="33">
        <f t="shared" si="1486"/>
        <v>1.5191059861153917</v>
      </c>
      <c r="BE787" s="946">
        <f t="shared" si="1487"/>
        <v>10.858719422320764</v>
      </c>
      <c r="BF787" s="25">
        <f t="shared" si="1488"/>
        <v>12.223762824507117</v>
      </c>
      <c r="BG787" s="32">
        <f t="shared" si="1489"/>
        <v>1.3650434021863536</v>
      </c>
      <c r="BH787" s="33">
        <f t="shared" si="1490"/>
        <v>0.12570942752056224</v>
      </c>
      <c r="BJ787" s="946">
        <f t="shared" si="1467"/>
        <v>10.648125315245657</v>
      </c>
      <c r="BK787" s="25">
        <f t="shared" si="1468"/>
        <v>14.686258761728961</v>
      </c>
      <c r="BL787" s="32">
        <f t="shared" si="1469"/>
        <v>4.0381334464833039</v>
      </c>
      <c r="BM787" s="33">
        <f t="shared" si="1470"/>
        <v>0.37923421512532624</v>
      </c>
      <c r="BO787" s="62"/>
      <c r="BP787" s="62"/>
      <c r="BQ787" s="62"/>
      <c r="BR787" s="63"/>
    </row>
    <row r="788" spans="1:70">
      <c r="A788" s="1"/>
      <c r="B788" s="1284"/>
      <c r="D788" s="4" t="s">
        <v>174</v>
      </c>
      <c r="E788" s="88">
        <f t="shared" ref="E788:L788" si="1491">SUM(E774:E787)</f>
        <v>171.33707158031493</v>
      </c>
      <c r="F788" s="88">
        <f t="shared" si="1491"/>
        <v>179.15971624633437</v>
      </c>
      <c r="G788" s="88">
        <f t="shared" si="1491"/>
        <v>138.25377804418301</v>
      </c>
      <c r="H788" s="88">
        <f t="shared" si="1491"/>
        <v>162.40379491845991</v>
      </c>
      <c r="I788" s="88">
        <f t="shared" si="1491"/>
        <v>167.02838312115432</v>
      </c>
      <c r="J788" s="88">
        <f t="shared" si="1491"/>
        <v>140.1986673403523</v>
      </c>
      <c r="K788" s="88">
        <f t="shared" si="1491"/>
        <v>154.03698142245585</v>
      </c>
      <c r="L788" s="88">
        <f t="shared" si="1491"/>
        <v>130.48234500843697</v>
      </c>
      <c r="M788" s="1"/>
      <c r="N788" s="81">
        <f t="shared" ref="N788:U788" si="1492">SUM(N774:N787)</f>
        <v>168.43950670800604</v>
      </c>
      <c r="O788" s="81">
        <f t="shared" si="1492"/>
        <v>174.28214458779854</v>
      </c>
      <c r="P788" s="81">
        <f t="shared" si="1492"/>
        <v>135.23885129885551</v>
      </c>
      <c r="Q788" s="81">
        <f t="shared" si="1492"/>
        <v>151.31213697618796</v>
      </c>
      <c r="R788" s="81">
        <f t="shared" si="1492"/>
        <v>150.01018397681591</v>
      </c>
      <c r="S788" s="81">
        <f t="shared" si="1492"/>
        <v>133.60474517749856</v>
      </c>
      <c r="T788" s="81">
        <f t="shared" si="1492"/>
        <v>145.07557415215766</v>
      </c>
      <c r="U788" s="81">
        <f t="shared" si="1492"/>
        <v>124.21479419327838</v>
      </c>
      <c r="V788" s="1"/>
      <c r="W788" s="85">
        <f t="shared" ref="W788:AD788" si="1493">SUM(W774:W787)</f>
        <v>155.23085615779945</v>
      </c>
      <c r="X788" s="85">
        <f t="shared" si="1493"/>
        <v>175.31041345637959</v>
      </c>
      <c r="Y788" s="85">
        <f t="shared" si="1493"/>
        <v>185.44450528428484</v>
      </c>
      <c r="Z788" s="85">
        <f>SUM(Z774:Z787)</f>
        <v>162.8703897248206</v>
      </c>
      <c r="AA788" s="85">
        <f>SUM(AA774:AA787)</f>
        <v>159.32116471835167</v>
      </c>
      <c r="AB788" s="85">
        <f t="shared" si="1493"/>
        <v>152.5814174764169</v>
      </c>
      <c r="AC788" s="85">
        <f t="shared" ref="AC788" si="1494">SUM(AC774:AC787)</f>
        <v>145.0665075613193</v>
      </c>
      <c r="AD788" s="91">
        <f t="shared" si="1493"/>
        <v>0</v>
      </c>
      <c r="AE788" s="1"/>
      <c r="AF788" s="81">
        <f t="shared" si="1471"/>
        <v>168.43950670800604</v>
      </c>
      <c r="AG788" s="85">
        <f t="shared" si="1472"/>
        <v>155.23085615779945</v>
      </c>
      <c r="AH788" s="34">
        <f t="shared" si="1473"/>
        <v>-13.208650550206585</v>
      </c>
      <c r="AI788" s="35">
        <f t="shared" si="1474"/>
        <v>-7.841777032216142E-2</v>
      </c>
      <c r="AK788" s="81">
        <f t="shared" si="1463"/>
        <v>174.28214458779854</v>
      </c>
      <c r="AL788" s="85">
        <f t="shared" si="1464"/>
        <v>175.31041345637959</v>
      </c>
      <c r="AM788" s="34">
        <f t="shared" si="1475"/>
        <v>1.0282688685810513</v>
      </c>
      <c r="AN788" s="35">
        <f t="shared" si="1476"/>
        <v>5.9000241878653138E-3</v>
      </c>
      <c r="AP788" s="81">
        <f t="shared" si="1477"/>
        <v>135.23885129885551</v>
      </c>
      <c r="AQ788" s="85">
        <f t="shared" si="1478"/>
        <v>185.44450528428484</v>
      </c>
      <c r="AR788" s="34">
        <f t="shared" si="1479"/>
        <v>50.205653985429336</v>
      </c>
      <c r="AS788" s="35">
        <f t="shared" si="1480"/>
        <v>0.37123691530389547</v>
      </c>
      <c r="AU788" s="949">
        <f t="shared" si="1481"/>
        <v>151.31213697618796</v>
      </c>
      <c r="AV788" s="843">
        <f t="shared" si="1482"/>
        <v>162.8703897248206</v>
      </c>
      <c r="AW788" s="34">
        <f t="shared" si="1483"/>
        <v>11.55825274863264</v>
      </c>
      <c r="AX788" s="35">
        <f t="shared" si="1484"/>
        <v>7.6386818530304448E-2</v>
      </c>
      <c r="AZ788" s="949">
        <f t="shared" si="1465"/>
        <v>150.01018397681591</v>
      </c>
      <c r="BA788" s="843">
        <f t="shared" si="1466"/>
        <v>159.32116471835167</v>
      </c>
      <c r="BB788" s="34">
        <f t="shared" si="1485"/>
        <v>9.3109807415357579</v>
      </c>
      <c r="BC788" s="35">
        <f t="shared" si="1486"/>
        <v>6.2068990882477491E-2</v>
      </c>
      <c r="BE788" s="946">
        <f t="shared" si="1487"/>
        <v>133.60474517749856</v>
      </c>
      <c r="BF788" s="25">
        <f t="shared" si="1488"/>
        <v>152.5814174764169</v>
      </c>
      <c r="BG788" s="32">
        <f t="shared" si="1489"/>
        <v>18.976672298918345</v>
      </c>
      <c r="BH788" s="33">
        <f t="shared" si="1490"/>
        <v>0.14203591551862305</v>
      </c>
      <c r="BJ788" s="946">
        <f t="shared" si="1467"/>
        <v>145.07557415215766</v>
      </c>
      <c r="BK788" s="25">
        <f t="shared" si="1468"/>
        <v>145.0665075613193</v>
      </c>
      <c r="BL788" s="32">
        <f t="shared" si="1469"/>
        <v>-9.0665908383584792E-3</v>
      </c>
      <c r="BM788" s="33">
        <f t="shared" si="1470"/>
        <v>-6.2495639885245529E-5</v>
      </c>
      <c r="BO788" s="62"/>
      <c r="BP788" s="62"/>
      <c r="BQ788" s="62"/>
      <c r="BR788" s="63"/>
    </row>
    <row r="789" spans="1:70">
      <c r="A789" s="1"/>
      <c r="B789" s="1284"/>
      <c r="D789" s="4" t="s">
        <v>724</v>
      </c>
      <c r="E789" s="88">
        <f t="shared" ref="E789:L789" si="1495">E788-SUM(E777:E780)</f>
        <v>117.27318590434155</v>
      </c>
      <c r="F789" s="88">
        <f t="shared" si="1495"/>
        <v>121.89656452366026</v>
      </c>
      <c r="G789" s="88">
        <f t="shared" si="1495"/>
        <v>100.65693096387916</v>
      </c>
      <c r="H789" s="88">
        <f t="shared" si="1495"/>
        <v>109.99030066354521</v>
      </c>
      <c r="I789" s="88">
        <f t="shared" si="1495"/>
        <v>113.59525211023445</v>
      </c>
      <c r="J789" s="88">
        <f t="shared" si="1495"/>
        <v>85.77884418555098</v>
      </c>
      <c r="K789" s="88">
        <f t="shared" si="1495"/>
        <v>98.017565772600435</v>
      </c>
      <c r="L789" s="88">
        <f t="shared" si="1495"/>
        <v>86.467953209484705</v>
      </c>
      <c r="M789" s="1"/>
      <c r="N789" s="81">
        <f t="shared" ref="N789:U789" si="1496">N788-SUM(N777:N780)</f>
        <v>114.37562103203265</v>
      </c>
      <c r="O789" s="81">
        <f t="shared" si="1496"/>
        <v>117.01899286512443</v>
      </c>
      <c r="P789" s="81">
        <f t="shared" si="1496"/>
        <v>97.642004218551662</v>
      </c>
      <c r="Q789" s="81">
        <f t="shared" si="1496"/>
        <v>98.898642721273262</v>
      </c>
      <c r="R789" s="81">
        <f t="shared" si="1496"/>
        <v>96.577052965896044</v>
      </c>
      <c r="S789" s="81">
        <f t="shared" si="1496"/>
        <v>79.184922022697236</v>
      </c>
      <c r="T789" s="81">
        <f t="shared" si="1496"/>
        <v>89.056158502302239</v>
      </c>
      <c r="U789" s="81">
        <f t="shared" si="1496"/>
        <v>80.200402394326119</v>
      </c>
      <c r="V789" s="1"/>
      <c r="W789" s="85">
        <f t="shared" ref="W789:AD789" si="1497">W788-SUM(W777:W780)</f>
        <v>111.68171341805547</v>
      </c>
      <c r="X789" s="85">
        <f t="shared" si="1497"/>
        <v>125.57341724215425</v>
      </c>
      <c r="Y789" s="85">
        <f t="shared" si="1497"/>
        <v>130.70741828936292</v>
      </c>
      <c r="Z789" s="85">
        <f>Z788-SUM(Z777:Z780)</f>
        <v>112.32550146822354</v>
      </c>
      <c r="AA789" s="85">
        <f>AA788-SUM(AA777:AA780)</f>
        <v>114.32379228422309</v>
      </c>
      <c r="AB789" s="85">
        <f t="shared" si="1497"/>
        <v>92.790386450503036</v>
      </c>
      <c r="AC789" s="85">
        <f t="shared" ref="AC789" si="1498">AC788-SUM(AC777:AC780)</f>
        <v>100.98810756131931</v>
      </c>
      <c r="AD789" s="91">
        <f t="shared" si="1497"/>
        <v>0</v>
      </c>
      <c r="AE789" s="1"/>
      <c r="AF789" s="81">
        <f t="shared" si="1471"/>
        <v>114.37562103203265</v>
      </c>
      <c r="AG789" s="85">
        <f t="shared" si="1472"/>
        <v>111.68171341805547</v>
      </c>
      <c r="AH789" s="34">
        <f t="shared" si="1473"/>
        <v>-2.6939076139771885</v>
      </c>
      <c r="AI789" s="35">
        <f t="shared" si="1474"/>
        <v>-2.3553162725321666E-2</v>
      </c>
      <c r="AK789" s="81">
        <f t="shared" si="1463"/>
        <v>117.01899286512443</v>
      </c>
      <c r="AL789" s="85">
        <f t="shared" si="1464"/>
        <v>125.57341724215425</v>
      </c>
      <c r="AM789" s="34">
        <f t="shared" si="1475"/>
        <v>8.5544243770298181</v>
      </c>
      <c r="AN789" s="35">
        <f t="shared" si="1476"/>
        <v>7.3102871316706758E-2</v>
      </c>
      <c r="AP789" s="81">
        <f t="shared" si="1477"/>
        <v>97.642004218551662</v>
      </c>
      <c r="AQ789" s="85">
        <f>Y789</f>
        <v>130.70741828936292</v>
      </c>
      <c r="AR789" s="34">
        <f t="shared" si="1479"/>
        <v>33.065414070811258</v>
      </c>
      <c r="AS789" s="35">
        <f t="shared" si="1480"/>
        <v>0.3386392396944361</v>
      </c>
      <c r="AU789" s="949">
        <f t="shared" si="1481"/>
        <v>98.898642721273262</v>
      </c>
      <c r="AV789" s="843">
        <f t="shared" si="1482"/>
        <v>112.32550146822354</v>
      </c>
      <c r="AW789" s="34">
        <f t="shared" si="1483"/>
        <v>13.426858746950273</v>
      </c>
      <c r="AX789" s="35">
        <f t="shared" si="1484"/>
        <v>0.13576383231862224</v>
      </c>
      <c r="AZ789" s="949">
        <f t="shared" si="1465"/>
        <v>96.577052965896044</v>
      </c>
      <c r="BA789" s="843">
        <f t="shared" si="1466"/>
        <v>114.32379228422309</v>
      </c>
      <c r="BB789" s="34">
        <f t="shared" si="1485"/>
        <v>17.746739318327045</v>
      </c>
      <c r="BC789" s="35">
        <f t="shared" si="1486"/>
        <v>0.18375730852538952</v>
      </c>
      <c r="BE789" s="946">
        <f t="shared" si="1487"/>
        <v>79.184922022697236</v>
      </c>
      <c r="BF789" s="25">
        <f t="shared" si="1488"/>
        <v>92.790386450503036</v>
      </c>
      <c r="BG789" s="32">
        <f t="shared" si="1489"/>
        <v>13.605464427805799</v>
      </c>
      <c r="BH789" s="33">
        <f t="shared" si="1490"/>
        <v>0.17181887763816936</v>
      </c>
      <c r="BJ789" s="946">
        <f t="shared" si="1467"/>
        <v>89.056158502302239</v>
      </c>
      <c r="BK789" s="25">
        <f t="shared" si="1468"/>
        <v>100.98810756131931</v>
      </c>
      <c r="BL789" s="32">
        <f t="shared" si="1469"/>
        <v>11.931949059017072</v>
      </c>
      <c r="BM789" s="33">
        <f t="shared" si="1470"/>
        <v>0.13398230127688038</v>
      </c>
      <c r="BO789" s="62"/>
      <c r="BP789" s="62"/>
      <c r="BQ789" s="62"/>
      <c r="BR789" s="63"/>
    </row>
    <row r="790" spans="1:70" ht="14.5" customHeight="1">
      <c r="B790" s="1284"/>
    </row>
    <row r="791" spans="1:70" ht="14.5" customHeight="1">
      <c r="B791" s="1284"/>
      <c r="D791" s="1" t="s">
        <v>103</v>
      </c>
    </row>
    <row r="792" spans="1:70" ht="14.5" customHeight="1">
      <c r="B792" s="1284"/>
      <c r="E792" s="1300" t="s">
        <v>733</v>
      </c>
      <c r="F792" s="1301"/>
      <c r="G792" s="1301"/>
      <c r="H792" s="1301"/>
      <c r="I792" s="1301"/>
      <c r="J792" s="1301"/>
      <c r="K792" s="1301"/>
      <c r="L792" s="1302"/>
      <c r="N792" s="245" t="s">
        <v>291</v>
      </c>
      <c r="O792" s="246"/>
      <c r="P792" s="246"/>
      <c r="Q792" s="246"/>
      <c r="R792" s="246"/>
      <c r="S792" s="246"/>
      <c r="T792" s="246"/>
      <c r="U792" s="247"/>
      <c r="W792" s="1079" t="s">
        <v>292</v>
      </c>
      <c r="X792" s="1080"/>
      <c r="Y792" s="1080"/>
      <c r="Z792" s="1080"/>
      <c r="AA792" s="1080"/>
      <c r="AB792" s="1080"/>
      <c r="AC792" s="1080"/>
      <c r="AD792" s="1081"/>
      <c r="AF792" s="102" t="s">
        <v>297</v>
      </c>
      <c r="AG792" s="102" t="s">
        <v>298</v>
      </c>
      <c r="AH792" s="1304" t="s">
        <v>602</v>
      </c>
      <c r="AI792" s="1304"/>
      <c r="AK792" s="102" t="s">
        <v>297</v>
      </c>
      <c r="AL792" s="102" t="s">
        <v>298</v>
      </c>
      <c r="AM792" s="1304" t="s">
        <v>602</v>
      </c>
      <c r="AN792" s="1304"/>
      <c r="AP792" s="6" t="s">
        <v>297</v>
      </c>
      <c r="AQ792" s="5" t="s">
        <v>298</v>
      </c>
      <c r="AR792" s="1303" t="s">
        <v>602</v>
      </c>
      <c r="AS792" s="1303"/>
      <c r="AU792" s="6" t="s">
        <v>297</v>
      </c>
      <c r="AV792" s="5" t="s">
        <v>298</v>
      </c>
      <c r="AW792" s="1303" t="s">
        <v>602</v>
      </c>
      <c r="AX792" s="1303"/>
      <c r="AZ792" s="6" t="s">
        <v>297</v>
      </c>
      <c r="BA792" s="5" t="s">
        <v>298</v>
      </c>
      <c r="BB792" s="1303" t="s">
        <v>602</v>
      </c>
      <c r="BC792" s="1303"/>
      <c r="BE792" s="6" t="s">
        <v>297</v>
      </c>
      <c r="BF792" s="5" t="s">
        <v>298</v>
      </c>
      <c r="BG792" s="1082" t="s">
        <v>602</v>
      </c>
      <c r="BH792" s="1082"/>
      <c r="BJ792" s="6" t="s">
        <v>297</v>
      </c>
      <c r="BK792" s="5" t="s">
        <v>298</v>
      </c>
      <c r="BL792" s="1082" t="s">
        <v>602</v>
      </c>
      <c r="BM792" s="1082"/>
      <c r="BO792" s="6" t="s">
        <v>297</v>
      </c>
      <c r="BP792" s="5" t="s">
        <v>298</v>
      </c>
      <c r="BQ792" s="1303" t="s">
        <v>602</v>
      </c>
      <c r="BR792" s="1303"/>
    </row>
    <row r="793" spans="1:70" ht="14.5" customHeight="1">
      <c r="A793" s="1"/>
      <c r="B793" s="1284"/>
      <c r="E793" s="196" t="s">
        <v>137</v>
      </c>
      <c r="F793" s="102" t="s">
        <v>138</v>
      </c>
      <c r="G793" s="102" t="s">
        <v>139</v>
      </c>
      <c r="H793" s="102" t="s">
        <v>140</v>
      </c>
      <c r="I793" s="102" t="s">
        <v>141</v>
      </c>
      <c r="J793" s="102" t="s">
        <v>126</v>
      </c>
      <c r="K793" s="102" t="s">
        <v>142</v>
      </c>
      <c r="L793" s="197" t="s">
        <v>143</v>
      </c>
      <c r="N793" s="196" t="s">
        <v>137</v>
      </c>
      <c r="O793" s="102" t="s">
        <v>138</v>
      </c>
      <c r="P793" s="102" t="s">
        <v>139</v>
      </c>
      <c r="Q793" s="102" t="s">
        <v>140</v>
      </c>
      <c r="R793" s="102" t="s">
        <v>141</v>
      </c>
      <c r="S793" s="102" t="s">
        <v>126</v>
      </c>
      <c r="T793" s="102" t="s">
        <v>142</v>
      </c>
      <c r="U793" s="197" t="s">
        <v>143</v>
      </c>
      <c r="W793" s="196" t="s">
        <v>137</v>
      </c>
      <c r="X793" s="1078" t="s">
        <v>138</v>
      </c>
      <c r="Y793" s="1078" t="s">
        <v>139</v>
      </c>
      <c r="Z793" s="1078" t="s">
        <v>140</v>
      </c>
      <c r="AA793" s="1078" t="s">
        <v>141</v>
      </c>
      <c r="AB793" s="1078" t="s">
        <v>126</v>
      </c>
      <c r="AC793" s="1078" t="s">
        <v>142</v>
      </c>
      <c r="AD793" s="197" t="s">
        <v>143</v>
      </c>
      <c r="AF793" s="102" t="s">
        <v>734</v>
      </c>
      <c r="AG793" s="102" t="s">
        <v>734</v>
      </c>
      <c r="AH793" s="102" t="s">
        <v>734</v>
      </c>
      <c r="AI793" s="102" t="s">
        <v>606</v>
      </c>
      <c r="AK793" s="102" t="s">
        <v>734</v>
      </c>
      <c r="AL793" s="102" t="s">
        <v>734</v>
      </c>
      <c r="AM793" s="102" t="s">
        <v>734</v>
      </c>
      <c r="AN793" s="102" t="s">
        <v>606</v>
      </c>
      <c r="AP793" s="5" t="s">
        <v>734</v>
      </c>
      <c r="AQ793" s="5" t="s">
        <v>734</v>
      </c>
      <c r="AR793" s="5" t="s">
        <v>734</v>
      </c>
      <c r="AS793" s="5" t="s">
        <v>606</v>
      </c>
      <c r="AU793" s="5" t="s">
        <v>734</v>
      </c>
      <c r="AV793" s="5" t="s">
        <v>734</v>
      </c>
      <c r="AW793" s="5" t="s">
        <v>734</v>
      </c>
      <c r="AX793" s="5" t="s">
        <v>606</v>
      </c>
      <c r="AZ793" s="5" t="s">
        <v>734</v>
      </c>
      <c r="BA793" s="5" t="s">
        <v>734</v>
      </c>
      <c r="BB793" s="5" t="s">
        <v>734</v>
      </c>
      <c r="BC793" s="5" t="s">
        <v>606</v>
      </c>
      <c r="BE793" s="5" t="s">
        <v>734</v>
      </c>
      <c r="BF793" s="5" t="s">
        <v>734</v>
      </c>
      <c r="BG793" s="5" t="s">
        <v>734</v>
      </c>
      <c r="BH793" s="5" t="s">
        <v>606</v>
      </c>
      <c r="BJ793" s="5" t="s">
        <v>734</v>
      </c>
      <c r="BK793" s="5" t="s">
        <v>734</v>
      </c>
      <c r="BL793" s="5" t="s">
        <v>734</v>
      </c>
      <c r="BM793" s="5" t="s">
        <v>606</v>
      </c>
      <c r="BO793" s="5" t="s">
        <v>734</v>
      </c>
      <c r="BP793" s="5" t="s">
        <v>734</v>
      </c>
      <c r="BQ793" s="5" t="s">
        <v>734</v>
      </c>
      <c r="BR793" s="5" t="s">
        <v>606</v>
      </c>
    </row>
    <row r="794" spans="1:70">
      <c r="B794" s="1284"/>
      <c r="D794" s="5" t="s">
        <v>161</v>
      </c>
      <c r="E794" s="87">
        <v>2.2914801850079725</v>
      </c>
      <c r="F794" s="87">
        <v>3.1556448023790553</v>
      </c>
      <c r="G794" s="87">
        <v>3.8181389657132945</v>
      </c>
      <c r="H794" s="87">
        <v>3.480397557645563</v>
      </c>
      <c r="I794" s="87">
        <v>3.320522632774991</v>
      </c>
      <c r="J794" s="87">
        <v>0</v>
      </c>
      <c r="K794" s="87">
        <v>0</v>
      </c>
      <c r="L794" s="87">
        <v>0</v>
      </c>
      <c r="N794" s="29">
        <v>0.43089571603147031</v>
      </c>
      <c r="O794" s="29">
        <v>3.4249842519260243</v>
      </c>
      <c r="P794" s="29">
        <v>5.9171141939307255</v>
      </c>
      <c r="Q794" s="29">
        <v>7.9610961605394914</v>
      </c>
      <c r="R794" s="29">
        <v>8.2946398415857772</v>
      </c>
      <c r="S794" s="29">
        <v>7.0648002097476255</v>
      </c>
      <c r="T794" s="29">
        <v>0</v>
      </c>
      <c r="U794" s="29">
        <v>0</v>
      </c>
      <c r="W794" s="30">
        <v>0.27345324164434104</v>
      </c>
      <c r="X794" s="30">
        <v>2.1604386031112668</v>
      </c>
      <c r="Y794" s="30">
        <v>4.1244677156168157</v>
      </c>
      <c r="Z794" s="30">
        <v>5.8824549392738952</v>
      </c>
      <c r="AA794" s="30">
        <v>6.060973598196</v>
      </c>
      <c r="AB794" s="30">
        <v>4.4346941854926554</v>
      </c>
      <c r="AC794" s="30">
        <v>4.2518501603030616</v>
      </c>
      <c r="AD794" s="90">
        <v>0</v>
      </c>
      <c r="AF794" s="945">
        <f>N794</f>
        <v>0.43089571603147031</v>
      </c>
      <c r="AG794" s="30">
        <f>W794</f>
        <v>0.27345324164434104</v>
      </c>
      <c r="AH794" s="32">
        <f>IF(AG794&gt;0,AG794-AF794,"")</f>
        <v>-0.15744247438712927</v>
      </c>
      <c r="AI794" s="33">
        <f>IF(AG794&gt;0,AH794/AF794,"")</f>
        <v>-0.3653841719225413</v>
      </c>
      <c r="AK794" s="945">
        <f t="shared" ref="AK794:AK809" si="1499">O794</f>
        <v>3.4249842519260243</v>
      </c>
      <c r="AL794" s="30">
        <f t="shared" ref="AL794:AL809" si="1500">X794</f>
        <v>2.1604386031112668</v>
      </c>
      <c r="AM794" s="32">
        <f>IF(AL794&gt;0,AL794-AK794,"")</f>
        <v>-1.2645456488147575</v>
      </c>
      <c r="AN794" s="33">
        <f>IF(AL794&gt;0,AM794/AK794,"")</f>
        <v>-0.36921210604213611</v>
      </c>
      <c r="AP794" s="945">
        <f>P794</f>
        <v>5.9171141939307255</v>
      </c>
      <c r="AQ794" s="30">
        <f>Y794</f>
        <v>4.1244677156168157</v>
      </c>
      <c r="AR794" s="32">
        <f>AQ794-AP794</f>
        <v>-1.7926464783139098</v>
      </c>
      <c r="AS794" s="33">
        <f>AR794/AP794</f>
        <v>-0.3029595879952181</v>
      </c>
      <c r="AU794" s="946">
        <f>Q794</f>
        <v>7.9610961605394914</v>
      </c>
      <c r="AV794" s="25">
        <f>Z794</f>
        <v>5.8824549392738952</v>
      </c>
      <c r="AW794" s="32">
        <f>AV794-AU794</f>
        <v>-2.0786412212655963</v>
      </c>
      <c r="AX794" s="33">
        <f>AW794/AU794</f>
        <v>-0.26109987611614721</v>
      </c>
      <c r="AZ794" s="946">
        <f t="shared" ref="AZ794:AZ809" si="1501">R794</f>
        <v>8.2946398415857772</v>
      </c>
      <c r="BA794" s="25">
        <f t="shared" ref="BA794:BA809" si="1502">AA794</f>
        <v>6.060973598196</v>
      </c>
      <c r="BB794" s="32">
        <f>BA794-AZ794</f>
        <v>-2.2336662433897772</v>
      </c>
      <c r="BC794" s="33">
        <f>BB794/AZ794</f>
        <v>-0.26929032315437373</v>
      </c>
      <c r="BE794" s="946">
        <f>S794</f>
        <v>7.0648002097476255</v>
      </c>
      <c r="BF794" s="25">
        <f>AB794</f>
        <v>4.4346941854926554</v>
      </c>
      <c r="BG794" s="32">
        <f>BF794-BE794</f>
        <v>-2.6301060242549701</v>
      </c>
      <c r="BH794" s="33">
        <f>BG794/BE794</f>
        <v>-0.37228314264656676</v>
      </c>
      <c r="BJ794" s="946">
        <f t="shared" ref="BJ794:BJ809" si="1503">T794</f>
        <v>0</v>
      </c>
      <c r="BK794" s="25">
        <f t="shared" ref="BK794:BK809" si="1504">AC794</f>
        <v>4.2518501603030616</v>
      </c>
      <c r="BL794" s="32">
        <f t="shared" ref="BL794:BL809" si="1505">BK794-BJ794</f>
        <v>4.2518501603030616</v>
      </c>
      <c r="BM794" s="33" t="e">
        <f>BL794/BJ794</f>
        <v>#DIV/0!</v>
      </c>
      <c r="BO794" s="62"/>
      <c r="BP794" s="62"/>
      <c r="BQ794" s="62"/>
      <c r="BR794" s="63"/>
    </row>
    <row r="795" spans="1:70">
      <c r="B795" s="1284"/>
      <c r="D795" s="5" t="s">
        <v>162</v>
      </c>
      <c r="E795" s="87">
        <v>1.1800879664111574</v>
      </c>
      <c r="F795" s="87">
        <v>2.0414071383302814</v>
      </c>
      <c r="G795" s="87">
        <v>3.068373285486456</v>
      </c>
      <c r="H795" s="87">
        <v>3.4933592180695139</v>
      </c>
      <c r="I795" s="87">
        <v>3.4228420647481665</v>
      </c>
      <c r="J795" s="87">
        <v>2.500444828448932</v>
      </c>
      <c r="K795" s="87">
        <v>0</v>
      </c>
      <c r="L795" s="87">
        <v>0</v>
      </c>
      <c r="N795" s="29">
        <v>0.4853065900480229</v>
      </c>
      <c r="O795" s="29">
        <v>1.9511305763155207</v>
      </c>
      <c r="P795" s="29">
        <v>3.3426729416573004</v>
      </c>
      <c r="Q795" s="29">
        <v>2.3171363812404211</v>
      </c>
      <c r="R795" s="29">
        <v>1.6697608000817412</v>
      </c>
      <c r="S795" s="29">
        <v>1.0466955675896596</v>
      </c>
      <c r="T795" s="29">
        <v>0</v>
      </c>
      <c r="U795" s="29">
        <v>0</v>
      </c>
      <c r="W795" s="30">
        <v>0.32370005965707133</v>
      </c>
      <c r="X795" s="30">
        <v>1.4388136123682951</v>
      </c>
      <c r="Y795" s="30">
        <v>2.0801815968372099</v>
      </c>
      <c r="Z795" s="30">
        <v>2.0890723541917335</v>
      </c>
      <c r="AA795" s="30">
        <v>1.8164838107218886</v>
      </c>
      <c r="AB795" s="30">
        <v>1.1265478113145422</v>
      </c>
      <c r="AC795" s="30">
        <v>1.7795515449910433</v>
      </c>
      <c r="AD795" s="90">
        <v>0</v>
      </c>
      <c r="AF795" s="945">
        <f t="shared" ref="AF795:AF809" si="1506">N795</f>
        <v>0.4853065900480229</v>
      </c>
      <c r="AG795" s="30">
        <f t="shared" ref="AG795:AG809" si="1507">W795</f>
        <v>0.32370005965707133</v>
      </c>
      <c r="AH795" s="32">
        <f t="shared" ref="AH795:AH809" si="1508">IF(AG795&gt;0,AG795-AF795,"")</f>
        <v>-0.16160653039095157</v>
      </c>
      <c r="AI795" s="33">
        <f t="shared" ref="AI795:AI809" si="1509">IF(AG795&gt;0,AH795/AF795,"")</f>
        <v>-0.33299883765221489</v>
      </c>
      <c r="AK795" s="945">
        <f t="shared" si="1499"/>
        <v>1.9511305763155207</v>
      </c>
      <c r="AL795" s="30">
        <f t="shared" si="1500"/>
        <v>1.4388136123682951</v>
      </c>
      <c r="AM795" s="32">
        <f t="shared" ref="AM795:AM809" si="1510">IF(AL795&gt;0,AL795-AK795,"")</f>
        <v>-0.51231696394722559</v>
      </c>
      <c r="AN795" s="33">
        <f t="shared" ref="AN795:AN809" si="1511">IF(AL795&gt;0,AM795/AK795,"")</f>
        <v>-0.26257441206968096</v>
      </c>
      <c r="AP795" s="945">
        <f t="shared" ref="AP795:AP809" si="1512">P795</f>
        <v>3.3426729416573004</v>
      </c>
      <c r="AQ795" s="30">
        <f t="shared" ref="AQ795:AQ808" si="1513">Y795</f>
        <v>2.0801815968372099</v>
      </c>
      <c r="AR795" s="32">
        <f t="shared" ref="AR795:AR809" si="1514">AQ795-AP795</f>
        <v>-1.2624913448200905</v>
      </c>
      <c r="AS795" s="33">
        <f t="shared" ref="AS795:AS809" si="1515">AR795/AP795</f>
        <v>-0.37768916279142345</v>
      </c>
      <c r="AU795" s="946">
        <f t="shared" ref="AU795:AU809" si="1516">Q795</f>
        <v>2.3171363812404211</v>
      </c>
      <c r="AV795" s="25">
        <f t="shared" ref="AV795:AV809" si="1517">Z795</f>
        <v>2.0890723541917335</v>
      </c>
      <c r="AW795" s="32">
        <f t="shared" ref="AW795:AW809" si="1518">AV795-AU795</f>
        <v>-0.22806402704868756</v>
      </c>
      <c r="AX795" s="33">
        <f t="shared" ref="AX795:AX809" si="1519">AW795/AU795</f>
        <v>-9.8424947661733736E-2</v>
      </c>
      <c r="AZ795" s="946">
        <f t="shared" si="1501"/>
        <v>1.6697608000817412</v>
      </c>
      <c r="BA795" s="25">
        <f t="shared" si="1502"/>
        <v>1.8164838107218886</v>
      </c>
      <c r="BB795" s="32">
        <f t="shared" ref="BB795:BB809" si="1520">BA795-AZ795</f>
        <v>0.14672301064014737</v>
      </c>
      <c r="BC795" s="33">
        <f t="shared" ref="BC795:BC809" si="1521">BB795/AZ795</f>
        <v>8.7870676226777342E-2</v>
      </c>
      <c r="BE795" s="946">
        <f t="shared" ref="BE795:BE809" si="1522">S795</f>
        <v>1.0466955675896596</v>
      </c>
      <c r="BF795" s="25">
        <f t="shared" ref="BF795:BF809" si="1523">AB795</f>
        <v>1.1265478113145422</v>
      </c>
      <c r="BG795" s="32">
        <f t="shared" ref="BG795:BG809" si="1524">BF795-BE795</f>
        <v>7.9852243724882532E-2</v>
      </c>
      <c r="BH795" s="33">
        <f t="shared" ref="BH795:BH809" si="1525">BG795/BE795</f>
        <v>7.6289846061703526E-2</v>
      </c>
      <c r="BJ795" s="946">
        <f t="shared" si="1503"/>
        <v>0</v>
      </c>
      <c r="BK795" s="25">
        <f t="shared" si="1504"/>
        <v>1.7795515449910433</v>
      </c>
      <c r="BL795" s="32">
        <f t="shared" si="1505"/>
        <v>1.7795515449910433</v>
      </c>
      <c r="BM795" s="33" t="e">
        <f t="shared" ref="BM795:BM809" si="1526">BL795/BJ795</f>
        <v>#DIV/0!</v>
      </c>
      <c r="BO795" s="62"/>
      <c r="BP795" s="62"/>
      <c r="BQ795" s="62"/>
      <c r="BR795" s="63"/>
    </row>
    <row r="796" spans="1:70">
      <c r="B796" s="1284"/>
      <c r="D796" s="5" t="s">
        <v>163</v>
      </c>
      <c r="E796" s="87">
        <v>1.7199282933484272</v>
      </c>
      <c r="F796" s="87">
        <v>2.9098375784897659</v>
      </c>
      <c r="G796" s="87">
        <v>4.2794999527439526</v>
      </c>
      <c r="H796" s="87">
        <v>4.8942689069856833</v>
      </c>
      <c r="I796" s="87">
        <v>4.8292460160987591</v>
      </c>
      <c r="J796" s="87">
        <v>3.550644798007029</v>
      </c>
      <c r="K796" s="87">
        <v>0</v>
      </c>
      <c r="L796" s="87">
        <v>0</v>
      </c>
      <c r="N796" s="29">
        <v>1.4176890889547358</v>
      </c>
      <c r="O796" s="29">
        <v>2.5049731210789825</v>
      </c>
      <c r="P796" s="29">
        <v>4.5004221395729029</v>
      </c>
      <c r="Q796" s="29">
        <v>4.7033339407785837</v>
      </c>
      <c r="R796" s="29">
        <v>3.4840674538878105</v>
      </c>
      <c r="S796" s="29">
        <v>2.2185622158373355</v>
      </c>
      <c r="T796" s="29">
        <v>0</v>
      </c>
      <c r="U796" s="29">
        <v>0</v>
      </c>
      <c r="W796" s="30">
        <v>1.1021398599562693</v>
      </c>
      <c r="X796" s="30">
        <v>1.9147756900026494</v>
      </c>
      <c r="Y796" s="30">
        <v>3.4444921882737889</v>
      </c>
      <c r="Z796" s="30">
        <v>3.9127780242851347</v>
      </c>
      <c r="AA796" s="30">
        <v>3.3518705450509896</v>
      </c>
      <c r="AB796" s="30">
        <v>2.124206407573983</v>
      </c>
      <c r="AC796" s="30">
        <v>4.0007636731116802</v>
      </c>
      <c r="AD796" s="90">
        <v>0</v>
      </c>
      <c r="AF796" s="945">
        <f t="shared" si="1506"/>
        <v>1.4176890889547358</v>
      </c>
      <c r="AG796" s="30">
        <f t="shared" si="1507"/>
        <v>1.1021398599562693</v>
      </c>
      <c r="AH796" s="32">
        <f t="shared" si="1508"/>
        <v>-0.31554922899846649</v>
      </c>
      <c r="AI796" s="33">
        <f t="shared" si="1509"/>
        <v>-0.22257999405999618</v>
      </c>
      <c r="AK796" s="945">
        <f t="shared" si="1499"/>
        <v>2.5049731210789825</v>
      </c>
      <c r="AL796" s="30">
        <f t="shared" si="1500"/>
        <v>1.9147756900026494</v>
      </c>
      <c r="AM796" s="32">
        <f t="shared" si="1510"/>
        <v>-0.59019743107633316</v>
      </c>
      <c r="AN796" s="33">
        <f t="shared" si="1511"/>
        <v>-0.23561028504054918</v>
      </c>
      <c r="AP796" s="945">
        <f t="shared" si="1512"/>
        <v>4.5004221395729029</v>
      </c>
      <c r="AQ796" s="30">
        <f t="shared" si="1513"/>
        <v>3.4444921882737889</v>
      </c>
      <c r="AR796" s="32">
        <f t="shared" si="1514"/>
        <v>-1.055929951299114</v>
      </c>
      <c r="AS796" s="33">
        <f t="shared" si="1515"/>
        <v>-0.23462909001672527</v>
      </c>
      <c r="AU796" s="946">
        <f t="shared" si="1516"/>
        <v>4.7033339407785837</v>
      </c>
      <c r="AV796" s="25">
        <f t="shared" si="1517"/>
        <v>3.9127780242851347</v>
      </c>
      <c r="AW796" s="32">
        <f t="shared" si="1518"/>
        <v>-0.79055591649344903</v>
      </c>
      <c r="AX796" s="33">
        <f t="shared" si="1519"/>
        <v>-0.16808415614277677</v>
      </c>
      <c r="AZ796" s="946">
        <f t="shared" si="1501"/>
        <v>3.4840674538878105</v>
      </c>
      <c r="BA796" s="25">
        <f t="shared" si="1502"/>
        <v>3.3518705450509896</v>
      </c>
      <c r="BB796" s="32">
        <f t="shared" si="1520"/>
        <v>-0.13219690883682089</v>
      </c>
      <c r="BC796" s="33">
        <f t="shared" si="1521"/>
        <v>-3.7943269063090229E-2</v>
      </c>
      <c r="BE796" s="946">
        <f t="shared" si="1522"/>
        <v>2.2185622158373355</v>
      </c>
      <c r="BF796" s="25">
        <f t="shared" si="1523"/>
        <v>2.124206407573983</v>
      </c>
      <c r="BG796" s="32">
        <f t="shared" si="1524"/>
        <v>-9.4355808263352436E-2</v>
      </c>
      <c r="BH796" s="33">
        <f t="shared" si="1525"/>
        <v>-4.2530161015899397E-2</v>
      </c>
      <c r="BJ796" s="946">
        <f t="shared" si="1503"/>
        <v>0</v>
      </c>
      <c r="BK796" s="25">
        <f t="shared" si="1504"/>
        <v>4.0007636731116802</v>
      </c>
      <c r="BL796" s="32">
        <f t="shared" si="1505"/>
        <v>4.0007636731116802</v>
      </c>
      <c r="BM796" s="33" t="e">
        <f t="shared" si="1526"/>
        <v>#DIV/0!</v>
      </c>
      <c r="BO796" s="62"/>
      <c r="BP796" s="62"/>
      <c r="BQ796" s="62"/>
      <c r="BR796" s="63"/>
    </row>
    <row r="797" spans="1:70">
      <c r="B797" s="1284"/>
      <c r="D797" s="5" t="s">
        <v>164</v>
      </c>
      <c r="E797" s="87">
        <v>0.99402031474597807</v>
      </c>
      <c r="F797" s="87">
        <v>1.6409522285897911</v>
      </c>
      <c r="G797" s="87">
        <v>2.4421930498505184</v>
      </c>
      <c r="H797" s="87">
        <v>2.8569771003115489</v>
      </c>
      <c r="I797" s="87">
        <v>2.8690142760608648</v>
      </c>
      <c r="J797" s="87">
        <v>2.0274632817596885</v>
      </c>
      <c r="K797" s="87">
        <v>0</v>
      </c>
      <c r="L797" s="87">
        <v>0</v>
      </c>
      <c r="N797" s="29">
        <v>0.25809715745376521</v>
      </c>
      <c r="O797" s="29">
        <v>1.9005336139777258</v>
      </c>
      <c r="P797" s="29">
        <v>2.169790182895678</v>
      </c>
      <c r="Q797" s="29">
        <v>2.7826993971594973</v>
      </c>
      <c r="R797" s="29">
        <v>1.4847740022478799</v>
      </c>
      <c r="S797" s="29">
        <v>1.0386836824358843</v>
      </c>
      <c r="T797" s="29">
        <v>0</v>
      </c>
      <c r="U797" s="29">
        <v>0</v>
      </c>
      <c r="W797" s="30">
        <v>0.28185361923887869</v>
      </c>
      <c r="X797" s="30">
        <v>2.5914959923318439</v>
      </c>
      <c r="Y797" s="30">
        <v>2.7809856606573828</v>
      </c>
      <c r="Z797" s="30">
        <v>4.2065001341296391</v>
      </c>
      <c r="AA797" s="30">
        <v>2.5180242910522224</v>
      </c>
      <c r="AB797" s="30">
        <v>1.7897294258023508</v>
      </c>
      <c r="AC797" s="30">
        <v>2.1987999999999999</v>
      </c>
      <c r="AD797" s="90">
        <v>0</v>
      </c>
      <c r="AF797" s="945">
        <f t="shared" si="1506"/>
        <v>0.25809715745376521</v>
      </c>
      <c r="AG797" s="30">
        <f t="shared" si="1507"/>
        <v>0.28185361923887869</v>
      </c>
      <c r="AH797" s="32">
        <f t="shared" si="1508"/>
        <v>2.3756461785113481E-2</v>
      </c>
      <c r="AI797" s="33">
        <f t="shared" si="1509"/>
        <v>9.2044647137848254E-2</v>
      </c>
      <c r="AK797" s="945">
        <f t="shared" si="1499"/>
        <v>1.9005336139777258</v>
      </c>
      <c r="AL797" s="30">
        <f t="shared" si="1500"/>
        <v>2.5914959923318439</v>
      </c>
      <c r="AM797" s="32">
        <f t="shared" si="1510"/>
        <v>0.69096237835411811</v>
      </c>
      <c r="AN797" s="33">
        <f t="shared" si="1511"/>
        <v>0.36356230338276785</v>
      </c>
      <c r="AP797" s="945">
        <f t="shared" si="1512"/>
        <v>2.169790182895678</v>
      </c>
      <c r="AQ797" s="30">
        <f t="shared" si="1513"/>
        <v>2.7809856606573828</v>
      </c>
      <c r="AR797" s="32">
        <f t="shared" si="1514"/>
        <v>0.6111954777617048</v>
      </c>
      <c r="AS797" s="33">
        <f t="shared" si="1515"/>
        <v>0.28168413820825672</v>
      </c>
      <c r="AU797" s="946">
        <f t="shared" si="1516"/>
        <v>2.7826993971594973</v>
      </c>
      <c r="AV797" s="25">
        <f t="shared" si="1517"/>
        <v>4.2065001341296391</v>
      </c>
      <c r="AW797" s="32">
        <f t="shared" si="1518"/>
        <v>1.4238007369701418</v>
      </c>
      <c r="AX797" s="33">
        <f t="shared" si="1519"/>
        <v>0.51166171179809006</v>
      </c>
      <c r="AZ797" s="946">
        <f t="shared" si="1501"/>
        <v>1.4847740022478799</v>
      </c>
      <c r="BA797" s="25">
        <f t="shared" si="1502"/>
        <v>2.5180242910522224</v>
      </c>
      <c r="BB797" s="32">
        <f t="shared" si="1520"/>
        <v>1.0332502888043424</v>
      </c>
      <c r="BC797" s="33">
        <f t="shared" si="1521"/>
        <v>0.69589734682857374</v>
      </c>
      <c r="BE797" s="946">
        <f t="shared" si="1522"/>
        <v>1.0386836824358843</v>
      </c>
      <c r="BF797" s="25">
        <f t="shared" si="1523"/>
        <v>1.7897294258023508</v>
      </c>
      <c r="BG797" s="32">
        <f t="shared" si="1524"/>
        <v>0.75104574336646657</v>
      </c>
      <c r="BH797" s="33">
        <f t="shared" si="1525"/>
        <v>0.72307455683249078</v>
      </c>
      <c r="BJ797" s="946">
        <f t="shared" si="1503"/>
        <v>0</v>
      </c>
      <c r="BK797" s="25">
        <f t="shared" si="1504"/>
        <v>2.1987999999999999</v>
      </c>
      <c r="BL797" s="32">
        <f t="shared" si="1505"/>
        <v>2.1987999999999999</v>
      </c>
      <c r="BM797" s="33" t="e">
        <f t="shared" si="1526"/>
        <v>#DIV/0!</v>
      </c>
      <c r="BO797" s="62"/>
      <c r="BP797" s="62"/>
      <c r="BQ797" s="62"/>
      <c r="BR797" s="63"/>
    </row>
    <row r="798" spans="1:70">
      <c r="B798" s="1284"/>
      <c r="D798" s="5" t="s">
        <v>165</v>
      </c>
      <c r="E798" s="87">
        <v>1.1625762379071845</v>
      </c>
      <c r="F798" s="87">
        <v>2.0979500938564737</v>
      </c>
      <c r="G798" s="87">
        <v>2.7279819537079653</v>
      </c>
      <c r="H798" s="87">
        <v>3.0350451264183964</v>
      </c>
      <c r="I798" s="87">
        <v>2.8214632738233982</v>
      </c>
      <c r="J798" s="87">
        <v>1.9844530634810658</v>
      </c>
      <c r="K798" s="87">
        <v>0</v>
      </c>
      <c r="L798" s="87">
        <v>0</v>
      </c>
      <c r="N798" s="29">
        <v>0.3247674874833964</v>
      </c>
      <c r="O798" s="29">
        <v>1.7772078103606828</v>
      </c>
      <c r="P798" s="29">
        <v>2.0069772310207417</v>
      </c>
      <c r="Q798" s="29">
        <v>2.8233311004393586</v>
      </c>
      <c r="R798" s="29">
        <v>1.4658888443854092</v>
      </c>
      <c r="S798" s="29">
        <v>1.0818906345151731</v>
      </c>
      <c r="T798" s="29">
        <v>0</v>
      </c>
      <c r="U798" s="29">
        <v>0</v>
      </c>
      <c r="W798" s="30">
        <v>0.23028040380367962</v>
      </c>
      <c r="X798" s="30">
        <v>2.3907049571307817</v>
      </c>
      <c r="Y798" s="30">
        <v>2.4108666899471825</v>
      </c>
      <c r="Z798" s="30">
        <v>5.0884373685176563</v>
      </c>
      <c r="AA798" s="30">
        <v>2.5522831249440894</v>
      </c>
      <c r="AB798" s="30">
        <v>2.1916781148123348</v>
      </c>
      <c r="AC798" s="30">
        <v>2.9433000000000002</v>
      </c>
      <c r="AD798" s="90">
        <v>0</v>
      </c>
      <c r="AF798" s="945">
        <f t="shared" si="1506"/>
        <v>0.3247674874833964</v>
      </c>
      <c r="AG798" s="30">
        <f t="shared" si="1507"/>
        <v>0.23028040380367962</v>
      </c>
      <c r="AH798" s="32">
        <f t="shared" si="1508"/>
        <v>-9.4487083679716782E-2</v>
      </c>
      <c r="AI798" s="33">
        <f t="shared" si="1509"/>
        <v>-0.2909376317558493</v>
      </c>
      <c r="AK798" s="945">
        <f t="shared" si="1499"/>
        <v>1.7772078103606828</v>
      </c>
      <c r="AL798" s="30">
        <f t="shared" si="1500"/>
        <v>2.3907049571307817</v>
      </c>
      <c r="AM798" s="32">
        <f t="shared" si="1510"/>
        <v>0.61349714677009892</v>
      </c>
      <c r="AN798" s="33">
        <f t="shared" si="1511"/>
        <v>0.34520281938530883</v>
      </c>
      <c r="AP798" s="945">
        <f t="shared" si="1512"/>
        <v>2.0069772310207417</v>
      </c>
      <c r="AQ798" s="30">
        <f t="shared" si="1513"/>
        <v>2.4108666899471825</v>
      </c>
      <c r="AR798" s="32">
        <f t="shared" si="1514"/>
        <v>0.40388945892644079</v>
      </c>
      <c r="AS798" s="33">
        <f t="shared" si="1515"/>
        <v>0.20124267115926572</v>
      </c>
      <c r="AU798" s="946">
        <f t="shared" si="1516"/>
        <v>2.8233311004393586</v>
      </c>
      <c r="AV798" s="25">
        <f t="shared" si="1517"/>
        <v>5.0884373685176563</v>
      </c>
      <c r="AW798" s="32">
        <f t="shared" si="1518"/>
        <v>2.2651062680782976</v>
      </c>
      <c r="AX798" s="33">
        <f t="shared" si="1519"/>
        <v>0.80228148506061092</v>
      </c>
      <c r="AZ798" s="946">
        <f t="shared" si="1501"/>
        <v>1.4658888443854092</v>
      </c>
      <c r="BA798" s="25">
        <f t="shared" si="1502"/>
        <v>2.5522831249440894</v>
      </c>
      <c r="BB798" s="32">
        <f t="shared" si="1520"/>
        <v>1.0863942805586801</v>
      </c>
      <c r="BC798" s="33">
        <f t="shared" si="1521"/>
        <v>0.74111641187511967</v>
      </c>
      <c r="BE798" s="946">
        <f t="shared" si="1522"/>
        <v>1.0818906345151731</v>
      </c>
      <c r="BF798" s="25">
        <f t="shared" si="1523"/>
        <v>2.1916781148123348</v>
      </c>
      <c r="BG798" s="32">
        <f t="shared" si="1524"/>
        <v>1.1097874802971617</v>
      </c>
      <c r="BH798" s="33">
        <f t="shared" si="1525"/>
        <v>1.0257852733834691</v>
      </c>
      <c r="BJ798" s="946">
        <f t="shared" si="1503"/>
        <v>0</v>
      </c>
      <c r="BK798" s="25">
        <f t="shared" si="1504"/>
        <v>2.9433000000000002</v>
      </c>
      <c r="BL798" s="32">
        <f t="shared" si="1505"/>
        <v>2.9433000000000002</v>
      </c>
      <c r="BM798" s="33" t="e">
        <f t="shared" si="1526"/>
        <v>#DIV/0!</v>
      </c>
      <c r="BO798" s="62"/>
      <c r="BP798" s="62"/>
      <c r="BQ798" s="62"/>
      <c r="BR798" s="63"/>
    </row>
    <row r="799" spans="1:70">
      <c r="B799" s="1284"/>
      <c r="D799" s="5" t="s">
        <v>166</v>
      </c>
      <c r="E799" s="87">
        <v>0.45826863160699827</v>
      </c>
      <c r="F799" s="87">
        <v>0.81809265740651294</v>
      </c>
      <c r="G799" s="87">
        <v>1.1958549010053177</v>
      </c>
      <c r="H799" s="87">
        <v>1.4592457581274962</v>
      </c>
      <c r="I799" s="87">
        <v>1.4210460239072475</v>
      </c>
      <c r="J799" s="87">
        <v>0.92982401844441076</v>
      </c>
      <c r="K799" s="87">
        <v>0</v>
      </c>
      <c r="L799" s="87">
        <v>0</v>
      </c>
      <c r="N799" s="29">
        <v>0.18193592283641566</v>
      </c>
      <c r="O799" s="29">
        <v>1.1452481136201085</v>
      </c>
      <c r="P799" s="29">
        <v>1.3425922905078165</v>
      </c>
      <c r="Q799" s="29">
        <v>1.5097125844487587</v>
      </c>
      <c r="R799" s="29">
        <v>1.1073201036476958</v>
      </c>
      <c r="S799" s="29">
        <v>0.80804439995912958</v>
      </c>
      <c r="T799" s="29">
        <v>0</v>
      </c>
      <c r="U799" s="29">
        <v>0</v>
      </c>
      <c r="W799" s="30">
        <v>8.7554528529524028E-2</v>
      </c>
      <c r="X799" s="30">
        <v>1.3209936526385704</v>
      </c>
      <c r="Y799" s="30">
        <v>1.4680253975875563</v>
      </c>
      <c r="Z799" s="30">
        <v>2.0461383158964801</v>
      </c>
      <c r="AA799" s="30">
        <v>1.9302711720948798</v>
      </c>
      <c r="AB799" s="30">
        <v>1.0609329870447739</v>
      </c>
      <c r="AC799" s="30">
        <v>1.1940999999999997</v>
      </c>
      <c r="AD799" s="90">
        <v>0</v>
      </c>
      <c r="AF799" s="945">
        <f t="shared" si="1506"/>
        <v>0.18193592283641566</v>
      </c>
      <c r="AG799" s="30">
        <f t="shared" si="1507"/>
        <v>8.7554528529524028E-2</v>
      </c>
      <c r="AH799" s="32">
        <f t="shared" si="1508"/>
        <v>-9.4381394306891631E-2</v>
      </c>
      <c r="AI799" s="33">
        <f t="shared" si="1509"/>
        <v>-0.51876173124838532</v>
      </c>
      <c r="AK799" s="945">
        <f t="shared" si="1499"/>
        <v>1.1452481136201085</v>
      </c>
      <c r="AL799" s="30">
        <f t="shared" si="1500"/>
        <v>1.3209936526385704</v>
      </c>
      <c r="AM799" s="32">
        <f t="shared" si="1510"/>
        <v>0.1757455390184619</v>
      </c>
      <c r="AN799" s="33">
        <f t="shared" si="1511"/>
        <v>0.15345630080361666</v>
      </c>
      <c r="AP799" s="945">
        <f t="shared" si="1512"/>
        <v>1.3425922905078165</v>
      </c>
      <c r="AQ799" s="30">
        <f t="shared" si="1513"/>
        <v>1.4680253975875563</v>
      </c>
      <c r="AR799" s="32">
        <f t="shared" si="1514"/>
        <v>0.12543310707973987</v>
      </c>
      <c r="AS799" s="33">
        <f t="shared" si="1515"/>
        <v>9.3426059397597599E-2</v>
      </c>
      <c r="AU799" s="946">
        <f t="shared" si="1516"/>
        <v>1.5097125844487587</v>
      </c>
      <c r="AV799" s="25">
        <f t="shared" si="1517"/>
        <v>2.0461383158964801</v>
      </c>
      <c r="AW799" s="32">
        <f t="shared" si="1518"/>
        <v>0.53642573144772143</v>
      </c>
      <c r="AX799" s="33">
        <f t="shared" si="1519"/>
        <v>0.35531646021456897</v>
      </c>
      <c r="AZ799" s="946">
        <f t="shared" si="1501"/>
        <v>1.1073201036476958</v>
      </c>
      <c r="BA799" s="25">
        <f t="shared" si="1502"/>
        <v>1.9302711720948798</v>
      </c>
      <c r="BB799" s="32">
        <f t="shared" si="1520"/>
        <v>0.82295106844718391</v>
      </c>
      <c r="BC799" s="33">
        <f t="shared" si="1521"/>
        <v>0.74319166222689059</v>
      </c>
      <c r="BE799" s="946">
        <f t="shared" si="1522"/>
        <v>0.80804439995912958</v>
      </c>
      <c r="BF799" s="25">
        <f t="shared" si="1523"/>
        <v>1.0609329870447739</v>
      </c>
      <c r="BG799" s="32">
        <f t="shared" si="1524"/>
        <v>0.25288858708564432</v>
      </c>
      <c r="BH799" s="33">
        <f t="shared" si="1525"/>
        <v>0.31296372711503884</v>
      </c>
      <c r="BJ799" s="946">
        <f t="shared" si="1503"/>
        <v>0</v>
      </c>
      <c r="BK799" s="25">
        <f t="shared" si="1504"/>
        <v>1.1940999999999997</v>
      </c>
      <c r="BL799" s="32">
        <f t="shared" si="1505"/>
        <v>1.1940999999999997</v>
      </c>
      <c r="BM799" s="33" t="e">
        <f t="shared" si="1526"/>
        <v>#DIV/0!</v>
      </c>
      <c r="BO799" s="62"/>
      <c r="BP799" s="62"/>
      <c r="BQ799" s="62"/>
      <c r="BR799" s="63"/>
    </row>
    <row r="800" spans="1:70">
      <c r="B800" s="1284"/>
      <c r="D800" s="5" t="s">
        <v>167</v>
      </c>
      <c r="E800" s="87">
        <v>0.72735174213751663</v>
      </c>
      <c r="F800" s="87">
        <v>1.2701603427994821</v>
      </c>
      <c r="G800" s="87">
        <v>1.6956332245916013</v>
      </c>
      <c r="H800" s="87">
        <v>1.868494852782481</v>
      </c>
      <c r="I800" s="87">
        <v>1.7968774048287788</v>
      </c>
      <c r="J800" s="87">
        <v>1.2721983329263855</v>
      </c>
      <c r="K800" s="87">
        <v>0</v>
      </c>
      <c r="L800" s="87">
        <v>0</v>
      </c>
      <c r="N800" s="29">
        <v>9.2205352569735374E-2</v>
      </c>
      <c r="O800" s="29">
        <v>1.1290806380709104</v>
      </c>
      <c r="P800" s="29">
        <v>1.3882994594462041</v>
      </c>
      <c r="Q800" s="29">
        <v>1.3781510715847556</v>
      </c>
      <c r="R800" s="29">
        <v>0.78954457562072133</v>
      </c>
      <c r="S800" s="29">
        <v>0.64891691525493012</v>
      </c>
      <c r="T800" s="29">
        <v>0</v>
      </c>
      <c r="U800" s="29">
        <v>0</v>
      </c>
      <c r="W800" s="30">
        <v>9.1152659838956498E-2</v>
      </c>
      <c r="X800" s="30">
        <v>1.2106172941069921</v>
      </c>
      <c r="Y800" s="30">
        <v>1.3786082762233183</v>
      </c>
      <c r="Z800" s="30">
        <v>1.5848510949214281</v>
      </c>
      <c r="AA800" s="30">
        <v>1.1872827120650147</v>
      </c>
      <c r="AB800" s="30">
        <v>0.83986120808928266</v>
      </c>
      <c r="AC800" s="30">
        <v>1.0131000000000001</v>
      </c>
      <c r="AD800" s="90">
        <v>0</v>
      </c>
      <c r="AF800" s="945">
        <f t="shared" si="1506"/>
        <v>9.2205352569735374E-2</v>
      </c>
      <c r="AG800" s="30">
        <f t="shared" si="1507"/>
        <v>9.1152659838956498E-2</v>
      </c>
      <c r="AH800" s="32">
        <f t="shared" si="1508"/>
        <v>-1.0526927307788758E-3</v>
      </c>
      <c r="AI800" s="33">
        <f t="shared" si="1509"/>
        <v>-1.141682886557718E-2</v>
      </c>
      <c r="AK800" s="945">
        <f t="shared" si="1499"/>
        <v>1.1290806380709104</v>
      </c>
      <c r="AL800" s="30">
        <f t="shared" si="1500"/>
        <v>1.2106172941069921</v>
      </c>
      <c r="AM800" s="32">
        <f t="shared" si="1510"/>
        <v>8.1536656036081734E-2</v>
      </c>
      <c r="AN800" s="33">
        <f t="shared" si="1511"/>
        <v>7.2215086581761873E-2</v>
      </c>
      <c r="AP800" s="945">
        <f t="shared" si="1512"/>
        <v>1.3882994594462041</v>
      </c>
      <c r="AQ800" s="30">
        <f t="shared" si="1513"/>
        <v>1.3786082762233183</v>
      </c>
      <c r="AR800" s="32">
        <f t="shared" si="1514"/>
        <v>-9.6911832228858685E-3</v>
      </c>
      <c r="AS800" s="33">
        <f t="shared" si="1515"/>
        <v>-6.9806144178372756E-3</v>
      </c>
      <c r="AU800" s="946">
        <f t="shared" si="1516"/>
        <v>1.3781510715847556</v>
      </c>
      <c r="AV800" s="25">
        <f t="shared" si="1517"/>
        <v>1.5848510949214281</v>
      </c>
      <c r="AW800" s="32">
        <f t="shared" si="1518"/>
        <v>0.20670002333667248</v>
      </c>
      <c r="AX800" s="33">
        <f t="shared" si="1519"/>
        <v>0.14998357407870036</v>
      </c>
      <c r="AZ800" s="946">
        <f t="shared" si="1501"/>
        <v>0.78954457562072133</v>
      </c>
      <c r="BA800" s="25">
        <f t="shared" si="1502"/>
        <v>1.1872827120650147</v>
      </c>
      <c r="BB800" s="32">
        <f t="shared" si="1520"/>
        <v>0.39773813644429334</v>
      </c>
      <c r="BC800" s="33">
        <f t="shared" si="1521"/>
        <v>0.50375640429370439</v>
      </c>
      <c r="BE800" s="946">
        <f t="shared" si="1522"/>
        <v>0.64891691525493012</v>
      </c>
      <c r="BF800" s="25">
        <f t="shared" si="1523"/>
        <v>0.83986120808928266</v>
      </c>
      <c r="BG800" s="32">
        <f t="shared" si="1524"/>
        <v>0.19094429283435255</v>
      </c>
      <c r="BH800" s="33">
        <f t="shared" si="1525"/>
        <v>0.29425075590661581</v>
      </c>
      <c r="BJ800" s="946">
        <f t="shared" si="1503"/>
        <v>0</v>
      </c>
      <c r="BK800" s="25">
        <f t="shared" si="1504"/>
        <v>1.0131000000000001</v>
      </c>
      <c r="BL800" s="32">
        <f t="shared" si="1505"/>
        <v>1.0131000000000001</v>
      </c>
      <c r="BM800" s="33" t="e">
        <f t="shared" si="1526"/>
        <v>#DIV/0!</v>
      </c>
      <c r="BO800" s="62"/>
      <c r="BP800" s="62"/>
      <c r="BQ800" s="62"/>
      <c r="BR800" s="63"/>
    </row>
    <row r="801" spans="1:70">
      <c r="B801" s="1284"/>
      <c r="D801" s="5" t="s">
        <v>168</v>
      </c>
      <c r="E801" s="87">
        <v>2.2537669789894346</v>
      </c>
      <c r="F801" s="87">
        <v>3.8315719770241592</v>
      </c>
      <c r="G801" s="87">
        <v>4.9344506814546394</v>
      </c>
      <c r="H801" s="87">
        <v>5.4744048384056629</v>
      </c>
      <c r="I801" s="87">
        <v>5.4680080251351644</v>
      </c>
      <c r="J801" s="87">
        <v>4.0302652821616336</v>
      </c>
      <c r="K801" s="87">
        <v>0</v>
      </c>
      <c r="L801" s="87">
        <v>0</v>
      </c>
      <c r="N801" s="29">
        <v>0.97658012694390528</v>
      </c>
      <c r="O801" s="29">
        <v>2.2425876974762442</v>
      </c>
      <c r="P801" s="29">
        <v>2.1507562328803518</v>
      </c>
      <c r="Q801" s="29">
        <v>2.4686830965157864</v>
      </c>
      <c r="R801" s="29">
        <v>2.2539874654950443</v>
      </c>
      <c r="S801" s="29">
        <v>1.7340313797486462</v>
      </c>
      <c r="T801" s="29">
        <v>0</v>
      </c>
      <c r="U801" s="29">
        <v>0</v>
      </c>
      <c r="W801" s="30">
        <v>0.48227307133672276</v>
      </c>
      <c r="X801" s="30">
        <v>1.3384812595226812</v>
      </c>
      <c r="Y801" s="30">
        <v>1.789001955722429</v>
      </c>
      <c r="Z801" s="30">
        <v>1.9239756078042218</v>
      </c>
      <c r="AA801" s="30">
        <v>1.2153271207283647</v>
      </c>
      <c r="AB801" s="30">
        <v>1.7943260847325209</v>
      </c>
      <c r="AC801" s="30">
        <v>1.7047337170880601</v>
      </c>
      <c r="AD801" s="90">
        <v>0</v>
      </c>
      <c r="AF801" s="945">
        <f t="shared" si="1506"/>
        <v>0.97658012694390528</v>
      </c>
      <c r="AG801" s="30">
        <f t="shared" si="1507"/>
        <v>0.48227307133672276</v>
      </c>
      <c r="AH801" s="32">
        <f t="shared" si="1508"/>
        <v>-0.49430705560718252</v>
      </c>
      <c r="AI801" s="33">
        <f t="shared" si="1509"/>
        <v>-0.50616128873527189</v>
      </c>
      <c r="AK801" s="945">
        <f t="shared" si="1499"/>
        <v>2.2425876974762442</v>
      </c>
      <c r="AL801" s="30">
        <f t="shared" si="1500"/>
        <v>1.3384812595226812</v>
      </c>
      <c r="AM801" s="32">
        <f t="shared" si="1510"/>
        <v>-0.90410643795356305</v>
      </c>
      <c r="AN801" s="33">
        <f t="shared" si="1511"/>
        <v>-0.40315321401745996</v>
      </c>
      <c r="AP801" s="945">
        <f t="shared" si="1512"/>
        <v>2.1507562328803518</v>
      </c>
      <c r="AQ801" s="30">
        <f t="shared" si="1513"/>
        <v>1.789001955722429</v>
      </c>
      <c r="AR801" s="32">
        <f t="shared" si="1514"/>
        <v>-0.36175427715792274</v>
      </c>
      <c r="AS801" s="33">
        <f t="shared" si="1515"/>
        <v>-0.16819864177422444</v>
      </c>
      <c r="AU801" s="946">
        <f t="shared" si="1516"/>
        <v>2.4686830965157864</v>
      </c>
      <c r="AV801" s="25">
        <f t="shared" si="1517"/>
        <v>1.9239756078042218</v>
      </c>
      <c r="AW801" s="32">
        <f t="shared" si="1518"/>
        <v>-0.5447074887115646</v>
      </c>
      <c r="AX801" s="33">
        <f t="shared" si="1519"/>
        <v>-0.22064698765116747</v>
      </c>
      <c r="AZ801" s="946">
        <f t="shared" si="1501"/>
        <v>2.2539874654950443</v>
      </c>
      <c r="BA801" s="25">
        <f t="shared" si="1502"/>
        <v>1.2153271207283647</v>
      </c>
      <c r="BB801" s="32">
        <f t="shared" si="1520"/>
        <v>-1.0386603447666796</v>
      </c>
      <c r="BC801" s="33">
        <f t="shared" si="1521"/>
        <v>-0.46081016894144888</v>
      </c>
      <c r="BE801" s="946">
        <f t="shared" si="1522"/>
        <v>1.7340313797486462</v>
      </c>
      <c r="BF801" s="25">
        <f t="shared" si="1523"/>
        <v>1.7943260847325209</v>
      </c>
      <c r="BG801" s="32">
        <f t="shared" si="1524"/>
        <v>6.0294704983874681E-2</v>
      </c>
      <c r="BH801" s="33">
        <f t="shared" si="1525"/>
        <v>3.4771403613592392E-2</v>
      </c>
      <c r="BJ801" s="946">
        <f t="shared" si="1503"/>
        <v>0</v>
      </c>
      <c r="BK801" s="25">
        <f t="shared" si="1504"/>
        <v>1.7047337170880601</v>
      </c>
      <c r="BL801" s="32">
        <f t="shared" si="1505"/>
        <v>1.7047337170880601</v>
      </c>
      <c r="BM801" s="33" t="e">
        <f t="shared" si="1526"/>
        <v>#DIV/0!</v>
      </c>
      <c r="BO801" s="62"/>
      <c r="BP801" s="62"/>
      <c r="BQ801" s="62"/>
      <c r="BR801" s="63"/>
    </row>
    <row r="802" spans="1:70">
      <c r="B802" s="1284"/>
      <c r="D802" s="5" t="s">
        <v>169</v>
      </c>
      <c r="E802" s="87">
        <v>1.5439277808075733</v>
      </c>
      <c r="F802" s="87">
        <v>2.6161299021589888</v>
      </c>
      <c r="G802" s="87">
        <v>3.391306342357574</v>
      </c>
      <c r="H802" s="87">
        <v>3.7519800309549161</v>
      </c>
      <c r="I802" s="87">
        <v>3.7581662689250419</v>
      </c>
      <c r="J802" s="87">
        <v>2.7652708703269693</v>
      </c>
      <c r="K802" s="87">
        <v>0</v>
      </c>
      <c r="L802" s="87">
        <v>0</v>
      </c>
      <c r="N802" s="29">
        <v>0.56872176004904462</v>
      </c>
      <c r="O802" s="29">
        <v>1.7509199249616838</v>
      </c>
      <c r="P802" s="29">
        <v>1.845917991785021</v>
      </c>
      <c r="Q802" s="29">
        <v>2.4703719510370901</v>
      </c>
      <c r="R802" s="29">
        <v>2.3698851070195159</v>
      </c>
      <c r="S802" s="29">
        <v>1.2945069905793398</v>
      </c>
      <c r="T802" s="29">
        <v>0</v>
      </c>
      <c r="U802" s="29">
        <v>0</v>
      </c>
      <c r="W802" s="30">
        <v>1.1484068505600291</v>
      </c>
      <c r="X802" s="30">
        <v>1.6514184653725701</v>
      </c>
      <c r="Y802" s="30">
        <v>1.8238076971685449</v>
      </c>
      <c r="Z802" s="30">
        <v>2.7355003736909471</v>
      </c>
      <c r="AA802" s="30">
        <v>2.2428598949102949</v>
      </c>
      <c r="AB802" s="30">
        <v>1.4487442656108949</v>
      </c>
      <c r="AC802" s="30">
        <v>1.5001857920990849</v>
      </c>
      <c r="AD802" s="90">
        <v>0</v>
      </c>
      <c r="AF802" s="945">
        <f t="shared" si="1506"/>
        <v>0.56872176004904462</v>
      </c>
      <c r="AG802" s="30">
        <f t="shared" si="1507"/>
        <v>1.1484068505600291</v>
      </c>
      <c r="AH802" s="32">
        <f t="shared" si="1508"/>
        <v>0.57968509051098449</v>
      </c>
      <c r="AI802" s="33">
        <f t="shared" si="1509"/>
        <v>1.019277142589013</v>
      </c>
      <c r="AK802" s="945">
        <f t="shared" si="1499"/>
        <v>1.7509199249616838</v>
      </c>
      <c r="AL802" s="30">
        <f t="shared" si="1500"/>
        <v>1.6514184653725701</v>
      </c>
      <c r="AM802" s="32">
        <f t="shared" si="1510"/>
        <v>-9.9501459589113717E-2</v>
      </c>
      <c r="AN802" s="33">
        <f t="shared" si="1511"/>
        <v>-5.6828103998697227E-2</v>
      </c>
      <c r="AP802" s="945">
        <f t="shared" si="1512"/>
        <v>1.845917991785021</v>
      </c>
      <c r="AQ802" s="30">
        <f t="shared" si="1513"/>
        <v>1.8238076971685449</v>
      </c>
      <c r="AR802" s="32">
        <f t="shared" si="1514"/>
        <v>-2.2110294616476178E-2</v>
      </c>
      <c r="AS802" s="33">
        <f t="shared" si="1515"/>
        <v>-1.197793981903568E-2</v>
      </c>
      <c r="AU802" s="946">
        <f t="shared" si="1516"/>
        <v>2.4703719510370901</v>
      </c>
      <c r="AV802" s="25">
        <f t="shared" si="1517"/>
        <v>2.7355003736909471</v>
      </c>
      <c r="AW802" s="32">
        <f t="shared" si="1518"/>
        <v>0.26512842265385705</v>
      </c>
      <c r="AX802" s="33">
        <f t="shared" si="1519"/>
        <v>0.10732328082925049</v>
      </c>
      <c r="AZ802" s="946">
        <f t="shared" si="1501"/>
        <v>2.3698851070195159</v>
      </c>
      <c r="BA802" s="25">
        <f t="shared" si="1502"/>
        <v>2.2428598949102949</v>
      </c>
      <c r="BB802" s="32">
        <f t="shared" si="1520"/>
        <v>-0.12702521210922102</v>
      </c>
      <c r="BC802" s="33">
        <f t="shared" si="1521"/>
        <v>-5.3599734321709031E-2</v>
      </c>
      <c r="BE802" s="946">
        <f t="shared" si="1522"/>
        <v>1.2945069905793398</v>
      </c>
      <c r="BF802" s="25">
        <f t="shared" si="1523"/>
        <v>1.4487442656108949</v>
      </c>
      <c r="BG802" s="32">
        <f t="shared" si="1524"/>
        <v>0.15423727503155504</v>
      </c>
      <c r="BH802" s="33">
        <f t="shared" si="1525"/>
        <v>0.11914750260446887</v>
      </c>
      <c r="BJ802" s="946">
        <f t="shared" si="1503"/>
        <v>0</v>
      </c>
      <c r="BK802" s="25">
        <f t="shared" si="1504"/>
        <v>1.5001857920990849</v>
      </c>
      <c r="BL802" s="32">
        <f t="shared" si="1505"/>
        <v>1.5001857920990849</v>
      </c>
      <c r="BM802" s="33" t="e">
        <f t="shared" si="1526"/>
        <v>#DIV/0!</v>
      </c>
      <c r="BO802" s="62"/>
      <c r="BP802" s="62"/>
      <c r="BQ802" s="62"/>
      <c r="BR802" s="63"/>
    </row>
    <row r="803" spans="1:70">
      <c r="B803" s="1284"/>
      <c r="D803" s="5" t="s">
        <v>170</v>
      </c>
      <c r="E803" s="87">
        <v>2.5172569091779708</v>
      </c>
      <c r="F803" s="87">
        <v>4.5735397265148547</v>
      </c>
      <c r="G803" s="87">
        <v>5.8418905547088134</v>
      </c>
      <c r="H803" s="87">
        <v>6.3778395083678445</v>
      </c>
      <c r="I803" s="87">
        <v>6.2480964245151318</v>
      </c>
      <c r="J803" s="87">
        <v>4.3907989562278971</v>
      </c>
      <c r="K803" s="87">
        <v>0</v>
      </c>
      <c r="L803" s="87">
        <v>0</v>
      </c>
      <c r="N803" s="29">
        <v>2.3852208725860837</v>
      </c>
      <c r="O803" s="29">
        <v>5.3118798569531016</v>
      </c>
      <c r="P803" s="29">
        <v>5.712378735056709</v>
      </c>
      <c r="Q803" s="29">
        <v>7.8306003555737203</v>
      </c>
      <c r="R803" s="29">
        <v>6.4480732686216422</v>
      </c>
      <c r="S803" s="29">
        <v>3.509841561254726</v>
      </c>
      <c r="T803" s="29">
        <v>0</v>
      </c>
      <c r="U803" s="29">
        <v>0</v>
      </c>
      <c r="W803" s="30">
        <v>1.8908291213325212</v>
      </c>
      <c r="X803" s="30">
        <v>4.9376518682995503</v>
      </c>
      <c r="Y803" s="30">
        <v>4.700566057875915</v>
      </c>
      <c r="Z803" s="30">
        <v>6.9185208603292798</v>
      </c>
      <c r="AA803" s="30">
        <v>5.2762639358844323</v>
      </c>
      <c r="AB803" s="30">
        <v>2.9726356050622225</v>
      </c>
      <c r="AC803" s="30">
        <v>3.6644547245631269</v>
      </c>
      <c r="AD803" s="90">
        <v>0</v>
      </c>
      <c r="AF803" s="945">
        <f t="shared" si="1506"/>
        <v>2.3852208725860837</v>
      </c>
      <c r="AG803" s="30">
        <f t="shared" si="1507"/>
        <v>1.8908291213325212</v>
      </c>
      <c r="AH803" s="32">
        <f t="shared" si="1508"/>
        <v>-0.49439175125356249</v>
      </c>
      <c r="AI803" s="33">
        <f t="shared" si="1509"/>
        <v>-0.20727294353983131</v>
      </c>
      <c r="AK803" s="945">
        <f t="shared" si="1499"/>
        <v>5.3118798569531016</v>
      </c>
      <c r="AL803" s="30">
        <f t="shared" si="1500"/>
        <v>4.9376518682995503</v>
      </c>
      <c r="AM803" s="32">
        <f t="shared" si="1510"/>
        <v>-0.37422798865355134</v>
      </c>
      <c r="AN803" s="33">
        <f t="shared" si="1511"/>
        <v>-7.0451139470652263E-2</v>
      </c>
      <c r="AP803" s="945">
        <f t="shared" si="1512"/>
        <v>5.712378735056709</v>
      </c>
      <c r="AQ803" s="30">
        <f t="shared" si="1513"/>
        <v>4.700566057875915</v>
      </c>
      <c r="AR803" s="32">
        <f t="shared" si="1514"/>
        <v>-1.011812677180794</v>
      </c>
      <c r="AS803" s="33">
        <f t="shared" si="1515"/>
        <v>-0.17712632934705955</v>
      </c>
      <c r="AU803" s="946">
        <f t="shared" si="1516"/>
        <v>7.8306003555737203</v>
      </c>
      <c r="AV803" s="25">
        <f t="shared" si="1517"/>
        <v>6.9185208603292798</v>
      </c>
      <c r="AW803" s="32">
        <f t="shared" si="1518"/>
        <v>-0.91207949524444043</v>
      </c>
      <c r="AX803" s="33">
        <f t="shared" si="1519"/>
        <v>-0.11647631775707133</v>
      </c>
      <c r="AZ803" s="946">
        <f t="shared" si="1501"/>
        <v>6.4480732686216422</v>
      </c>
      <c r="BA803" s="25">
        <f t="shared" si="1502"/>
        <v>5.2762639358844323</v>
      </c>
      <c r="BB803" s="32">
        <f t="shared" si="1520"/>
        <v>-1.1718093327372099</v>
      </c>
      <c r="BC803" s="33">
        <f t="shared" si="1521"/>
        <v>-0.1817301516159259</v>
      </c>
      <c r="BE803" s="946">
        <f t="shared" si="1522"/>
        <v>3.509841561254726</v>
      </c>
      <c r="BF803" s="25">
        <f t="shared" si="1523"/>
        <v>2.9726356050622225</v>
      </c>
      <c r="BG803" s="32">
        <f t="shared" si="1524"/>
        <v>-0.53720595619250355</v>
      </c>
      <c r="BH803" s="33">
        <f t="shared" si="1525"/>
        <v>-0.15305703884834587</v>
      </c>
      <c r="BJ803" s="946">
        <f t="shared" si="1503"/>
        <v>0</v>
      </c>
      <c r="BK803" s="25">
        <f t="shared" si="1504"/>
        <v>3.6644547245631269</v>
      </c>
      <c r="BL803" s="32">
        <f t="shared" si="1505"/>
        <v>3.6644547245631269</v>
      </c>
      <c r="BM803" s="33" t="e">
        <f t="shared" si="1526"/>
        <v>#DIV/0!</v>
      </c>
      <c r="BO803" s="62"/>
      <c r="BP803" s="62"/>
      <c r="BQ803" s="62"/>
      <c r="BR803" s="63"/>
    </row>
    <row r="804" spans="1:70">
      <c r="B804" s="1284"/>
      <c r="D804" s="5" t="s">
        <v>171</v>
      </c>
      <c r="E804" s="87">
        <v>0.9598004804482535</v>
      </c>
      <c r="F804" s="87">
        <v>1.6994530176922615</v>
      </c>
      <c r="G804" s="87">
        <v>2.1272406344597852</v>
      </c>
      <c r="H804" s="87">
        <v>2.606828394868431</v>
      </c>
      <c r="I804" s="87">
        <v>2.5087056018989999</v>
      </c>
      <c r="J804" s="87">
        <v>1.4890324389504783</v>
      </c>
      <c r="K804" s="87">
        <v>0</v>
      </c>
      <c r="L804" s="87">
        <v>0</v>
      </c>
      <c r="N804" s="29">
        <v>0.71410313893940947</v>
      </c>
      <c r="O804" s="29">
        <v>5.2741369892300964</v>
      </c>
      <c r="P804" s="29">
        <v>7.8587169855522641</v>
      </c>
      <c r="Q804" s="29">
        <v>3.9992164085419435</v>
      </c>
      <c r="R804" s="29">
        <v>2.4762740397670382</v>
      </c>
      <c r="S804" s="29">
        <v>1.296053411586799</v>
      </c>
      <c r="T804" s="29">
        <v>0</v>
      </c>
      <c r="U804" s="29">
        <v>0</v>
      </c>
      <c r="W804" s="30">
        <v>0.44906954474159222</v>
      </c>
      <c r="X804" s="30">
        <v>1.9052252376540475</v>
      </c>
      <c r="Y804" s="30">
        <v>3.6234886894892431</v>
      </c>
      <c r="Z804" s="30">
        <v>2.99911669531354</v>
      </c>
      <c r="AA804" s="30">
        <v>1.7286362972990166</v>
      </c>
      <c r="AB804" s="30">
        <v>1.0149804229237638</v>
      </c>
      <c r="AC804" s="30">
        <v>1.4904539856771848</v>
      </c>
      <c r="AD804" s="90">
        <v>0</v>
      </c>
      <c r="AF804" s="945">
        <f t="shared" si="1506"/>
        <v>0.71410313893940947</v>
      </c>
      <c r="AG804" s="30">
        <f t="shared" si="1507"/>
        <v>0.44906954474159222</v>
      </c>
      <c r="AH804" s="32">
        <f t="shared" si="1508"/>
        <v>-0.26503359419781725</v>
      </c>
      <c r="AI804" s="33">
        <f t="shared" si="1509"/>
        <v>-0.37114189778166612</v>
      </c>
      <c r="AK804" s="945">
        <f t="shared" si="1499"/>
        <v>5.2741369892300964</v>
      </c>
      <c r="AL804" s="30">
        <f t="shared" si="1500"/>
        <v>1.9052252376540475</v>
      </c>
      <c r="AM804" s="32">
        <f t="shared" si="1510"/>
        <v>-3.3689117515760492</v>
      </c>
      <c r="AN804" s="33">
        <f t="shared" si="1511"/>
        <v>-0.63876075999835447</v>
      </c>
      <c r="AP804" s="945">
        <f t="shared" si="1512"/>
        <v>7.8587169855522641</v>
      </c>
      <c r="AQ804" s="30">
        <f t="shared" si="1513"/>
        <v>3.6234886894892431</v>
      </c>
      <c r="AR804" s="32">
        <f t="shared" si="1514"/>
        <v>-4.2352282960630205</v>
      </c>
      <c r="AS804" s="33">
        <f t="shared" si="1515"/>
        <v>-0.53892108646350412</v>
      </c>
      <c r="AU804" s="946">
        <f t="shared" si="1516"/>
        <v>3.9992164085419435</v>
      </c>
      <c r="AV804" s="25">
        <f t="shared" si="1517"/>
        <v>2.99911669531354</v>
      </c>
      <c r="AW804" s="32">
        <f t="shared" si="1518"/>
        <v>-1.0000997132284035</v>
      </c>
      <c r="AX804" s="33">
        <f t="shared" si="1519"/>
        <v>-0.25007391725346151</v>
      </c>
      <c r="AZ804" s="946">
        <f t="shared" si="1501"/>
        <v>2.4762740397670382</v>
      </c>
      <c r="BA804" s="25">
        <f t="shared" si="1502"/>
        <v>1.7286362972990166</v>
      </c>
      <c r="BB804" s="32">
        <f t="shared" si="1520"/>
        <v>-0.74763774246802162</v>
      </c>
      <c r="BC804" s="33">
        <f t="shared" si="1521"/>
        <v>-0.30192043790854323</v>
      </c>
      <c r="BE804" s="946">
        <f t="shared" si="1522"/>
        <v>1.296053411586799</v>
      </c>
      <c r="BF804" s="25">
        <f t="shared" si="1523"/>
        <v>1.0149804229237638</v>
      </c>
      <c r="BG804" s="32">
        <f t="shared" si="1524"/>
        <v>-0.28107298866303521</v>
      </c>
      <c r="BH804" s="33">
        <f t="shared" si="1525"/>
        <v>-0.21686836834826792</v>
      </c>
      <c r="BJ804" s="946">
        <f t="shared" si="1503"/>
        <v>0</v>
      </c>
      <c r="BK804" s="25">
        <f t="shared" si="1504"/>
        <v>1.4904539856771848</v>
      </c>
      <c r="BL804" s="32">
        <f t="shared" si="1505"/>
        <v>1.4904539856771848</v>
      </c>
      <c r="BM804" s="33" t="e">
        <f t="shared" si="1526"/>
        <v>#DIV/0!</v>
      </c>
      <c r="BO804" s="62"/>
      <c r="BP804" s="62"/>
      <c r="BQ804" s="62"/>
      <c r="BR804" s="63"/>
    </row>
    <row r="805" spans="1:70">
      <c r="B805" s="1284"/>
      <c r="D805" s="5" t="s">
        <v>172</v>
      </c>
      <c r="E805" s="87">
        <v>0.93592320306779941</v>
      </c>
      <c r="F805" s="87">
        <v>1.7100577935661323</v>
      </c>
      <c r="G805" s="87">
        <v>2.1632504296061428</v>
      </c>
      <c r="H805" s="87">
        <v>2.5855325246443339</v>
      </c>
      <c r="I805" s="87">
        <v>2.4890697048090993</v>
      </c>
      <c r="J805" s="87">
        <v>1.4958836764704764</v>
      </c>
      <c r="K805" s="87">
        <v>0</v>
      </c>
      <c r="L805" s="87">
        <v>0</v>
      </c>
      <c r="N805" s="29">
        <v>0.54585736589353229</v>
      </c>
      <c r="O805" s="29">
        <v>2.9295560820386233</v>
      </c>
      <c r="P805" s="29">
        <v>3.2184950804127928</v>
      </c>
      <c r="Q805" s="29">
        <v>2.8354570250332074</v>
      </c>
      <c r="R805" s="29">
        <v>2.0817611844283235</v>
      </c>
      <c r="S805" s="29">
        <v>1.3550768423418822</v>
      </c>
      <c r="T805" s="29">
        <v>0</v>
      </c>
      <c r="U805" s="29">
        <v>0</v>
      </c>
      <c r="W805" s="30">
        <v>0.39406916295263461</v>
      </c>
      <c r="X805" s="30">
        <v>1.4773526092830254</v>
      </c>
      <c r="Y805" s="30">
        <v>3.408375570194631</v>
      </c>
      <c r="Z805" s="30">
        <v>2.5150048598793857</v>
      </c>
      <c r="AA805" s="30">
        <v>1.9377369547918863</v>
      </c>
      <c r="AB805" s="30">
        <v>1.0166660818212201</v>
      </c>
      <c r="AC805" s="30">
        <v>1.3198092939787041</v>
      </c>
      <c r="AD805" s="90">
        <v>0</v>
      </c>
      <c r="AF805" s="945">
        <f t="shared" si="1506"/>
        <v>0.54585736589353229</v>
      </c>
      <c r="AG805" s="30">
        <f t="shared" si="1507"/>
        <v>0.39406916295263461</v>
      </c>
      <c r="AH805" s="32">
        <f t="shared" si="1508"/>
        <v>-0.15178820294089768</v>
      </c>
      <c r="AI805" s="33">
        <f t="shared" si="1509"/>
        <v>-0.27807301398677742</v>
      </c>
      <c r="AK805" s="945">
        <f t="shared" si="1499"/>
        <v>2.9295560820386233</v>
      </c>
      <c r="AL805" s="30">
        <f t="shared" si="1500"/>
        <v>1.4773526092830254</v>
      </c>
      <c r="AM805" s="32">
        <f t="shared" si="1510"/>
        <v>-1.4522034727555979</v>
      </c>
      <c r="AN805" s="33">
        <f t="shared" si="1511"/>
        <v>-0.49570768815766675</v>
      </c>
      <c r="AP805" s="945">
        <f t="shared" si="1512"/>
        <v>3.2184950804127928</v>
      </c>
      <c r="AQ805" s="30">
        <f t="shared" si="1513"/>
        <v>3.408375570194631</v>
      </c>
      <c r="AR805" s="32">
        <f t="shared" si="1514"/>
        <v>0.18988048978183825</v>
      </c>
      <c r="AS805" s="33">
        <f t="shared" si="1515"/>
        <v>5.8996669262419643E-2</v>
      </c>
      <c r="AU805" s="946">
        <f t="shared" si="1516"/>
        <v>2.8354570250332074</v>
      </c>
      <c r="AV805" s="25">
        <f t="shared" si="1517"/>
        <v>2.5150048598793857</v>
      </c>
      <c r="AW805" s="32">
        <f t="shared" si="1518"/>
        <v>-0.32045216515382169</v>
      </c>
      <c r="AX805" s="33">
        <f t="shared" si="1519"/>
        <v>-0.11301605431670005</v>
      </c>
      <c r="AZ805" s="946">
        <f t="shared" si="1501"/>
        <v>2.0817611844283235</v>
      </c>
      <c r="BA805" s="25">
        <f t="shared" si="1502"/>
        <v>1.9377369547918863</v>
      </c>
      <c r="BB805" s="32">
        <f t="shared" si="1520"/>
        <v>-0.14402422963643713</v>
      </c>
      <c r="BC805" s="33">
        <f t="shared" si="1521"/>
        <v>-6.9183838527562852E-2</v>
      </c>
      <c r="BE805" s="946">
        <f t="shared" si="1522"/>
        <v>1.3550768423418822</v>
      </c>
      <c r="BF805" s="25">
        <f t="shared" si="1523"/>
        <v>1.0166660818212201</v>
      </c>
      <c r="BG805" s="32">
        <f t="shared" si="1524"/>
        <v>-0.3384107605206621</v>
      </c>
      <c r="BH805" s="33">
        <f t="shared" si="1525"/>
        <v>-0.24973547620798467</v>
      </c>
      <c r="BJ805" s="946">
        <f t="shared" si="1503"/>
        <v>0</v>
      </c>
      <c r="BK805" s="25">
        <f t="shared" si="1504"/>
        <v>1.3198092939787041</v>
      </c>
      <c r="BL805" s="32">
        <f t="shared" si="1505"/>
        <v>1.3198092939787041</v>
      </c>
      <c r="BM805" s="33" t="e">
        <f t="shared" si="1526"/>
        <v>#DIV/0!</v>
      </c>
      <c r="BO805" s="62"/>
      <c r="BP805" s="62"/>
      <c r="BQ805" s="62"/>
      <c r="BR805" s="63"/>
    </row>
    <row r="806" spans="1:70">
      <c r="B806" s="1284"/>
      <c r="D806" s="5" t="s">
        <v>28</v>
      </c>
      <c r="E806" s="87">
        <v>0.79968246036649981</v>
      </c>
      <c r="F806" s="87">
        <v>1.4080766117279018</v>
      </c>
      <c r="G806" s="87">
        <v>1.9573289043320845</v>
      </c>
      <c r="H806" s="87">
        <v>2.3618371881766125</v>
      </c>
      <c r="I806" s="87">
        <v>2.352729118181458</v>
      </c>
      <c r="J806" s="87">
        <v>1.5947633086847604</v>
      </c>
      <c r="K806" s="87">
        <v>0</v>
      </c>
      <c r="L806" s="87">
        <v>0</v>
      </c>
      <c r="N806" s="29">
        <v>0.13898585977316849</v>
      </c>
      <c r="O806" s="29">
        <v>0.37224362979462555</v>
      </c>
      <c r="P806" s="29">
        <v>0.49520699098804538</v>
      </c>
      <c r="Q806" s="29">
        <v>0.55519820660059271</v>
      </c>
      <c r="R806" s="29">
        <v>0.37112578105650351</v>
      </c>
      <c r="S806" s="29">
        <v>0.15687143958312047</v>
      </c>
      <c r="T806" s="29">
        <v>0</v>
      </c>
      <c r="U806" s="29">
        <v>0</v>
      </c>
      <c r="W806" s="30">
        <v>0.14512462948044391</v>
      </c>
      <c r="X806" s="30">
        <v>0.18771585090427403</v>
      </c>
      <c r="Y806" s="30">
        <v>0.45048119370844064</v>
      </c>
      <c r="Z806" s="30">
        <v>0.40385547513609743</v>
      </c>
      <c r="AA806" s="30">
        <v>0.35516664584035718</v>
      </c>
      <c r="AB806" s="30">
        <v>7.2104221389074935E-2</v>
      </c>
      <c r="AC806" s="30">
        <v>0.18384959999999997</v>
      </c>
      <c r="AD806" s="90">
        <v>0</v>
      </c>
      <c r="AF806" s="945">
        <f t="shared" si="1506"/>
        <v>0.13898585977316849</v>
      </c>
      <c r="AG806" s="30">
        <f t="shared" si="1507"/>
        <v>0.14512462948044391</v>
      </c>
      <c r="AH806" s="32">
        <f t="shared" si="1508"/>
        <v>6.138769707275421E-3</v>
      </c>
      <c r="AI806" s="33">
        <f t="shared" si="1509"/>
        <v>4.4168304008006171E-2</v>
      </c>
      <c r="AK806" s="945">
        <f t="shared" si="1499"/>
        <v>0.37224362979462555</v>
      </c>
      <c r="AL806" s="30">
        <f t="shared" si="1500"/>
        <v>0.18771585090427403</v>
      </c>
      <c r="AM806" s="32">
        <f t="shared" si="1510"/>
        <v>-0.18452777889035152</v>
      </c>
      <c r="AN806" s="33">
        <f t="shared" si="1511"/>
        <v>-0.49571776148905294</v>
      </c>
      <c r="AP806" s="945">
        <f t="shared" si="1512"/>
        <v>0.49520699098804538</v>
      </c>
      <c r="AQ806" s="30">
        <f t="shared" si="1513"/>
        <v>0.45048119370844064</v>
      </c>
      <c r="AR806" s="32">
        <f t="shared" si="1514"/>
        <v>-4.472579727960474E-2</v>
      </c>
      <c r="AS806" s="33">
        <f t="shared" si="1515"/>
        <v>-9.0317378578131685E-2</v>
      </c>
      <c r="AU806" s="946">
        <f t="shared" si="1516"/>
        <v>0.55519820660059271</v>
      </c>
      <c r="AV806" s="25">
        <f t="shared" si="1517"/>
        <v>0.40385547513609743</v>
      </c>
      <c r="AW806" s="32">
        <f t="shared" si="1518"/>
        <v>-0.15134273146449528</v>
      </c>
      <c r="AX806" s="33">
        <f t="shared" si="1519"/>
        <v>-0.27259225563992251</v>
      </c>
      <c r="AZ806" s="946">
        <f t="shared" si="1501"/>
        <v>0.37112578105650351</v>
      </c>
      <c r="BA806" s="25">
        <f t="shared" si="1502"/>
        <v>0.35516664584035718</v>
      </c>
      <c r="BB806" s="32">
        <f t="shared" si="1520"/>
        <v>-1.5959135216146336E-2</v>
      </c>
      <c r="BC806" s="33">
        <f t="shared" si="1521"/>
        <v>-4.3001957909565368E-2</v>
      </c>
      <c r="BE806" s="946">
        <f t="shared" si="1522"/>
        <v>0.15687143958312047</v>
      </c>
      <c r="BF806" s="25">
        <f t="shared" si="1523"/>
        <v>7.2104221389074935E-2</v>
      </c>
      <c r="BG806" s="32">
        <f t="shared" si="1524"/>
        <v>-8.4767218194045535E-2</v>
      </c>
      <c r="BH806" s="33">
        <f t="shared" si="1525"/>
        <v>-0.54036106520926308</v>
      </c>
      <c r="BJ806" s="946">
        <f t="shared" si="1503"/>
        <v>0</v>
      </c>
      <c r="BK806" s="25">
        <f t="shared" si="1504"/>
        <v>0.18384959999999997</v>
      </c>
      <c r="BL806" s="32">
        <f t="shared" si="1505"/>
        <v>0.18384959999999997</v>
      </c>
      <c r="BM806" s="33" t="e">
        <f t="shared" si="1526"/>
        <v>#DIV/0!</v>
      </c>
      <c r="BO806" s="62"/>
      <c r="BP806" s="62"/>
      <c r="BQ806" s="62"/>
      <c r="BR806" s="63"/>
    </row>
    <row r="807" spans="1:70">
      <c r="B807" s="1284"/>
      <c r="D807" s="5" t="s">
        <v>173</v>
      </c>
      <c r="E807" s="87">
        <v>3.2340733614887389</v>
      </c>
      <c r="F807" s="87">
        <v>6.1843041722623893</v>
      </c>
      <c r="G807" s="87">
        <v>8.7675033954501238</v>
      </c>
      <c r="H807" s="87">
        <v>9.7638200625329805</v>
      </c>
      <c r="I807" s="87">
        <v>9.2574693569846342</v>
      </c>
      <c r="J807" s="87">
        <v>6.5035044985767714</v>
      </c>
      <c r="K807" s="87">
        <v>0</v>
      </c>
      <c r="L807" s="87">
        <v>0</v>
      </c>
      <c r="N807" s="29">
        <v>0.87063757065495062</v>
      </c>
      <c r="O807" s="29">
        <v>1.7959340022478798</v>
      </c>
      <c r="P807" s="29">
        <v>2.4658954691733932</v>
      </c>
      <c r="Q807" s="29">
        <v>2.8656859948911824</v>
      </c>
      <c r="R807" s="29">
        <v>2.6712566181260855</v>
      </c>
      <c r="S807" s="29">
        <v>1.3430462973331971</v>
      </c>
      <c r="T807" s="29">
        <v>0</v>
      </c>
      <c r="U807" s="29">
        <v>0</v>
      </c>
      <c r="W807" s="30">
        <v>0.84316210351034782</v>
      </c>
      <c r="X807" s="30">
        <v>1.7587079883452392</v>
      </c>
      <c r="Y807" s="30">
        <v>2.2433510701762041</v>
      </c>
      <c r="Z807" s="30">
        <v>2.1735639924904202</v>
      </c>
      <c r="AA807" s="30">
        <v>3.2168825828521488</v>
      </c>
      <c r="AB807" s="30">
        <v>1.6452819081750167</v>
      </c>
      <c r="AC807" s="30">
        <v>1.5150632099999999</v>
      </c>
      <c r="AD807" s="90">
        <v>0</v>
      </c>
      <c r="AF807" s="945">
        <f t="shared" si="1506"/>
        <v>0.87063757065495062</v>
      </c>
      <c r="AG807" s="30">
        <f t="shared" si="1507"/>
        <v>0.84316210351034782</v>
      </c>
      <c r="AH807" s="32">
        <f t="shared" si="1508"/>
        <v>-2.7475467144602805E-2</v>
      </c>
      <c r="AI807" s="33">
        <f t="shared" si="1509"/>
        <v>-3.1557869853851998E-2</v>
      </c>
      <c r="AK807" s="945">
        <f t="shared" si="1499"/>
        <v>1.7959340022478798</v>
      </c>
      <c r="AL807" s="30">
        <f t="shared" si="1500"/>
        <v>1.7587079883452392</v>
      </c>
      <c r="AM807" s="32">
        <f t="shared" si="1510"/>
        <v>-3.7226013902640576E-2</v>
      </c>
      <c r="AN807" s="33">
        <f t="shared" si="1511"/>
        <v>-2.0727940924358389E-2</v>
      </c>
      <c r="AP807" s="945">
        <f t="shared" si="1512"/>
        <v>2.4658954691733932</v>
      </c>
      <c r="AQ807" s="30">
        <f t="shared" si="1513"/>
        <v>2.2433510701762041</v>
      </c>
      <c r="AR807" s="32">
        <f t="shared" si="1514"/>
        <v>-0.22254439899718914</v>
      </c>
      <c r="AS807" s="33">
        <f t="shared" si="1515"/>
        <v>-9.0248918406825057E-2</v>
      </c>
      <c r="AU807" s="946">
        <f t="shared" si="1516"/>
        <v>2.8656859948911824</v>
      </c>
      <c r="AV807" s="25">
        <f t="shared" si="1517"/>
        <v>2.1735639924904202</v>
      </c>
      <c r="AW807" s="32">
        <f t="shared" si="1518"/>
        <v>-0.69212200240076216</v>
      </c>
      <c r="AX807" s="33">
        <f t="shared" si="1519"/>
        <v>-0.241520530733181</v>
      </c>
      <c r="AZ807" s="946">
        <f t="shared" si="1501"/>
        <v>2.6712566181260855</v>
      </c>
      <c r="BA807" s="25">
        <f t="shared" si="1502"/>
        <v>3.2168825828521488</v>
      </c>
      <c r="BB807" s="32">
        <f t="shared" si="1520"/>
        <v>0.54562596472606328</v>
      </c>
      <c r="BC807" s="33">
        <f t="shared" si="1521"/>
        <v>0.20425816113048159</v>
      </c>
      <c r="BE807" s="946">
        <f t="shared" si="1522"/>
        <v>1.3430462973331971</v>
      </c>
      <c r="BF807" s="25">
        <f t="shared" si="1523"/>
        <v>1.6452819081750167</v>
      </c>
      <c r="BG807" s="32">
        <f t="shared" si="1524"/>
        <v>0.3022356108418196</v>
      </c>
      <c r="BH807" s="33">
        <f t="shared" si="1525"/>
        <v>0.22503737320295653</v>
      </c>
      <c r="BJ807" s="946">
        <f t="shared" si="1503"/>
        <v>0</v>
      </c>
      <c r="BK807" s="25">
        <f t="shared" si="1504"/>
        <v>1.5150632099999999</v>
      </c>
      <c r="BL807" s="32">
        <f t="shared" si="1505"/>
        <v>1.5150632099999999</v>
      </c>
      <c r="BM807" s="33" t="e">
        <f t="shared" si="1526"/>
        <v>#DIV/0!</v>
      </c>
      <c r="BO807" s="62"/>
      <c r="BP807" s="62"/>
      <c r="BQ807" s="62"/>
      <c r="BR807" s="63"/>
    </row>
    <row r="808" spans="1:70">
      <c r="A808" s="1"/>
      <c r="B808" s="1284"/>
      <c r="D808" s="4" t="s">
        <v>174</v>
      </c>
      <c r="E808" s="88">
        <f>SUM(E794:E807)</f>
        <v>20.778144545511505</v>
      </c>
      <c r="F808" s="88">
        <f t="shared" ref="F808:L808" si="1527">SUM(F794:F807)</f>
        <v>35.957178042798049</v>
      </c>
      <c r="G808" s="88">
        <f t="shared" si="1527"/>
        <v>48.410646275468281</v>
      </c>
      <c r="H808" s="88">
        <f t="shared" si="1527"/>
        <v>54.010031068291468</v>
      </c>
      <c r="I808" s="88">
        <f t="shared" si="1527"/>
        <v>52.563256192691732</v>
      </c>
      <c r="J808" s="88">
        <f t="shared" si="1527"/>
        <v>34.534547354466497</v>
      </c>
      <c r="K808" s="88">
        <f t="shared" si="1527"/>
        <v>0</v>
      </c>
      <c r="L808" s="88">
        <f t="shared" si="1527"/>
        <v>0</v>
      </c>
      <c r="M808" s="1"/>
      <c r="N808" s="81">
        <f t="shared" ref="N808:U808" si="1528">SUM(N794:N807)</f>
        <v>9.3910040102176353</v>
      </c>
      <c r="O808" s="81">
        <f t="shared" si="1528"/>
        <v>33.510416308052214</v>
      </c>
      <c r="P808" s="81">
        <f t="shared" si="1528"/>
        <v>44.415235924879951</v>
      </c>
      <c r="Q808" s="81">
        <f t="shared" si="1528"/>
        <v>46.500673674384387</v>
      </c>
      <c r="R808" s="81">
        <f t="shared" si="1528"/>
        <v>36.968359085971194</v>
      </c>
      <c r="S808" s="81">
        <f t="shared" si="1528"/>
        <v>24.597021547767451</v>
      </c>
      <c r="T808" s="81">
        <f t="shared" si="1528"/>
        <v>0</v>
      </c>
      <c r="U808" s="81">
        <f t="shared" si="1528"/>
        <v>0</v>
      </c>
      <c r="V808" s="1"/>
      <c r="W808" s="85">
        <f>SUM(W794:W807)</f>
        <v>7.7430688565830117</v>
      </c>
      <c r="X808" s="85">
        <f t="shared" ref="X808:AD808" si="1529">SUM(X794:X807)</f>
        <v>26.284393081071787</v>
      </c>
      <c r="Y808" s="85">
        <f t="shared" si="1529"/>
        <v>35.726699759478656</v>
      </c>
      <c r="Z808" s="85">
        <f>SUM(Z794:Z807)</f>
        <v>44.479770095859863</v>
      </c>
      <c r="AA808" s="85">
        <f>SUM(AA794:AA807)</f>
        <v>35.390062686431591</v>
      </c>
      <c r="AB808" s="85">
        <f t="shared" si="1529"/>
        <v>23.532388729844641</v>
      </c>
      <c r="AC808" s="85">
        <f t="shared" ref="AC808" si="1530">SUM(AC794:AC807)</f>
        <v>28.760015701811952</v>
      </c>
      <c r="AD808" s="91">
        <f t="shared" si="1529"/>
        <v>0</v>
      </c>
      <c r="AE808" s="1"/>
      <c r="AF808" s="947">
        <f t="shared" si="1506"/>
        <v>9.3910040102176353</v>
      </c>
      <c r="AG808" s="85">
        <f t="shared" si="1507"/>
        <v>7.7430688565830117</v>
      </c>
      <c r="AH808" s="34">
        <f t="shared" si="1508"/>
        <v>-1.6479351536346236</v>
      </c>
      <c r="AI808" s="35">
        <f t="shared" si="1509"/>
        <v>-0.17548018846990493</v>
      </c>
      <c r="AK808" s="947">
        <f t="shared" si="1499"/>
        <v>33.510416308052214</v>
      </c>
      <c r="AL808" s="85">
        <f t="shared" si="1500"/>
        <v>26.284393081071787</v>
      </c>
      <c r="AM808" s="34">
        <f t="shared" si="1510"/>
        <v>-7.226023226980427</v>
      </c>
      <c r="AN808" s="35">
        <f t="shared" si="1511"/>
        <v>-0.21563513746154467</v>
      </c>
      <c r="AP808" s="947">
        <f t="shared" si="1512"/>
        <v>44.415235924879951</v>
      </c>
      <c r="AQ808" s="85">
        <f t="shared" si="1513"/>
        <v>35.726699759478656</v>
      </c>
      <c r="AR808" s="34">
        <f t="shared" si="1514"/>
        <v>-8.6885361654012954</v>
      </c>
      <c r="AS808" s="35">
        <f t="shared" si="1515"/>
        <v>-0.19562062397003421</v>
      </c>
      <c r="AU808" s="950">
        <f t="shared" si="1516"/>
        <v>46.500673674384387</v>
      </c>
      <c r="AV808" s="843">
        <f t="shared" si="1517"/>
        <v>44.479770095859863</v>
      </c>
      <c r="AW808" s="34">
        <f t="shared" si="1518"/>
        <v>-2.0209035785245248</v>
      </c>
      <c r="AX808" s="35">
        <f t="shared" si="1519"/>
        <v>-4.3459662384155322E-2</v>
      </c>
      <c r="AZ808" s="950">
        <f t="shared" si="1501"/>
        <v>36.968359085971194</v>
      </c>
      <c r="BA808" s="843">
        <f t="shared" si="1502"/>
        <v>35.390062686431591</v>
      </c>
      <c r="BB808" s="34">
        <f t="shared" si="1520"/>
        <v>-1.5782963995396031</v>
      </c>
      <c r="BC808" s="35">
        <f t="shared" si="1521"/>
        <v>-4.26931689304689E-2</v>
      </c>
      <c r="BE808" s="946">
        <f t="shared" si="1522"/>
        <v>24.597021547767451</v>
      </c>
      <c r="BF808" s="25">
        <f t="shared" si="1523"/>
        <v>23.532388729844641</v>
      </c>
      <c r="BG808" s="32">
        <f t="shared" si="1524"/>
        <v>-1.0646328179228099</v>
      </c>
      <c r="BH808" s="33">
        <f t="shared" si="1525"/>
        <v>-4.3282997327757408E-2</v>
      </c>
      <c r="BJ808" s="946">
        <f t="shared" si="1503"/>
        <v>0</v>
      </c>
      <c r="BK808" s="25">
        <f t="shared" si="1504"/>
        <v>28.760015701811952</v>
      </c>
      <c r="BL808" s="32">
        <f t="shared" si="1505"/>
        <v>28.760015701811952</v>
      </c>
      <c r="BM808" s="33" t="e">
        <f t="shared" si="1526"/>
        <v>#DIV/0!</v>
      </c>
      <c r="BO808" s="62"/>
      <c r="BP808" s="62"/>
      <c r="BQ808" s="62"/>
      <c r="BR808" s="63"/>
    </row>
    <row r="809" spans="1:70">
      <c r="A809" s="1"/>
      <c r="B809" s="1284"/>
      <c r="D809" s="4" t="s">
        <v>724</v>
      </c>
      <c r="E809" s="88">
        <f>E808-SUM(E797:E800)</f>
        <v>17.435927619113826</v>
      </c>
      <c r="F809" s="88">
        <f>F808-SUM(F797:F800)</f>
        <v>30.130022720145789</v>
      </c>
      <c r="G809" s="88">
        <f t="shared" ref="G809:L809" si="1531">G808-SUM(G797:G800)</f>
        <v>40.348983146312875</v>
      </c>
      <c r="H809" s="88">
        <f t="shared" si="1531"/>
        <v>44.790268230651549</v>
      </c>
      <c r="I809" s="88">
        <f t="shared" si="1531"/>
        <v>43.654855214071446</v>
      </c>
      <c r="J809" s="88">
        <f t="shared" si="1531"/>
        <v>28.320608657854947</v>
      </c>
      <c r="K809" s="88">
        <f t="shared" si="1531"/>
        <v>0</v>
      </c>
      <c r="L809" s="88">
        <f t="shared" si="1531"/>
        <v>0</v>
      </c>
      <c r="M809" s="1"/>
      <c r="N809" s="81">
        <f t="shared" ref="N809:U809" si="1532">N808-SUM(N797:N800)</f>
        <v>8.5339980898743235</v>
      </c>
      <c r="O809" s="81">
        <f t="shared" si="1532"/>
        <v>27.558346132022788</v>
      </c>
      <c r="P809" s="81">
        <f t="shared" si="1532"/>
        <v>37.50757676100951</v>
      </c>
      <c r="Q809" s="81">
        <f t="shared" si="1532"/>
        <v>38.006779520752019</v>
      </c>
      <c r="R809" s="81">
        <f t="shared" si="1532"/>
        <v>32.12083156006949</v>
      </c>
      <c r="S809" s="81">
        <f t="shared" si="1532"/>
        <v>21.019485915602335</v>
      </c>
      <c r="T809" s="81">
        <f t="shared" si="1532"/>
        <v>0</v>
      </c>
      <c r="U809" s="81">
        <f t="shared" si="1532"/>
        <v>0</v>
      </c>
      <c r="V809" s="1"/>
      <c r="W809" s="85">
        <f>W808-SUM(W797:W800)</f>
        <v>7.052227645171973</v>
      </c>
      <c r="X809" s="85">
        <f t="shared" ref="X809:AD809" si="1533">X808-SUM(X797:X800)</f>
        <v>18.770581184863598</v>
      </c>
      <c r="Y809" s="85">
        <f t="shared" si="1533"/>
        <v>27.688213735063215</v>
      </c>
      <c r="Z809" s="85">
        <f>Z808-SUM(Z797:Z800)</f>
        <v>31.553843182394658</v>
      </c>
      <c r="AA809" s="85">
        <f>AA808-SUM(AA797:AA800)</f>
        <v>27.202201386275384</v>
      </c>
      <c r="AB809" s="85">
        <f t="shared" si="1533"/>
        <v>17.650186994095897</v>
      </c>
      <c r="AC809" s="85">
        <f t="shared" ref="AC809" si="1534">AC808-SUM(AC797:AC800)</f>
        <v>21.410715701811952</v>
      </c>
      <c r="AD809" s="91">
        <f t="shared" si="1533"/>
        <v>0</v>
      </c>
      <c r="AE809" s="1"/>
      <c r="AF809" s="81">
        <f t="shared" si="1506"/>
        <v>8.5339980898743235</v>
      </c>
      <c r="AG809" s="85">
        <f t="shared" si="1507"/>
        <v>7.052227645171973</v>
      </c>
      <c r="AH809" s="34">
        <f t="shared" si="1508"/>
        <v>-1.4817704447023505</v>
      </c>
      <c r="AI809" s="35">
        <f t="shared" si="1509"/>
        <v>-0.17363144789784829</v>
      </c>
      <c r="AK809" s="81">
        <f t="shared" si="1499"/>
        <v>27.558346132022788</v>
      </c>
      <c r="AL809" s="85">
        <f t="shared" si="1500"/>
        <v>18.770581184863598</v>
      </c>
      <c r="AM809" s="34">
        <f t="shared" si="1510"/>
        <v>-8.7877649471591894</v>
      </c>
      <c r="AN809" s="35">
        <f t="shared" si="1511"/>
        <v>-0.31887853157297452</v>
      </c>
      <c r="AP809" s="81">
        <f t="shared" si="1512"/>
        <v>37.50757676100951</v>
      </c>
      <c r="AQ809" s="85">
        <f>Y809</f>
        <v>27.688213735063215</v>
      </c>
      <c r="AR809" s="34">
        <f t="shared" si="1514"/>
        <v>-9.819363025946295</v>
      </c>
      <c r="AS809" s="35">
        <f t="shared" si="1515"/>
        <v>-0.26179678544719742</v>
      </c>
      <c r="AU809" s="949">
        <f t="shared" si="1516"/>
        <v>38.006779520752019</v>
      </c>
      <c r="AV809" s="843">
        <f t="shared" si="1517"/>
        <v>31.553843182394658</v>
      </c>
      <c r="AW809" s="34">
        <f t="shared" si="1518"/>
        <v>-6.452936338357361</v>
      </c>
      <c r="AX809" s="35">
        <f t="shared" si="1519"/>
        <v>-0.16978382330010369</v>
      </c>
      <c r="AZ809" s="949">
        <f t="shared" si="1501"/>
        <v>32.12083156006949</v>
      </c>
      <c r="BA809" s="843">
        <f t="shared" si="1502"/>
        <v>27.202201386275384</v>
      </c>
      <c r="BB809" s="34">
        <f t="shared" si="1520"/>
        <v>-4.9186301737941065</v>
      </c>
      <c r="BC809" s="35">
        <f t="shared" si="1521"/>
        <v>-0.15312898000774752</v>
      </c>
      <c r="BE809" s="946">
        <f t="shared" si="1522"/>
        <v>21.019485915602335</v>
      </c>
      <c r="BF809" s="25">
        <f t="shared" si="1523"/>
        <v>17.650186994095897</v>
      </c>
      <c r="BG809" s="32">
        <f t="shared" si="1524"/>
        <v>-3.3692989215064379</v>
      </c>
      <c r="BH809" s="33">
        <f t="shared" si="1525"/>
        <v>-0.16029406880048747</v>
      </c>
      <c r="BJ809" s="946">
        <f t="shared" si="1503"/>
        <v>0</v>
      </c>
      <c r="BK809" s="25">
        <f t="shared" si="1504"/>
        <v>21.410715701811952</v>
      </c>
      <c r="BL809" s="32">
        <f t="shared" si="1505"/>
        <v>21.410715701811952</v>
      </c>
      <c r="BM809" s="33" t="e">
        <f t="shared" si="1526"/>
        <v>#DIV/0!</v>
      </c>
      <c r="BO809" s="62"/>
      <c r="BP809" s="62"/>
      <c r="BQ809" s="62"/>
      <c r="BR809" s="63"/>
    </row>
    <row r="810" spans="1:70" ht="14.5" customHeight="1">
      <c r="B810" s="1284"/>
    </row>
    <row r="811" spans="1:70" ht="14.5" customHeight="1">
      <c r="B811" s="1284"/>
      <c r="D811" s="1" t="s">
        <v>105</v>
      </c>
    </row>
    <row r="812" spans="1:70" ht="14.5" customHeight="1">
      <c r="B812" s="1284"/>
      <c r="E812" s="1300" t="s">
        <v>733</v>
      </c>
      <c r="F812" s="1301"/>
      <c r="G812" s="1301"/>
      <c r="H812" s="1301"/>
      <c r="I812" s="1301"/>
      <c r="J812" s="1301"/>
      <c r="K812" s="1301"/>
      <c r="L812" s="1302"/>
      <c r="N812" s="245" t="s">
        <v>291</v>
      </c>
      <c r="O812" s="246"/>
      <c r="P812" s="246"/>
      <c r="Q812" s="246"/>
      <c r="R812" s="246"/>
      <c r="S812" s="246"/>
      <c r="T812" s="246"/>
      <c r="U812" s="247"/>
      <c r="W812" s="1079" t="s">
        <v>292</v>
      </c>
      <c r="X812" s="1080"/>
      <c r="Y812" s="1080"/>
      <c r="Z812" s="1080"/>
      <c r="AA812" s="1080"/>
      <c r="AB812" s="1080"/>
      <c r="AC812" s="1080"/>
      <c r="AD812" s="1081"/>
      <c r="AF812" s="102" t="s">
        <v>297</v>
      </c>
      <c r="AG812" s="102" t="s">
        <v>298</v>
      </c>
      <c r="AH812" s="1304" t="s">
        <v>602</v>
      </c>
      <c r="AI812" s="1304"/>
      <c r="AK812" s="102" t="s">
        <v>297</v>
      </c>
      <c r="AL812" s="102" t="s">
        <v>298</v>
      </c>
      <c r="AM812" s="1304" t="s">
        <v>602</v>
      </c>
      <c r="AN812" s="1304"/>
      <c r="AP812" s="6" t="s">
        <v>297</v>
      </c>
      <c r="AQ812" s="5" t="s">
        <v>298</v>
      </c>
      <c r="AR812" s="1303" t="s">
        <v>602</v>
      </c>
      <c r="AS812" s="1303"/>
      <c r="AU812" s="6" t="s">
        <v>297</v>
      </c>
      <c r="AV812" s="5" t="s">
        <v>298</v>
      </c>
      <c r="AW812" s="1303" t="s">
        <v>602</v>
      </c>
      <c r="AX812" s="1303"/>
      <c r="AZ812" s="6" t="s">
        <v>297</v>
      </c>
      <c r="BA812" s="5" t="s">
        <v>298</v>
      </c>
      <c r="BB812" s="1303" t="s">
        <v>602</v>
      </c>
      <c r="BC812" s="1303"/>
      <c r="BE812" s="6" t="s">
        <v>297</v>
      </c>
      <c r="BF812" s="5" t="s">
        <v>298</v>
      </c>
      <c r="BG812" s="1082" t="s">
        <v>602</v>
      </c>
      <c r="BH812" s="1082"/>
      <c r="BJ812" s="6" t="s">
        <v>297</v>
      </c>
      <c r="BK812" s="5" t="s">
        <v>298</v>
      </c>
      <c r="BL812" s="1082" t="s">
        <v>602</v>
      </c>
      <c r="BM812" s="1082"/>
      <c r="BO812" s="6" t="s">
        <v>297</v>
      </c>
      <c r="BP812" s="5" t="s">
        <v>298</v>
      </c>
      <c r="BQ812" s="1303" t="s">
        <v>602</v>
      </c>
      <c r="BR812" s="1303"/>
    </row>
    <row r="813" spans="1:70" ht="14.5" customHeight="1">
      <c r="A813" s="1"/>
      <c r="B813" s="1284"/>
      <c r="E813" s="196" t="s">
        <v>137</v>
      </c>
      <c r="F813" s="102" t="s">
        <v>138</v>
      </c>
      <c r="G813" s="102" t="s">
        <v>139</v>
      </c>
      <c r="H813" s="102" t="s">
        <v>140</v>
      </c>
      <c r="I813" s="102" t="s">
        <v>141</v>
      </c>
      <c r="J813" s="102" t="s">
        <v>126</v>
      </c>
      <c r="K813" s="102" t="s">
        <v>142</v>
      </c>
      <c r="L813" s="197" t="s">
        <v>143</v>
      </c>
      <c r="N813" s="196" t="s">
        <v>137</v>
      </c>
      <c r="O813" s="102" t="s">
        <v>138</v>
      </c>
      <c r="P813" s="102" t="s">
        <v>139</v>
      </c>
      <c r="Q813" s="102" t="s">
        <v>140</v>
      </c>
      <c r="R813" s="102" t="s">
        <v>141</v>
      </c>
      <c r="S813" s="102" t="s">
        <v>126</v>
      </c>
      <c r="T813" s="102" t="s">
        <v>142</v>
      </c>
      <c r="U813" s="197" t="s">
        <v>143</v>
      </c>
      <c r="W813" s="196" t="s">
        <v>137</v>
      </c>
      <c r="X813" s="1078" t="s">
        <v>138</v>
      </c>
      <c r="Y813" s="1078" t="s">
        <v>139</v>
      </c>
      <c r="Z813" s="1078" t="s">
        <v>140</v>
      </c>
      <c r="AA813" s="1078" t="s">
        <v>141</v>
      </c>
      <c r="AB813" s="1078" t="s">
        <v>126</v>
      </c>
      <c r="AC813" s="1078" t="s">
        <v>142</v>
      </c>
      <c r="AD813" s="197" t="s">
        <v>143</v>
      </c>
      <c r="AF813" s="102" t="s">
        <v>734</v>
      </c>
      <c r="AG813" s="102" t="s">
        <v>734</v>
      </c>
      <c r="AH813" s="102" t="s">
        <v>734</v>
      </c>
      <c r="AI813" s="102" t="s">
        <v>606</v>
      </c>
      <c r="AK813" s="102" t="s">
        <v>734</v>
      </c>
      <c r="AL813" s="102" t="s">
        <v>734</v>
      </c>
      <c r="AM813" s="102" t="s">
        <v>734</v>
      </c>
      <c r="AN813" s="102" t="s">
        <v>606</v>
      </c>
      <c r="AP813" s="5" t="s">
        <v>734</v>
      </c>
      <c r="AQ813" s="5" t="s">
        <v>734</v>
      </c>
      <c r="AR813" s="5" t="s">
        <v>734</v>
      </c>
      <c r="AS813" s="5" t="s">
        <v>606</v>
      </c>
      <c r="AU813" s="5" t="s">
        <v>734</v>
      </c>
      <c r="AV813" s="5" t="s">
        <v>734</v>
      </c>
      <c r="AW813" s="5" t="s">
        <v>734</v>
      </c>
      <c r="AX813" s="5" t="s">
        <v>606</v>
      </c>
      <c r="AZ813" s="5" t="s">
        <v>734</v>
      </c>
      <c r="BA813" s="5" t="s">
        <v>734</v>
      </c>
      <c r="BB813" s="5" t="s">
        <v>734</v>
      </c>
      <c r="BC813" s="5" t="s">
        <v>606</v>
      </c>
      <c r="BE813" s="5" t="s">
        <v>734</v>
      </c>
      <c r="BF813" s="5" t="s">
        <v>734</v>
      </c>
      <c r="BG813" s="5" t="s">
        <v>734</v>
      </c>
      <c r="BH813" s="5" t="s">
        <v>606</v>
      </c>
      <c r="BJ813" s="5" t="s">
        <v>734</v>
      </c>
      <c r="BK813" s="5" t="s">
        <v>734</v>
      </c>
      <c r="BL813" s="5" t="s">
        <v>734</v>
      </c>
      <c r="BM813" s="5" t="s">
        <v>606</v>
      </c>
      <c r="BO813" s="5" t="s">
        <v>734</v>
      </c>
      <c r="BP813" s="5" t="s">
        <v>734</v>
      </c>
      <c r="BQ813" s="5" t="s">
        <v>734</v>
      </c>
      <c r="BR813" s="5" t="s">
        <v>606</v>
      </c>
    </row>
    <row r="814" spans="1:70">
      <c r="B814" s="1284"/>
      <c r="D814" s="5" t="s">
        <v>161</v>
      </c>
      <c r="E814" s="87">
        <v>55.301324175221673</v>
      </c>
      <c r="F814" s="87">
        <v>54.505576466611529</v>
      </c>
      <c r="G814" s="87">
        <v>53.630095799278571</v>
      </c>
      <c r="H814" s="87">
        <v>53.595779957870846</v>
      </c>
      <c r="I814" s="87">
        <v>53.295764576047752</v>
      </c>
      <c r="J814" s="87">
        <v>52.759041811662222</v>
      </c>
      <c r="K814" s="87">
        <v>52.210351193033183</v>
      </c>
      <c r="L814" s="87">
        <v>52.053461942933438</v>
      </c>
      <c r="N814" s="29">
        <v>60.806570037842818</v>
      </c>
      <c r="O814" s="29">
        <v>58.556498175737616</v>
      </c>
      <c r="P814" s="29">
        <v>57.641520707235799</v>
      </c>
      <c r="Q814" s="29">
        <v>57.475149951480923</v>
      </c>
      <c r="R814" s="29">
        <v>56.607426944277059</v>
      </c>
      <c r="S814" s="29">
        <v>56.796490869677207</v>
      </c>
      <c r="T814" s="29">
        <v>56.130343699168655</v>
      </c>
      <c r="U814" s="29">
        <v>55.018219478800432</v>
      </c>
      <c r="W814" s="30">
        <v>51.431221165101284</v>
      </c>
      <c r="X814" s="30">
        <v>50.908007114322672</v>
      </c>
      <c r="Y814" s="30">
        <v>53.16366551637195</v>
      </c>
      <c r="Z814" s="30">
        <v>55.017974017569259</v>
      </c>
      <c r="AA814" s="30">
        <v>57.1706755855406</v>
      </c>
      <c r="AB814" s="30">
        <v>57.999999628731501</v>
      </c>
      <c r="AC814" s="30">
        <v>60.381610863676769</v>
      </c>
      <c r="AD814" s="90">
        <v>0</v>
      </c>
      <c r="AF814" s="29">
        <f>N814</f>
        <v>60.806570037842818</v>
      </c>
      <c r="AG814" s="30">
        <f>W814</f>
        <v>51.431221165101284</v>
      </c>
      <c r="AH814" s="32">
        <f>IF(AG814&gt;0,AG814-AF814,"")</f>
        <v>-9.3753488727415331</v>
      </c>
      <c r="AI814" s="33">
        <f>IF(AG814&gt;0,AH814/AF814,"")</f>
        <v>-0.15418315597980298</v>
      </c>
      <c r="AK814" s="29">
        <f t="shared" ref="AK814:AK829" si="1535">O814</f>
        <v>58.556498175737616</v>
      </c>
      <c r="AL814" s="30">
        <f t="shared" ref="AL814:AL829" si="1536">X814</f>
        <v>50.908007114322672</v>
      </c>
      <c r="AM814" s="32">
        <f>IF(AL814&gt;0,AL814-AK814,"")</f>
        <v>-7.6484910614149442</v>
      </c>
      <c r="AN814" s="33">
        <f>IF(AL814&gt;0,AM814/AK814,"")</f>
        <v>-0.13061728927950189</v>
      </c>
      <c r="AP814" s="29">
        <f>P814</f>
        <v>57.641520707235799</v>
      </c>
      <c r="AQ814" s="30">
        <f>Y814</f>
        <v>53.16366551637195</v>
      </c>
      <c r="AR814" s="32">
        <f>AQ814-AP814</f>
        <v>-4.4778551908638491</v>
      </c>
      <c r="AS814" s="33">
        <f>AR814/AP814</f>
        <v>-7.7684542946170734E-2</v>
      </c>
      <c r="AU814" s="31">
        <f>Q814</f>
        <v>57.475149951480923</v>
      </c>
      <c r="AV814" s="25">
        <f>Z814</f>
        <v>55.017974017569259</v>
      </c>
      <c r="AW814" s="32">
        <f>AV814-AU814</f>
        <v>-2.4571759339116639</v>
      </c>
      <c r="AX814" s="33">
        <f>AW814/AU814</f>
        <v>-4.2751970825408027E-2</v>
      </c>
      <c r="AZ814" s="31">
        <f t="shared" ref="AZ814:AZ829" si="1537">R814</f>
        <v>56.607426944277059</v>
      </c>
      <c r="BA814" s="25">
        <f t="shared" ref="BA814:BA829" si="1538">AA814</f>
        <v>57.1706755855406</v>
      </c>
      <c r="BB814" s="32">
        <f>BA814-AZ814</f>
        <v>0.56324864126354157</v>
      </c>
      <c r="BC814" s="33">
        <f>BB814/AZ814</f>
        <v>9.9500837905596648E-3</v>
      </c>
      <c r="BE814" s="31">
        <f>S814</f>
        <v>56.796490869677207</v>
      </c>
      <c r="BF814" s="25">
        <f>AB814</f>
        <v>57.999999628731501</v>
      </c>
      <c r="BG814" s="32">
        <f>BF814-BE814</f>
        <v>1.2035087590542943</v>
      </c>
      <c r="BH814" s="33">
        <f>BG814/BE814</f>
        <v>2.118984360875065E-2</v>
      </c>
      <c r="BJ814" s="31">
        <f t="shared" ref="BJ814:BJ829" si="1539">T814</f>
        <v>56.130343699168655</v>
      </c>
      <c r="BK814" s="25">
        <f t="shared" ref="BK814:BK829" si="1540">AC814</f>
        <v>60.381610863676769</v>
      </c>
      <c r="BL814" s="32">
        <f t="shared" ref="BL814:BL829" si="1541">BK814-BJ814</f>
        <v>4.2512671645081141</v>
      </c>
      <c r="BM814" s="33">
        <f t="shared" ref="BM814:BM829" si="1542">BL814/BJ814</f>
        <v>7.5739197096188093E-2</v>
      </c>
      <c r="BO814" s="62"/>
      <c r="BP814" s="62"/>
      <c r="BQ814" s="62"/>
      <c r="BR814" s="63"/>
    </row>
    <row r="815" spans="1:70">
      <c r="B815" s="1284"/>
      <c r="D815" s="5" t="s">
        <v>162</v>
      </c>
      <c r="E815" s="87">
        <v>37.479404321148223</v>
      </c>
      <c r="F815" s="87">
        <v>37.579243465618475</v>
      </c>
      <c r="G815" s="87">
        <v>38.210076860399575</v>
      </c>
      <c r="H815" s="87">
        <v>38.861642079410515</v>
      </c>
      <c r="I815" s="87">
        <v>39.043955894428706</v>
      </c>
      <c r="J815" s="87">
        <v>38.926592087811201</v>
      </c>
      <c r="K815" s="87">
        <v>38.843640070333961</v>
      </c>
      <c r="L815" s="87">
        <v>38.635245634025338</v>
      </c>
      <c r="N815" s="29">
        <v>38.542920584186547</v>
      </c>
      <c r="O815" s="29">
        <v>38.501738298307764</v>
      </c>
      <c r="P815" s="29">
        <v>38.517277819671804</v>
      </c>
      <c r="Q815" s="29">
        <v>38.693921217403229</v>
      </c>
      <c r="R815" s="29">
        <v>38.351270014377761</v>
      </c>
      <c r="S815" s="29">
        <v>37.61163695908413</v>
      </c>
      <c r="T815" s="29">
        <v>37.207862125471031</v>
      </c>
      <c r="U815" s="29">
        <v>36.598537349209572</v>
      </c>
      <c r="W815" s="30">
        <v>42.294347443189707</v>
      </c>
      <c r="X815" s="30">
        <v>42.302549186528964</v>
      </c>
      <c r="Y815" s="30">
        <v>39.821970946587101</v>
      </c>
      <c r="Z815" s="30">
        <v>40.749813267732435</v>
      </c>
      <c r="AA815" s="30">
        <v>47.262575661218534</v>
      </c>
      <c r="AB815" s="30">
        <v>42.846483499083178</v>
      </c>
      <c r="AC815" s="30">
        <v>39.23129479657031</v>
      </c>
      <c r="AD815" s="90">
        <v>0</v>
      </c>
      <c r="AF815" s="29">
        <f t="shared" ref="AF815:AF829" si="1543">N815</f>
        <v>38.542920584186547</v>
      </c>
      <c r="AG815" s="30">
        <f t="shared" ref="AG815:AG829" si="1544">W815</f>
        <v>42.294347443189707</v>
      </c>
      <c r="AH815" s="32">
        <f t="shared" ref="AH815:AH829" si="1545">IF(AG815&gt;0,AG815-AF815,"")</f>
        <v>3.7514268590031605</v>
      </c>
      <c r="AI815" s="33">
        <f t="shared" ref="AI815:AI829" si="1546">IF(AG815&gt;0,AH815/AF815,"")</f>
        <v>9.7331151924753265E-2</v>
      </c>
      <c r="AK815" s="29">
        <f t="shared" si="1535"/>
        <v>38.501738298307764</v>
      </c>
      <c r="AL815" s="30">
        <f t="shared" si="1536"/>
        <v>42.302549186528964</v>
      </c>
      <c r="AM815" s="32">
        <f t="shared" ref="AM815:AM829" si="1547">IF(AL815&gt;0,AL815-AK815,"")</f>
        <v>3.8008108882211999</v>
      </c>
      <c r="AN815" s="33">
        <f t="shared" ref="AN815:AN829" si="1548">IF(AL815&gt;0,AM815/AK815,"")</f>
        <v>9.8717903559908976E-2</v>
      </c>
      <c r="AP815" s="29">
        <f t="shared" ref="AP815:AP829" si="1549">P815</f>
        <v>38.517277819671804</v>
      </c>
      <c r="AQ815" s="30">
        <f t="shared" ref="AQ815:AQ828" si="1550">Y815</f>
        <v>39.821970946587101</v>
      </c>
      <c r="AR815" s="32">
        <f t="shared" ref="AR815:AR829" si="1551">AQ815-AP815</f>
        <v>1.3046931269152964</v>
      </c>
      <c r="AS815" s="33">
        <f t="shared" ref="AS815:AS829" si="1552">AR815/AP815</f>
        <v>3.3872931857322347E-2</v>
      </c>
      <c r="AU815" s="31">
        <f t="shared" ref="AU815:AU829" si="1553">Q815</f>
        <v>38.693921217403229</v>
      </c>
      <c r="AV815" s="25">
        <f t="shared" ref="AV815:AV829" si="1554">Z815</f>
        <v>40.749813267732435</v>
      </c>
      <c r="AW815" s="32">
        <f t="shared" ref="AW815:AW829" si="1555">AV815-AU815</f>
        <v>2.0558920503292057</v>
      </c>
      <c r="AX815" s="33">
        <f t="shared" ref="AX815:AX829" si="1556">AW815/AU815</f>
        <v>5.3132171298383025E-2</v>
      </c>
      <c r="AZ815" s="31">
        <f t="shared" si="1537"/>
        <v>38.351270014377761</v>
      </c>
      <c r="BA815" s="25">
        <f t="shared" si="1538"/>
        <v>47.262575661218534</v>
      </c>
      <c r="BB815" s="32">
        <f t="shared" ref="BB815:BB829" si="1557">BA815-AZ815</f>
        <v>8.9113056468407734</v>
      </c>
      <c r="BC815" s="33">
        <f t="shared" ref="BC815:BC829" si="1558">BB815/AZ815</f>
        <v>0.23236011854366115</v>
      </c>
      <c r="BE815" s="31">
        <f t="shared" ref="BE815:BE829" si="1559">S815</f>
        <v>37.61163695908413</v>
      </c>
      <c r="BF815" s="25">
        <f t="shared" ref="BF815:BF829" si="1560">AB815</f>
        <v>42.846483499083178</v>
      </c>
      <c r="BG815" s="32">
        <f t="shared" ref="BG815:BG829" si="1561">BF815-BE815</f>
        <v>5.2348465399990474</v>
      </c>
      <c r="BH815" s="33">
        <f t="shared" ref="BH815:BH829" si="1562">BG815/BE815</f>
        <v>0.13918156621828989</v>
      </c>
      <c r="BJ815" s="31">
        <f t="shared" si="1539"/>
        <v>37.207862125471031</v>
      </c>
      <c r="BK815" s="25">
        <f t="shared" si="1540"/>
        <v>39.23129479657031</v>
      </c>
      <c r="BL815" s="32">
        <f t="shared" si="1541"/>
        <v>2.0234326710992789</v>
      </c>
      <c r="BM815" s="33">
        <f t="shared" si="1542"/>
        <v>5.4381857906157877E-2</v>
      </c>
      <c r="BO815" s="62"/>
      <c r="BP815" s="62"/>
      <c r="BQ815" s="62"/>
      <c r="BR815" s="63"/>
    </row>
    <row r="816" spans="1:70">
      <c r="B816" s="1284"/>
      <c r="D816" s="5" t="s">
        <v>163</v>
      </c>
      <c r="E816" s="87">
        <v>44.287310977497462</v>
      </c>
      <c r="F816" s="87">
        <v>44.354483101945398</v>
      </c>
      <c r="G816" s="87">
        <v>44.911574225453812</v>
      </c>
      <c r="H816" s="87">
        <v>45.722177491087848</v>
      </c>
      <c r="I816" s="87">
        <v>45.842210735802638</v>
      </c>
      <c r="J816" s="87">
        <v>45.670408370941779</v>
      </c>
      <c r="K816" s="87">
        <v>45.296057684481681</v>
      </c>
      <c r="L816" s="87">
        <v>44.824998924072638</v>
      </c>
      <c r="N816" s="29">
        <v>48.20966716079981</v>
      </c>
      <c r="O816" s="29">
        <v>47.66485281582888</v>
      </c>
      <c r="P816" s="29">
        <v>47.639384165445989</v>
      </c>
      <c r="Q816" s="29">
        <v>48.064229587721677</v>
      </c>
      <c r="R816" s="29">
        <v>47.301363300302299</v>
      </c>
      <c r="S816" s="29">
        <v>46.500073210736922</v>
      </c>
      <c r="T816" s="29">
        <v>45.803192587360179</v>
      </c>
      <c r="U816" s="29">
        <v>44.965096708739267</v>
      </c>
      <c r="W816" s="30">
        <v>48.795576220835301</v>
      </c>
      <c r="X816" s="30">
        <v>48.528332392581909</v>
      </c>
      <c r="Y816" s="30">
        <v>48.310048464418202</v>
      </c>
      <c r="Z816" s="30">
        <v>46.472736882226187</v>
      </c>
      <c r="AA816" s="30">
        <v>47.842654541854834</v>
      </c>
      <c r="AB816" s="30">
        <v>45.11648060662624</v>
      </c>
      <c r="AC816" s="30">
        <v>45.052037215005988</v>
      </c>
      <c r="AD816" s="90">
        <v>0</v>
      </c>
      <c r="AF816" s="29">
        <f t="shared" si="1543"/>
        <v>48.20966716079981</v>
      </c>
      <c r="AG816" s="30">
        <f t="shared" si="1544"/>
        <v>48.795576220835301</v>
      </c>
      <c r="AH816" s="32">
        <f t="shared" si="1545"/>
        <v>0.58590906003549037</v>
      </c>
      <c r="AI816" s="33">
        <f t="shared" si="1546"/>
        <v>1.2153352108431565E-2</v>
      </c>
      <c r="AK816" s="29">
        <f t="shared" si="1535"/>
        <v>47.66485281582888</v>
      </c>
      <c r="AL816" s="30">
        <f t="shared" si="1536"/>
        <v>48.528332392581909</v>
      </c>
      <c r="AM816" s="32">
        <f t="shared" si="1547"/>
        <v>0.86347957675302922</v>
      </c>
      <c r="AN816" s="33">
        <f t="shared" si="1548"/>
        <v>1.8115645506961028E-2</v>
      </c>
      <c r="AP816" s="29">
        <f t="shared" si="1549"/>
        <v>47.639384165445989</v>
      </c>
      <c r="AQ816" s="30">
        <f t="shared" si="1550"/>
        <v>48.310048464418202</v>
      </c>
      <c r="AR816" s="32">
        <f t="shared" si="1551"/>
        <v>0.67066429897221269</v>
      </c>
      <c r="AS816" s="33">
        <f t="shared" si="1552"/>
        <v>1.4077938048969615E-2</v>
      </c>
      <c r="AU816" s="31">
        <f t="shared" si="1553"/>
        <v>48.064229587721677</v>
      </c>
      <c r="AV816" s="25">
        <f t="shared" si="1554"/>
        <v>46.472736882226187</v>
      </c>
      <c r="AW816" s="32">
        <f t="shared" si="1555"/>
        <v>-1.5914927054954902</v>
      </c>
      <c r="AX816" s="33">
        <f t="shared" si="1556"/>
        <v>-3.3111790600759937E-2</v>
      </c>
      <c r="AZ816" s="31">
        <f t="shared" si="1537"/>
        <v>47.301363300302299</v>
      </c>
      <c r="BA816" s="25">
        <f t="shared" si="1538"/>
        <v>47.842654541854834</v>
      </c>
      <c r="BB816" s="32">
        <f t="shared" si="1557"/>
        <v>0.5412912415525355</v>
      </c>
      <c r="BC816" s="33">
        <f t="shared" si="1558"/>
        <v>1.1443459633838422E-2</v>
      </c>
      <c r="BE816" s="31">
        <f t="shared" si="1559"/>
        <v>46.500073210736922</v>
      </c>
      <c r="BF816" s="25">
        <f t="shared" si="1560"/>
        <v>45.11648060662624</v>
      </c>
      <c r="BG816" s="32">
        <f t="shared" si="1561"/>
        <v>-1.3835926041106816</v>
      </c>
      <c r="BH816" s="33">
        <f t="shared" si="1562"/>
        <v>-2.9754632811872832E-2</v>
      </c>
      <c r="BJ816" s="31">
        <f t="shared" si="1539"/>
        <v>45.803192587360179</v>
      </c>
      <c r="BK816" s="25">
        <f t="shared" si="1540"/>
        <v>45.052037215005988</v>
      </c>
      <c r="BL816" s="32">
        <f t="shared" si="1541"/>
        <v>-0.75115537235419083</v>
      </c>
      <c r="BM816" s="33">
        <f t="shared" si="1542"/>
        <v>-1.6399629150774069E-2</v>
      </c>
      <c r="BO816" s="62"/>
      <c r="BP816" s="62"/>
      <c r="BQ816" s="62"/>
      <c r="BR816" s="63"/>
    </row>
    <row r="817" spans="1:70">
      <c r="B817" s="1284"/>
      <c r="D817" s="5" t="s">
        <v>164</v>
      </c>
      <c r="E817" s="87">
        <v>67.84005104149054</v>
      </c>
      <c r="F817" s="87">
        <v>67.401078247069989</v>
      </c>
      <c r="G817" s="87">
        <v>67.044400484970822</v>
      </c>
      <c r="H817" s="87">
        <v>67.323772361112376</v>
      </c>
      <c r="I817" s="87">
        <v>68.203228603306442</v>
      </c>
      <c r="J817" s="87">
        <v>68.832658749280256</v>
      </c>
      <c r="K817" s="87">
        <v>69.292793895842266</v>
      </c>
      <c r="L817" s="87">
        <v>69.83794744138622</v>
      </c>
      <c r="N817" s="29">
        <v>67.84005104149054</v>
      </c>
      <c r="O817" s="29">
        <v>67.401078247069989</v>
      </c>
      <c r="P817" s="29">
        <v>67.044400484970822</v>
      </c>
      <c r="Q817" s="29">
        <v>67.323772361112376</v>
      </c>
      <c r="R817" s="29">
        <v>68.203228603306442</v>
      </c>
      <c r="S817" s="29">
        <v>68.832658749280256</v>
      </c>
      <c r="T817" s="29">
        <v>69.292793895842266</v>
      </c>
      <c r="U817" s="29">
        <v>69.83794744138622</v>
      </c>
      <c r="W817" s="30">
        <v>82.401884556706364</v>
      </c>
      <c r="X817" s="30">
        <v>81.207292199764524</v>
      </c>
      <c r="Y817" s="30">
        <v>79.619155401079624</v>
      </c>
      <c r="Z817" s="30">
        <v>78.394115750349428</v>
      </c>
      <c r="AA817" s="30">
        <v>73.08394210609616</v>
      </c>
      <c r="AB817" s="30">
        <v>70.07869616918282</v>
      </c>
      <c r="AC817" s="30">
        <v>69.809899999999985</v>
      </c>
      <c r="AD817" s="90">
        <v>0</v>
      </c>
      <c r="AF817" s="29">
        <f t="shared" si="1543"/>
        <v>67.84005104149054</v>
      </c>
      <c r="AG817" s="30">
        <f t="shared" si="1544"/>
        <v>82.401884556706364</v>
      </c>
      <c r="AH817" s="32">
        <f t="shared" si="1545"/>
        <v>14.561833515215824</v>
      </c>
      <c r="AI817" s="33">
        <f t="shared" si="1546"/>
        <v>0.21464950706345873</v>
      </c>
      <c r="AK817" s="29">
        <f t="shared" si="1535"/>
        <v>67.401078247069989</v>
      </c>
      <c r="AL817" s="30">
        <f t="shared" si="1536"/>
        <v>81.207292199764524</v>
      </c>
      <c r="AM817" s="32">
        <f t="shared" si="1547"/>
        <v>13.806213952694534</v>
      </c>
      <c r="AN817" s="33">
        <f t="shared" si="1548"/>
        <v>0.20483669270223742</v>
      </c>
      <c r="AP817" s="29">
        <f t="shared" si="1549"/>
        <v>67.044400484970822</v>
      </c>
      <c r="AQ817" s="30">
        <f t="shared" si="1550"/>
        <v>79.619155401079624</v>
      </c>
      <c r="AR817" s="32">
        <f t="shared" si="1551"/>
        <v>12.574754916108802</v>
      </c>
      <c r="AS817" s="33">
        <f t="shared" si="1552"/>
        <v>0.18755861526314421</v>
      </c>
      <c r="AU817" s="31">
        <f t="shared" si="1553"/>
        <v>67.323772361112376</v>
      </c>
      <c r="AV817" s="25">
        <f t="shared" si="1554"/>
        <v>78.394115750349428</v>
      </c>
      <c r="AW817" s="32">
        <f t="shared" si="1555"/>
        <v>11.070343389237053</v>
      </c>
      <c r="AX817" s="33">
        <f t="shared" si="1556"/>
        <v>0.16443438923561443</v>
      </c>
      <c r="AZ817" s="31">
        <f t="shared" si="1537"/>
        <v>68.203228603306442</v>
      </c>
      <c r="BA817" s="25">
        <f t="shared" si="1538"/>
        <v>73.08394210609616</v>
      </c>
      <c r="BB817" s="32">
        <f t="shared" si="1557"/>
        <v>4.8807135027897175</v>
      </c>
      <c r="BC817" s="33">
        <f t="shared" si="1558"/>
        <v>7.1561326387899235E-2</v>
      </c>
      <c r="BE817" s="31">
        <f t="shared" si="1559"/>
        <v>68.832658749280256</v>
      </c>
      <c r="BF817" s="25">
        <f t="shared" si="1560"/>
        <v>70.07869616918282</v>
      </c>
      <c r="BG817" s="32">
        <f t="shared" si="1561"/>
        <v>1.2460374199025637</v>
      </c>
      <c r="BH817" s="33">
        <f t="shared" si="1562"/>
        <v>1.8102415954048743E-2</v>
      </c>
      <c r="BJ817" s="31">
        <f t="shared" si="1539"/>
        <v>69.292793895842266</v>
      </c>
      <c r="BK817" s="25">
        <f t="shared" si="1540"/>
        <v>69.809899999999985</v>
      </c>
      <c r="BL817" s="32">
        <f t="shared" si="1541"/>
        <v>0.51710610415771896</v>
      </c>
      <c r="BM817" s="33">
        <f t="shared" si="1542"/>
        <v>7.4626245397899386E-3</v>
      </c>
      <c r="BO817" s="62"/>
      <c r="BP817" s="62"/>
      <c r="BQ817" s="62"/>
      <c r="BR817" s="63"/>
    </row>
    <row r="818" spans="1:70">
      <c r="B818" s="1284"/>
      <c r="D818" s="5" t="s">
        <v>165</v>
      </c>
      <c r="E818" s="87">
        <v>67.560774206357266</v>
      </c>
      <c r="F818" s="87">
        <v>67.203383215637245</v>
      </c>
      <c r="G818" s="87">
        <v>66.73887561552506</v>
      </c>
      <c r="H818" s="87">
        <v>66.979275185896299</v>
      </c>
      <c r="I818" s="87">
        <v>67.727537549307812</v>
      </c>
      <c r="J818" s="87">
        <v>68.063068970337028</v>
      </c>
      <c r="K818" s="87">
        <v>68.942707837205461</v>
      </c>
      <c r="L818" s="87">
        <v>69.296000528749687</v>
      </c>
      <c r="N818" s="29">
        <v>67.560774206357266</v>
      </c>
      <c r="O818" s="29">
        <v>67.203383215637245</v>
      </c>
      <c r="P818" s="29">
        <v>66.73887561552506</v>
      </c>
      <c r="Q818" s="29">
        <v>66.979275185896299</v>
      </c>
      <c r="R818" s="29">
        <v>67.727537549307812</v>
      </c>
      <c r="S818" s="29">
        <v>68.063068970337028</v>
      </c>
      <c r="T818" s="29">
        <v>68.942707837205461</v>
      </c>
      <c r="U818" s="29">
        <v>69.296000528749687</v>
      </c>
      <c r="W818" s="30">
        <v>83.104239788307595</v>
      </c>
      <c r="X818" s="30">
        <v>81.624139085708237</v>
      </c>
      <c r="Y818" s="30">
        <v>79.035340828931837</v>
      </c>
      <c r="Z818" s="30">
        <v>76.841774421477695</v>
      </c>
      <c r="AA818" s="30">
        <v>73.577590490706783</v>
      </c>
      <c r="AB818" s="30">
        <v>69.371372252496059</v>
      </c>
      <c r="AC818" s="30">
        <v>68.353700000000003</v>
      </c>
      <c r="AD818" s="90">
        <v>0</v>
      </c>
      <c r="AF818" s="29">
        <f t="shared" si="1543"/>
        <v>67.560774206357266</v>
      </c>
      <c r="AG818" s="30">
        <f t="shared" si="1544"/>
        <v>83.104239788307595</v>
      </c>
      <c r="AH818" s="32">
        <f t="shared" si="1545"/>
        <v>15.543465581950329</v>
      </c>
      <c r="AI818" s="33">
        <f t="shared" si="1546"/>
        <v>0.23006642189259779</v>
      </c>
      <c r="AK818" s="29">
        <f t="shared" si="1535"/>
        <v>67.203383215637245</v>
      </c>
      <c r="AL818" s="30">
        <f t="shared" si="1536"/>
        <v>81.624139085708237</v>
      </c>
      <c r="AM818" s="32">
        <f t="shared" si="1547"/>
        <v>14.420755870070991</v>
      </c>
      <c r="AN818" s="33">
        <f t="shared" si="1548"/>
        <v>0.21458377807853418</v>
      </c>
      <c r="AP818" s="29">
        <f t="shared" si="1549"/>
        <v>66.73887561552506</v>
      </c>
      <c r="AQ818" s="30">
        <f t="shared" si="1550"/>
        <v>79.035340828931837</v>
      </c>
      <c r="AR818" s="32">
        <f t="shared" si="1551"/>
        <v>12.296465213406776</v>
      </c>
      <c r="AS818" s="33">
        <f t="shared" si="1552"/>
        <v>0.18424741352019908</v>
      </c>
      <c r="AU818" s="31">
        <f t="shared" si="1553"/>
        <v>66.979275185896299</v>
      </c>
      <c r="AV818" s="25">
        <f t="shared" si="1554"/>
        <v>76.841774421477695</v>
      </c>
      <c r="AW818" s="32">
        <f t="shared" si="1555"/>
        <v>9.8624992355813959</v>
      </c>
      <c r="AX818" s="33">
        <f t="shared" si="1556"/>
        <v>0.14724702840107956</v>
      </c>
      <c r="AZ818" s="31">
        <f t="shared" si="1537"/>
        <v>67.727537549307812</v>
      </c>
      <c r="BA818" s="25">
        <f t="shared" si="1538"/>
        <v>73.577590490706783</v>
      </c>
      <c r="BB818" s="32">
        <f t="shared" si="1557"/>
        <v>5.850052941398971</v>
      </c>
      <c r="BC818" s="33">
        <f t="shared" si="1558"/>
        <v>8.6376282869282603E-2</v>
      </c>
      <c r="BE818" s="31">
        <f t="shared" si="1559"/>
        <v>68.063068970337028</v>
      </c>
      <c r="BF818" s="25">
        <f t="shared" si="1560"/>
        <v>69.371372252496059</v>
      </c>
      <c r="BG818" s="32">
        <f t="shared" si="1561"/>
        <v>1.3083032821590308</v>
      </c>
      <c r="BH818" s="33">
        <f t="shared" si="1562"/>
        <v>1.922192610399643E-2</v>
      </c>
      <c r="BJ818" s="31">
        <f t="shared" si="1539"/>
        <v>68.942707837205461</v>
      </c>
      <c r="BK818" s="25">
        <f t="shared" si="1540"/>
        <v>68.353700000000003</v>
      </c>
      <c r="BL818" s="32">
        <f t="shared" si="1541"/>
        <v>-0.58900783720545746</v>
      </c>
      <c r="BM818" s="33">
        <f t="shared" si="1542"/>
        <v>-8.5434392654881314E-3</v>
      </c>
      <c r="BO818" s="62"/>
      <c r="BP818" s="62"/>
      <c r="BQ818" s="62"/>
      <c r="BR818" s="63"/>
    </row>
    <row r="819" spans="1:70">
      <c r="B819" s="1284"/>
      <c r="D819" s="5" t="s">
        <v>166</v>
      </c>
      <c r="E819" s="87">
        <v>36.998458320049622</v>
      </c>
      <c r="F819" s="87">
        <v>37.725326918501501</v>
      </c>
      <c r="G819" s="87">
        <v>37.396164238028511</v>
      </c>
      <c r="H819" s="87">
        <v>38.00046470204326</v>
      </c>
      <c r="I819" s="87">
        <v>37.905501961361331</v>
      </c>
      <c r="J819" s="87">
        <v>38.532511672834815</v>
      </c>
      <c r="K819" s="87">
        <v>38.795444416662917</v>
      </c>
      <c r="L819" s="87">
        <v>38.867945767980657</v>
      </c>
      <c r="N819" s="29">
        <v>36.998458320049622</v>
      </c>
      <c r="O819" s="29">
        <v>37.725326918501501</v>
      </c>
      <c r="P819" s="29">
        <v>37.396164238028511</v>
      </c>
      <c r="Q819" s="29">
        <v>38.00046470204326</v>
      </c>
      <c r="R819" s="29">
        <v>37.905501961361331</v>
      </c>
      <c r="S819" s="29">
        <v>38.532511672834815</v>
      </c>
      <c r="T819" s="29">
        <v>38.795444416662917</v>
      </c>
      <c r="U819" s="29">
        <v>38.867945767980657</v>
      </c>
      <c r="W819" s="30">
        <v>39.435279275959488</v>
      </c>
      <c r="X819" s="30">
        <v>39.372069039820069</v>
      </c>
      <c r="Y819" s="30">
        <v>38.299956363583448</v>
      </c>
      <c r="Z819" s="30">
        <v>38.071571971140948</v>
      </c>
      <c r="AA819" s="30">
        <v>36.374316884689755</v>
      </c>
      <c r="AB819" s="30">
        <v>35.227735088572139</v>
      </c>
      <c r="AC819" s="30">
        <v>35.818800000000003</v>
      </c>
      <c r="AD819" s="90">
        <v>0</v>
      </c>
      <c r="AF819" s="29">
        <f t="shared" si="1543"/>
        <v>36.998458320049622</v>
      </c>
      <c r="AG819" s="30">
        <f t="shared" si="1544"/>
        <v>39.435279275959488</v>
      </c>
      <c r="AH819" s="32">
        <f t="shared" si="1545"/>
        <v>2.4368209559098659</v>
      </c>
      <c r="AI819" s="33">
        <f t="shared" si="1546"/>
        <v>6.5862770141136992E-2</v>
      </c>
      <c r="AK819" s="29">
        <f t="shared" si="1535"/>
        <v>37.725326918501501</v>
      </c>
      <c r="AL819" s="30">
        <f t="shared" si="1536"/>
        <v>39.372069039820069</v>
      </c>
      <c r="AM819" s="32">
        <f t="shared" si="1547"/>
        <v>1.6467421213185673</v>
      </c>
      <c r="AN819" s="33">
        <f t="shared" si="1548"/>
        <v>4.3650837668711133E-2</v>
      </c>
      <c r="AP819" s="29">
        <f t="shared" si="1549"/>
        <v>37.396164238028511</v>
      </c>
      <c r="AQ819" s="30">
        <f t="shared" si="1550"/>
        <v>38.299956363583448</v>
      </c>
      <c r="AR819" s="32">
        <f t="shared" si="1551"/>
        <v>0.90379212555493638</v>
      </c>
      <c r="AS819" s="33">
        <f t="shared" si="1552"/>
        <v>2.416804354056884E-2</v>
      </c>
      <c r="AU819" s="31">
        <f t="shared" si="1553"/>
        <v>38.00046470204326</v>
      </c>
      <c r="AV819" s="25">
        <f t="shared" si="1554"/>
        <v>38.071571971140948</v>
      </c>
      <c r="AW819" s="32">
        <f t="shared" si="1555"/>
        <v>7.110726909768772E-2</v>
      </c>
      <c r="AX819" s="33">
        <f t="shared" si="1556"/>
        <v>1.8712210404591271E-3</v>
      </c>
      <c r="AZ819" s="31">
        <f t="shared" si="1537"/>
        <v>37.905501961361331</v>
      </c>
      <c r="BA819" s="25">
        <f t="shared" si="1538"/>
        <v>36.374316884689755</v>
      </c>
      <c r="BB819" s="32">
        <f t="shared" si="1557"/>
        <v>-1.5311850766715764</v>
      </c>
      <c r="BC819" s="33">
        <f t="shared" si="1558"/>
        <v>-4.0394797521277455E-2</v>
      </c>
      <c r="BE819" s="31">
        <f t="shared" si="1559"/>
        <v>38.532511672834815</v>
      </c>
      <c r="BF819" s="25">
        <f t="shared" si="1560"/>
        <v>35.227735088572139</v>
      </c>
      <c r="BG819" s="32">
        <f t="shared" si="1561"/>
        <v>-3.304776584262676</v>
      </c>
      <c r="BH819" s="33">
        <f t="shared" si="1562"/>
        <v>-8.5765927026047545E-2</v>
      </c>
      <c r="BJ819" s="31">
        <f t="shared" si="1539"/>
        <v>38.795444416662917</v>
      </c>
      <c r="BK819" s="25">
        <f t="shared" si="1540"/>
        <v>35.818800000000003</v>
      </c>
      <c r="BL819" s="32">
        <f t="shared" si="1541"/>
        <v>-2.9766444166629142</v>
      </c>
      <c r="BM819" s="33">
        <f t="shared" si="1542"/>
        <v>-7.6726648229461306E-2</v>
      </c>
      <c r="BO819" s="62"/>
      <c r="BP819" s="62"/>
      <c r="BQ819" s="62"/>
      <c r="BR819" s="63"/>
    </row>
    <row r="820" spans="1:70">
      <c r="B820" s="1284"/>
      <c r="D820" s="5" t="s">
        <v>167</v>
      </c>
      <c r="E820" s="87">
        <v>53.812400399583822</v>
      </c>
      <c r="F820" s="87">
        <v>54.35643530120192</v>
      </c>
      <c r="G820" s="87">
        <v>54.886382200763151</v>
      </c>
      <c r="H820" s="87">
        <v>55.154309670984354</v>
      </c>
      <c r="I820" s="87">
        <v>55.572270268782226</v>
      </c>
      <c r="J820" s="87">
        <v>56.746187344990759</v>
      </c>
      <c r="K820" s="87">
        <v>56.866664823281916</v>
      </c>
      <c r="L820" s="87">
        <v>57.775478689479854</v>
      </c>
      <c r="N820" s="29">
        <v>53.812400399583822</v>
      </c>
      <c r="O820" s="29">
        <v>54.35643530120192</v>
      </c>
      <c r="P820" s="29">
        <v>54.886382200763151</v>
      </c>
      <c r="Q820" s="29">
        <v>55.154309670984354</v>
      </c>
      <c r="R820" s="29">
        <v>55.572270268782226</v>
      </c>
      <c r="S820" s="29">
        <v>56.746187344990759</v>
      </c>
      <c r="T820" s="29">
        <v>56.866664823281916</v>
      </c>
      <c r="U820" s="29">
        <v>57.775478689479854</v>
      </c>
      <c r="W820" s="30">
        <v>62.116819611229104</v>
      </c>
      <c r="X820" s="30">
        <v>60.937026220414197</v>
      </c>
      <c r="Y820" s="30">
        <v>57.064535433672368</v>
      </c>
      <c r="Z820" s="30">
        <v>56.704939771556042</v>
      </c>
      <c r="AA820" s="30">
        <v>56.47954178955554</v>
      </c>
      <c r="AB820" s="30">
        <v>53.436116476695219</v>
      </c>
      <c r="AC820" s="30">
        <v>53.139599999999994</v>
      </c>
      <c r="AD820" s="90">
        <v>0</v>
      </c>
      <c r="AF820" s="29">
        <f t="shared" si="1543"/>
        <v>53.812400399583822</v>
      </c>
      <c r="AG820" s="30">
        <f t="shared" si="1544"/>
        <v>62.116819611229104</v>
      </c>
      <c r="AH820" s="32">
        <f t="shared" si="1545"/>
        <v>8.304419211645282</v>
      </c>
      <c r="AI820" s="33">
        <f t="shared" si="1546"/>
        <v>0.15432166470889314</v>
      </c>
      <c r="AK820" s="29">
        <f t="shared" si="1535"/>
        <v>54.35643530120192</v>
      </c>
      <c r="AL820" s="30">
        <f t="shared" si="1536"/>
        <v>60.937026220414197</v>
      </c>
      <c r="AM820" s="32">
        <f t="shared" si="1547"/>
        <v>6.5805909192122769</v>
      </c>
      <c r="AN820" s="33">
        <f t="shared" si="1548"/>
        <v>0.12106369526897155</v>
      </c>
      <c r="AP820" s="29">
        <f t="shared" si="1549"/>
        <v>54.886382200763151</v>
      </c>
      <c r="AQ820" s="30">
        <f t="shared" si="1550"/>
        <v>57.064535433672368</v>
      </c>
      <c r="AR820" s="32">
        <f t="shared" si="1551"/>
        <v>2.1781532329092173</v>
      </c>
      <c r="AS820" s="33">
        <f t="shared" si="1552"/>
        <v>3.9684765976048093E-2</v>
      </c>
      <c r="AU820" s="31">
        <f t="shared" si="1553"/>
        <v>55.154309670984354</v>
      </c>
      <c r="AV820" s="25">
        <f t="shared" si="1554"/>
        <v>56.704939771556042</v>
      </c>
      <c r="AW820" s="32">
        <f t="shared" si="1555"/>
        <v>1.5506301005716878</v>
      </c>
      <c r="AX820" s="33">
        <f t="shared" si="1556"/>
        <v>2.8114395952406331E-2</v>
      </c>
      <c r="AZ820" s="31">
        <f t="shared" si="1537"/>
        <v>55.572270268782226</v>
      </c>
      <c r="BA820" s="25">
        <f t="shared" si="1538"/>
        <v>56.47954178955554</v>
      </c>
      <c r="BB820" s="32">
        <f t="shared" si="1557"/>
        <v>0.90727152077331397</v>
      </c>
      <c r="BC820" s="33">
        <f t="shared" si="1558"/>
        <v>1.6325975461955789E-2</v>
      </c>
      <c r="BE820" s="31">
        <f t="shared" si="1559"/>
        <v>56.746187344990759</v>
      </c>
      <c r="BF820" s="25">
        <f t="shared" si="1560"/>
        <v>53.436116476695219</v>
      </c>
      <c r="BG820" s="32">
        <f t="shared" si="1561"/>
        <v>-3.31007086829554</v>
      </c>
      <c r="BH820" s="33">
        <f t="shared" si="1562"/>
        <v>-5.8331158852520423E-2</v>
      </c>
      <c r="BJ820" s="31">
        <f t="shared" si="1539"/>
        <v>56.866664823281916</v>
      </c>
      <c r="BK820" s="25">
        <f t="shared" si="1540"/>
        <v>53.139599999999994</v>
      </c>
      <c r="BL820" s="32">
        <f t="shared" si="1541"/>
        <v>-3.7270648232819212</v>
      </c>
      <c r="BM820" s="33">
        <f t="shared" si="1542"/>
        <v>-6.5540415195160434E-2</v>
      </c>
      <c r="BO820" s="62"/>
      <c r="BP820" s="62"/>
      <c r="BQ820" s="62"/>
      <c r="BR820" s="63"/>
    </row>
    <row r="821" spans="1:70">
      <c r="B821" s="1284"/>
      <c r="D821" s="5" t="s">
        <v>168</v>
      </c>
      <c r="E821" s="87">
        <v>59.385868853090933</v>
      </c>
      <c r="F821" s="87">
        <v>56.775294209326276</v>
      </c>
      <c r="G821" s="87">
        <v>55.427933689182005</v>
      </c>
      <c r="H821" s="87">
        <v>56.169003610823047</v>
      </c>
      <c r="I821" s="87">
        <v>55.38753291512559</v>
      </c>
      <c r="J821" s="87">
        <v>53.961224916468574</v>
      </c>
      <c r="K821" s="87">
        <v>53.797370392720303</v>
      </c>
      <c r="L821" s="87">
        <v>52.905635023318091</v>
      </c>
      <c r="N821" s="29">
        <v>55.998198330495043</v>
      </c>
      <c r="O821" s="29">
        <v>54.099764247714916</v>
      </c>
      <c r="P821" s="29">
        <v>51.767472589994703</v>
      </c>
      <c r="Q821" s="29">
        <v>51.525393272475284</v>
      </c>
      <c r="R821" s="29">
        <v>50.541274836957768</v>
      </c>
      <c r="S821" s="29">
        <v>49.173459386207838</v>
      </c>
      <c r="T821" s="29">
        <v>47.771254269820709</v>
      </c>
      <c r="U821" s="29">
        <v>46.398696899570169</v>
      </c>
      <c r="W821" s="30">
        <v>51.82850539585089</v>
      </c>
      <c r="X821" s="30">
        <v>56.459205718884647</v>
      </c>
      <c r="Y821" s="30">
        <v>67.471435050384144</v>
      </c>
      <c r="Z821" s="30">
        <v>68.267438802147495</v>
      </c>
      <c r="AA821" s="30">
        <v>67.409370734199783</v>
      </c>
      <c r="AB821" s="30">
        <v>62.958776824851455</v>
      </c>
      <c r="AC821" s="30">
        <v>63.725115674744757</v>
      </c>
      <c r="AD821" s="90">
        <v>0</v>
      </c>
      <c r="AF821" s="29">
        <f t="shared" si="1543"/>
        <v>55.998198330495043</v>
      </c>
      <c r="AG821" s="30">
        <f t="shared" si="1544"/>
        <v>51.82850539585089</v>
      </c>
      <c r="AH821" s="32">
        <f t="shared" si="1545"/>
        <v>-4.1696929346441536</v>
      </c>
      <c r="AI821" s="33">
        <f t="shared" si="1546"/>
        <v>-7.4461198019891581E-2</v>
      </c>
      <c r="AK821" s="29">
        <f t="shared" si="1535"/>
        <v>54.099764247714916</v>
      </c>
      <c r="AL821" s="30">
        <f t="shared" si="1536"/>
        <v>56.459205718884647</v>
      </c>
      <c r="AM821" s="32">
        <f t="shared" si="1547"/>
        <v>2.3594414711697311</v>
      </c>
      <c r="AN821" s="33">
        <f t="shared" si="1548"/>
        <v>4.3612786561623325E-2</v>
      </c>
      <c r="AP821" s="29">
        <f t="shared" si="1549"/>
        <v>51.767472589994703</v>
      </c>
      <c r="AQ821" s="30">
        <f t="shared" si="1550"/>
        <v>67.471435050384144</v>
      </c>
      <c r="AR821" s="32">
        <f t="shared" si="1551"/>
        <v>15.703962460389441</v>
      </c>
      <c r="AS821" s="33">
        <f t="shared" si="1552"/>
        <v>0.30335578838795013</v>
      </c>
      <c r="AU821" s="31">
        <f t="shared" si="1553"/>
        <v>51.525393272475284</v>
      </c>
      <c r="AV821" s="25">
        <f t="shared" si="1554"/>
        <v>68.267438802147495</v>
      </c>
      <c r="AW821" s="32">
        <f t="shared" si="1555"/>
        <v>16.742045529672211</v>
      </c>
      <c r="AX821" s="33">
        <f t="shared" si="1556"/>
        <v>0.32492804938212405</v>
      </c>
      <c r="AZ821" s="31">
        <f t="shared" si="1537"/>
        <v>50.541274836957768</v>
      </c>
      <c r="BA821" s="25">
        <f t="shared" si="1538"/>
        <v>67.409370734199783</v>
      </c>
      <c r="BB821" s="32">
        <f t="shared" si="1557"/>
        <v>16.868095897242014</v>
      </c>
      <c r="BC821" s="33">
        <f t="shared" si="1558"/>
        <v>0.33374892009861606</v>
      </c>
      <c r="BE821" s="31">
        <f t="shared" si="1559"/>
        <v>49.173459386207838</v>
      </c>
      <c r="BF821" s="25">
        <f t="shared" si="1560"/>
        <v>62.958776824851455</v>
      </c>
      <c r="BG821" s="32">
        <f t="shared" si="1561"/>
        <v>13.785317438643617</v>
      </c>
      <c r="BH821" s="33">
        <f t="shared" si="1562"/>
        <v>0.28034060671578698</v>
      </c>
      <c r="BJ821" s="31">
        <f t="shared" si="1539"/>
        <v>47.771254269820709</v>
      </c>
      <c r="BK821" s="25">
        <f t="shared" si="1540"/>
        <v>63.725115674744757</v>
      </c>
      <c r="BL821" s="32">
        <f t="shared" si="1541"/>
        <v>15.953861404924048</v>
      </c>
      <c r="BM821" s="33">
        <f t="shared" si="1542"/>
        <v>0.33396362831115434</v>
      </c>
      <c r="BO821" s="62"/>
      <c r="BP821" s="62"/>
      <c r="BQ821" s="62"/>
      <c r="BR821" s="63"/>
    </row>
    <row r="822" spans="1:70">
      <c r="B822" s="1284"/>
      <c r="D822" s="5" t="s">
        <v>169</v>
      </c>
      <c r="E822" s="87">
        <v>67.113829972012851</v>
      </c>
      <c r="F822" s="87">
        <v>65.777059865991646</v>
      </c>
      <c r="G822" s="87">
        <v>63.564552179617827</v>
      </c>
      <c r="H822" s="87">
        <v>63.158627375547297</v>
      </c>
      <c r="I822" s="87">
        <v>61.508204646038763</v>
      </c>
      <c r="J822" s="87">
        <v>60.399564617928903</v>
      </c>
      <c r="K822" s="87">
        <v>61.010212215366359</v>
      </c>
      <c r="L822" s="87">
        <v>60.200175023918341</v>
      </c>
      <c r="N822" s="29">
        <v>59.493356927471041</v>
      </c>
      <c r="O822" s="29">
        <v>58.498695014514588</v>
      </c>
      <c r="P822" s="29">
        <v>56.021798612308601</v>
      </c>
      <c r="Q822" s="29">
        <v>55.239120995821104</v>
      </c>
      <c r="R822" s="29">
        <v>53.72207341812117</v>
      </c>
      <c r="S822" s="29">
        <v>52.575125939584154</v>
      </c>
      <c r="T822" s="29">
        <v>52.419031479292926</v>
      </c>
      <c r="U822" s="29">
        <v>51.19384479036782</v>
      </c>
      <c r="W822" s="30">
        <v>51.129429580696829</v>
      </c>
      <c r="X822" s="30">
        <v>54.269374034351934</v>
      </c>
      <c r="Y822" s="30">
        <v>58.471107455279856</v>
      </c>
      <c r="Z822" s="30">
        <v>56.415662567976312</v>
      </c>
      <c r="AA822" s="30">
        <v>58.526552910240859</v>
      </c>
      <c r="AB822" s="30">
        <v>62.479959317903891</v>
      </c>
      <c r="AC822" s="30">
        <v>57.000200434809699</v>
      </c>
      <c r="AD822" s="90">
        <v>0</v>
      </c>
      <c r="AF822" s="29">
        <f t="shared" si="1543"/>
        <v>59.493356927471041</v>
      </c>
      <c r="AG822" s="30">
        <f t="shared" si="1544"/>
        <v>51.129429580696829</v>
      </c>
      <c r="AH822" s="32">
        <f t="shared" si="1545"/>
        <v>-8.3639273467742115</v>
      </c>
      <c r="AI822" s="33">
        <f t="shared" si="1546"/>
        <v>-0.1405859036828391</v>
      </c>
      <c r="AK822" s="29">
        <f t="shared" si="1535"/>
        <v>58.498695014514588</v>
      </c>
      <c r="AL822" s="30">
        <f t="shared" si="1536"/>
        <v>54.269374034351934</v>
      </c>
      <c r="AM822" s="32">
        <f t="shared" si="1547"/>
        <v>-4.2293209801626546</v>
      </c>
      <c r="AN822" s="33">
        <f t="shared" si="1548"/>
        <v>-7.2297697907847056E-2</v>
      </c>
      <c r="AP822" s="29">
        <f t="shared" si="1549"/>
        <v>56.021798612308601</v>
      </c>
      <c r="AQ822" s="30">
        <f t="shared" si="1550"/>
        <v>58.471107455279856</v>
      </c>
      <c r="AR822" s="32">
        <f t="shared" si="1551"/>
        <v>2.4493088429712557</v>
      </c>
      <c r="AS822" s="33">
        <f t="shared" si="1552"/>
        <v>4.3720639173357702E-2</v>
      </c>
      <c r="AU822" s="31">
        <f t="shared" si="1553"/>
        <v>55.239120995821104</v>
      </c>
      <c r="AV822" s="25">
        <f t="shared" si="1554"/>
        <v>56.415662567976312</v>
      </c>
      <c r="AW822" s="32">
        <f t="shared" si="1555"/>
        <v>1.1765415721552088</v>
      </c>
      <c r="AX822" s="33">
        <f t="shared" si="1556"/>
        <v>2.1299063977578778E-2</v>
      </c>
      <c r="AZ822" s="31">
        <f t="shared" si="1537"/>
        <v>53.72207341812117</v>
      </c>
      <c r="BA822" s="25">
        <f t="shared" si="1538"/>
        <v>58.526552910240859</v>
      </c>
      <c r="BB822" s="32">
        <f t="shared" si="1557"/>
        <v>4.8044794921196896</v>
      </c>
      <c r="BC822" s="33">
        <f t="shared" si="1558"/>
        <v>8.9432130713314476E-2</v>
      </c>
      <c r="BE822" s="31">
        <f t="shared" si="1559"/>
        <v>52.575125939584154</v>
      </c>
      <c r="BF822" s="25">
        <f t="shared" si="1560"/>
        <v>62.479959317903891</v>
      </c>
      <c r="BG822" s="32">
        <f t="shared" si="1561"/>
        <v>9.9048333783197364</v>
      </c>
      <c r="BH822" s="33">
        <f t="shared" si="1562"/>
        <v>0.1883939068391717</v>
      </c>
      <c r="BJ822" s="31">
        <f t="shared" si="1539"/>
        <v>52.419031479292926</v>
      </c>
      <c r="BK822" s="25">
        <f t="shared" si="1540"/>
        <v>57.000200434809699</v>
      </c>
      <c r="BL822" s="32">
        <f t="shared" si="1541"/>
        <v>4.5811689555167732</v>
      </c>
      <c r="BM822" s="33">
        <f t="shared" si="1542"/>
        <v>8.7395146881461758E-2</v>
      </c>
      <c r="BO822" s="62"/>
      <c r="BP822" s="62"/>
      <c r="BQ822" s="62"/>
      <c r="BR822" s="63"/>
    </row>
    <row r="823" spans="1:70">
      <c r="B823" s="1284"/>
      <c r="D823" s="5" t="s">
        <v>170</v>
      </c>
      <c r="E823" s="87">
        <v>89.985476357314568</v>
      </c>
      <c r="F823" s="87">
        <v>87.358895453968998</v>
      </c>
      <c r="G823" s="87">
        <v>85.399282642569716</v>
      </c>
      <c r="H823" s="87">
        <v>86.007071180709957</v>
      </c>
      <c r="I823" s="87">
        <v>84.45142883702249</v>
      </c>
      <c r="J823" s="87">
        <v>82.101449164951404</v>
      </c>
      <c r="K823" s="87">
        <v>82.167550406283667</v>
      </c>
      <c r="L823" s="87">
        <v>81.429269963332203</v>
      </c>
      <c r="N823" s="29">
        <v>85.395926006736417</v>
      </c>
      <c r="O823" s="29">
        <v>83.027847520132724</v>
      </c>
      <c r="P823" s="29">
        <v>80.421742291791034</v>
      </c>
      <c r="Q823" s="29">
        <v>80.238560144804751</v>
      </c>
      <c r="R823" s="29">
        <v>78.432852626047904</v>
      </c>
      <c r="S823" s="29">
        <v>76.045706250040155</v>
      </c>
      <c r="T823" s="29">
        <v>75.330690155455613</v>
      </c>
      <c r="U823" s="29">
        <v>73.836118750960253</v>
      </c>
      <c r="W823" s="30">
        <v>82.044010542616022</v>
      </c>
      <c r="X823" s="30">
        <v>85.510177223907093</v>
      </c>
      <c r="Y823" s="30">
        <v>98.828517883219817</v>
      </c>
      <c r="Z823" s="30">
        <v>91.820310376487029</v>
      </c>
      <c r="AA823" s="30">
        <v>96.561883430393479</v>
      </c>
      <c r="AB823" s="30">
        <v>95.703986607844556</v>
      </c>
      <c r="AC823" s="30">
        <v>101.1097913689681</v>
      </c>
      <c r="AD823" s="90">
        <v>0</v>
      </c>
      <c r="AF823" s="29">
        <f t="shared" si="1543"/>
        <v>85.395926006736417</v>
      </c>
      <c r="AG823" s="30">
        <f t="shared" si="1544"/>
        <v>82.044010542616022</v>
      </c>
      <c r="AH823" s="32">
        <f t="shared" si="1545"/>
        <v>-3.3519154641203954</v>
      </c>
      <c r="AI823" s="33">
        <f t="shared" si="1546"/>
        <v>-3.9251468083570884E-2</v>
      </c>
      <c r="AK823" s="29">
        <f t="shared" si="1535"/>
        <v>83.027847520132724</v>
      </c>
      <c r="AL823" s="30">
        <f t="shared" si="1536"/>
        <v>85.510177223907093</v>
      </c>
      <c r="AM823" s="32">
        <f t="shared" si="1547"/>
        <v>2.4823297037743686</v>
      </c>
      <c r="AN823" s="33">
        <f t="shared" si="1548"/>
        <v>2.9897555795029486E-2</v>
      </c>
      <c r="AP823" s="29">
        <f t="shared" si="1549"/>
        <v>80.421742291791034</v>
      </c>
      <c r="AQ823" s="30">
        <f t="shared" si="1550"/>
        <v>98.828517883219817</v>
      </c>
      <c r="AR823" s="32">
        <f t="shared" si="1551"/>
        <v>18.406775591428783</v>
      </c>
      <c r="AS823" s="33">
        <f t="shared" si="1552"/>
        <v>0.22887810021131108</v>
      </c>
      <c r="AU823" s="31">
        <f t="shared" si="1553"/>
        <v>80.238560144804751</v>
      </c>
      <c r="AV823" s="25">
        <f t="shared" si="1554"/>
        <v>91.820310376487029</v>
      </c>
      <c r="AW823" s="32">
        <f t="shared" si="1555"/>
        <v>11.581750231682278</v>
      </c>
      <c r="AX823" s="33">
        <f t="shared" si="1556"/>
        <v>0.14434145142660773</v>
      </c>
      <c r="AZ823" s="31">
        <f t="shared" si="1537"/>
        <v>78.432852626047904</v>
      </c>
      <c r="BA823" s="25">
        <f t="shared" si="1538"/>
        <v>96.561883430393479</v>
      </c>
      <c r="BB823" s="32">
        <f t="shared" si="1557"/>
        <v>18.129030804345575</v>
      </c>
      <c r="BC823" s="33">
        <f t="shared" si="1558"/>
        <v>0.23114078090186463</v>
      </c>
      <c r="BE823" s="31">
        <f t="shared" si="1559"/>
        <v>76.045706250040155</v>
      </c>
      <c r="BF823" s="25">
        <f t="shared" si="1560"/>
        <v>95.703986607844556</v>
      </c>
      <c r="BG823" s="32">
        <f t="shared" si="1561"/>
        <v>19.658280357804401</v>
      </c>
      <c r="BH823" s="33">
        <f t="shared" si="1562"/>
        <v>0.25850611858567651</v>
      </c>
      <c r="BJ823" s="31">
        <f t="shared" si="1539"/>
        <v>75.330690155455613</v>
      </c>
      <c r="BK823" s="25">
        <f t="shared" si="1540"/>
        <v>101.1097913689681</v>
      </c>
      <c r="BL823" s="32">
        <f t="shared" si="1541"/>
        <v>25.77910121351249</v>
      </c>
      <c r="BM823" s="33">
        <f t="shared" si="1542"/>
        <v>0.34221246560085461</v>
      </c>
      <c r="BO823" s="62"/>
      <c r="BP823" s="62"/>
      <c r="BQ823" s="62"/>
      <c r="BR823" s="63"/>
    </row>
    <row r="824" spans="1:70">
      <c r="B824" s="1284"/>
      <c r="D824" s="5" t="s">
        <v>171</v>
      </c>
      <c r="E824" s="87">
        <v>46.093657068688323</v>
      </c>
      <c r="F824" s="87">
        <v>44.710964431761084</v>
      </c>
      <c r="G824" s="87">
        <v>44.626906719680996</v>
      </c>
      <c r="H824" s="87">
        <v>44.446374346039313</v>
      </c>
      <c r="I824" s="87">
        <v>44.552413367674781</v>
      </c>
      <c r="J824" s="87">
        <v>44.806893559763431</v>
      </c>
      <c r="K824" s="87">
        <v>45.114340928842942</v>
      </c>
      <c r="L824" s="87">
        <v>45.118043273918687</v>
      </c>
      <c r="N824" s="29">
        <v>48.949625968036138</v>
      </c>
      <c r="O824" s="29">
        <v>48.181038614302921</v>
      </c>
      <c r="P824" s="29">
        <v>47.70039945810165</v>
      </c>
      <c r="Q824" s="29">
        <v>47.116650284881594</v>
      </c>
      <c r="R824" s="29">
        <v>46.998735272872203</v>
      </c>
      <c r="S824" s="29">
        <v>46.897385695382674</v>
      </c>
      <c r="T824" s="29">
        <v>46.84105486222137</v>
      </c>
      <c r="U824" s="29">
        <v>46.358243601667255</v>
      </c>
      <c r="W824" s="30">
        <v>57.679157975293116</v>
      </c>
      <c r="X824" s="30">
        <v>55.504923007240741</v>
      </c>
      <c r="Y824" s="30">
        <v>66.533817543441415</v>
      </c>
      <c r="Z824" s="30">
        <v>62.138630168173954</v>
      </c>
      <c r="AA824" s="30">
        <v>57.840529764966206</v>
      </c>
      <c r="AB824" s="30">
        <v>58.845982526645194</v>
      </c>
      <c r="AC824" s="30">
        <v>57.952652956293996</v>
      </c>
      <c r="AD824" s="90">
        <v>0</v>
      </c>
      <c r="AF824" s="29">
        <f t="shared" si="1543"/>
        <v>48.949625968036138</v>
      </c>
      <c r="AG824" s="30">
        <f t="shared" si="1544"/>
        <v>57.679157975293116</v>
      </c>
      <c r="AH824" s="32">
        <f t="shared" si="1545"/>
        <v>8.729532007256978</v>
      </c>
      <c r="AI824" s="33">
        <f t="shared" si="1546"/>
        <v>0.17833705231899666</v>
      </c>
      <c r="AK824" s="29">
        <f t="shared" si="1535"/>
        <v>48.181038614302921</v>
      </c>
      <c r="AL824" s="30">
        <f t="shared" si="1536"/>
        <v>55.504923007240741</v>
      </c>
      <c r="AM824" s="32">
        <f t="shared" si="1547"/>
        <v>7.3238843929378206</v>
      </c>
      <c r="AN824" s="33">
        <f t="shared" si="1548"/>
        <v>0.15200760721591561</v>
      </c>
      <c r="AP824" s="29">
        <f t="shared" si="1549"/>
        <v>47.70039945810165</v>
      </c>
      <c r="AQ824" s="30">
        <f t="shared" si="1550"/>
        <v>66.533817543441415</v>
      </c>
      <c r="AR824" s="32">
        <f t="shared" si="1551"/>
        <v>18.833418085339765</v>
      </c>
      <c r="AS824" s="33">
        <f t="shared" si="1552"/>
        <v>0.39482726139185431</v>
      </c>
      <c r="AU824" s="31">
        <f t="shared" si="1553"/>
        <v>47.116650284881594</v>
      </c>
      <c r="AV824" s="25">
        <f t="shared" si="1554"/>
        <v>62.138630168173954</v>
      </c>
      <c r="AW824" s="32">
        <f t="shared" si="1555"/>
        <v>15.02197988329236</v>
      </c>
      <c r="AX824" s="33">
        <f t="shared" si="1556"/>
        <v>0.31882529408319354</v>
      </c>
      <c r="AZ824" s="31">
        <f t="shared" si="1537"/>
        <v>46.998735272872203</v>
      </c>
      <c r="BA824" s="25">
        <f t="shared" si="1538"/>
        <v>57.840529764966206</v>
      </c>
      <c r="BB824" s="32">
        <f t="shared" si="1557"/>
        <v>10.841794492094003</v>
      </c>
      <c r="BC824" s="33">
        <f t="shared" si="1558"/>
        <v>0.23068268601584938</v>
      </c>
      <c r="BE824" s="31">
        <f t="shared" si="1559"/>
        <v>46.897385695382674</v>
      </c>
      <c r="BF824" s="25">
        <f t="shared" si="1560"/>
        <v>58.845982526645194</v>
      </c>
      <c r="BG824" s="32">
        <f t="shared" si="1561"/>
        <v>11.94859683126252</v>
      </c>
      <c r="BH824" s="33">
        <f t="shared" si="1562"/>
        <v>0.25478172512372965</v>
      </c>
      <c r="BJ824" s="31">
        <f t="shared" si="1539"/>
        <v>46.84105486222137</v>
      </c>
      <c r="BK824" s="25">
        <f t="shared" si="1540"/>
        <v>57.952652956293996</v>
      </c>
      <c r="BL824" s="32">
        <f t="shared" si="1541"/>
        <v>11.111598094072626</v>
      </c>
      <c r="BM824" s="33">
        <f t="shared" si="1542"/>
        <v>0.2372192113682402</v>
      </c>
      <c r="BO824" s="62"/>
      <c r="BP824" s="62"/>
      <c r="BQ824" s="62"/>
      <c r="BR824" s="63"/>
    </row>
    <row r="825" spans="1:70">
      <c r="B825" s="1284"/>
      <c r="D825" s="5" t="s">
        <v>172</v>
      </c>
      <c r="E825" s="87">
        <v>50.762151947072546</v>
      </c>
      <c r="F825" s="87">
        <v>50.555617577839918</v>
      </c>
      <c r="G825" s="87">
        <v>49.106304138277991</v>
      </c>
      <c r="H825" s="87">
        <v>47.952080290889391</v>
      </c>
      <c r="I825" s="87">
        <v>48.289394964704613</v>
      </c>
      <c r="J825" s="87">
        <v>47.162631516756669</v>
      </c>
      <c r="K825" s="87">
        <v>48.252535353195896</v>
      </c>
      <c r="L825" s="87">
        <v>49.032155875877287</v>
      </c>
      <c r="N825" s="29">
        <v>48.673427954634811</v>
      </c>
      <c r="O825" s="29">
        <v>48.338198064192241</v>
      </c>
      <c r="P825" s="29">
        <v>46.552048884609015</v>
      </c>
      <c r="Q825" s="29">
        <v>44.900316127784201</v>
      </c>
      <c r="R825" s="29">
        <v>44.78223167948277</v>
      </c>
      <c r="S825" s="29">
        <v>43.68658094498592</v>
      </c>
      <c r="T825" s="29">
        <v>44.047448855713462</v>
      </c>
      <c r="U825" s="29">
        <v>43.931112368109076</v>
      </c>
      <c r="W825" s="30">
        <v>65.684032251099978</v>
      </c>
      <c r="X825" s="30">
        <v>61.80436514345363</v>
      </c>
      <c r="Y825" s="30">
        <v>69.08113607471978</v>
      </c>
      <c r="Z825" s="30">
        <v>60.94731394977866</v>
      </c>
      <c r="AA825" s="30">
        <v>60.087981156649946</v>
      </c>
      <c r="AB825" s="30">
        <v>58.35988737027165</v>
      </c>
      <c r="AC825" s="30">
        <v>61.228443278367401</v>
      </c>
      <c r="AD825" s="90">
        <v>0</v>
      </c>
      <c r="AF825" s="29">
        <f t="shared" si="1543"/>
        <v>48.673427954634811</v>
      </c>
      <c r="AG825" s="30">
        <f t="shared" si="1544"/>
        <v>65.684032251099978</v>
      </c>
      <c r="AH825" s="32">
        <f t="shared" si="1545"/>
        <v>17.010604296465168</v>
      </c>
      <c r="AI825" s="33">
        <f t="shared" si="1546"/>
        <v>0.34948441092580523</v>
      </c>
      <c r="AK825" s="29">
        <f t="shared" si="1535"/>
        <v>48.338198064192241</v>
      </c>
      <c r="AL825" s="30">
        <f t="shared" si="1536"/>
        <v>61.80436514345363</v>
      </c>
      <c r="AM825" s="32">
        <f t="shared" si="1547"/>
        <v>13.466167079261389</v>
      </c>
      <c r="AN825" s="33">
        <f t="shared" si="1548"/>
        <v>0.27858231416443296</v>
      </c>
      <c r="AP825" s="29">
        <f t="shared" si="1549"/>
        <v>46.552048884609015</v>
      </c>
      <c r="AQ825" s="30">
        <f t="shared" si="1550"/>
        <v>69.08113607471978</v>
      </c>
      <c r="AR825" s="32">
        <f t="shared" si="1551"/>
        <v>22.529087190110765</v>
      </c>
      <c r="AS825" s="33">
        <f t="shared" si="1552"/>
        <v>0.48395479318117202</v>
      </c>
      <c r="AU825" s="31">
        <f t="shared" si="1553"/>
        <v>44.900316127784201</v>
      </c>
      <c r="AV825" s="25">
        <f t="shared" si="1554"/>
        <v>60.94731394977866</v>
      </c>
      <c r="AW825" s="32">
        <f t="shared" si="1555"/>
        <v>16.046997821994459</v>
      </c>
      <c r="AX825" s="33">
        <f t="shared" si="1556"/>
        <v>0.35739164455603062</v>
      </c>
      <c r="AZ825" s="31">
        <f t="shared" si="1537"/>
        <v>44.78223167948277</v>
      </c>
      <c r="BA825" s="25">
        <f t="shared" si="1538"/>
        <v>60.087981156649946</v>
      </c>
      <c r="BB825" s="32">
        <f t="shared" si="1557"/>
        <v>15.305749477167176</v>
      </c>
      <c r="BC825" s="33">
        <f t="shared" si="1558"/>
        <v>0.34178174921504839</v>
      </c>
      <c r="BE825" s="31">
        <f t="shared" si="1559"/>
        <v>43.68658094498592</v>
      </c>
      <c r="BF825" s="25">
        <f t="shared" si="1560"/>
        <v>58.35988737027165</v>
      </c>
      <c r="BG825" s="32">
        <f t="shared" si="1561"/>
        <v>14.67330642528573</v>
      </c>
      <c r="BH825" s="33">
        <f t="shared" si="1562"/>
        <v>0.33587674081804847</v>
      </c>
      <c r="BJ825" s="31">
        <f t="shared" si="1539"/>
        <v>44.047448855713462</v>
      </c>
      <c r="BK825" s="25">
        <f t="shared" si="1540"/>
        <v>61.228443278367401</v>
      </c>
      <c r="BL825" s="32">
        <f t="shared" si="1541"/>
        <v>17.180994422653939</v>
      </c>
      <c r="BM825" s="33">
        <f t="shared" si="1542"/>
        <v>0.39005651562100324</v>
      </c>
      <c r="BO825" s="62"/>
      <c r="BP825" s="62"/>
      <c r="BQ825" s="62"/>
      <c r="BR825" s="63"/>
    </row>
    <row r="826" spans="1:70">
      <c r="B826" s="1284"/>
      <c r="D826" s="5" t="s">
        <v>28</v>
      </c>
      <c r="E826" s="87">
        <v>40.314792324374892</v>
      </c>
      <c r="F826" s="87">
        <v>40.825823727431001</v>
      </c>
      <c r="G826" s="87">
        <v>40.961923297863279</v>
      </c>
      <c r="H826" s="87">
        <v>41.12875856153741</v>
      </c>
      <c r="I826" s="87">
        <v>40.490054095765949</v>
      </c>
      <c r="J826" s="87">
        <v>40.49402356004272</v>
      </c>
      <c r="K826" s="87">
        <v>40.815701487382242</v>
      </c>
      <c r="L826" s="87">
        <v>40.463493162957924</v>
      </c>
      <c r="N826" s="29">
        <v>38.654774261488789</v>
      </c>
      <c r="O826" s="29">
        <v>39.019051763258069</v>
      </c>
      <c r="P826" s="29">
        <v>38.802907054998776</v>
      </c>
      <c r="Q826" s="29">
        <v>39.013609725504061</v>
      </c>
      <c r="R826" s="29">
        <v>38.082743216446097</v>
      </c>
      <c r="S826" s="29">
        <v>37.772145170800108</v>
      </c>
      <c r="T826" s="29">
        <v>37.883199500842586</v>
      </c>
      <c r="U826" s="29">
        <v>37.315360478666655</v>
      </c>
      <c r="W826" s="30">
        <v>41.281840263960255</v>
      </c>
      <c r="X826" s="30">
        <v>46.099323608250238</v>
      </c>
      <c r="Y826" s="30">
        <v>48.223851989132925</v>
      </c>
      <c r="Z826" s="30">
        <v>49.965486285443134</v>
      </c>
      <c r="AA826" s="30">
        <v>51.291048759215634</v>
      </c>
      <c r="AB826" s="30">
        <v>49.643448111192427</v>
      </c>
      <c r="AC826" s="30">
        <v>55.870046854485771</v>
      </c>
      <c r="AD826" s="90">
        <v>0</v>
      </c>
      <c r="AF826" s="29">
        <f t="shared" si="1543"/>
        <v>38.654774261488789</v>
      </c>
      <c r="AG826" s="30">
        <f t="shared" si="1544"/>
        <v>41.281840263960255</v>
      </c>
      <c r="AH826" s="32">
        <f t="shared" si="1545"/>
        <v>2.6270660024714658</v>
      </c>
      <c r="AI826" s="33">
        <f t="shared" si="1546"/>
        <v>6.7962264756743773E-2</v>
      </c>
      <c r="AK826" s="29">
        <f t="shared" si="1535"/>
        <v>39.019051763258069</v>
      </c>
      <c r="AL826" s="30">
        <f t="shared" si="1536"/>
        <v>46.099323608250238</v>
      </c>
      <c r="AM826" s="32">
        <f t="shared" si="1547"/>
        <v>7.0802718449921684</v>
      </c>
      <c r="AN826" s="33">
        <f t="shared" si="1548"/>
        <v>0.1814567890565511</v>
      </c>
      <c r="AP826" s="29">
        <f t="shared" si="1549"/>
        <v>38.802907054998776</v>
      </c>
      <c r="AQ826" s="30">
        <f t="shared" si="1550"/>
        <v>48.223851989132925</v>
      </c>
      <c r="AR826" s="32">
        <f t="shared" si="1551"/>
        <v>9.4209449341341482</v>
      </c>
      <c r="AS826" s="33">
        <f t="shared" si="1552"/>
        <v>0.24278966833028809</v>
      </c>
      <c r="AU826" s="31">
        <f t="shared" si="1553"/>
        <v>39.013609725504061</v>
      </c>
      <c r="AV826" s="25">
        <f t="shared" si="1554"/>
        <v>49.965486285443134</v>
      </c>
      <c r="AW826" s="32">
        <f t="shared" si="1555"/>
        <v>10.951876559939073</v>
      </c>
      <c r="AX826" s="33">
        <f t="shared" si="1556"/>
        <v>0.28071938579883804</v>
      </c>
      <c r="AZ826" s="31">
        <f t="shared" si="1537"/>
        <v>38.082743216446097</v>
      </c>
      <c r="BA826" s="25">
        <f t="shared" si="1538"/>
        <v>51.291048759215634</v>
      </c>
      <c r="BB826" s="32">
        <f t="shared" si="1557"/>
        <v>13.208305542769537</v>
      </c>
      <c r="BC826" s="33">
        <f t="shared" si="1558"/>
        <v>0.3468317780496839</v>
      </c>
      <c r="BE826" s="31">
        <f t="shared" si="1559"/>
        <v>37.772145170800108</v>
      </c>
      <c r="BF826" s="25">
        <f t="shared" si="1560"/>
        <v>49.643448111192427</v>
      </c>
      <c r="BG826" s="32">
        <f t="shared" si="1561"/>
        <v>11.871302940392319</v>
      </c>
      <c r="BH826" s="33">
        <f t="shared" si="1562"/>
        <v>0.31428723168123029</v>
      </c>
      <c r="BJ826" s="31">
        <f t="shared" si="1539"/>
        <v>37.883199500842586</v>
      </c>
      <c r="BK826" s="25">
        <f t="shared" si="1540"/>
        <v>55.870046854485771</v>
      </c>
      <c r="BL826" s="32">
        <f t="shared" si="1541"/>
        <v>17.986847353643185</v>
      </c>
      <c r="BM826" s="33">
        <f t="shared" si="1542"/>
        <v>0.47479747198340855</v>
      </c>
      <c r="BO826" s="62"/>
      <c r="BP826" s="62"/>
      <c r="BQ826" s="62"/>
      <c r="BR826" s="63"/>
    </row>
    <row r="827" spans="1:70">
      <c r="B827" s="1284"/>
      <c r="D827" s="5" t="s">
        <v>173</v>
      </c>
      <c r="E827" s="87">
        <v>77.778586043035205</v>
      </c>
      <c r="F827" s="87">
        <v>78.011800551526989</v>
      </c>
      <c r="G827" s="87">
        <v>78.277027998290762</v>
      </c>
      <c r="H827" s="87">
        <v>77.752137539739792</v>
      </c>
      <c r="I827" s="87">
        <v>77.921231558247911</v>
      </c>
      <c r="J827" s="87">
        <v>78.158034458866638</v>
      </c>
      <c r="K827" s="87">
        <v>78.400533087059216</v>
      </c>
      <c r="L827" s="87">
        <v>78.264828471458074</v>
      </c>
      <c r="N827" s="29">
        <v>78.548134001547155</v>
      </c>
      <c r="O827" s="29">
        <v>78.068239367901754</v>
      </c>
      <c r="P827" s="29">
        <v>78.407828861932131</v>
      </c>
      <c r="Q827" s="29">
        <v>78.264776926392074</v>
      </c>
      <c r="R827" s="29">
        <v>77.8598598933049</v>
      </c>
      <c r="S827" s="29">
        <v>76.875397724105113</v>
      </c>
      <c r="T827" s="29">
        <v>76.856883407663474</v>
      </c>
      <c r="U827" s="29">
        <v>75.76462391204025</v>
      </c>
      <c r="W827" s="30">
        <v>78.651261106660115</v>
      </c>
      <c r="X827" s="30">
        <v>86.906602717342224</v>
      </c>
      <c r="Y827" s="30">
        <v>91.549855076053433</v>
      </c>
      <c r="Z827" s="30">
        <v>87.551561805906431</v>
      </c>
      <c r="AA827" s="30">
        <v>88.368097349316542</v>
      </c>
      <c r="AB827" s="30">
        <v>93.059038582630066</v>
      </c>
      <c r="AC827" s="30">
        <v>99.474058890313856</v>
      </c>
      <c r="AD827" s="90">
        <v>0</v>
      </c>
      <c r="AF827" s="29">
        <f t="shared" si="1543"/>
        <v>78.548134001547155</v>
      </c>
      <c r="AG827" s="30">
        <f t="shared" si="1544"/>
        <v>78.651261106660115</v>
      </c>
      <c r="AH827" s="32">
        <f t="shared" si="1545"/>
        <v>0.10312710511296075</v>
      </c>
      <c r="AI827" s="33">
        <f t="shared" si="1546"/>
        <v>1.3129160408944848E-3</v>
      </c>
      <c r="AK827" s="29">
        <f t="shared" si="1535"/>
        <v>78.068239367901754</v>
      </c>
      <c r="AL827" s="30">
        <f t="shared" si="1536"/>
        <v>86.906602717342224</v>
      </c>
      <c r="AM827" s="32">
        <f t="shared" si="1547"/>
        <v>8.8383633494404705</v>
      </c>
      <c r="AN827" s="33">
        <f t="shared" si="1548"/>
        <v>0.11321330442446764</v>
      </c>
      <c r="AP827" s="29">
        <f t="shared" si="1549"/>
        <v>78.407828861932131</v>
      </c>
      <c r="AQ827" s="30">
        <f t="shared" si="1550"/>
        <v>91.549855076053433</v>
      </c>
      <c r="AR827" s="32">
        <f t="shared" si="1551"/>
        <v>13.142026214121302</v>
      </c>
      <c r="AS827" s="33">
        <f t="shared" si="1552"/>
        <v>0.16761114808143732</v>
      </c>
      <c r="AU827" s="31">
        <f t="shared" si="1553"/>
        <v>78.264776926392074</v>
      </c>
      <c r="AV827" s="25">
        <f t="shared" si="1554"/>
        <v>87.551561805906431</v>
      </c>
      <c r="AW827" s="32">
        <f t="shared" si="1555"/>
        <v>9.2867848795143573</v>
      </c>
      <c r="AX827" s="33">
        <f t="shared" si="1556"/>
        <v>0.11865854914847029</v>
      </c>
      <c r="AZ827" s="31">
        <f t="shared" si="1537"/>
        <v>77.8598598933049</v>
      </c>
      <c r="BA827" s="25">
        <f t="shared" si="1538"/>
        <v>88.368097349316542</v>
      </c>
      <c r="BB827" s="32">
        <f t="shared" si="1557"/>
        <v>10.508237456011642</v>
      </c>
      <c r="BC827" s="33">
        <f t="shared" si="1558"/>
        <v>0.13496347759181154</v>
      </c>
      <c r="BE827" s="31">
        <f t="shared" si="1559"/>
        <v>76.875397724105113</v>
      </c>
      <c r="BF827" s="25">
        <f t="shared" si="1560"/>
        <v>93.059038582630066</v>
      </c>
      <c r="BG827" s="32">
        <f t="shared" si="1561"/>
        <v>16.183640858524953</v>
      </c>
      <c r="BH827" s="33">
        <f t="shared" si="1562"/>
        <v>0.21051781633190039</v>
      </c>
      <c r="BJ827" s="31">
        <f t="shared" si="1539"/>
        <v>76.856883407663474</v>
      </c>
      <c r="BK827" s="25">
        <f t="shared" si="1540"/>
        <v>99.474058890313856</v>
      </c>
      <c r="BL827" s="32">
        <f t="shared" si="1541"/>
        <v>22.617175482650381</v>
      </c>
      <c r="BM827" s="33">
        <f t="shared" si="1542"/>
        <v>0.29427651083227768</v>
      </c>
      <c r="BO827" s="62"/>
      <c r="BP827" s="62"/>
      <c r="BQ827" s="62"/>
      <c r="BR827" s="63"/>
    </row>
    <row r="828" spans="1:70">
      <c r="A828" s="1"/>
      <c r="B828" s="1284"/>
      <c r="D828" s="4" t="s">
        <v>174</v>
      </c>
      <c r="E828" s="88">
        <f t="shared" ref="E828:L828" si="1563">SUM(E814:E827)</f>
        <v>794.71408600693803</v>
      </c>
      <c r="F828" s="88">
        <f t="shared" si="1563"/>
        <v>787.14098253443206</v>
      </c>
      <c r="G828" s="88">
        <f t="shared" si="1563"/>
        <v>780.1815000899021</v>
      </c>
      <c r="H828" s="88">
        <f t="shared" si="1563"/>
        <v>782.25147435369172</v>
      </c>
      <c r="I828" s="88">
        <f t="shared" si="1563"/>
        <v>780.19072997361695</v>
      </c>
      <c r="J828" s="88">
        <f t="shared" si="1563"/>
        <v>776.61429080263622</v>
      </c>
      <c r="K828" s="88">
        <f t="shared" si="1563"/>
        <v>779.805903791692</v>
      </c>
      <c r="L828" s="88">
        <f t="shared" si="1563"/>
        <v>778.70467972340839</v>
      </c>
      <c r="M828" s="1"/>
      <c r="N828" s="81">
        <f t="shared" ref="N828:U828" si="1564">SUM(N814:N827)</f>
        <v>789.4842852007198</v>
      </c>
      <c r="O828" s="81">
        <f t="shared" si="1564"/>
        <v>780.64214756430215</v>
      </c>
      <c r="P828" s="81">
        <f t="shared" si="1564"/>
        <v>769.53820298537698</v>
      </c>
      <c r="Q828" s="81">
        <f t="shared" si="1564"/>
        <v>767.98955015430522</v>
      </c>
      <c r="R828" s="81">
        <f t="shared" si="1564"/>
        <v>762.08836958494771</v>
      </c>
      <c r="S828" s="81">
        <f t="shared" si="1564"/>
        <v>756.10842888804711</v>
      </c>
      <c r="T828" s="81">
        <f t="shared" si="1564"/>
        <v>754.1885719160025</v>
      </c>
      <c r="U828" s="81">
        <f t="shared" si="1564"/>
        <v>747.15722676572727</v>
      </c>
      <c r="V828" s="1"/>
      <c r="W828" s="85">
        <f t="shared" ref="W828:AD828" si="1565">SUM(W814:W827)</f>
        <v>837.87760517750598</v>
      </c>
      <c r="X828" s="85">
        <f t="shared" si="1565"/>
        <v>851.43338669257116</v>
      </c>
      <c r="Y828" s="85">
        <f t="shared" si="1565"/>
        <v>895.47439402687576</v>
      </c>
      <c r="Z828" s="85">
        <f>SUM(Z814:Z827)</f>
        <v>869.35933003796481</v>
      </c>
      <c r="AA828" s="85">
        <f>SUM(AA814:AA827)</f>
        <v>871.87676116464445</v>
      </c>
      <c r="AB828" s="85">
        <f t="shared" si="1565"/>
        <v>855.12796306272639</v>
      </c>
      <c r="AC828" s="85">
        <f t="shared" ref="AC828" si="1566">SUM(AC814:AC827)</f>
        <v>868.14725233323657</v>
      </c>
      <c r="AD828" s="91">
        <f t="shared" si="1565"/>
        <v>0</v>
      </c>
      <c r="AE828" s="1"/>
      <c r="AF828" s="81">
        <f t="shared" si="1543"/>
        <v>789.4842852007198</v>
      </c>
      <c r="AG828" s="85">
        <f t="shared" si="1544"/>
        <v>837.87760517750598</v>
      </c>
      <c r="AH828" s="34">
        <f t="shared" si="1545"/>
        <v>48.393319976786188</v>
      </c>
      <c r="AI828" s="35">
        <f t="shared" si="1546"/>
        <v>6.129738220752879E-2</v>
      </c>
      <c r="AK828" s="81">
        <f t="shared" si="1535"/>
        <v>780.64214756430215</v>
      </c>
      <c r="AL828" s="85">
        <f t="shared" si="1536"/>
        <v>851.43338669257116</v>
      </c>
      <c r="AM828" s="34">
        <f t="shared" si="1547"/>
        <v>70.791239128269012</v>
      </c>
      <c r="AN828" s="35">
        <f t="shared" si="1548"/>
        <v>9.0683342360063743E-2</v>
      </c>
      <c r="AP828" s="81">
        <f t="shared" si="1549"/>
        <v>769.53820298537698</v>
      </c>
      <c r="AQ828" s="85">
        <f t="shared" si="1550"/>
        <v>895.47439402687576</v>
      </c>
      <c r="AR828" s="34">
        <f t="shared" si="1551"/>
        <v>125.93619104149877</v>
      </c>
      <c r="AS828" s="35">
        <f t="shared" si="1552"/>
        <v>0.16365164270329521</v>
      </c>
      <c r="AU828" s="949">
        <f t="shared" si="1553"/>
        <v>767.98955015430522</v>
      </c>
      <c r="AV828" s="843">
        <f t="shared" si="1554"/>
        <v>869.35933003796481</v>
      </c>
      <c r="AW828" s="34">
        <f t="shared" si="1555"/>
        <v>101.36977988365959</v>
      </c>
      <c r="AX828" s="35">
        <f t="shared" si="1556"/>
        <v>0.13199369687164658</v>
      </c>
      <c r="AZ828" s="949">
        <f t="shared" si="1537"/>
        <v>762.08836958494771</v>
      </c>
      <c r="BA828" s="843">
        <f t="shared" si="1538"/>
        <v>871.87676116464445</v>
      </c>
      <c r="BB828" s="34">
        <f t="shared" si="1557"/>
        <v>109.78839157969674</v>
      </c>
      <c r="BC828" s="35">
        <f t="shared" si="1558"/>
        <v>0.14406254702389729</v>
      </c>
      <c r="BE828" s="31">
        <f t="shared" si="1559"/>
        <v>756.10842888804711</v>
      </c>
      <c r="BF828" s="25">
        <f t="shared" si="1560"/>
        <v>855.12796306272639</v>
      </c>
      <c r="BG828" s="32">
        <f t="shared" si="1561"/>
        <v>99.019534174679279</v>
      </c>
      <c r="BH828" s="33">
        <f t="shared" si="1562"/>
        <v>0.13095943702188323</v>
      </c>
      <c r="BJ828" s="31">
        <f t="shared" si="1539"/>
        <v>754.1885719160025</v>
      </c>
      <c r="BK828" s="25">
        <f t="shared" si="1540"/>
        <v>868.14725233323657</v>
      </c>
      <c r="BL828" s="32">
        <f t="shared" si="1541"/>
        <v>113.95868041723406</v>
      </c>
      <c r="BM828" s="33">
        <f t="shared" si="1542"/>
        <v>0.15110104377175074</v>
      </c>
      <c r="BO828" s="62"/>
      <c r="BP828" s="62"/>
      <c r="BQ828" s="62"/>
      <c r="BR828" s="63"/>
    </row>
    <row r="829" spans="1:70">
      <c r="A829" s="1"/>
      <c r="B829" s="1284"/>
      <c r="D829" s="4" t="s">
        <v>724</v>
      </c>
      <c r="E829" s="88">
        <f t="shared" ref="E829:L829" si="1567">E828-SUM(E817:E820)</f>
        <v>568.5024020394568</v>
      </c>
      <c r="F829" s="88">
        <f t="shared" si="1567"/>
        <v>560.45475885202143</v>
      </c>
      <c r="G829" s="88">
        <f t="shared" si="1567"/>
        <v>554.11567755061458</v>
      </c>
      <c r="H829" s="88">
        <f t="shared" si="1567"/>
        <v>554.79365243365544</v>
      </c>
      <c r="I829" s="88">
        <f t="shared" si="1567"/>
        <v>550.78219159085916</v>
      </c>
      <c r="J829" s="88">
        <f t="shared" si="1567"/>
        <v>544.43986406519343</v>
      </c>
      <c r="K829" s="88">
        <f t="shared" si="1567"/>
        <v>545.90829281869946</v>
      </c>
      <c r="L829" s="88">
        <f t="shared" si="1567"/>
        <v>542.92730729581194</v>
      </c>
      <c r="M829" s="1"/>
      <c r="N829" s="81">
        <f t="shared" ref="N829:U829" si="1568">N828-SUM(N817:N820)</f>
        <v>563.27260123323856</v>
      </c>
      <c r="O829" s="81">
        <f t="shared" si="1568"/>
        <v>553.95592388189152</v>
      </c>
      <c r="P829" s="81">
        <f t="shared" si="1568"/>
        <v>543.47238044608946</v>
      </c>
      <c r="Q829" s="81">
        <f t="shared" si="1568"/>
        <v>540.53172823426894</v>
      </c>
      <c r="R829" s="81">
        <f t="shared" si="1568"/>
        <v>532.67983120218992</v>
      </c>
      <c r="S829" s="81">
        <f t="shared" si="1568"/>
        <v>523.93400215060433</v>
      </c>
      <c r="T829" s="81">
        <f t="shared" si="1568"/>
        <v>520.29096094300996</v>
      </c>
      <c r="U829" s="81">
        <f t="shared" si="1568"/>
        <v>511.37985433813083</v>
      </c>
      <c r="V829" s="1"/>
      <c r="W829" s="85">
        <f t="shared" ref="W829:AD829" si="1569">W828-SUM(W817:W820)</f>
        <v>570.81938194530335</v>
      </c>
      <c r="X829" s="85">
        <f t="shared" si="1569"/>
        <v>588.29286014686409</v>
      </c>
      <c r="Y829" s="85">
        <f t="shared" si="1569"/>
        <v>641.4554059996085</v>
      </c>
      <c r="Z829" s="85">
        <f>Z828-SUM(Z817:Z820)</f>
        <v>619.34692812344065</v>
      </c>
      <c r="AA829" s="85">
        <f>AA828-SUM(AA817:AA820)</f>
        <v>632.36136989359625</v>
      </c>
      <c r="AB829" s="85">
        <f t="shared" si="1569"/>
        <v>627.01404307578014</v>
      </c>
      <c r="AC829" s="85">
        <f t="shared" ref="AC829" si="1570">AC828-SUM(AC817:AC820)</f>
        <v>641.02525233323661</v>
      </c>
      <c r="AD829" s="91">
        <f t="shared" si="1569"/>
        <v>0</v>
      </c>
      <c r="AE829" s="1"/>
      <c r="AF829" s="81">
        <f t="shared" si="1543"/>
        <v>563.27260123323856</v>
      </c>
      <c r="AG829" s="85">
        <f t="shared" si="1544"/>
        <v>570.81938194530335</v>
      </c>
      <c r="AH829" s="34">
        <f t="shared" si="1545"/>
        <v>7.5467807120647876</v>
      </c>
      <c r="AI829" s="35">
        <f t="shared" si="1546"/>
        <v>1.3398096579776361E-2</v>
      </c>
      <c r="AK829" s="81">
        <f t="shared" si="1535"/>
        <v>553.95592388189152</v>
      </c>
      <c r="AL829" s="85">
        <f t="shared" si="1536"/>
        <v>588.29286014686409</v>
      </c>
      <c r="AM829" s="34">
        <f t="shared" si="1547"/>
        <v>34.336936264972564</v>
      </c>
      <c r="AN829" s="35">
        <f t="shared" si="1548"/>
        <v>6.1984960869005012E-2</v>
      </c>
      <c r="AP829" s="81">
        <f t="shared" si="1549"/>
        <v>543.47238044608946</v>
      </c>
      <c r="AQ829" s="85">
        <f>Y829</f>
        <v>641.4554059996085</v>
      </c>
      <c r="AR829" s="34">
        <f t="shared" si="1551"/>
        <v>97.983025553519042</v>
      </c>
      <c r="AS829" s="35">
        <f t="shared" si="1552"/>
        <v>0.18029071776029032</v>
      </c>
      <c r="AU829" s="949">
        <f t="shared" si="1553"/>
        <v>540.53172823426894</v>
      </c>
      <c r="AV829" s="843">
        <f t="shared" si="1554"/>
        <v>619.34692812344065</v>
      </c>
      <c r="AW829" s="34">
        <f t="shared" si="1555"/>
        <v>78.815199889171708</v>
      </c>
      <c r="AX829" s="35">
        <f t="shared" si="1556"/>
        <v>0.14581049690946696</v>
      </c>
      <c r="AZ829" s="949">
        <f t="shared" si="1537"/>
        <v>532.67983120218992</v>
      </c>
      <c r="BA829" s="843">
        <f t="shared" si="1538"/>
        <v>632.36136989359625</v>
      </c>
      <c r="BB829" s="34">
        <f t="shared" si="1557"/>
        <v>99.681538691406331</v>
      </c>
      <c r="BC829" s="35">
        <f t="shared" si="1558"/>
        <v>0.18713218119491762</v>
      </c>
      <c r="BE829" s="31">
        <f t="shared" si="1559"/>
        <v>523.93400215060433</v>
      </c>
      <c r="BF829" s="25">
        <f t="shared" si="1560"/>
        <v>627.01404307578014</v>
      </c>
      <c r="BG829" s="32">
        <f t="shared" si="1561"/>
        <v>103.08004092517581</v>
      </c>
      <c r="BH829" s="33">
        <f t="shared" si="1562"/>
        <v>0.19674241507911439</v>
      </c>
      <c r="BJ829" s="31">
        <f t="shared" si="1539"/>
        <v>520.29096094300996</v>
      </c>
      <c r="BK829" s="25">
        <f t="shared" si="1540"/>
        <v>641.02525233323661</v>
      </c>
      <c r="BL829" s="32">
        <f t="shared" si="1541"/>
        <v>120.73429139022664</v>
      </c>
      <c r="BM829" s="33">
        <f t="shared" si="1542"/>
        <v>0.23205148744348697</v>
      </c>
      <c r="BO829" s="62"/>
      <c r="BP829" s="62"/>
      <c r="BQ829" s="62"/>
      <c r="BR829" s="63"/>
    </row>
    <row r="830" spans="1:70" ht="14.5" customHeight="1">
      <c r="B830" s="1284"/>
    </row>
    <row r="831" spans="1:70" ht="14.5" customHeight="1">
      <c r="B831" s="1284"/>
      <c r="D831" s="1" t="s">
        <v>107</v>
      </c>
    </row>
    <row r="832" spans="1:70" ht="14.5" customHeight="1">
      <c r="B832" s="1284"/>
      <c r="E832" s="1300" t="s">
        <v>733</v>
      </c>
      <c r="F832" s="1301"/>
      <c r="G832" s="1301"/>
      <c r="H832" s="1301"/>
      <c r="I832" s="1301"/>
      <c r="J832" s="1301"/>
      <c r="K832" s="1301"/>
      <c r="L832" s="1302"/>
      <c r="N832" s="245" t="s">
        <v>291</v>
      </c>
      <c r="O832" s="246"/>
      <c r="P832" s="246"/>
      <c r="Q832" s="246"/>
      <c r="R832" s="246"/>
      <c r="S832" s="246"/>
      <c r="T832" s="246"/>
      <c r="U832" s="247"/>
      <c r="W832" s="1079" t="s">
        <v>292</v>
      </c>
      <c r="X832" s="1080"/>
      <c r="Y832" s="1080"/>
      <c r="Z832" s="1080"/>
      <c r="AA832" s="1080"/>
      <c r="AB832" s="1080"/>
      <c r="AC832" s="1080"/>
      <c r="AD832" s="1081"/>
      <c r="AF832" s="102" t="s">
        <v>297</v>
      </c>
      <c r="AG832" s="102" t="s">
        <v>298</v>
      </c>
      <c r="AH832" s="1304" t="s">
        <v>602</v>
      </c>
      <c r="AI832" s="1304"/>
      <c r="AK832" s="102" t="s">
        <v>297</v>
      </c>
      <c r="AL832" s="102" t="s">
        <v>298</v>
      </c>
      <c r="AM832" s="1304" t="s">
        <v>602</v>
      </c>
      <c r="AN832" s="1304"/>
      <c r="AP832" s="6" t="s">
        <v>297</v>
      </c>
      <c r="AQ832" s="5" t="s">
        <v>298</v>
      </c>
      <c r="AR832" s="1303" t="s">
        <v>602</v>
      </c>
      <c r="AS832" s="1303"/>
      <c r="AU832" s="6" t="s">
        <v>297</v>
      </c>
      <c r="AV832" s="5" t="s">
        <v>298</v>
      </c>
      <c r="AW832" s="1303" t="s">
        <v>602</v>
      </c>
      <c r="AX832" s="1303"/>
      <c r="AZ832" s="6" t="s">
        <v>297</v>
      </c>
      <c r="BA832" s="5" t="s">
        <v>298</v>
      </c>
      <c r="BB832" s="1303" t="s">
        <v>602</v>
      </c>
      <c r="BC832" s="1303"/>
      <c r="BE832" s="6" t="s">
        <v>297</v>
      </c>
      <c r="BF832" s="5" t="s">
        <v>298</v>
      </c>
      <c r="BG832" s="1082" t="s">
        <v>602</v>
      </c>
      <c r="BH832" s="1082"/>
      <c r="BJ832" s="6" t="s">
        <v>297</v>
      </c>
      <c r="BK832" s="5" t="s">
        <v>298</v>
      </c>
      <c r="BL832" s="1082" t="s">
        <v>602</v>
      </c>
      <c r="BM832" s="1082"/>
      <c r="BO832" s="6" t="s">
        <v>297</v>
      </c>
      <c r="BP832" s="5" t="s">
        <v>298</v>
      </c>
      <c r="BQ832" s="1303" t="s">
        <v>602</v>
      </c>
      <c r="BR832" s="1303"/>
    </row>
    <row r="833" spans="1:70" ht="14.5" customHeight="1">
      <c r="A833" s="1"/>
      <c r="B833" s="1284"/>
      <c r="E833" s="196" t="s">
        <v>137</v>
      </c>
      <c r="F833" s="102" t="s">
        <v>138</v>
      </c>
      <c r="G833" s="102" t="s">
        <v>139</v>
      </c>
      <c r="H833" s="102" t="s">
        <v>140</v>
      </c>
      <c r="I833" s="102" t="s">
        <v>141</v>
      </c>
      <c r="J833" s="102" t="s">
        <v>126</v>
      </c>
      <c r="K833" s="102" t="s">
        <v>142</v>
      </c>
      <c r="L833" s="197" t="s">
        <v>143</v>
      </c>
      <c r="N833" s="196" t="s">
        <v>137</v>
      </c>
      <c r="O833" s="102" t="s">
        <v>138</v>
      </c>
      <c r="P833" s="102" t="s">
        <v>139</v>
      </c>
      <c r="Q833" s="102" t="s">
        <v>140</v>
      </c>
      <c r="R833" s="102" t="s">
        <v>141</v>
      </c>
      <c r="S833" s="102" t="s">
        <v>126</v>
      </c>
      <c r="T833" s="102" t="s">
        <v>142</v>
      </c>
      <c r="U833" s="197" t="s">
        <v>143</v>
      </c>
      <c r="W833" s="196" t="s">
        <v>137</v>
      </c>
      <c r="X833" s="1078" t="s">
        <v>138</v>
      </c>
      <c r="Y833" s="1078" t="s">
        <v>139</v>
      </c>
      <c r="Z833" s="1078" t="s">
        <v>140</v>
      </c>
      <c r="AA833" s="1078" t="s">
        <v>141</v>
      </c>
      <c r="AB833" s="1078" t="s">
        <v>126</v>
      </c>
      <c r="AC833" s="1078" t="s">
        <v>142</v>
      </c>
      <c r="AD833" s="197" t="s">
        <v>143</v>
      </c>
      <c r="AF833" s="102" t="s">
        <v>734</v>
      </c>
      <c r="AG833" s="102" t="s">
        <v>734</v>
      </c>
      <c r="AH833" s="102" t="s">
        <v>734</v>
      </c>
      <c r="AI833" s="102" t="s">
        <v>606</v>
      </c>
      <c r="AK833" s="102" t="s">
        <v>734</v>
      </c>
      <c r="AL833" s="102" t="s">
        <v>734</v>
      </c>
      <c r="AM833" s="102" t="s">
        <v>734</v>
      </c>
      <c r="AN833" s="102" t="s">
        <v>606</v>
      </c>
      <c r="AP833" s="5" t="s">
        <v>734</v>
      </c>
      <c r="AQ833" s="5" t="s">
        <v>734</v>
      </c>
      <c r="AR833" s="5" t="s">
        <v>734</v>
      </c>
      <c r="AS833" s="5" t="s">
        <v>606</v>
      </c>
      <c r="AU833" s="5" t="s">
        <v>734</v>
      </c>
      <c r="AV833" s="5" t="s">
        <v>734</v>
      </c>
      <c r="AW833" s="5" t="s">
        <v>734</v>
      </c>
      <c r="AX833" s="5" t="s">
        <v>606</v>
      </c>
      <c r="AZ833" s="5" t="s">
        <v>734</v>
      </c>
      <c r="BA833" s="5" t="s">
        <v>734</v>
      </c>
      <c r="BB833" s="5" t="s">
        <v>734</v>
      </c>
      <c r="BC833" s="5" t="s">
        <v>606</v>
      </c>
      <c r="BE833" s="5" t="s">
        <v>734</v>
      </c>
      <c r="BF833" s="5" t="s">
        <v>734</v>
      </c>
      <c r="BG833" s="5" t="s">
        <v>734</v>
      </c>
      <c r="BH833" s="5" t="s">
        <v>606</v>
      </c>
      <c r="BJ833" s="5" t="s">
        <v>734</v>
      </c>
      <c r="BK833" s="5" t="s">
        <v>734</v>
      </c>
      <c r="BL833" s="5" t="s">
        <v>734</v>
      </c>
      <c r="BM833" s="5" t="s">
        <v>606</v>
      </c>
      <c r="BO833" s="5" t="s">
        <v>734</v>
      </c>
      <c r="BP833" s="5" t="s">
        <v>734</v>
      </c>
      <c r="BQ833" s="5" t="s">
        <v>734</v>
      </c>
      <c r="BR833" s="5" t="s">
        <v>606</v>
      </c>
    </row>
    <row r="834" spans="1:70">
      <c r="B834" s="1284"/>
      <c r="D834" s="5" t="s">
        <v>161</v>
      </c>
      <c r="E834" s="87">
        <v>40.852117063604176</v>
      </c>
      <c r="F834" s="87">
        <v>38.933398196751057</v>
      </c>
      <c r="G834" s="87">
        <v>38.677232873210137</v>
      </c>
      <c r="H834" s="87">
        <v>38.552649233848953</v>
      </c>
      <c r="I834" s="87">
        <v>38.095112229012358</v>
      </c>
      <c r="J834" s="87">
        <v>39.248411940609436</v>
      </c>
      <c r="K834" s="87">
        <v>39.00616877444746</v>
      </c>
      <c r="L834" s="87">
        <v>38.018189581783609</v>
      </c>
      <c r="N834" s="29">
        <v>39.760963324215062</v>
      </c>
      <c r="O834" s="29">
        <v>38.02776106543017</v>
      </c>
      <c r="P834" s="29">
        <v>37.485336758136498</v>
      </c>
      <c r="Q834" s="29">
        <v>37.366549476696477</v>
      </c>
      <c r="R834" s="29">
        <v>36.732112920532899</v>
      </c>
      <c r="S834" s="29">
        <v>37.237910703237461</v>
      </c>
      <c r="T834" s="29">
        <v>36.824974419632703</v>
      </c>
      <c r="U834" s="29">
        <v>35.90611172856898</v>
      </c>
      <c r="W834" s="30">
        <v>36.306757426485134</v>
      </c>
      <c r="X834" s="30">
        <v>21.757961793877509</v>
      </c>
      <c r="Y834" s="30">
        <v>38.902158569173409</v>
      </c>
      <c r="Z834" s="30">
        <v>37.946768533183246</v>
      </c>
      <c r="AA834" s="30">
        <v>41.102315691644975</v>
      </c>
      <c r="AB834" s="30">
        <v>41.234875866459689</v>
      </c>
      <c r="AC834" s="30">
        <v>45.24783127590397</v>
      </c>
      <c r="AD834" s="90">
        <v>0</v>
      </c>
      <c r="AF834" s="29">
        <f>N834</f>
        <v>39.760963324215062</v>
      </c>
      <c r="AG834" s="30">
        <f>W834</f>
        <v>36.306757426485134</v>
      </c>
      <c r="AH834" s="32">
        <f>IF(AG834&gt;0,AG834-AF834,"")</f>
        <v>-3.4542058977299277</v>
      </c>
      <c r="AI834" s="33">
        <f>IF(AG834&gt;0,AH834/AF834,"")</f>
        <v>-8.6874301046581059E-2</v>
      </c>
      <c r="AK834" s="29">
        <f t="shared" ref="AK834:AK849" si="1571">O834</f>
        <v>38.02776106543017</v>
      </c>
      <c r="AL834" s="30">
        <f t="shared" ref="AL834:AL849" si="1572">X834</f>
        <v>21.757961793877509</v>
      </c>
      <c r="AM834" s="32">
        <f>IF(AL834&gt;0,AL834-AK834,"")</f>
        <v>-16.26979927155266</v>
      </c>
      <c r="AN834" s="33">
        <f>IF(AL834&gt;0,AM834/AK834,"")</f>
        <v>-0.42784005199672454</v>
      </c>
      <c r="AP834" s="29">
        <f>P834</f>
        <v>37.485336758136498</v>
      </c>
      <c r="AQ834" s="30">
        <f>Y834</f>
        <v>38.902158569173409</v>
      </c>
      <c r="AR834" s="32">
        <f>AQ834-AP834</f>
        <v>1.4168218110369111</v>
      </c>
      <c r="AS834" s="33">
        <f>AR834/AP834</f>
        <v>3.7796694216155821E-2</v>
      </c>
      <c r="AU834" s="31">
        <f>Q834</f>
        <v>37.366549476696477</v>
      </c>
      <c r="AV834" s="25">
        <f>Z834</f>
        <v>37.946768533183246</v>
      </c>
      <c r="AW834" s="32">
        <f>AV834-AU834</f>
        <v>0.58021905648676864</v>
      </c>
      <c r="AX834" s="33">
        <f>AW834/AU834</f>
        <v>1.5527766534842086E-2</v>
      </c>
      <c r="AZ834" s="31">
        <f t="shared" ref="AZ834:AZ849" si="1573">R834</f>
        <v>36.732112920532899</v>
      </c>
      <c r="BA834" s="25">
        <f t="shared" ref="BA834:BA849" si="1574">AA834</f>
        <v>41.102315691644975</v>
      </c>
      <c r="BB834" s="32">
        <f>BA834-AZ834</f>
        <v>4.3702027711120763</v>
      </c>
      <c r="BC834" s="33">
        <f>BB834/AZ834</f>
        <v>0.11897499010107787</v>
      </c>
      <c r="BE834" s="31">
        <f>S834</f>
        <v>37.237910703237461</v>
      </c>
      <c r="BF834" s="25">
        <f>AB834</f>
        <v>41.234875866459689</v>
      </c>
      <c r="BG834" s="32">
        <f>BF834-BE834</f>
        <v>3.9969651632222281</v>
      </c>
      <c r="BH834" s="33">
        <f>BG834/BE834</f>
        <v>0.10733591352843359</v>
      </c>
      <c r="BJ834" s="31">
        <f t="shared" ref="BJ834:BJ849" si="1575">T834</f>
        <v>36.824974419632703</v>
      </c>
      <c r="BK834" s="25">
        <f t="shared" ref="BK834:BK849" si="1576">AC834</f>
        <v>45.24783127590397</v>
      </c>
      <c r="BL834" s="32">
        <f t="shared" ref="BL834:BL849" si="1577">BK834-BJ834</f>
        <v>8.4228568562712667</v>
      </c>
      <c r="BM834" s="33">
        <f t="shared" ref="BM834:BM849" si="1578">BL834/BJ834</f>
        <v>0.22872675375928414</v>
      </c>
      <c r="BO834" s="62"/>
      <c r="BP834" s="62"/>
      <c r="BQ834" s="62"/>
      <c r="BR834" s="63"/>
    </row>
    <row r="835" spans="1:70">
      <c r="B835" s="1284"/>
      <c r="D835" s="5" t="s">
        <v>162</v>
      </c>
      <c r="E835" s="87">
        <v>21.967999031263449</v>
      </c>
      <c r="F835" s="87">
        <v>22.040126426902088</v>
      </c>
      <c r="G835" s="87">
        <v>22.192396583874078</v>
      </c>
      <c r="H835" s="87">
        <v>22.309121560677415</v>
      </c>
      <c r="I835" s="87">
        <v>22.296082987501805</v>
      </c>
      <c r="J835" s="87">
        <v>22.303645917528982</v>
      </c>
      <c r="K835" s="87">
        <v>22.386236706282894</v>
      </c>
      <c r="L835" s="87">
        <v>22.437560258556648</v>
      </c>
      <c r="N835" s="29">
        <v>24.736727474494121</v>
      </c>
      <c r="O835" s="29">
        <v>24.726644526005106</v>
      </c>
      <c r="P835" s="29">
        <v>24.712787579072799</v>
      </c>
      <c r="Q835" s="29">
        <v>24.755030259322901</v>
      </c>
      <c r="R835" s="29">
        <v>24.512299352092768</v>
      </c>
      <c r="S835" s="29">
        <v>24.0708153070522</v>
      </c>
      <c r="T835" s="29">
        <v>23.845713842511355</v>
      </c>
      <c r="U835" s="29">
        <v>23.489718317291413</v>
      </c>
      <c r="W835" s="30">
        <v>23.279389990347564</v>
      </c>
      <c r="X835" s="30">
        <v>24.825663868539984</v>
      </c>
      <c r="Y835" s="30">
        <v>25.714943318815177</v>
      </c>
      <c r="Z835" s="30">
        <v>23.649508900628302</v>
      </c>
      <c r="AA835" s="30">
        <v>23.952111760587361</v>
      </c>
      <c r="AB835" s="30">
        <v>24.435746099379035</v>
      </c>
      <c r="AC835" s="30">
        <v>23.737596829928219</v>
      </c>
      <c r="AD835" s="90">
        <v>0</v>
      </c>
      <c r="AF835" s="29">
        <f t="shared" ref="AF835:AF849" si="1579">N835</f>
        <v>24.736727474494121</v>
      </c>
      <c r="AG835" s="30">
        <f t="shared" ref="AG835:AG849" si="1580">W835</f>
        <v>23.279389990347564</v>
      </c>
      <c r="AH835" s="32">
        <f t="shared" ref="AH835:AH849" si="1581">IF(AG835&gt;0,AG835-AF835,"")</f>
        <v>-1.4573374841465565</v>
      </c>
      <c r="AI835" s="33">
        <f t="shared" ref="AI835:AI849" si="1582">IF(AG835&gt;0,AH835/AF835,"")</f>
        <v>-5.8913915983802134E-2</v>
      </c>
      <c r="AK835" s="29">
        <f t="shared" si="1571"/>
        <v>24.726644526005106</v>
      </c>
      <c r="AL835" s="30">
        <f t="shared" si="1572"/>
        <v>24.825663868539984</v>
      </c>
      <c r="AM835" s="32">
        <f t="shared" ref="AM835:AM849" si="1583">IF(AL835&gt;0,AL835-AK835,"")</f>
        <v>9.9019342534877097E-2</v>
      </c>
      <c r="AN835" s="33">
        <f t="shared" ref="AN835:AN849" si="1584">IF(AL835&gt;0,AM835/AK835,"")</f>
        <v>4.0045604421068163E-3</v>
      </c>
      <c r="AP835" s="29">
        <f t="shared" ref="AP835:AP849" si="1585">P835</f>
        <v>24.712787579072799</v>
      </c>
      <c r="AQ835" s="30">
        <f t="shared" ref="AQ835:AQ848" si="1586">Y835</f>
        <v>25.714943318815177</v>
      </c>
      <c r="AR835" s="32">
        <f t="shared" ref="AR835:AR849" si="1587">AQ835-AP835</f>
        <v>1.0021557397423777</v>
      </c>
      <c r="AS835" s="33">
        <f t="shared" ref="AS835:AS849" si="1588">AR835/AP835</f>
        <v>4.0552112404794831E-2</v>
      </c>
      <c r="AU835" s="31">
        <f t="shared" ref="AU835:AU849" si="1589">Q835</f>
        <v>24.755030259322901</v>
      </c>
      <c r="AV835" s="25">
        <f t="shared" ref="AV835:AV849" si="1590">Z835</f>
        <v>23.649508900628302</v>
      </c>
      <c r="AW835" s="32">
        <f t="shared" ref="AW835:AW849" si="1591">AV835-AU835</f>
        <v>-1.1055213586945989</v>
      </c>
      <c r="AX835" s="33">
        <f t="shared" ref="AX835:AX849" si="1592">AW835/AU835</f>
        <v>-4.4658453135126043E-2</v>
      </c>
      <c r="AZ835" s="31">
        <f t="shared" si="1573"/>
        <v>24.512299352092768</v>
      </c>
      <c r="BA835" s="25">
        <f t="shared" si="1574"/>
        <v>23.952111760587361</v>
      </c>
      <c r="BB835" s="32">
        <f t="shared" ref="BB835:BB849" si="1593">BA835-AZ835</f>
        <v>-0.56018759150540731</v>
      </c>
      <c r="BC835" s="33">
        <f t="shared" ref="BC835:BC849" si="1594">BB835/AZ835</f>
        <v>-2.2853326954722451E-2</v>
      </c>
      <c r="BE835" s="31">
        <f t="shared" ref="BE835:BE849" si="1595">S835</f>
        <v>24.0708153070522</v>
      </c>
      <c r="BF835" s="25">
        <f t="shared" ref="BF835:BF849" si="1596">AB835</f>
        <v>24.435746099379035</v>
      </c>
      <c r="BG835" s="32">
        <f t="shared" ref="BG835:BG849" si="1597">BF835-BE835</f>
        <v>0.36493079232683456</v>
      </c>
      <c r="BH835" s="33">
        <f t="shared" ref="BH835:BH849" si="1598">BG835/BE835</f>
        <v>1.5160715898971571E-2</v>
      </c>
      <c r="BJ835" s="31">
        <f t="shared" si="1575"/>
        <v>23.845713842511355</v>
      </c>
      <c r="BK835" s="25">
        <f t="shared" si="1576"/>
        <v>23.737596829928219</v>
      </c>
      <c r="BL835" s="32">
        <f t="shared" si="1577"/>
        <v>-0.10811701258313633</v>
      </c>
      <c r="BM835" s="33">
        <f t="shared" si="1578"/>
        <v>-4.5340228980853105E-3</v>
      </c>
      <c r="BO835" s="62"/>
      <c r="BP835" s="62"/>
      <c r="BQ835" s="62"/>
      <c r="BR835" s="63"/>
    </row>
    <row r="836" spans="1:70">
      <c r="B836" s="1284"/>
      <c r="D836" s="5" t="s">
        <v>163</v>
      </c>
      <c r="E836" s="87">
        <v>25.664947783231462</v>
      </c>
      <c r="F836" s="87">
        <v>25.424880453586422</v>
      </c>
      <c r="G836" s="87">
        <v>25.36574838581144</v>
      </c>
      <c r="H836" s="87">
        <v>25.587950689977422</v>
      </c>
      <c r="I836" s="87">
        <v>25.464070968979094</v>
      </c>
      <c r="J836" s="87">
        <v>25.427738091351912</v>
      </c>
      <c r="K836" s="87">
        <v>25.453697871477154</v>
      </c>
      <c r="L836" s="87">
        <v>25.371499047075307</v>
      </c>
      <c r="N836" s="29">
        <v>28.632984715933425</v>
      </c>
      <c r="O836" s="29">
        <v>28.246141995880105</v>
      </c>
      <c r="P836" s="29">
        <v>28.152223197843245</v>
      </c>
      <c r="Q836" s="29">
        <v>28.353421113560717</v>
      </c>
      <c r="R836" s="29">
        <v>27.887295144560785</v>
      </c>
      <c r="S836" s="29">
        <v>27.427236326306552</v>
      </c>
      <c r="T836" s="29">
        <v>27.089136501718805</v>
      </c>
      <c r="U836" s="29">
        <v>26.618127952173193</v>
      </c>
      <c r="W836" s="30">
        <v>25.524521780824674</v>
      </c>
      <c r="X836" s="30">
        <v>27.164454880531078</v>
      </c>
      <c r="Y836" s="30">
        <v>28.323704674770099</v>
      </c>
      <c r="Z836" s="30">
        <v>27.498935723166504</v>
      </c>
      <c r="AA836" s="30">
        <v>29.150840446727969</v>
      </c>
      <c r="AB836" s="30">
        <v>27.429184454340302</v>
      </c>
      <c r="AC836" s="30">
        <v>26.289265328812863</v>
      </c>
      <c r="AD836" s="90">
        <v>0</v>
      </c>
      <c r="AF836" s="29">
        <f t="shared" si="1579"/>
        <v>28.632984715933425</v>
      </c>
      <c r="AG836" s="30">
        <f t="shared" si="1580"/>
        <v>25.524521780824674</v>
      </c>
      <c r="AH836" s="32">
        <f t="shared" si="1581"/>
        <v>-3.1084629351087507</v>
      </c>
      <c r="AI836" s="33">
        <f t="shared" si="1582"/>
        <v>-0.10856230902742672</v>
      </c>
      <c r="AK836" s="29">
        <f t="shared" si="1571"/>
        <v>28.246141995880105</v>
      </c>
      <c r="AL836" s="30">
        <f t="shared" si="1572"/>
        <v>27.164454880531078</v>
      </c>
      <c r="AM836" s="32">
        <f t="shared" si="1583"/>
        <v>-1.0816871153490268</v>
      </c>
      <c r="AN836" s="33">
        <f t="shared" si="1584"/>
        <v>-3.8295039213029458E-2</v>
      </c>
      <c r="AP836" s="29">
        <f t="shared" si="1585"/>
        <v>28.152223197843245</v>
      </c>
      <c r="AQ836" s="30">
        <f t="shared" si="1586"/>
        <v>28.323704674770099</v>
      </c>
      <c r="AR836" s="32">
        <f t="shared" si="1587"/>
        <v>0.17148147692685356</v>
      </c>
      <c r="AS836" s="33">
        <f t="shared" si="1588"/>
        <v>6.0912232658055527E-3</v>
      </c>
      <c r="AU836" s="31">
        <f t="shared" si="1589"/>
        <v>28.353421113560717</v>
      </c>
      <c r="AV836" s="25">
        <f t="shared" si="1590"/>
        <v>27.498935723166504</v>
      </c>
      <c r="AW836" s="32">
        <f t="shared" si="1591"/>
        <v>-0.85448539039421334</v>
      </c>
      <c r="AX836" s="33">
        <f t="shared" si="1592"/>
        <v>-3.0136941393133502E-2</v>
      </c>
      <c r="AZ836" s="31">
        <f t="shared" si="1573"/>
        <v>27.887295144560785</v>
      </c>
      <c r="BA836" s="25">
        <f t="shared" si="1574"/>
        <v>29.150840446727969</v>
      </c>
      <c r="BB836" s="32">
        <f t="shared" si="1593"/>
        <v>1.2635453021671843</v>
      </c>
      <c r="BC836" s="33">
        <f t="shared" si="1594"/>
        <v>4.5308994494348789E-2</v>
      </c>
      <c r="BE836" s="31">
        <f t="shared" si="1595"/>
        <v>27.427236326306552</v>
      </c>
      <c r="BF836" s="25">
        <f t="shared" si="1596"/>
        <v>27.429184454340302</v>
      </c>
      <c r="BG836" s="32">
        <f t="shared" si="1597"/>
        <v>1.9481280337494411E-3</v>
      </c>
      <c r="BH836" s="33">
        <f t="shared" si="1598"/>
        <v>7.1028958607867983E-5</v>
      </c>
      <c r="BJ836" s="31">
        <f t="shared" si="1575"/>
        <v>27.089136501718805</v>
      </c>
      <c r="BK836" s="25">
        <f t="shared" si="1576"/>
        <v>26.289265328812863</v>
      </c>
      <c r="BL836" s="32">
        <f t="shared" si="1577"/>
        <v>-0.79987117290594156</v>
      </c>
      <c r="BM836" s="33">
        <f t="shared" si="1578"/>
        <v>-2.9527377989888668E-2</v>
      </c>
      <c r="BO836" s="62"/>
      <c r="BP836" s="62"/>
      <c r="BQ836" s="62"/>
      <c r="BR836" s="63"/>
    </row>
    <row r="837" spans="1:70">
      <c r="B837" s="1284"/>
      <c r="D837" s="5" t="s">
        <v>164</v>
      </c>
      <c r="E837" s="87">
        <v>34.850200593562079</v>
      </c>
      <c r="F837" s="87">
        <v>34.901899374659294</v>
      </c>
      <c r="G837" s="87">
        <v>34.788031101529995</v>
      </c>
      <c r="H837" s="87">
        <v>34.878162260666123</v>
      </c>
      <c r="I837" s="87">
        <v>35.157462389632755</v>
      </c>
      <c r="J837" s="87">
        <v>35.353250335379499</v>
      </c>
      <c r="K837" s="87">
        <v>35.590784908488686</v>
      </c>
      <c r="L837" s="87">
        <v>35.64718883262055</v>
      </c>
      <c r="N837" s="29">
        <v>34.850200593562079</v>
      </c>
      <c r="O837" s="29">
        <v>34.901899374659294</v>
      </c>
      <c r="P837" s="29">
        <v>34.788031101529995</v>
      </c>
      <c r="Q837" s="29">
        <v>34.878162260666123</v>
      </c>
      <c r="R837" s="29">
        <v>35.157462389632755</v>
      </c>
      <c r="S837" s="29">
        <v>35.353250335379499</v>
      </c>
      <c r="T837" s="29">
        <v>35.590784908488686</v>
      </c>
      <c r="U837" s="29">
        <v>35.64718883262055</v>
      </c>
      <c r="W837" s="30">
        <v>31.813957411740219</v>
      </c>
      <c r="X837" s="30">
        <v>30.55969102765366</v>
      </c>
      <c r="Y837" s="30">
        <v>29.138776128013735</v>
      </c>
      <c r="Z837" s="30">
        <v>28.382892876304233</v>
      </c>
      <c r="AA837" s="30">
        <v>28.898182858637089</v>
      </c>
      <c r="AB837" s="30">
        <v>29.886577443425001</v>
      </c>
      <c r="AC837" s="30">
        <v>35.716099999999997</v>
      </c>
      <c r="AD837" s="90">
        <v>0</v>
      </c>
      <c r="AF837" s="29">
        <f t="shared" si="1579"/>
        <v>34.850200593562079</v>
      </c>
      <c r="AG837" s="30">
        <f t="shared" si="1580"/>
        <v>31.813957411740219</v>
      </c>
      <c r="AH837" s="32">
        <f t="shared" si="1581"/>
        <v>-3.0362431818218596</v>
      </c>
      <c r="AI837" s="33">
        <f t="shared" si="1582"/>
        <v>-8.7122688825577332E-2</v>
      </c>
      <c r="AK837" s="29">
        <f t="shared" si="1571"/>
        <v>34.901899374659294</v>
      </c>
      <c r="AL837" s="30">
        <f t="shared" si="1572"/>
        <v>30.55969102765366</v>
      </c>
      <c r="AM837" s="32">
        <f t="shared" si="1583"/>
        <v>-4.3422083470056343</v>
      </c>
      <c r="AN837" s="33">
        <f t="shared" si="1584"/>
        <v>-0.12441180637172765</v>
      </c>
      <c r="AP837" s="29">
        <f t="shared" si="1585"/>
        <v>34.788031101529995</v>
      </c>
      <c r="AQ837" s="30">
        <f t="shared" si="1586"/>
        <v>29.138776128013735</v>
      </c>
      <c r="AR837" s="32">
        <f t="shared" si="1587"/>
        <v>-5.6492549735162605</v>
      </c>
      <c r="AS837" s="33">
        <f t="shared" si="1588"/>
        <v>-0.16239076471527597</v>
      </c>
      <c r="AU837" s="31">
        <f t="shared" si="1589"/>
        <v>34.878162260666123</v>
      </c>
      <c r="AV837" s="25">
        <f t="shared" si="1590"/>
        <v>28.382892876304233</v>
      </c>
      <c r="AW837" s="32">
        <f t="shared" si="1591"/>
        <v>-6.4952693843618903</v>
      </c>
      <c r="AX837" s="33">
        <f t="shared" si="1592"/>
        <v>-0.18622739741327873</v>
      </c>
      <c r="AZ837" s="31">
        <f t="shared" si="1573"/>
        <v>35.157462389632755</v>
      </c>
      <c r="BA837" s="25">
        <f t="shared" si="1574"/>
        <v>28.898182858637089</v>
      </c>
      <c r="BB837" s="32">
        <f t="shared" si="1593"/>
        <v>-6.2592795309956664</v>
      </c>
      <c r="BC837" s="33">
        <f t="shared" si="1594"/>
        <v>-0.17803558919091397</v>
      </c>
      <c r="BE837" s="31">
        <f t="shared" si="1595"/>
        <v>35.353250335379499</v>
      </c>
      <c r="BF837" s="25">
        <f t="shared" si="1596"/>
        <v>29.886577443425001</v>
      </c>
      <c r="BG837" s="32">
        <f t="shared" si="1597"/>
        <v>-5.4666728919544987</v>
      </c>
      <c r="BH837" s="33">
        <f t="shared" si="1598"/>
        <v>-0.15462999413334752</v>
      </c>
      <c r="BJ837" s="31">
        <f t="shared" si="1575"/>
        <v>35.590784908488686</v>
      </c>
      <c r="BK837" s="25">
        <f t="shared" si="1576"/>
        <v>35.716099999999997</v>
      </c>
      <c r="BL837" s="32">
        <f t="shared" si="1577"/>
        <v>0.12531509151131104</v>
      </c>
      <c r="BM837" s="33">
        <f t="shared" si="1578"/>
        <v>3.5209982537199509E-3</v>
      </c>
      <c r="BO837" s="62"/>
      <c r="BP837" s="62"/>
      <c r="BQ837" s="62"/>
      <c r="BR837" s="63"/>
    </row>
    <row r="838" spans="1:70">
      <c r="B838" s="1284"/>
      <c r="D838" s="5" t="s">
        <v>165</v>
      </c>
      <c r="E838" s="87">
        <v>36.297523233765432</v>
      </c>
      <c r="F838" s="87">
        <v>36.303484148795746</v>
      </c>
      <c r="G838" s="87">
        <v>36.124111949813482</v>
      </c>
      <c r="H838" s="87">
        <v>36.153053910090478</v>
      </c>
      <c r="I838" s="87">
        <v>36.370915439097701</v>
      </c>
      <c r="J838" s="87">
        <v>36.534919954531809</v>
      </c>
      <c r="K838" s="87">
        <v>36.973048609638823</v>
      </c>
      <c r="L838" s="87">
        <v>36.970445877198294</v>
      </c>
      <c r="N838" s="29">
        <v>36.297523233765432</v>
      </c>
      <c r="O838" s="29">
        <v>36.303484148795746</v>
      </c>
      <c r="P838" s="29">
        <v>36.124111949813482</v>
      </c>
      <c r="Q838" s="29">
        <v>36.153053910090478</v>
      </c>
      <c r="R838" s="29">
        <v>36.370915439097701</v>
      </c>
      <c r="S838" s="29">
        <v>36.534919954531809</v>
      </c>
      <c r="T838" s="29">
        <v>36.973048609638823</v>
      </c>
      <c r="U838" s="29">
        <v>36.970445877198294</v>
      </c>
      <c r="W838" s="30">
        <v>31.924659918360426</v>
      </c>
      <c r="X838" s="30">
        <v>30.59374330847724</v>
      </c>
      <c r="Y838" s="30">
        <v>29.323609240909683</v>
      </c>
      <c r="Z838" s="30">
        <v>29.458241252629644</v>
      </c>
      <c r="AA838" s="30">
        <v>28.892615798129661</v>
      </c>
      <c r="AB838" s="30">
        <v>30.442535945908279</v>
      </c>
      <c r="AC838" s="30">
        <v>36.616300000000003</v>
      </c>
      <c r="AD838" s="90">
        <v>0</v>
      </c>
      <c r="AF838" s="29">
        <f t="shared" si="1579"/>
        <v>36.297523233765432</v>
      </c>
      <c r="AG838" s="30">
        <f t="shared" si="1580"/>
        <v>31.924659918360426</v>
      </c>
      <c r="AH838" s="32">
        <f t="shared" si="1581"/>
        <v>-4.3728633154050058</v>
      </c>
      <c r="AI838" s="33">
        <f t="shared" si="1582"/>
        <v>-0.12047277405796081</v>
      </c>
      <c r="AK838" s="29">
        <f t="shared" si="1571"/>
        <v>36.303484148795746</v>
      </c>
      <c r="AL838" s="30">
        <f t="shared" si="1572"/>
        <v>30.59374330847724</v>
      </c>
      <c r="AM838" s="32">
        <f t="shared" si="1583"/>
        <v>-5.7097408403185064</v>
      </c>
      <c r="AN838" s="33">
        <f t="shared" si="1584"/>
        <v>-0.15727804022655795</v>
      </c>
      <c r="AP838" s="29">
        <f t="shared" si="1585"/>
        <v>36.124111949813482</v>
      </c>
      <c r="AQ838" s="30">
        <f t="shared" si="1586"/>
        <v>29.323609240909683</v>
      </c>
      <c r="AR838" s="32">
        <f t="shared" si="1587"/>
        <v>-6.8005027089037995</v>
      </c>
      <c r="AS838" s="33">
        <f t="shared" si="1588"/>
        <v>-0.18825383772344645</v>
      </c>
      <c r="AU838" s="31">
        <f t="shared" si="1589"/>
        <v>36.153053910090478</v>
      </c>
      <c r="AV838" s="25">
        <f t="shared" si="1590"/>
        <v>29.458241252629644</v>
      </c>
      <c r="AW838" s="32">
        <f t="shared" si="1591"/>
        <v>-6.6948126574608331</v>
      </c>
      <c r="AX838" s="33">
        <f t="shared" si="1592"/>
        <v>-0.18517972711545347</v>
      </c>
      <c r="AZ838" s="31">
        <f t="shared" si="1573"/>
        <v>36.370915439097701</v>
      </c>
      <c r="BA838" s="25">
        <f t="shared" si="1574"/>
        <v>28.892615798129661</v>
      </c>
      <c r="BB838" s="32">
        <f t="shared" si="1593"/>
        <v>-7.4782996409680393</v>
      </c>
      <c r="BC838" s="33">
        <f t="shared" si="1594"/>
        <v>-0.2056120818154904</v>
      </c>
      <c r="BE838" s="31">
        <f t="shared" si="1595"/>
        <v>36.534919954531809</v>
      </c>
      <c r="BF838" s="25">
        <f t="shared" si="1596"/>
        <v>30.442535945908279</v>
      </c>
      <c r="BG838" s="32">
        <f t="shared" si="1597"/>
        <v>-6.0923840086235295</v>
      </c>
      <c r="BH838" s="33">
        <f t="shared" si="1598"/>
        <v>-0.16675509392673044</v>
      </c>
      <c r="BJ838" s="31">
        <f t="shared" si="1575"/>
        <v>36.973048609638823</v>
      </c>
      <c r="BK838" s="25">
        <f t="shared" si="1576"/>
        <v>36.616300000000003</v>
      </c>
      <c r="BL838" s="32">
        <f t="shared" si="1577"/>
        <v>-0.35674860963882082</v>
      </c>
      <c r="BM838" s="33">
        <f t="shared" si="1578"/>
        <v>-9.6488827146868524E-3</v>
      </c>
      <c r="BO838" s="62"/>
      <c r="BP838" s="62"/>
      <c r="BQ838" s="62"/>
      <c r="BR838" s="63"/>
    </row>
    <row r="839" spans="1:70">
      <c r="B839" s="1284"/>
      <c r="D839" s="5" t="s">
        <v>166</v>
      </c>
      <c r="E839" s="87">
        <v>18.88067707578135</v>
      </c>
      <c r="F839" s="87">
        <v>18.876010723437897</v>
      </c>
      <c r="G839" s="87">
        <v>18.702148010906559</v>
      </c>
      <c r="H839" s="87">
        <v>18.843757985216218</v>
      </c>
      <c r="I839" s="87">
        <v>18.774246877981803</v>
      </c>
      <c r="J839" s="87">
        <v>18.91741260122053</v>
      </c>
      <c r="K839" s="87">
        <v>18.948483655655281</v>
      </c>
      <c r="L839" s="87">
        <v>18.953704598183212</v>
      </c>
      <c r="N839" s="29">
        <v>18.88067707578135</v>
      </c>
      <c r="O839" s="29">
        <v>18.876010723437897</v>
      </c>
      <c r="P839" s="29">
        <v>18.702148010906559</v>
      </c>
      <c r="Q839" s="29">
        <v>18.843757985216218</v>
      </c>
      <c r="R839" s="29">
        <v>18.774246877981803</v>
      </c>
      <c r="S839" s="29">
        <v>18.91741260122053</v>
      </c>
      <c r="T839" s="29">
        <v>18.948483655655281</v>
      </c>
      <c r="U839" s="29">
        <v>18.953704598183212</v>
      </c>
      <c r="W839" s="30">
        <v>16.876914969182799</v>
      </c>
      <c r="X839" s="30">
        <v>16.197965457825145</v>
      </c>
      <c r="Y839" s="30">
        <v>15.537639664906077</v>
      </c>
      <c r="Z839" s="30">
        <v>15.708587158851852</v>
      </c>
      <c r="AA839" s="30">
        <v>15.24207637505935</v>
      </c>
      <c r="AB839" s="30">
        <v>16.703083547780686</v>
      </c>
      <c r="AC839" s="30">
        <v>21.807199999999998</v>
      </c>
      <c r="AD839" s="90">
        <v>0</v>
      </c>
      <c r="AF839" s="29">
        <f t="shared" si="1579"/>
        <v>18.88067707578135</v>
      </c>
      <c r="AG839" s="30">
        <f t="shared" si="1580"/>
        <v>16.876914969182799</v>
      </c>
      <c r="AH839" s="32">
        <f t="shared" si="1581"/>
        <v>-2.0037621065985505</v>
      </c>
      <c r="AI839" s="33">
        <f t="shared" si="1582"/>
        <v>-0.10612766155345241</v>
      </c>
      <c r="AK839" s="29">
        <f t="shared" si="1571"/>
        <v>18.876010723437897</v>
      </c>
      <c r="AL839" s="30">
        <f t="shared" si="1572"/>
        <v>16.197965457825145</v>
      </c>
      <c r="AM839" s="32">
        <f t="shared" si="1583"/>
        <v>-2.6780452656127522</v>
      </c>
      <c r="AN839" s="33">
        <f t="shared" si="1584"/>
        <v>-0.14187559568863176</v>
      </c>
      <c r="AP839" s="29">
        <f t="shared" si="1585"/>
        <v>18.702148010906559</v>
      </c>
      <c r="AQ839" s="30">
        <f t="shared" si="1586"/>
        <v>15.537639664906077</v>
      </c>
      <c r="AR839" s="32">
        <f t="shared" si="1587"/>
        <v>-3.1645083460004813</v>
      </c>
      <c r="AS839" s="33">
        <f t="shared" si="1588"/>
        <v>-0.16920560911800239</v>
      </c>
      <c r="AU839" s="31">
        <f t="shared" si="1589"/>
        <v>18.843757985216218</v>
      </c>
      <c r="AV839" s="25">
        <f t="shared" si="1590"/>
        <v>15.708587158851852</v>
      </c>
      <c r="AW839" s="32">
        <f t="shared" si="1591"/>
        <v>-3.1351708263643658</v>
      </c>
      <c r="AX839" s="33">
        <f t="shared" si="1592"/>
        <v>-0.16637715411246787</v>
      </c>
      <c r="AZ839" s="31">
        <f t="shared" si="1573"/>
        <v>18.774246877981803</v>
      </c>
      <c r="BA839" s="25">
        <f t="shared" si="1574"/>
        <v>15.24207637505935</v>
      </c>
      <c r="BB839" s="32">
        <f t="shared" si="1593"/>
        <v>-3.5321705029224528</v>
      </c>
      <c r="BC839" s="33">
        <f t="shared" si="1594"/>
        <v>-0.1881391315390093</v>
      </c>
      <c r="BE839" s="31">
        <f t="shared" si="1595"/>
        <v>18.91741260122053</v>
      </c>
      <c r="BF839" s="25">
        <f t="shared" si="1596"/>
        <v>16.703083547780686</v>
      </c>
      <c r="BG839" s="32">
        <f t="shared" si="1597"/>
        <v>-2.2143290534398439</v>
      </c>
      <c r="BH839" s="33">
        <f t="shared" si="1598"/>
        <v>-0.11705242678361721</v>
      </c>
      <c r="BJ839" s="31">
        <f t="shared" si="1575"/>
        <v>18.948483655655281</v>
      </c>
      <c r="BK839" s="25">
        <f t="shared" si="1576"/>
        <v>21.807199999999998</v>
      </c>
      <c r="BL839" s="32">
        <f t="shared" si="1577"/>
        <v>2.8587163443447174</v>
      </c>
      <c r="BM839" s="33">
        <f t="shared" si="1578"/>
        <v>0.15086781593162035</v>
      </c>
      <c r="BO839" s="62"/>
      <c r="BP839" s="62"/>
      <c r="BQ839" s="62"/>
      <c r="BR839" s="63"/>
    </row>
    <row r="840" spans="1:70">
      <c r="B840" s="1284"/>
      <c r="D840" s="5" t="s">
        <v>167</v>
      </c>
      <c r="E840" s="87">
        <v>29.910832433904034</v>
      </c>
      <c r="F840" s="87">
        <v>29.98911808566028</v>
      </c>
      <c r="G840" s="87">
        <v>29.990707102825752</v>
      </c>
      <c r="H840" s="87">
        <v>30.060156615693227</v>
      </c>
      <c r="I840" s="87">
        <v>30.173884949815818</v>
      </c>
      <c r="J840" s="87">
        <v>30.404323689072484</v>
      </c>
      <c r="K840" s="87">
        <v>30.438148111205805</v>
      </c>
      <c r="L840" s="87">
        <v>30.617744373244022</v>
      </c>
      <c r="N840" s="29">
        <v>29.910832433904034</v>
      </c>
      <c r="O840" s="29">
        <v>29.98911808566028</v>
      </c>
      <c r="P840" s="29">
        <v>29.990707102825752</v>
      </c>
      <c r="Q840" s="29">
        <v>30.060156615693227</v>
      </c>
      <c r="R840" s="29">
        <v>30.173884949815818</v>
      </c>
      <c r="S840" s="29">
        <v>30.404323689072484</v>
      </c>
      <c r="T840" s="29">
        <v>30.438148111205805</v>
      </c>
      <c r="U840" s="29">
        <v>30.617744373244022</v>
      </c>
      <c r="W840" s="30">
        <v>27.84485876430524</v>
      </c>
      <c r="X840" s="30">
        <v>26.442065746135732</v>
      </c>
      <c r="Y840" s="30">
        <v>26.628418742270142</v>
      </c>
      <c r="Z840" s="30">
        <v>24.896769618930634</v>
      </c>
      <c r="AA840" s="30">
        <v>25.335585310450661</v>
      </c>
      <c r="AB840" s="30">
        <v>25.212231518151256</v>
      </c>
      <c r="AC840" s="30">
        <v>31.001499999999997</v>
      </c>
      <c r="AD840" s="90">
        <v>0</v>
      </c>
      <c r="AF840" s="29">
        <f t="shared" si="1579"/>
        <v>29.910832433904034</v>
      </c>
      <c r="AG840" s="30">
        <f t="shared" si="1580"/>
        <v>27.84485876430524</v>
      </c>
      <c r="AH840" s="32">
        <f t="shared" si="1581"/>
        <v>-2.0659736695987938</v>
      </c>
      <c r="AI840" s="33">
        <f t="shared" si="1582"/>
        <v>-6.9071085673195962E-2</v>
      </c>
      <c r="AK840" s="29">
        <f t="shared" si="1571"/>
        <v>29.98911808566028</v>
      </c>
      <c r="AL840" s="30">
        <f t="shared" si="1572"/>
        <v>26.442065746135732</v>
      </c>
      <c r="AM840" s="32">
        <f t="shared" si="1583"/>
        <v>-3.5470523395245479</v>
      </c>
      <c r="AN840" s="33">
        <f t="shared" si="1584"/>
        <v>-0.11827798101274012</v>
      </c>
      <c r="AP840" s="29">
        <f t="shared" si="1585"/>
        <v>29.990707102825752</v>
      </c>
      <c r="AQ840" s="30">
        <f t="shared" si="1586"/>
        <v>26.628418742270142</v>
      </c>
      <c r="AR840" s="32">
        <f t="shared" si="1587"/>
        <v>-3.3622883605556098</v>
      </c>
      <c r="AS840" s="33">
        <f t="shared" si="1588"/>
        <v>-0.1121110065537205</v>
      </c>
      <c r="AU840" s="31">
        <f t="shared" si="1589"/>
        <v>30.060156615693227</v>
      </c>
      <c r="AV840" s="25">
        <f t="shared" si="1590"/>
        <v>24.896769618930634</v>
      </c>
      <c r="AW840" s="32">
        <f t="shared" si="1591"/>
        <v>-5.1633869967625934</v>
      </c>
      <c r="AX840" s="33">
        <f t="shared" si="1592"/>
        <v>-0.17176846623836256</v>
      </c>
      <c r="AZ840" s="31">
        <f t="shared" si="1573"/>
        <v>30.173884949815818</v>
      </c>
      <c r="BA840" s="25">
        <f t="shared" si="1574"/>
        <v>25.335585310450661</v>
      </c>
      <c r="BB840" s="32">
        <f t="shared" si="1593"/>
        <v>-4.8382996393651574</v>
      </c>
      <c r="BC840" s="33">
        <f t="shared" si="1594"/>
        <v>-0.16034725549633577</v>
      </c>
      <c r="BE840" s="31">
        <f t="shared" si="1595"/>
        <v>30.404323689072484</v>
      </c>
      <c r="BF840" s="25">
        <f t="shared" si="1596"/>
        <v>25.212231518151256</v>
      </c>
      <c r="BG840" s="32">
        <f t="shared" si="1597"/>
        <v>-5.192092170921228</v>
      </c>
      <c r="BH840" s="33">
        <f t="shared" si="1598"/>
        <v>-0.17076821783696838</v>
      </c>
      <c r="BJ840" s="31">
        <f t="shared" si="1575"/>
        <v>30.438148111205805</v>
      </c>
      <c r="BK840" s="25">
        <f t="shared" si="1576"/>
        <v>31.001499999999997</v>
      </c>
      <c r="BL840" s="32">
        <f t="shared" si="1577"/>
        <v>0.56335188879419107</v>
      </c>
      <c r="BM840" s="33">
        <f t="shared" si="1578"/>
        <v>1.850808684996158E-2</v>
      </c>
      <c r="BO840" s="62"/>
      <c r="BP840" s="62"/>
      <c r="BQ840" s="62"/>
      <c r="BR840" s="63"/>
    </row>
    <row r="841" spans="1:70">
      <c r="B841" s="1284"/>
      <c r="D841" s="5" t="s">
        <v>168</v>
      </c>
      <c r="E841" s="87">
        <v>28.157999056892987</v>
      </c>
      <c r="F841" s="87">
        <v>28.426023143728589</v>
      </c>
      <c r="G841" s="87">
        <v>27.984343205125388</v>
      </c>
      <c r="H841" s="87">
        <v>27.732965434246758</v>
      </c>
      <c r="I841" s="87">
        <v>27.735173864819494</v>
      </c>
      <c r="J841" s="87">
        <v>27.759520058785373</v>
      </c>
      <c r="K841" s="87">
        <v>27.751682926211803</v>
      </c>
      <c r="L841" s="87">
        <v>27.419185616139998</v>
      </c>
      <c r="N841" s="29">
        <v>30.431469846216093</v>
      </c>
      <c r="O841" s="29">
        <v>29.75612731301289</v>
      </c>
      <c r="P841" s="29">
        <v>28.633560809908126</v>
      </c>
      <c r="Q841" s="29">
        <v>28.383018999451174</v>
      </c>
      <c r="R841" s="29">
        <v>27.911678352082429</v>
      </c>
      <c r="S841" s="29">
        <v>27.330628571458583</v>
      </c>
      <c r="T841" s="29">
        <v>26.564064488805652</v>
      </c>
      <c r="U841" s="29">
        <v>25.851863600666903</v>
      </c>
      <c r="W841" s="30">
        <v>25.878323929285663</v>
      </c>
      <c r="X841" s="30">
        <v>24.833343436077346</v>
      </c>
      <c r="Y841" s="30">
        <v>29.270245096969827</v>
      </c>
      <c r="Z841" s="30">
        <v>29.664569860180503</v>
      </c>
      <c r="AA841" s="30">
        <v>29.459859519939148</v>
      </c>
      <c r="AB841" s="30">
        <v>28.670507741385624</v>
      </c>
      <c r="AC841" s="30">
        <v>28.886573956422513</v>
      </c>
      <c r="AD841" s="90">
        <v>0</v>
      </c>
      <c r="AF841" s="29">
        <f t="shared" si="1579"/>
        <v>30.431469846216093</v>
      </c>
      <c r="AG841" s="30">
        <f t="shared" si="1580"/>
        <v>25.878323929285663</v>
      </c>
      <c r="AH841" s="32">
        <f t="shared" si="1581"/>
        <v>-4.5531459169304291</v>
      </c>
      <c r="AI841" s="33">
        <f t="shared" si="1582"/>
        <v>-0.14961965162838087</v>
      </c>
      <c r="AK841" s="29">
        <f t="shared" si="1571"/>
        <v>29.75612731301289</v>
      </c>
      <c r="AL841" s="30">
        <f t="shared" si="1572"/>
        <v>24.833343436077346</v>
      </c>
      <c r="AM841" s="32">
        <f t="shared" si="1583"/>
        <v>-4.9227838769355436</v>
      </c>
      <c r="AN841" s="33">
        <f t="shared" si="1584"/>
        <v>-0.16543765339996788</v>
      </c>
      <c r="AP841" s="29">
        <f t="shared" si="1585"/>
        <v>28.633560809908126</v>
      </c>
      <c r="AQ841" s="30">
        <f t="shared" si="1586"/>
        <v>29.270245096969827</v>
      </c>
      <c r="AR841" s="32">
        <f t="shared" si="1587"/>
        <v>0.63668428706170133</v>
      </c>
      <c r="AS841" s="33">
        <f t="shared" si="1588"/>
        <v>2.2235595890029446E-2</v>
      </c>
      <c r="AU841" s="31">
        <f t="shared" si="1589"/>
        <v>28.383018999451174</v>
      </c>
      <c r="AV841" s="25">
        <f t="shared" si="1590"/>
        <v>29.664569860180503</v>
      </c>
      <c r="AW841" s="32">
        <f t="shared" si="1591"/>
        <v>1.2815508607293289</v>
      </c>
      <c r="AX841" s="33">
        <f t="shared" si="1592"/>
        <v>4.5152027723129436E-2</v>
      </c>
      <c r="AZ841" s="31">
        <f t="shared" si="1573"/>
        <v>27.911678352082429</v>
      </c>
      <c r="BA841" s="25">
        <f t="shared" si="1574"/>
        <v>29.459859519939148</v>
      </c>
      <c r="BB841" s="32">
        <f t="shared" si="1593"/>
        <v>1.5481811678567183</v>
      </c>
      <c r="BC841" s="33">
        <f t="shared" si="1594"/>
        <v>5.5467147060370592E-2</v>
      </c>
      <c r="BE841" s="31">
        <f t="shared" si="1595"/>
        <v>27.330628571458583</v>
      </c>
      <c r="BF841" s="25">
        <f t="shared" si="1596"/>
        <v>28.670507741385624</v>
      </c>
      <c r="BG841" s="32">
        <f t="shared" si="1597"/>
        <v>1.3398791699270411</v>
      </c>
      <c r="BH841" s="33">
        <f t="shared" si="1598"/>
        <v>4.9024820868052738E-2</v>
      </c>
      <c r="BJ841" s="31">
        <f t="shared" si="1575"/>
        <v>26.564064488805652</v>
      </c>
      <c r="BK841" s="25">
        <f t="shared" si="1576"/>
        <v>28.886573956422513</v>
      </c>
      <c r="BL841" s="32">
        <f t="shared" si="1577"/>
        <v>2.3225094676168609</v>
      </c>
      <c r="BM841" s="33">
        <f t="shared" si="1578"/>
        <v>8.7430501028770966E-2</v>
      </c>
      <c r="BO841" s="62"/>
      <c r="BP841" s="62"/>
      <c r="BQ841" s="62"/>
      <c r="BR841" s="63"/>
    </row>
    <row r="842" spans="1:70">
      <c r="B842" s="1284"/>
      <c r="D842" s="5" t="s">
        <v>169</v>
      </c>
      <c r="E842" s="87">
        <v>28.592614819600225</v>
      </c>
      <c r="F842" s="87">
        <v>28.684985692736582</v>
      </c>
      <c r="G842" s="87">
        <v>28.404480051905509</v>
      </c>
      <c r="H842" s="87">
        <v>28.577649013725448</v>
      </c>
      <c r="I842" s="87">
        <v>28.690314475687234</v>
      </c>
      <c r="J842" s="87">
        <v>28.648960693334818</v>
      </c>
      <c r="K842" s="87">
        <v>28.540828142753227</v>
      </c>
      <c r="L842" s="87">
        <v>28.242224706603515</v>
      </c>
      <c r="N842" s="29">
        <v>31.172773602797289</v>
      </c>
      <c r="O842" s="29">
        <v>30.705877097085409</v>
      </c>
      <c r="P842" s="29">
        <v>29.61483905112814</v>
      </c>
      <c r="Q842" s="29">
        <v>29.278922511291416</v>
      </c>
      <c r="R842" s="29">
        <v>28.682319729088182</v>
      </c>
      <c r="S842" s="29">
        <v>28.188828655008511</v>
      </c>
      <c r="T842" s="29">
        <v>28.00786174714878</v>
      </c>
      <c r="U842" s="29">
        <v>27.371039376835043</v>
      </c>
      <c r="W842" s="30">
        <v>22.212433569051122</v>
      </c>
      <c r="X842" s="30">
        <v>24.922133788762345</v>
      </c>
      <c r="Y842" s="30">
        <v>25.466462980734416</v>
      </c>
      <c r="Z842" s="30">
        <v>25.301439723010514</v>
      </c>
      <c r="AA842" s="30">
        <v>26.703137721457193</v>
      </c>
      <c r="AB842" s="30">
        <v>28.274680048462816</v>
      </c>
      <c r="AC842" s="30">
        <v>27.270940122269508</v>
      </c>
      <c r="AD842" s="90">
        <v>0</v>
      </c>
      <c r="AF842" s="29">
        <f t="shared" si="1579"/>
        <v>31.172773602797289</v>
      </c>
      <c r="AG842" s="30">
        <f t="shared" si="1580"/>
        <v>22.212433569051122</v>
      </c>
      <c r="AH842" s="32">
        <f t="shared" si="1581"/>
        <v>-8.9603400337461672</v>
      </c>
      <c r="AI842" s="33">
        <f t="shared" si="1582"/>
        <v>-0.28744121867109418</v>
      </c>
      <c r="AK842" s="29">
        <f t="shared" si="1571"/>
        <v>30.705877097085409</v>
      </c>
      <c r="AL842" s="30">
        <f t="shared" si="1572"/>
        <v>24.922133788762345</v>
      </c>
      <c r="AM842" s="32">
        <f t="shared" si="1583"/>
        <v>-5.7837433083230643</v>
      </c>
      <c r="AN842" s="33">
        <f t="shared" si="1584"/>
        <v>-0.18835948864238941</v>
      </c>
      <c r="AP842" s="29">
        <f t="shared" si="1585"/>
        <v>29.61483905112814</v>
      </c>
      <c r="AQ842" s="30">
        <f t="shared" si="1586"/>
        <v>25.466462980734416</v>
      </c>
      <c r="AR842" s="32">
        <f t="shared" si="1587"/>
        <v>-4.1483760703937236</v>
      </c>
      <c r="AS842" s="33">
        <f t="shared" si="1588"/>
        <v>-0.14007761660402124</v>
      </c>
      <c r="AU842" s="31">
        <f t="shared" si="1589"/>
        <v>29.278922511291416</v>
      </c>
      <c r="AV842" s="25">
        <f t="shared" si="1590"/>
        <v>25.301439723010514</v>
      </c>
      <c r="AW842" s="32">
        <f t="shared" si="1591"/>
        <v>-3.9774827882809021</v>
      </c>
      <c r="AX842" s="33">
        <f t="shared" si="1592"/>
        <v>-0.13584799053814176</v>
      </c>
      <c r="AZ842" s="31">
        <f t="shared" si="1573"/>
        <v>28.682319729088182</v>
      </c>
      <c r="BA842" s="25">
        <f t="shared" si="1574"/>
        <v>26.703137721457193</v>
      </c>
      <c r="BB842" s="32">
        <f t="shared" si="1593"/>
        <v>-1.9791820076309889</v>
      </c>
      <c r="BC842" s="33">
        <f t="shared" si="1594"/>
        <v>-6.900355432631905E-2</v>
      </c>
      <c r="BE842" s="31">
        <f t="shared" si="1595"/>
        <v>28.188828655008511</v>
      </c>
      <c r="BF842" s="25">
        <f t="shared" si="1596"/>
        <v>28.274680048462816</v>
      </c>
      <c r="BG842" s="32">
        <f t="shared" si="1597"/>
        <v>8.585139345430548E-2</v>
      </c>
      <c r="BH842" s="33">
        <f t="shared" si="1598"/>
        <v>3.0455821525968815E-3</v>
      </c>
      <c r="BJ842" s="31">
        <f t="shared" si="1575"/>
        <v>28.00786174714878</v>
      </c>
      <c r="BK842" s="25">
        <f t="shared" si="1576"/>
        <v>27.270940122269508</v>
      </c>
      <c r="BL842" s="32">
        <f t="shared" si="1577"/>
        <v>-0.73692162487927249</v>
      </c>
      <c r="BM842" s="33">
        <f t="shared" si="1578"/>
        <v>-2.6311241876730972E-2</v>
      </c>
      <c r="BO842" s="62"/>
      <c r="BP842" s="62"/>
      <c r="BQ842" s="62"/>
      <c r="BR842" s="63"/>
    </row>
    <row r="843" spans="1:70">
      <c r="B843" s="1284"/>
      <c r="D843" s="5" t="s">
        <v>170</v>
      </c>
      <c r="E843" s="87">
        <v>36.546924889211716</v>
      </c>
      <c r="F843" s="87">
        <v>36.88895761115424</v>
      </c>
      <c r="G843" s="87">
        <v>36.507360743429103</v>
      </c>
      <c r="H843" s="87">
        <v>36.922993639230704</v>
      </c>
      <c r="I843" s="87">
        <v>36.911273509266657</v>
      </c>
      <c r="J843" s="87">
        <v>36.836140155219496</v>
      </c>
      <c r="K843" s="87">
        <v>36.876638995366143</v>
      </c>
      <c r="L843" s="87">
        <v>36.369973119071688</v>
      </c>
      <c r="N843" s="29">
        <v>38.652205684247974</v>
      </c>
      <c r="O843" s="29">
        <v>37.835681836373396</v>
      </c>
      <c r="P843" s="29">
        <v>36.747796715435392</v>
      </c>
      <c r="Q843" s="29">
        <v>36.672008230077573</v>
      </c>
      <c r="R843" s="29">
        <v>36.007943112044039</v>
      </c>
      <c r="S843" s="29">
        <v>35.216060845847437</v>
      </c>
      <c r="T843" s="29">
        <v>34.891593290141209</v>
      </c>
      <c r="U843" s="29">
        <v>34.18402951467467</v>
      </c>
      <c r="W843" s="30">
        <v>32.524585895379239</v>
      </c>
      <c r="X843" s="30">
        <v>36.762368301981212</v>
      </c>
      <c r="Y843" s="30">
        <v>44.75226165579965</v>
      </c>
      <c r="Z843" s="30">
        <v>42.301343541438122</v>
      </c>
      <c r="AA843" s="30">
        <v>44.089790586034596</v>
      </c>
      <c r="AB843" s="30">
        <v>44.388273718735242</v>
      </c>
      <c r="AC843" s="30">
        <v>45.027105859842656</v>
      </c>
      <c r="AD843" s="90">
        <v>0</v>
      </c>
      <c r="AF843" s="29">
        <f t="shared" si="1579"/>
        <v>38.652205684247974</v>
      </c>
      <c r="AG843" s="30">
        <f t="shared" si="1580"/>
        <v>32.524585895379239</v>
      </c>
      <c r="AH843" s="32">
        <f t="shared" si="1581"/>
        <v>-6.1276197888687349</v>
      </c>
      <c r="AI843" s="33">
        <f t="shared" si="1582"/>
        <v>-0.15853221518393032</v>
      </c>
      <c r="AK843" s="29">
        <f t="shared" si="1571"/>
        <v>37.835681836373396</v>
      </c>
      <c r="AL843" s="30">
        <f t="shared" si="1572"/>
        <v>36.762368301981212</v>
      </c>
      <c r="AM843" s="32">
        <f t="shared" si="1583"/>
        <v>-1.0733135343921845</v>
      </c>
      <c r="AN843" s="33">
        <f t="shared" si="1584"/>
        <v>-2.8367759804987912E-2</v>
      </c>
      <c r="AP843" s="29">
        <f t="shared" si="1585"/>
        <v>36.747796715435392</v>
      </c>
      <c r="AQ843" s="30">
        <f t="shared" si="1586"/>
        <v>44.75226165579965</v>
      </c>
      <c r="AR843" s="32">
        <f t="shared" si="1587"/>
        <v>8.004464940364258</v>
      </c>
      <c r="AS843" s="33">
        <f t="shared" si="1588"/>
        <v>0.21782162893597634</v>
      </c>
      <c r="AU843" s="31">
        <f t="shared" si="1589"/>
        <v>36.672008230077573</v>
      </c>
      <c r="AV843" s="25">
        <f t="shared" si="1590"/>
        <v>42.301343541438122</v>
      </c>
      <c r="AW843" s="32">
        <f t="shared" si="1591"/>
        <v>5.6293353113605491</v>
      </c>
      <c r="AX843" s="33">
        <f t="shared" si="1592"/>
        <v>0.15350496422346166</v>
      </c>
      <c r="AZ843" s="31">
        <f t="shared" si="1573"/>
        <v>36.007943112044039</v>
      </c>
      <c r="BA843" s="25">
        <f t="shared" si="1574"/>
        <v>44.089790586034596</v>
      </c>
      <c r="BB843" s="32">
        <f t="shared" si="1593"/>
        <v>8.0818474739905568</v>
      </c>
      <c r="BC843" s="33">
        <f t="shared" si="1594"/>
        <v>0.22444624089864543</v>
      </c>
      <c r="BE843" s="31">
        <f t="shared" si="1595"/>
        <v>35.216060845847437</v>
      </c>
      <c r="BF843" s="25">
        <f t="shared" si="1596"/>
        <v>44.388273718735242</v>
      </c>
      <c r="BG843" s="32">
        <f t="shared" si="1597"/>
        <v>9.1722128728878047</v>
      </c>
      <c r="BH843" s="33">
        <f t="shared" si="1598"/>
        <v>0.26045539031289361</v>
      </c>
      <c r="BJ843" s="31">
        <f t="shared" si="1575"/>
        <v>34.891593290141209</v>
      </c>
      <c r="BK843" s="25">
        <f t="shared" si="1576"/>
        <v>45.027105859842656</v>
      </c>
      <c r="BL843" s="32">
        <f t="shared" si="1577"/>
        <v>10.135512569701447</v>
      </c>
      <c r="BM843" s="33">
        <f t="shared" si="1578"/>
        <v>0.29048580514565625</v>
      </c>
      <c r="BO843" s="62"/>
      <c r="BP843" s="62"/>
      <c r="BQ843" s="62"/>
      <c r="BR843" s="63"/>
    </row>
    <row r="844" spans="1:70">
      <c r="B844" s="1284"/>
      <c r="D844" s="5" t="s">
        <v>171</v>
      </c>
      <c r="E844" s="87">
        <v>23.66487173693568</v>
      </c>
      <c r="F844" s="87">
        <v>25.193766061856337</v>
      </c>
      <c r="G844" s="87">
        <v>25.261872003797635</v>
      </c>
      <c r="H844" s="87">
        <v>25.219471686741169</v>
      </c>
      <c r="I844" s="87">
        <v>25.433998782555953</v>
      </c>
      <c r="J844" s="87">
        <v>25.203405730745519</v>
      </c>
      <c r="K844" s="87">
        <v>25.041071371339559</v>
      </c>
      <c r="L844" s="87">
        <v>25.207143707144589</v>
      </c>
      <c r="N844" s="29">
        <v>26.459466890698884</v>
      </c>
      <c r="O844" s="29">
        <v>26.660655465101058</v>
      </c>
      <c r="P844" s="29">
        <v>26.42927271838262</v>
      </c>
      <c r="Q844" s="29">
        <v>26.150874432837217</v>
      </c>
      <c r="R844" s="29">
        <v>26.133160979405737</v>
      </c>
      <c r="S844" s="29">
        <v>26.040050219051956</v>
      </c>
      <c r="T844" s="29">
        <v>26.00659934948132</v>
      </c>
      <c r="U844" s="29">
        <v>25.801835925613773</v>
      </c>
      <c r="W844" s="30">
        <v>27.280393558568079</v>
      </c>
      <c r="X844" s="30">
        <v>30.261763491481272</v>
      </c>
      <c r="Y844" s="30">
        <v>35.89310154797095</v>
      </c>
      <c r="Z844" s="30">
        <v>43.740756325478657</v>
      </c>
      <c r="AA844" s="30">
        <v>43.360195755858676</v>
      </c>
      <c r="AB844" s="30">
        <v>42.549526778393869</v>
      </c>
      <c r="AC844" s="30">
        <v>42.882538442591823</v>
      </c>
      <c r="AD844" s="90">
        <v>0</v>
      </c>
      <c r="AF844" s="29">
        <f t="shared" si="1579"/>
        <v>26.459466890698884</v>
      </c>
      <c r="AG844" s="30">
        <f t="shared" si="1580"/>
        <v>27.280393558568079</v>
      </c>
      <c r="AH844" s="32">
        <f t="shared" si="1581"/>
        <v>0.82092666786919466</v>
      </c>
      <c r="AI844" s="33">
        <f t="shared" si="1582"/>
        <v>3.1025820409018499E-2</v>
      </c>
      <c r="AK844" s="29">
        <f t="shared" si="1571"/>
        <v>26.660655465101058</v>
      </c>
      <c r="AL844" s="30">
        <f t="shared" si="1572"/>
        <v>30.261763491481272</v>
      </c>
      <c r="AM844" s="32">
        <f t="shared" si="1583"/>
        <v>3.6011080263802135</v>
      </c>
      <c r="AN844" s="33">
        <f t="shared" si="1584"/>
        <v>0.1350719989271863</v>
      </c>
      <c r="AP844" s="29">
        <f t="shared" si="1585"/>
        <v>26.42927271838262</v>
      </c>
      <c r="AQ844" s="30">
        <f t="shared" si="1586"/>
        <v>35.89310154797095</v>
      </c>
      <c r="AR844" s="32">
        <f t="shared" si="1587"/>
        <v>9.4638288295883299</v>
      </c>
      <c r="AS844" s="33">
        <f t="shared" si="1588"/>
        <v>0.35808131878732541</v>
      </c>
      <c r="AU844" s="31">
        <f t="shared" si="1589"/>
        <v>26.150874432837217</v>
      </c>
      <c r="AV844" s="25">
        <f t="shared" si="1590"/>
        <v>43.740756325478657</v>
      </c>
      <c r="AW844" s="32">
        <f t="shared" si="1591"/>
        <v>17.58988189264144</v>
      </c>
      <c r="AX844" s="33">
        <f t="shared" si="1592"/>
        <v>0.67263073507607529</v>
      </c>
      <c r="AZ844" s="31">
        <f t="shared" si="1573"/>
        <v>26.133160979405737</v>
      </c>
      <c r="BA844" s="25">
        <f t="shared" si="1574"/>
        <v>43.360195755858676</v>
      </c>
      <c r="BB844" s="32">
        <f t="shared" si="1593"/>
        <v>17.227034776452939</v>
      </c>
      <c r="BC844" s="33">
        <f t="shared" si="1594"/>
        <v>0.65920210685682912</v>
      </c>
      <c r="BE844" s="31">
        <f t="shared" si="1595"/>
        <v>26.040050219051956</v>
      </c>
      <c r="BF844" s="25">
        <f t="shared" si="1596"/>
        <v>42.549526778393869</v>
      </c>
      <c r="BG844" s="32">
        <f t="shared" si="1597"/>
        <v>16.509476559341913</v>
      </c>
      <c r="BH844" s="33">
        <f t="shared" si="1598"/>
        <v>0.63400325346772601</v>
      </c>
      <c r="BJ844" s="31">
        <f t="shared" si="1575"/>
        <v>26.00659934948132</v>
      </c>
      <c r="BK844" s="25">
        <f t="shared" si="1576"/>
        <v>42.882538442591823</v>
      </c>
      <c r="BL844" s="32">
        <f t="shared" si="1577"/>
        <v>16.875939093110503</v>
      </c>
      <c r="BM844" s="33">
        <f t="shared" si="1578"/>
        <v>0.64890987346437046</v>
      </c>
      <c r="BO844" s="62"/>
      <c r="BP844" s="62"/>
      <c r="BQ844" s="62"/>
      <c r="BR844" s="63"/>
    </row>
    <row r="845" spans="1:70">
      <c r="B845" s="1284"/>
      <c r="D845" s="5" t="s">
        <v>172</v>
      </c>
      <c r="E845" s="87">
        <v>22.235976279751981</v>
      </c>
      <c r="F845" s="87">
        <v>21.521629625350272</v>
      </c>
      <c r="G845" s="87">
        <v>21.245502655810693</v>
      </c>
      <c r="H845" s="87">
        <v>20.544329443760276</v>
      </c>
      <c r="I845" s="87">
        <v>20.346295915887158</v>
      </c>
      <c r="J845" s="87">
        <v>19.965019569905344</v>
      </c>
      <c r="K845" s="87">
        <v>20.717061484976711</v>
      </c>
      <c r="L845" s="87">
        <v>20.98209009528788</v>
      </c>
      <c r="N845" s="29">
        <v>22.079742952789559</v>
      </c>
      <c r="O845" s="29">
        <v>21.698935172743603</v>
      </c>
      <c r="P845" s="29">
        <v>21.038265414830999</v>
      </c>
      <c r="Q845" s="29">
        <v>20.284215710999593</v>
      </c>
      <c r="R845" s="29">
        <v>20.143035704444351</v>
      </c>
      <c r="S845" s="29">
        <v>19.683037029610375</v>
      </c>
      <c r="T845" s="29">
        <v>20.003218763301934</v>
      </c>
      <c r="U845" s="29">
        <v>19.993809771008241</v>
      </c>
      <c r="W845" s="30">
        <v>31.480731861569591</v>
      </c>
      <c r="X845" s="30">
        <v>34.844063592148935</v>
      </c>
      <c r="Y845" s="30">
        <v>35.530755866262531</v>
      </c>
      <c r="Z845" s="30">
        <v>39.18312690275679</v>
      </c>
      <c r="AA845" s="30">
        <v>40.541366910850243</v>
      </c>
      <c r="AB845" s="30">
        <v>39.711095794900224</v>
      </c>
      <c r="AC845" s="30">
        <v>39.559152887016189</v>
      </c>
      <c r="AD845" s="90">
        <v>0</v>
      </c>
      <c r="AF845" s="29">
        <f t="shared" si="1579"/>
        <v>22.079742952789559</v>
      </c>
      <c r="AG845" s="30">
        <f t="shared" si="1580"/>
        <v>31.480731861569591</v>
      </c>
      <c r="AH845" s="32">
        <f t="shared" si="1581"/>
        <v>9.4009889087800325</v>
      </c>
      <c r="AI845" s="33">
        <f t="shared" si="1582"/>
        <v>0.4257743819246913</v>
      </c>
      <c r="AK845" s="29">
        <f t="shared" si="1571"/>
        <v>21.698935172743603</v>
      </c>
      <c r="AL845" s="30">
        <f t="shared" si="1572"/>
        <v>34.844063592148935</v>
      </c>
      <c r="AM845" s="32">
        <f t="shared" si="1583"/>
        <v>13.145128419405331</v>
      </c>
      <c r="AN845" s="33">
        <f t="shared" si="1584"/>
        <v>0.60579601324940346</v>
      </c>
      <c r="AP845" s="29">
        <f t="shared" si="1585"/>
        <v>21.038265414830999</v>
      </c>
      <c r="AQ845" s="30">
        <f t="shared" si="1586"/>
        <v>35.530755866262531</v>
      </c>
      <c r="AR845" s="32">
        <f t="shared" si="1587"/>
        <v>14.492490451431532</v>
      </c>
      <c r="AS845" s="33">
        <f t="shared" si="1588"/>
        <v>0.68886337184504765</v>
      </c>
      <c r="AU845" s="31">
        <f t="shared" si="1589"/>
        <v>20.284215710999593</v>
      </c>
      <c r="AV845" s="25">
        <f t="shared" si="1590"/>
        <v>39.18312690275679</v>
      </c>
      <c r="AW845" s="32">
        <f t="shared" si="1591"/>
        <v>18.898911191757197</v>
      </c>
      <c r="AX845" s="33">
        <f t="shared" si="1592"/>
        <v>0.93170529543860148</v>
      </c>
      <c r="AZ845" s="31">
        <f t="shared" si="1573"/>
        <v>20.143035704444351</v>
      </c>
      <c r="BA845" s="25">
        <f t="shared" si="1574"/>
        <v>40.541366910850243</v>
      </c>
      <c r="BB845" s="32">
        <f t="shared" si="1593"/>
        <v>20.398331206405892</v>
      </c>
      <c r="BC845" s="33">
        <f t="shared" si="1594"/>
        <v>1.0126741324250947</v>
      </c>
      <c r="BE845" s="31">
        <f t="shared" si="1595"/>
        <v>19.683037029610375</v>
      </c>
      <c r="BF845" s="25">
        <f t="shared" si="1596"/>
        <v>39.711095794900224</v>
      </c>
      <c r="BG845" s="32">
        <f t="shared" si="1597"/>
        <v>20.028058765289849</v>
      </c>
      <c r="BH845" s="33">
        <f t="shared" si="1598"/>
        <v>1.0175288871915669</v>
      </c>
      <c r="BJ845" s="31">
        <f t="shared" si="1575"/>
        <v>20.003218763301934</v>
      </c>
      <c r="BK845" s="25">
        <f t="shared" si="1576"/>
        <v>39.559152887016189</v>
      </c>
      <c r="BL845" s="32">
        <f t="shared" si="1577"/>
        <v>19.555934123714255</v>
      </c>
      <c r="BM845" s="33">
        <f t="shared" si="1578"/>
        <v>0.97763936669990981</v>
      </c>
      <c r="BO845" s="62"/>
      <c r="BP845" s="62"/>
      <c r="BQ845" s="62"/>
      <c r="BR845" s="63"/>
    </row>
    <row r="846" spans="1:70">
      <c r="B846" s="1284"/>
      <c r="D846" s="5" t="s">
        <v>28</v>
      </c>
      <c r="E846" s="87">
        <v>22.519040487075387</v>
      </c>
      <c r="F846" s="87">
        <v>22.990096125497601</v>
      </c>
      <c r="G846" s="87">
        <v>23.411289910568655</v>
      </c>
      <c r="H846" s="87">
        <v>23.644472108565722</v>
      </c>
      <c r="I846" s="87">
        <v>23.666409557223098</v>
      </c>
      <c r="J846" s="87">
        <v>23.695206136755889</v>
      </c>
      <c r="K846" s="87">
        <v>23.734360388655556</v>
      </c>
      <c r="L846" s="87">
        <v>23.781375541058861</v>
      </c>
      <c r="N846" s="29">
        <v>24.661791315331264</v>
      </c>
      <c r="O846" s="29">
        <v>24.960264851901727</v>
      </c>
      <c r="P846" s="29">
        <v>24.926332387475917</v>
      </c>
      <c r="Q846" s="29">
        <v>25.114084658917996</v>
      </c>
      <c r="R846" s="29">
        <v>24.604438820203313</v>
      </c>
      <c r="S846" s="29">
        <v>24.401518262420005</v>
      </c>
      <c r="T846" s="29">
        <v>24.441628867003125</v>
      </c>
      <c r="U846" s="29">
        <v>24.1441054003899</v>
      </c>
      <c r="W846" s="30">
        <v>23.163956468307198</v>
      </c>
      <c r="X846" s="30">
        <v>25.7166944099049</v>
      </c>
      <c r="Y846" s="30">
        <v>25.778673227120301</v>
      </c>
      <c r="Z846" s="30">
        <v>25.833855004661149</v>
      </c>
      <c r="AA846" s="30">
        <v>26.782015982935533</v>
      </c>
      <c r="AB846" s="30">
        <v>30.651026575861156</v>
      </c>
      <c r="AC846" s="30">
        <v>35.887961007984806</v>
      </c>
      <c r="AD846" s="90">
        <v>0</v>
      </c>
      <c r="AF846" s="29">
        <f t="shared" si="1579"/>
        <v>24.661791315331264</v>
      </c>
      <c r="AG846" s="30">
        <f t="shared" si="1580"/>
        <v>23.163956468307198</v>
      </c>
      <c r="AH846" s="32">
        <f t="shared" si="1581"/>
        <v>-1.4978348470240661</v>
      </c>
      <c r="AI846" s="33">
        <f t="shared" si="1582"/>
        <v>-6.0735038581439992E-2</v>
      </c>
      <c r="AK846" s="29">
        <f t="shared" si="1571"/>
        <v>24.960264851901727</v>
      </c>
      <c r="AL846" s="30">
        <f t="shared" si="1572"/>
        <v>25.7166944099049</v>
      </c>
      <c r="AM846" s="32">
        <f t="shared" si="1583"/>
        <v>0.75642955800317324</v>
      </c>
      <c r="AN846" s="33">
        <f t="shared" si="1584"/>
        <v>3.0305349822661868E-2</v>
      </c>
      <c r="AP846" s="29">
        <f t="shared" si="1585"/>
        <v>24.926332387475917</v>
      </c>
      <c r="AQ846" s="30">
        <f t="shared" si="1586"/>
        <v>25.778673227120301</v>
      </c>
      <c r="AR846" s="32">
        <f t="shared" si="1587"/>
        <v>0.85234083964438412</v>
      </c>
      <c r="AS846" s="33">
        <f t="shared" si="1588"/>
        <v>3.4194394361548253E-2</v>
      </c>
      <c r="AU846" s="31">
        <f t="shared" si="1589"/>
        <v>25.114084658917996</v>
      </c>
      <c r="AV846" s="25">
        <f t="shared" si="1590"/>
        <v>25.833855004661149</v>
      </c>
      <c r="AW846" s="32">
        <f t="shared" si="1591"/>
        <v>0.71977034574315368</v>
      </c>
      <c r="AX846" s="33">
        <f t="shared" si="1592"/>
        <v>2.8660027053287952E-2</v>
      </c>
      <c r="AZ846" s="31">
        <f t="shared" si="1573"/>
        <v>24.604438820203313</v>
      </c>
      <c r="BA846" s="25">
        <f t="shared" si="1574"/>
        <v>26.782015982935533</v>
      </c>
      <c r="BB846" s="32">
        <f t="shared" si="1593"/>
        <v>2.17757716273222</v>
      </c>
      <c r="BC846" s="33">
        <f t="shared" si="1594"/>
        <v>8.8503427314268093E-2</v>
      </c>
      <c r="BE846" s="31">
        <f t="shared" si="1595"/>
        <v>24.401518262420005</v>
      </c>
      <c r="BF846" s="25">
        <f t="shared" si="1596"/>
        <v>30.651026575861156</v>
      </c>
      <c r="BG846" s="32">
        <f t="shared" si="1597"/>
        <v>6.2495083134411509</v>
      </c>
      <c r="BH846" s="33">
        <f t="shared" si="1598"/>
        <v>0.25611145364941568</v>
      </c>
      <c r="BJ846" s="31">
        <f t="shared" si="1575"/>
        <v>24.441628867003125</v>
      </c>
      <c r="BK846" s="25">
        <f t="shared" si="1576"/>
        <v>35.887961007984806</v>
      </c>
      <c r="BL846" s="32">
        <f t="shared" si="1577"/>
        <v>11.446332140981681</v>
      </c>
      <c r="BM846" s="33">
        <f t="shared" si="1578"/>
        <v>0.46831298369130164</v>
      </c>
      <c r="BO846" s="62"/>
      <c r="BP846" s="62"/>
      <c r="BQ846" s="62"/>
      <c r="BR846" s="63"/>
    </row>
    <row r="847" spans="1:70">
      <c r="B847" s="1284"/>
      <c r="D847" s="5" t="s">
        <v>173</v>
      </c>
      <c r="E847" s="87">
        <v>34.16762736884516</v>
      </c>
      <c r="F847" s="87">
        <v>34.954284994720986</v>
      </c>
      <c r="G847" s="87">
        <v>35.69442371005151</v>
      </c>
      <c r="H847" s="87">
        <v>36.273978374004464</v>
      </c>
      <c r="I847" s="87">
        <v>36.344692617288388</v>
      </c>
      <c r="J847" s="87">
        <v>36.415759586539345</v>
      </c>
      <c r="K847" s="87">
        <v>36.502562677320192</v>
      </c>
      <c r="L847" s="87">
        <v>36.592654451897388</v>
      </c>
      <c r="N847" s="29">
        <v>39.348872052492347</v>
      </c>
      <c r="O847" s="29">
        <v>39.265022930836913</v>
      </c>
      <c r="P847" s="29">
        <v>39.643390164700385</v>
      </c>
      <c r="Q847" s="29">
        <v>39.810527988393275</v>
      </c>
      <c r="R847" s="29">
        <v>39.644511870209755</v>
      </c>
      <c r="S847" s="29">
        <v>39.139296885511108</v>
      </c>
      <c r="T847" s="29">
        <v>39.126207449226698</v>
      </c>
      <c r="U847" s="29">
        <v>38.587212507570413</v>
      </c>
      <c r="W847" s="30">
        <v>38.925680184399518</v>
      </c>
      <c r="X847" s="30">
        <v>38.066248492087027</v>
      </c>
      <c r="Y847" s="30">
        <v>43.643718973613147</v>
      </c>
      <c r="Z847" s="30">
        <v>44.280616722266174</v>
      </c>
      <c r="AA847" s="30">
        <v>45.672575256201029</v>
      </c>
      <c r="AB847" s="30">
        <v>54.773286154051256</v>
      </c>
      <c r="AC847" s="30">
        <v>53.863992002606217</v>
      </c>
      <c r="AD847" s="90">
        <v>0</v>
      </c>
      <c r="AF847" s="29">
        <f t="shared" si="1579"/>
        <v>39.348872052492347</v>
      </c>
      <c r="AG847" s="30">
        <f t="shared" si="1580"/>
        <v>38.925680184399518</v>
      </c>
      <c r="AH847" s="32">
        <f t="shared" si="1581"/>
        <v>-0.42319186809282883</v>
      </c>
      <c r="AI847" s="33">
        <f t="shared" si="1582"/>
        <v>-1.0754866556995094E-2</v>
      </c>
      <c r="AK847" s="29">
        <f t="shared" si="1571"/>
        <v>39.265022930836913</v>
      </c>
      <c r="AL847" s="30">
        <f t="shared" si="1572"/>
        <v>38.066248492087027</v>
      </c>
      <c r="AM847" s="32">
        <f t="shared" si="1583"/>
        <v>-1.1987744387498864</v>
      </c>
      <c r="AN847" s="33">
        <f t="shared" si="1584"/>
        <v>-3.0530338435341267E-2</v>
      </c>
      <c r="AP847" s="29">
        <f t="shared" si="1585"/>
        <v>39.643390164700385</v>
      </c>
      <c r="AQ847" s="30">
        <f t="shared" si="1586"/>
        <v>43.643718973613147</v>
      </c>
      <c r="AR847" s="32">
        <f t="shared" si="1587"/>
        <v>4.0003288089127622</v>
      </c>
      <c r="AS847" s="33">
        <f t="shared" si="1588"/>
        <v>0.10090783841374823</v>
      </c>
      <c r="AU847" s="31">
        <f t="shared" si="1589"/>
        <v>39.810527988393275</v>
      </c>
      <c r="AV847" s="25">
        <f t="shared" si="1590"/>
        <v>44.280616722266174</v>
      </c>
      <c r="AW847" s="32">
        <f t="shared" si="1591"/>
        <v>4.470088733872899</v>
      </c>
      <c r="AX847" s="33">
        <f t="shared" si="1592"/>
        <v>0.11228408563624551</v>
      </c>
      <c r="AZ847" s="31">
        <f t="shared" si="1573"/>
        <v>39.644511870209755</v>
      </c>
      <c r="BA847" s="25">
        <f t="shared" si="1574"/>
        <v>45.672575256201029</v>
      </c>
      <c r="BB847" s="32">
        <f t="shared" si="1593"/>
        <v>6.028063385991274</v>
      </c>
      <c r="BC847" s="33">
        <f t="shared" si="1594"/>
        <v>0.15205290976280042</v>
      </c>
      <c r="BE847" s="31">
        <f t="shared" si="1595"/>
        <v>39.139296885511108</v>
      </c>
      <c r="BF847" s="25">
        <f t="shared" si="1596"/>
        <v>54.773286154051256</v>
      </c>
      <c r="BG847" s="32">
        <f t="shared" si="1597"/>
        <v>15.633989268540148</v>
      </c>
      <c r="BH847" s="33">
        <f t="shared" si="1598"/>
        <v>0.39944481665759463</v>
      </c>
      <c r="BJ847" s="31">
        <f t="shared" si="1575"/>
        <v>39.126207449226698</v>
      </c>
      <c r="BK847" s="25">
        <f t="shared" si="1576"/>
        <v>53.863992002606217</v>
      </c>
      <c r="BL847" s="32">
        <f t="shared" si="1577"/>
        <v>14.73778455337952</v>
      </c>
      <c r="BM847" s="33">
        <f t="shared" si="1578"/>
        <v>0.37667296459807537</v>
      </c>
      <c r="BO847" s="62"/>
      <c r="BP847" s="62"/>
      <c r="BQ847" s="62"/>
      <c r="BR847" s="63"/>
    </row>
    <row r="848" spans="1:70">
      <c r="A848" s="1"/>
      <c r="B848" s="1284"/>
      <c r="D848" s="4" t="s">
        <v>174</v>
      </c>
      <c r="E848" s="88">
        <f t="shared" ref="E848:L848" si="1599">SUM(E834:E847)</f>
        <v>404.30935185342514</v>
      </c>
      <c r="F848" s="88">
        <f t="shared" si="1599"/>
        <v>405.12866066483741</v>
      </c>
      <c r="G848" s="88">
        <f t="shared" si="1599"/>
        <v>404.34964828865998</v>
      </c>
      <c r="H848" s="88">
        <f t="shared" si="1599"/>
        <v>405.30071195644433</v>
      </c>
      <c r="I848" s="88">
        <f t="shared" si="1599"/>
        <v>405.45993456474929</v>
      </c>
      <c r="J848" s="88">
        <f t="shared" si="1599"/>
        <v>406.71371446098038</v>
      </c>
      <c r="K848" s="88">
        <f t="shared" si="1599"/>
        <v>407.9607746238193</v>
      </c>
      <c r="L848" s="88">
        <f t="shared" si="1599"/>
        <v>406.61097980586561</v>
      </c>
      <c r="M848" s="1"/>
      <c r="N848" s="81">
        <f t="shared" ref="N848:U848" si="1600">SUM(N834:N847)</f>
        <v>425.8762311962289</v>
      </c>
      <c r="O848" s="81">
        <f t="shared" si="1600"/>
        <v>421.95362458692364</v>
      </c>
      <c r="P848" s="81">
        <f t="shared" si="1600"/>
        <v>416.9888029619899</v>
      </c>
      <c r="Q848" s="81">
        <f t="shared" si="1600"/>
        <v>416.10378415321435</v>
      </c>
      <c r="R848" s="81">
        <f t="shared" si="1600"/>
        <v>412.73530564119221</v>
      </c>
      <c r="S848" s="81">
        <f t="shared" si="1600"/>
        <v>409.94528938570852</v>
      </c>
      <c r="T848" s="81">
        <f t="shared" si="1600"/>
        <v>408.75146400396022</v>
      </c>
      <c r="U848" s="81">
        <f t="shared" si="1600"/>
        <v>404.13693777603856</v>
      </c>
      <c r="V848" s="1"/>
      <c r="W848" s="85">
        <f t="shared" ref="W848:AD848" si="1601">SUM(W834:W847)</f>
        <v>395.03716572780655</v>
      </c>
      <c r="X848" s="85">
        <f t="shared" si="1601"/>
        <v>392.94816159548333</v>
      </c>
      <c r="Y848" s="85">
        <f t="shared" si="1601"/>
        <v>433.90446968732914</v>
      </c>
      <c r="Z848" s="85">
        <f>SUM(Z834:Z847)</f>
        <v>437.84741214348628</v>
      </c>
      <c r="AA848" s="85">
        <f>SUM(AA834:AA847)</f>
        <v>449.18266997451349</v>
      </c>
      <c r="AB848" s="85">
        <f t="shared" si="1601"/>
        <v>464.36263168723457</v>
      </c>
      <c r="AC848" s="85">
        <f t="shared" ref="AC848" si="1602">SUM(AC834:AC847)</f>
        <v>493.79405771337878</v>
      </c>
      <c r="AD848" s="91">
        <f t="shared" si="1601"/>
        <v>0</v>
      </c>
      <c r="AE848" s="1"/>
      <c r="AF848" s="81">
        <f t="shared" si="1579"/>
        <v>425.8762311962289</v>
      </c>
      <c r="AG848" s="85">
        <f t="shared" si="1580"/>
        <v>395.03716572780655</v>
      </c>
      <c r="AH848" s="34">
        <f t="shared" si="1581"/>
        <v>-30.839065468422348</v>
      </c>
      <c r="AI848" s="35">
        <f t="shared" si="1582"/>
        <v>-7.24132111853239E-2</v>
      </c>
      <c r="AK848" s="81">
        <f t="shared" si="1571"/>
        <v>421.95362458692364</v>
      </c>
      <c r="AL848" s="85">
        <f t="shared" si="1572"/>
        <v>392.94816159548333</v>
      </c>
      <c r="AM848" s="34">
        <f t="shared" si="1583"/>
        <v>-29.005462991440311</v>
      </c>
      <c r="AN848" s="35">
        <f t="shared" si="1584"/>
        <v>-6.8740878858039298E-2</v>
      </c>
      <c r="AP848" s="81">
        <f t="shared" si="1585"/>
        <v>416.9888029619899</v>
      </c>
      <c r="AQ848" s="85">
        <f t="shared" si="1586"/>
        <v>433.90446968732914</v>
      </c>
      <c r="AR848" s="34">
        <f t="shared" si="1587"/>
        <v>16.915666725339236</v>
      </c>
      <c r="AS848" s="35">
        <f t="shared" si="1588"/>
        <v>4.0566237283069594E-2</v>
      </c>
      <c r="AU848" s="949">
        <f t="shared" si="1589"/>
        <v>416.10378415321435</v>
      </c>
      <c r="AV848" s="843">
        <f t="shared" si="1590"/>
        <v>437.84741214348628</v>
      </c>
      <c r="AW848" s="34">
        <f t="shared" si="1591"/>
        <v>21.743627990271932</v>
      </c>
      <c r="AX848" s="35">
        <f t="shared" si="1592"/>
        <v>5.2255299803439591E-2</v>
      </c>
      <c r="AZ848" s="949">
        <f t="shared" si="1573"/>
        <v>412.73530564119221</v>
      </c>
      <c r="BA848" s="843">
        <f t="shared" si="1574"/>
        <v>449.18266997451349</v>
      </c>
      <c r="BB848" s="34">
        <f t="shared" si="1593"/>
        <v>36.447364333321275</v>
      </c>
      <c r="BC848" s="35">
        <f t="shared" si="1594"/>
        <v>8.8306873279715176E-2</v>
      </c>
      <c r="BE848" s="949">
        <f t="shared" si="1595"/>
        <v>409.94528938570852</v>
      </c>
      <c r="BF848" s="843">
        <f t="shared" si="1596"/>
        <v>464.36263168723457</v>
      </c>
      <c r="BG848" s="34">
        <f t="shared" si="1597"/>
        <v>54.417342301526048</v>
      </c>
      <c r="BH848" s="35">
        <f t="shared" si="1598"/>
        <v>0.13274293841275481</v>
      </c>
      <c r="BJ848" s="949">
        <f t="shared" si="1575"/>
        <v>408.75146400396022</v>
      </c>
      <c r="BK848" s="843">
        <f t="shared" si="1576"/>
        <v>493.79405771337878</v>
      </c>
      <c r="BL848" s="34">
        <f t="shared" si="1577"/>
        <v>85.042593709418554</v>
      </c>
      <c r="BM848" s="35">
        <f t="shared" si="1578"/>
        <v>0.20805452994926671</v>
      </c>
      <c r="BO848" s="62"/>
      <c r="BP848" s="62"/>
      <c r="BQ848" s="62"/>
      <c r="BR848" s="63"/>
    </row>
    <row r="849" spans="1:70">
      <c r="A849" s="1"/>
      <c r="B849" s="1284"/>
      <c r="D849" s="4" t="s">
        <v>724</v>
      </c>
      <c r="E849" s="88">
        <f t="shared" ref="E849:L849" si="1603">E848-SUM(E837:E840)</f>
        <v>284.37011851641228</v>
      </c>
      <c r="F849" s="88">
        <f t="shared" si="1603"/>
        <v>285.05814833228419</v>
      </c>
      <c r="G849" s="88">
        <f t="shared" si="1603"/>
        <v>284.74465012358417</v>
      </c>
      <c r="H849" s="88">
        <f t="shared" si="1603"/>
        <v>285.36558118477831</v>
      </c>
      <c r="I849" s="88">
        <f t="shared" si="1603"/>
        <v>284.9834249082212</v>
      </c>
      <c r="J849" s="88">
        <f t="shared" si="1603"/>
        <v>285.50380788077609</v>
      </c>
      <c r="K849" s="88">
        <f t="shared" si="1603"/>
        <v>286.01030933883072</v>
      </c>
      <c r="L849" s="88">
        <f t="shared" si="1603"/>
        <v>284.42189612461954</v>
      </c>
      <c r="M849" s="1"/>
      <c r="N849" s="81">
        <f t="shared" ref="N849:U849" si="1604">N848-SUM(N837:N840)</f>
        <v>305.93699785921604</v>
      </c>
      <c r="O849" s="81">
        <f t="shared" si="1604"/>
        <v>301.88311225437042</v>
      </c>
      <c r="P849" s="81">
        <f t="shared" si="1604"/>
        <v>297.38380479691409</v>
      </c>
      <c r="Q849" s="81">
        <f t="shared" si="1604"/>
        <v>296.16865338154832</v>
      </c>
      <c r="R849" s="81">
        <f t="shared" si="1604"/>
        <v>292.25879598466412</v>
      </c>
      <c r="S849" s="81">
        <f t="shared" si="1604"/>
        <v>288.73538280550417</v>
      </c>
      <c r="T849" s="81">
        <f t="shared" si="1604"/>
        <v>286.80099871897164</v>
      </c>
      <c r="U849" s="81">
        <f t="shared" si="1604"/>
        <v>281.94785409479249</v>
      </c>
      <c r="V849" s="1"/>
      <c r="W849" s="85">
        <f t="shared" ref="W849:AD849" si="1605">W848-SUM(W837:W840)</f>
        <v>286.57677466421785</v>
      </c>
      <c r="X849" s="85">
        <f t="shared" si="1605"/>
        <v>289.15469605539158</v>
      </c>
      <c r="Y849" s="85">
        <f t="shared" si="1605"/>
        <v>333.27602591122951</v>
      </c>
      <c r="Z849" s="85">
        <f>Z848-SUM(Z837:Z840)</f>
        <v>339.40092123676993</v>
      </c>
      <c r="AA849" s="85">
        <f>AA848-SUM(AA837:AA840)</f>
        <v>350.81420963223673</v>
      </c>
      <c r="AB849" s="85">
        <f t="shared" si="1605"/>
        <v>362.11820323196935</v>
      </c>
      <c r="AC849" s="85">
        <f t="shared" ref="AC849" si="1606">AC848-SUM(AC837:AC840)</f>
        <v>368.65295771337878</v>
      </c>
      <c r="AD849" s="91">
        <f t="shared" si="1605"/>
        <v>0</v>
      </c>
      <c r="AE849" s="1"/>
      <c r="AF849" s="81">
        <f t="shared" si="1579"/>
        <v>305.93699785921604</v>
      </c>
      <c r="AG849" s="85">
        <f t="shared" si="1580"/>
        <v>286.57677466421785</v>
      </c>
      <c r="AH849" s="34">
        <f t="shared" si="1581"/>
        <v>-19.360223194998184</v>
      </c>
      <c r="AI849" s="35">
        <f t="shared" si="1582"/>
        <v>-6.3281732286289999E-2</v>
      </c>
      <c r="AK849" s="81">
        <f t="shared" si="1571"/>
        <v>301.88311225437042</v>
      </c>
      <c r="AL849" s="85">
        <f t="shared" si="1572"/>
        <v>289.15469605539158</v>
      </c>
      <c r="AM849" s="34">
        <f t="shared" si="1583"/>
        <v>-12.728416198978834</v>
      </c>
      <c r="AN849" s="35">
        <f t="shared" si="1584"/>
        <v>-4.2163392658592029E-2</v>
      </c>
      <c r="AP849" s="81">
        <f t="shared" si="1585"/>
        <v>297.38380479691409</v>
      </c>
      <c r="AQ849" s="85">
        <f>Y849</f>
        <v>333.27602591122951</v>
      </c>
      <c r="AR849" s="34">
        <f t="shared" si="1587"/>
        <v>35.892221114315419</v>
      </c>
      <c r="AS849" s="35">
        <f t="shared" si="1588"/>
        <v>0.12069326081434233</v>
      </c>
      <c r="AU849" s="949">
        <f t="shared" si="1589"/>
        <v>296.16865338154832</v>
      </c>
      <c r="AV849" s="843">
        <f t="shared" si="1590"/>
        <v>339.40092123676993</v>
      </c>
      <c r="AW849" s="34">
        <f t="shared" si="1591"/>
        <v>43.232267855221608</v>
      </c>
      <c r="AX849" s="35">
        <f t="shared" si="1592"/>
        <v>0.14597178790398968</v>
      </c>
      <c r="AZ849" s="949">
        <f t="shared" si="1573"/>
        <v>292.25879598466412</v>
      </c>
      <c r="BA849" s="843">
        <f t="shared" si="1574"/>
        <v>350.81420963223673</v>
      </c>
      <c r="BB849" s="34">
        <f t="shared" si="1593"/>
        <v>58.555413647572607</v>
      </c>
      <c r="BC849" s="35">
        <f t="shared" si="1594"/>
        <v>0.20035466665867338</v>
      </c>
      <c r="BE849" s="949">
        <f t="shared" si="1595"/>
        <v>288.73538280550417</v>
      </c>
      <c r="BF849" s="843">
        <f t="shared" si="1596"/>
        <v>362.11820323196935</v>
      </c>
      <c r="BG849" s="34">
        <f t="shared" si="1597"/>
        <v>73.382820426465173</v>
      </c>
      <c r="BH849" s="35">
        <f t="shared" si="1598"/>
        <v>0.2541525036295838</v>
      </c>
      <c r="BJ849" s="949">
        <f t="shared" si="1575"/>
        <v>286.80099871897164</v>
      </c>
      <c r="BK849" s="843">
        <f t="shared" si="1576"/>
        <v>368.65295771337878</v>
      </c>
      <c r="BL849" s="34">
        <f t="shared" si="1577"/>
        <v>81.851958994407141</v>
      </c>
      <c r="BM849" s="35">
        <f t="shared" si="1578"/>
        <v>0.28539635273241015</v>
      </c>
      <c r="BO849" s="62"/>
      <c r="BP849" s="62"/>
      <c r="BQ849" s="62"/>
      <c r="BR849" s="63"/>
    </row>
    <row r="850" spans="1:70" ht="14.5" customHeight="1">
      <c r="B850" s="1284"/>
    </row>
    <row r="851" spans="1:70" ht="14.5" customHeight="1">
      <c r="B851" s="1284"/>
      <c r="D851" s="64" t="s">
        <v>109</v>
      </c>
    </row>
    <row r="852" spans="1:70" ht="14.5" customHeight="1">
      <c r="B852" s="1284"/>
      <c r="E852" s="1300" t="s">
        <v>733</v>
      </c>
      <c r="F852" s="1301"/>
      <c r="G852" s="1301"/>
      <c r="H852" s="1301"/>
      <c r="I852" s="1301"/>
      <c r="J852" s="1301"/>
      <c r="K852" s="1301"/>
      <c r="L852" s="1302"/>
      <c r="N852" s="245" t="s">
        <v>291</v>
      </c>
      <c r="O852" s="246"/>
      <c r="P852" s="246"/>
      <c r="Q852" s="246"/>
      <c r="R852" s="246"/>
      <c r="S852" s="246"/>
      <c r="T852" s="246"/>
      <c r="U852" s="247"/>
      <c r="W852" s="1079" t="s">
        <v>292</v>
      </c>
      <c r="X852" s="1080"/>
      <c r="Y852" s="1080"/>
      <c r="Z852" s="1080"/>
      <c r="AA852" s="1080"/>
      <c r="AB852" s="1080"/>
      <c r="AC852" s="1080"/>
      <c r="AD852" s="1081"/>
      <c r="AF852" s="102" t="s">
        <v>297</v>
      </c>
      <c r="AG852" s="102" t="s">
        <v>298</v>
      </c>
      <c r="AH852" s="1304" t="s">
        <v>602</v>
      </c>
      <c r="AI852" s="1304"/>
      <c r="AK852" s="102" t="s">
        <v>297</v>
      </c>
      <c r="AL852" s="102" t="s">
        <v>298</v>
      </c>
      <c r="AM852" s="1304" t="s">
        <v>602</v>
      </c>
      <c r="AN852" s="1304"/>
      <c r="AP852" s="6" t="s">
        <v>297</v>
      </c>
      <c r="AQ852" s="5" t="s">
        <v>298</v>
      </c>
      <c r="AR852" s="1303" t="s">
        <v>602</v>
      </c>
      <c r="AS852" s="1303"/>
      <c r="AU852" s="6" t="s">
        <v>297</v>
      </c>
      <c r="AV852" s="5" t="s">
        <v>298</v>
      </c>
      <c r="AW852" s="1303" t="s">
        <v>602</v>
      </c>
      <c r="AX852" s="1303"/>
      <c r="AZ852" s="6" t="s">
        <v>297</v>
      </c>
      <c r="BA852" s="5" t="s">
        <v>298</v>
      </c>
      <c r="BB852" s="1303" t="s">
        <v>602</v>
      </c>
      <c r="BC852" s="1303"/>
      <c r="BE852" s="6" t="s">
        <v>297</v>
      </c>
      <c r="BF852" s="5" t="s">
        <v>298</v>
      </c>
      <c r="BG852" s="1082" t="s">
        <v>602</v>
      </c>
      <c r="BH852" s="1082"/>
      <c r="BJ852" s="6" t="s">
        <v>297</v>
      </c>
      <c r="BK852" s="5" t="s">
        <v>298</v>
      </c>
      <c r="BL852" s="1082" t="s">
        <v>602</v>
      </c>
      <c r="BM852" s="1082"/>
      <c r="BO852" s="6" t="s">
        <v>297</v>
      </c>
      <c r="BP852" s="5" t="s">
        <v>298</v>
      </c>
      <c r="BQ852" s="1303" t="s">
        <v>602</v>
      </c>
      <c r="BR852" s="1303"/>
    </row>
    <row r="853" spans="1:70" ht="14.5" customHeight="1">
      <c r="A853" s="1"/>
      <c r="B853" s="1284"/>
      <c r="E853" s="196" t="s">
        <v>137</v>
      </c>
      <c r="F853" s="102" t="s">
        <v>138</v>
      </c>
      <c r="G853" s="102" t="s">
        <v>139</v>
      </c>
      <c r="H853" s="102" t="s">
        <v>140</v>
      </c>
      <c r="I853" s="102" t="s">
        <v>141</v>
      </c>
      <c r="J853" s="102" t="s">
        <v>126</v>
      </c>
      <c r="K853" s="102" t="s">
        <v>142</v>
      </c>
      <c r="L853" s="197" t="s">
        <v>143</v>
      </c>
      <c r="N853" s="196" t="s">
        <v>137</v>
      </c>
      <c r="O853" s="102" t="s">
        <v>138</v>
      </c>
      <c r="P853" s="102" t="s">
        <v>139</v>
      </c>
      <c r="Q853" s="102" t="s">
        <v>140</v>
      </c>
      <c r="R853" s="102" t="s">
        <v>141</v>
      </c>
      <c r="S853" s="102" t="s">
        <v>126</v>
      </c>
      <c r="T853" s="102" t="s">
        <v>142</v>
      </c>
      <c r="U853" s="197" t="s">
        <v>143</v>
      </c>
      <c r="W853" s="196" t="s">
        <v>137</v>
      </c>
      <c r="X853" s="1078" t="s">
        <v>138</v>
      </c>
      <c r="Y853" s="1078" t="s">
        <v>139</v>
      </c>
      <c r="Z853" s="1078" t="s">
        <v>140</v>
      </c>
      <c r="AA853" s="1078" t="s">
        <v>141</v>
      </c>
      <c r="AB853" s="1078" t="s">
        <v>126</v>
      </c>
      <c r="AC853" s="1078" t="s">
        <v>142</v>
      </c>
      <c r="AD853" s="197" t="s">
        <v>143</v>
      </c>
      <c r="AF853" s="102" t="s">
        <v>734</v>
      </c>
      <c r="AG853" s="102" t="s">
        <v>734</v>
      </c>
      <c r="AH853" s="102" t="s">
        <v>734</v>
      </c>
      <c r="AI853" s="102" t="s">
        <v>606</v>
      </c>
      <c r="AK853" s="102" t="s">
        <v>734</v>
      </c>
      <c r="AL853" s="102" t="s">
        <v>734</v>
      </c>
      <c r="AM853" s="102" t="s">
        <v>734</v>
      </c>
      <c r="AN853" s="102" t="s">
        <v>606</v>
      </c>
      <c r="AP853" s="5" t="s">
        <v>734</v>
      </c>
      <c r="AQ853" s="5" t="s">
        <v>734</v>
      </c>
      <c r="AR853" s="5" t="s">
        <v>734</v>
      </c>
      <c r="AS853" s="5" t="s">
        <v>606</v>
      </c>
      <c r="AU853" s="5" t="s">
        <v>734</v>
      </c>
      <c r="AV853" s="5" t="s">
        <v>734</v>
      </c>
      <c r="AW853" s="5" t="s">
        <v>734</v>
      </c>
      <c r="AX853" s="5" t="s">
        <v>606</v>
      </c>
      <c r="AZ853" s="5" t="s">
        <v>734</v>
      </c>
      <c r="BA853" s="5" t="s">
        <v>734</v>
      </c>
      <c r="BB853" s="5" t="s">
        <v>734</v>
      </c>
      <c r="BC853" s="5" t="s">
        <v>606</v>
      </c>
      <c r="BE853" s="5" t="s">
        <v>734</v>
      </c>
      <c r="BF853" s="5" t="s">
        <v>734</v>
      </c>
      <c r="BG853" s="5" t="s">
        <v>734</v>
      </c>
      <c r="BH853" s="5" t="s">
        <v>606</v>
      </c>
      <c r="BJ853" s="5" t="s">
        <v>734</v>
      </c>
      <c r="BK853" s="5" t="s">
        <v>734</v>
      </c>
      <c r="BL853" s="5" t="s">
        <v>734</v>
      </c>
      <c r="BM853" s="5" t="s">
        <v>606</v>
      </c>
      <c r="BO853" s="5" t="s">
        <v>734</v>
      </c>
      <c r="BP853" s="5" t="s">
        <v>734</v>
      </c>
      <c r="BQ853" s="5" t="s">
        <v>734</v>
      </c>
      <c r="BR853" s="5" t="s">
        <v>606</v>
      </c>
    </row>
    <row r="854" spans="1:70">
      <c r="B854" s="1284"/>
      <c r="D854" s="5" t="s">
        <v>161</v>
      </c>
      <c r="E854" s="87">
        <v>0</v>
      </c>
      <c r="F854" s="87">
        <v>0</v>
      </c>
      <c r="G854" s="87">
        <v>0</v>
      </c>
      <c r="H854" s="87">
        <v>0</v>
      </c>
      <c r="I854" s="87">
        <v>0</v>
      </c>
      <c r="J854" s="87">
        <v>0</v>
      </c>
      <c r="K854" s="87">
        <v>0</v>
      </c>
      <c r="L854" s="87">
        <v>0</v>
      </c>
      <c r="N854" s="29">
        <v>0</v>
      </c>
      <c r="O854" s="29">
        <v>0</v>
      </c>
      <c r="P854" s="29">
        <v>0</v>
      </c>
      <c r="Q854" s="29">
        <v>0</v>
      </c>
      <c r="R854" s="29">
        <v>0</v>
      </c>
      <c r="S854" s="29">
        <v>0</v>
      </c>
      <c r="T854" s="29">
        <v>0</v>
      </c>
      <c r="U854" s="29">
        <v>0</v>
      </c>
      <c r="W854" s="30">
        <v>0</v>
      </c>
      <c r="X854" s="30">
        <v>0</v>
      </c>
      <c r="Y854" s="30">
        <v>0</v>
      </c>
      <c r="Z854" s="30">
        <v>0</v>
      </c>
      <c r="AA854" s="30">
        <v>0</v>
      </c>
      <c r="AB854" s="30">
        <v>6.1839514172540158</v>
      </c>
      <c r="AC854" s="30">
        <v>6.8669707741051624</v>
      </c>
      <c r="AD854" s="90">
        <v>0</v>
      </c>
      <c r="AF854" s="29">
        <f>N854</f>
        <v>0</v>
      </c>
      <c r="AG854" s="30">
        <f>W854</f>
        <v>0</v>
      </c>
      <c r="AH854" s="32">
        <f>AG854-AF854</f>
        <v>0</v>
      </c>
      <c r="AI854" s="33" t="e">
        <f>AH854/AF854</f>
        <v>#DIV/0!</v>
      </c>
      <c r="AK854" s="29">
        <f t="shared" ref="AK854:AK869" si="1607">O854</f>
        <v>0</v>
      </c>
      <c r="AL854" s="30">
        <f t="shared" ref="AL854:AL869" si="1608">X854</f>
        <v>0</v>
      </c>
      <c r="AM854" s="32">
        <f>AL854-AK854</f>
        <v>0</v>
      </c>
      <c r="AN854" s="33" t="e">
        <f>AM854/AK854</f>
        <v>#DIV/0!</v>
      </c>
      <c r="AP854" s="29">
        <f>P854</f>
        <v>0</v>
      </c>
      <c r="AQ854" s="30">
        <f>Y854</f>
        <v>0</v>
      </c>
      <c r="AR854" s="32">
        <f>AQ854-AP854</f>
        <v>0</v>
      </c>
      <c r="AS854" s="33" t="e">
        <f>AR854/AP854</f>
        <v>#DIV/0!</v>
      </c>
      <c r="AU854" s="31">
        <f>Q854</f>
        <v>0</v>
      </c>
      <c r="AV854" s="25">
        <f>Z854</f>
        <v>0</v>
      </c>
      <c r="AW854" s="32">
        <f>AV854-AU854</f>
        <v>0</v>
      </c>
      <c r="AX854" s="33" t="e">
        <f>AW854/AU854</f>
        <v>#DIV/0!</v>
      </c>
      <c r="AZ854" s="31">
        <f t="shared" ref="AZ854:AZ869" si="1609">R854</f>
        <v>0</v>
      </c>
      <c r="BA854" s="25">
        <f t="shared" ref="BA854:BA869" si="1610">AA854</f>
        <v>0</v>
      </c>
      <c r="BB854" s="32">
        <f>BA854-AZ854</f>
        <v>0</v>
      </c>
      <c r="BC854" s="33" t="e">
        <f>BB854/AZ854</f>
        <v>#DIV/0!</v>
      </c>
      <c r="BE854" s="31">
        <f>S854</f>
        <v>0</v>
      </c>
      <c r="BF854" s="25">
        <f>AB854</f>
        <v>6.1839514172540158</v>
      </c>
      <c r="BG854" s="32">
        <f>BF854-BE854</f>
        <v>6.1839514172540158</v>
      </c>
      <c r="BH854" s="33" t="e">
        <f>BG854/BE854</f>
        <v>#DIV/0!</v>
      </c>
      <c r="BJ854" s="31">
        <f t="shared" ref="BJ854:BJ869" si="1611">T854</f>
        <v>0</v>
      </c>
      <c r="BK854" s="25">
        <f t="shared" ref="BK854:BK869" si="1612">AC854</f>
        <v>6.8669707741051624</v>
      </c>
      <c r="BL854" s="32">
        <f t="shared" ref="BL854:BL869" si="1613">BK854-BJ854</f>
        <v>6.8669707741051624</v>
      </c>
      <c r="BM854" s="33" t="e">
        <f t="shared" ref="BM854:BM869" si="1614">BL854/BJ854</f>
        <v>#DIV/0!</v>
      </c>
      <c r="BO854" s="62"/>
      <c r="BP854" s="62"/>
      <c r="BQ854" s="62"/>
      <c r="BR854" s="63"/>
    </row>
    <row r="855" spans="1:70">
      <c r="B855" s="1284"/>
      <c r="D855" s="5" t="s">
        <v>162</v>
      </c>
      <c r="E855" s="87">
        <v>0</v>
      </c>
      <c r="F855" s="87">
        <v>0</v>
      </c>
      <c r="G855" s="87">
        <v>0</v>
      </c>
      <c r="H855" s="87">
        <v>0</v>
      </c>
      <c r="I855" s="87">
        <v>0</v>
      </c>
      <c r="J855" s="87">
        <v>0</v>
      </c>
      <c r="K855" s="87">
        <v>0</v>
      </c>
      <c r="L855" s="87">
        <v>0</v>
      </c>
      <c r="N855" s="29">
        <v>0</v>
      </c>
      <c r="O855" s="29">
        <v>0</v>
      </c>
      <c r="P855" s="29">
        <v>0</v>
      </c>
      <c r="Q855" s="29">
        <v>0</v>
      </c>
      <c r="R855" s="29">
        <v>0</v>
      </c>
      <c r="S855" s="29">
        <v>0</v>
      </c>
      <c r="T855" s="29">
        <v>0</v>
      </c>
      <c r="U855" s="29">
        <v>0</v>
      </c>
      <c r="W855" s="30">
        <v>0</v>
      </c>
      <c r="X855" s="30">
        <v>0</v>
      </c>
      <c r="Y855" s="30">
        <v>0</v>
      </c>
      <c r="Z855" s="30">
        <v>0</v>
      </c>
      <c r="AA855" s="30">
        <v>0</v>
      </c>
      <c r="AB855" s="30">
        <v>0</v>
      </c>
      <c r="AC855" s="30">
        <v>0</v>
      </c>
      <c r="AD855" s="90">
        <v>0</v>
      </c>
      <c r="AF855" s="29">
        <f t="shared" ref="AF855:AF867" si="1615">N855</f>
        <v>0</v>
      </c>
      <c r="AG855" s="30">
        <f t="shared" ref="AG855:AG867" si="1616">W855</f>
        <v>0</v>
      </c>
      <c r="AH855" s="32">
        <f t="shared" ref="AH855:AH867" si="1617">AG855-AF855</f>
        <v>0</v>
      </c>
      <c r="AI855" s="33" t="e">
        <f t="shared" ref="AI855:AI867" si="1618">AH855/AF855</f>
        <v>#DIV/0!</v>
      </c>
      <c r="AK855" s="29">
        <f t="shared" si="1607"/>
        <v>0</v>
      </c>
      <c r="AL855" s="30">
        <f t="shared" si="1608"/>
        <v>0</v>
      </c>
      <c r="AM855" s="32">
        <f t="shared" ref="AM855:AM867" si="1619">AL855-AK855</f>
        <v>0</v>
      </c>
      <c r="AN855" s="33" t="e">
        <f t="shared" ref="AN855:AN867" si="1620">AM855/AK855</f>
        <v>#DIV/0!</v>
      </c>
      <c r="AP855" s="29">
        <f t="shared" ref="AP855:AP869" si="1621">P855</f>
        <v>0</v>
      </c>
      <c r="AQ855" s="30">
        <f t="shared" ref="AQ855:AQ868" si="1622">Y855</f>
        <v>0</v>
      </c>
      <c r="AR855" s="32">
        <f t="shared" ref="AR855:AR869" si="1623">AQ855-AP855</f>
        <v>0</v>
      </c>
      <c r="AS855" s="33" t="e">
        <f t="shared" ref="AS855:AS869" si="1624">AR855/AP855</f>
        <v>#DIV/0!</v>
      </c>
      <c r="AU855" s="31">
        <f t="shared" ref="AU855:AU869" si="1625">Q855</f>
        <v>0</v>
      </c>
      <c r="AV855" s="25">
        <f t="shared" ref="AV855:AV869" si="1626">Z855</f>
        <v>0</v>
      </c>
      <c r="AW855" s="32">
        <f t="shared" ref="AW855:AW869" si="1627">AV855-AU855</f>
        <v>0</v>
      </c>
      <c r="AX855" s="33" t="e">
        <f t="shared" ref="AX855:AX869" si="1628">AW855/AU855</f>
        <v>#DIV/0!</v>
      </c>
      <c r="AZ855" s="31">
        <f t="shared" si="1609"/>
        <v>0</v>
      </c>
      <c r="BA855" s="25">
        <f t="shared" si="1610"/>
        <v>0</v>
      </c>
      <c r="BB855" s="32">
        <f t="shared" ref="BB855:BB869" si="1629">BA855-AZ855</f>
        <v>0</v>
      </c>
      <c r="BC855" s="33" t="e">
        <f t="shared" ref="BC855:BC869" si="1630">BB855/AZ855</f>
        <v>#DIV/0!</v>
      </c>
      <c r="BE855" s="31">
        <f t="shared" ref="BE855:BE869" si="1631">S855</f>
        <v>0</v>
      </c>
      <c r="BF855" s="25">
        <f t="shared" ref="BF855:BF869" si="1632">AB855</f>
        <v>0</v>
      </c>
      <c r="BG855" s="32">
        <f t="shared" ref="BG855:BG869" si="1633">BF855-BE855</f>
        <v>0</v>
      </c>
      <c r="BH855" s="33" t="e">
        <f t="shared" ref="BH855:BH869" si="1634">BG855/BE855</f>
        <v>#DIV/0!</v>
      </c>
      <c r="BJ855" s="31">
        <f t="shared" si="1611"/>
        <v>0</v>
      </c>
      <c r="BK855" s="25">
        <f t="shared" si="1612"/>
        <v>0</v>
      </c>
      <c r="BL855" s="32">
        <f t="shared" si="1613"/>
        <v>0</v>
      </c>
      <c r="BM855" s="33" t="e">
        <f t="shared" si="1614"/>
        <v>#DIV/0!</v>
      </c>
      <c r="BO855" s="62"/>
      <c r="BP855" s="62"/>
      <c r="BQ855" s="62"/>
      <c r="BR855" s="63"/>
    </row>
    <row r="856" spans="1:70">
      <c r="B856" s="1284"/>
      <c r="D856" s="5" t="s">
        <v>163</v>
      </c>
      <c r="E856" s="87">
        <v>13.625691516525016</v>
      </c>
      <c r="F856" s="87">
        <v>5.2702565830062525E-4</v>
      </c>
      <c r="G856" s="87">
        <v>5.2855241999204424E-4</v>
      </c>
      <c r="H856" s="87">
        <v>5.3031550655761308E-4</v>
      </c>
      <c r="I856" s="87">
        <v>5.3197672397259745E-4</v>
      </c>
      <c r="J856" s="87">
        <v>0</v>
      </c>
      <c r="K856" s="87">
        <v>0</v>
      </c>
      <c r="L856" s="87">
        <v>0</v>
      </c>
      <c r="N856" s="29">
        <v>13.647638931634082</v>
      </c>
      <c r="O856" s="29">
        <v>5.2666162962354578E-4</v>
      </c>
      <c r="P856" s="29">
        <v>5.2818733674574224E-4</v>
      </c>
      <c r="Q856" s="29">
        <v>5.299492055070924E-4</v>
      </c>
      <c r="R856" s="29">
        <v>5.3160927548121038E-4</v>
      </c>
      <c r="S856" s="29">
        <v>0</v>
      </c>
      <c r="T856" s="29">
        <v>0</v>
      </c>
      <c r="U856" s="29">
        <v>0</v>
      </c>
      <c r="W856" s="30">
        <v>0</v>
      </c>
      <c r="X856" s="30">
        <v>0</v>
      </c>
      <c r="Y856" s="30">
        <v>0</v>
      </c>
      <c r="Z856" s="30">
        <v>0</v>
      </c>
      <c r="AA856" s="30">
        <v>0</v>
      </c>
      <c r="AB856" s="30">
        <v>0</v>
      </c>
      <c r="AC856" s="30">
        <v>0</v>
      </c>
      <c r="AD856" s="90">
        <v>0</v>
      </c>
      <c r="AF856" s="29">
        <f t="shared" si="1615"/>
        <v>13.647638931634082</v>
      </c>
      <c r="AG856" s="30">
        <f t="shared" si="1616"/>
        <v>0</v>
      </c>
      <c r="AH856" s="32">
        <f t="shared" si="1617"/>
        <v>-13.647638931634082</v>
      </c>
      <c r="AI856" s="33">
        <f t="shared" si="1618"/>
        <v>-1</v>
      </c>
      <c r="AK856" s="29">
        <f t="shared" si="1607"/>
        <v>5.2666162962354578E-4</v>
      </c>
      <c r="AL856" s="30">
        <f t="shared" si="1608"/>
        <v>0</v>
      </c>
      <c r="AM856" s="32">
        <f t="shared" si="1619"/>
        <v>-5.2666162962354578E-4</v>
      </c>
      <c r="AN856" s="33">
        <f t="shared" si="1620"/>
        <v>-1</v>
      </c>
      <c r="AP856" s="29">
        <f t="shared" si="1621"/>
        <v>5.2818733674574224E-4</v>
      </c>
      <c r="AQ856" s="30">
        <f t="shared" si="1622"/>
        <v>0</v>
      </c>
      <c r="AR856" s="32">
        <f t="shared" si="1623"/>
        <v>-5.2818733674574224E-4</v>
      </c>
      <c r="AS856" s="33">
        <f t="shared" si="1624"/>
        <v>-1</v>
      </c>
      <c r="AU856" s="31">
        <f t="shared" si="1625"/>
        <v>5.299492055070924E-4</v>
      </c>
      <c r="AV856" s="25">
        <f t="shared" si="1626"/>
        <v>0</v>
      </c>
      <c r="AW856" s="32">
        <f t="shared" si="1627"/>
        <v>-5.299492055070924E-4</v>
      </c>
      <c r="AX856" s="33">
        <f t="shared" si="1628"/>
        <v>-1</v>
      </c>
      <c r="AZ856" s="31">
        <f t="shared" si="1609"/>
        <v>5.3160927548121038E-4</v>
      </c>
      <c r="BA856" s="25">
        <f t="shared" si="1610"/>
        <v>0</v>
      </c>
      <c r="BB856" s="32">
        <f t="shared" si="1629"/>
        <v>-5.3160927548121038E-4</v>
      </c>
      <c r="BC856" s="33">
        <f t="shared" si="1630"/>
        <v>-1</v>
      </c>
      <c r="BE856" s="31">
        <f t="shared" si="1631"/>
        <v>0</v>
      </c>
      <c r="BF856" s="25">
        <f t="shared" si="1632"/>
        <v>0</v>
      </c>
      <c r="BG856" s="32">
        <f t="shared" si="1633"/>
        <v>0</v>
      </c>
      <c r="BH856" s="33" t="e">
        <f t="shared" si="1634"/>
        <v>#DIV/0!</v>
      </c>
      <c r="BJ856" s="31">
        <f t="shared" si="1611"/>
        <v>0</v>
      </c>
      <c r="BK856" s="25">
        <f t="shared" si="1612"/>
        <v>0</v>
      </c>
      <c r="BL856" s="32">
        <f t="shared" si="1613"/>
        <v>0</v>
      </c>
      <c r="BM856" s="33" t="e">
        <f t="shared" si="1614"/>
        <v>#DIV/0!</v>
      </c>
      <c r="BO856" s="62"/>
      <c r="BP856" s="62"/>
      <c r="BQ856" s="62"/>
      <c r="BR856" s="63"/>
    </row>
    <row r="857" spans="1:70">
      <c r="B857" s="1284"/>
      <c r="D857" s="5" t="s">
        <v>164</v>
      </c>
      <c r="E857" s="87">
        <v>0</v>
      </c>
      <c r="F857" s="87">
        <v>0</v>
      </c>
      <c r="G857" s="87">
        <v>0</v>
      </c>
      <c r="H857" s="87">
        <v>0</v>
      </c>
      <c r="I857" s="87">
        <v>0</v>
      </c>
      <c r="J857" s="87">
        <v>0</v>
      </c>
      <c r="K857" s="87">
        <v>0</v>
      </c>
      <c r="L857" s="87">
        <v>0</v>
      </c>
      <c r="N857" s="29">
        <v>0</v>
      </c>
      <c r="O857" s="29">
        <v>0</v>
      </c>
      <c r="P857" s="29">
        <v>0</v>
      </c>
      <c r="Q857" s="29">
        <v>0</v>
      </c>
      <c r="R857" s="29">
        <v>0</v>
      </c>
      <c r="S857" s="29">
        <v>0</v>
      </c>
      <c r="T857" s="29">
        <v>0</v>
      </c>
      <c r="U857" s="29">
        <v>0</v>
      </c>
      <c r="W857" s="30">
        <v>0</v>
      </c>
      <c r="X857" s="30">
        <v>0</v>
      </c>
      <c r="Y857" s="30">
        <v>0</v>
      </c>
      <c r="Z857" s="30">
        <v>0</v>
      </c>
      <c r="AA857" s="30">
        <v>0</v>
      </c>
      <c r="AB857" s="30">
        <v>0</v>
      </c>
      <c r="AC857" s="30">
        <v>0</v>
      </c>
      <c r="AD857" s="90">
        <v>0</v>
      </c>
      <c r="AF857" s="29">
        <f t="shared" si="1615"/>
        <v>0</v>
      </c>
      <c r="AG857" s="30">
        <f t="shared" si="1616"/>
        <v>0</v>
      </c>
      <c r="AH857" s="32">
        <f t="shared" si="1617"/>
        <v>0</v>
      </c>
      <c r="AI857" s="33" t="e">
        <f t="shared" si="1618"/>
        <v>#DIV/0!</v>
      </c>
      <c r="AK857" s="29">
        <f t="shared" si="1607"/>
        <v>0</v>
      </c>
      <c r="AL857" s="30">
        <f t="shared" si="1608"/>
        <v>0</v>
      </c>
      <c r="AM857" s="32">
        <f t="shared" si="1619"/>
        <v>0</v>
      </c>
      <c r="AN857" s="33" t="e">
        <f t="shared" si="1620"/>
        <v>#DIV/0!</v>
      </c>
      <c r="AP857" s="29">
        <f t="shared" si="1621"/>
        <v>0</v>
      </c>
      <c r="AQ857" s="30">
        <f t="shared" si="1622"/>
        <v>0</v>
      </c>
      <c r="AR857" s="32">
        <f t="shared" si="1623"/>
        <v>0</v>
      </c>
      <c r="AS857" s="33" t="e">
        <f t="shared" si="1624"/>
        <v>#DIV/0!</v>
      </c>
      <c r="AU857" s="31">
        <f t="shared" si="1625"/>
        <v>0</v>
      </c>
      <c r="AV857" s="25">
        <f t="shared" si="1626"/>
        <v>0</v>
      </c>
      <c r="AW857" s="32">
        <f t="shared" si="1627"/>
        <v>0</v>
      </c>
      <c r="AX857" s="33" t="e">
        <f t="shared" si="1628"/>
        <v>#DIV/0!</v>
      </c>
      <c r="AZ857" s="31">
        <f t="shared" si="1609"/>
        <v>0</v>
      </c>
      <c r="BA857" s="25">
        <f t="shared" si="1610"/>
        <v>0</v>
      </c>
      <c r="BB857" s="32">
        <f t="shared" si="1629"/>
        <v>0</v>
      </c>
      <c r="BC857" s="33" t="e">
        <f t="shared" si="1630"/>
        <v>#DIV/0!</v>
      </c>
      <c r="BE857" s="31">
        <f t="shared" si="1631"/>
        <v>0</v>
      </c>
      <c r="BF857" s="25">
        <f t="shared" si="1632"/>
        <v>0</v>
      </c>
      <c r="BG857" s="32">
        <f t="shared" si="1633"/>
        <v>0</v>
      </c>
      <c r="BH857" s="33" t="e">
        <f t="shared" si="1634"/>
        <v>#DIV/0!</v>
      </c>
      <c r="BJ857" s="31">
        <f t="shared" si="1611"/>
        <v>0</v>
      </c>
      <c r="BK857" s="25">
        <f t="shared" si="1612"/>
        <v>0</v>
      </c>
      <c r="BL857" s="32">
        <f t="shared" si="1613"/>
        <v>0</v>
      </c>
      <c r="BM857" s="33" t="e">
        <f t="shared" si="1614"/>
        <v>#DIV/0!</v>
      </c>
      <c r="BO857" s="62"/>
      <c r="BP857" s="62"/>
      <c r="BQ857" s="62"/>
      <c r="BR857" s="63"/>
    </row>
    <row r="858" spans="1:70">
      <c r="B858" s="1284"/>
      <c r="D858" s="5" t="s">
        <v>165</v>
      </c>
      <c r="E858" s="87">
        <v>0</v>
      </c>
      <c r="F858" s="87">
        <v>0</v>
      </c>
      <c r="G858" s="87">
        <v>0</v>
      </c>
      <c r="H858" s="87">
        <v>0</v>
      </c>
      <c r="I858" s="87">
        <v>0</v>
      </c>
      <c r="J858" s="87">
        <v>0</v>
      </c>
      <c r="K858" s="87">
        <v>0</v>
      </c>
      <c r="L858" s="87">
        <v>0</v>
      </c>
      <c r="N858" s="29">
        <v>0</v>
      </c>
      <c r="O858" s="29">
        <v>0</v>
      </c>
      <c r="P858" s="29">
        <v>0</v>
      </c>
      <c r="Q858" s="29">
        <v>0</v>
      </c>
      <c r="R858" s="29">
        <v>0</v>
      </c>
      <c r="S858" s="29">
        <v>0</v>
      </c>
      <c r="T858" s="29">
        <v>0</v>
      </c>
      <c r="U858" s="29">
        <v>0</v>
      </c>
      <c r="W858" s="30">
        <v>0</v>
      </c>
      <c r="X858" s="30">
        <v>0</v>
      </c>
      <c r="Y858" s="30">
        <v>0</v>
      </c>
      <c r="Z858" s="30">
        <v>0</v>
      </c>
      <c r="AA858" s="30">
        <v>0</v>
      </c>
      <c r="AB858" s="30">
        <v>0</v>
      </c>
      <c r="AC858" s="30">
        <v>0</v>
      </c>
      <c r="AD858" s="90">
        <v>0</v>
      </c>
      <c r="AF858" s="29">
        <f t="shared" si="1615"/>
        <v>0</v>
      </c>
      <c r="AG858" s="30">
        <f t="shared" si="1616"/>
        <v>0</v>
      </c>
      <c r="AH858" s="32">
        <f t="shared" si="1617"/>
        <v>0</v>
      </c>
      <c r="AI858" s="33" t="e">
        <f t="shared" si="1618"/>
        <v>#DIV/0!</v>
      </c>
      <c r="AK858" s="29">
        <f t="shared" si="1607"/>
        <v>0</v>
      </c>
      <c r="AL858" s="30">
        <f t="shared" si="1608"/>
        <v>0</v>
      </c>
      <c r="AM858" s="32">
        <f t="shared" si="1619"/>
        <v>0</v>
      </c>
      <c r="AN858" s="33" t="e">
        <f t="shared" si="1620"/>
        <v>#DIV/0!</v>
      </c>
      <c r="AP858" s="29">
        <f t="shared" si="1621"/>
        <v>0</v>
      </c>
      <c r="AQ858" s="30">
        <f t="shared" si="1622"/>
        <v>0</v>
      </c>
      <c r="AR858" s="32">
        <f t="shared" si="1623"/>
        <v>0</v>
      </c>
      <c r="AS858" s="33" t="e">
        <f t="shared" si="1624"/>
        <v>#DIV/0!</v>
      </c>
      <c r="AU858" s="31">
        <f t="shared" si="1625"/>
        <v>0</v>
      </c>
      <c r="AV858" s="25">
        <f t="shared" si="1626"/>
        <v>0</v>
      </c>
      <c r="AW858" s="32">
        <f t="shared" si="1627"/>
        <v>0</v>
      </c>
      <c r="AX858" s="33" t="e">
        <f t="shared" si="1628"/>
        <v>#DIV/0!</v>
      </c>
      <c r="AZ858" s="31">
        <f t="shared" si="1609"/>
        <v>0</v>
      </c>
      <c r="BA858" s="25">
        <f t="shared" si="1610"/>
        <v>0</v>
      </c>
      <c r="BB858" s="32">
        <f t="shared" si="1629"/>
        <v>0</v>
      </c>
      <c r="BC858" s="33" t="e">
        <f t="shared" si="1630"/>
        <v>#DIV/0!</v>
      </c>
      <c r="BE858" s="31">
        <f t="shared" si="1631"/>
        <v>0</v>
      </c>
      <c r="BF858" s="25">
        <f t="shared" si="1632"/>
        <v>0</v>
      </c>
      <c r="BG858" s="32">
        <f t="shared" si="1633"/>
        <v>0</v>
      </c>
      <c r="BH858" s="33" t="e">
        <f t="shared" si="1634"/>
        <v>#DIV/0!</v>
      </c>
      <c r="BJ858" s="31">
        <f t="shared" si="1611"/>
        <v>0</v>
      </c>
      <c r="BK858" s="25">
        <f t="shared" si="1612"/>
        <v>0</v>
      </c>
      <c r="BL858" s="32">
        <f t="shared" si="1613"/>
        <v>0</v>
      </c>
      <c r="BM858" s="33" t="e">
        <f t="shared" si="1614"/>
        <v>#DIV/0!</v>
      </c>
      <c r="BO858" s="62"/>
      <c r="BP858" s="62"/>
      <c r="BQ858" s="62"/>
      <c r="BR858" s="63"/>
    </row>
    <row r="859" spans="1:70">
      <c r="B859" s="1284"/>
      <c r="D859" s="5" t="s">
        <v>166</v>
      </c>
      <c r="E859" s="87">
        <v>0</v>
      </c>
      <c r="F859" s="87">
        <v>0</v>
      </c>
      <c r="G859" s="87">
        <v>0</v>
      </c>
      <c r="H859" s="87">
        <v>0</v>
      </c>
      <c r="I859" s="87">
        <v>0</v>
      </c>
      <c r="J859" s="87">
        <v>0</v>
      </c>
      <c r="K859" s="87">
        <v>0</v>
      </c>
      <c r="L859" s="87">
        <v>0</v>
      </c>
      <c r="N859" s="29">
        <v>0</v>
      </c>
      <c r="O859" s="29">
        <v>0</v>
      </c>
      <c r="P859" s="29">
        <v>0</v>
      </c>
      <c r="Q859" s="29">
        <v>0</v>
      </c>
      <c r="R859" s="29">
        <v>0</v>
      </c>
      <c r="S859" s="29">
        <v>0</v>
      </c>
      <c r="T859" s="29">
        <v>0</v>
      </c>
      <c r="U859" s="29">
        <v>0</v>
      </c>
      <c r="W859" s="30">
        <v>0</v>
      </c>
      <c r="X859" s="30">
        <v>0</v>
      </c>
      <c r="Y859" s="30">
        <v>0</v>
      </c>
      <c r="Z859" s="30">
        <v>0</v>
      </c>
      <c r="AA859" s="30">
        <v>0</v>
      </c>
      <c r="AB859" s="30">
        <v>0</v>
      </c>
      <c r="AC859" s="30">
        <v>0</v>
      </c>
      <c r="AD859" s="90">
        <v>0</v>
      </c>
      <c r="AF859" s="29">
        <f t="shared" si="1615"/>
        <v>0</v>
      </c>
      <c r="AG859" s="30">
        <f t="shared" si="1616"/>
        <v>0</v>
      </c>
      <c r="AH859" s="32">
        <f t="shared" si="1617"/>
        <v>0</v>
      </c>
      <c r="AI859" s="33" t="e">
        <f t="shared" si="1618"/>
        <v>#DIV/0!</v>
      </c>
      <c r="AK859" s="29">
        <f t="shared" si="1607"/>
        <v>0</v>
      </c>
      <c r="AL859" s="30">
        <f t="shared" si="1608"/>
        <v>0</v>
      </c>
      <c r="AM859" s="32">
        <f t="shared" si="1619"/>
        <v>0</v>
      </c>
      <c r="AN859" s="33" t="e">
        <f t="shared" si="1620"/>
        <v>#DIV/0!</v>
      </c>
      <c r="AP859" s="29">
        <f t="shared" si="1621"/>
        <v>0</v>
      </c>
      <c r="AQ859" s="30">
        <f t="shared" si="1622"/>
        <v>0</v>
      </c>
      <c r="AR859" s="32">
        <f t="shared" si="1623"/>
        <v>0</v>
      </c>
      <c r="AS859" s="33" t="e">
        <f t="shared" si="1624"/>
        <v>#DIV/0!</v>
      </c>
      <c r="AU859" s="31">
        <f t="shared" si="1625"/>
        <v>0</v>
      </c>
      <c r="AV859" s="25">
        <f t="shared" si="1626"/>
        <v>0</v>
      </c>
      <c r="AW859" s="32">
        <f t="shared" si="1627"/>
        <v>0</v>
      </c>
      <c r="AX859" s="33" t="e">
        <f t="shared" si="1628"/>
        <v>#DIV/0!</v>
      </c>
      <c r="AZ859" s="31">
        <f t="shared" si="1609"/>
        <v>0</v>
      </c>
      <c r="BA859" s="25">
        <f t="shared" si="1610"/>
        <v>0</v>
      </c>
      <c r="BB859" s="32">
        <f t="shared" si="1629"/>
        <v>0</v>
      </c>
      <c r="BC859" s="33" t="e">
        <f t="shared" si="1630"/>
        <v>#DIV/0!</v>
      </c>
      <c r="BE859" s="31">
        <f t="shared" si="1631"/>
        <v>0</v>
      </c>
      <c r="BF859" s="25">
        <f t="shared" si="1632"/>
        <v>0</v>
      </c>
      <c r="BG859" s="32">
        <f t="shared" si="1633"/>
        <v>0</v>
      </c>
      <c r="BH859" s="33" t="e">
        <f t="shared" si="1634"/>
        <v>#DIV/0!</v>
      </c>
      <c r="BJ859" s="31">
        <f t="shared" si="1611"/>
        <v>0</v>
      </c>
      <c r="BK859" s="25">
        <f t="shared" si="1612"/>
        <v>0</v>
      </c>
      <c r="BL859" s="32">
        <f t="shared" si="1613"/>
        <v>0</v>
      </c>
      <c r="BM859" s="33" t="e">
        <f t="shared" si="1614"/>
        <v>#DIV/0!</v>
      </c>
      <c r="BO859" s="62"/>
      <c r="BP859" s="62"/>
      <c r="BQ859" s="62"/>
      <c r="BR859" s="63"/>
    </row>
    <row r="860" spans="1:70">
      <c r="B860" s="1284"/>
      <c r="D860" s="5" t="s">
        <v>167</v>
      </c>
      <c r="E860" s="87">
        <v>0</v>
      </c>
      <c r="F860" s="87">
        <v>0</v>
      </c>
      <c r="G860" s="87">
        <v>0</v>
      </c>
      <c r="H860" s="87">
        <v>0</v>
      </c>
      <c r="I860" s="87">
        <v>0</v>
      </c>
      <c r="J860" s="87">
        <v>0</v>
      </c>
      <c r="K860" s="87">
        <v>0</v>
      </c>
      <c r="L860" s="87">
        <v>0</v>
      </c>
      <c r="N860" s="29">
        <v>0</v>
      </c>
      <c r="O860" s="29">
        <v>0</v>
      </c>
      <c r="P860" s="29">
        <v>0</v>
      </c>
      <c r="Q860" s="29">
        <v>0</v>
      </c>
      <c r="R860" s="29">
        <v>0</v>
      </c>
      <c r="S860" s="29">
        <v>0</v>
      </c>
      <c r="T860" s="29">
        <v>0</v>
      </c>
      <c r="U860" s="29">
        <v>0</v>
      </c>
      <c r="W860" s="30">
        <v>0</v>
      </c>
      <c r="X860" s="30">
        <v>0</v>
      </c>
      <c r="Y860" s="30">
        <v>0</v>
      </c>
      <c r="Z860" s="30">
        <v>0</v>
      </c>
      <c r="AA860" s="30">
        <v>0</v>
      </c>
      <c r="AB860" s="30">
        <v>0</v>
      </c>
      <c r="AC860" s="30">
        <v>0</v>
      </c>
      <c r="AD860" s="90">
        <v>0</v>
      </c>
      <c r="AF860" s="29">
        <f t="shared" si="1615"/>
        <v>0</v>
      </c>
      <c r="AG860" s="30">
        <f t="shared" si="1616"/>
        <v>0</v>
      </c>
      <c r="AH860" s="32">
        <f t="shared" si="1617"/>
        <v>0</v>
      </c>
      <c r="AI860" s="33" t="e">
        <f t="shared" si="1618"/>
        <v>#DIV/0!</v>
      </c>
      <c r="AK860" s="29">
        <f t="shared" si="1607"/>
        <v>0</v>
      </c>
      <c r="AL860" s="30">
        <f t="shared" si="1608"/>
        <v>0</v>
      </c>
      <c r="AM860" s="32">
        <f t="shared" si="1619"/>
        <v>0</v>
      </c>
      <c r="AN860" s="33" t="e">
        <f t="shared" si="1620"/>
        <v>#DIV/0!</v>
      </c>
      <c r="AP860" s="29">
        <f t="shared" si="1621"/>
        <v>0</v>
      </c>
      <c r="AQ860" s="30">
        <f t="shared" si="1622"/>
        <v>0</v>
      </c>
      <c r="AR860" s="32">
        <f t="shared" si="1623"/>
        <v>0</v>
      </c>
      <c r="AS860" s="33" t="e">
        <f t="shared" si="1624"/>
        <v>#DIV/0!</v>
      </c>
      <c r="AU860" s="31">
        <f t="shared" si="1625"/>
        <v>0</v>
      </c>
      <c r="AV860" s="25">
        <f t="shared" si="1626"/>
        <v>0</v>
      </c>
      <c r="AW860" s="32">
        <f t="shared" si="1627"/>
        <v>0</v>
      </c>
      <c r="AX860" s="33" t="e">
        <f t="shared" si="1628"/>
        <v>#DIV/0!</v>
      </c>
      <c r="AZ860" s="31">
        <f t="shared" si="1609"/>
        <v>0</v>
      </c>
      <c r="BA860" s="25">
        <f t="shared" si="1610"/>
        <v>0</v>
      </c>
      <c r="BB860" s="32">
        <f t="shared" si="1629"/>
        <v>0</v>
      </c>
      <c r="BC860" s="33" t="e">
        <f t="shared" si="1630"/>
        <v>#DIV/0!</v>
      </c>
      <c r="BE860" s="31">
        <f t="shared" si="1631"/>
        <v>0</v>
      </c>
      <c r="BF860" s="25">
        <f t="shared" si="1632"/>
        <v>0</v>
      </c>
      <c r="BG860" s="32">
        <f t="shared" si="1633"/>
        <v>0</v>
      </c>
      <c r="BH860" s="33" t="e">
        <f t="shared" si="1634"/>
        <v>#DIV/0!</v>
      </c>
      <c r="BJ860" s="31">
        <f t="shared" si="1611"/>
        <v>0</v>
      </c>
      <c r="BK860" s="25">
        <f t="shared" si="1612"/>
        <v>0</v>
      </c>
      <c r="BL860" s="32">
        <f t="shared" si="1613"/>
        <v>0</v>
      </c>
      <c r="BM860" s="33" t="e">
        <f t="shared" si="1614"/>
        <v>#DIV/0!</v>
      </c>
      <c r="BO860" s="62"/>
      <c r="BP860" s="62"/>
      <c r="BQ860" s="62"/>
      <c r="BR860" s="63"/>
    </row>
    <row r="861" spans="1:70">
      <c r="B861" s="1284"/>
      <c r="D861" s="5" t="s">
        <v>168</v>
      </c>
      <c r="E861" s="87">
        <v>14.725849503836203</v>
      </c>
      <c r="F861" s="87">
        <v>12.896358555967554</v>
      </c>
      <c r="G861" s="87">
        <v>19.818493485679408</v>
      </c>
      <c r="H861" s="87">
        <v>21.796668046345332</v>
      </c>
      <c r="I861" s="87">
        <v>19.620601894156167</v>
      </c>
      <c r="J861" s="87">
        <v>10.715197898596781</v>
      </c>
      <c r="K861" s="87">
        <v>10.189409165847954</v>
      </c>
      <c r="L861" s="87">
        <v>7.7143373629805083</v>
      </c>
      <c r="N861" s="29">
        <v>14.002931545344273</v>
      </c>
      <c r="O861" s="29">
        <v>12.26325353904943</v>
      </c>
      <c r="P861" s="29">
        <v>18.84556864033717</v>
      </c>
      <c r="Q861" s="29">
        <v>20.72663111829678</v>
      </c>
      <c r="R861" s="29">
        <v>18.657391896525052</v>
      </c>
      <c r="S861" s="29">
        <v>10.189169910352527</v>
      </c>
      <c r="T861" s="29">
        <v>9.6891930750550355</v>
      </c>
      <c r="U861" s="29">
        <v>7.3356269180509264</v>
      </c>
      <c r="W861" s="30">
        <v>1.3863189265895208</v>
      </c>
      <c r="X861" s="30">
        <v>3.3209308930945998</v>
      </c>
      <c r="Y861" s="30">
        <v>7.9682817625519178</v>
      </c>
      <c r="Z861" s="30">
        <v>11.225387510391739</v>
      </c>
      <c r="AA861" s="30">
        <v>11.814602176299234</v>
      </c>
      <c r="AB861" s="30">
        <v>5.2722898859679628</v>
      </c>
      <c r="AC861" s="30">
        <v>1.0985196723841535</v>
      </c>
      <c r="AD861" s="90">
        <v>0</v>
      </c>
      <c r="AF861" s="29">
        <f t="shared" si="1615"/>
        <v>14.002931545344273</v>
      </c>
      <c r="AG861" s="30">
        <f t="shared" si="1616"/>
        <v>1.3863189265895208</v>
      </c>
      <c r="AH861" s="32">
        <f t="shared" si="1617"/>
        <v>-12.616612618754752</v>
      </c>
      <c r="AI861" s="33">
        <f t="shared" si="1618"/>
        <v>-0.90099795017205186</v>
      </c>
      <c r="AK861" s="29">
        <f t="shared" si="1607"/>
        <v>12.26325353904943</v>
      </c>
      <c r="AL861" s="30">
        <f t="shared" si="1608"/>
        <v>3.3209308930945998</v>
      </c>
      <c r="AM861" s="32">
        <f t="shared" si="1619"/>
        <v>-8.94232264595483</v>
      </c>
      <c r="AN861" s="33">
        <f t="shared" si="1620"/>
        <v>-0.72919658861166969</v>
      </c>
      <c r="AP861" s="29">
        <f t="shared" si="1621"/>
        <v>18.84556864033717</v>
      </c>
      <c r="AQ861" s="30">
        <f t="shared" si="1622"/>
        <v>7.9682817625519178</v>
      </c>
      <c r="AR861" s="32">
        <f t="shared" si="1623"/>
        <v>-10.877286877785252</v>
      </c>
      <c r="AS861" s="33">
        <f t="shared" si="1624"/>
        <v>-0.57718008330634507</v>
      </c>
      <c r="AU861" s="31">
        <f t="shared" si="1625"/>
        <v>20.72663111829678</v>
      </c>
      <c r="AV861" s="25">
        <f t="shared" si="1626"/>
        <v>11.225387510391739</v>
      </c>
      <c r="AW861" s="32">
        <f t="shared" si="1627"/>
        <v>-9.5012436079050406</v>
      </c>
      <c r="AX861" s="33">
        <f t="shared" si="1628"/>
        <v>-0.4584075218822059</v>
      </c>
      <c r="AZ861" s="31">
        <f t="shared" si="1609"/>
        <v>18.657391896525052</v>
      </c>
      <c r="BA861" s="25">
        <f t="shared" si="1610"/>
        <v>11.814602176299234</v>
      </c>
      <c r="BB861" s="32">
        <f t="shared" si="1629"/>
        <v>-6.8427897202258183</v>
      </c>
      <c r="BC861" s="33">
        <f t="shared" si="1630"/>
        <v>-0.36676025020947817</v>
      </c>
      <c r="BE861" s="31">
        <f t="shared" si="1631"/>
        <v>10.189169910352527</v>
      </c>
      <c r="BF861" s="25">
        <f t="shared" si="1632"/>
        <v>5.2722898859679628</v>
      </c>
      <c r="BG861" s="32">
        <f t="shared" si="1633"/>
        <v>-4.9168800243845645</v>
      </c>
      <c r="BH861" s="33">
        <f t="shared" si="1634"/>
        <v>-0.48255943002666535</v>
      </c>
      <c r="BJ861" s="31">
        <f t="shared" si="1611"/>
        <v>9.6891930750550355</v>
      </c>
      <c r="BK861" s="25">
        <f t="shared" si="1612"/>
        <v>1.0985196723841535</v>
      </c>
      <c r="BL861" s="32">
        <f t="shared" si="1613"/>
        <v>-8.5906734026708822</v>
      </c>
      <c r="BM861" s="33">
        <f t="shared" si="1614"/>
        <v>-0.88662423548847347</v>
      </c>
      <c r="BO861" s="62"/>
      <c r="BP861" s="62"/>
      <c r="BQ861" s="62"/>
      <c r="BR861" s="63"/>
    </row>
    <row r="862" spans="1:70">
      <c r="B862" s="1284"/>
      <c r="D862" s="5" t="s">
        <v>169</v>
      </c>
      <c r="E862" s="87">
        <v>6.6145762846348735</v>
      </c>
      <c r="F862" s="87">
        <v>8.1028346643999427</v>
      </c>
      <c r="G862" s="87">
        <v>8.0814882823587482</v>
      </c>
      <c r="H862" s="87">
        <v>7.5674745968147832</v>
      </c>
      <c r="I862" s="87">
        <v>6.3094220969185955</v>
      </c>
      <c r="J862" s="87">
        <v>3.7989976236662018</v>
      </c>
      <c r="K862" s="87">
        <v>0</v>
      </c>
      <c r="L862" s="87">
        <v>0</v>
      </c>
      <c r="N862" s="29">
        <v>6.017375500985926</v>
      </c>
      <c r="O862" s="29">
        <v>7.3712656260931144</v>
      </c>
      <c r="P862" s="29">
        <v>7.3518465143009113</v>
      </c>
      <c r="Q862" s="29">
        <v>6.8842408468375922</v>
      </c>
      <c r="R862" s="29">
        <v>5.7397723327448107</v>
      </c>
      <c r="S862" s="29">
        <v>3.4560029615282657</v>
      </c>
      <c r="T862" s="29">
        <v>0</v>
      </c>
      <c r="U862" s="29">
        <v>0</v>
      </c>
      <c r="W862" s="30">
        <v>0.48338084217948235</v>
      </c>
      <c r="X862" s="30">
        <v>0</v>
      </c>
      <c r="Y862" s="30">
        <v>0.12295426665529426</v>
      </c>
      <c r="Z862" s="30">
        <v>4.623458504018326</v>
      </c>
      <c r="AA862" s="30">
        <v>2.3015892216845395</v>
      </c>
      <c r="AB862" s="30">
        <v>-0.94329633229767129</v>
      </c>
      <c r="AC862" s="30">
        <v>2.2004948650804455</v>
      </c>
      <c r="AD862" s="90">
        <v>0</v>
      </c>
      <c r="AF862" s="29">
        <f t="shared" si="1615"/>
        <v>6.017375500985926</v>
      </c>
      <c r="AG862" s="30">
        <f t="shared" si="1616"/>
        <v>0.48338084217948235</v>
      </c>
      <c r="AH862" s="32">
        <f t="shared" si="1617"/>
        <v>-5.5339946588064439</v>
      </c>
      <c r="AI862" s="33">
        <f t="shared" si="1618"/>
        <v>-0.91966915774156333</v>
      </c>
      <c r="AK862" s="29">
        <f t="shared" si="1607"/>
        <v>7.3712656260931144</v>
      </c>
      <c r="AL862" s="30">
        <f t="shared" si="1608"/>
        <v>0</v>
      </c>
      <c r="AM862" s="32">
        <f t="shared" si="1619"/>
        <v>-7.3712656260931144</v>
      </c>
      <c r="AN862" s="33">
        <f t="shared" si="1620"/>
        <v>-1</v>
      </c>
      <c r="AP862" s="29">
        <f t="shared" si="1621"/>
        <v>7.3518465143009113</v>
      </c>
      <c r="AQ862" s="30">
        <f t="shared" si="1622"/>
        <v>0.12295426665529426</v>
      </c>
      <c r="AR862" s="32">
        <f t="shared" si="1623"/>
        <v>-7.228892247645617</v>
      </c>
      <c r="AS862" s="33">
        <f t="shared" si="1624"/>
        <v>-0.98327572992497569</v>
      </c>
      <c r="AU862" s="31">
        <f t="shared" si="1625"/>
        <v>6.8842408468375922</v>
      </c>
      <c r="AV862" s="25">
        <f t="shared" si="1626"/>
        <v>4.623458504018326</v>
      </c>
      <c r="AW862" s="32">
        <f t="shared" si="1627"/>
        <v>-2.2607823428192662</v>
      </c>
      <c r="AX862" s="33">
        <f t="shared" si="1628"/>
        <v>-0.32839965845439584</v>
      </c>
      <c r="AZ862" s="31">
        <f t="shared" si="1609"/>
        <v>5.7397723327448107</v>
      </c>
      <c r="BA862" s="25">
        <f t="shared" si="1610"/>
        <v>2.3015892216845395</v>
      </c>
      <c r="BB862" s="32">
        <f t="shared" si="1629"/>
        <v>-3.4381831110602712</v>
      </c>
      <c r="BC862" s="33">
        <f t="shared" si="1630"/>
        <v>-0.59901036343302161</v>
      </c>
      <c r="BE862" s="31">
        <f t="shared" si="1631"/>
        <v>3.4560029615282657</v>
      </c>
      <c r="BF862" s="25">
        <f t="shared" si="1632"/>
        <v>-0.94329633229767129</v>
      </c>
      <c r="BG862" s="32">
        <f t="shared" si="1633"/>
        <v>-4.399299293825937</v>
      </c>
      <c r="BH862" s="33">
        <f t="shared" si="1634"/>
        <v>-1.2729443067029491</v>
      </c>
      <c r="BJ862" s="31">
        <f t="shared" si="1611"/>
        <v>0</v>
      </c>
      <c r="BK862" s="25">
        <f t="shared" si="1612"/>
        <v>2.2004948650804455</v>
      </c>
      <c r="BL862" s="32">
        <f t="shared" si="1613"/>
        <v>2.2004948650804455</v>
      </c>
      <c r="BM862" s="33" t="e">
        <f t="shared" si="1614"/>
        <v>#DIV/0!</v>
      </c>
      <c r="BO862" s="62"/>
      <c r="BP862" s="62"/>
      <c r="BQ862" s="62"/>
      <c r="BR862" s="63"/>
    </row>
    <row r="863" spans="1:70">
      <c r="B863" s="1284"/>
      <c r="D863" s="5" t="s">
        <v>170</v>
      </c>
      <c r="E863" s="87">
        <v>15.477708232598834</v>
      </c>
      <c r="F863" s="87">
        <v>11.991274273661823</v>
      </c>
      <c r="G863" s="87">
        <v>0.74210039909511027</v>
      </c>
      <c r="H863" s="87">
        <v>0</v>
      </c>
      <c r="I863" s="87">
        <v>0</v>
      </c>
      <c r="J863" s="87">
        <v>0</v>
      </c>
      <c r="K863" s="87">
        <v>0</v>
      </c>
      <c r="L863" s="87">
        <v>0</v>
      </c>
      <c r="N863" s="29">
        <v>14.905433181842431</v>
      </c>
      <c r="O863" s="29">
        <v>11.547907142658506</v>
      </c>
      <c r="P863" s="29">
        <v>0.71466187026536809</v>
      </c>
      <c r="Q863" s="29">
        <v>0</v>
      </c>
      <c r="R863" s="29">
        <v>0</v>
      </c>
      <c r="S863" s="29">
        <v>0</v>
      </c>
      <c r="T863" s="29">
        <v>0</v>
      </c>
      <c r="U863" s="29">
        <v>0</v>
      </c>
      <c r="W863" s="30">
        <v>7.8203086947009632E-3</v>
      </c>
      <c r="X863" s="30">
        <v>0.22870393596814589</v>
      </c>
      <c r="Y863" s="30">
        <v>1.4906850410241312</v>
      </c>
      <c r="Z863" s="30">
        <v>11.0809324817505</v>
      </c>
      <c r="AA863" s="30">
        <v>9.1220787107866048</v>
      </c>
      <c r="AB863" s="30">
        <v>3.1181820022675866</v>
      </c>
      <c r="AC863" s="30">
        <v>2.5725540096670403</v>
      </c>
      <c r="AD863" s="90">
        <v>0</v>
      </c>
      <c r="AF863" s="29">
        <f t="shared" si="1615"/>
        <v>14.905433181842431</v>
      </c>
      <c r="AG863" s="30">
        <f t="shared" si="1616"/>
        <v>7.8203086947009632E-3</v>
      </c>
      <c r="AH863" s="32">
        <f t="shared" si="1617"/>
        <v>-14.897612873147731</v>
      </c>
      <c r="AI863" s="33">
        <f t="shared" si="1618"/>
        <v>-0.99947533838169644</v>
      </c>
      <c r="AK863" s="29">
        <f t="shared" si="1607"/>
        <v>11.547907142658506</v>
      </c>
      <c r="AL863" s="30">
        <f t="shared" si="1608"/>
        <v>0.22870393596814589</v>
      </c>
      <c r="AM863" s="32">
        <f t="shared" si="1619"/>
        <v>-11.319203206690361</v>
      </c>
      <c r="AN863" s="33">
        <f t="shared" si="1620"/>
        <v>-0.98019520479833944</v>
      </c>
      <c r="AP863" s="29">
        <f t="shared" si="1621"/>
        <v>0.71466187026536809</v>
      </c>
      <c r="AQ863" s="30">
        <f t="shared" si="1622"/>
        <v>1.4906850410241312</v>
      </c>
      <c r="AR863" s="32">
        <f t="shared" si="1623"/>
        <v>0.77602317075876315</v>
      </c>
      <c r="AS863" s="33">
        <f t="shared" si="1624"/>
        <v>1.0858606049188133</v>
      </c>
      <c r="AU863" s="31">
        <f t="shared" si="1625"/>
        <v>0</v>
      </c>
      <c r="AV863" s="25">
        <f t="shared" si="1626"/>
        <v>11.0809324817505</v>
      </c>
      <c r="AW863" s="32">
        <f t="shared" si="1627"/>
        <v>11.0809324817505</v>
      </c>
      <c r="AX863" s="33" t="e">
        <f t="shared" si="1628"/>
        <v>#DIV/0!</v>
      </c>
      <c r="AZ863" s="31">
        <f t="shared" si="1609"/>
        <v>0</v>
      </c>
      <c r="BA863" s="25">
        <f t="shared" si="1610"/>
        <v>9.1220787107866048</v>
      </c>
      <c r="BB863" s="32">
        <f t="shared" si="1629"/>
        <v>9.1220787107866048</v>
      </c>
      <c r="BC863" s="33" t="e">
        <f t="shared" si="1630"/>
        <v>#DIV/0!</v>
      </c>
      <c r="BE863" s="31">
        <f t="shared" si="1631"/>
        <v>0</v>
      </c>
      <c r="BF863" s="25">
        <f t="shared" si="1632"/>
        <v>3.1181820022675866</v>
      </c>
      <c r="BG863" s="32">
        <f t="shared" si="1633"/>
        <v>3.1181820022675866</v>
      </c>
      <c r="BH863" s="33" t="e">
        <f t="shared" si="1634"/>
        <v>#DIV/0!</v>
      </c>
      <c r="BJ863" s="31">
        <f t="shared" si="1611"/>
        <v>0</v>
      </c>
      <c r="BK863" s="25">
        <f t="shared" si="1612"/>
        <v>2.5725540096670403</v>
      </c>
      <c r="BL863" s="32">
        <f t="shared" si="1613"/>
        <v>2.5725540096670403</v>
      </c>
      <c r="BM863" s="33" t="e">
        <f t="shared" si="1614"/>
        <v>#DIV/0!</v>
      </c>
      <c r="BO863" s="62"/>
      <c r="BP863" s="62"/>
      <c r="BQ863" s="62"/>
      <c r="BR863" s="63"/>
    </row>
    <row r="864" spans="1:70">
      <c r="B864" s="1284"/>
      <c r="D864" s="5" t="s">
        <v>171</v>
      </c>
      <c r="E864" s="87">
        <v>0</v>
      </c>
      <c r="F864" s="87">
        <v>0</v>
      </c>
      <c r="G864" s="87">
        <v>0</v>
      </c>
      <c r="H864" s="87">
        <v>0</v>
      </c>
      <c r="I864" s="87">
        <v>0</v>
      </c>
      <c r="J864" s="87">
        <v>0</v>
      </c>
      <c r="K864" s="87">
        <v>0</v>
      </c>
      <c r="L864" s="87">
        <v>0</v>
      </c>
      <c r="N864" s="29">
        <v>0</v>
      </c>
      <c r="O864" s="29">
        <v>0</v>
      </c>
      <c r="P864" s="29">
        <v>0</v>
      </c>
      <c r="Q864" s="29">
        <v>0</v>
      </c>
      <c r="R864" s="29">
        <v>0</v>
      </c>
      <c r="S864" s="29">
        <v>0</v>
      </c>
      <c r="T864" s="29">
        <v>0</v>
      </c>
      <c r="U864" s="29">
        <v>0</v>
      </c>
      <c r="W864" s="30">
        <v>0</v>
      </c>
      <c r="X864" s="30">
        <v>0</v>
      </c>
      <c r="Y864" s="30">
        <v>0</v>
      </c>
      <c r="Z864" s="30">
        <v>0</v>
      </c>
      <c r="AA864" s="30">
        <v>0</v>
      </c>
      <c r="AB864" s="30">
        <v>0</v>
      </c>
      <c r="AC864" s="30">
        <v>0</v>
      </c>
      <c r="AD864" s="90">
        <v>0</v>
      </c>
      <c r="AF864" s="29">
        <f t="shared" si="1615"/>
        <v>0</v>
      </c>
      <c r="AG864" s="30">
        <f t="shared" si="1616"/>
        <v>0</v>
      </c>
      <c r="AH864" s="32">
        <f t="shared" si="1617"/>
        <v>0</v>
      </c>
      <c r="AI864" s="33" t="e">
        <f t="shared" si="1618"/>
        <v>#DIV/0!</v>
      </c>
      <c r="AK864" s="29">
        <f t="shared" si="1607"/>
        <v>0</v>
      </c>
      <c r="AL864" s="30">
        <f t="shared" si="1608"/>
        <v>0</v>
      </c>
      <c r="AM864" s="32">
        <f t="shared" si="1619"/>
        <v>0</v>
      </c>
      <c r="AN864" s="33" t="e">
        <f t="shared" si="1620"/>
        <v>#DIV/0!</v>
      </c>
      <c r="AP864" s="29">
        <f t="shared" si="1621"/>
        <v>0</v>
      </c>
      <c r="AQ864" s="30">
        <f t="shared" si="1622"/>
        <v>0</v>
      </c>
      <c r="AR864" s="32">
        <f t="shared" si="1623"/>
        <v>0</v>
      </c>
      <c r="AS864" s="33" t="e">
        <f t="shared" si="1624"/>
        <v>#DIV/0!</v>
      </c>
      <c r="AU864" s="31">
        <f t="shared" si="1625"/>
        <v>0</v>
      </c>
      <c r="AV864" s="25">
        <f t="shared" si="1626"/>
        <v>0</v>
      </c>
      <c r="AW864" s="32">
        <f t="shared" si="1627"/>
        <v>0</v>
      </c>
      <c r="AX864" s="33" t="e">
        <f t="shared" si="1628"/>
        <v>#DIV/0!</v>
      </c>
      <c r="AZ864" s="31">
        <f t="shared" si="1609"/>
        <v>0</v>
      </c>
      <c r="BA864" s="25">
        <f t="shared" si="1610"/>
        <v>0</v>
      </c>
      <c r="BB864" s="32">
        <f t="shared" si="1629"/>
        <v>0</v>
      </c>
      <c r="BC864" s="33" t="e">
        <f t="shared" si="1630"/>
        <v>#DIV/0!</v>
      </c>
      <c r="BE864" s="31">
        <f t="shared" si="1631"/>
        <v>0</v>
      </c>
      <c r="BF864" s="25">
        <f t="shared" si="1632"/>
        <v>0</v>
      </c>
      <c r="BG864" s="32">
        <f t="shared" si="1633"/>
        <v>0</v>
      </c>
      <c r="BH864" s="33" t="e">
        <f t="shared" si="1634"/>
        <v>#DIV/0!</v>
      </c>
      <c r="BJ864" s="31">
        <f t="shared" si="1611"/>
        <v>0</v>
      </c>
      <c r="BK864" s="25">
        <f t="shared" si="1612"/>
        <v>0</v>
      </c>
      <c r="BL864" s="32">
        <f t="shared" si="1613"/>
        <v>0</v>
      </c>
      <c r="BM864" s="33" t="e">
        <f t="shared" si="1614"/>
        <v>#DIV/0!</v>
      </c>
      <c r="BO864" s="62"/>
      <c r="BP864" s="62"/>
      <c r="BQ864" s="62"/>
      <c r="BR864" s="63"/>
    </row>
    <row r="865" spans="1:70">
      <c r="B865" s="1284"/>
      <c r="D865" s="5" t="s">
        <v>172</v>
      </c>
      <c r="E865" s="87">
        <v>0</v>
      </c>
      <c r="F865" s="87">
        <v>0</v>
      </c>
      <c r="G865" s="87">
        <v>0</v>
      </c>
      <c r="H865" s="87">
        <v>0</v>
      </c>
      <c r="I865" s="87">
        <v>0</v>
      </c>
      <c r="J865" s="87">
        <v>0</v>
      </c>
      <c r="K865" s="87">
        <v>0</v>
      </c>
      <c r="L865" s="87">
        <v>0</v>
      </c>
      <c r="N865" s="29">
        <v>0</v>
      </c>
      <c r="O865" s="29">
        <v>0</v>
      </c>
      <c r="P865" s="29">
        <v>0</v>
      </c>
      <c r="Q865" s="29">
        <v>0</v>
      </c>
      <c r="R865" s="29">
        <v>0</v>
      </c>
      <c r="S865" s="29">
        <v>0</v>
      </c>
      <c r="T865" s="29">
        <v>0</v>
      </c>
      <c r="U865" s="29">
        <v>0</v>
      </c>
      <c r="W865" s="30">
        <v>0</v>
      </c>
      <c r="X865" s="30">
        <v>0</v>
      </c>
      <c r="Y865" s="30">
        <v>0</v>
      </c>
      <c r="Z865" s="30">
        <v>0</v>
      </c>
      <c r="AA865" s="30">
        <v>0</v>
      </c>
      <c r="AB865" s="30">
        <v>0</v>
      </c>
      <c r="AC865" s="30">
        <v>0</v>
      </c>
      <c r="AD865" s="90">
        <v>0</v>
      </c>
      <c r="AF865" s="29">
        <f t="shared" si="1615"/>
        <v>0</v>
      </c>
      <c r="AG865" s="30">
        <f t="shared" si="1616"/>
        <v>0</v>
      </c>
      <c r="AH865" s="32">
        <f t="shared" si="1617"/>
        <v>0</v>
      </c>
      <c r="AI865" s="33" t="e">
        <f t="shared" si="1618"/>
        <v>#DIV/0!</v>
      </c>
      <c r="AK865" s="29">
        <f t="shared" si="1607"/>
        <v>0</v>
      </c>
      <c r="AL865" s="30">
        <f t="shared" si="1608"/>
        <v>0</v>
      </c>
      <c r="AM865" s="32">
        <f t="shared" si="1619"/>
        <v>0</v>
      </c>
      <c r="AN865" s="33" t="e">
        <f t="shared" si="1620"/>
        <v>#DIV/0!</v>
      </c>
      <c r="AP865" s="29">
        <f t="shared" si="1621"/>
        <v>0</v>
      </c>
      <c r="AQ865" s="30">
        <f t="shared" si="1622"/>
        <v>0</v>
      </c>
      <c r="AR865" s="32">
        <f t="shared" si="1623"/>
        <v>0</v>
      </c>
      <c r="AS865" s="33" t="e">
        <f t="shared" si="1624"/>
        <v>#DIV/0!</v>
      </c>
      <c r="AU865" s="31">
        <f t="shared" si="1625"/>
        <v>0</v>
      </c>
      <c r="AV865" s="25">
        <f t="shared" si="1626"/>
        <v>0</v>
      </c>
      <c r="AW865" s="32">
        <f t="shared" si="1627"/>
        <v>0</v>
      </c>
      <c r="AX865" s="33" t="e">
        <f t="shared" si="1628"/>
        <v>#DIV/0!</v>
      </c>
      <c r="AZ865" s="31">
        <f t="shared" si="1609"/>
        <v>0</v>
      </c>
      <c r="BA865" s="25">
        <f t="shared" si="1610"/>
        <v>0</v>
      </c>
      <c r="BB865" s="32">
        <f t="shared" si="1629"/>
        <v>0</v>
      </c>
      <c r="BC865" s="33" t="e">
        <f t="shared" si="1630"/>
        <v>#DIV/0!</v>
      </c>
      <c r="BE865" s="31">
        <f t="shared" si="1631"/>
        <v>0</v>
      </c>
      <c r="BF865" s="25">
        <f t="shared" si="1632"/>
        <v>0</v>
      </c>
      <c r="BG865" s="32">
        <f t="shared" si="1633"/>
        <v>0</v>
      </c>
      <c r="BH865" s="33" t="e">
        <f t="shared" si="1634"/>
        <v>#DIV/0!</v>
      </c>
      <c r="BJ865" s="31">
        <f t="shared" si="1611"/>
        <v>0</v>
      </c>
      <c r="BK865" s="25">
        <f t="shared" si="1612"/>
        <v>0</v>
      </c>
      <c r="BL865" s="32">
        <f t="shared" si="1613"/>
        <v>0</v>
      </c>
      <c r="BM865" s="33" t="e">
        <f t="shared" si="1614"/>
        <v>#DIV/0!</v>
      </c>
      <c r="BO865" s="62"/>
      <c r="BP865" s="62"/>
      <c r="BQ865" s="62"/>
      <c r="BR865" s="63"/>
    </row>
    <row r="866" spans="1:70">
      <c r="B866" s="1284"/>
      <c r="D866" s="5" t="s">
        <v>28</v>
      </c>
      <c r="E866" s="87">
        <v>0</v>
      </c>
      <c r="F866" s="87">
        <v>0</v>
      </c>
      <c r="G866" s="87">
        <v>0</v>
      </c>
      <c r="H866" s="87">
        <v>0</v>
      </c>
      <c r="I866" s="87">
        <v>0</v>
      </c>
      <c r="J866" s="87">
        <v>0</v>
      </c>
      <c r="K866" s="87">
        <v>0</v>
      </c>
      <c r="L866" s="87">
        <v>0</v>
      </c>
      <c r="N866" s="29">
        <v>0</v>
      </c>
      <c r="O866" s="29">
        <v>0</v>
      </c>
      <c r="P866" s="29">
        <v>0</v>
      </c>
      <c r="Q866" s="29">
        <v>0</v>
      </c>
      <c r="R866" s="29">
        <v>0</v>
      </c>
      <c r="S866" s="29">
        <v>0</v>
      </c>
      <c r="T866" s="29">
        <v>0</v>
      </c>
      <c r="U866" s="29">
        <v>0</v>
      </c>
      <c r="W866" s="30">
        <v>0</v>
      </c>
      <c r="X866" s="30">
        <v>0</v>
      </c>
      <c r="Y866" s="30">
        <v>0</v>
      </c>
      <c r="Z866" s="30">
        <v>0</v>
      </c>
      <c r="AA866" s="30">
        <v>0</v>
      </c>
      <c r="AB866" s="30">
        <v>0</v>
      </c>
      <c r="AC866" s="30">
        <v>0</v>
      </c>
      <c r="AD866" s="90">
        <v>0</v>
      </c>
      <c r="AF866" s="29">
        <f t="shared" si="1615"/>
        <v>0</v>
      </c>
      <c r="AG866" s="30">
        <f t="shared" si="1616"/>
        <v>0</v>
      </c>
      <c r="AH866" s="32">
        <f t="shared" si="1617"/>
        <v>0</v>
      </c>
      <c r="AI866" s="33" t="e">
        <f t="shared" si="1618"/>
        <v>#DIV/0!</v>
      </c>
      <c r="AK866" s="29">
        <f t="shared" si="1607"/>
        <v>0</v>
      </c>
      <c r="AL866" s="30">
        <f t="shared" si="1608"/>
        <v>0</v>
      </c>
      <c r="AM866" s="32">
        <f t="shared" si="1619"/>
        <v>0</v>
      </c>
      <c r="AN866" s="33" t="e">
        <f t="shared" si="1620"/>
        <v>#DIV/0!</v>
      </c>
      <c r="AP866" s="29">
        <f t="shared" si="1621"/>
        <v>0</v>
      </c>
      <c r="AQ866" s="30">
        <f t="shared" si="1622"/>
        <v>0</v>
      </c>
      <c r="AR866" s="32">
        <f t="shared" si="1623"/>
        <v>0</v>
      </c>
      <c r="AS866" s="33" t="e">
        <f t="shared" si="1624"/>
        <v>#DIV/0!</v>
      </c>
      <c r="AU866" s="31">
        <f t="shared" si="1625"/>
        <v>0</v>
      </c>
      <c r="AV866" s="25">
        <f t="shared" si="1626"/>
        <v>0</v>
      </c>
      <c r="AW866" s="32">
        <f t="shared" si="1627"/>
        <v>0</v>
      </c>
      <c r="AX866" s="33" t="e">
        <f t="shared" si="1628"/>
        <v>#DIV/0!</v>
      </c>
      <c r="AZ866" s="31">
        <f t="shared" si="1609"/>
        <v>0</v>
      </c>
      <c r="BA866" s="25">
        <f t="shared" si="1610"/>
        <v>0</v>
      </c>
      <c r="BB866" s="32">
        <f t="shared" si="1629"/>
        <v>0</v>
      </c>
      <c r="BC866" s="33" t="e">
        <f t="shared" si="1630"/>
        <v>#DIV/0!</v>
      </c>
      <c r="BE866" s="31">
        <f t="shared" si="1631"/>
        <v>0</v>
      </c>
      <c r="BF866" s="25">
        <f t="shared" si="1632"/>
        <v>0</v>
      </c>
      <c r="BG866" s="32">
        <f t="shared" si="1633"/>
        <v>0</v>
      </c>
      <c r="BH866" s="33" t="e">
        <f t="shared" si="1634"/>
        <v>#DIV/0!</v>
      </c>
      <c r="BJ866" s="31">
        <f t="shared" si="1611"/>
        <v>0</v>
      </c>
      <c r="BK866" s="25">
        <f t="shared" si="1612"/>
        <v>0</v>
      </c>
      <c r="BL866" s="32">
        <f t="shared" si="1613"/>
        <v>0</v>
      </c>
      <c r="BM866" s="33" t="e">
        <f t="shared" si="1614"/>
        <v>#DIV/0!</v>
      </c>
      <c r="BO866" s="62"/>
      <c r="BP866" s="62"/>
      <c r="BQ866" s="62"/>
      <c r="BR866" s="63"/>
    </row>
    <row r="867" spans="1:70">
      <c r="B867" s="1284"/>
      <c r="D867" s="5" t="s">
        <v>173</v>
      </c>
      <c r="E867" s="87">
        <v>6.2692791289521672</v>
      </c>
      <c r="F867" s="87">
        <v>6.2532264240024835</v>
      </c>
      <c r="G867" s="87">
        <v>12.48253888305506</v>
      </c>
      <c r="H867" s="87">
        <v>12.385919152690905</v>
      </c>
      <c r="I867" s="87">
        <v>0</v>
      </c>
      <c r="J867" s="87">
        <v>0</v>
      </c>
      <c r="K867" s="87">
        <v>0</v>
      </c>
      <c r="L867" s="87">
        <v>0</v>
      </c>
      <c r="N867" s="29">
        <v>5.637786138803353</v>
      </c>
      <c r="O867" s="29">
        <v>5.6233503933860396</v>
      </c>
      <c r="P867" s="29">
        <v>11.225195631658506</v>
      </c>
      <c r="Q867" s="29">
        <v>11.138308229554111</v>
      </c>
      <c r="R867" s="29">
        <v>0</v>
      </c>
      <c r="S867" s="29">
        <v>0</v>
      </c>
      <c r="T867" s="29">
        <v>0</v>
      </c>
      <c r="U867" s="29">
        <v>0</v>
      </c>
      <c r="W867" s="30">
        <v>0.66313085079508016</v>
      </c>
      <c r="X867" s="30">
        <v>1.363886175633755</v>
      </c>
      <c r="Y867" s="30">
        <v>17.63611649252368</v>
      </c>
      <c r="Z867" s="30">
        <v>7.7164539506260335</v>
      </c>
      <c r="AA867" s="30">
        <v>1.5223789758939865</v>
      </c>
      <c r="AB867" s="30">
        <v>0.21423561547195985</v>
      </c>
      <c r="AC867" s="30">
        <v>0.27166107999999994</v>
      </c>
      <c r="AD867" s="90">
        <v>0</v>
      </c>
      <c r="AF867" s="29">
        <f t="shared" si="1615"/>
        <v>5.637786138803353</v>
      </c>
      <c r="AG867" s="30">
        <f t="shared" si="1616"/>
        <v>0.66313085079508016</v>
      </c>
      <c r="AH867" s="32">
        <f t="shared" si="1617"/>
        <v>-4.9746552880082726</v>
      </c>
      <c r="AI867" s="33">
        <f t="shared" si="1618"/>
        <v>-0.88237743779762579</v>
      </c>
      <c r="AK867" s="29">
        <f t="shared" si="1607"/>
        <v>5.6233503933860396</v>
      </c>
      <c r="AL867" s="30">
        <f t="shared" si="1608"/>
        <v>1.363886175633755</v>
      </c>
      <c r="AM867" s="32">
        <f t="shared" si="1619"/>
        <v>-4.259464217752285</v>
      </c>
      <c r="AN867" s="33">
        <f t="shared" si="1620"/>
        <v>-0.75746021851352119</v>
      </c>
      <c r="AP867" s="29">
        <f t="shared" si="1621"/>
        <v>11.225195631658506</v>
      </c>
      <c r="AQ867" s="30">
        <f t="shared" si="1622"/>
        <v>17.63611649252368</v>
      </c>
      <c r="AR867" s="32">
        <f t="shared" si="1623"/>
        <v>6.4109208608651738</v>
      </c>
      <c r="AS867" s="33">
        <f t="shared" si="1624"/>
        <v>0.57111885362464454</v>
      </c>
      <c r="AU867" s="31">
        <f t="shared" si="1625"/>
        <v>11.138308229554111</v>
      </c>
      <c r="AV867" s="25">
        <f t="shared" si="1626"/>
        <v>7.7164539506260335</v>
      </c>
      <c r="AW867" s="32">
        <f t="shared" si="1627"/>
        <v>-3.4218542789280777</v>
      </c>
      <c r="AX867" s="33">
        <f t="shared" si="1628"/>
        <v>-0.30721490269488272</v>
      </c>
      <c r="AZ867" s="31">
        <f t="shared" si="1609"/>
        <v>0</v>
      </c>
      <c r="BA867" s="25">
        <f t="shared" si="1610"/>
        <v>1.5223789758939865</v>
      </c>
      <c r="BB867" s="32">
        <f t="shared" si="1629"/>
        <v>1.5223789758939865</v>
      </c>
      <c r="BC867" s="33" t="e">
        <f t="shared" si="1630"/>
        <v>#DIV/0!</v>
      </c>
      <c r="BE867" s="31">
        <f t="shared" si="1631"/>
        <v>0</v>
      </c>
      <c r="BF867" s="25">
        <f t="shared" si="1632"/>
        <v>0.21423561547195985</v>
      </c>
      <c r="BG867" s="32">
        <f t="shared" si="1633"/>
        <v>0.21423561547195985</v>
      </c>
      <c r="BH867" s="33" t="e">
        <f t="shared" si="1634"/>
        <v>#DIV/0!</v>
      </c>
      <c r="BJ867" s="31">
        <f t="shared" si="1611"/>
        <v>0</v>
      </c>
      <c r="BK867" s="25">
        <f t="shared" si="1612"/>
        <v>0.27166107999999994</v>
      </c>
      <c r="BL867" s="32">
        <f t="shared" si="1613"/>
        <v>0.27166107999999994</v>
      </c>
      <c r="BM867" s="33" t="e">
        <f t="shared" si="1614"/>
        <v>#DIV/0!</v>
      </c>
      <c r="BO867" s="62"/>
      <c r="BP867" s="62"/>
      <c r="BQ867" s="62"/>
      <c r="BR867" s="63"/>
    </row>
    <row r="868" spans="1:70">
      <c r="A868" s="1"/>
      <c r="B868" s="1284"/>
      <c r="D868" s="4" t="s">
        <v>174</v>
      </c>
      <c r="E868" s="88">
        <f>SUM(E854:E867)</f>
        <v>56.713104666547096</v>
      </c>
      <c r="F868" s="88">
        <f t="shared" ref="F868:L868" si="1635">SUM(F854:F867)</f>
        <v>39.244220943690102</v>
      </c>
      <c r="G868" s="88">
        <f t="shared" si="1635"/>
        <v>41.125149602608317</v>
      </c>
      <c r="H868" s="88">
        <f t="shared" si="1635"/>
        <v>41.750592111357577</v>
      </c>
      <c r="I868" s="88">
        <f t="shared" si="1635"/>
        <v>25.930555967798735</v>
      </c>
      <c r="J868" s="88">
        <f t="shared" si="1635"/>
        <v>14.514195522262982</v>
      </c>
      <c r="K868" s="88">
        <f t="shared" si="1635"/>
        <v>10.189409165847954</v>
      </c>
      <c r="L868" s="88">
        <f t="shared" si="1635"/>
        <v>7.7143373629805083</v>
      </c>
      <c r="M868" s="1"/>
      <c r="N868" s="81">
        <f t="shared" ref="N868:X868" si="1636">SUM(N854:N867)</f>
        <v>54.211165298610069</v>
      </c>
      <c r="O868" s="81">
        <f t="shared" si="1636"/>
        <v>36.806303362816713</v>
      </c>
      <c r="P868" s="81">
        <f t="shared" si="1636"/>
        <v>38.137800843898702</v>
      </c>
      <c r="Q868" s="81">
        <f t="shared" si="1636"/>
        <v>38.749710143893992</v>
      </c>
      <c r="R868" s="81">
        <f t="shared" si="1636"/>
        <v>24.397695838545342</v>
      </c>
      <c r="S868" s="81">
        <f t="shared" si="1636"/>
        <v>13.645172871880792</v>
      </c>
      <c r="T868" s="81">
        <f t="shared" si="1636"/>
        <v>9.6891930750550355</v>
      </c>
      <c r="U868" s="81">
        <f t="shared" si="1636"/>
        <v>7.3356269180509264</v>
      </c>
      <c r="V868" s="1"/>
      <c r="W868" s="85">
        <f>SUM(W854:W867)</f>
        <v>2.5406509282587844</v>
      </c>
      <c r="X868" s="85">
        <f t="shared" si="1636"/>
        <v>4.9135210046965003</v>
      </c>
      <c r="Y868" s="85">
        <f t="shared" ref="Y868:AD868" si="1637">SUM(Y854:Y867)</f>
        <v>27.218037562755022</v>
      </c>
      <c r="Z868" s="85">
        <f>SUM(Z854:Z867)</f>
        <v>34.646232446786598</v>
      </c>
      <c r="AA868" s="85">
        <f>SUM(AA854:AA867)</f>
        <v>24.760649084664365</v>
      </c>
      <c r="AB868" s="85">
        <f>SUM(AB854:AB867)</f>
        <v>13.845362588663855</v>
      </c>
      <c r="AC868" s="85">
        <f>SUM(AC854:AC867)</f>
        <v>13.010200401236801</v>
      </c>
      <c r="AD868" s="91">
        <f t="shared" si="1637"/>
        <v>0</v>
      </c>
      <c r="AE868" s="1"/>
      <c r="AF868" s="81">
        <f>N868</f>
        <v>54.211165298610069</v>
      </c>
      <c r="AG868" s="85">
        <f>W868</f>
        <v>2.5406509282587844</v>
      </c>
      <c r="AH868" s="34">
        <f>AG868-AF868</f>
        <v>-51.670514370351285</v>
      </c>
      <c r="AI868" s="35">
        <f>AH868/AF868</f>
        <v>-0.95313417606383888</v>
      </c>
      <c r="AK868" s="81">
        <f t="shared" si="1607"/>
        <v>36.806303362816713</v>
      </c>
      <c r="AL868" s="85">
        <f t="shared" si="1608"/>
        <v>4.9135210046965003</v>
      </c>
      <c r="AM868" s="34">
        <f>AL868-AK868</f>
        <v>-31.892782358120215</v>
      </c>
      <c r="AN868" s="35">
        <f>AM868/AK868</f>
        <v>-0.86650327373923819</v>
      </c>
      <c r="AP868" s="81">
        <f t="shared" si="1621"/>
        <v>38.137800843898702</v>
      </c>
      <c r="AQ868" s="85">
        <f t="shared" si="1622"/>
        <v>27.218037562755022</v>
      </c>
      <c r="AR868" s="34">
        <f t="shared" si="1623"/>
        <v>-10.91976328114368</v>
      </c>
      <c r="AS868" s="35">
        <f t="shared" si="1624"/>
        <v>-0.28632388442740081</v>
      </c>
      <c r="AU868" s="949">
        <f t="shared" si="1625"/>
        <v>38.749710143893992</v>
      </c>
      <c r="AV868" s="843">
        <f t="shared" si="1626"/>
        <v>34.646232446786598</v>
      </c>
      <c r="AW868" s="34">
        <f t="shared" si="1627"/>
        <v>-4.1034776971073939</v>
      </c>
      <c r="AX868" s="35">
        <f t="shared" si="1628"/>
        <v>-0.10589699076120707</v>
      </c>
      <c r="AZ868" s="949">
        <f t="shared" si="1609"/>
        <v>24.397695838545342</v>
      </c>
      <c r="BA868" s="843">
        <f t="shared" si="1610"/>
        <v>24.760649084664365</v>
      </c>
      <c r="BB868" s="34">
        <f t="shared" si="1629"/>
        <v>0.36295324611902302</v>
      </c>
      <c r="BC868" s="35">
        <f t="shared" si="1630"/>
        <v>1.4876537871482182E-2</v>
      </c>
      <c r="BE868" s="31">
        <f t="shared" si="1631"/>
        <v>13.645172871880792</v>
      </c>
      <c r="BF868" s="25">
        <f t="shared" si="1632"/>
        <v>13.845362588663855</v>
      </c>
      <c r="BG868" s="32">
        <f t="shared" si="1633"/>
        <v>0.20018971678306308</v>
      </c>
      <c r="BH868" s="33">
        <f t="shared" si="1634"/>
        <v>1.4671101543579769E-2</v>
      </c>
      <c r="BJ868" s="31">
        <f t="shared" si="1611"/>
        <v>9.6891930750550355</v>
      </c>
      <c r="BK868" s="25">
        <f t="shared" si="1612"/>
        <v>13.010200401236801</v>
      </c>
      <c r="BL868" s="32">
        <f t="shared" si="1613"/>
        <v>3.3210073261817659</v>
      </c>
      <c r="BM868" s="33">
        <f t="shared" si="1614"/>
        <v>0.34275375673251329</v>
      </c>
      <c r="BO868" s="62"/>
      <c r="BP868" s="62"/>
      <c r="BQ868" s="62"/>
      <c r="BR868" s="63"/>
    </row>
    <row r="869" spans="1:70">
      <c r="A869" s="1"/>
      <c r="B869" s="1284"/>
      <c r="D869" s="4" t="s">
        <v>724</v>
      </c>
      <c r="E869" s="88">
        <f>E868-SUM(E857:E860)</f>
        <v>56.713104666547096</v>
      </c>
      <c r="F869" s="88">
        <f t="shared" ref="F869:L869" si="1638">F868-SUM(F857:F860)</f>
        <v>39.244220943690102</v>
      </c>
      <c r="G869" s="88">
        <f t="shared" si="1638"/>
        <v>41.125149602608317</v>
      </c>
      <c r="H869" s="88">
        <f t="shared" si="1638"/>
        <v>41.750592111357577</v>
      </c>
      <c r="I869" s="88">
        <f t="shared" si="1638"/>
        <v>25.930555967798735</v>
      </c>
      <c r="J869" s="88">
        <f t="shared" si="1638"/>
        <v>14.514195522262982</v>
      </c>
      <c r="K869" s="88">
        <f t="shared" si="1638"/>
        <v>10.189409165847954</v>
      </c>
      <c r="L869" s="88">
        <f t="shared" si="1638"/>
        <v>7.7143373629805083</v>
      </c>
      <c r="M869" s="1"/>
      <c r="N869" s="81">
        <f t="shared" ref="N869:X869" si="1639">N868-SUM(N857:N860)</f>
        <v>54.211165298610069</v>
      </c>
      <c r="O869" s="81">
        <f t="shared" si="1639"/>
        <v>36.806303362816713</v>
      </c>
      <c r="P869" s="81">
        <f t="shared" si="1639"/>
        <v>38.137800843898702</v>
      </c>
      <c r="Q869" s="81">
        <f t="shared" si="1639"/>
        <v>38.749710143893992</v>
      </c>
      <c r="R869" s="81">
        <f t="shared" si="1639"/>
        <v>24.397695838545342</v>
      </c>
      <c r="S869" s="81">
        <f t="shared" si="1639"/>
        <v>13.645172871880792</v>
      </c>
      <c r="T869" s="81">
        <f t="shared" si="1639"/>
        <v>9.6891930750550355</v>
      </c>
      <c r="U869" s="81">
        <f t="shared" si="1639"/>
        <v>7.3356269180509264</v>
      </c>
      <c r="V869" s="1"/>
      <c r="W869" s="85">
        <f>W868-SUM(W857:W860)</f>
        <v>2.5406509282587844</v>
      </c>
      <c r="X869" s="85">
        <f t="shared" si="1639"/>
        <v>4.9135210046965003</v>
      </c>
      <c r="Y869" s="85">
        <f t="shared" ref="Y869:AD869" si="1640">Y868-SUM(Y857:Y860)</f>
        <v>27.218037562755022</v>
      </c>
      <c r="Z869" s="85">
        <f>Z868-SUM(Z857:Z860)</f>
        <v>34.646232446786598</v>
      </c>
      <c r="AA869" s="85">
        <f>AA868-SUM(AA857:AA860)</f>
        <v>24.760649084664365</v>
      </c>
      <c r="AB869" s="85">
        <f>AB868-SUM(AB857:AB860)</f>
        <v>13.845362588663855</v>
      </c>
      <c r="AC869" s="85">
        <f>AC868-SUM(AC857:AC860)</f>
        <v>13.010200401236801</v>
      </c>
      <c r="AD869" s="91">
        <f t="shared" si="1640"/>
        <v>0</v>
      </c>
      <c r="AE869" s="1"/>
      <c r="AF869" s="81">
        <f>N869</f>
        <v>54.211165298610069</v>
      </c>
      <c r="AG869" s="85">
        <f>W869</f>
        <v>2.5406509282587844</v>
      </c>
      <c r="AH869" s="34">
        <f>AG869-AF869</f>
        <v>-51.670514370351285</v>
      </c>
      <c r="AI869" s="35">
        <f>AH869/AF869</f>
        <v>-0.95313417606383888</v>
      </c>
      <c r="AK869" s="81">
        <f t="shared" si="1607"/>
        <v>36.806303362816713</v>
      </c>
      <c r="AL869" s="85">
        <f t="shared" si="1608"/>
        <v>4.9135210046965003</v>
      </c>
      <c r="AM869" s="34">
        <f>AL869-AK869</f>
        <v>-31.892782358120215</v>
      </c>
      <c r="AN869" s="35">
        <f>AM869/AK869</f>
        <v>-0.86650327373923819</v>
      </c>
      <c r="AP869" s="81">
        <f t="shared" si="1621"/>
        <v>38.137800843898702</v>
      </c>
      <c r="AQ869" s="85">
        <f>Y869</f>
        <v>27.218037562755022</v>
      </c>
      <c r="AR869" s="34">
        <f t="shared" si="1623"/>
        <v>-10.91976328114368</v>
      </c>
      <c r="AS869" s="35">
        <f t="shared" si="1624"/>
        <v>-0.28632388442740081</v>
      </c>
      <c r="AU869" s="949">
        <f t="shared" si="1625"/>
        <v>38.749710143893992</v>
      </c>
      <c r="AV869" s="843">
        <f t="shared" si="1626"/>
        <v>34.646232446786598</v>
      </c>
      <c r="AW869" s="34">
        <f t="shared" si="1627"/>
        <v>-4.1034776971073939</v>
      </c>
      <c r="AX869" s="35">
        <f t="shared" si="1628"/>
        <v>-0.10589699076120707</v>
      </c>
      <c r="AZ869" s="949">
        <f t="shared" si="1609"/>
        <v>24.397695838545342</v>
      </c>
      <c r="BA869" s="843">
        <f t="shared" si="1610"/>
        <v>24.760649084664365</v>
      </c>
      <c r="BB869" s="34">
        <f t="shared" si="1629"/>
        <v>0.36295324611902302</v>
      </c>
      <c r="BC869" s="35">
        <f t="shared" si="1630"/>
        <v>1.4876537871482182E-2</v>
      </c>
      <c r="BE869" s="31">
        <f t="shared" si="1631"/>
        <v>13.645172871880792</v>
      </c>
      <c r="BF869" s="25">
        <f t="shared" si="1632"/>
        <v>13.845362588663855</v>
      </c>
      <c r="BG869" s="32">
        <f t="shared" si="1633"/>
        <v>0.20018971678306308</v>
      </c>
      <c r="BH869" s="33">
        <f t="shared" si="1634"/>
        <v>1.4671101543579769E-2</v>
      </c>
      <c r="BJ869" s="31">
        <f t="shared" si="1611"/>
        <v>9.6891930750550355</v>
      </c>
      <c r="BK869" s="25">
        <f t="shared" si="1612"/>
        <v>13.010200401236801</v>
      </c>
      <c r="BL869" s="32">
        <f t="shared" si="1613"/>
        <v>3.3210073261817659</v>
      </c>
      <c r="BM869" s="33">
        <f t="shared" si="1614"/>
        <v>0.34275375673251329</v>
      </c>
      <c r="BO869" s="62"/>
      <c r="BP869" s="62"/>
      <c r="BQ869" s="62"/>
      <c r="BR869" s="63"/>
    </row>
    <row r="870" spans="1:70" ht="14.5" customHeight="1">
      <c r="B870" s="1284"/>
      <c r="O870" s="9"/>
      <c r="P870" s="9"/>
      <c r="Q870" s="9"/>
      <c r="R870" s="9"/>
    </row>
    <row r="871" spans="1:70" ht="14.5" customHeight="1">
      <c r="B871" s="1284"/>
      <c r="D871" s="64" t="s">
        <v>110</v>
      </c>
    </row>
    <row r="872" spans="1:70" ht="14.5" customHeight="1">
      <c r="B872" s="1284"/>
      <c r="D872" s="64"/>
      <c r="E872" s="1300" t="s">
        <v>733</v>
      </c>
      <c r="F872" s="1301"/>
      <c r="G872" s="1301"/>
      <c r="H872" s="1301"/>
      <c r="I872" s="1301"/>
      <c r="J872" s="1301"/>
      <c r="K872" s="1301"/>
      <c r="L872" s="1302"/>
      <c r="N872" s="245" t="s">
        <v>291</v>
      </c>
      <c r="O872" s="246"/>
      <c r="P872" s="246"/>
      <c r="Q872" s="246"/>
      <c r="R872" s="246"/>
      <c r="S872" s="246"/>
      <c r="T872" s="246"/>
      <c r="U872" s="247"/>
      <c r="W872" s="1079" t="s">
        <v>292</v>
      </c>
      <c r="X872" s="1080"/>
      <c r="Y872" s="1080"/>
      <c r="Z872" s="1080"/>
      <c r="AA872" s="1080"/>
      <c r="AB872" s="1080"/>
      <c r="AC872" s="1080"/>
      <c r="AD872" s="1081"/>
      <c r="AF872" s="102" t="s">
        <v>297</v>
      </c>
      <c r="AG872" s="102" t="s">
        <v>298</v>
      </c>
      <c r="AH872" s="1304" t="s">
        <v>602</v>
      </c>
      <c r="AI872" s="1304"/>
      <c r="AK872" s="102" t="s">
        <v>297</v>
      </c>
      <c r="AL872" s="102" t="s">
        <v>298</v>
      </c>
      <c r="AM872" s="1304" t="s">
        <v>602</v>
      </c>
      <c r="AN872" s="1304"/>
      <c r="AP872" s="6" t="s">
        <v>297</v>
      </c>
      <c r="AQ872" s="5" t="s">
        <v>298</v>
      </c>
      <c r="AR872" s="1303" t="s">
        <v>602</v>
      </c>
      <c r="AS872" s="1303"/>
      <c r="AU872" s="6" t="s">
        <v>297</v>
      </c>
      <c r="AV872" s="5" t="s">
        <v>298</v>
      </c>
      <c r="AW872" s="1303" t="s">
        <v>602</v>
      </c>
      <c r="AX872" s="1303"/>
      <c r="AZ872" s="6" t="s">
        <v>297</v>
      </c>
      <c r="BA872" s="5" t="s">
        <v>298</v>
      </c>
      <c r="BB872" s="1303" t="s">
        <v>602</v>
      </c>
      <c r="BC872" s="1303"/>
      <c r="BE872" s="6" t="s">
        <v>297</v>
      </c>
      <c r="BF872" s="5" t="s">
        <v>298</v>
      </c>
      <c r="BG872" s="1082" t="s">
        <v>602</v>
      </c>
      <c r="BH872" s="1082"/>
      <c r="BJ872" s="6" t="s">
        <v>297</v>
      </c>
      <c r="BK872" s="5" t="s">
        <v>298</v>
      </c>
      <c r="BL872" s="1082" t="s">
        <v>602</v>
      </c>
      <c r="BM872" s="1082"/>
      <c r="BO872" s="6" t="s">
        <v>297</v>
      </c>
      <c r="BP872" s="5" t="s">
        <v>298</v>
      </c>
      <c r="BQ872" s="1303" t="s">
        <v>602</v>
      </c>
      <c r="BR872" s="1303"/>
    </row>
    <row r="873" spans="1:70" ht="14.5" customHeight="1">
      <c r="A873" s="1"/>
      <c r="B873" s="1284"/>
      <c r="E873" s="196" t="s">
        <v>137</v>
      </c>
      <c r="F873" s="102" t="s">
        <v>138</v>
      </c>
      <c r="G873" s="102" t="s">
        <v>139</v>
      </c>
      <c r="H873" s="102" t="s">
        <v>140</v>
      </c>
      <c r="I873" s="102" t="s">
        <v>141</v>
      </c>
      <c r="J873" s="102" t="s">
        <v>126</v>
      </c>
      <c r="K873" s="102" t="s">
        <v>142</v>
      </c>
      <c r="L873" s="197" t="s">
        <v>143</v>
      </c>
      <c r="N873" s="196" t="s">
        <v>137</v>
      </c>
      <c r="O873" s="102" t="s">
        <v>138</v>
      </c>
      <c r="P873" s="102" t="s">
        <v>139</v>
      </c>
      <c r="Q873" s="102" t="s">
        <v>140</v>
      </c>
      <c r="R873" s="102" t="s">
        <v>141</v>
      </c>
      <c r="S873" s="102" t="s">
        <v>126</v>
      </c>
      <c r="T873" s="102" t="s">
        <v>142</v>
      </c>
      <c r="U873" s="197" t="s">
        <v>143</v>
      </c>
      <c r="W873" s="196" t="s">
        <v>137</v>
      </c>
      <c r="X873" s="1078" t="s">
        <v>138</v>
      </c>
      <c r="Y873" s="1078" t="s">
        <v>139</v>
      </c>
      <c r="Z873" s="1078" t="s">
        <v>140</v>
      </c>
      <c r="AA873" s="1078" t="s">
        <v>141</v>
      </c>
      <c r="AB873" s="1078" t="s">
        <v>126</v>
      </c>
      <c r="AC873" s="1078" t="s">
        <v>142</v>
      </c>
      <c r="AD873" s="197" t="s">
        <v>143</v>
      </c>
      <c r="AF873" s="102" t="s">
        <v>734</v>
      </c>
      <c r="AG873" s="102" t="s">
        <v>734</v>
      </c>
      <c r="AH873" s="102" t="s">
        <v>734</v>
      </c>
      <c r="AI873" s="102" t="s">
        <v>606</v>
      </c>
      <c r="AK873" s="102" t="s">
        <v>734</v>
      </c>
      <c r="AL873" s="102" t="s">
        <v>734</v>
      </c>
      <c r="AM873" s="102" t="s">
        <v>734</v>
      </c>
      <c r="AN873" s="102" t="s">
        <v>606</v>
      </c>
      <c r="AP873" s="5" t="s">
        <v>734</v>
      </c>
      <c r="AQ873" s="5" t="s">
        <v>734</v>
      </c>
      <c r="AR873" s="5" t="s">
        <v>734</v>
      </c>
      <c r="AS873" s="5" t="s">
        <v>606</v>
      </c>
      <c r="AU873" s="5" t="s">
        <v>734</v>
      </c>
      <c r="AV873" s="5" t="s">
        <v>734</v>
      </c>
      <c r="AW873" s="5" t="s">
        <v>734</v>
      </c>
      <c r="AX873" s="5" t="s">
        <v>606</v>
      </c>
      <c r="AZ873" s="5" t="s">
        <v>734</v>
      </c>
      <c r="BA873" s="5" t="s">
        <v>734</v>
      </c>
      <c r="BB873" s="5" t="s">
        <v>734</v>
      </c>
      <c r="BC873" s="5" t="s">
        <v>606</v>
      </c>
      <c r="BE873" s="5" t="s">
        <v>734</v>
      </c>
      <c r="BF873" s="5" t="s">
        <v>734</v>
      </c>
      <c r="BG873" s="5" t="s">
        <v>734</v>
      </c>
      <c r="BH873" s="5" t="s">
        <v>606</v>
      </c>
      <c r="BJ873" s="5" t="s">
        <v>734</v>
      </c>
      <c r="BK873" s="5" t="s">
        <v>734</v>
      </c>
      <c r="BL873" s="5" t="s">
        <v>734</v>
      </c>
      <c r="BM873" s="5" t="s">
        <v>606</v>
      </c>
      <c r="BO873" s="5" t="s">
        <v>734</v>
      </c>
      <c r="BP873" s="5" t="s">
        <v>734</v>
      </c>
      <c r="BQ873" s="5" t="s">
        <v>734</v>
      </c>
      <c r="BR873" s="5" t="s">
        <v>606</v>
      </c>
    </row>
    <row r="874" spans="1:70">
      <c r="B874" s="1284"/>
      <c r="D874" s="5" t="s">
        <v>161</v>
      </c>
      <c r="E874" s="46"/>
      <c r="F874" s="46"/>
      <c r="G874" s="46"/>
      <c r="H874" s="46"/>
      <c r="I874" s="46"/>
      <c r="J874" s="46"/>
      <c r="K874" s="46"/>
      <c r="L874" s="46"/>
      <c r="N874" s="46"/>
      <c r="O874" s="46"/>
      <c r="P874" s="46"/>
      <c r="Q874" s="46"/>
      <c r="R874" s="46"/>
      <c r="S874" s="46"/>
      <c r="T874" s="46"/>
      <c r="U874" s="46"/>
      <c r="W874" s="30">
        <v>0</v>
      </c>
      <c r="X874" s="30">
        <v>0</v>
      </c>
      <c r="Y874" s="30">
        <v>0</v>
      </c>
      <c r="Z874" s="30">
        <v>0</v>
      </c>
      <c r="AA874" s="30">
        <v>0</v>
      </c>
      <c r="AB874" s="30">
        <v>0</v>
      </c>
      <c r="AC874" s="30">
        <v>0</v>
      </c>
      <c r="AD874" s="90">
        <v>0</v>
      </c>
      <c r="AF874" s="29">
        <f>N874</f>
        <v>0</v>
      </c>
      <c r="AG874" s="30">
        <f>W874</f>
        <v>0</v>
      </c>
      <c r="AH874" s="32">
        <f>AG874-AF874</f>
        <v>0</v>
      </c>
      <c r="AI874" s="1086" t="e">
        <f>AH874/AF874</f>
        <v>#DIV/0!</v>
      </c>
      <c r="AK874" s="29">
        <f t="shared" ref="AK874:AK889" si="1641">O874</f>
        <v>0</v>
      </c>
      <c r="AL874" s="30">
        <f t="shared" ref="AL874:AL889" si="1642">X874</f>
        <v>0</v>
      </c>
      <c r="AM874" s="32">
        <f>AL874-AK874</f>
        <v>0</v>
      </c>
      <c r="AN874" s="33" t="e">
        <f>AM874/AK874</f>
        <v>#DIV/0!</v>
      </c>
      <c r="AP874" s="29">
        <f>P874</f>
        <v>0</v>
      </c>
      <c r="AQ874" s="30">
        <f>Y874</f>
        <v>0</v>
      </c>
      <c r="AR874" s="32">
        <f>AQ874-AP874</f>
        <v>0</v>
      </c>
      <c r="AS874" s="33" t="e">
        <f>AR874/AP874</f>
        <v>#DIV/0!</v>
      </c>
      <c r="AU874" s="31">
        <f>Q874</f>
        <v>0</v>
      </c>
      <c r="AV874" s="25">
        <f>Z874</f>
        <v>0</v>
      </c>
      <c r="AW874" s="32">
        <f>AV874-AU874</f>
        <v>0</v>
      </c>
      <c r="AX874" s="33" t="e">
        <f>AW874/AU874</f>
        <v>#DIV/0!</v>
      </c>
      <c r="AZ874" s="31">
        <f t="shared" ref="AZ874:AZ889" si="1643">R874</f>
        <v>0</v>
      </c>
      <c r="BA874" s="25">
        <f t="shared" ref="BA874:BA889" si="1644">AA874</f>
        <v>0</v>
      </c>
      <c r="BB874" s="32">
        <f>BA874-AZ874</f>
        <v>0</v>
      </c>
      <c r="BC874" s="33" t="e">
        <f>BB874/AZ874</f>
        <v>#DIV/0!</v>
      </c>
      <c r="BE874" s="31">
        <f>S874</f>
        <v>0</v>
      </c>
      <c r="BF874" s="25">
        <f>AB874</f>
        <v>0</v>
      </c>
      <c r="BG874" s="32">
        <f>BF874-BE874</f>
        <v>0</v>
      </c>
      <c r="BH874" s="33" t="e">
        <f>BG874/BE874</f>
        <v>#DIV/0!</v>
      </c>
      <c r="BJ874" s="31">
        <f t="shared" ref="BJ874:BJ889" si="1645">T874</f>
        <v>0</v>
      </c>
      <c r="BK874" s="25">
        <f t="shared" ref="BK874:BK889" si="1646">AC874</f>
        <v>0</v>
      </c>
      <c r="BL874" s="32">
        <f t="shared" ref="BL874:BL889" si="1647">BK874-BJ874</f>
        <v>0</v>
      </c>
      <c r="BM874" s="33" t="e">
        <f t="shared" ref="BM874:BM889" si="1648">BL874/BJ874</f>
        <v>#DIV/0!</v>
      </c>
      <c r="BO874" s="62"/>
      <c r="BP874" s="62"/>
      <c r="BQ874" s="62"/>
      <c r="BR874" s="63"/>
    </row>
    <row r="875" spans="1:70">
      <c r="B875" s="1284"/>
      <c r="D875" s="5" t="s">
        <v>162</v>
      </c>
      <c r="E875" s="46"/>
      <c r="F875" s="46"/>
      <c r="G875" s="46"/>
      <c r="H875" s="46"/>
      <c r="I875" s="46"/>
      <c r="J875" s="46"/>
      <c r="K875" s="46"/>
      <c r="L875" s="46"/>
      <c r="N875" s="46"/>
      <c r="O875" s="46"/>
      <c r="P875" s="46"/>
      <c r="Q875" s="46"/>
      <c r="R875" s="46"/>
      <c r="S875" s="46"/>
      <c r="T875" s="46"/>
      <c r="U875" s="46"/>
      <c r="W875" s="30">
        <v>0</v>
      </c>
      <c r="X875" s="30">
        <v>0</v>
      </c>
      <c r="Y875" s="30">
        <v>0</v>
      </c>
      <c r="Z875" s="30">
        <v>0</v>
      </c>
      <c r="AA875" s="30">
        <v>0</v>
      </c>
      <c r="AB875" s="30">
        <v>0</v>
      </c>
      <c r="AC875" s="30">
        <v>0</v>
      </c>
      <c r="AD875" s="90">
        <v>0</v>
      </c>
      <c r="AF875" s="29">
        <f t="shared" ref="AF875:AF889" si="1649">N875</f>
        <v>0</v>
      </c>
      <c r="AG875" s="30">
        <f t="shared" ref="AG875:AG889" si="1650">W875</f>
        <v>0</v>
      </c>
      <c r="AH875" s="32">
        <f t="shared" ref="AH875:AH887" si="1651">AG875-AF875</f>
        <v>0</v>
      </c>
      <c r="AI875" s="1086" t="e">
        <f t="shared" ref="AI875:AI881" si="1652">AH875/AF875</f>
        <v>#DIV/0!</v>
      </c>
      <c r="AK875" s="29">
        <f t="shared" si="1641"/>
        <v>0</v>
      </c>
      <c r="AL875" s="30">
        <f t="shared" si="1642"/>
        <v>0</v>
      </c>
      <c r="AM875" s="32">
        <f t="shared" ref="AM875:AM887" si="1653">AL875-AK875</f>
        <v>0</v>
      </c>
      <c r="AN875" s="33" t="e">
        <f t="shared" ref="AN875:AN887" si="1654">AM875/AK875</f>
        <v>#DIV/0!</v>
      </c>
      <c r="AP875" s="29">
        <f t="shared" ref="AP875:AP889" si="1655">P875</f>
        <v>0</v>
      </c>
      <c r="AQ875" s="30">
        <f t="shared" ref="AQ875:AQ888" si="1656">Y875</f>
        <v>0</v>
      </c>
      <c r="AR875" s="32">
        <f t="shared" ref="AR875:AR889" si="1657">AQ875-AP875</f>
        <v>0</v>
      </c>
      <c r="AS875" s="33" t="e">
        <f t="shared" ref="AS875:AS889" si="1658">AR875/AP875</f>
        <v>#DIV/0!</v>
      </c>
      <c r="AU875" s="31">
        <f t="shared" ref="AU875:AU889" si="1659">Q875</f>
        <v>0</v>
      </c>
      <c r="AV875" s="25">
        <f t="shared" ref="AV875:AV889" si="1660">Z875</f>
        <v>0</v>
      </c>
      <c r="AW875" s="32">
        <f t="shared" ref="AW875:AW889" si="1661">AV875-AU875</f>
        <v>0</v>
      </c>
      <c r="AX875" s="33" t="e">
        <f t="shared" ref="AX875:AX889" si="1662">AW875/AU875</f>
        <v>#DIV/0!</v>
      </c>
      <c r="AZ875" s="31">
        <f t="shared" si="1643"/>
        <v>0</v>
      </c>
      <c r="BA875" s="25">
        <f t="shared" si="1644"/>
        <v>0</v>
      </c>
      <c r="BB875" s="32">
        <f t="shared" ref="BB875:BB889" si="1663">BA875-AZ875</f>
        <v>0</v>
      </c>
      <c r="BC875" s="33" t="e">
        <f t="shared" ref="BC875:BC889" si="1664">BB875/AZ875</f>
        <v>#DIV/0!</v>
      </c>
      <c r="BE875" s="31">
        <f t="shared" ref="BE875:BE889" si="1665">S875</f>
        <v>0</v>
      </c>
      <c r="BF875" s="25">
        <f t="shared" ref="BF875:BF889" si="1666">AB875</f>
        <v>0</v>
      </c>
      <c r="BG875" s="32">
        <f t="shared" ref="BG875:BG889" si="1667">BF875-BE875</f>
        <v>0</v>
      </c>
      <c r="BH875" s="33" t="e">
        <f t="shared" ref="BH875:BH889" si="1668">BG875/BE875</f>
        <v>#DIV/0!</v>
      </c>
      <c r="BJ875" s="31">
        <f t="shared" si="1645"/>
        <v>0</v>
      </c>
      <c r="BK875" s="25">
        <f t="shared" si="1646"/>
        <v>0</v>
      </c>
      <c r="BL875" s="32">
        <f t="shared" si="1647"/>
        <v>0</v>
      </c>
      <c r="BM875" s="33" t="e">
        <f t="shared" si="1648"/>
        <v>#DIV/0!</v>
      </c>
      <c r="BO875" s="62"/>
      <c r="BP875" s="62"/>
      <c r="BQ875" s="62"/>
      <c r="BR875" s="63"/>
    </row>
    <row r="876" spans="1:70">
      <c r="B876" s="1284"/>
      <c r="D876" s="5" t="s">
        <v>163</v>
      </c>
      <c r="E876" s="46"/>
      <c r="F876" s="46"/>
      <c r="G876" s="46"/>
      <c r="H876" s="46"/>
      <c r="I876" s="46"/>
      <c r="J876" s="46"/>
      <c r="K876" s="46"/>
      <c r="L876" s="46"/>
      <c r="N876" s="46"/>
      <c r="O876" s="46"/>
      <c r="P876" s="46"/>
      <c r="Q876" s="46"/>
      <c r="R876" s="46"/>
      <c r="S876" s="46"/>
      <c r="T876" s="46"/>
      <c r="U876" s="46"/>
      <c r="W876" s="30">
        <v>25.953473641654352</v>
      </c>
      <c r="X876" s="30">
        <v>1.2634691049686122</v>
      </c>
      <c r="Y876" s="30">
        <v>3.7066127252427483</v>
      </c>
      <c r="Z876" s="30">
        <v>0.48841221284907549</v>
      </c>
      <c r="AA876" s="30">
        <v>3.1365087105920779E-2</v>
      </c>
      <c r="AB876" s="30">
        <v>6.7638138839502746E-3</v>
      </c>
      <c r="AC876" s="30">
        <v>0</v>
      </c>
      <c r="AD876" s="90">
        <v>0</v>
      </c>
      <c r="AF876" s="29">
        <f t="shared" si="1649"/>
        <v>0</v>
      </c>
      <c r="AG876" s="30">
        <f t="shared" si="1650"/>
        <v>25.953473641654352</v>
      </c>
      <c r="AH876" s="32">
        <f t="shared" si="1651"/>
        <v>25.953473641654352</v>
      </c>
      <c r="AI876" s="1086" t="e">
        <f>AH876/AF876</f>
        <v>#DIV/0!</v>
      </c>
      <c r="AK876" s="29">
        <f t="shared" si="1641"/>
        <v>0</v>
      </c>
      <c r="AL876" s="30">
        <f t="shared" si="1642"/>
        <v>1.2634691049686122</v>
      </c>
      <c r="AM876" s="32">
        <f t="shared" si="1653"/>
        <v>1.2634691049686122</v>
      </c>
      <c r="AN876" s="33" t="e">
        <f t="shared" si="1654"/>
        <v>#DIV/0!</v>
      </c>
      <c r="AP876" s="29">
        <f t="shared" si="1655"/>
        <v>0</v>
      </c>
      <c r="AQ876" s="30">
        <f t="shared" si="1656"/>
        <v>3.7066127252427483</v>
      </c>
      <c r="AR876" s="32">
        <f t="shared" si="1657"/>
        <v>3.7066127252427483</v>
      </c>
      <c r="AS876" s="33" t="e">
        <f t="shared" si="1658"/>
        <v>#DIV/0!</v>
      </c>
      <c r="AU876" s="31">
        <f t="shared" si="1659"/>
        <v>0</v>
      </c>
      <c r="AV876" s="25">
        <f t="shared" si="1660"/>
        <v>0.48841221284907549</v>
      </c>
      <c r="AW876" s="32">
        <f t="shared" si="1661"/>
        <v>0.48841221284907549</v>
      </c>
      <c r="AX876" s="33" t="e">
        <f t="shared" si="1662"/>
        <v>#DIV/0!</v>
      </c>
      <c r="AZ876" s="31">
        <f t="shared" si="1643"/>
        <v>0</v>
      </c>
      <c r="BA876" s="25">
        <f t="shared" si="1644"/>
        <v>3.1365087105920779E-2</v>
      </c>
      <c r="BB876" s="32">
        <f t="shared" si="1663"/>
        <v>3.1365087105920779E-2</v>
      </c>
      <c r="BC876" s="33" t="e">
        <f t="shared" si="1664"/>
        <v>#DIV/0!</v>
      </c>
      <c r="BE876" s="31">
        <f t="shared" si="1665"/>
        <v>0</v>
      </c>
      <c r="BF876" s="25">
        <f t="shared" si="1666"/>
        <v>6.7638138839502746E-3</v>
      </c>
      <c r="BG876" s="32">
        <f t="shared" si="1667"/>
        <v>6.7638138839502746E-3</v>
      </c>
      <c r="BH876" s="33" t="e">
        <f t="shared" si="1668"/>
        <v>#DIV/0!</v>
      </c>
      <c r="BJ876" s="31">
        <f t="shared" si="1645"/>
        <v>0</v>
      </c>
      <c r="BK876" s="25">
        <f t="shared" si="1646"/>
        <v>0</v>
      </c>
      <c r="BL876" s="32">
        <f t="shared" si="1647"/>
        <v>0</v>
      </c>
      <c r="BM876" s="33" t="e">
        <f t="shared" si="1648"/>
        <v>#DIV/0!</v>
      </c>
      <c r="BO876" s="62"/>
      <c r="BP876" s="62"/>
      <c r="BQ876" s="62"/>
      <c r="BR876" s="63"/>
    </row>
    <row r="877" spans="1:70">
      <c r="B877" s="1284"/>
      <c r="D877" s="5" t="s">
        <v>164</v>
      </c>
      <c r="E877" s="46"/>
      <c r="F877" s="46"/>
      <c r="G877" s="46"/>
      <c r="H877" s="46"/>
      <c r="I877" s="46"/>
      <c r="J877" s="46"/>
      <c r="K877" s="46"/>
      <c r="L877" s="46"/>
      <c r="N877" s="46"/>
      <c r="O877" s="46"/>
      <c r="P877" s="46"/>
      <c r="Q877" s="46"/>
      <c r="R877" s="46"/>
      <c r="S877" s="46"/>
      <c r="T877" s="46"/>
      <c r="U877" s="46"/>
      <c r="W877" s="30">
        <v>0</v>
      </c>
      <c r="X877" s="30">
        <v>0</v>
      </c>
      <c r="Y877" s="30">
        <v>0</v>
      </c>
      <c r="Z877" s="30">
        <v>0</v>
      </c>
      <c r="AA877" s="30">
        <v>0</v>
      </c>
      <c r="AB877" s="30">
        <v>0</v>
      </c>
      <c r="AC877" s="30">
        <v>0</v>
      </c>
      <c r="AD877" s="90">
        <v>0</v>
      </c>
      <c r="AF877" s="29">
        <f t="shared" si="1649"/>
        <v>0</v>
      </c>
      <c r="AG877" s="30">
        <f t="shared" si="1650"/>
        <v>0</v>
      </c>
      <c r="AH877" s="32">
        <f t="shared" si="1651"/>
        <v>0</v>
      </c>
      <c r="AI877" s="1086" t="e">
        <f>AH877/AF877</f>
        <v>#DIV/0!</v>
      </c>
      <c r="AK877" s="29">
        <f t="shared" si="1641"/>
        <v>0</v>
      </c>
      <c r="AL877" s="30">
        <f t="shared" si="1642"/>
        <v>0</v>
      </c>
      <c r="AM877" s="32">
        <f t="shared" si="1653"/>
        <v>0</v>
      </c>
      <c r="AN877" s="33" t="e">
        <f t="shared" si="1654"/>
        <v>#DIV/0!</v>
      </c>
      <c r="AP877" s="29">
        <f t="shared" si="1655"/>
        <v>0</v>
      </c>
      <c r="AQ877" s="30">
        <f t="shared" si="1656"/>
        <v>0</v>
      </c>
      <c r="AR877" s="32">
        <f t="shared" si="1657"/>
        <v>0</v>
      </c>
      <c r="AS877" s="33" t="e">
        <f t="shared" si="1658"/>
        <v>#DIV/0!</v>
      </c>
      <c r="AU877" s="31">
        <f t="shared" si="1659"/>
        <v>0</v>
      </c>
      <c r="AV877" s="25">
        <f t="shared" si="1660"/>
        <v>0</v>
      </c>
      <c r="AW877" s="32">
        <f t="shared" si="1661"/>
        <v>0</v>
      </c>
      <c r="AX877" s="33" t="e">
        <f t="shared" si="1662"/>
        <v>#DIV/0!</v>
      </c>
      <c r="AZ877" s="31">
        <f t="shared" si="1643"/>
        <v>0</v>
      </c>
      <c r="BA877" s="25">
        <f t="shared" si="1644"/>
        <v>0</v>
      </c>
      <c r="BB877" s="32">
        <f t="shared" si="1663"/>
        <v>0</v>
      </c>
      <c r="BC877" s="33" t="e">
        <f t="shared" si="1664"/>
        <v>#DIV/0!</v>
      </c>
      <c r="BE877" s="31">
        <f t="shared" si="1665"/>
        <v>0</v>
      </c>
      <c r="BF877" s="25">
        <f t="shared" si="1666"/>
        <v>0</v>
      </c>
      <c r="BG877" s="32">
        <f t="shared" si="1667"/>
        <v>0</v>
      </c>
      <c r="BH877" s="33" t="e">
        <f t="shared" si="1668"/>
        <v>#DIV/0!</v>
      </c>
      <c r="BJ877" s="31">
        <f t="shared" si="1645"/>
        <v>0</v>
      </c>
      <c r="BK877" s="25">
        <f t="shared" si="1646"/>
        <v>0</v>
      </c>
      <c r="BL877" s="32">
        <f t="shared" si="1647"/>
        <v>0</v>
      </c>
      <c r="BM877" s="33" t="e">
        <f t="shared" si="1648"/>
        <v>#DIV/0!</v>
      </c>
      <c r="BO877" s="62"/>
      <c r="BP877" s="62"/>
      <c r="BQ877" s="62"/>
      <c r="BR877" s="63"/>
    </row>
    <row r="878" spans="1:70">
      <c r="B878" s="1284"/>
      <c r="D878" s="5" t="s">
        <v>165</v>
      </c>
      <c r="E878" s="46"/>
      <c r="F878" s="46"/>
      <c r="G878" s="46"/>
      <c r="H878" s="46"/>
      <c r="I878" s="46"/>
      <c r="J878" s="46"/>
      <c r="K878" s="46"/>
      <c r="L878" s="46"/>
      <c r="N878" s="46"/>
      <c r="O878" s="46"/>
      <c r="P878" s="46"/>
      <c r="Q878" s="46"/>
      <c r="R878" s="46"/>
      <c r="S878" s="46"/>
      <c r="T878" s="46"/>
      <c r="U878" s="46"/>
      <c r="W878" s="30">
        <v>0.19909787883576879</v>
      </c>
      <c r="X878" s="30">
        <v>0</v>
      </c>
      <c r="Y878" s="30">
        <v>0</v>
      </c>
      <c r="Z878" s="30">
        <v>0</v>
      </c>
      <c r="AA878" s="30">
        <v>0</v>
      </c>
      <c r="AB878" s="30">
        <v>0</v>
      </c>
      <c r="AC878" s="30">
        <v>0</v>
      </c>
      <c r="AD878" s="90">
        <v>0</v>
      </c>
      <c r="AF878" s="29">
        <f t="shared" si="1649"/>
        <v>0</v>
      </c>
      <c r="AG878" s="30">
        <f t="shared" si="1650"/>
        <v>0.19909787883576879</v>
      </c>
      <c r="AH878" s="32">
        <f t="shared" si="1651"/>
        <v>0.19909787883576879</v>
      </c>
      <c r="AI878" s="1086" t="e">
        <f>AH878/AF878</f>
        <v>#DIV/0!</v>
      </c>
      <c r="AK878" s="29">
        <f t="shared" si="1641"/>
        <v>0</v>
      </c>
      <c r="AL878" s="30">
        <f t="shared" si="1642"/>
        <v>0</v>
      </c>
      <c r="AM878" s="32">
        <f t="shared" si="1653"/>
        <v>0</v>
      </c>
      <c r="AN878" s="33" t="e">
        <f t="shared" si="1654"/>
        <v>#DIV/0!</v>
      </c>
      <c r="AP878" s="29">
        <f t="shared" si="1655"/>
        <v>0</v>
      </c>
      <c r="AQ878" s="30">
        <f t="shared" si="1656"/>
        <v>0</v>
      </c>
      <c r="AR878" s="32">
        <f t="shared" si="1657"/>
        <v>0</v>
      </c>
      <c r="AS878" s="33" t="e">
        <f t="shared" si="1658"/>
        <v>#DIV/0!</v>
      </c>
      <c r="AU878" s="31">
        <f t="shared" si="1659"/>
        <v>0</v>
      </c>
      <c r="AV878" s="25">
        <f t="shared" si="1660"/>
        <v>0</v>
      </c>
      <c r="AW878" s="32">
        <f t="shared" si="1661"/>
        <v>0</v>
      </c>
      <c r="AX878" s="33" t="e">
        <f t="shared" si="1662"/>
        <v>#DIV/0!</v>
      </c>
      <c r="AZ878" s="31">
        <f t="shared" si="1643"/>
        <v>0</v>
      </c>
      <c r="BA878" s="25">
        <f t="shared" si="1644"/>
        <v>0</v>
      </c>
      <c r="BB878" s="32">
        <f t="shared" si="1663"/>
        <v>0</v>
      </c>
      <c r="BC878" s="33" t="e">
        <f t="shared" si="1664"/>
        <v>#DIV/0!</v>
      </c>
      <c r="BE878" s="31">
        <f t="shared" si="1665"/>
        <v>0</v>
      </c>
      <c r="BF878" s="25">
        <f t="shared" si="1666"/>
        <v>0</v>
      </c>
      <c r="BG878" s="32">
        <f t="shared" si="1667"/>
        <v>0</v>
      </c>
      <c r="BH878" s="33" t="e">
        <f t="shared" si="1668"/>
        <v>#DIV/0!</v>
      </c>
      <c r="BJ878" s="31">
        <f t="shared" si="1645"/>
        <v>0</v>
      </c>
      <c r="BK878" s="25">
        <f t="shared" si="1646"/>
        <v>0</v>
      </c>
      <c r="BL878" s="32">
        <f t="shared" si="1647"/>
        <v>0</v>
      </c>
      <c r="BM878" s="33" t="e">
        <f t="shared" si="1648"/>
        <v>#DIV/0!</v>
      </c>
      <c r="BO878" s="62"/>
      <c r="BP878" s="62"/>
      <c r="BQ878" s="62"/>
      <c r="BR878" s="63"/>
    </row>
    <row r="879" spans="1:70">
      <c r="B879" s="1284"/>
      <c r="D879" s="5" t="s">
        <v>166</v>
      </c>
      <c r="E879" s="46"/>
      <c r="F879" s="46"/>
      <c r="G879" s="46"/>
      <c r="H879" s="46"/>
      <c r="I879" s="46"/>
      <c r="J879" s="46"/>
      <c r="K879" s="46"/>
      <c r="L879" s="46"/>
      <c r="N879" s="46"/>
      <c r="O879" s="46"/>
      <c r="P879" s="46"/>
      <c r="Q879" s="46"/>
      <c r="R879" s="46"/>
      <c r="S879" s="46"/>
      <c r="T879" s="46"/>
      <c r="U879" s="46"/>
      <c r="W879" s="30">
        <v>0</v>
      </c>
      <c r="X879" s="30">
        <v>0</v>
      </c>
      <c r="Y879" s="30">
        <v>0</v>
      </c>
      <c r="Z879" s="30">
        <v>0</v>
      </c>
      <c r="AA879" s="30">
        <v>0</v>
      </c>
      <c r="AB879" s="30">
        <v>0</v>
      </c>
      <c r="AC879" s="30">
        <v>0</v>
      </c>
      <c r="AD879" s="90">
        <v>0</v>
      </c>
      <c r="AF879" s="29">
        <f t="shared" si="1649"/>
        <v>0</v>
      </c>
      <c r="AG879" s="30">
        <f t="shared" si="1650"/>
        <v>0</v>
      </c>
      <c r="AH879" s="32">
        <f t="shared" si="1651"/>
        <v>0</v>
      </c>
      <c r="AI879" s="1086" t="e">
        <f>AH879/AF879</f>
        <v>#DIV/0!</v>
      </c>
      <c r="AK879" s="29">
        <f t="shared" si="1641"/>
        <v>0</v>
      </c>
      <c r="AL879" s="30">
        <f t="shared" si="1642"/>
        <v>0</v>
      </c>
      <c r="AM879" s="32">
        <f t="shared" si="1653"/>
        <v>0</v>
      </c>
      <c r="AN879" s="33" t="e">
        <f t="shared" si="1654"/>
        <v>#DIV/0!</v>
      </c>
      <c r="AP879" s="29">
        <f t="shared" si="1655"/>
        <v>0</v>
      </c>
      <c r="AQ879" s="30">
        <f t="shared" si="1656"/>
        <v>0</v>
      </c>
      <c r="AR879" s="32">
        <f t="shared" si="1657"/>
        <v>0</v>
      </c>
      <c r="AS879" s="33" t="e">
        <f t="shared" si="1658"/>
        <v>#DIV/0!</v>
      </c>
      <c r="AU879" s="31">
        <f t="shared" si="1659"/>
        <v>0</v>
      </c>
      <c r="AV879" s="25">
        <f t="shared" si="1660"/>
        <v>0</v>
      </c>
      <c r="AW879" s="32">
        <f t="shared" si="1661"/>
        <v>0</v>
      </c>
      <c r="AX879" s="33" t="e">
        <f t="shared" si="1662"/>
        <v>#DIV/0!</v>
      </c>
      <c r="AZ879" s="31">
        <f t="shared" si="1643"/>
        <v>0</v>
      </c>
      <c r="BA879" s="25">
        <f t="shared" si="1644"/>
        <v>0</v>
      </c>
      <c r="BB879" s="32">
        <f t="shared" si="1663"/>
        <v>0</v>
      </c>
      <c r="BC879" s="33" t="e">
        <f t="shared" si="1664"/>
        <v>#DIV/0!</v>
      </c>
      <c r="BE879" s="31">
        <f t="shared" si="1665"/>
        <v>0</v>
      </c>
      <c r="BF879" s="25">
        <f t="shared" si="1666"/>
        <v>0</v>
      </c>
      <c r="BG879" s="32">
        <f t="shared" si="1667"/>
        <v>0</v>
      </c>
      <c r="BH879" s="33" t="e">
        <f t="shared" si="1668"/>
        <v>#DIV/0!</v>
      </c>
      <c r="BJ879" s="31">
        <f t="shared" si="1645"/>
        <v>0</v>
      </c>
      <c r="BK879" s="25">
        <f t="shared" si="1646"/>
        <v>0</v>
      </c>
      <c r="BL879" s="32">
        <f t="shared" si="1647"/>
        <v>0</v>
      </c>
      <c r="BM879" s="33" t="e">
        <f t="shared" si="1648"/>
        <v>#DIV/0!</v>
      </c>
      <c r="BO879" s="62"/>
      <c r="BP879" s="62"/>
      <c r="BQ879" s="62"/>
      <c r="BR879" s="63"/>
    </row>
    <row r="880" spans="1:70">
      <c r="B880" s="1284"/>
      <c r="D880" s="5" t="s">
        <v>167</v>
      </c>
      <c r="E880" s="46"/>
      <c r="F880" s="46"/>
      <c r="G880" s="46"/>
      <c r="H880" s="46"/>
      <c r="I880" s="46"/>
      <c r="J880" s="46"/>
      <c r="K880" s="46"/>
      <c r="L880" s="46"/>
      <c r="N880" s="46"/>
      <c r="O880" s="46"/>
      <c r="P880" s="46"/>
      <c r="Q880" s="46"/>
      <c r="R880" s="46"/>
      <c r="S880" s="46"/>
      <c r="T880" s="46"/>
      <c r="U880" s="46"/>
      <c r="W880" s="30">
        <v>0</v>
      </c>
      <c r="X880" s="30">
        <v>0</v>
      </c>
      <c r="Y880" s="30">
        <v>0</v>
      </c>
      <c r="Z880" s="30">
        <v>0</v>
      </c>
      <c r="AA880" s="30">
        <v>0</v>
      </c>
      <c r="AB880" s="30">
        <v>0</v>
      </c>
      <c r="AC880" s="30">
        <v>0</v>
      </c>
      <c r="AD880" s="90">
        <v>0</v>
      </c>
      <c r="AF880" s="29">
        <f t="shared" si="1649"/>
        <v>0</v>
      </c>
      <c r="AG880" s="30">
        <f t="shared" si="1650"/>
        <v>0</v>
      </c>
      <c r="AH880" s="32">
        <f t="shared" si="1651"/>
        <v>0</v>
      </c>
      <c r="AI880" s="1086" t="e">
        <f>AH880/AF880</f>
        <v>#DIV/0!</v>
      </c>
      <c r="AK880" s="29">
        <f t="shared" si="1641"/>
        <v>0</v>
      </c>
      <c r="AL880" s="30">
        <f t="shared" si="1642"/>
        <v>0</v>
      </c>
      <c r="AM880" s="32">
        <f t="shared" si="1653"/>
        <v>0</v>
      </c>
      <c r="AN880" s="33" t="e">
        <f t="shared" si="1654"/>
        <v>#DIV/0!</v>
      </c>
      <c r="AP880" s="29">
        <f t="shared" si="1655"/>
        <v>0</v>
      </c>
      <c r="AQ880" s="30">
        <f t="shared" si="1656"/>
        <v>0</v>
      </c>
      <c r="AR880" s="32">
        <f t="shared" si="1657"/>
        <v>0</v>
      </c>
      <c r="AS880" s="33" t="e">
        <f t="shared" si="1658"/>
        <v>#DIV/0!</v>
      </c>
      <c r="AU880" s="31">
        <f t="shared" si="1659"/>
        <v>0</v>
      </c>
      <c r="AV880" s="25">
        <f t="shared" si="1660"/>
        <v>0</v>
      </c>
      <c r="AW880" s="32">
        <f t="shared" si="1661"/>
        <v>0</v>
      </c>
      <c r="AX880" s="33" t="e">
        <f t="shared" si="1662"/>
        <v>#DIV/0!</v>
      </c>
      <c r="AZ880" s="31">
        <f t="shared" si="1643"/>
        <v>0</v>
      </c>
      <c r="BA880" s="25">
        <f t="shared" si="1644"/>
        <v>0</v>
      </c>
      <c r="BB880" s="32">
        <f t="shared" si="1663"/>
        <v>0</v>
      </c>
      <c r="BC880" s="33" t="e">
        <f t="shared" si="1664"/>
        <v>#DIV/0!</v>
      </c>
      <c r="BE880" s="31">
        <f t="shared" si="1665"/>
        <v>0</v>
      </c>
      <c r="BF880" s="25">
        <f t="shared" si="1666"/>
        <v>0</v>
      </c>
      <c r="BG880" s="32">
        <f t="shared" si="1667"/>
        <v>0</v>
      </c>
      <c r="BH880" s="33" t="e">
        <f t="shared" si="1668"/>
        <v>#DIV/0!</v>
      </c>
      <c r="BJ880" s="31">
        <f t="shared" si="1645"/>
        <v>0</v>
      </c>
      <c r="BK880" s="25">
        <f t="shared" si="1646"/>
        <v>0</v>
      </c>
      <c r="BL880" s="32">
        <f t="shared" si="1647"/>
        <v>0</v>
      </c>
      <c r="BM880" s="33" t="e">
        <f t="shared" si="1648"/>
        <v>#DIV/0!</v>
      </c>
      <c r="BO880" s="62"/>
      <c r="BP880" s="62"/>
      <c r="BQ880" s="62"/>
      <c r="BR880" s="63"/>
    </row>
    <row r="881" spans="1:70">
      <c r="B881" s="1284"/>
      <c r="D881" s="5" t="s">
        <v>168</v>
      </c>
      <c r="E881" s="46"/>
      <c r="F881" s="46"/>
      <c r="G881" s="46"/>
      <c r="H881" s="46"/>
      <c r="I881" s="46"/>
      <c r="J881" s="46"/>
      <c r="K881" s="46"/>
      <c r="L881" s="46"/>
      <c r="N881" s="46"/>
      <c r="O881" s="46"/>
      <c r="P881" s="46"/>
      <c r="Q881" s="46"/>
      <c r="R881" s="46"/>
      <c r="S881" s="46"/>
      <c r="T881" s="46"/>
      <c r="U881" s="46"/>
      <c r="W881" s="30">
        <v>15.063003738089044</v>
      </c>
      <c r="X881" s="30">
        <v>16.220973331018673</v>
      </c>
      <c r="Y881" s="30">
        <v>9.5490464653000942</v>
      </c>
      <c r="Z881" s="30">
        <v>8.6046736015300418</v>
      </c>
      <c r="AA881" s="30">
        <v>5.7547686163232239</v>
      </c>
      <c r="AB881" s="30">
        <v>4.9610350892844295</v>
      </c>
      <c r="AC881" s="30">
        <v>1.619978568385082</v>
      </c>
      <c r="AD881" s="90">
        <v>0</v>
      </c>
      <c r="AF881" s="29">
        <f t="shared" si="1649"/>
        <v>0</v>
      </c>
      <c r="AG881" s="30">
        <f t="shared" si="1650"/>
        <v>15.063003738089044</v>
      </c>
      <c r="AH881" s="32">
        <f t="shared" si="1651"/>
        <v>15.063003738089044</v>
      </c>
      <c r="AI881" s="1086" t="e">
        <f t="shared" si="1652"/>
        <v>#DIV/0!</v>
      </c>
      <c r="AK881" s="29">
        <f t="shared" si="1641"/>
        <v>0</v>
      </c>
      <c r="AL881" s="30">
        <f t="shared" si="1642"/>
        <v>16.220973331018673</v>
      </c>
      <c r="AM881" s="32">
        <f t="shared" si="1653"/>
        <v>16.220973331018673</v>
      </c>
      <c r="AN881" s="33" t="e">
        <f t="shared" si="1654"/>
        <v>#DIV/0!</v>
      </c>
      <c r="AP881" s="29">
        <f t="shared" si="1655"/>
        <v>0</v>
      </c>
      <c r="AQ881" s="30">
        <f t="shared" si="1656"/>
        <v>9.5490464653000942</v>
      </c>
      <c r="AR881" s="32">
        <f t="shared" si="1657"/>
        <v>9.5490464653000942</v>
      </c>
      <c r="AS881" s="33" t="e">
        <f t="shared" si="1658"/>
        <v>#DIV/0!</v>
      </c>
      <c r="AU881" s="31">
        <f t="shared" si="1659"/>
        <v>0</v>
      </c>
      <c r="AV881" s="25">
        <f t="shared" si="1660"/>
        <v>8.6046736015300418</v>
      </c>
      <c r="AW881" s="32">
        <f t="shared" si="1661"/>
        <v>8.6046736015300418</v>
      </c>
      <c r="AX881" s="33" t="e">
        <f t="shared" si="1662"/>
        <v>#DIV/0!</v>
      </c>
      <c r="AZ881" s="31">
        <f t="shared" si="1643"/>
        <v>0</v>
      </c>
      <c r="BA881" s="25">
        <f t="shared" si="1644"/>
        <v>5.7547686163232239</v>
      </c>
      <c r="BB881" s="32">
        <f t="shared" si="1663"/>
        <v>5.7547686163232239</v>
      </c>
      <c r="BC881" s="33" t="e">
        <f t="shared" si="1664"/>
        <v>#DIV/0!</v>
      </c>
      <c r="BE881" s="31">
        <f t="shared" si="1665"/>
        <v>0</v>
      </c>
      <c r="BF881" s="25">
        <f t="shared" si="1666"/>
        <v>4.9610350892844295</v>
      </c>
      <c r="BG881" s="32">
        <f t="shared" si="1667"/>
        <v>4.9610350892844295</v>
      </c>
      <c r="BH881" s="33" t="e">
        <f t="shared" si="1668"/>
        <v>#DIV/0!</v>
      </c>
      <c r="BJ881" s="31">
        <f t="shared" si="1645"/>
        <v>0</v>
      </c>
      <c r="BK881" s="25">
        <f t="shared" si="1646"/>
        <v>1.619978568385082</v>
      </c>
      <c r="BL881" s="32">
        <f t="shared" si="1647"/>
        <v>1.619978568385082</v>
      </c>
      <c r="BM881" s="33" t="e">
        <f t="shared" si="1648"/>
        <v>#DIV/0!</v>
      </c>
      <c r="BO881" s="62"/>
      <c r="BP881" s="62"/>
      <c r="BQ881" s="62"/>
      <c r="BR881" s="63"/>
    </row>
    <row r="882" spans="1:70">
      <c r="B882" s="1284"/>
      <c r="D882" s="5" t="s">
        <v>169</v>
      </c>
      <c r="E882" s="46"/>
      <c r="F882" s="46"/>
      <c r="G882" s="46"/>
      <c r="H882" s="46"/>
      <c r="I882" s="46"/>
      <c r="J882" s="46"/>
      <c r="K882" s="46"/>
      <c r="L882" s="46"/>
      <c r="N882" s="46"/>
      <c r="O882" s="46"/>
      <c r="P882" s="46"/>
      <c r="Q882" s="46"/>
      <c r="R882" s="46"/>
      <c r="S882" s="46"/>
      <c r="T882" s="46"/>
      <c r="U882" s="46"/>
      <c r="W882" s="30">
        <v>-0.40389466639846028</v>
      </c>
      <c r="X882" s="30">
        <v>0.30783003182305868</v>
      </c>
      <c r="Y882" s="30">
        <v>0.18724545196456174</v>
      </c>
      <c r="Z882" s="30">
        <v>-0.87001512515559343</v>
      </c>
      <c r="AA882" s="30">
        <v>-0.15107483095895002</v>
      </c>
      <c r="AB882" s="30">
        <v>3.2537326223956067E-2</v>
      </c>
      <c r="AC882" s="30">
        <v>2.9528162591935529E-2</v>
      </c>
      <c r="AD882" s="90">
        <v>0</v>
      </c>
      <c r="AF882" s="29">
        <f t="shared" si="1649"/>
        <v>0</v>
      </c>
      <c r="AG882" s="30">
        <f t="shared" si="1650"/>
        <v>-0.40389466639846028</v>
      </c>
      <c r="AH882" s="32">
        <f t="shared" si="1651"/>
        <v>-0.40389466639846028</v>
      </c>
      <c r="AI882" s="1086" t="e">
        <f t="shared" ref="AI882:AI889" si="1669">AH882/AF882</f>
        <v>#DIV/0!</v>
      </c>
      <c r="AK882" s="29">
        <f t="shared" si="1641"/>
        <v>0</v>
      </c>
      <c r="AL882" s="30">
        <f t="shared" si="1642"/>
        <v>0.30783003182305868</v>
      </c>
      <c r="AM882" s="32">
        <f t="shared" si="1653"/>
        <v>0.30783003182305868</v>
      </c>
      <c r="AN882" s="33" t="e">
        <f t="shared" si="1654"/>
        <v>#DIV/0!</v>
      </c>
      <c r="AP882" s="29">
        <f t="shared" si="1655"/>
        <v>0</v>
      </c>
      <c r="AQ882" s="30">
        <f t="shared" si="1656"/>
        <v>0.18724545196456174</v>
      </c>
      <c r="AR882" s="32">
        <f t="shared" si="1657"/>
        <v>0.18724545196456174</v>
      </c>
      <c r="AS882" s="33" t="e">
        <f t="shared" si="1658"/>
        <v>#DIV/0!</v>
      </c>
      <c r="AU882" s="31">
        <f t="shared" si="1659"/>
        <v>0</v>
      </c>
      <c r="AV882" s="25">
        <f t="shared" si="1660"/>
        <v>-0.87001512515559343</v>
      </c>
      <c r="AW882" s="32">
        <f t="shared" si="1661"/>
        <v>-0.87001512515559343</v>
      </c>
      <c r="AX882" s="33" t="e">
        <f t="shared" si="1662"/>
        <v>#DIV/0!</v>
      </c>
      <c r="AZ882" s="31">
        <f t="shared" si="1643"/>
        <v>0</v>
      </c>
      <c r="BA882" s="25">
        <f t="shared" si="1644"/>
        <v>-0.15107483095895002</v>
      </c>
      <c r="BB882" s="32">
        <f t="shared" si="1663"/>
        <v>-0.15107483095895002</v>
      </c>
      <c r="BC882" s="33" t="e">
        <f t="shared" si="1664"/>
        <v>#DIV/0!</v>
      </c>
      <c r="BE882" s="31">
        <f t="shared" si="1665"/>
        <v>0</v>
      </c>
      <c r="BF882" s="25">
        <f t="shared" si="1666"/>
        <v>3.2537326223956067E-2</v>
      </c>
      <c r="BG882" s="32">
        <f t="shared" si="1667"/>
        <v>3.2537326223956067E-2</v>
      </c>
      <c r="BH882" s="33" t="e">
        <f t="shared" si="1668"/>
        <v>#DIV/0!</v>
      </c>
      <c r="BJ882" s="31">
        <f t="shared" si="1645"/>
        <v>0</v>
      </c>
      <c r="BK882" s="25">
        <f t="shared" si="1646"/>
        <v>2.9528162591935529E-2</v>
      </c>
      <c r="BL882" s="32">
        <f t="shared" si="1647"/>
        <v>2.9528162591935529E-2</v>
      </c>
      <c r="BM882" s="33" t="e">
        <f t="shared" si="1648"/>
        <v>#DIV/0!</v>
      </c>
      <c r="BO882" s="62"/>
      <c r="BP882" s="62"/>
      <c r="BQ882" s="62"/>
      <c r="BR882" s="63"/>
    </row>
    <row r="883" spans="1:70">
      <c r="B883" s="1284"/>
      <c r="D883" s="5" t="s">
        <v>170</v>
      </c>
      <c r="E883" s="46"/>
      <c r="F883" s="46"/>
      <c r="G883" s="46"/>
      <c r="H883" s="46"/>
      <c r="I883" s="46"/>
      <c r="J883" s="46"/>
      <c r="K883" s="46"/>
      <c r="L883" s="46"/>
      <c r="N883" s="46"/>
      <c r="O883" s="46"/>
      <c r="P883" s="46"/>
      <c r="Q883" s="46"/>
      <c r="R883" s="46"/>
      <c r="S883" s="46"/>
      <c r="T883" s="46"/>
      <c r="U883" s="46"/>
      <c r="W883" s="30">
        <v>0.43930380607208136</v>
      </c>
      <c r="X883" s="30">
        <v>-6.6532897290818738E-2</v>
      </c>
      <c r="Y883" s="30">
        <v>-0.43496503010953413</v>
      </c>
      <c r="Z883" s="30">
        <v>-9.4324746703535687E-5</v>
      </c>
      <c r="AA883" s="30">
        <v>0</v>
      </c>
      <c r="AB883" s="30">
        <v>0</v>
      </c>
      <c r="AC883" s="30">
        <v>0</v>
      </c>
      <c r="AD883" s="90">
        <v>0</v>
      </c>
      <c r="AF883" s="29">
        <f t="shared" si="1649"/>
        <v>0</v>
      </c>
      <c r="AG883" s="30">
        <f t="shared" si="1650"/>
        <v>0.43930380607208136</v>
      </c>
      <c r="AH883" s="32">
        <f t="shared" si="1651"/>
        <v>0.43930380607208136</v>
      </c>
      <c r="AI883" s="1086" t="e">
        <f t="shared" si="1669"/>
        <v>#DIV/0!</v>
      </c>
      <c r="AK883" s="29">
        <f t="shared" si="1641"/>
        <v>0</v>
      </c>
      <c r="AL883" s="30">
        <f t="shared" si="1642"/>
        <v>-6.6532897290818738E-2</v>
      </c>
      <c r="AM883" s="32">
        <f t="shared" si="1653"/>
        <v>-6.6532897290818738E-2</v>
      </c>
      <c r="AN883" s="33" t="e">
        <f t="shared" si="1654"/>
        <v>#DIV/0!</v>
      </c>
      <c r="AP883" s="29">
        <f t="shared" si="1655"/>
        <v>0</v>
      </c>
      <c r="AQ883" s="30">
        <f t="shared" si="1656"/>
        <v>-0.43496503010953413</v>
      </c>
      <c r="AR883" s="32">
        <f t="shared" si="1657"/>
        <v>-0.43496503010953413</v>
      </c>
      <c r="AS883" s="33" t="e">
        <f t="shared" si="1658"/>
        <v>#DIV/0!</v>
      </c>
      <c r="AU883" s="31">
        <f t="shared" si="1659"/>
        <v>0</v>
      </c>
      <c r="AV883" s="25">
        <f t="shared" si="1660"/>
        <v>-9.4324746703535687E-5</v>
      </c>
      <c r="AW883" s="32">
        <f t="shared" si="1661"/>
        <v>-9.4324746703535687E-5</v>
      </c>
      <c r="AX883" s="33" t="e">
        <f t="shared" si="1662"/>
        <v>#DIV/0!</v>
      </c>
      <c r="AZ883" s="31">
        <f t="shared" si="1643"/>
        <v>0</v>
      </c>
      <c r="BA883" s="25">
        <f t="shared" si="1644"/>
        <v>0</v>
      </c>
      <c r="BB883" s="32">
        <f t="shared" si="1663"/>
        <v>0</v>
      </c>
      <c r="BC883" s="33" t="e">
        <f t="shared" si="1664"/>
        <v>#DIV/0!</v>
      </c>
      <c r="BE883" s="31">
        <f t="shared" si="1665"/>
        <v>0</v>
      </c>
      <c r="BF883" s="25">
        <f t="shared" si="1666"/>
        <v>0</v>
      </c>
      <c r="BG883" s="32">
        <f t="shared" si="1667"/>
        <v>0</v>
      </c>
      <c r="BH883" s="33" t="e">
        <f t="shared" si="1668"/>
        <v>#DIV/0!</v>
      </c>
      <c r="BJ883" s="31">
        <f t="shared" si="1645"/>
        <v>0</v>
      </c>
      <c r="BK883" s="25">
        <f t="shared" si="1646"/>
        <v>0</v>
      </c>
      <c r="BL883" s="32">
        <f t="shared" si="1647"/>
        <v>0</v>
      </c>
      <c r="BM883" s="33" t="e">
        <f t="shared" si="1648"/>
        <v>#DIV/0!</v>
      </c>
      <c r="BO883" s="62"/>
      <c r="BP883" s="62"/>
      <c r="BQ883" s="62"/>
      <c r="BR883" s="63"/>
    </row>
    <row r="884" spans="1:70">
      <c r="B884" s="1284"/>
      <c r="D884" s="5" t="s">
        <v>171</v>
      </c>
      <c r="E884" s="46"/>
      <c r="F884" s="46"/>
      <c r="G884" s="46"/>
      <c r="H884" s="46"/>
      <c r="I884" s="46"/>
      <c r="J884" s="46"/>
      <c r="K884" s="46"/>
      <c r="L884" s="46"/>
      <c r="N884" s="46"/>
      <c r="O884" s="46"/>
      <c r="P884" s="46"/>
      <c r="Q884" s="46"/>
      <c r="R884" s="46"/>
      <c r="S884" s="46"/>
      <c r="T884" s="46"/>
      <c r="U884" s="46"/>
      <c r="W884" s="30">
        <v>0</v>
      </c>
      <c r="X884" s="30">
        <v>0</v>
      </c>
      <c r="Y884" s="30">
        <v>0</v>
      </c>
      <c r="Z884" s="30">
        <v>0</v>
      </c>
      <c r="AA884" s="30">
        <v>0</v>
      </c>
      <c r="AB884" s="30">
        <v>0</v>
      </c>
      <c r="AC884" s="30">
        <v>0</v>
      </c>
      <c r="AD884" s="90">
        <v>0</v>
      </c>
      <c r="AF884" s="29">
        <f t="shared" si="1649"/>
        <v>0</v>
      </c>
      <c r="AG884" s="30">
        <f t="shared" si="1650"/>
        <v>0</v>
      </c>
      <c r="AH884" s="32">
        <f t="shared" si="1651"/>
        <v>0</v>
      </c>
      <c r="AI884" s="1086" t="e">
        <f t="shared" si="1669"/>
        <v>#DIV/0!</v>
      </c>
      <c r="AK884" s="29">
        <f t="shared" si="1641"/>
        <v>0</v>
      </c>
      <c r="AL884" s="30">
        <f t="shared" si="1642"/>
        <v>0</v>
      </c>
      <c r="AM884" s="32">
        <f t="shared" si="1653"/>
        <v>0</v>
      </c>
      <c r="AN884" s="33" t="e">
        <f t="shared" si="1654"/>
        <v>#DIV/0!</v>
      </c>
      <c r="AP884" s="29">
        <f t="shared" si="1655"/>
        <v>0</v>
      </c>
      <c r="AQ884" s="30">
        <f t="shared" si="1656"/>
        <v>0</v>
      </c>
      <c r="AR884" s="32">
        <f t="shared" si="1657"/>
        <v>0</v>
      </c>
      <c r="AS884" s="33" t="e">
        <f t="shared" si="1658"/>
        <v>#DIV/0!</v>
      </c>
      <c r="AU884" s="31">
        <f t="shared" si="1659"/>
        <v>0</v>
      </c>
      <c r="AV884" s="25">
        <f t="shared" si="1660"/>
        <v>0</v>
      </c>
      <c r="AW884" s="32">
        <f t="shared" si="1661"/>
        <v>0</v>
      </c>
      <c r="AX884" s="33" t="e">
        <f t="shared" si="1662"/>
        <v>#DIV/0!</v>
      </c>
      <c r="AZ884" s="31">
        <f t="shared" si="1643"/>
        <v>0</v>
      </c>
      <c r="BA884" s="25">
        <f t="shared" si="1644"/>
        <v>0</v>
      </c>
      <c r="BB884" s="32">
        <f t="shared" si="1663"/>
        <v>0</v>
      </c>
      <c r="BC884" s="33" t="e">
        <f t="shared" si="1664"/>
        <v>#DIV/0!</v>
      </c>
      <c r="BE884" s="31">
        <f t="shared" si="1665"/>
        <v>0</v>
      </c>
      <c r="BF884" s="25">
        <f t="shared" si="1666"/>
        <v>0</v>
      </c>
      <c r="BG884" s="32">
        <f t="shared" si="1667"/>
        <v>0</v>
      </c>
      <c r="BH884" s="33" t="e">
        <f t="shared" si="1668"/>
        <v>#DIV/0!</v>
      </c>
      <c r="BJ884" s="31">
        <f t="shared" si="1645"/>
        <v>0</v>
      </c>
      <c r="BK884" s="25">
        <f t="shared" si="1646"/>
        <v>0</v>
      </c>
      <c r="BL884" s="32">
        <f t="shared" si="1647"/>
        <v>0</v>
      </c>
      <c r="BM884" s="33" t="e">
        <f t="shared" si="1648"/>
        <v>#DIV/0!</v>
      </c>
      <c r="BO884" s="62"/>
      <c r="BP884" s="62"/>
      <c r="BQ884" s="62"/>
      <c r="BR884" s="63"/>
    </row>
    <row r="885" spans="1:70">
      <c r="B885" s="1284"/>
      <c r="D885" s="5" t="s">
        <v>172</v>
      </c>
      <c r="E885" s="46"/>
      <c r="F885" s="46"/>
      <c r="G885" s="46"/>
      <c r="H885" s="46"/>
      <c r="I885" s="46"/>
      <c r="J885" s="46"/>
      <c r="K885" s="46"/>
      <c r="L885" s="46"/>
      <c r="N885" s="46"/>
      <c r="O885" s="46"/>
      <c r="P885" s="46"/>
      <c r="Q885" s="46"/>
      <c r="R885" s="46"/>
      <c r="S885" s="46"/>
      <c r="T885" s="46"/>
      <c r="U885" s="46"/>
      <c r="W885" s="30">
        <v>1.5247964557696716</v>
      </c>
      <c r="X885" s="30">
        <v>0.70743599842229221</v>
      </c>
      <c r="Y885" s="30">
        <v>-0.1333857463847396</v>
      </c>
      <c r="Z885" s="30">
        <v>0</v>
      </c>
      <c r="AA885" s="30">
        <v>0</v>
      </c>
      <c r="AB885" s="30">
        <v>0</v>
      </c>
      <c r="AC885" s="30">
        <v>0</v>
      </c>
      <c r="AD885" s="90">
        <v>0</v>
      </c>
      <c r="AF885" s="29">
        <f t="shared" si="1649"/>
        <v>0</v>
      </c>
      <c r="AG885" s="30">
        <f t="shared" si="1650"/>
        <v>1.5247964557696716</v>
      </c>
      <c r="AH885" s="32">
        <f t="shared" si="1651"/>
        <v>1.5247964557696716</v>
      </c>
      <c r="AI885" s="1086" t="e">
        <f t="shared" si="1669"/>
        <v>#DIV/0!</v>
      </c>
      <c r="AK885" s="29">
        <f t="shared" si="1641"/>
        <v>0</v>
      </c>
      <c r="AL885" s="30">
        <f t="shared" si="1642"/>
        <v>0.70743599842229221</v>
      </c>
      <c r="AM885" s="32">
        <f t="shared" si="1653"/>
        <v>0.70743599842229221</v>
      </c>
      <c r="AN885" s="33" t="e">
        <f t="shared" si="1654"/>
        <v>#DIV/0!</v>
      </c>
      <c r="AP885" s="29">
        <f t="shared" si="1655"/>
        <v>0</v>
      </c>
      <c r="AQ885" s="30">
        <f t="shared" si="1656"/>
        <v>-0.1333857463847396</v>
      </c>
      <c r="AR885" s="32">
        <f t="shared" si="1657"/>
        <v>-0.1333857463847396</v>
      </c>
      <c r="AS885" s="33" t="e">
        <f t="shared" si="1658"/>
        <v>#DIV/0!</v>
      </c>
      <c r="AU885" s="31">
        <f t="shared" si="1659"/>
        <v>0</v>
      </c>
      <c r="AV885" s="25">
        <f t="shared" si="1660"/>
        <v>0</v>
      </c>
      <c r="AW885" s="32">
        <f t="shared" si="1661"/>
        <v>0</v>
      </c>
      <c r="AX885" s="33" t="e">
        <f t="shared" si="1662"/>
        <v>#DIV/0!</v>
      </c>
      <c r="AZ885" s="31">
        <f t="shared" si="1643"/>
        <v>0</v>
      </c>
      <c r="BA885" s="25">
        <f t="shared" si="1644"/>
        <v>0</v>
      </c>
      <c r="BB885" s="32">
        <f t="shared" si="1663"/>
        <v>0</v>
      </c>
      <c r="BC885" s="33" t="e">
        <f t="shared" si="1664"/>
        <v>#DIV/0!</v>
      </c>
      <c r="BE885" s="31">
        <f t="shared" si="1665"/>
        <v>0</v>
      </c>
      <c r="BF885" s="25">
        <f t="shared" si="1666"/>
        <v>0</v>
      </c>
      <c r="BG885" s="32">
        <f t="shared" si="1667"/>
        <v>0</v>
      </c>
      <c r="BH885" s="33" t="e">
        <f t="shared" si="1668"/>
        <v>#DIV/0!</v>
      </c>
      <c r="BJ885" s="31">
        <f t="shared" si="1645"/>
        <v>0</v>
      </c>
      <c r="BK885" s="25">
        <f t="shared" si="1646"/>
        <v>0</v>
      </c>
      <c r="BL885" s="32">
        <f t="shared" si="1647"/>
        <v>0</v>
      </c>
      <c r="BM885" s="33" t="e">
        <f t="shared" si="1648"/>
        <v>#DIV/0!</v>
      </c>
      <c r="BO885" s="62"/>
      <c r="BP885" s="62"/>
      <c r="BQ885" s="62"/>
      <c r="BR885" s="63"/>
    </row>
    <row r="886" spans="1:70">
      <c r="B886" s="1284"/>
      <c r="D886" s="5" t="s">
        <v>28</v>
      </c>
      <c r="E886" s="46"/>
      <c r="F886" s="46"/>
      <c r="G886" s="46"/>
      <c r="H886" s="46"/>
      <c r="I886" s="46"/>
      <c r="J886" s="46"/>
      <c r="K886" s="46"/>
      <c r="L886" s="46"/>
      <c r="N886" s="46"/>
      <c r="O886" s="46"/>
      <c r="P886" s="46"/>
      <c r="Q886" s="46"/>
      <c r="R886" s="46"/>
      <c r="S886" s="46"/>
      <c r="T886" s="46"/>
      <c r="U886" s="46"/>
      <c r="W886" s="30">
        <v>0</v>
      </c>
      <c r="X886" s="30">
        <v>0</v>
      </c>
      <c r="Y886" s="30">
        <v>0</v>
      </c>
      <c r="Z886" s="30">
        <v>0</v>
      </c>
      <c r="AA886" s="30">
        <v>0</v>
      </c>
      <c r="AB886" s="30">
        <v>0</v>
      </c>
      <c r="AC886" s="30">
        <v>0</v>
      </c>
      <c r="AD886" s="90">
        <v>0</v>
      </c>
      <c r="AF886" s="29">
        <f t="shared" si="1649"/>
        <v>0</v>
      </c>
      <c r="AG886" s="30">
        <f t="shared" si="1650"/>
        <v>0</v>
      </c>
      <c r="AH886" s="32">
        <f t="shared" si="1651"/>
        <v>0</v>
      </c>
      <c r="AI886" s="1086" t="e">
        <f t="shared" si="1669"/>
        <v>#DIV/0!</v>
      </c>
      <c r="AK886" s="29">
        <f t="shared" si="1641"/>
        <v>0</v>
      </c>
      <c r="AL886" s="30">
        <f t="shared" si="1642"/>
        <v>0</v>
      </c>
      <c r="AM886" s="32">
        <f t="shared" si="1653"/>
        <v>0</v>
      </c>
      <c r="AN886" s="33" t="e">
        <f t="shared" si="1654"/>
        <v>#DIV/0!</v>
      </c>
      <c r="AP886" s="29">
        <f t="shared" si="1655"/>
        <v>0</v>
      </c>
      <c r="AQ886" s="30">
        <f t="shared" si="1656"/>
        <v>0</v>
      </c>
      <c r="AR886" s="32">
        <f t="shared" si="1657"/>
        <v>0</v>
      </c>
      <c r="AS886" s="33" t="e">
        <f t="shared" si="1658"/>
        <v>#DIV/0!</v>
      </c>
      <c r="AU886" s="31">
        <f t="shared" si="1659"/>
        <v>0</v>
      </c>
      <c r="AV886" s="25">
        <f t="shared" si="1660"/>
        <v>0</v>
      </c>
      <c r="AW886" s="32">
        <f t="shared" si="1661"/>
        <v>0</v>
      </c>
      <c r="AX886" s="33" t="e">
        <f t="shared" si="1662"/>
        <v>#DIV/0!</v>
      </c>
      <c r="AZ886" s="31">
        <f t="shared" si="1643"/>
        <v>0</v>
      </c>
      <c r="BA886" s="25">
        <f t="shared" si="1644"/>
        <v>0</v>
      </c>
      <c r="BB886" s="32">
        <f t="shared" si="1663"/>
        <v>0</v>
      </c>
      <c r="BC886" s="33" t="e">
        <f t="shared" si="1664"/>
        <v>#DIV/0!</v>
      </c>
      <c r="BE886" s="31">
        <f t="shared" si="1665"/>
        <v>0</v>
      </c>
      <c r="BF886" s="25">
        <f t="shared" si="1666"/>
        <v>0</v>
      </c>
      <c r="BG886" s="32">
        <f t="shared" si="1667"/>
        <v>0</v>
      </c>
      <c r="BH886" s="33" t="e">
        <f t="shared" si="1668"/>
        <v>#DIV/0!</v>
      </c>
      <c r="BJ886" s="31">
        <f t="shared" si="1645"/>
        <v>0</v>
      </c>
      <c r="BK886" s="25">
        <f t="shared" si="1646"/>
        <v>0</v>
      </c>
      <c r="BL886" s="32">
        <f t="shared" si="1647"/>
        <v>0</v>
      </c>
      <c r="BM886" s="33" t="e">
        <f t="shared" si="1648"/>
        <v>#DIV/0!</v>
      </c>
      <c r="BO886" s="62"/>
      <c r="BP886" s="62"/>
      <c r="BQ886" s="62"/>
      <c r="BR886" s="63"/>
    </row>
    <row r="887" spans="1:70">
      <c r="B887" s="1284"/>
      <c r="D887" s="5" t="s">
        <v>173</v>
      </c>
      <c r="E887" s="46"/>
      <c r="F887" s="46"/>
      <c r="G887" s="46"/>
      <c r="H887" s="46"/>
      <c r="I887" s="46"/>
      <c r="J887" s="46"/>
      <c r="K887" s="46"/>
      <c r="L887" s="46"/>
      <c r="N887" s="46"/>
      <c r="O887" s="46"/>
      <c r="P887" s="46"/>
      <c r="Q887" s="46"/>
      <c r="R887" s="46"/>
      <c r="S887" s="46"/>
      <c r="T887" s="46"/>
      <c r="U887" s="46"/>
      <c r="W887" s="30">
        <v>7.1433310414807156</v>
      </c>
      <c r="X887" s="30">
        <v>3.919390156979834</v>
      </c>
      <c r="Y887" s="30">
        <v>9.3472086861058956E-2</v>
      </c>
      <c r="Z887" s="30">
        <v>0</v>
      </c>
      <c r="AA887" s="30">
        <v>0</v>
      </c>
      <c r="AB887" s="30">
        <v>0</v>
      </c>
      <c r="AC887" s="30">
        <v>0</v>
      </c>
      <c r="AD887" s="90">
        <v>0</v>
      </c>
      <c r="AF887" s="29">
        <f t="shared" si="1649"/>
        <v>0</v>
      </c>
      <c r="AG887" s="30">
        <f t="shared" si="1650"/>
        <v>7.1433310414807156</v>
      </c>
      <c r="AH887" s="32">
        <f t="shared" si="1651"/>
        <v>7.1433310414807156</v>
      </c>
      <c r="AI887" s="1086" t="e">
        <f t="shared" si="1669"/>
        <v>#DIV/0!</v>
      </c>
      <c r="AK887" s="29">
        <f t="shared" si="1641"/>
        <v>0</v>
      </c>
      <c r="AL887" s="30">
        <f t="shared" si="1642"/>
        <v>3.919390156979834</v>
      </c>
      <c r="AM887" s="32">
        <f t="shared" si="1653"/>
        <v>3.919390156979834</v>
      </c>
      <c r="AN887" s="33" t="e">
        <f t="shared" si="1654"/>
        <v>#DIV/0!</v>
      </c>
      <c r="AP887" s="29">
        <f t="shared" si="1655"/>
        <v>0</v>
      </c>
      <c r="AQ887" s="30">
        <f t="shared" si="1656"/>
        <v>9.3472086861058956E-2</v>
      </c>
      <c r="AR887" s="32">
        <f t="shared" si="1657"/>
        <v>9.3472086861058956E-2</v>
      </c>
      <c r="AS887" s="33" t="e">
        <f t="shared" si="1658"/>
        <v>#DIV/0!</v>
      </c>
      <c r="AU887" s="31">
        <f t="shared" si="1659"/>
        <v>0</v>
      </c>
      <c r="AV887" s="25">
        <f t="shared" si="1660"/>
        <v>0</v>
      </c>
      <c r="AW887" s="32">
        <f t="shared" si="1661"/>
        <v>0</v>
      </c>
      <c r="AX887" s="33" t="e">
        <f t="shared" si="1662"/>
        <v>#DIV/0!</v>
      </c>
      <c r="AZ887" s="31">
        <f t="shared" si="1643"/>
        <v>0</v>
      </c>
      <c r="BA887" s="25">
        <f t="shared" si="1644"/>
        <v>0</v>
      </c>
      <c r="BB887" s="32">
        <f t="shared" si="1663"/>
        <v>0</v>
      </c>
      <c r="BC887" s="33" t="e">
        <f t="shared" si="1664"/>
        <v>#DIV/0!</v>
      </c>
      <c r="BE887" s="31">
        <f t="shared" si="1665"/>
        <v>0</v>
      </c>
      <c r="BF887" s="25">
        <f t="shared" si="1666"/>
        <v>0</v>
      </c>
      <c r="BG887" s="32">
        <f t="shared" si="1667"/>
        <v>0</v>
      </c>
      <c r="BH887" s="33" t="e">
        <f t="shared" si="1668"/>
        <v>#DIV/0!</v>
      </c>
      <c r="BJ887" s="31">
        <f t="shared" si="1645"/>
        <v>0</v>
      </c>
      <c r="BK887" s="25">
        <f t="shared" si="1646"/>
        <v>0</v>
      </c>
      <c r="BL887" s="32">
        <f t="shared" si="1647"/>
        <v>0</v>
      </c>
      <c r="BM887" s="33" t="e">
        <f t="shared" si="1648"/>
        <v>#DIV/0!</v>
      </c>
      <c r="BO887" s="62"/>
      <c r="BP887" s="62"/>
      <c r="BQ887" s="62"/>
      <c r="BR887" s="63"/>
    </row>
    <row r="888" spans="1:70">
      <c r="B888" s="1284"/>
      <c r="D888" s="4" t="s">
        <v>174</v>
      </c>
      <c r="E888" s="46"/>
      <c r="F888" s="46"/>
      <c r="G888" s="46"/>
      <c r="H888" s="46"/>
      <c r="I888" s="46"/>
      <c r="J888" s="46"/>
      <c r="K888" s="46"/>
      <c r="L888" s="46"/>
      <c r="M888" s="1"/>
      <c r="N888" s="46"/>
      <c r="O888" s="46"/>
      <c r="P888" s="46"/>
      <c r="Q888" s="46"/>
      <c r="R888" s="46"/>
      <c r="S888" s="46"/>
      <c r="T888" s="46"/>
      <c r="U888" s="46"/>
      <c r="V888" s="1"/>
      <c r="W888" s="85">
        <f t="shared" ref="W888" si="1670">SUM(W874:W887)</f>
        <v>49.919111895503178</v>
      </c>
      <c r="X888" s="85">
        <f t="shared" ref="X888:AC888" si="1671">SUM(X874:X887)</f>
        <v>22.352565725921647</v>
      </c>
      <c r="Y888" s="85">
        <f t="shared" si="1671"/>
        <v>12.968025952874191</v>
      </c>
      <c r="Z888" s="85">
        <f t="shared" si="1671"/>
        <v>8.2229763644768212</v>
      </c>
      <c r="AA888" s="85">
        <f t="shared" si="1671"/>
        <v>5.6350588724701947</v>
      </c>
      <c r="AB888" s="85">
        <f t="shared" si="1671"/>
        <v>5.0003362293923352</v>
      </c>
      <c r="AC888" s="85">
        <f t="shared" si="1671"/>
        <v>1.6495067309770175</v>
      </c>
      <c r="AD888" s="91">
        <f t="shared" ref="AD888" si="1672">SUM(AD874:AD887)</f>
        <v>0</v>
      </c>
      <c r="AE888" s="1"/>
      <c r="AF888" s="81">
        <f t="shared" si="1649"/>
        <v>0</v>
      </c>
      <c r="AG888" s="85">
        <f t="shared" si="1650"/>
        <v>49.919111895503178</v>
      </c>
      <c r="AH888" s="34">
        <f>AG888-AF888</f>
        <v>49.919111895503178</v>
      </c>
      <c r="AI888" s="35" t="e">
        <f t="shared" si="1669"/>
        <v>#DIV/0!</v>
      </c>
      <c r="AK888" s="81">
        <f t="shared" si="1641"/>
        <v>0</v>
      </c>
      <c r="AL888" s="85">
        <f t="shared" si="1642"/>
        <v>22.352565725921647</v>
      </c>
      <c r="AM888" s="34">
        <f>AL888-AK888</f>
        <v>22.352565725921647</v>
      </c>
      <c r="AN888" s="35" t="e">
        <f>AM888/AK888</f>
        <v>#DIV/0!</v>
      </c>
      <c r="AP888" s="81">
        <f t="shared" si="1655"/>
        <v>0</v>
      </c>
      <c r="AQ888" s="85">
        <f t="shared" si="1656"/>
        <v>12.968025952874191</v>
      </c>
      <c r="AR888" s="34">
        <f t="shared" si="1657"/>
        <v>12.968025952874191</v>
      </c>
      <c r="AS888" s="35" t="e">
        <f t="shared" si="1658"/>
        <v>#DIV/0!</v>
      </c>
      <c r="AU888" s="949">
        <f t="shared" si="1659"/>
        <v>0</v>
      </c>
      <c r="AV888" s="843">
        <f t="shared" si="1660"/>
        <v>8.2229763644768212</v>
      </c>
      <c r="AW888" s="34">
        <f t="shared" si="1661"/>
        <v>8.2229763644768212</v>
      </c>
      <c r="AX888" s="35" t="e">
        <f t="shared" si="1662"/>
        <v>#DIV/0!</v>
      </c>
      <c r="AZ888" s="949">
        <f t="shared" si="1643"/>
        <v>0</v>
      </c>
      <c r="BA888" s="843">
        <f t="shared" si="1644"/>
        <v>5.6350588724701947</v>
      </c>
      <c r="BB888" s="34">
        <f t="shared" si="1663"/>
        <v>5.6350588724701947</v>
      </c>
      <c r="BC888" s="35" t="e">
        <f t="shared" si="1664"/>
        <v>#DIV/0!</v>
      </c>
      <c r="BE888" s="31">
        <f t="shared" si="1665"/>
        <v>0</v>
      </c>
      <c r="BF888" s="25">
        <f t="shared" si="1666"/>
        <v>5.0003362293923352</v>
      </c>
      <c r="BG888" s="32">
        <f t="shared" si="1667"/>
        <v>5.0003362293923352</v>
      </c>
      <c r="BH888" s="33" t="e">
        <f t="shared" si="1668"/>
        <v>#DIV/0!</v>
      </c>
      <c r="BJ888" s="31">
        <f t="shared" si="1645"/>
        <v>0</v>
      </c>
      <c r="BK888" s="25">
        <f t="shared" si="1646"/>
        <v>1.6495067309770175</v>
      </c>
      <c r="BL888" s="32">
        <f t="shared" si="1647"/>
        <v>1.6495067309770175</v>
      </c>
      <c r="BM888" s="33" t="e">
        <f t="shared" si="1648"/>
        <v>#DIV/0!</v>
      </c>
      <c r="BO888" s="62"/>
      <c r="BP888" s="62"/>
      <c r="BQ888" s="62"/>
      <c r="BR888" s="63"/>
    </row>
    <row r="889" spans="1:70">
      <c r="B889" s="1284"/>
      <c r="D889" s="4" t="s">
        <v>724</v>
      </c>
      <c r="E889" s="46"/>
      <c r="F889" s="46"/>
      <c r="G889" s="46"/>
      <c r="H889" s="46"/>
      <c r="I889" s="46"/>
      <c r="J889" s="46"/>
      <c r="K889" s="46"/>
      <c r="L889" s="46"/>
      <c r="M889" s="1"/>
      <c r="N889" s="46"/>
      <c r="O889" s="46"/>
      <c r="P889" s="46"/>
      <c r="Q889" s="46"/>
      <c r="R889" s="46"/>
      <c r="S889" s="46"/>
      <c r="T889" s="46"/>
      <c r="U889" s="46"/>
      <c r="V889" s="1"/>
      <c r="W889" s="85">
        <f t="shared" ref="W889" si="1673">W888-SUM(W877:W880)</f>
        <v>49.720014016667406</v>
      </c>
      <c r="X889" s="85">
        <f t="shared" ref="X889:AD889" si="1674">X888-SUM(X877:X880)</f>
        <v>22.352565725921647</v>
      </c>
      <c r="Y889" s="85">
        <f t="shared" si="1674"/>
        <v>12.968025952874191</v>
      </c>
      <c r="Z889" s="85">
        <f>Z888-SUM(Z877:Z880)</f>
        <v>8.2229763644768212</v>
      </c>
      <c r="AA889" s="85">
        <f>AA888-SUM(AA877:AA880)</f>
        <v>5.6350588724701947</v>
      </c>
      <c r="AB889" s="85">
        <f>AB888-SUM(AB877:AB880)</f>
        <v>5.0003362293923352</v>
      </c>
      <c r="AC889" s="85">
        <f>AC888-SUM(AC877:AC880)</f>
        <v>1.6495067309770175</v>
      </c>
      <c r="AD889" s="91">
        <f t="shared" si="1674"/>
        <v>0</v>
      </c>
      <c r="AE889" s="1"/>
      <c r="AF889" s="81">
        <f t="shared" si="1649"/>
        <v>0</v>
      </c>
      <c r="AG889" s="85">
        <f t="shared" si="1650"/>
        <v>49.720014016667406</v>
      </c>
      <c r="AH889" s="34">
        <f>AG889-AF889</f>
        <v>49.720014016667406</v>
      </c>
      <c r="AI889" s="35" t="e">
        <f t="shared" si="1669"/>
        <v>#DIV/0!</v>
      </c>
      <c r="AK889" s="81">
        <f t="shared" si="1641"/>
        <v>0</v>
      </c>
      <c r="AL889" s="85">
        <f t="shared" si="1642"/>
        <v>22.352565725921647</v>
      </c>
      <c r="AM889" s="34">
        <f>AL889-AK889</f>
        <v>22.352565725921647</v>
      </c>
      <c r="AN889" s="35" t="e">
        <f>AM889/AK889</f>
        <v>#DIV/0!</v>
      </c>
      <c r="AP889" s="81">
        <f t="shared" si="1655"/>
        <v>0</v>
      </c>
      <c r="AQ889" s="85">
        <f>Y889</f>
        <v>12.968025952874191</v>
      </c>
      <c r="AR889" s="34">
        <f t="shared" si="1657"/>
        <v>12.968025952874191</v>
      </c>
      <c r="AS889" s="35" t="e">
        <f t="shared" si="1658"/>
        <v>#DIV/0!</v>
      </c>
      <c r="AU889" s="949">
        <f t="shared" si="1659"/>
        <v>0</v>
      </c>
      <c r="AV889" s="843">
        <f t="shared" si="1660"/>
        <v>8.2229763644768212</v>
      </c>
      <c r="AW889" s="34">
        <f t="shared" si="1661"/>
        <v>8.2229763644768212</v>
      </c>
      <c r="AX889" s="35" t="e">
        <f t="shared" si="1662"/>
        <v>#DIV/0!</v>
      </c>
      <c r="AZ889" s="949">
        <f t="shared" si="1643"/>
        <v>0</v>
      </c>
      <c r="BA889" s="843">
        <f t="shared" si="1644"/>
        <v>5.6350588724701947</v>
      </c>
      <c r="BB889" s="34">
        <f t="shared" si="1663"/>
        <v>5.6350588724701947</v>
      </c>
      <c r="BC889" s="35" t="e">
        <f t="shared" si="1664"/>
        <v>#DIV/0!</v>
      </c>
      <c r="BE889" s="31">
        <f t="shared" si="1665"/>
        <v>0</v>
      </c>
      <c r="BF889" s="25">
        <f t="shared" si="1666"/>
        <v>5.0003362293923352</v>
      </c>
      <c r="BG889" s="32">
        <f t="shared" si="1667"/>
        <v>5.0003362293923352</v>
      </c>
      <c r="BH889" s="33" t="e">
        <f t="shared" si="1668"/>
        <v>#DIV/0!</v>
      </c>
      <c r="BJ889" s="31">
        <f t="shared" si="1645"/>
        <v>0</v>
      </c>
      <c r="BK889" s="25">
        <f t="shared" si="1646"/>
        <v>1.6495067309770175</v>
      </c>
      <c r="BL889" s="32">
        <f t="shared" si="1647"/>
        <v>1.6495067309770175</v>
      </c>
      <c r="BM889" s="33" t="e">
        <f t="shared" si="1648"/>
        <v>#DIV/0!</v>
      </c>
      <c r="BO889" s="62"/>
      <c r="BP889" s="62"/>
      <c r="BQ889" s="62"/>
      <c r="BR889" s="63"/>
    </row>
    <row r="890" spans="1:70" ht="14.5" customHeight="1">
      <c r="B890" s="1284"/>
      <c r="O890" s="9"/>
      <c r="P890" s="9"/>
      <c r="Q890" s="9"/>
      <c r="R890" s="9"/>
    </row>
    <row r="891" spans="1:70" ht="14.5" customHeight="1">
      <c r="B891" s="1284"/>
      <c r="D891" s="64" t="s">
        <v>111</v>
      </c>
      <c r="BE891" s="1"/>
      <c r="BJ891" s="1"/>
    </row>
    <row r="892" spans="1:70" ht="14.5" customHeight="1">
      <c r="B892" s="1284"/>
      <c r="E892" s="1300" t="s">
        <v>733</v>
      </c>
      <c r="F892" s="1301"/>
      <c r="G892" s="1301"/>
      <c r="H892" s="1301"/>
      <c r="I892" s="1301"/>
      <c r="J892" s="1301"/>
      <c r="K892" s="1301"/>
      <c r="L892" s="1302"/>
      <c r="N892" s="245" t="s">
        <v>291</v>
      </c>
      <c r="O892" s="246"/>
      <c r="P892" s="246"/>
      <c r="Q892" s="246"/>
      <c r="R892" s="246"/>
      <c r="S892" s="246"/>
      <c r="T892" s="246"/>
      <c r="U892" s="247"/>
      <c r="W892" s="1079" t="s">
        <v>292</v>
      </c>
      <c r="X892" s="1080"/>
      <c r="Y892" s="1080"/>
      <c r="Z892" s="1080"/>
      <c r="AA892" s="1080"/>
      <c r="AB892" s="1080"/>
      <c r="AC892" s="1080"/>
      <c r="AD892" s="1081"/>
      <c r="AF892" s="102" t="s">
        <v>297</v>
      </c>
      <c r="AG892" s="102" t="s">
        <v>298</v>
      </c>
      <c r="AH892" s="1304" t="s">
        <v>602</v>
      </c>
      <c r="AI892" s="1304"/>
      <c r="AK892" s="102" t="s">
        <v>297</v>
      </c>
      <c r="AL892" s="102" t="s">
        <v>298</v>
      </c>
      <c r="AM892" s="1304" t="s">
        <v>602</v>
      </c>
      <c r="AN892" s="1304"/>
      <c r="AP892" s="6" t="s">
        <v>297</v>
      </c>
      <c r="AQ892" s="5" t="s">
        <v>298</v>
      </c>
      <c r="AR892" s="1303" t="s">
        <v>602</v>
      </c>
      <c r="AS892" s="1303"/>
      <c r="AU892" s="6" t="s">
        <v>297</v>
      </c>
      <c r="AV892" s="5" t="s">
        <v>298</v>
      </c>
      <c r="AW892" s="1303" t="s">
        <v>602</v>
      </c>
      <c r="AX892" s="1303"/>
      <c r="AZ892" s="6" t="s">
        <v>297</v>
      </c>
      <c r="BA892" s="5" t="s">
        <v>298</v>
      </c>
      <c r="BB892" s="1303" t="s">
        <v>602</v>
      </c>
      <c r="BC892" s="1303"/>
      <c r="BE892" s="6" t="s">
        <v>297</v>
      </c>
      <c r="BF892" s="5" t="s">
        <v>298</v>
      </c>
      <c r="BG892" s="1082" t="s">
        <v>602</v>
      </c>
      <c r="BH892" s="1082"/>
      <c r="BJ892" s="6" t="s">
        <v>297</v>
      </c>
      <c r="BK892" s="5" t="s">
        <v>298</v>
      </c>
      <c r="BL892" s="1082" t="s">
        <v>602</v>
      </c>
      <c r="BM892" s="1082"/>
      <c r="BO892" s="6" t="s">
        <v>297</v>
      </c>
      <c r="BP892" s="5" t="s">
        <v>298</v>
      </c>
      <c r="BQ892" s="1303" t="s">
        <v>602</v>
      </c>
      <c r="BR892" s="1303"/>
    </row>
    <row r="893" spans="1:70" ht="14.5" customHeight="1">
      <c r="A893" s="1"/>
      <c r="B893" s="1284"/>
      <c r="E893" s="196" t="s">
        <v>137</v>
      </c>
      <c r="F893" s="102" t="s">
        <v>138</v>
      </c>
      <c r="G893" s="102" t="s">
        <v>139</v>
      </c>
      <c r="H893" s="102" t="s">
        <v>140</v>
      </c>
      <c r="I893" s="102" t="s">
        <v>141</v>
      </c>
      <c r="J893" s="102" t="s">
        <v>126</v>
      </c>
      <c r="K893" s="102" t="s">
        <v>142</v>
      </c>
      <c r="L893" s="197" t="s">
        <v>143</v>
      </c>
      <c r="N893" s="196" t="s">
        <v>137</v>
      </c>
      <c r="O893" s="102" t="s">
        <v>138</v>
      </c>
      <c r="P893" s="102" t="s">
        <v>139</v>
      </c>
      <c r="Q893" s="102" t="s">
        <v>140</v>
      </c>
      <c r="R893" s="102" t="s">
        <v>141</v>
      </c>
      <c r="S893" s="102" t="s">
        <v>126</v>
      </c>
      <c r="T893" s="102" t="s">
        <v>142</v>
      </c>
      <c r="U893" s="197" t="s">
        <v>143</v>
      </c>
      <c r="W893" s="196" t="s">
        <v>137</v>
      </c>
      <c r="X893" s="1078" t="s">
        <v>138</v>
      </c>
      <c r="Y893" s="1078" t="s">
        <v>139</v>
      </c>
      <c r="Z893" s="1078" t="s">
        <v>140</v>
      </c>
      <c r="AA893" s="1078" t="s">
        <v>141</v>
      </c>
      <c r="AB893" s="1078" t="s">
        <v>126</v>
      </c>
      <c r="AC893" s="1078" t="s">
        <v>142</v>
      </c>
      <c r="AD893" s="197" t="s">
        <v>143</v>
      </c>
      <c r="AF893" s="102" t="s">
        <v>734</v>
      </c>
      <c r="AG893" s="102" t="s">
        <v>734</v>
      </c>
      <c r="AH893" s="102" t="s">
        <v>734</v>
      </c>
      <c r="AI893" s="102" t="s">
        <v>606</v>
      </c>
      <c r="AK893" s="102" t="s">
        <v>734</v>
      </c>
      <c r="AL893" s="102" t="s">
        <v>734</v>
      </c>
      <c r="AM893" s="102" t="s">
        <v>734</v>
      </c>
      <c r="AN893" s="102" t="s">
        <v>606</v>
      </c>
      <c r="AP893" s="5" t="s">
        <v>734</v>
      </c>
      <c r="AQ893" s="5" t="s">
        <v>734</v>
      </c>
      <c r="AR893" s="5" t="s">
        <v>734</v>
      </c>
      <c r="AS893" s="5" t="s">
        <v>606</v>
      </c>
      <c r="AU893" s="5" t="s">
        <v>734</v>
      </c>
      <c r="AV893" s="5" t="s">
        <v>734</v>
      </c>
      <c r="AW893" s="5" t="s">
        <v>734</v>
      </c>
      <c r="AX893" s="5" t="s">
        <v>606</v>
      </c>
      <c r="AZ893" s="5" t="s">
        <v>734</v>
      </c>
      <c r="BA893" s="5" t="s">
        <v>734</v>
      </c>
      <c r="BB893" s="5" t="s">
        <v>734</v>
      </c>
      <c r="BC893" s="5" t="s">
        <v>606</v>
      </c>
      <c r="BE893" s="5" t="s">
        <v>734</v>
      </c>
      <c r="BF893" s="5" t="s">
        <v>734</v>
      </c>
      <c r="BG893" s="5" t="s">
        <v>734</v>
      </c>
      <c r="BH893" s="5" t="s">
        <v>606</v>
      </c>
      <c r="BJ893" s="5" t="s">
        <v>734</v>
      </c>
      <c r="BK893" s="5" t="s">
        <v>734</v>
      </c>
      <c r="BL893" s="5" t="s">
        <v>734</v>
      </c>
      <c r="BM893" s="5" t="s">
        <v>606</v>
      </c>
      <c r="BO893" s="5" t="s">
        <v>734</v>
      </c>
      <c r="BP893" s="5" t="s">
        <v>734</v>
      </c>
      <c r="BQ893" s="5" t="s">
        <v>734</v>
      </c>
      <c r="BR893" s="5" t="s">
        <v>606</v>
      </c>
    </row>
    <row r="894" spans="1:70">
      <c r="B894" s="1284"/>
      <c r="D894" s="5" t="s">
        <v>161</v>
      </c>
      <c r="E894" s="87">
        <f>SUM(E854, E834, E814, E774,E754,E734,E714,E694,E674,E654,E634,E614,E594,E574,E554,E534,E514,E494,E474,E454,E434,E414,E394,E374,E794,E354,E334,E314,E294,)</f>
        <v>303.18911369629933</v>
      </c>
      <c r="F894" s="87">
        <f t="shared" ref="E894:L907" si="1675">SUM(F854, F834, F814, F774,F754,F734,F714,F694,F674,F654,F634,F614,F594,F574,F554,F534,F514,F494,F474,F454,F434,F414,F394,F374,F794,F354,F334,F314,F294,)</f>
        <v>289.64614932396722</v>
      </c>
      <c r="G894" s="87">
        <f>SUM(G854, G834, G814, G774,G754,G734,G714,G694,G674,G654,G634,G614,G594,G574,G554,G534,G514,G494,G474,G454,G434,G414,G394,G374,G794,G354,G334,G314,G294,)</f>
        <v>290.88407449889979</v>
      </c>
      <c r="H894" s="87">
        <f t="shared" si="1675"/>
        <v>293.97471972802686</v>
      </c>
      <c r="I894" s="87">
        <f t="shared" si="1675"/>
        <v>296.35536214326561</v>
      </c>
      <c r="J894" s="87">
        <f t="shared" si="1675"/>
        <v>298.09634394690625</v>
      </c>
      <c r="K894" s="87">
        <f t="shared" si="1675"/>
        <v>311.38539107478732</v>
      </c>
      <c r="L894" s="87">
        <f t="shared" si="1675"/>
        <v>303.35285023045861</v>
      </c>
      <c r="N894" s="29">
        <f>SUM(N854,N834,N814,N774,N754,N734,N714,N694,N674,N654,N634,N614,N594,N574,N554,N534,N514,N494,N474,N454,N434,N414,N394,N374,N794,N354,N334,N314,N294,N874)</f>
        <v>300.96121306905945</v>
      </c>
      <c r="O894" s="29">
        <f t="shared" ref="N894:U907" si="1676">SUM(O854,O834,O814,O774,O754,O734,O714,O694,O674,O654,O634,O614,O594,O574,O554,O534,O514,O494,O474,O454,O434,O414,O394,O374,O794,O354,O334,O314,O294,O874)</f>
        <v>287.36191766087927</v>
      </c>
      <c r="P894" s="29">
        <f t="shared" si="1676"/>
        <v>289.01807578214385</v>
      </c>
      <c r="Q894" s="29">
        <f t="shared" si="1676"/>
        <v>292.40290600710722</v>
      </c>
      <c r="R894" s="29">
        <f>SUM(R854,R834,R814,R774,R754,R734,R714,R694,R674,R654,R634,R614,R594,R574,R554,R534,R514,R494,R474,R454,R434,R414,R394,R374,R794,R354,R334,R314,R294,R874)</f>
        <v>293.02770465886545</v>
      </c>
      <c r="S894" s="29">
        <f t="shared" si="1676"/>
        <v>292.89576315042558</v>
      </c>
      <c r="T894" s="29">
        <f t="shared" si="1676"/>
        <v>295.9503803639787</v>
      </c>
      <c r="U894" s="29">
        <f t="shared" si="1676"/>
        <v>285.80920724566801</v>
      </c>
      <c r="W894" s="30">
        <f>SUM(W854,W834,W814,W774,W754,W734,W714,W694,W674,W654,W634,W614,W594,W574,W554,W534,W514,W494,W474,W454,W434,W414,W394,W374,W794,W354,W334,W314,W294,W874)</f>
        <v>293.19351909588397</v>
      </c>
      <c r="X894" s="30">
        <f t="shared" ref="X894:AD894" si="1677">SUM(X854,X834,X814,X774,X754,X734,X714,X694,X674,X654,X634,X614,X594,X574,X554,X534,X514,X494,X474,X454,X434,X414,X394,X374,X794,X354,X334,X314,X294,X874)</f>
        <v>248.46950431715328</v>
      </c>
      <c r="Y894" s="30">
        <f t="shared" si="1677"/>
        <v>280.32691586934573</v>
      </c>
      <c r="Z894" s="30">
        <f t="shared" ref="Z894:Z907" si="1678">SUM(Z854,Z834,Z814,Z774,Z754,Z734,Z714,Z694,Z674,Z654,Z634,Z614,Z594,Z574,Z554,Z534,Z514,Z494,Z474,Z454,Z434,Z414,Z394,Z374,Z794,Z354,Z334,Z314,Z294,Z874)</f>
        <v>289.66489303160569</v>
      </c>
      <c r="AA894" s="30">
        <f t="shared" si="1677"/>
        <v>268.81052364282954</v>
      </c>
      <c r="AB894" s="30">
        <f t="shared" ref="AB894:AC907" si="1679">SUM(AB854,AB834,AB814,AB774,AB754,AB734,AB714,AB694,AB674,AB654,AB634,AB614,AB594,AB574,AB554,AB534,AB514,AB494,AB474,AB454,AB434,AB414,AB394,AB374,AB794,AB354,AB334,AB314,AB294,AB874)</f>
        <v>256.1404433339959</v>
      </c>
      <c r="AC894" s="30">
        <f t="shared" si="1679"/>
        <v>270.72835515288955</v>
      </c>
      <c r="AD894" s="90">
        <f t="shared" si="1677"/>
        <v>0</v>
      </c>
      <c r="AF894" s="29">
        <f>N894</f>
        <v>300.96121306905945</v>
      </c>
      <c r="AG894" s="30">
        <f>W894</f>
        <v>293.19351909588397</v>
      </c>
      <c r="AH894" s="32">
        <f>AG894-AF894</f>
        <v>-7.7676939731754828</v>
      </c>
      <c r="AI894" s="33">
        <f>AH894/AF894</f>
        <v>-2.5809618103157649E-2</v>
      </c>
      <c r="AK894" s="29">
        <f t="shared" ref="AK894:AK909" si="1680">O894</f>
        <v>287.36191766087927</v>
      </c>
      <c r="AL894" s="30">
        <f t="shared" ref="AL894:AL909" si="1681">X894</f>
        <v>248.46950431715328</v>
      </c>
      <c r="AM894" s="32">
        <f>AL894-AK894</f>
        <v>-38.892413343725991</v>
      </c>
      <c r="AN894" s="33">
        <f>AM894/AK894</f>
        <v>-0.13534296284041225</v>
      </c>
      <c r="AP894" s="29">
        <f>P894</f>
        <v>289.01807578214385</v>
      </c>
      <c r="AQ894" s="30">
        <f>Y894</f>
        <v>280.32691586934573</v>
      </c>
      <c r="AR894" s="32">
        <f>AQ894-AP894</f>
        <v>-8.6911599127981276</v>
      </c>
      <c r="AS894" s="33">
        <f>AR894/AP894</f>
        <v>-3.0071336850742005E-2</v>
      </c>
      <c r="AU894" s="31">
        <f>Q894</f>
        <v>292.40290600710722</v>
      </c>
      <c r="AV894" s="25">
        <f>Z894</f>
        <v>289.66489303160569</v>
      </c>
      <c r="AW894" s="32">
        <f>AV894-AU894</f>
        <v>-2.7380129755015332</v>
      </c>
      <c r="AX894" s="33">
        <f>AW894/AU894</f>
        <v>-9.3638364026210549E-3</v>
      </c>
      <c r="AZ894" s="31">
        <f t="shared" ref="AZ894:AZ909" si="1682">R894</f>
        <v>293.02770465886545</v>
      </c>
      <c r="BA894" s="25">
        <f t="shared" ref="BA894:BA909" si="1683">AA894</f>
        <v>268.81052364282954</v>
      </c>
      <c r="BB894" s="32">
        <f>BA894-AZ894</f>
        <v>-24.217181016035909</v>
      </c>
      <c r="BC894" s="33">
        <f>BB894/AZ894</f>
        <v>-8.2644680455142852E-2</v>
      </c>
      <c r="BE894" s="31">
        <f>S894</f>
        <v>292.89576315042558</v>
      </c>
      <c r="BF894" s="25">
        <f>AB894</f>
        <v>256.1404433339959</v>
      </c>
      <c r="BG894" s="32">
        <f>BF894-BE894</f>
        <v>-36.755319816429676</v>
      </c>
      <c r="BH894" s="33">
        <f>BG894/BE894</f>
        <v>-0.12548942129133106</v>
      </c>
      <c r="BJ894" s="31">
        <f t="shared" ref="BJ894:BJ909" si="1684">T894</f>
        <v>295.9503803639787</v>
      </c>
      <c r="BK894" s="25">
        <f t="shared" ref="BK894:BK909" si="1685">AC894</f>
        <v>270.72835515288955</v>
      </c>
      <c r="BL894" s="32">
        <f t="shared" ref="BL894:BL909" si="1686">BK894-BJ894</f>
        <v>-25.222025211089147</v>
      </c>
      <c r="BM894" s="33">
        <f t="shared" ref="BM894:BM909" si="1687">BL894/BJ894</f>
        <v>-8.5223831035694184E-2</v>
      </c>
      <c r="BO894" s="62"/>
      <c r="BP894" s="62"/>
      <c r="BQ894" s="62"/>
      <c r="BR894" s="63"/>
    </row>
    <row r="895" spans="1:70">
      <c r="B895" s="1284"/>
      <c r="D895" s="5" t="s">
        <v>162</v>
      </c>
      <c r="E895" s="87">
        <f t="shared" si="1675"/>
        <v>242.94242778283504</v>
      </c>
      <c r="F895" s="87">
        <f t="shared" si="1675"/>
        <v>237.71525092968341</v>
      </c>
      <c r="G895" s="87">
        <f t="shared" si="1675"/>
        <v>223.49308334451885</v>
      </c>
      <c r="H895" s="87">
        <f t="shared" si="1675"/>
        <v>223.83275377767328</v>
      </c>
      <c r="I895" s="87">
        <f t="shared" si="1675"/>
        <v>236.37284116118229</v>
      </c>
      <c r="J895" s="87">
        <f t="shared" si="1675"/>
        <v>220.584977291809</v>
      </c>
      <c r="K895" s="87">
        <f t="shared" si="1675"/>
        <v>204.13084436803956</v>
      </c>
      <c r="L895" s="87">
        <f t="shared" si="1675"/>
        <v>190.68565634547204</v>
      </c>
      <c r="N895" s="29">
        <f t="shared" si="1676"/>
        <v>232.0609884790583</v>
      </c>
      <c r="O895" s="29">
        <f t="shared" si="1676"/>
        <v>226.13261369013378</v>
      </c>
      <c r="P895" s="29">
        <f>SUM(P855,P835,P815,P775,P755,P735,P715,P695,P675,P655,P635,P615,P595,P575,P555,P535,P515,P495,P475,P455,P435,P415,P395,P375,P795,P355,P335,P315,P295,P875)</f>
        <v>211.72416947587408</v>
      </c>
      <c r="Q895" s="29">
        <f t="shared" si="1676"/>
        <v>209.29653426778097</v>
      </c>
      <c r="R895" s="29">
        <f t="shared" si="1676"/>
        <v>206.41064352775035</v>
      </c>
      <c r="S895" s="29">
        <f t="shared" si="1676"/>
        <v>189.54303955786645</v>
      </c>
      <c r="T895" s="29">
        <f t="shared" si="1676"/>
        <v>177.58966628708043</v>
      </c>
      <c r="U895" s="29">
        <f t="shared" si="1676"/>
        <v>174.11776369450868</v>
      </c>
      <c r="W895" s="30">
        <f>SUM(W855,W835,W815,W775,W755,W735,W715,W695,W675,W655,W635,W615,W595,W575,W555,W535,W515,W495,W475,W455,W435,W415,W395,W375,W795,W355,W335,W315,W295,W875)</f>
        <v>229.00012520972115</v>
      </c>
      <c r="X895" s="30">
        <f t="shared" ref="W895:X907" si="1688">SUM(X855,X835,X815,X775,X755,X735,X715,X695,X675,X655,X635,X615,X595,X575,X555,X535,X515,X495,X475,X455,X435,X415,X395,X375,X795,X355,X335,X315,X295,X875)</f>
        <v>222.57547233438126</v>
      </c>
      <c r="Y895" s="30">
        <f t="shared" ref="Y895:AD895" si="1689">SUM(Y855,Y835,Y815,Y775,Y755,Y735,Y715,Y695,Y675,Y655,Y635,Y615,Y595,Y575,Y555,Y535,Y515,Y495,Y475,Y455,Y435,Y415,Y395,Y375,Y795,Y355,Y335,Y315,Y295,Y875)</f>
        <v>201.88375432249953</v>
      </c>
      <c r="Z895" s="30">
        <f t="shared" si="1678"/>
        <v>208.11899967261161</v>
      </c>
      <c r="AA895" s="30">
        <f t="shared" si="1689"/>
        <v>233.4875393352541</v>
      </c>
      <c r="AB895" s="30">
        <f t="shared" si="1679"/>
        <v>228.23408893000109</v>
      </c>
      <c r="AC895" s="30">
        <f t="shared" si="1679"/>
        <v>208.67023956314461</v>
      </c>
      <c r="AD895" s="90">
        <f t="shared" si="1689"/>
        <v>0</v>
      </c>
      <c r="AF895" s="29">
        <f t="shared" ref="AF895:AF909" si="1690">N895</f>
        <v>232.0609884790583</v>
      </c>
      <c r="AG895" s="30">
        <f t="shared" ref="AG895:AG909" si="1691">W895</f>
        <v>229.00012520972115</v>
      </c>
      <c r="AH895" s="32">
        <f t="shared" ref="AH895:AH909" si="1692">AG895-AF895</f>
        <v>-3.0608632693371476</v>
      </c>
      <c r="AI895" s="33">
        <f t="shared" ref="AI895:AI909" si="1693">AH895/AF895</f>
        <v>-1.3189908779576567E-2</v>
      </c>
      <c r="AK895" s="29">
        <f t="shared" si="1680"/>
        <v>226.13261369013378</v>
      </c>
      <c r="AL895" s="30">
        <f t="shared" si="1681"/>
        <v>222.57547233438126</v>
      </c>
      <c r="AM895" s="32">
        <f t="shared" ref="AM895:AM909" si="1694">AL895-AK895</f>
        <v>-3.5571413557525204</v>
      </c>
      <c r="AN895" s="33">
        <f t="shared" ref="AN895:AN909" si="1695">AM895/AK895</f>
        <v>-1.5730333177976792E-2</v>
      </c>
      <c r="AP895" s="29">
        <f t="shared" ref="AP895:AP909" si="1696">P895</f>
        <v>211.72416947587408</v>
      </c>
      <c r="AQ895" s="30">
        <f t="shared" ref="AQ895:AQ908" si="1697">Y895</f>
        <v>201.88375432249953</v>
      </c>
      <c r="AR895" s="32">
        <f t="shared" ref="AR895:AR909" si="1698">AQ895-AP895</f>
        <v>-9.8404151533745505</v>
      </c>
      <c r="AS895" s="33">
        <f t="shared" ref="AS895:AS909" si="1699">AR895/AP895</f>
        <v>-4.6477523930001124E-2</v>
      </c>
      <c r="AU895" s="31">
        <f t="shared" ref="AU895:AU909" si="1700">Q895</f>
        <v>209.29653426778097</v>
      </c>
      <c r="AV895" s="25">
        <f t="shared" ref="AV895:AV909" si="1701">Z895</f>
        <v>208.11899967261161</v>
      </c>
      <c r="AW895" s="32">
        <f t="shared" ref="AW895:AW909" si="1702">AV895-AU895</f>
        <v>-1.1775345951693623</v>
      </c>
      <c r="AX895" s="33">
        <f t="shared" ref="AX895:AX909" si="1703">AW895/AU895</f>
        <v>-5.6261542948570055E-3</v>
      </c>
      <c r="AZ895" s="31">
        <f t="shared" si="1682"/>
        <v>206.41064352775035</v>
      </c>
      <c r="BA895" s="25">
        <f t="shared" si="1683"/>
        <v>233.4875393352541</v>
      </c>
      <c r="BB895" s="32">
        <f t="shared" ref="BB895:BB909" si="1704">BA895-AZ895</f>
        <v>27.076895807503746</v>
      </c>
      <c r="BC895" s="33">
        <f t="shared" ref="BC895:BC909" si="1705">BB895/AZ895</f>
        <v>0.13117974608641469</v>
      </c>
      <c r="BE895" s="31">
        <f t="shared" ref="BE895:BE909" si="1706">S895</f>
        <v>189.54303955786645</v>
      </c>
      <c r="BF895" s="25">
        <f t="shared" ref="BF895:BF909" si="1707">AB895</f>
        <v>228.23408893000109</v>
      </c>
      <c r="BG895" s="32">
        <f t="shared" ref="BG895:BG909" si="1708">BF895-BE895</f>
        <v>38.691049372134643</v>
      </c>
      <c r="BH895" s="33">
        <f t="shared" ref="BH895:BH909" si="1709">BG895/BE895</f>
        <v>0.20412804111607843</v>
      </c>
      <c r="BJ895" s="31">
        <f t="shared" si="1684"/>
        <v>177.58966628708043</v>
      </c>
      <c r="BK895" s="25">
        <f t="shared" si="1685"/>
        <v>208.67023956314461</v>
      </c>
      <c r="BL895" s="32">
        <f t="shared" si="1686"/>
        <v>31.080573276064172</v>
      </c>
      <c r="BM895" s="33">
        <f t="shared" si="1687"/>
        <v>0.17501341111718316</v>
      </c>
      <c r="BO895" s="62"/>
      <c r="BP895" s="62"/>
      <c r="BQ895" s="62"/>
      <c r="BR895" s="63"/>
    </row>
    <row r="896" spans="1:70">
      <c r="B896" s="1284"/>
      <c r="D896" s="5" t="s">
        <v>163</v>
      </c>
      <c r="E896" s="87">
        <f t="shared" si="1675"/>
        <v>315.16137625787155</v>
      </c>
      <c r="F896" s="87">
        <f t="shared" si="1675"/>
        <v>299.55545005242482</v>
      </c>
      <c r="G896" s="87">
        <f t="shared" si="1675"/>
        <v>316.13156068692581</v>
      </c>
      <c r="H896" s="87">
        <f t="shared" si="1675"/>
        <v>312.48347864020667</v>
      </c>
      <c r="I896" s="87">
        <f t="shared" si="1675"/>
        <v>290.54778619440071</v>
      </c>
      <c r="J896" s="87">
        <f t="shared" si="1675"/>
        <v>280.22346016109009</v>
      </c>
      <c r="K896" s="87">
        <f t="shared" si="1675"/>
        <v>257.08522933298644</v>
      </c>
      <c r="L896" s="87">
        <f t="shared" si="1675"/>
        <v>266.13267796123654</v>
      </c>
      <c r="N896" s="29">
        <f t="shared" si="1676"/>
        <v>306.04655190210258</v>
      </c>
      <c r="O896" s="29">
        <f t="shared" si="1676"/>
        <v>288.26987722252613</v>
      </c>
      <c r="P896" s="29">
        <f t="shared" si="1676"/>
        <v>283.38624897146042</v>
      </c>
      <c r="Q896" s="29">
        <f t="shared" si="1676"/>
        <v>285.36167471693307</v>
      </c>
      <c r="R896" s="29">
        <f t="shared" si="1676"/>
        <v>271.2391343893014</v>
      </c>
      <c r="S896" s="29">
        <f t="shared" si="1676"/>
        <v>257.16320669522031</v>
      </c>
      <c r="T896" s="29">
        <f t="shared" si="1676"/>
        <v>240.0438971979161</v>
      </c>
      <c r="U896" s="29">
        <f t="shared" si="1676"/>
        <v>245.80865453427518</v>
      </c>
      <c r="W896" s="30">
        <f>SUM(W856,W836,W816,W776,W756,W736,W716,W696,W676,W656,W636,W616,W596,W576,W556,W536,W516,W496,W476,W456,W436,W416,W396,W376,W796,W356,W336,W316,W296,W876)</f>
        <v>300.44603820716861</v>
      </c>
      <c r="X896" s="30">
        <f t="shared" si="1688"/>
        <v>259.24427073064589</v>
      </c>
      <c r="Y896" s="30">
        <f t="shared" ref="Y896:AD896" si="1710">SUM(Y856,Y836,Y816,Y776,Y756,Y736,Y716,Y696,Y676,Y656,Y636,Y616,Y596,Y576,Y556,Y536,Y516,Y496,Y476,Y456,Y436,Y416,Y396,Y376,Y796,Y356,Y336,Y316,Y296,Y876)</f>
        <v>250.86162410760423</v>
      </c>
      <c r="Z896" s="30">
        <f t="shared" si="1678"/>
        <v>263.60792244434816</v>
      </c>
      <c r="AA896" s="30">
        <f t="shared" si="1710"/>
        <v>290.21318499728466</v>
      </c>
      <c r="AB896" s="30">
        <f t="shared" si="1679"/>
        <v>283.08916557824716</v>
      </c>
      <c r="AC896" s="30">
        <f t="shared" si="1679"/>
        <v>278.90189632159894</v>
      </c>
      <c r="AD896" s="90">
        <f t="shared" si="1710"/>
        <v>0</v>
      </c>
      <c r="AF896" s="29">
        <f t="shared" si="1690"/>
        <v>306.04655190210258</v>
      </c>
      <c r="AG896" s="30">
        <f t="shared" si="1691"/>
        <v>300.44603820716861</v>
      </c>
      <c r="AH896" s="32">
        <f t="shared" si="1692"/>
        <v>-5.6005136949339658</v>
      </c>
      <c r="AI896" s="33">
        <f t="shared" si="1693"/>
        <v>-1.8299548418782528E-2</v>
      </c>
      <c r="AK896" s="29">
        <f t="shared" si="1680"/>
        <v>288.26987722252613</v>
      </c>
      <c r="AL896" s="30">
        <f t="shared" si="1681"/>
        <v>259.24427073064589</v>
      </c>
      <c r="AM896" s="32">
        <f t="shared" si="1694"/>
        <v>-29.025606491880239</v>
      </c>
      <c r="AN896" s="33">
        <f t="shared" si="1695"/>
        <v>-0.10068900285920025</v>
      </c>
      <c r="AP896" s="29">
        <f t="shared" si="1696"/>
        <v>283.38624897146042</v>
      </c>
      <c r="AQ896" s="30">
        <f t="shared" si="1697"/>
        <v>250.86162410760423</v>
      </c>
      <c r="AR896" s="32">
        <f t="shared" si="1698"/>
        <v>-32.524624863856189</v>
      </c>
      <c r="AS896" s="33">
        <f t="shared" si="1699"/>
        <v>-0.11477135881470281</v>
      </c>
      <c r="AU896" s="31">
        <f t="shared" si="1700"/>
        <v>285.36167471693307</v>
      </c>
      <c r="AV896" s="25">
        <f t="shared" si="1701"/>
        <v>263.60792244434816</v>
      </c>
      <c r="AW896" s="32">
        <f t="shared" si="1702"/>
        <v>-21.753752272584904</v>
      </c>
      <c r="AX896" s="33">
        <f t="shared" si="1703"/>
        <v>-7.6232214063657017E-2</v>
      </c>
      <c r="AZ896" s="31">
        <f t="shared" si="1682"/>
        <v>271.2391343893014</v>
      </c>
      <c r="BA896" s="25">
        <f t="shared" si="1683"/>
        <v>290.21318499728466</v>
      </c>
      <c r="BB896" s="32">
        <f t="shared" si="1704"/>
        <v>18.974050607983258</v>
      </c>
      <c r="BC896" s="33">
        <f t="shared" si="1705"/>
        <v>6.9953219142597514E-2</v>
      </c>
      <c r="BE896" s="31">
        <f t="shared" si="1706"/>
        <v>257.16320669522031</v>
      </c>
      <c r="BF896" s="25">
        <f t="shared" si="1707"/>
        <v>283.08916557824716</v>
      </c>
      <c r="BG896" s="32">
        <f t="shared" si="1708"/>
        <v>25.925958883026851</v>
      </c>
      <c r="BH896" s="33">
        <f t="shared" si="1709"/>
        <v>0.10081519520696161</v>
      </c>
      <c r="BJ896" s="31">
        <f t="shared" si="1684"/>
        <v>240.0438971979161</v>
      </c>
      <c r="BK896" s="25">
        <f t="shared" si="1685"/>
        <v>278.90189632159894</v>
      </c>
      <c r="BL896" s="32">
        <f t="shared" si="1686"/>
        <v>38.857999123682845</v>
      </c>
      <c r="BM896" s="33">
        <f t="shared" si="1687"/>
        <v>0.16187872125590613</v>
      </c>
      <c r="BO896" s="62"/>
      <c r="BP896" s="62"/>
      <c r="BQ896" s="62"/>
      <c r="BR896" s="63"/>
    </row>
    <row r="897" spans="1:70">
      <c r="B897" s="1284"/>
      <c r="D897" s="5" t="s">
        <v>164</v>
      </c>
      <c r="E897" s="87">
        <f t="shared" si="1675"/>
        <v>331.05059075768975</v>
      </c>
      <c r="F897" s="87">
        <f t="shared" si="1675"/>
        <v>331.49239253619163</v>
      </c>
      <c r="G897" s="87">
        <f t="shared" si="1675"/>
        <v>321.95882596040809</v>
      </c>
      <c r="H897" s="87">
        <f t="shared" si="1675"/>
        <v>327.6235327593655</v>
      </c>
      <c r="I897" s="87">
        <f t="shared" si="1675"/>
        <v>337.58757385366272</v>
      </c>
      <c r="J897" s="87">
        <f t="shared" si="1675"/>
        <v>344.02076217542447</v>
      </c>
      <c r="K897" s="87">
        <f t="shared" si="1675"/>
        <v>340.9481767641816</v>
      </c>
      <c r="L897" s="87">
        <f t="shared" si="1675"/>
        <v>344.43963692539518</v>
      </c>
      <c r="N897" s="29">
        <f t="shared" si="1676"/>
        <v>330.04112907680457</v>
      </c>
      <c r="O897" s="29">
        <f t="shared" si="1676"/>
        <v>331.50850301053373</v>
      </c>
      <c r="P897" s="29">
        <f t="shared" si="1676"/>
        <v>321.44359260806658</v>
      </c>
      <c r="Q897" s="29">
        <f t="shared" si="1676"/>
        <v>327.30652304094292</v>
      </c>
      <c r="R897" s="29">
        <f t="shared" si="1676"/>
        <v>335.883019662327</v>
      </c>
      <c r="S897" s="29">
        <f t="shared" si="1676"/>
        <v>334.61594980481254</v>
      </c>
      <c r="T897" s="29">
        <f t="shared" si="1676"/>
        <v>332.5309037568511</v>
      </c>
      <c r="U897" s="29">
        <f>SUM(U857,U837,U817,U777,U757,U737,U717,U697,U677,U657,U637,U617,U597,U577,U557,U537,U517,U497,U477,U457,U437,U417,U397,U377,U797,U357,U337,U317,U297,U877)</f>
        <v>336.01372895514709</v>
      </c>
      <c r="W897" s="30">
        <f t="shared" si="1688"/>
        <v>377.01063941210253</v>
      </c>
      <c r="X897" s="30">
        <f t="shared" si="1688"/>
        <v>357.77028847285953</v>
      </c>
      <c r="Y897" s="30">
        <f t="shared" ref="Y897:AD897" si="1711">SUM(Y857,Y837,Y817,Y777,Y757,Y737,Y717,Y697,Y677,Y657,Y637,Y617,Y597,Y577,Y557,Y537,Y517,Y497,Y477,Y457,Y437,Y417,Y397,Y377,Y797,Y357,Y337,Y317,Y297,Y877)</f>
        <v>329.7070724889781</v>
      </c>
      <c r="Z897" s="30">
        <f t="shared" si="1678"/>
        <v>286.85376479944085</v>
      </c>
      <c r="AA897" s="30">
        <f t="shared" si="1711"/>
        <v>285.40702632861047</v>
      </c>
      <c r="AB897" s="30">
        <f t="shared" si="1679"/>
        <v>327.22694182875034</v>
      </c>
      <c r="AC897" s="30">
        <f t="shared" si="1679"/>
        <v>356.92390000000006</v>
      </c>
      <c r="AD897" s="90">
        <f t="shared" si="1711"/>
        <v>0</v>
      </c>
      <c r="AF897" s="29">
        <f t="shared" si="1690"/>
        <v>330.04112907680457</v>
      </c>
      <c r="AG897" s="30">
        <f t="shared" si="1691"/>
        <v>377.01063941210253</v>
      </c>
      <c r="AH897" s="32">
        <f t="shared" si="1692"/>
        <v>46.969510335297969</v>
      </c>
      <c r="AI897" s="33">
        <f t="shared" si="1693"/>
        <v>0.14231411238557359</v>
      </c>
      <c r="AK897" s="29">
        <f t="shared" si="1680"/>
        <v>331.50850301053373</v>
      </c>
      <c r="AL897" s="30">
        <f t="shared" si="1681"/>
        <v>357.77028847285953</v>
      </c>
      <c r="AM897" s="32">
        <f t="shared" si="1694"/>
        <v>26.261785462325804</v>
      </c>
      <c r="AN897" s="33">
        <f t="shared" si="1695"/>
        <v>7.9219040307666952E-2</v>
      </c>
      <c r="AP897" s="29">
        <f t="shared" si="1696"/>
        <v>321.44359260806658</v>
      </c>
      <c r="AQ897" s="30">
        <f t="shared" si="1697"/>
        <v>329.7070724889781</v>
      </c>
      <c r="AR897" s="32">
        <f t="shared" si="1698"/>
        <v>8.2634798809115182</v>
      </c>
      <c r="AS897" s="33">
        <f t="shared" si="1699"/>
        <v>2.5707402701248144E-2</v>
      </c>
      <c r="AU897" s="31">
        <f t="shared" si="1700"/>
        <v>327.30652304094292</v>
      </c>
      <c r="AV897" s="25">
        <f t="shared" si="1701"/>
        <v>286.85376479944085</v>
      </c>
      <c r="AW897" s="32">
        <f t="shared" si="1702"/>
        <v>-40.452758241502067</v>
      </c>
      <c r="AX897" s="33">
        <f t="shared" si="1703"/>
        <v>-0.12359288738172143</v>
      </c>
      <c r="AZ897" s="31">
        <f t="shared" si="1682"/>
        <v>335.883019662327</v>
      </c>
      <c r="BA897" s="25">
        <f t="shared" si="1683"/>
        <v>285.40702632861047</v>
      </c>
      <c r="BB897" s="32">
        <f t="shared" si="1704"/>
        <v>-50.475993333716531</v>
      </c>
      <c r="BC897" s="33">
        <f t="shared" si="1705"/>
        <v>-0.15027849095932722</v>
      </c>
      <c r="BE897" s="31">
        <f t="shared" si="1706"/>
        <v>334.61594980481254</v>
      </c>
      <c r="BF897" s="25">
        <f t="shared" si="1707"/>
        <v>327.22694182875034</v>
      </c>
      <c r="BG897" s="32">
        <f t="shared" si="1708"/>
        <v>-7.3890079760622029</v>
      </c>
      <c r="BH897" s="33">
        <f t="shared" si="1709"/>
        <v>-2.2082055503846554E-2</v>
      </c>
      <c r="BJ897" s="31">
        <f t="shared" si="1684"/>
        <v>332.5309037568511</v>
      </c>
      <c r="BK897" s="25">
        <f t="shared" si="1685"/>
        <v>356.92390000000006</v>
      </c>
      <c r="BL897" s="32">
        <f t="shared" si="1686"/>
        <v>24.392996243148957</v>
      </c>
      <c r="BM897" s="33">
        <f t="shared" si="1687"/>
        <v>7.3355576782677873E-2</v>
      </c>
      <c r="BO897" s="62"/>
      <c r="BP897" s="62"/>
      <c r="BQ897" s="62"/>
      <c r="BR897" s="63"/>
    </row>
    <row r="898" spans="1:70">
      <c r="B898" s="1284"/>
      <c r="D898" s="5" t="s">
        <v>165</v>
      </c>
      <c r="E898" s="87">
        <f t="shared" si="1675"/>
        <v>362.60575026086485</v>
      </c>
      <c r="F898" s="87">
        <f t="shared" si="1675"/>
        <v>354.43543520062462</v>
      </c>
      <c r="G898" s="87">
        <f t="shared" si="1675"/>
        <v>315.57136498180546</v>
      </c>
      <c r="H898" s="87">
        <f t="shared" si="1675"/>
        <v>320.91740626136919</v>
      </c>
      <c r="I898" s="87">
        <f t="shared" si="1675"/>
        <v>317.30197829061785</v>
      </c>
      <c r="J898" s="87">
        <f t="shared" si="1675"/>
        <v>329.96024272055183</v>
      </c>
      <c r="K898" s="87">
        <f t="shared" si="1675"/>
        <v>346.68357237886443</v>
      </c>
      <c r="L898" s="87">
        <f t="shared" si="1675"/>
        <v>337.11281177730365</v>
      </c>
      <c r="N898" s="29">
        <f t="shared" si="1676"/>
        <v>361.20831891454981</v>
      </c>
      <c r="O898" s="29">
        <f t="shared" si="1676"/>
        <v>353.55440078647831</v>
      </c>
      <c r="P898" s="29">
        <f t="shared" si="1676"/>
        <v>314.29456433446603</v>
      </c>
      <c r="Q898" s="29">
        <f t="shared" si="1676"/>
        <v>320.14849090960763</v>
      </c>
      <c r="R898" s="29">
        <f t="shared" si="1676"/>
        <v>315.70332707254886</v>
      </c>
      <c r="S898" s="29">
        <f t="shared" si="1676"/>
        <v>324.73255454726859</v>
      </c>
      <c r="T898" s="29">
        <f t="shared" si="1676"/>
        <v>342.35808749096338</v>
      </c>
      <c r="U898" s="29">
        <f t="shared" si="1676"/>
        <v>332.78777966905614</v>
      </c>
      <c r="W898" s="30">
        <f t="shared" si="1688"/>
        <v>373.61856236870409</v>
      </c>
      <c r="X898" s="30">
        <f t="shared" si="1688"/>
        <v>360.83217562718875</v>
      </c>
      <c r="Y898" s="30">
        <f t="shared" ref="Y898:AD898" si="1712">SUM(Y858,Y838,Y818,Y778,Y758,Y738,Y718,Y698,Y678,Y658,Y638,Y618,Y598,Y578,Y558,Y538,Y518,Y498,Y478,Y458,Y438,Y418,Y398,Y378,Y798,Y358,Y338,Y318,Y298,Y878)</f>
        <v>339.97295032519963</v>
      </c>
      <c r="Z898" s="30">
        <f t="shared" si="1678"/>
        <v>296.70027002202551</v>
      </c>
      <c r="AA898" s="30">
        <f t="shared" si="1712"/>
        <v>313.9044878895686</v>
      </c>
      <c r="AB898" s="30">
        <f t="shared" si="1679"/>
        <v>319.60516325148643</v>
      </c>
      <c r="AC898" s="30">
        <f t="shared" si="1679"/>
        <v>328.67520000000007</v>
      </c>
      <c r="AD898" s="90">
        <f t="shared" si="1712"/>
        <v>0</v>
      </c>
      <c r="AF898" s="29">
        <f t="shared" si="1690"/>
        <v>361.20831891454981</v>
      </c>
      <c r="AG898" s="30">
        <f t="shared" si="1691"/>
        <v>373.61856236870409</v>
      </c>
      <c r="AH898" s="32">
        <f t="shared" si="1692"/>
        <v>12.410243454154283</v>
      </c>
      <c r="AI898" s="33">
        <f t="shared" si="1693"/>
        <v>3.4357579281251674E-2</v>
      </c>
      <c r="AK898" s="29">
        <f t="shared" si="1680"/>
        <v>353.55440078647831</v>
      </c>
      <c r="AL898" s="30">
        <f t="shared" si="1681"/>
        <v>360.83217562718875</v>
      </c>
      <c r="AM898" s="32">
        <f t="shared" si="1694"/>
        <v>7.2777748407104355</v>
      </c>
      <c r="AN898" s="33">
        <f t="shared" si="1695"/>
        <v>2.0584596951759324E-2</v>
      </c>
      <c r="AP898" s="29">
        <f t="shared" si="1696"/>
        <v>314.29456433446603</v>
      </c>
      <c r="AQ898" s="30">
        <f t="shared" si="1697"/>
        <v>339.97295032519963</v>
      </c>
      <c r="AR898" s="32">
        <f t="shared" si="1698"/>
        <v>25.678385990733602</v>
      </c>
      <c r="AS898" s="33">
        <f t="shared" si="1699"/>
        <v>8.170165476806393E-2</v>
      </c>
      <c r="AU898" s="31">
        <f t="shared" si="1700"/>
        <v>320.14849090960763</v>
      </c>
      <c r="AV898" s="25">
        <f t="shared" si="1701"/>
        <v>296.70027002202551</v>
      </c>
      <c r="AW898" s="32">
        <f t="shared" si="1702"/>
        <v>-23.448220887582124</v>
      </c>
      <c r="AX898" s="33">
        <f t="shared" si="1703"/>
        <v>-7.3241703626217042E-2</v>
      </c>
      <c r="AZ898" s="31">
        <f t="shared" si="1682"/>
        <v>315.70332707254886</v>
      </c>
      <c r="BA898" s="25">
        <f t="shared" si="1683"/>
        <v>313.9044878895686</v>
      </c>
      <c r="BB898" s="32">
        <f t="shared" si="1704"/>
        <v>-1.7988391829802595</v>
      </c>
      <c r="BC898" s="33">
        <f t="shared" si="1705"/>
        <v>-5.6978784470234139E-3</v>
      </c>
      <c r="BE898" s="31">
        <f t="shared" si="1706"/>
        <v>324.73255454726859</v>
      </c>
      <c r="BF898" s="25">
        <f t="shared" si="1707"/>
        <v>319.60516325148643</v>
      </c>
      <c r="BG898" s="32">
        <f t="shared" si="1708"/>
        <v>-5.1273912957821608</v>
      </c>
      <c r="BH898" s="33">
        <f t="shared" si="1709"/>
        <v>-1.5789581992882114E-2</v>
      </c>
      <c r="BJ898" s="31">
        <f t="shared" si="1684"/>
        <v>342.35808749096338</v>
      </c>
      <c r="BK898" s="25">
        <f t="shared" si="1685"/>
        <v>328.67520000000007</v>
      </c>
      <c r="BL898" s="32">
        <f t="shared" si="1686"/>
        <v>-13.68288749096331</v>
      </c>
      <c r="BM898" s="33">
        <f t="shared" si="1687"/>
        <v>-3.9966596353078622E-2</v>
      </c>
      <c r="BO898" s="62"/>
      <c r="BP898" s="62"/>
      <c r="BQ898" s="62"/>
      <c r="BR898" s="63"/>
    </row>
    <row r="899" spans="1:70">
      <c r="B899" s="1284"/>
      <c r="D899" s="5" t="s">
        <v>166</v>
      </c>
      <c r="E899" s="87">
        <f t="shared" si="1675"/>
        <v>187.03799080948903</v>
      </c>
      <c r="F899" s="87">
        <f t="shared" si="1675"/>
        <v>186.9734810611715</v>
      </c>
      <c r="G899" s="87">
        <f t="shared" si="1675"/>
        <v>178.08147704723294</v>
      </c>
      <c r="H899" s="87">
        <f t="shared" si="1675"/>
        <v>189.52003621670295</v>
      </c>
      <c r="I899" s="87">
        <f t="shared" si="1675"/>
        <v>173.61861320332775</v>
      </c>
      <c r="J899" s="87">
        <f t="shared" si="1675"/>
        <v>174.01214949669165</v>
      </c>
      <c r="K899" s="87">
        <f t="shared" si="1675"/>
        <v>168.14753365437397</v>
      </c>
      <c r="L899" s="87">
        <f t="shared" si="1675"/>
        <v>171.09487696259291</v>
      </c>
      <c r="N899" s="29">
        <f t="shared" si="1676"/>
        <v>185.66449801681443</v>
      </c>
      <c r="O899" s="29">
        <f t="shared" si="1676"/>
        <v>186.21126515263742</v>
      </c>
      <c r="P899" s="29">
        <f t="shared" si="1676"/>
        <v>177.73649189114582</v>
      </c>
      <c r="Q899" s="29">
        <f t="shared" si="1676"/>
        <v>189.07751184865833</v>
      </c>
      <c r="R899" s="29">
        <f t="shared" si="1676"/>
        <v>173.20083723217897</v>
      </c>
      <c r="S899" s="29">
        <f t="shared" si="1676"/>
        <v>158.49374399918483</v>
      </c>
      <c r="T899" s="29">
        <f t="shared" si="1676"/>
        <v>152.75088862752727</v>
      </c>
      <c r="U899" s="29">
        <f t="shared" si="1676"/>
        <v>155.69809694946906</v>
      </c>
      <c r="W899" s="30">
        <f t="shared" si="1688"/>
        <v>173.38123440425852</v>
      </c>
      <c r="X899" s="30">
        <f t="shared" si="1688"/>
        <v>165.20687142706194</v>
      </c>
      <c r="Y899" s="30">
        <f t="shared" ref="Y899:AD899" si="1713">SUM(Y859,Y839,Y819,Y779,Y759,Y739,Y719,Y699,Y679,Y659,Y639,Y619,Y599,Y579,Y559,Y539,Y519,Y499,Y479,Y459,Y439,Y419,Y399,Y379,Y799,Y359,Y339,Y319,Y299,Y879)</f>
        <v>165.83819984867662</v>
      </c>
      <c r="Z899" s="30">
        <f t="shared" si="1678"/>
        <v>163.31006399325119</v>
      </c>
      <c r="AA899" s="30">
        <f t="shared" si="1713"/>
        <v>152.61775204547172</v>
      </c>
      <c r="AB899" s="30">
        <f t="shared" si="1679"/>
        <v>174.1386633871237</v>
      </c>
      <c r="AC899" s="30">
        <f t="shared" si="1679"/>
        <v>172.60070000000002</v>
      </c>
      <c r="AD899" s="90">
        <f t="shared" si="1713"/>
        <v>0</v>
      </c>
      <c r="AF899" s="29">
        <f t="shared" si="1690"/>
        <v>185.66449801681443</v>
      </c>
      <c r="AG899" s="30">
        <f t="shared" si="1691"/>
        <v>173.38123440425852</v>
      </c>
      <c r="AH899" s="32">
        <f t="shared" si="1692"/>
        <v>-12.283263612555913</v>
      </c>
      <c r="AI899" s="33">
        <f t="shared" si="1693"/>
        <v>-6.6158386464619093E-2</v>
      </c>
      <c r="AK899" s="29">
        <f t="shared" si="1680"/>
        <v>186.21126515263742</v>
      </c>
      <c r="AL899" s="30">
        <f t="shared" si="1681"/>
        <v>165.20687142706194</v>
      </c>
      <c r="AM899" s="32">
        <f t="shared" si="1694"/>
        <v>-21.004393725575483</v>
      </c>
      <c r="AN899" s="33">
        <f t="shared" si="1695"/>
        <v>-0.11279872733992853</v>
      </c>
      <c r="AP899" s="29">
        <f t="shared" si="1696"/>
        <v>177.73649189114582</v>
      </c>
      <c r="AQ899" s="30">
        <f t="shared" si="1697"/>
        <v>165.83819984867662</v>
      </c>
      <c r="AR899" s="32">
        <f t="shared" si="1698"/>
        <v>-11.898292042469194</v>
      </c>
      <c r="AS899" s="33">
        <f t="shared" si="1699"/>
        <v>-6.6943439222128157E-2</v>
      </c>
      <c r="AU899" s="31">
        <f t="shared" si="1700"/>
        <v>189.07751184865833</v>
      </c>
      <c r="AV899" s="25">
        <f t="shared" si="1701"/>
        <v>163.31006399325119</v>
      </c>
      <c r="AW899" s="32">
        <f t="shared" si="1702"/>
        <v>-25.767447855407141</v>
      </c>
      <c r="AX899" s="33">
        <f t="shared" si="1703"/>
        <v>-0.13627981246142035</v>
      </c>
      <c r="AZ899" s="31">
        <f t="shared" si="1682"/>
        <v>173.20083723217897</v>
      </c>
      <c r="BA899" s="25">
        <f t="shared" si="1683"/>
        <v>152.61775204547172</v>
      </c>
      <c r="BB899" s="32">
        <f t="shared" si="1704"/>
        <v>-20.583085186707251</v>
      </c>
      <c r="BC899" s="33">
        <f t="shared" si="1705"/>
        <v>-0.11883940929867007</v>
      </c>
      <c r="BE899" s="31">
        <f t="shared" si="1706"/>
        <v>158.49374399918483</v>
      </c>
      <c r="BF899" s="25">
        <f t="shared" si="1707"/>
        <v>174.1386633871237</v>
      </c>
      <c r="BG899" s="32">
        <f t="shared" si="1708"/>
        <v>15.64491938793887</v>
      </c>
      <c r="BH899" s="33">
        <f t="shared" si="1709"/>
        <v>9.871001210003176E-2</v>
      </c>
      <c r="BJ899" s="31">
        <f t="shared" si="1684"/>
        <v>152.75088862752727</v>
      </c>
      <c r="BK899" s="25">
        <f t="shared" si="1685"/>
        <v>172.60070000000002</v>
      </c>
      <c r="BL899" s="32">
        <f t="shared" si="1686"/>
        <v>19.849811372472743</v>
      </c>
      <c r="BM899" s="33">
        <f t="shared" si="1687"/>
        <v>0.12994890930471226</v>
      </c>
      <c r="BO899" s="62"/>
      <c r="BP899" s="62"/>
      <c r="BQ899" s="62"/>
      <c r="BR899" s="63"/>
    </row>
    <row r="900" spans="1:70">
      <c r="B900" s="1284"/>
      <c r="D900" s="5" t="s">
        <v>167</v>
      </c>
      <c r="E900" s="87">
        <f t="shared" si="1675"/>
        <v>273.52672512230441</v>
      </c>
      <c r="F900" s="87">
        <f t="shared" si="1675"/>
        <v>273.61213304714221</v>
      </c>
      <c r="G900" s="87">
        <f t="shared" si="1675"/>
        <v>267.73392851853879</v>
      </c>
      <c r="H900" s="87">
        <f t="shared" si="1675"/>
        <v>272.76998682881236</v>
      </c>
      <c r="I900" s="87">
        <f t="shared" si="1675"/>
        <v>267.96476156051602</v>
      </c>
      <c r="J900" s="87">
        <f t="shared" si="1675"/>
        <v>271.02700804228726</v>
      </c>
      <c r="K900" s="87">
        <f t="shared" si="1675"/>
        <v>270.75090945280738</v>
      </c>
      <c r="L900" s="87">
        <f t="shared" si="1675"/>
        <v>283.34701608720638</v>
      </c>
      <c r="N900" s="29">
        <f t="shared" si="1676"/>
        <v>271.88102109338109</v>
      </c>
      <c r="O900" s="29">
        <f t="shared" si="1676"/>
        <v>272.49465284124557</v>
      </c>
      <c r="P900" s="29">
        <f t="shared" si="1676"/>
        <v>266.86682000438145</v>
      </c>
      <c r="Q900" s="29">
        <f t="shared" si="1676"/>
        <v>272.08740093367908</v>
      </c>
      <c r="R900" s="29">
        <f t="shared" si="1676"/>
        <v>266.76467096444514</v>
      </c>
      <c r="S900" s="29">
        <f t="shared" si="1676"/>
        <v>266.50783225722165</v>
      </c>
      <c r="T900" s="29">
        <f t="shared" si="1676"/>
        <v>266.80002292735384</v>
      </c>
      <c r="U900" s="29">
        <f t="shared" si="1676"/>
        <v>279.02259968941109</v>
      </c>
      <c r="W900" s="30">
        <f t="shared" si="1688"/>
        <v>273.3054187493496</v>
      </c>
      <c r="X900" s="30">
        <f t="shared" si="1688"/>
        <v>290.25776682541368</v>
      </c>
      <c r="Y900" s="30">
        <f t="shared" ref="Y900:AD900" si="1714">SUM(Y860,Y840,Y820,Y780,Y760,Y740,Y720,Y700,Y680,Y660,Y640,Y620,Y600,Y580,Y560,Y540,Y520,Y500,Y480,Y460,Y440,Y420,Y400,Y380,Y800,Y360,Y340,Y320,Y300,Y880)</f>
        <v>281.37553378439338</v>
      </c>
      <c r="Z900" s="30">
        <f t="shared" si="1678"/>
        <v>242.53943910443755</v>
      </c>
      <c r="AA900" s="30">
        <f t="shared" si="1714"/>
        <v>258.31621107548119</v>
      </c>
      <c r="AB900" s="30">
        <f t="shared" si="1679"/>
        <v>244.7648559811264</v>
      </c>
      <c r="AC900" s="30">
        <f t="shared" si="1679"/>
        <v>247.1833</v>
      </c>
      <c r="AD900" s="90">
        <f t="shared" si="1714"/>
        <v>0</v>
      </c>
      <c r="AF900" s="29">
        <f t="shared" si="1690"/>
        <v>271.88102109338109</v>
      </c>
      <c r="AG900" s="30">
        <f t="shared" si="1691"/>
        <v>273.3054187493496</v>
      </c>
      <c r="AH900" s="32">
        <f t="shared" si="1692"/>
        <v>1.4243976559685052</v>
      </c>
      <c r="AI900" s="33">
        <f t="shared" si="1693"/>
        <v>5.2390477652328564E-3</v>
      </c>
      <c r="AK900" s="29">
        <f t="shared" si="1680"/>
        <v>272.49465284124557</v>
      </c>
      <c r="AL900" s="30">
        <f t="shared" si="1681"/>
        <v>290.25776682541368</v>
      </c>
      <c r="AM900" s="32">
        <f t="shared" si="1694"/>
        <v>17.763113984168115</v>
      </c>
      <c r="AN900" s="33">
        <f t="shared" si="1695"/>
        <v>6.5187018530293295E-2</v>
      </c>
      <c r="AP900" s="29">
        <f t="shared" si="1696"/>
        <v>266.86682000438145</v>
      </c>
      <c r="AQ900" s="30">
        <f t="shared" si="1697"/>
        <v>281.37553378439338</v>
      </c>
      <c r="AR900" s="32">
        <f t="shared" si="1698"/>
        <v>14.508713780011931</v>
      </c>
      <c r="AS900" s="33">
        <f t="shared" si="1699"/>
        <v>5.4366870260505691E-2</v>
      </c>
      <c r="AU900" s="31">
        <f t="shared" si="1700"/>
        <v>272.08740093367908</v>
      </c>
      <c r="AV900" s="25">
        <f t="shared" si="1701"/>
        <v>242.53943910443755</v>
      </c>
      <c r="AW900" s="32">
        <f t="shared" si="1702"/>
        <v>-29.54796182924153</v>
      </c>
      <c r="AX900" s="33">
        <f t="shared" si="1703"/>
        <v>-0.10859731736143051</v>
      </c>
      <c r="AZ900" s="31">
        <f t="shared" si="1682"/>
        <v>266.76467096444514</v>
      </c>
      <c r="BA900" s="25">
        <f t="shared" si="1683"/>
        <v>258.31621107548119</v>
      </c>
      <c r="BB900" s="32">
        <f t="shared" si="1704"/>
        <v>-8.4484598889639528</v>
      </c>
      <c r="BC900" s="33">
        <f t="shared" si="1705"/>
        <v>-3.1670085316844593E-2</v>
      </c>
      <c r="BE900" s="31">
        <f t="shared" si="1706"/>
        <v>266.50783225722165</v>
      </c>
      <c r="BF900" s="25">
        <f t="shared" si="1707"/>
        <v>244.7648559811264</v>
      </c>
      <c r="BG900" s="32">
        <f t="shared" si="1708"/>
        <v>-21.742976276095249</v>
      </c>
      <c r="BH900" s="33">
        <f t="shared" si="1709"/>
        <v>-8.1584755284452137E-2</v>
      </c>
      <c r="BJ900" s="31">
        <f t="shared" si="1684"/>
        <v>266.80002292735384</v>
      </c>
      <c r="BK900" s="25">
        <f t="shared" si="1685"/>
        <v>247.1833</v>
      </c>
      <c r="BL900" s="32">
        <f t="shared" si="1686"/>
        <v>-19.616722927353834</v>
      </c>
      <c r="BM900" s="33">
        <f t="shared" si="1687"/>
        <v>-7.3525941685152002E-2</v>
      </c>
      <c r="BO900" s="62"/>
      <c r="BP900" s="62"/>
      <c r="BQ900" s="62"/>
      <c r="BR900" s="63"/>
    </row>
    <row r="901" spans="1:70">
      <c r="B901" s="1284"/>
      <c r="D901" s="5" t="s">
        <v>168</v>
      </c>
      <c r="E901" s="87">
        <f t="shared" si="1675"/>
        <v>338.28754201436396</v>
      </c>
      <c r="F901" s="87">
        <f t="shared" si="1675"/>
        <v>335.68768658728976</v>
      </c>
      <c r="G901" s="87">
        <f t="shared" si="1675"/>
        <v>321.95852163678018</v>
      </c>
      <c r="H901" s="87">
        <f t="shared" si="1675"/>
        <v>312.09581238647593</v>
      </c>
      <c r="I901" s="87">
        <f t="shared" si="1675"/>
        <v>321.3152613230385</v>
      </c>
      <c r="J901" s="87">
        <f t="shared" si="1675"/>
        <v>308.57565142642187</v>
      </c>
      <c r="K901" s="87">
        <f t="shared" si="1675"/>
        <v>289.2425661735723</v>
      </c>
      <c r="L901" s="87">
        <f t="shared" si="1675"/>
        <v>278.21948586600195</v>
      </c>
      <c r="N901" s="29">
        <f t="shared" si="1676"/>
        <v>314.34898083945967</v>
      </c>
      <c r="O901" s="29">
        <f t="shared" si="1676"/>
        <v>308.47367718390723</v>
      </c>
      <c r="P901" s="29">
        <f t="shared" si="1676"/>
        <v>292.25439042250798</v>
      </c>
      <c r="Q901" s="29">
        <f t="shared" si="1676"/>
        <v>280.57570855823076</v>
      </c>
      <c r="R901" s="29">
        <f t="shared" si="1676"/>
        <v>285.22661195040257</v>
      </c>
      <c r="S901" s="29">
        <f t="shared" si="1676"/>
        <v>271.10363105100754</v>
      </c>
      <c r="T901" s="29">
        <f t="shared" si="1676"/>
        <v>253.14031996946576</v>
      </c>
      <c r="U901" s="29">
        <f t="shared" si="1676"/>
        <v>240.54102666252024</v>
      </c>
      <c r="W901" s="30">
        <f t="shared" si="1688"/>
        <v>214.67766794538883</v>
      </c>
      <c r="X901" s="30">
        <f>SUM(X861,X841,X821,X781,X761,X741,X721,X701,X681,X661,X641,X621,X601,X581,X561,X541,X521,X501,X481,X461,X441,X421,X401,X381,X801,X361,X341,X321,X301,X881)</f>
        <v>237.92192007983738</v>
      </c>
      <c r="Y901" s="30">
        <f t="shared" ref="Y901:AD901" si="1715">SUM(Y861,Y841,Y821,Y781,Y761,Y741,Y721,Y701,Y681,Y661,Y641,Y621,Y601,Y581,Y561,Y541,Y521,Y501,Y481,Y461,Y441,Y421,Y401,Y381,Y801,Y361,Y341,Y321,Y301,Y881)</f>
        <v>269.00106223539615</v>
      </c>
      <c r="Z901" s="30">
        <f t="shared" si="1678"/>
        <v>251.44904967605484</v>
      </c>
      <c r="AA901" s="30">
        <f t="shared" si="1715"/>
        <v>251.33149724202579</v>
      </c>
      <c r="AB901" s="30">
        <f t="shared" si="1679"/>
        <v>247.51079026403517</v>
      </c>
      <c r="AC901" s="30">
        <f t="shared" si="1679"/>
        <v>254.62468870058277</v>
      </c>
      <c r="AD901" s="90">
        <f t="shared" si="1715"/>
        <v>0</v>
      </c>
      <c r="AF901" s="29">
        <f t="shared" si="1690"/>
        <v>314.34898083945967</v>
      </c>
      <c r="AG901" s="30">
        <f t="shared" si="1691"/>
        <v>214.67766794538883</v>
      </c>
      <c r="AH901" s="32">
        <f t="shared" si="1692"/>
        <v>-99.671312894070837</v>
      </c>
      <c r="AI901" s="33">
        <f t="shared" si="1693"/>
        <v>-0.31707216809770322</v>
      </c>
      <c r="AK901" s="29">
        <f t="shared" si="1680"/>
        <v>308.47367718390723</v>
      </c>
      <c r="AL901" s="30">
        <f t="shared" si="1681"/>
        <v>237.92192007983738</v>
      </c>
      <c r="AM901" s="32">
        <f t="shared" si="1694"/>
        <v>-70.55175710406985</v>
      </c>
      <c r="AN901" s="33">
        <f t="shared" si="1695"/>
        <v>-0.22871240667322154</v>
      </c>
      <c r="AP901" s="29">
        <f t="shared" si="1696"/>
        <v>292.25439042250798</v>
      </c>
      <c r="AQ901" s="30">
        <f t="shared" si="1697"/>
        <v>269.00106223539615</v>
      </c>
      <c r="AR901" s="32">
        <f t="shared" si="1698"/>
        <v>-23.253328187111833</v>
      </c>
      <c r="AS901" s="33">
        <f t="shared" si="1699"/>
        <v>-7.9565368217376753E-2</v>
      </c>
      <c r="AU901" s="31">
        <f t="shared" si="1700"/>
        <v>280.57570855823076</v>
      </c>
      <c r="AV901" s="25">
        <f t="shared" si="1701"/>
        <v>251.44904967605484</v>
      </c>
      <c r="AW901" s="32">
        <f t="shared" si="1702"/>
        <v>-29.126658882175917</v>
      </c>
      <c r="AX901" s="33">
        <f t="shared" si="1703"/>
        <v>-0.10381033708101983</v>
      </c>
      <c r="AZ901" s="31">
        <f t="shared" si="1682"/>
        <v>285.22661195040257</v>
      </c>
      <c r="BA901" s="25">
        <f t="shared" si="1683"/>
        <v>251.33149724202579</v>
      </c>
      <c r="BB901" s="32">
        <f t="shared" si="1704"/>
        <v>-33.895114708376781</v>
      </c>
      <c r="BC901" s="33">
        <f t="shared" si="1705"/>
        <v>-0.11883573722872229</v>
      </c>
      <c r="BE901" s="31">
        <f t="shared" si="1706"/>
        <v>271.10363105100754</v>
      </c>
      <c r="BF901" s="25">
        <f t="shared" si="1707"/>
        <v>247.51079026403517</v>
      </c>
      <c r="BG901" s="32">
        <f t="shared" si="1708"/>
        <v>-23.592840786972374</v>
      </c>
      <c r="BH901" s="33">
        <f t="shared" si="1709"/>
        <v>-8.7025174452692713E-2</v>
      </c>
      <c r="BJ901" s="31">
        <f t="shared" si="1684"/>
        <v>253.14031996946576</v>
      </c>
      <c r="BK901" s="25">
        <f t="shared" si="1685"/>
        <v>254.62468870058277</v>
      </c>
      <c r="BL901" s="32">
        <f t="shared" si="1686"/>
        <v>1.4843687311170015</v>
      </c>
      <c r="BM901" s="33">
        <f t="shared" si="1687"/>
        <v>5.8638178670867161E-3</v>
      </c>
      <c r="BO901" s="62"/>
      <c r="BP901" s="62"/>
      <c r="BQ901" s="62"/>
      <c r="BR901" s="63"/>
    </row>
    <row r="902" spans="1:70">
      <c r="B902" s="1284"/>
      <c r="D902" s="5" t="s">
        <v>169</v>
      </c>
      <c r="E902" s="87">
        <f t="shared" si="1675"/>
        <v>298.07710173001834</v>
      </c>
      <c r="F902" s="87">
        <f t="shared" si="1675"/>
        <v>328.75440374306129</v>
      </c>
      <c r="G902" s="87">
        <f t="shared" si="1675"/>
        <v>313.8267404774694</v>
      </c>
      <c r="H902" s="87">
        <f t="shared" si="1675"/>
        <v>300.28206551795006</v>
      </c>
      <c r="I902" s="87">
        <f t="shared" si="1675"/>
        <v>290.37198544066513</v>
      </c>
      <c r="J902" s="87">
        <f t="shared" si="1675"/>
        <v>283.93973689655354</v>
      </c>
      <c r="K902" s="87">
        <f t="shared" si="1675"/>
        <v>286.1026983828603</v>
      </c>
      <c r="L902" s="87">
        <f t="shared" si="1675"/>
        <v>278.75723339005418</v>
      </c>
      <c r="N902" s="29">
        <f t="shared" si="1676"/>
        <v>282.98805323261496</v>
      </c>
      <c r="O902" s="29">
        <f t="shared" si="1676"/>
        <v>309.55481675659462</v>
      </c>
      <c r="P902" s="29">
        <f t="shared" si="1676"/>
        <v>291.72766486984591</v>
      </c>
      <c r="Q902" s="29">
        <f t="shared" si="1676"/>
        <v>276.50708754521082</v>
      </c>
      <c r="R902" s="29">
        <f t="shared" si="1676"/>
        <v>264.35938499997826</v>
      </c>
      <c r="S902" s="29">
        <f t="shared" si="1676"/>
        <v>255.69356862383333</v>
      </c>
      <c r="T902" s="29">
        <f t="shared" si="1676"/>
        <v>255.91831560207606</v>
      </c>
      <c r="U902" s="29">
        <f t="shared" si="1676"/>
        <v>246.57037447030339</v>
      </c>
      <c r="W902" s="30">
        <f t="shared" si="1688"/>
        <v>195.74321327735257</v>
      </c>
      <c r="X902" s="30">
        <f t="shared" si="1688"/>
        <v>236.0415181431581</v>
      </c>
      <c r="Y902" s="30">
        <f t="shared" ref="Y902:AD902" si="1716">SUM(Y862,Y842,Y822,Y782,Y762,Y742,Y722,Y702,Y682,Y662,Y642,Y622,Y602,Y582,Y562,Y542,Y522,Y502,Y482,Y462,Y442,Y422,Y402,Y382,Y802,Y362,Y342,Y322,Y302,Y882)</f>
        <v>242.90880932517118</v>
      </c>
      <c r="Z902" s="30">
        <f t="shared" si="1678"/>
        <v>250.20778229317912</v>
      </c>
      <c r="AA902" s="30">
        <f t="shared" si="1716"/>
        <v>242.62911640068566</v>
      </c>
      <c r="AB902" s="30">
        <f t="shared" si="1679"/>
        <v>233.62369618119752</v>
      </c>
      <c r="AC902" s="30">
        <f t="shared" si="1679"/>
        <v>239.35364193090712</v>
      </c>
      <c r="AD902" s="90">
        <f t="shared" si="1716"/>
        <v>0</v>
      </c>
      <c r="AF902" s="29">
        <f t="shared" si="1690"/>
        <v>282.98805323261496</v>
      </c>
      <c r="AG902" s="30">
        <f t="shared" si="1691"/>
        <v>195.74321327735257</v>
      </c>
      <c r="AH902" s="32">
        <f t="shared" si="1692"/>
        <v>-87.244839955262393</v>
      </c>
      <c r="AI902" s="33">
        <f t="shared" si="1693"/>
        <v>-0.30829866829589275</v>
      </c>
      <c r="AK902" s="29">
        <f t="shared" si="1680"/>
        <v>309.55481675659462</v>
      </c>
      <c r="AL902" s="30">
        <f t="shared" si="1681"/>
        <v>236.0415181431581</v>
      </c>
      <c r="AM902" s="32">
        <f t="shared" si="1694"/>
        <v>-73.513298613436518</v>
      </c>
      <c r="AN902" s="33">
        <f t="shared" si="1695"/>
        <v>-0.23748071305652013</v>
      </c>
      <c r="AP902" s="29">
        <f t="shared" si="1696"/>
        <v>291.72766486984591</v>
      </c>
      <c r="AQ902" s="30">
        <f t="shared" si="1697"/>
        <v>242.90880932517118</v>
      </c>
      <c r="AR902" s="32">
        <f t="shared" si="1698"/>
        <v>-48.818855544674733</v>
      </c>
      <c r="AS902" s="33">
        <f t="shared" si="1699"/>
        <v>-0.16734393553815072</v>
      </c>
      <c r="AU902" s="31">
        <f t="shared" si="1700"/>
        <v>276.50708754521082</v>
      </c>
      <c r="AV902" s="25">
        <f t="shared" si="1701"/>
        <v>250.20778229317912</v>
      </c>
      <c r="AW902" s="32">
        <f t="shared" si="1702"/>
        <v>-26.299305252031701</v>
      </c>
      <c r="AX902" s="33">
        <f t="shared" si="1703"/>
        <v>-9.5112590008137071E-2</v>
      </c>
      <c r="AZ902" s="31">
        <f t="shared" si="1682"/>
        <v>264.35938499997826</v>
      </c>
      <c r="BA902" s="25">
        <f t="shared" si="1683"/>
        <v>242.62911640068566</v>
      </c>
      <c r="BB902" s="32">
        <f t="shared" si="1704"/>
        <v>-21.7302685992926</v>
      </c>
      <c r="BC902" s="33">
        <f t="shared" si="1705"/>
        <v>-8.2199724436847157E-2</v>
      </c>
      <c r="BE902" s="31">
        <f t="shared" si="1706"/>
        <v>255.69356862383333</v>
      </c>
      <c r="BF902" s="25">
        <f t="shared" si="1707"/>
        <v>233.62369618119752</v>
      </c>
      <c r="BG902" s="32">
        <f t="shared" si="1708"/>
        <v>-22.069872442635813</v>
      </c>
      <c r="BH902" s="33">
        <f t="shared" si="1709"/>
        <v>-8.6313756585345208E-2</v>
      </c>
      <c r="BJ902" s="31">
        <f t="shared" si="1684"/>
        <v>255.91831560207606</v>
      </c>
      <c r="BK902" s="25">
        <f t="shared" si="1685"/>
        <v>239.35364193090712</v>
      </c>
      <c r="BL902" s="32">
        <f t="shared" si="1686"/>
        <v>-16.564673671168947</v>
      </c>
      <c r="BM902" s="33">
        <f t="shared" si="1687"/>
        <v>-6.4726409409966323E-2</v>
      </c>
      <c r="BO902" s="62"/>
      <c r="BP902" s="62"/>
      <c r="BQ902" s="62"/>
      <c r="BR902" s="63"/>
    </row>
    <row r="903" spans="1:70">
      <c r="B903" s="1284"/>
      <c r="D903" s="5" t="s">
        <v>170</v>
      </c>
      <c r="E903" s="87">
        <f t="shared" si="1675"/>
        <v>443.94367677747078</v>
      </c>
      <c r="F903" s="87">
        <f t="shared" si="1675"/>
        <v>462.64582305071195</v>
      </c>
      <c r="G903" s="87">
        <f t="shared" si="1675"/>
        <v>446.34948565366051</v>
      </c>
      <c r="H903" s="87">
        <f t="shared" si="1675"/>
        <v>448.14779366669967</v>
      </c>
      <c r="I903" s="87">
        <f t="shared" si="1675"/>
        <v>447.93621073343922</v>
      </c>
      <c r="J903" s="87">
        <f t="shared" si="1675"/>
        <v>432.6755835983268</v>
      </c>
      <c r="K903" s="87">
        <f t="shared" si="1675"/>
        <v>431.60573636678646</v>
      </c>
      <c r="L903" s="87">
        <f t="shared" si="1675"/>
        <v>416.0522539869354</v>
      </c>
      <c r="N903" s="29">
        <f t="shared" si="1676"/>
        <v>422.7082763777384</v>
      </c>
      <c r="O903" s="29">
        <f>SUM(O863,O843,O823,O783,O763,O743,O723,O703,O683,O663,O643,O623,O603,O583,O563,O543,O523,O503,O483,O463,O443,O423,O403,O383,O803,O363,O343,O323,O303,O883)</f>
        <v>436.5453487413925</v>
      </c>
      <c r="P903" s="29">
        <f t="shared" si="1676"/>
        <v>415.14887240846826</v>
      </c>
      <c r="Q903" s="29">
        <f t="shared" si="1676"/>
        <v>412.47196552412112</v>
      </c>
      <c r="R903" s="29">
        <f t="shared" si="1676"/>
        <v>406.74529037321901</v>
      </c>
      <c r="S903" s="29">
        <f t="shared" si="1676"/>
        <v>388.02086893496266</v>
      </c>
      <c r="T903" s="29">
        <f t="shared" si="1676"/>
        <v>383.30175730402692</v>
      </c>
      <c r="U903" s="29">
        <f t="shared" si="1676"/>
        <v>364.2477164940741</v>
      </c>
      <c r="W903" s="30">
        <f t="shared" si="1688"/>
        <v>322.3057290343051</v>
      </c>
      <c r="X903" s="30">
        <f t="shared" si="1688"/>
        <v>355.83268255694173</v>
      </c>
      <c r="Y903" s="30">
        <f t="shared" ref="Y903:AD903" si="1717">SUM(Y863,Y843,Y823,Y783,Y763,Y743,Y723,Y703,Y683,Y663,Y643,Y623,Y603,Y583,Y563,Y543,Y523,Y503,Y483,Y463,Y443,Y423,Y403,Y383,Y803,Y363,Y343,Y323,Y303,Y883)</f>
        <v>391.97545584261343</v>
      </c>
      <c r="Z903" s="30">
        <f t="shared" si="1678"/>
        <v>375.52445450092131</v>
      </c>
      <c r="AA903" s="30">
        <f t="shared" si="1717"/>
        <v>389.1104015172391</v>
      </c>
      <c r="AB903" s="30">
        <f t="shared" si="1679"/>
        <v>381.63423511150023</v>
      </c>
      <c r="AC903" s="30">
        <f t="shared" si="1679"/>
        <v>381.2735274306628</v>
      </c>
      <c r="AD903" s="90">
        <f t="shared" si="1717"/>
        <v>0</v>
      </c>
      <c r="AF903" s="29">
        <f t="shared" si="1690"/>
        <v>422.7082763777384</v>
      </c>
      <c r="AG903" s="30">
        <f t="shared" si="1691"/>
        <v>322.3057290343051</v>
      </c>
      <c r="AH903" s="32">
        <f t="shared" si="1692"/>
        <v>-100.4025473434333</v>
      </c>
      <c r="AI903" s="33">
        <f t="shared" si="1693"/>
        <v>-0.23752207599009037</v>
      </c>
      <c r="AK903" s="29">
        <f t="shared" si="1680"/>
        <v>436.5453487413925</v>
      </c>
      <c r="AL903" s="30">
        <f t="shared" si="1681"/>
        <v>355.83268255694173</v>
      </c>
      <c r="AM903" s="32">
        <f t="shared" si="1694"/>
        <v>-80.712666184450768</v>
      </c>
      <c r="AN903" s="33">
        <f t="shared" si="1695"/>
        <v>-0.18488953419651388</v>
      </c>
      <c r="AP903" s="29">
        <f t="shared" si="1696"/>
        <v>415.14887240846826</v>
      </c>
      <c r="AQ903" s="30">
        <f t="shared" si="1697"/>
        <v>391.97545584261343</v>
      </c>
      <c r="AR903" s="32">
        <f t="shared" si="1698"/>
        <v>-23.173416565854836</v>
      </c>
      <c r="AS903" s="33">
        <f t="shared" si="1699"/>
        <v>-5.5819533921446687E-2</v>
      </c>
      <c r="AU903" s="31">
        <f t="shared" si="1700"/>
        <v>412.47196552412112</v>
      </c>
      <c r="AV903" s="25">
        <f t="shared" si="1701"/>
        <v>375.52445450092131</v>
      </c>
      <c r="AW903" s="32">
        <f t="shared" si="1702"/>
        <v>-36.947511023199809</v>
      </c>
      <c r="AX903" s="33">
        <f t="shared" si="1703"/>
        <v>-8.9575811476669043E-2</v>
      </c>
      <c r="AZ903" s="31">
        <f t="shared" si="1682"/>
        <v>406.74529037321901</v>
      </c>
      <c r="BA903" s="25">
        <f t="shared" si="1683"/>
        <v>389.1104015172391</v>
      </c>
      <c r="BB903" s="32">
        <f t="shared" si="1704"/>
        <v>-17.634888855979909</v>
      </c>
      <c r="BC903" s="33">
        <f t="shared" si="1705"/>
        <v>-4.3356098456108952E-2</v>
      </c>
      <c r="BE903" s="31">
        <f t="shared" si="1706"/>
        <v>388.02086893496266</v>
      </c>
      <c r="BF903" s="25">
        <f t="shared" si="1707"/>
        <v>381.63423511150023</v>
      </c>
      <c r="BG903" s="32">
        <f t="shared" si="1708"/>
        <v>-6.3866338234624322</v>
      </c>
      <c r="BH903" s="33">
        <f t="shared" si="1709"/>
        <v>-1.6459511162356874E-2</v>
      </c>
      <c r="BJ903" s="31">
        <f t="shared" si="1684"/>
        <v>383.30175730402692</v>
      </c>
      <c r="BK903" s="25">
        <f t="shared" si="1685"/>
        <v>381.2735274306628</v>
      </c>
      <c r="BL903" s="32">
        <f t="shared" si="1686"/>
        <v>-2.0282298733641255</v>
      </c>
      <c r="BM903" s="33">
        <f t="shared" si="1687"/>
        <v>-5.2914703225724483E-3</v>
      </c>
      <c r="BO903" s="62"/>
      <c r="BP903" s="62"/>
      <c r="BQ903" s="62"/>
      <c r="BR903" s="63"/>
    </row>
    <row r="904" spans="1:70">
      <c r="B904" s="1284"/>
      <c r="D904" s="5" t="s">
        <v>171</v>
      </c>
      <c r="E904" s="87">
        <f t="shared" si="1675"/>
        <v>256.17546907986673</v>
      </c>
      <c r="F904" s="87">
        <f t="shared" si="1675"/>
        <v>254.55493015950907</v>
      </c>
      <c r="G904" s="87">
        <f t="shared" si="1675"/>
        <v>262.22916135570102</v>
      </c>
      <c r="H904" s="87">
        <f t="shared" si="1675"/>
        <v>252.68741705117355</v>
      </c>
      <c r="I904" s="87">
        <f t="shared" si="1675"/>
        <v>249.83283524180908</v>
      </c>
      <c r="J904" s="87">
        <f t="shared" si="1675"/>
        <v>243.98339606208495</v>
      </c>
      <c r="K904" s="87">
        <f t="shared" si="1675"/>
        <v>235.92788161821198</v>
      </c>
      <c r="L904" s="87">
        <f t="shared" si="1675"/>
        <v>233.12605904734596</v>
      </c>
      <c r="N904" s="29">
        <f t="shared" si="1676"/>
        <v>261.6519212009145</v>
      </c>
      <c r="O904" s="29">
        <f t="shared" si="1676"/>
        <v>259.94357291041854</v>
      </c>
      <c r="P904" s="29">
        <f t="shared" si="1676"/>
        <v>265.97788768541733</v>
      </c>
      <c r="Q904" s="29">
        <f t="shared" si="1676"/>
        <v>248.76435575592586</v>
      </c>
      <c r="R904" s="29">
        <f t="shared" si="1676"/>
        <v>240.2262875779453</v>
      </c>
      <c r="S904" s="29">
        <f t="shared" si="1676"/>
        <v>230.28497419613541</v>
      </c>
      <c r="T904" s="29">
        <f t="shared" si="1676"/>
        <v>218.87696418030436</v>
      </c>
      <c r="U904" s="29">
        <f t="shared" si="1676"/>
        <v>212.2258872060076</v>
      </c>
      <c r="W904" s="30">
        <f t="shared" si="1688"/>
        <v>239.91108949989243</v>
      </c>
      <c r="X904" s="30">
        <f t="shared" si="1688"/>
        <v>249.83102908403941</v>
      </c>
      <c r="Y904" s="30">
        <f t="shared" ref="Y904:AD904" si="1718">SUM(Y864,Y844,Y824,Y784,Y764,Y744,Y724,Y704,Y684,Y664,Y644,Y624,Y604,Y584,Y564,Y544,Y524,Y504,Y484,Y464,Y444,Y424,Y404,Y384,Y804,Y364,Y344,Y324,Y304,Y884)</f>
        <v>262.67877717524146</v>
      </c>
      <c r="Z904" s="30">
        <f t="shared" si="1678"/>
        <v>282.10539566485062</v>
      </c>
      <c r="AA904" s="30">
        <f t="shared" si="1718"/>
        <v>272.06671011244248</v>
      </c>
      <c r="AB904" s="30">
        <f t="shared" si="1679"/>
        <v>265.61115867625284</v>
      </c>
      <c r="AC904" s="30">
        <f t="shared" si="1679"/>
        <v>245.37024437610518</v>
      </c>
      <c r="AD904" s="90">
        <f t="shared" si="1718"/>
        <v>0</v>
      </c>
      <c r="AF904" s="29">
        <f t="shared" si="1690"/>
        <v>261.6519212009145</v>
      </c>
      <c r="AG904" s="30">
        <f t="shared" si="1691"/>
        <v>239.91108949989243</v>
      </c>
      <c r="AH904" s="32">
        <f t="shared" si="1692"/>
        <v>-21.740831701022074</v>
      </c>
      <c r="AI904" s="33">
        <f t="shared" si="1693"/>
        <v>-8.3090663356253189E-2</v>
      </c>
      <c r="AK904" s="29">
        <f t="shared" si="1680"/>
        <v>259.94357291041854</v>
      </c>
      <c r="AL904" s="30">
        <f t="shared" si="1681"/>
        <v>249.83102908403941</v>
      </c>
      <c r="AM904" s="32">
        <f t="shared" si="1694"/>
        <v>-10.112543826379124</v>
      </c>
      <c r="AN904" s="33">
        <f t="shared" si="1695"/>
        <v>-3.8902842309796584E-2</v>
      </c>
      <c r="AP904" s="29">
        <f t="shared" si="1696"/>
        <v>265.97788768541733</v>
      </c>
      <c r="AQ904" s="30">
        <f t="shared" si="1697"/>
        <v>262.67877717524146</v>
      </c>
      <c r="AR904" s="32">
        <f t="shared" si="1698"/>
        <v>-3.2991105101758649</v>
      </c>
      <c r="AS904" s="33">
        <f t="shared" si="1699"/>
        <v>-1.2403702198273921E-2</v>
      </c>
      <c r="AU904" s="31">
        <f t="shared" si="1700"/>
        <v>248.76435575592586</v>
      </c>
      <c r="AV904" s="25">
        <f t="shared" si="1701"/>
        <v>282.10539566485062</v>
      </c>
      <c r="AW904" s="32">
        <f t="shared" si="1702"/>
        <v>33.341039908924756</v>
      </c>
      <c r="AX904" s="33">
        <f t="shared" si="1703"/>
        <v>0.13402659640530326</v>
      </c>
      <c r="AZ904" s="31">
        <f t="shared" si="1682"/>
        <v>240.2262875779453</v>
      </c>
      <c r="BA904" s="25">
        <f t="shared" si="1683"/>
        <v>272.06671011244248</v>
      </c>
      <c r="BB904" s="32">
        <f t="shared" si="1704"/>
        <v>31.840422534497179</v>
      </c>
      <c r="BC904" s="33">
        <f t="shared" si="1705"/>
        <v>0.13254345665299447</v>
      </c>
      <c r="BE904" s="31">
        <f t="shared" si="1706"/>
        <v>230.28497419613541</v>
      </c>
      <c r="BF904" s="25">
        <f t="shared" si="1707"/>
        <v>265.61115867625284</v>
      </c>
      <c r="BG904" s="32">
        <f t="shared" si="1708"/>
        <v>35.326184480117433</v>
      </c>
      <c r="BH904" s="33">
        <f t="shared" si="1709"/>
        <v>0.15340203851090112</v>
      </c>
      <c r="BJ904" s="31">
        <f t="shared" si="1684"/>
        <v>218.87696418030436</v>
      </c>
      <c r="BK904" s="25">
        <f t="shared" si="1685"/>
        <v>245.37024437610518</v>
      </c>
      <c r="BL904" s="32">
        <f t="shared" si="1686"/>
        <v>26.493280195800821</v>
      </c>
      <c r="BM904" s="33">
        <f t="shared" si="1687"/>
        <v>0.12104188439847166</v>
      </c>
      <c r="BO904" s="62"/>
      <c r="BP904" s="62"/>
      <c r="BQ904" s="62"/>
      <c r="BR904" s="63"/>
    </row>
    <row r="905" spans="1:70">
      <c r="B905" s="1284"/>
      <c r="D905" s="5" t="s">
        <v>172</v>
      </c>
      <c r="E905" s="87">
        <f t="shared" si="1675"/>
        <v>328.2432860939324</v>
      </c>
      <c r="F905" s="87">
        <f t="shared" si="1675"/>
        <v>346.3625050532857</v>
      </c>
      <c r="G905" s="87">
        <f t="shared" si="1675"/>
        <v>319.78221664381522</v>
      </c>
      <c r="H905" s="87">
        <f t="shared" si="1675"/>
        <v>295.87778041098761</v>
      </c>
      <c r="I905" s="87">
        <f t="shared" si="1675"/>
        <v>298.86620370935674</v>
      </c>
      <c r="J905" s="87">
        <f t="shared" si="1675"/>
        <v>306.80340488371507</v>
      </c>
      <c r="K905" s="87">
        <f t="shared" si="1675"/>
        <v>288.54140168792622</v>
      </c>
      <c r="L905" s="87">
        <f t="shared" si="1675"/>
        <v>265.38411953952397</v>
      </c>
      <c r="N905" s="29">
        <f t="shared" si="1676"/>
        <v>298.9060932525428</v>
      </c>
      <c r="O905" s="29">
        <f t="shared" si="1676"/>
        <v>311.5159452941636</v>
      </c>
      <c r="P905" s="29">
        <f t="shared" si="1676"/>
        <v>283.61094914107184</v>
      </c>
      <c r="Q905" s="29">
        <f t="shared" si="1676"/>
        <v>258.18876777409349</v>
      </c>
      <c r="R905" s="29">
        <f t="shared" si="1676"/>
        <v>255.57046009550479</v>
      </c>
      <c r="S905" s="29">
        <f t="shared" si="1676"/>
        <v>258.98677350817172</v>
      </c>
      <c r="T905" s="29">
        <f t="shared" si="1676"/>
        <v>239.62405710724602</v>
      </c>
      <c r="U905" s="29">
        <f t="shared" si="1676"/>
        <v>215.85923471020749</v>
      </c>
      <c r="W905" s="30">
        <f t="shared" si="1688"/>
        <v>298.21193135094131</v>
      </c>
      <c r="X905" s="30">
        <f t="shared" si="1688"/>
        <v>303.13178560796968</v>
      </c>
      <c r="Y905" s="30">
        <f t="shared" ref="Y905:AD905" si="1719">SUM(Y865,Y845,Y825,Y785,Y765,Y745,Y725,Y705,Y685,Y665,Y645,Y625,Y605,Y585,Y565,Y545,Y525,Y505,Y485,Y465,Y445,Y425,Y405,Y385,Y805,Y365,Y345,Y325,Y305,Y885)</f>
        <v>316.06814468694455</v>
      </c>
      <c r="Z905" s="30">
        <f t="shared" si="1678"/>
        <v>320.23952179073655</v>
      </c>
      <c r="AA905" s="30">
        <f t="shared" si="1719"/>
        <v>292.45524320066448</v>
      </c>
      <c r="AB905" s="30">
        <f t="shared" si="1679"/>
        <v>266.06688459925937</v>
      </c>
      <c r="AC905" s="30">
        <f t="shared" si="1679"/>
        <v>269.27085163377984</v>
      </c>
      <c r="AD905" s="90">
        <f t="shared" si="1719"/>
        <v>0</v>
      </c>
      <c r="AF905" s="29">
        <f t="shared" si="1690"/>
        <v>298.9060932525428</v>
      </c>
      <c r="AG905" s="30">
        <f t="shared" si="1691"/>
        <v>298.21193135094131</v>
      </c>
      <c r="AH905" s="32">
        <f t="shared" si="1692"/>
        <v>-0.69416190160148972</v>
      </c>
      <c r="AI905" s="33">
        <f t="shared" si="1693"/>
        <v>-2.3223410872892417E-3</v>
      </c>
      <c r="AK905" s="29">
        <f t="shared" si="1680"/>
        <v>311.5159452941636</v>
      </c>
      <c r="AL905" s="30">
        <f t="shared" si="1681"/>
        <v>303.13178560796968</v>
      </c>
      <c r="AM905" s="32">
        <f t="shared" si="1694"/>
        <v>-8.3841596861939252</v>
      </c>
      <c r="AN905" s="33">
        <f t="shared" si="1695"/>
        <v>-2.6914062708015756E-2</v>
      </c>
      <c r="AP905" s="29">
        <f t="shared" si="1696"/>
        <v>283.61094914107184</v>
      </c>
      <c r="AQ905" s="30">
        <f t="shared" si="1697"/>
        <v>316.06814468694455</v>
      </c>
      <c r="AR905" s="32">
        <f t="shared" si="1698"/>
        <v>32.457195545872707</v>
      </c>
      <c r="AS905" s="33">
        <f t="shared" si="1699"/>
        <v>0.11444267453062282</v>
      </c>
      <c r="AU905" s="31">
        <f t="shared" si="1700"/>
        <v>258.18876777409349</v>
      </c>
      <c r="AV905" s="25">
        <f t="shared" si="1701"/>
        <v>320.23952179073655</v>
      </c>
      <c r="AW905" s="32">
        <f t="shared" si="1702"/>
        <v>62.050754016643054</v>
      </c>
      <c r="AX905" s="33">
        <f t="shared" si="1703"/>
        <v>0.24033095843633051</v>
      </c>
      <c r="AZ905" s="31">
        <f t="shared" si="1682"/>
        <v>255.57046009550479</v>
      </c>
      <c r="BA905" s="25">
        <f t="shared" si="1683"/>
        <v>292.45524320066448</v>
      </c>
      <c r="BB905" s="32">
        <f t="shared" si="1704"/>
        <v>36.884783105159698</v>
      </c>
      <c r="BC905" s="33">
        <f t="shared" si="1705"/>
        <v>0.14432334273443076</v>
      </c>
      <c r="BE905" s="31">
        <f t="shared" si="1706"/>
        <v>258.98677350817172</v>
      </c>
      <c r="BF905" s="25">
        <f t="shared" si="1707"/>
        <v>266.06688459925937</v>
      </c>
      <c r="BG905" s="32">
        <f t="shared" si="1708"/>
        <v>7.0801110910876446</v>
      </c>
      <c r="BH905" s="33">
        <f t="shared" si="1709"/>
        <v>2.7337732329656011E-2</v>
      </c>
      <c r="BJ905" s="31">
        <f t="shared" si="1684"/>
        <v>239.62405710724602</v>
      </c>
      <c r="BK905" s="25">
        <f t="shared" si="1685"/>
        <v>269.27085163377984</v>
      </c>
      <c r="BL905" s="32">
        <f t="shared" si="1686"/>
        <v>29.646794526533824</v>
      </c>
      <c r="BM905" s="33">
        <f t="shared" si="1687"/>
        <v>0.12372211239735884</v>
      </c>
      <c r="BO905" s="62"/>
      <c r="BP905" s="62"/>
      <c r="BQ905" s="62"/>
      <c r="BR905" s="63"/>
    </row>
    <row r="906" spans="1:70">
      <c r="B906" s="1284"/>
      <c r="D906" s="5" t="s">
        <v>28</v>
      </c>
      <c r="E906" s="87">
        <f t="shared" si="1675"/>
        <v>185.19806680404105</v>
      </c>
      <c r="F906" s="87">
        <f t="shared" si="1675"/>
        <v>186.3371555022772</v>
      </c>
      <c r="G906" s="87">
        <f t="shared" si="1675"/>
        <v>188.16430421111627</v>
      </c>
      <c r="H906" s="87">
        <f t="shared" si="1675"/>
        <v>190.25959181037243</v>
      </c>
      <c r="I906" s="87">
        <f t="shared" si="1675"/>
        <v>194.012061565739</v>
      </c>
      <c r="J906" s="87">
        <f t="shared" si="1675"/>
        <v>193.05583525305144</v>
      </c>
      <c r="K906" s="87">
        <f t="shared" si="1675"/>
        <v>197.96065690683713</v>
      </c>
      <c r="L906" s="87">
        <f t="shared" si="1675"/>
        <v>193.72387559462214</v>
      </c>
      <c r="N906" s="29">
        <f t="shared" si="1676"/>
        <v>176.34560610815166</v>
      </c>
      <c r="O906" s="29">
        <f t="shared" si="1676"/>
        <v>176.90514610765536</v>
      </c>
      <c r="P906" s="29">
        <f t="shared" si="1676"/>
        <v>176.73022190986032</v>
      </c>
      <c r="Q906" s="29">
        <f t="shared" si="1676"/>
        <v>177.1599752968776</v>
      </c>
      <c r="R906" s="29">
        <f t="shared" si="1676"/>
        <v>178.57576524987712</v>
      </c>
      <c r="S906" s="29">
        <f t="shared" si="1676"/>
        <v>176.76129845853339</v>
      </c>
      <c r="T906" s="29">
        <f t="shared" si="1676"/>
        <v>180.73646787291582</v>
      </c>
      <c r="U906" s="29">
        <f t="shared" si="1676"/>
        <v>175.34825323786558</v>
      </c>
      <c r="W906" s="30">
        <f t="shared" si="1688"/>
        <v>157.67139131879779</v>
      </c>
      <c r="X906" s="30">
        <f t="shared" si="1688"/>
        <v>176.38706777717275</v>
      </c>
      <c r="Y906" s="30">
        <f t="shared" ref="Y906:AD906" si="1720">SUM(Y866,Y846,Y826,Y786,Y766,Y746,Y726,Y706,Y686,Y666,Y646,Y626,Y606,Y586,Y566,Y546,Y526,Y506,Y486,Y466,Y446,Y426,Y406,Y386,Y806,Y366,Y346,Y326,Y306,Y886)</f>
        <v>173.47833622102198</v>
      </c>
      <c r="Z906" s="30">
        <f t="shared" si="1678"/>
        <v>188.847224852979</v>
      </c>
      <c r="AA906" s="30">
        <f t="shared" si="1720"/>
        <v>187.44047829485896</v>
      </c>
      <c r="AB906" s="30">
        <f t="shared" si="1679"/>
        <v>207.75069304336645</v>
      </c>
      <c r="AC906" s="30">
        <f t="shared" si="1679"/>
        <v>245.12888583065967</v>
      </c>
      <c r="AD906" s="90">
        <f t="shared" si="1720"/>
        <v>0</v>
      </c>
      <c r="AF906" s="29">
        <f t="shared" si="1690"/>
        <v>176.34560610815166</v>
      </c>
      <c r="AG906" s="30">
        <f t="shared" si="1691"/>
        <v>157.67139131879779</v>
      </c>
      <c r="AH906" s="32">
        <f t="shared" si="1692"/>
        <v>-18.674214789353869</v>
      </c>
      <c r="AI906" s="33">
        <f t="shared" si="1693"/>
        <v>-0.10589554909523002</v>
      </c>
      <c r="AK906" s="29">
        <f t="shared" si="1680"/>
        <v>176.90514610765536</v>
      </c>
      <c r="AL906" s="30">
        <f t="shared" si="1681"/>
        <v>176.38706777717275</v>
      </c>
      <c r="AM906" s="32">
        <f t="shared" si="1694"/>
        <v>-0.51807833048260932</v>
      </c>
      <c r="AN906" s="33">
        <f t="shared" si="1695"/>
        <v>-2.9285656289915587E-3</v>
      </c>
      <c r="AP906" s="29">
        <f t="shared" si="1696"/>
        <v>176.73022190986032</v>
      </c>
      <c r="AQ906" s="30">
        <f t="shared" si="1697"/>
        <v>173.47833622102198</v>
      </c>
      <c r="AR906" s="32">
        <f t="shared" si="1698"/>
        <v>-3.2518856888383425</v>
      </c>
      <c r="AS906" s="33">
        <f t="shared" si="1699"/>
        <v>-1.840028068598781E-2</v>
      </c>
      <c r="AU906" s="31">
        <f t="shared" si="1700"/>
        <v>177.1599752968776</v>
      </c>
      <c r="AV906" s="25">
        <f t="shared" si="1701"/>
        <v>188.847224852979</v>
      </c>
      <c r="AW906" s="32">
        <f t="shared" si="1702"/>
        <v>11.687249556101392</v>
      </c>
      <c r="AX906" s="33">
        <f t="shared" si="1703"/>
        <v>6.5970033787351612E-2</v>
      </c>
      <c r="AZ906" s="31">
        <f t="shared" si="1682"/>
        <v>178.57576524987712</v>
      </c>
      <c r="BA906" s="25">
        <f t="shared" si="1683"/>
        <v>187.44047829485896</v>
      </c>
      <c r="BB906" s="32">
        <f t="shared" si="1704"/>
        <v>8.8647130449818405</v>
      </c>
      <c r="BC906" s="33">
        <f t="shared" si="1705"/>
        <v>4.9641187495837652E-2</v>
      </c>
      <c r="BE906" s="31">
        <f t="shared" si="1706"/>
        <v>176.76129845853339</v>
      </c>
      <c r="BF906" s="25">
        <f t="shared" si="1707"/>
        <v>207.75069304336645</v>
      </c>
      <c r="BG906" s="32">
        <f t="shared" si="1708"/>
        <v>30.989394584833065</v>
      </c>
      <c r="BH906" s="33">
        <f t="shared" si="1709"/>
        <v>0.17531775821449341</v>
      </c>
      <c r="BJ906" s="31">
        <f t="shared" si="1684"/>
        <v>180.73646787291582</v>
      </c>
      <c r="BK906" s="25">
        <f t="shared" si="1685"/>
        <v>245.12888583065967</v>
      </c>
      <c r="BL906" s="32">
        <f t="shared" si="1686"/>
        <v>64.392417957743845</v>
      </c>
      <c r="BM906" s="33">
        <f t="shared" si="1687"/>
        <v>0.35627794830549159</v>
      </c>
      <c r="BO906" s="62"/>
      <c r="BP906" s="62"/>
      <c r="BQ906" s="62"/>
      <c r="BR906" s="63"/>
    </row>
    <row r="907" spans="1:70">
      <c r="B907" s="1284"/>
      <c r="D907" s="5" t="s">
        <v>173</v>
      </c>
      <c r="E907" s="87">
        <f t="shared" si="1675"/>
        <v>394.86819003646633</v>
      </c>
      <c r="F907" s="87">
        <f t="shared" si="1675"/>
        <v>408.97912024879179</v>
      </c>
      <c r="G907" s="87">
        <f t="shared" si="1675"/>
        <v>402.5588174575467</v>
      </c>
      <c r="H907" s="87">
        <f t="shared" si="1675"/>
        <v>405.58001493096867</v>
      </c>
      <c r="I907" s="87">
        <f t="shared" si="1675"/>
        <v>366.47584113592779</v>
      </c>
      <c r="J907" s="87">
        <f t="shared" si="1675"/>
        <v>371.00403012732681</v>
      </c>
      <c r="K907" s="87">
        <f t="shared" si="1675"/>
        <v>383.90044614358925</v>
      </c>
      <c r="L907" s="87">
        <f t="shared" si="1675"/>
        <v>377.74657260724018</v>
      </c>
      <c r="N907" s="29">
        <f t="shared" si="1676"/>
        <v>390.74034777678992</v>
      </c>
      <c r="O907" s="29">
        <f t="shared" si="1676"/>
        <v>399.65145504666856</v>
      </c>
      <c r="P907" s="29">
        <f t="shared" si="1676"/>
        <v>386.78299420199852</v>
      </c>
      <c r="Q907" s="29">
        <f t="shared" si="1676"/>
        <v>390.31130131987436</v>
      </c>
      <c r="R907" s="29">
        <f t="shared" si="1676"/>
        <v>348.10256146591519</v>
      </c>
      <c r="S907" s="29">
        <f t="shared" si="1676"/>
        <v>354.39218122020509</v>
      </c>
      <c r="T907" s="29">
        <f t="shared" si="1676"/>
        <v>358.81343009228692</v>
      </c>
      <c r="U907" s="29">
        <f t="shared" si="1676"/>
        <v>349.671928855462</v>
      </c>
      <c r="W907" s="30">
        <f t="shared" si="1688"/>
        <v>336.04380629790688</v>
      </c>
      <c r="X907" s="30">
        <f t="shared" si="1688"/>
        <v>360.03243676510283</v>
      </c>
      <c r="Y907" s="30">
        <f t="shared" ref="Y907:AD907" si="1721">SUM(Y867,Y847,Y827,Y787,Y767,Y747,Y727,Y707,Y687,Y667,Y647,Y627,Y607,Y587,Y567,Y547,Y527,Y507,Y487,Y467,Y447,Y427,Y407,Y387,Y807,Y367,Y347,Y327,Y307,Y887)</f>
        <v>403.76980002840077</v>
      </c>
      <c r="Z907" s="30">
        <f t="shared" si="1678"/>
        <v>382.77068916870371</v>
      </c>
      <c r="AA907" s="30">
        <f t="shared" si="1721"/>
        <v>411.69564676795153</v>
      </c>
      <c r="AB907" s="30">
        <f t="shared" si="1679"/>
        <v>400.39438744194683</v>
      </c>
      <c r="AC907" s="30">
        <f t="shared" si="1679"/>
        <v>366.51058059147425</v>
      </c>
      <c r="AD907" s="90">
        <f t="shared" si="1721"/>
        <v>0</v>
      </c>
      <c r="AF907" s="29">
        <f t="shared" si="1690"/>
        <v>390.74034777678992</v>
      </c>
      <c r="AG907" s="30">
        <f t="shared" si="1691"/>
        <v>336.04380629790688</v>
      </c>
      <c r="AH907" s="32">
        <f t="shared" si="1692"/>
        <v>-54.696541478883034</v>
      </c>
      <c r="AI907" s="33">
        <f t="shared" si="1693"/>
        <v>-0.13998181091379994</v>
      </c>
      <c r="AK907" s="29">
        <f t="shared" si="1680"/>
        <v>399.65145504666856</v>
      </c>
      <c r="AL907" s="30">
        <f t="shared" si="1681"/>
        <v>360.03243676510283</v>
      </c>
      <c r="AM907" s="32">
        <f t="shared" si="1694"/>
        <v>-39.619018281565729</v>
      </c>
      <c r="AN907" s="33">
        <f t="shared" si="1695"/>
        <v>-9.9133927279056927E-2</v>
      </c>
      <c r="AP907" s="29">
        <f t="shared" si="1696"/>
        <v>386.78299420199852</v>
      </c>
      <c r="AQ907" s="30">
        <f t="shared" si="1697"/>
        <v>403.76980002840077</v>
      </c>
      <c r="AR907" s="32">
        <f t="shared" si="1698"/>
        <v>16.986805826402247</v>
      </c>
      <c r="AS907" s="33">
        <f t="shared" si="1699"/>
        <v>4.3918181722154101E-2</v>
      </c>
      <c r="AU907" s="31">
        <f t="shared" si="1700"/>
        <v>390.31130131987436</v>
      </c>
      <c r="AV907" s="25">
        <f t="shared" si="1701"/>
        <v>382.77068916870371</v>
      </c>
      <c r="AW907" s="32">
        <f t="shared" si="1702"/>
        <v>-7.5406121511706488</v>
      </c>
      <c r="AX907" s="33">
        <f t="shared" si="1703"/>
        <v>-1.9319481976748713E-2</v>
      </c>
      <c r="AZ907" s="31">
        <f t="shared" si="1682"/>
        <v>348.10256146591519</v>
      </c>
      <c r="BA907" s="25">
        <f t="shared" si="1683"/>
        <v>411.69564676795153</v>
      </c>
      <c r="BB907" s="32">
        <f t="shared" si="1704"/>
        <v>63.593085302036343</v>
      </c>
      <c r="BC907" s="33">
        <f t="shared" si="1705"/>
        <v>0.18268491054543165</v>
      </c>
      <c r="BE907" s="31">
        <f t="shared" si="1706"/>
        <v>354.39218122020509</v>
      </c>
      <c r="BF907" s="25">
        <f t="shared" si="1707"/>
        <v>400.39438744194683</v>
      </c>
      <c r="BG907" s="32">
        <f t="shared" si="1708"/>
        <v>46.002206221741744</v>
      </c>
      <c r="BH907" s="33">
        <f t="shared" si="1709"/>
        <v>0.1298059287407298</v>
      </c>
      <c r="BJ907" s="31">
        <f t="shared" si="1684"/>
        <v>358.81343009228692</v>
      </c>
      <c r="BK907" s="25">
        <f t="shared" si="1685"/>
        <v>366.51058059147425</v>
      </c>
      <c r="BL907" s="32">
        <f t="shared" si="1686"/>
        <v>7.6971504991873303</v>
      </c>
      <c r="BM907" s="33">
        <f t="shared" si="1687"/>
        <v>2.1451678932997632E-2</v>
      </c>
      <c r="BO907" s="62"/>
      <c r="BP907" s="62"/>
      <c r="BQ907" s="62"/>
      <c r="BR907" s="63"/>
    </row>
    <row r="908" spans="1:70">
      <c r="A908" s="1"/>
      <c r="B908" s="1284"/>
      <c r="D908" s="4" t="s">
        <v>174</v>
      </c>
      <c r="E908" s="88">
        <f t="shared" ref="E908:L908" si="1722">SUM(E894:E907)</f>
        <v>4260.3073072235138</v>
      </c>
      <c r="F908" s="88">
        <f t="shared" si="1722"/>
        <v>4296.7519164961323</v>
      </c>
      <c r="G908" s="88">
        <f t="shared" si="1722"/>
        <v>4168.7235624744189</v>
      </c>
      <c r="H908" s="88">
        <f t="shared" si="1722"/>
        <v>4146.0523899867858</v>
      </c>
      <c r="I908" s="88">
        <f t="shared" si="1722"/>
        <v>4088.5593155569477</v>
      </c>
      <c r="J908" s="88">
        <f t="shared" si="1722"/>
        <v>4057.9625820822403</v>
      </c>
      <c r="K908" s="88">
        <f t="shared" si="1722"/>
        <v>4012.4130443058243</v>
      </c>
      <c r="L908" s="88">
        <f t="shared" si="1722"/>
        <v>3939.1751263213896</v>
      </c>
      <c r="M908" s="1"/>
      <c r="N908" s="81">
        <f t="shared" ref="N908:U908" si="1723">SUM(N894:N907)</f>
        <v>4135.5529993399823</v>
      </c>
      <c r="O908" s="81">
        <f t="shared" si="1723"/>
        <v>4148.1231924052345</v>
      </c>
      <c r="P908" s="81">
        <f t="shared" si="1723"/>
        <v>3976.7029437067081</v>
      </c>
      <c r="Q908" s="81">
        <f>SUM(Q894:Q907)</f>
        <v>3939.6602034990433</v>
      </c>
      <c r="R908" s="81">
        <f t="shared" si="1723"/>
        <v>3841.0356992202592</v>
      </c>
      <c r="S908" s="81">
        <f>SUM(S894:S907)</f>
        <v>3759.1953860048493</v>
      </c>
      <c r="T908" s="81">
        <f t="shared" si="1723"/>
        <v>3698.4351587799929</v>
      </c>
      <c r="U908" s="81">
        <f t="shared" si="1723"/>
        <v>3613.7222523739756</v>
      </c>
      <c r="V908" s="1"/>
      <c r="W908" s="85">
        <f t="shared" ref="W908:AD908" si="1724">SUM(W894:W907)</f>
        <v>3784.5203661717737</v>
      </c>
      <c r="X908" s="85">
        <f t="shared" si="1724"/>
        <v>3823.534789748926</v>
      </c>
      <c r="Y908" s="85">
        <f t="shared" si="1724"/>
        <v>3909.8464362614868</v>
      </c>
      <c r="Z908" s="85">
        <f>SUM(Z894:Z907)</f>
        <v>3801.9394710151455</v>
      </c>
      <c r="AA908" s="85">
        <f t="shared" si="1724"/>
        <v>3849.4858188503681</v>
      </c>
      <c r="AB908" s="85">
        <f>SUM(AB894:AB907)</f>
        <v>3835.7911676082895</v>
      </c>
      <c r="AC908" s="85">
        <f>SUM(AC894:AC907)</f>
        <v>3865.2160115318047</v>
      </c>
      <c r="AD908" s="91">
        <f t="shared" si="1724"/>
        <v>0</v>
      </c>
      <c r="AE908" s="1"/>
      <c r="AF908" s="82">
        <f t="shared" si="1690"/>
        <v>4135.5529993399823</v>
      </c>
      <c r="AG908" s="86">
        <f t="shared" si="1691"/>
        <v>3784.5203661717737</v>
      </c>
      <c r="AH908" s="34">
        <f t="shared" si="1692"/>
        <v>-351.03263316820858</v>
      </c>
      <c r="AI908" s="35">
        <f t="shared" si="1693"/>
        <v>-8.4881667149286202E-2</v>
      </c>
      <c r="AK908" s="82">
        <f t="shared" si="1680"/>
        <v>4148.1231924052345</v>
      </c>
      <c r="AL908" s="86">
        <f t="shared" si="1681"/>
        <v>3823.534789748926</v>
      </c>
      <c r="AM908" s="34">
        <f t="shared" si="1694"/>
        <v>-324.58840265630852</v>
      </c>
      <c r="AN908" s="35">
        <f t="shared" si="1695"/>
        <v>-7.8249460683953359E-2</v>
      </c>
      <c r="AP908" s="81">
        <f t="shared" si="1696"/>
        <v>3976.7029437067081</v>
      </c>
      <c r="AQ908" s="85">
        <f t="shared" si="1697"/>
        <v>3909.8464362614868</v>
      </c>
      <c r="AR908" s="34">
        <f t="shared" si="1698"/>
        <v>-66.856507445221268</v>
      </c>
      <c r="AS908" s="35">
        <f t="shared" si="1699"/>
        <v>-1.6812044648953316E-2</v>
      </c>
      <c r="AU908" s="949">
        <f t="shared" si="1700"/>
        <v>3939.6602034990433</v>
      </c>
      <c r="AV908" s="843">
        <f t="shared" si="1701"/>
        <v>3801.9394710151455</v>
      </c>
      <c r="AW908" s="34">
        <f t="shared" si="1702"/>
        <v>-137.72073248389779</v>
      </c>
      <c r="AX908" s="35">
        <f t="shared" si="1703"/>
        <v>-3.495751546328283E-2</v>
      </c>
      <c r="AZ908" s="949">
        <f t="shared" si="1682"/>
        <v>3841.0356992202592</v>
      </c>
      <c r="BA908" s="843">
        <f t="shared" si="1683"/>
        <v>3849.4858188503681</v>
      </c>
      <c r="BB908" s="34">
        <f t="shared" si="1704"/>
        <v>8.4501196301089294</v>
      </c>
      <c r="BC908" s="35">
        <f t="shared" si="1705"/>
        <v>2.1999586288209525E-3</v>
      </c>
      <c r="BE908" s="31">
        <f t="shared" si="1706"/>
        <v>3759.1953860048493</v>
      </c>
      <c r="BF908" s="25">
        <f t="shared" si="1707"/>
        <v>3835.7911676082895</v>
      </c>
      <c r="BG908" s="32">
        <f t="shared" si="1708"/>
        <v>76.595781603440173</v>
      </c>
      <c r="BH908" s="33">
        <f t="shared" si="1709"/>
        <v>2.0375578744483321E-2</v>
      </c>
      <c r="BJ908" s="31">
        <f t="shared" si="1684"/>
        <v>3698.4351587799929</v>
      </c>
      <c r="BK908" s="25">
        <f t="shared" si="1685"/>
        <v>3865.2160115318047</v>
      </c>
      <c r="BL908" s="32">
        <f t="shared" si="1686"/>
        <v>166.78085275181184</v>
      </c>
      <c r="BM908" s="33">
        <f t="shared" si="1687"/>
        <v>4.5094978170937577E-2</v>
      </c>
      <c r="BO908" s="62"/>
      <c r="BP908" s="62"/>
      <c r="BQ908" s="62"/>
      <c r="BR908" s="63"/>
    </row>
    <row r="909" spans="1:70">
      <c r="A909" s="1"/>
      <c r="B909" s="1284"/>
      <c r="D909" s="4" t="s">
        <v>724</v>
      </c>
      <c r="E909" s="88">
        <f t="shared" ref="E909:L909" si="1725">E908-SUM(E897:E900)</f>
        <v>3106.0862502731657</v>
      </c>
      <c r="F909" s="88">
        <f t="shared" si="1725"/>
        <v>3150.2384746510024</v>
      </c>
      <c r="G909" s="88">
        <f t="shared" si="1725"/>
        <v>3085.3779659664337</v>
      </c>
      <c r="H909" s="88">
        <f t="shared" si="1725"/>
        <v>3035.2214279205359</v>
      </c>
      <c r="I909" s="88">
        <f t="shared" si="1725"/>
        <v>2992.0863886488232</v>
      </c>
      <c r="J909" s="88">
        <f t="shared" si="1725"/>
        <v>2938.9424196472851</v>
      </c>
      <c r="K909" s="88">
        <f t="shared" si="1725"/>
        <v>2885.8828520555971</v>
      </c>
      <c r="L909" s="88">
        <f t="shared" si="1725"/>
        <v>2803.1807845688913</v>
      </c>
      <c r="M909" s="1"/>
      <c r="N909" s="81">
        <f t="shared" ref="N909:U909" si="1726">N908-SUM(N897:N900)</f>
        <v>2986.7580322384324</v>
      </c>
      <c r="O909" s="81">
        <f t="shared" si="1726"/>
        <v>3004.3543706143391</v>
      </c>
      <c r="P909" s="81">
        <f t="shared" si="1726"/>
        <v>2896.3614748686482</v>
      </c>
      <c r="Q909" s="81">
        <f>Q908-SUM(Q897:Q900)</f>
        <v>2831.0402767661553</v>
      </c>
      <c r="R909" s="81">
        <f t="shared" si="1726"/>
        <v>2749.4838442887594</v>
      </c>
      <c r="S909" s="81">
        <f t="shared" si="1726"/>
        <v>2674.8453053963617</v>
      </c>
      <c r="T909" s="81">
        <f t="shared" si="1726"/>
        <v>2603.9952559772973</v>
      </c>
      <c r="U909" s="81">
        <f t="shared" si="1726"/>
        <v>2510.2000471108922</v>
      </c>
      <c r="V909" s="1"/>
      <c r="W909" s="85">
        <f t="shared" ref="W909:AD909" si="1727">W908-SUM(W897:W900)</f>
        <v>2587.2045112373589</v>
      </c>
      <c r="X909" s="85">
        <f t="shared" si="1727"/>
        <v>2649.4676873964017</v>
      </c>
      <c r="Y909" s="85">
        <f t="shared" si="1727"/>
        <v>2792.9526798142392</v>
      </c>
      <c r="Z909" s="85">
        <f>Z908-SUM(Z897:Z900)</f>
        <v>2812.5359330959905</v>
      </c>
      <c r="AA909" s="85">
        <f t="shared" si="1727"/>
        <v>2839.2403415112362</v>
      </c>
      <c r="AB909" s="85">
        <f>AB908-SUM(AB897:AB900)</f>
        <v>2770.0555431598027</v>
      </c>
      <c r="AC909" s="85">
        <f>AC908-SUM(AC897:AC900)</f>
        <v>2759.8329115318047</v>
      </c>
      <c r="AD909" s="91">
        <f t="shared" si="1727"/>
        <v>0</v>
      </c>
      <c r="AE909" s="1"/>
      <c r="AF909" s="82">
        <f t="shared" si="1690"/>
        <v>2986.7580322384324</v>
      </c>
      <c r="AG909" s="86">
        <f t="shared" si="1691"/>
        <v>2587.2045112373589</v>
      </c>
      <c r="AH909" s="34">
        <f t="shared" si="1692"/>
        <v>-399.55352100107348</v>
      </c>
      <c r="AI909" s="35">
        <f t="shared" si="1693"/>
        <v>-0.13377498836141982</v>
      </c>
      <c r="AK909" s="82">
        <f t="shared" si="1680"/>
        <v>3004.3543706143391</v>
      </c>
      <c r="AL909" s="86">
        <f t="shared" si="1681"/>
        <v>2649.4676873964017</v>
      </c>
      <c r="AM909" s="34">
        <f t="shared" si="1694"/>
        <v>-354.88668321793739</v>
      </c>
      <c r="AN909" s="35">
        <f t="shared" si="1695"/>
        <v>-0.118124109022921</v>
      </c>
      <c r="AP909" s="81">
        <f t="shared" si="1696"/>
        <v>2896.3614748686482</v>
      </c>
      <c r="AQ909" s="85">
        <f>Y909</f>
        <v>2792.9526798142392</v>
      </c>
      <c r="AR909" s="34">
        <f t="shared" si="1698"/>
        <v>-103.40879505440898</v>
      </c>
      <c r="AS909" s="35">
        <f t="shared" si="1699"/>
        <v>-3.5703000454768388E-2</v>
      </c>
      <c r="AU909" s="949">
        <f t="shared" si="1700"/>
        <v>2831.0402767661553</v>
      </c>
      <c r="AV909" s="843">
        <f t="shared" si="1701"/>
        <v>2812.5359330959905</v>
      </c>
      <c r="AW909" s="34">
        <f t="shared" si="1702"/>
        <v>-18.504343670164872</v>
      </c>
      <c r="AX909" s="35">
        <f t="shared" si="1703"/>
        <v>-6.5362346915466846E-3</v>
      </c>
      <c r="AZ909" s="949">
        <f t="shared" si="1682"/>
        <v>2749.4838442887594</v>
      </c>
      <c r="BA909" s="843">
        <f t="shared" si="1683"/>
        <v>2839.2403415112362</v>
      </c>
      <c r="BB909" s="34">
        <f t="shared" si="1704"/>
        <v>89.75649722247681</v>
      </c>
      <c r="BC909" s="35">
        <f t="shared" si="1705"/>
        <v>3.264485347274159E-2</v>
      </c>
      <c r="BE909" s="31">
        <f t="shared" si="1706"/>
        <v>2674.8453053963617</v>
      </c>
      <c r="BF909" s="25">
        <f t="shared" si="1707"/>
        <v>2770.0555431598027</v>
      </c>
      <c r="BG909" s="32">
        <f t="shared" si="1708"/>
        <v>95.210237763441</v>
      </c>
      <c r="BH909" s="33">
        <f t="shared" si="1709"/>
        <v>3.5594670679219946E-2</v>
      </c>
      <c r="BJ909" s="31">
        <f t="shared" si="1684"/>
        <v>2603.9952559772973</v>
      </c>
      <c r="BK909" s="25">
        <f t="shared" si="1685"/>
        <v>2759.8329115318047</v>
      </c>
      <c r="BL909" s="32">
        <f t="shared" si="1686"/>
        <v>155.83765555450736</v>
      </c>
      <c r="BM909" s="33">
        <f t="shared" si="1687"/>
        <v>5.9845598872268459E-2</v>
      </c>
      <c r="BO909" s="62"/>
      <c r="BP909" s="62"/>
      <c r="BQ909" s="62"/>
      <c r="BR909" s="63"/>
    </row>
    <row r="910" spans="1:70" ht="14.5" customHeight="1">
      <c r="B910" s="1284"/>
      <c r="W910" s="122"/>
      <c r="X910" s="122"/>
    </row>
    <row r="911" spans="1:70" ht="14.5" customHeight="1">
      <c r="B911" s="1284"/>
      <c r="D911" s="64" t="s">
        <v>742</v>
      </c>
      <c r="BE911" s="1"/>
      <c r="BJ911" s="1"/>
    </row>
    <row r="912" spans="1:70" ht="14.5" customHeight="1">
      <c r="B912" s="1284"/>
      <c r="E912" s="1300" t="s">
        <v>733</v>
      </c>
      <c r="F912" s="1301"/>
      <c r="G912" s="1301"/>
      <c r="H912" s="1301"/>
      <c r="I912" s="1301"/>
      <c r="J912" s="1301"/>
      <c r="K912" s="1301"/>
      <c r="L912" s="1302"/>
      <c r="N912" s="245" t="s">
        <v>291</v>
      </c>
      <c r="O912" s="246"/>
      <c r="P912" s="246"/>
      <c r="Q912" s="246"/>
      <c r="R912" s="246"/>
      <c r="S912" s="246"/>
      <c r="T912" s="246"/>
      <c r="U912" s="247"/>
      <c r="W912" s="1079" t="s">
        <v>292</v>
      </c>
      <c r="X912" s="1080"/>
      <c r="Y912" s="1080"/>
      <c r="Z912" s="1080"/>
      <c r="AA912" s="1080"/>
      <c r="AB912" s="1080"/>
      <c r="AC912" s="1080"/>
      <c r="AD912" s="1081"/>
      <c r="AF912" s="102" t="s">
        <v>297</v>
      </c>
      <c r="AG912" s="102" t="s">
        <v>298</v>
      </c>
      <c r="AH912" s="1304" t="s">
        <v>602</v>
      </c>
      <c r="AI912" s="1304"/>
      <c r="AK912" s="102" t="s">
        <v>297</v>
      </c>
      <c r="AL912" s="102" t="s">
        <v>298</v>
      </c>
      <c r="AM912" s="1304" t="s">
        <v>602</v>
      </c>
      <c r="AN912" s="1304"/>
      <c r="AP912" s="6" t="s">
        <v>297</v>
      </c>
      <c r="AQ912" s="5" t="s">
        <v>298</v>
      </c>
      <c r="AR912" s="1303" t="s">
        <v>602</v>
      </c>
      <c r="AS912" s="1303"/>
      <c r="AU912" s="6" t="s">
        <v>297</v>
      </c>
      <c r="AV912" s="5" t="s">
        <v>298</v>
      </c>
      <c r="AW912" s="1303" t="s">
        <v>602</v>
      </c>
      <c r="AX912" s="1303"/>
      <c r="AZ912" s="6" t="s">
        <v>297</v>
      </c>
      <c r="BA912" s="5" t="s">
        <v>298</v>
      </c>
      <c r="BB912" s="1303" t="s">
        <v>602</v>
      </c>
      <c r="BC912" s="1303"/>
      <c r="BE912" s="6" t="s">
        <v>297</v>
      </c>
      <c r="BF912" s="5" t="s">
        <v>298</v>
      </c>
      <c r="BG912" s="1082" t="s">
        <v>602</v>
      </c>
      <c r="BH912" s="1082"/>
      <c r="BJ912" s="6" t="s">
        <v>297</v>
      </c>
      <c r="BK912" s="5" t="s">
        <v>298</v>
      </c>
      <c r="BL912" s="1082" t="s">
        <v>602</v>
      </c>
      <c r="BM912" s="1082"/>
      <c r="BO912" s="6" t="s">
        <v>297</v>
      </c>
      <c r="BP912" s="5" t="s">
        <v>298</v>
      </c>
      <c r="BQ912" s="1303" t="s">
        <v>602</v>
      </c>
      <c r="BR912" s="1303"/>
    </row>
    <row r="913" spans="1:70" ht="14.5" customHeight="1">
      <c r="A913" s="1"/>
      <c r="B913" s="1284"/>
      <c r="E913" s="196" t="s">
        <v>137</v>
      </c>
      <c r="F913" s="102" t="s">
        <v>138</v>
      </c>
      <c r="G913" s="102" t="s">
        <v>139</v>
      </c>
      <c r="H913" s="102" t="s">
        <v>140</v>
      </c>
      <c r="I913" s="102" t="s">
        <v>141</v>
      </c>
      <c r="J913" s="102" t="s">
        <v>126</v>
      </c>
      <c r="K913" s="102" t="s">
        <v>142</v>
      </c>
      <c r="L913" s="197" t="s">
        <v>143</v>
      </c>
      <c r="N913" s="196" t="s">
        <v>137</v>
      </c>
      <c r="O913" s="102" t="s">
        <v>138</v>
      </c>
      <c r="P913" s="102" t="s">
        <v>139</v>
      </c>
      <c r="Q913" s="102" t="s">
        <v>140</v>
      </c>
      <c r="R913" s="102" t="s">
        <v>141</v>
      </c>
      <c r="S913" s="102" t="s">
        <v>126</v>
      </c>
      <c r="T913" s="102" t="s">
        <v>142</v>
      </c>
      <c r="U913" s="197" t="s">
        <v>143</v>
      </c>
      <c r="W913" s="196" t="s">
        <v>137</v>
      </c>
      <c r="X913" s="1078" t="s">
        <v>138</v>
      </c>
      <c r="Y913" s="1078" t="s">
        <v>139</v>
      </c>
      <c r="Z913" s="1078" t="s">
        <v>140</v>
      </c>
      <c r="AA913" s="1078" t="s">
        <v>141</v>
      </c>
      <c r="AB913" s="1078" t="s">
        <v>126</v>
      </c>
      <c r="AC913" s="1078" t="s">
        <v>142</v>
      </c>
      <c r="AD913" s="197" t="s">
        <v>143</v>
      </c>
      <c r="AF913" s="102" t="s">
        <v>734</v>
      </c>
      <c r="AG913" s="102" t="s">
        <v>734</v>
      </c>
      <c r="AH913" s="102" t="s">
        <v>734</v>
      </c>
      <c r="AI913" s="102" t="s">
        <v>606</v>
      </c>
      <c r="AK913" s="102" t="s">
        <v>734</v>
      </c>
      <c r="AL913" s="102" t="s">
        <v>734</v>
      </c>
      <c r="AM913" s="102" t="s">
        <v>734</v>
      </c>
      <c r="AN913" s="102" t="s">
        <v>606</v>
      </c>
      <c r="AP913" s="5" t="s">
        <v>734</v>
      </c>
      <c r="AQ913" s="5" t="s">
        <v>734</v>
      </c>
      <c r="AR913" s="5" t="s">
        <v>734</v>
      </c>
      <c r="AS913" s="5" t="s">
        <v>606</v>
      </c>
      <c r="AU913" s="5" t="s">
        <v>734</v>
      </c>
      <c r="AV913" s="5" t="s">
        <v>734</v>
      </c>
      <c r="AW913" s="5" t="s">
        <v>734</v>
      </c>
      <c r="AX913" s="5" t="s">
        <v>606</v>
      </c>
      <c r="AZ913" s="5" t="s">
        <v>734</v>
      </c>
      <c r="BA913" s="5" t="s">
        <v>734</v>
      </c>
      <c r="BB913" s="5" t="s">
        <v>734</v>
      </c>
      <c r="BC913" s="5" t="s">
        <v>606</v>
      </c>
      <c r="BE913" s="5" t="s">
        <v>734</v>
      </c>
      <c r="BF913" s="5" t="s">
        <v>734</v>
      </c>
      <c r="BG913" s="5" t="s">
        <v>734</v>
      </c>
      <c r="BH913" s="5" t="s">
        <v>606</v>
      </c>
      <c r="BJ913" s="5" t="s">
        <v>734</v>
      </c>
      <c r="BK913" s="5" t="s">
        <v>734</v>
      </c>
      <c r="BL913" s="5" t="s">
        <v>734</v>
      </c>
      <c r="BM913" s="5" t="s">
        <v>606</v>
      </c>
      <c r="BO913" s="5" t="s">
        <v>734</v>
      </c>
      <c r="BP913" s="5" t="s">
        <v>734</v>
      </c>
      <c r="BQ913" s="5" t="s">
        <v>734</v>
      </c>
      <c r="BR913" s="5" t="s">
        <v>606</v>
      </c>
    </row>
    <row r="914" spans="1:70">
      <c r="B914" s="1284"/>
      <c r="D914" s="5" t="s">
        <v>161</v>
      </c>
      <c r="E914" s="46"/>
      <c r="F914" s="46"/>
      <c r="G914" s="46"/>
      <c r="H914" s="46"/>
      <c r="I914" s="46"/>
      <c r="J914" s="46"/>
      <c r="K914" s="46"/>
      <c r="L914" s="46"/>
      <c r="N914" s="29">
        <v>0.93913681703103902</v>
      </c>
      <c r="O914" s="29">
        <v>1.1374932249884229</v>
      </c>
      <c r="P914" s="29">
        <v>2.1234613575664323</v>
      </c>
      <c r="Q914" s="29">
        <v>1.6721396595235156</v>
      </c>
      <c r="R914" s="29">
        <v>1.3289378354589327</v>
      </c>
      <c r="S914" s="29">
        <v>2.0258192239745521</v>
      </c>
      <c r="T914" s="29">
        <v>2.4355948243953081</v>
      </c>
      <c r="U914" s="46"/>
      <c r="W914" s="30">
        <v>-13.099827539853203</v>
      </c>
      <c r="X914" s="30">
        <v>-9.6649571801582326</v>
      </c>
      <c r="Y914" s="30">
        <v>1.0904169622052027</v>
      </c>
      <c r="Z914" s="30">
        <v>1.074847996718755</v>
      </c>
      <c r="AA914" s="30">
        <v>-3.8744817977129813</v>
      </c>
      <c r="AB914" s="30">
        <v>-5.0726485182072425</v>
      </c>
      <c r="AC914" s="30">
        <v>-11.887413223776079</v>
      </c>
      <c r="AD914" s="46"/>
      <c r="AF914" s="31">
        <f t="shared" ref="AF914:AF929" si="1728">N914</f>
        <v>0.93913681703103902</v>
      </c>
      <c r="AG914" s="25">
        <f t="shared" ref="AG914:AG929" si="1729">W914</f>
        <v>-13.099827539853203</v>
      </c>
      <c r="AH914" s="32">
        <f>AG914-AF914</f>
        <v>-14.038964356884243</v>
      </c>
      <c r="AI914" s="33">
        <f>AH914/AF914</f>
        <v>-14.948795641157625</v>
      </c>
      <c r="AK914" s="31">
        <f t="shared" ref="AK914:AK929" si="1730">O914</f>
        <v>1.1374932249884229</v>
      </c>
      <c r="AL914" s="25">
        <f t="shared" ref="AL914:AL929" si="1731">X914</f>
        <v>-9.6649571801582326</v>
      </c>
      <c r="AM914" s="32">
        <f>AL914-AK914</f>
        <v>-10.802450405146656</v>
      </c>
      <c r="AN914" s="33">
        <f>AM914/AK914</f>
        <v>-9.4967162597883608</v>
      </c>
      <c r="AP914" s="31">
        <f t="shared" ref="AP914:AP929" si="1732">P914</f>
        <v>2.1234613575664323</v>
      </c>
      <c r="AQ914" s="25">
        <f t="shared" ref="AQ914:AQ929" si="1733">Y914</f>
        <v>1.0904169622052027</v>
      </c>
      <c r="AR914" s="32">
        <f>AQ914-AP914</f>
        <v>-1.0330443953612296</v>
      </c>
      <c r="AS914" s="33">
        <f>AR914/AP914</f>
        <v>-0.48649079093444764</v>
      </c>
      <c r="AU914" s="31">
        <f>Q914</f>
        <v>1.6721396595235156</v>
      </c>
      <c r="AV914" s="25">
        <f>Z914</f>
        <v>1.074847996718755</v>
      </c>
      <c r="AW914" s="32">
        <f>AV914-AU914</f>
        <v>-0.59729166280476065</v>
      </c>
      <c r="AX914" s="33">
        <f>AW914/AU914</f>
        <v>-0.3572020192230605</v>
      </c>
      <c r="AZ914" s="31">
        <f t="shared" ref="AZ914:AZ929" si="1734">R914</f>
        <v>1.3289378354589327</v>
      </c>
      <c r="BA914" s="25">
        <f t="shared" ref="BA914:BA929" si="1735">AA914</f>
        <v>-3.8744817977129813</v>
      </c>
      <c r="BB914" s="32">
        <f>BA914-AZ914</f>
        <v>-5.2034196331719142</v>
      </c>
      <c r="BC914" s="33">
        <f>BB914/AZ914</f>
        <v>-3.9154725633761309</v>
      </c>
      <c r="BE914" s="31">
        <f>S914</f>
        <v>2.0258192239745521</v>
      </c>
      <c r="BF914" s="25">
        <f>AB914</f>
        <v>-5.0726485182072425</v>
      </c>
      <c r="BG914" s="32">
        <f>BF914-BE914</f>
        <v>-7.0984677421817945</v>
      </c>
      <c r="BH914" s="1115">
        <f>BG914/BE914</f>
        <v>-3.50399860864928</v>
      </c>
      <c r="BJ914" s="31">
        <f t="shared" ref="BJ914:BJ929" si="1736">T914</f>
        <v>2.4355948243953081</v>
      </c>
      <c r="BK914" s="25">
        <f t="shared" ref="BK914:BK929" si="1737">AC914</f>
        <v>-11.887413223776079</v>
      </c>
      <c r="BL914" s="32">
        <f t="shared" ref="BL914:BL929" si="1738">BK914-BJ914</f>
        <v>-14.323008048171387</v>
      </c>
      <c r="BM914" s="1115">
        <f>BL914/BJ914</f>
        <v>-5.8807022845958787</v>
      </c>
      <c r="BO914" s="62"/>
      <c r="BP914" s="62"/>
      <c r="BQ914" s="62"/>
      <c r="BR914" s="63"/>
    </row>
    <row r="915" spans="1:70">
      <c r="B915" s="1284"/>
      <c r="D915" s="5" t="s">
        <v>162</v>
      </c>
      <c r="E915" s="46"/>
      <c r="F915" s="46"/>
      <c r="G915" s="46"/>
      <c r="H915" s="46"/>
      <c r="I915" s="46"/>
      <c r="J915" s="46"/>
      <c r="K915" s="46"/>
      <c r="L915" s="46"/>
      <c r="N915" s="29">
        <v>0.78050105487187738</v>
      </c>
      <c r="O915" s="29">
        <v>2.4253366169756605</v>
      </c>
      <c r="P915" s="29">
        <v>1.7953379675143819</v>
      </c>
      <c r="Q915" s="29">
        <v>0.85580175312873907</v>
      </c>
      <c r="R915" s="29">
        <v>1.7284505860428447</v>
      </c>
      <c r="S915" s="29">
        <v>1.3675357488599793</v>
      </c>
      <c r="T915" s="29">
        <v>1.6441560790227587</v>
      </c>
      <c r="U915" s="46"/>
      <c r="W915" s="30">
        <v>-0.48556977274090179</v>
      </c>
      <c r="X915" s="30">
        <v>-1.8228745339338397</v>
      </c>
      <c r="Y915" s="30">
        <v>-3.8560036162975848</v>
      </c>
      <c r="Z915" s="30">
        <v>-4.7560236346722942</v>
      </c>
      <c r="AA915" s="30">
        <v>-3.9917816921279687</v>
      </c>
      <c r="AB915" s="30">
        <v>-4.5490958087658573</v>
      </c>
      <c r="AC915" s="30">
        <v>-6.2830735121425834</v>
      </c>
      <c r="AD915" s="46"/>
      <c r="AF915" s="31">
        <f t="shared" si="1728"/>
        <v>0.78050105487187738</v>
      </c>
      <c r="AG915" s="25">
        <f t="shared" si="1729"/>
        <v>-0.48556977274090179</v>
      </c>
      <c r="AH915" s="32">
        <f t="shared" ref="AH915:AH929" si="1739">AG915-AF915</f>
        <v>-1.2660708276127792</v>
      </c>
      <c r="AI915" s="33">
        <f t="shared" ref="AI915:AI929" si="1740">AH915/AF915</f>
        <v>-1.6221257097732049</v>
      </c>
      <c r="AK915" s="31">
        <f t="shared" si="1730"/>
        <v>2.4253366169756605</v>
      </c>
      <c r="AL915" s="25">
        <f t="shared" si="1731"/>
        <v>-1.8228745339338397</v>
      </c>
      <c r="AM915" s="32">
        <f t="shared" ref="AM915:AM929" si="1741">AL915-AK915</f>
        <v>-4.2482111509095004</v>
      </c>
      <c r="AN915" s="33">
        <f t="shared" ref="AN915:AN929" si="1742">AM915/AK915</f>
        <v>-1.7515965087794383</v>
      </c>
      <c r="AP915" s="31">
        <f t="shared" si="1732"/>
        <v>1.7953379675143819</v>
      </c>
      <c r="AQ915" s="25">
        <f t="shared" si="1733"/>
        <v>-3.8560036162975848</v>
      </c>
      <c r="AR915" s="32">
        <f t="shared" ref="AR915:AR929" si="1743">AQ915-AP915</f>
        <v>-5.6513415838119663</v>
      </c>
      <c r="AS915" s="33">
        <f t="shared" ref="AS915:AS929" si="1744">AR915/AP915</f>
        <v>-3.1477870384683966</v>
      </c>
      <c r="AU915" s="31">
        <f t="shared" ref="AU915:AU929" si="1745">Q915</f>
        <v>0.85580175312873907</v>
      </c>
      <c r="AV915" s="25">
        <f t="shared" ref="AV915:AV929" si="1746">Z915</f>
        <v>-4.7560236346722942</v>
      </c>
      <c r="AW915" s="32">
        <f t="shared" ref="AW915:AW929" si="1747">AV915-AU915</f>
        <v>-5.6118253878010336</v>
      </c>
      <c r="AX915" s="33">
        <f t="shared" ref="AX915:AX929" si="1748">AW915/AU915</f>
        <v>-6.5573894506346511</v>
      </c>
      <c r="AZ915" s="31">
        <f t="shared" si="1734"/>
        <v>1.7284505860428447</v>
      </c>
      <c r="BA915" s="25">
        <f t="shared" si="1735"/>
        <v>-3.9917816921279687</v>
      </c>
      <c r="BB915" s="32">
        <f t="shared" ref="BB915:BB929" si="1749">BA915-AZ915</f>
        <v>-5.7202322781708137</v>
      </c>
      <c r="BC915" s="33">
        <f t="shared" ref="BC915:BC929" si="1750">BB915/AZ915</f>
        <v>-3.3094566453686407</v>
      </c>
      <c r="BE915" s="31">
        <f t="shared" ref="BE915:BE929" si="1751">S915</f>
        <v>1.3675357488599793</v>
      </c>
      <c r="BF915" s="25">
        <f t="shared" ref="BF915:BF929" si="1752">AB915</f>
        <v>-4.5490958087658573</v>
      </c>
      <c r="BG915" s="32">
        <f t="shared" ref="BG915:BG929" si="1753">BF915-BE915</f>
        <v>-5.9166315576258368</v>
      </c>
      <c r="BH915" s="1115">
        <f t="shared" ref="BH915:BH929" si="1754">BG915/BE915</f>
        <v>-4.3264913276001202</v>
      </c>
      <c r="BJ915" s="31">
        <f t="shared" si="1736"/>
        <v>1.6441560790227587</v>
      </c>
      <c r="BK915" s="25">
        <f t="shared" si="1737"/>
        <v>-6.2830735121425834</v>
      </c>
      <c r="BL915" s="32">
        <f t="shared" si="1738"/>
        <v>-7.9272295911653421</v>
      </c>
      <c r="BM915" s="1115">
        <f t="shared" ref="BM915:BM929" si="1755">BL915/BJ915</f>
        <v>-4.8214580673369341</v>
      </c>
      <c r="BO915" s="62"/>
      <c r="BP915" s="62"/>
      <c r="BQ915" s="62"/>
      <c r="BR915" s="63"/>
    </row>
    <row r="916" spans="1:70">
      <c r="B916" s="1284"/>
      <c r="D916" s="5" t="s">
        <v>163</v>
      </c>
      <c r="E916" s="46"/>
      <c r="F916" s="46"/>
      <c r="G916" s="46"/>
      <c r="H916" s="46"/>
      <c r="I916" s="46"/>
      <c r="J916" s="46"/>
      <c r="K916" s="46"/>
      <c r="L916" s="46"/>
      <c r="N916" s="29">
        <v>1.260606623678445</v>
      </c>
      <c r="O916" s="29">
        <v>1.5280658258976432</v>
      </c>
      <c r="P916" s="29">
        <v>1.5506187155928195</v>
      </c>
      <c r="Q916" s="29">
        <v>2.2346891089456027</v>
      </c>
      <c r="R916" s="29">
        <v>1.9326357255781106</v>
      </c>
      <c r="S916" s="29">
        <v>2.8879443376338392</v>
      </c>
      <c r="T916" s="29">
        <v>3.4721075793143292</v>
      </c>
      <c r="U916" s="46"/>
      <c r="W916" s="30">
        <v>-2.1482810194516144</v>
      </c>
      <c r="X916" s="30">
        <v>-2.0623341284290828</v>
      </c>
      <c r="Y916" s="30">
        <v>-3.3191711863296276</v>
      </c>
      <c r="Z916" s="30">
        <v>-3.0820289028423073</v>
      </c>
      <c r="AA916" s="30">
        <v>-4.1676205417874437</v>
      </c>
      <c r="AB916" s="30">
        <v>-4.0712182410683573</v>
      </c>
      <c r="AC916" s="30">
        <v>-2.5372236631649492</v>
      </c>
      <c r="AD916" s="46"/>
      <c r="AF916" s="31">
        <f t="shared" si="1728"/>
        <v>1.260606623678445</v>
      </c>
      <c r="AG916" s="25">
        <f t="shared" si="1729"/>
        <v>-2.1482810194516144</v>
      </c>
      <c r="AH916" s="32">
        <f t="shared" si="1739"/>
        <v>-3.4088876431300594</v>
      </c>
      <c r="AI916" s="33">
        <f t="shared" si="1740"/>
        <v>-2.7041644705807899</v>
      </c>
      <c r="AK916" s="31">
        <f t="shared" si="1730"/>
        <v>1.5280658258976432</v>
      </c>
      <c r="AL916" s="25">
        <f t="shared" si="1731"/>
        <v>-2.0623341284290828</v>
      </c>
      <c r="AM916" s="32">
        <f t="shared" si="1741"/>
        <v>-3.5903999543267258</v>
      </c>
      <c r="AN916" s="33">
        <f t="shared" si="1742"/>
        <v>-2.349636968170262</v>
      </c>
      <c r="AP916" s="31">
        <f t="shared" si="1732"/>
        <v>1.5506187155928195</v>
      </c>
      <c r="AQ916" s="25">
        <f t="shared" si="1733"/>
        <v>-3.3191711863296276</v>
      </c>
      <c r="AR916" s="32">
        <f t="shared" si="1743"/>
        <v>-4.8697899019224469</v>
      </c>
      <c r="AS916" s="33">
        <f t="shared" si="1744"/>
        <v>-3.1405463206089768</v>
      </c>
      <c r="AU916" s="31">
        <f t="shared" si="1745"/>
        <v>2.2346891089456027</v>
      </c>
      <c r="AV916" s="25">
        <f t="shared" si="1746"/>
        <v>-3.0820289028423073</v>
      </c>
      <c r="AW916" s="32">
        <f t="shared" si="1747"/>
        <v>-5.31671801178791</v>
      </c>
      <c r="AX916" s="33">
        <f t="shared" si="1748"/>
        <v>-2.3791756940617601</v>
      </c>
      <c r="AZ916" s="31">
        <f t="shared" si="1734"/>
        <v>1.9326357255781106</v>
      </c>
      <c r="BA916" s="25">
        <f t="shared" si="1735"/>
        <v>-4.1676205417874437</v>
      </c>
      <c r="BB916" s="32">
        <f t="shared" si="1749"/>
        <v>-6.1002562673655545</v>
      </c>
      <c r="BC916" s="33">
        <f t="shared" si="1750"/>
        <v>-3.1564439105774995</v>
      </c>
      <c r="BE916" s="31">
        <f t="shared" si="1751"/>
        <v>2.8879443376338392</v>
      </c>
      <c r="BF916" s="25">
        <f t="shared" si="1752"/>
        <v>-4.0712182410683573</v>
      </c>
      <c r="BG916" s="32">
        <f t="shared" si="1753"/>
        <v>-6.9591625787021965</v>
      </c>
      <c r="BH916" s="1115">
        <f t="shared" si="1754"/>
        <v>-2.4097287776688945</v>
      </c>
      <c r="BJ916" s="31">
        <f t="shared" si="1736"/>
        <v>3.4721075793143292</v>
      </c>
      <c r="BK916" s="25">
        <f t="shared" si="1737"/>
        <v>-2.5372236631649492</v>
      </c>
      <c r="BL916" s="32">
        <f t="shared" si="1738"/>
        <v>-6.0093312424792789</v>
      </c>
      <c r="BM916" s="1115">
        <f t="shared" si="1755"/>
        <v>-1.7307445420991245</v>
      </c>
      <c r="BO916" s="62"/>
      <c r="BP916" s="62"/>
      <c r="BQ916" s="62"/>
      <c r="BR916" s="63"/>
    </row>
    <row r="917" spans="1:70">
      <c r="B917" s="1284"/>
      <c r="D917" s="5" t="s">
        <v>164</v>
      </c>
      <c r="E917" s="46"/>
      <c r="F917" s="46"/>
      <c r="G917" s="46"/>
      <c r="H917" s="46"/>
      <c r="I917" s="46"/>
      <c r="J917" s="46"/>
      <c r="K917" s="46"/>
      <c r="L917" s="46"/>
      <c r="N917" s="29">
        <v>0.89630027020463887</v>
      </c>
      <c r="O917" s="29">
        <v>0.61199149847132439</v>
      </c>
      <c r="P917" s="29">
        <v>9.0096817844515245E-2</v>
      </c>
      <c r="Q917" s="29">
        <v>1.9000762421110599E-2</v>
      </c>
      <c r="R917" s="29">
        <v>0.57940625236545318</v>
      </c>
      <c r="S917" s="29">
        <v>0.16543468166041742</v>
      </c>
      <c r="T917" s="29">
        <v>0.1988982282619802</v>
      </c>
      <c r="U917" s="46"/>
      <c r="W917" s="30">
        <v>-3.5648115390100727</v>
      </c>
      <c r="X917" s="30">
        <v>18.512920900113642</v>
      </c>
      <c r="Y917" s="30">
        <v>-11.795325985420577</v>
      </c>
      <c r="Z917" s="30">
        <v>0.61435271672243652</v>
      </c>
      <c r="AA917" s="30">
        <v>2.1403439095575512</v>
      </c>
      <c r="AB917" s="30">
        <v>7.0156617361670186</v>
      </c>
      <c r="AC917" s="30">
        <v>-4.0681469467060261</v>
      </c>
      <c r="AD917" s="46"/>
      <c r="AF917" s="31">
        <f t="shared" si="1728"/>
        <v>0.89630027020463887</v>
      </c>
      <c r="AG917" s="25">
        <f t="shared" si="1729"/>
        <v>-3.5648115390100727</v>
      </c>
      <c r="AH917" s="32">
        <f t="shared" si="1739"/>
        <v>-4.461111809214712</v>
      </c>
      <c r="AI917" s="33">
        <f t="shared" si="1740"/>
        <v>-4.9772514385119768</v>
      </c>
      <c r="AK917" s="31">
        <f t="shared" si="1730"/>
        <v>0.61199149847132439</v>
      </c>
      <c r="AL917" s="25">
        <f t="shared" si="1731"/>
        <v>18.512920900113642</v>
      </c>
      <c r="AM917" s="32">
        <f t="shared" si="1741"/>
        <v>17.900929401642315</v>
      </c>
      <c r="AN917" s="33">
        <f t="shared" si="1742"/>
        <v>29.250290970310083</v>
      </c>
      <c r="AP917" s="31">
        <f t="shared" si="1732"/>
        <v>9.0096817844515245E-2</v>
      </c>
      <c r="AQ917" s="25">
        <f t="shared" si="1733"/>
        <v>-11.795325985420577</v>
      </c>
      <c r="AR917" s="32">
        <f t="shared" si="1743"/>
        <v>-11.885422803265092</v>
      </c>
      <c r="AS917" s="33">
        <f t="shared" si="1744"/>
        <v>-131.91834170854273</v>
      </c>
      <c r="AU917" s="31">
        <f t="shared" si="1745"/>
        <v>1.9000762421110599E-2</v>
      </c>
      <c r="AV917" s="25">
        <f t="shared" si="1746"/>
        <v>0.61435271672243652</v>
      </c>
      <c r="AW917" s="32">
        <f t="shared" si="1747"/>
        <v>0.59535195430132593</v>
      </c>
      <c r="AX917" s="33">
        <f t="shared" si="1748"/>
        <v>31.333056069364162</v>
      </c>
      <c r="AZ917" s="31">
        <f t="shared" si="1734"/>
        <v>0.57940625236545318</v>
      </c>
      <c r="BA917" s="25">
        <f t="shared" si="1735"/>
        <v>2.1403439095575512</v>
      </c>
      <c r="BB917" s="32">
        <f t="shared" si="1749"/>
        <v>1.5609376571920981</v>
      </c>
      <c r="BC917" s="33">
        <f t="shared" si="1750"/>
        <v>2.6940297085499112</v>
      </c>
      <c r="BE917" s="31">
        <f t="shared" si="1751"/>
        <v>0.16543468166041742</v>
      </c>
      <c r="BF917" s="25">
        <f t="shared" si="1752"/>
        <v>7.0156617361670186</v>
      </c>
      <c r="BG917" s="32">
        <f t="shared" si="1753"/>
        <v>6.8502270545066013</v>
      </c>
      <c r="BH917" s="1115">
        <f t="shared" si="1754"/>
        <v>41.4074424162634</v>
      </c>
      <c r="BJ917" s="31">
        <f t="shared" si="1736"/>
        <v>0.1988982282619802</v>
      </c>
      <c r="BK917" s="25">
        <f t="shared" si="1737"/>
        <v>-4.0681469467060261</v>
      </c>
      <c r="BL917" s="32">
        <f t="shared" si="1738"/>
        <v>-4.2670451749680058</v>
      </c>
      <c r="BM917" s="1115">
        <f t="shared" si="1755"/>
        <v>-21.453409677172374</v>
      </c>
      <c r="BO917" s="62"/>
      <c r="BP917" s="62"/>
      <c r="BQ917" s="62"/>
      <c r="BR917" s="63"/>
    </row>
    <row r="918" spans="1:70">
      <c r="B918" s="1284"/>
      <c r="D918" s="5" t="s">
        <v>165</v>
      </c>
      <c r="E918" s="46"/>
      <c r="F918" s="46"/>
      <c r="G918" s="46"/>
      <c r="H918" s="46"/>
      <c r="I918" s="46"/>
      <c r="J918" s="46"/>
      <c r="K918" s="46"/>
      <c r="L918" s="46"/>
      <c r="N918" s="29">
        <v>0.82139275617427587</v>
      </c>
      <c r="O918" s="29">
        <v>0.9790903626215528</v>
      </c>
      <c r="P918" s="29">
        <v>1.1837834581168594</v>
      </c>
      <c r="Q918" s="29">
        <v>1.5824039283972764</v>
      </c>
      <c r="R918" s="29">
        <v>1.8316623414185902</v>
      </c>
      <c r="S918" s="29">
        <v>1.9139913734879226</v>
      </c>
      <c r="T918" s="29">
        <v>2.3011468289151797</v>
      </c>
      <c r="U918" s="46"/>
      <c r="W918" s="30">
        <v>-4.5745736124548548</v>
      </c>
      <c r="X918" s="30">
        <v>11.559024841635274</v>
      </c>
      <c r="Y918" s="30">
        <v>-17.298715787389408</v>
      </c>
      <c r="Z918" s="30">
        <v>-4.602095521801008</v>
      </c>
      <c r="AA918" s="30">
        <v>-1.3538118545167879</v>
      </c>
      <c r="AB918" s="30">
        <v>3.5253033608679072</v>
      </c>
      <c r="AC918" s="30">
        <v>-7.388364294256764</v>
      </c>
      <c r="AD918" s="46"/>
      <c r="AF918" s="31">
        <f t="shared" si="1728"/>
        <v>0.82139275617427587</v>
      </c>
      <c r="AG918" s="25">
        <f t="shared" si="1729"/>
        <v>-4.5745736124548548</v>
      </c>
      <c r="AH918" s="32">
        <f t="shared" si="1739"/>
        <v>-5.3959663686291304</v>
      </c>
      <c r="AI918" s="33">
        <f t="shared" si="1740"/>
        <v>-6.5692889644673977</v>
      </c>
      <c r="AK918" s="31">
        <f t="shared" si="1730"/>
        <v>0.9790903626215528</v>
      </c>
      <c r="AL918" s="25">
        <f t="shared" si="1731"/>
        <v>11.559024841635274</v>
      </c>
      <c r="AM918" s="32">
        <f t="shared" si="1741"/>
        <v>10.579934479013721</v>
      </c>
      <c r="AN918" s="33">
        <f t="shared" si="1742"/>
        <v>10.80588154364581</v>
      </c>
      <c r="AP918" s="31">
        <f t="shared" si="1732"/>
        <v>1.1837834581168594</v>
      </c>
      <c r="AQ918" s="25">
        <f t="shared" si="1733"/>
        <v>-17.298715787389408</v>
      </c>
      <c r="AR918" s="32">
        <f t="shared" si="1743"/>
        <v>-18.482499245506268</v>
      </c>
      <c r="AS918" s="33">
        <f t="shared" si="1744"/>
        <v>-15.613074434160351</v>
      </c>
      <c r="AU918" s="31">
        <f t="shared" si="1745"/>
        <v>1.5824039283972764</v>
      </c>
      <c r="AV918" s="25">
        <f t="shared" si="1746"/>
        <v>-4.602095521801008</v>
      </c>
      <c r="AW918" s="32">
        <f t="shared" si="1747"/>
        <v>-6.1844994501982846</v>
      </c>
      <c r="AX918" s="33">
        <f t="shared" si="1748"/>
        <v>-3.9082937922570751</v>
      </c>
      <c r="AZ918" s="31">
        <f t="shared" si="1734"/>
        <v>1.8316623414185902</v>
      </c>
      <c r="BA918" s="25">
        <f t="shared" si="1735"/>
        <v>-1.3538118545167879</v>
      </c>
      <c r="BB918" s="32">
        <f t="shared" si="1749"/>
        <v>-3.1854741959353783</v>
      </c>
      <c r="BC918" s="33">
        <f t="shared" si="1750"/>
        <v>-1.7391164975681515</v>
      </c>
      <c r="BE918" s="31">
        <f t="shared" si="1751"/>
        <v>1.9139913734879226</v>
      </c>
      <c r="BF918" s="25">
        <f t="shared" si="1752"/>
        <v>3.5253033608679072</v>
      </c>
      <c r="BG918" s="32">
        <f t="shared" si="1753"/>
        <v>1.6113119873799846</v>
      </c>
      <c r="BH918" s="1115">
        <f t="shared" si="1754"/>
        <v>0.84185958709084641</v>
      </c>
      <c r="BJ918" s="31">
        <f t="shared" si="1736"/>
        <v>2.3011468289151797</v>
      </c>
      <c r="BK918" s="25">
        <f t="shared" si="1737"/>
        <v>-7.388364294256764</v>
      </c>
      <c r="BL918" s="32">
        <f t="shared" si="1738"/>
        <v>-9.6895111231719433</v>
      </c>
      <c r="BM918" s="1115">
        <f t="shared" si="1755"/>
        <v>-4.2107313629090894</v>
      </c>
      <c r="BO918" s="62"/>
      <c r="BP918" s="62"/>
      <c r="BQ918" s="62"/>
      <c r="BR918" s="63"/>
    </row>
    <row r="919" spans="1:70">
      <c r="B919" s="1284"/>
      <c r="D919" s="5" t="s">
        <v>166</v>
      </c>
      <c r="E919" s="46"/>
      <c r="F919" s="46"/>
      <c r="G919" s="46"/>
      <c r="H919" s="46"/>
      <c r="I919" s="46"/>
      <c r="J919" s="46"/>
      <c r="K919" s="46"/>
      <c r="L919" s="46"/>
      <c r="N919" s="29">
        <v>9.5351092574961577E-2</v>
      </c>
      <c r="O919" s="29">
        <v>1.2396730550962867</v>
      </c>
      <c r="P919" s="29">
        <v>0.24889811864332798</v>
      </c>
      <c r="Q919" s="29">
        <v>0.39275564403405483</v>
      </c>
      <c r="R919" s="29">
        <v>0.13543032321550225</v>
      </c>
      <c r="S919" s="29">
        <v>0</v>
      </c>
      <c r="T919" s="29">
        <v>0</v>
      </c>
      <c r="U919" s="46"/>
      <c r="W919" s="30">
        <v>-3.1109643260495012</v>
      </c>
      <c r="X919" s="30">
        <v>11.707528884706239</v>
      </c>
      <c r="Y919" s="30">
        <v>-10.430064908987731</v>
      </c>
      <c r="Z919" s="30">
        <v>-0.93421940423567307</v>
      </c>
      <c r="AA919" s="30">
        <v>0.88373192849489091</v>
      </c>
      <c r="AB919" s="30">
        <v>3.2426276732868087</v>
      </c>
      <c r="AC919" s="30">
        <v>-2.1584428544905561</v>
      </c>
      <c r="AD919" s="46"/>
      <c r="AF919" s="31">
        <f t="shared" si="1728"/>
        <v>9.5351092574961577E-2</v>
      </c>
      <c r="AG919" s="25">
        <f t="shared" si="1729"/>
        <v>-3.1109643260495012</v>
      </c>
      <c r="AH919" s="32">
        <f t="shared" si="1739"/>
        <v>-3.2063154186244627</v>
      </c>
      <c r="AI919" s="33">
        <f t="shared" si="1740"/>
        <v>-33.62641509433962</v>
      </c>
      <c r="AK919" s="31">
        <f t="shared" si="1730"/>
        <v>1.2396730550962867</v>
      </c>
      <c r="AL919" s="25">
        <f t="shared" si="1731"/>
        <v>11.707528884706239</v>
      </c>
      <c r="AM919" s="32">
        <f t="shared" si="1741"/>
        <v>10.467855829609952</v>
      </c>
      <c r="AN919" s="33">
        <f t="shared" si="1742"/>
        <v>8.4440456187836581</v>
      </c>
      <c r="AP919" s="31">
        <f t="shared" si="1732"/>
        <v>0.24889811864332798</v>
      </c>
      <c r="AQ919" s="25">
        <f t="shared" si="1733"/>
        <v>-10.430064908987731</v>
      </c>
      <c r="AR919" s="32">
        <f t="shared" si="1743"/>
        <v>-10.67896302763106</v>
      </c>
      <c r="AS919" s="33">
        <f t="shared" si="1744"/>
        <v>-42.904956798544781</v>
      </c>
      <c r="AU919" s="31">
        <f t="shared" si="1745"/>
        <v>0.39275564403405483</v>
      </c>
      <c r="AV919" s="25">
        <f t="shared" si="1746"/>
        <v>-0.93421940423567307</v>
      </c>
      <c r="AW919" s="32">
        <f t="shared" si="1747"/>
        <v>-1.3269750482697278</v>
      </c>
      <c r="AX919" s="33">
        <f t="shared" si="1748"/>
        <v>-3.3786275727069355</v>
      </c>
      <c r="AZ919" s="31">
        <f t="shared" si="1734"/>
        <v>0.13543032321550225</v>
      </c>
      <c r="BA919" s="25">
        <f t="shared" si="1735"/>
        <v>0.88373192849489091</v>
      </c>
      <c r="BB919" s="32">
        <f t="shared" si="1749"/>
        <v>0.74830160527938872</v>
      </c>
      <c r="BC919" s="33">
        <f t="shared" si="1750"/>
        <v>5.5253623229463962</v>
      </c>
      <c r="BE919" s="31">
        <f t="shared" si="1751"/>
        <v>0</v>
      </c>
      <c r="BF919" s="25">
        <f t="shared" si="1752"/>
        <v>3.2426276732868087</v>
      </c>
      <c r="BG919" s="32">
        <f t="shared" si="1753"/>
        <v>3.2426276732868087</v>
      </c>
      <c r="BH919" s="1115" t="e">
        <f t="shared" si="1754"/>
        <v>#DIV/0!</v>
      </c>
      <c r="BJ919" s="31">
        <f t="shared" si="1736"/>
        <v>0</v>
      </c>
      <c r="BK919" s="25">
        <f t="shared" si="1737"/>
        <v>-2.1584428544905561</v>
      </c>
      <c r="BL919" s="32">
        <f t="shared" si="1738"/>
        <v>-2.1584428544905561</v>
      </c>
      <c r="BM919" s="1115" t="e">
        <f t="shared" si="1755"/>
        <v>#DIV/0!</v>
      </c>
      <c r="BO919" s="62"/>
      <c r="BP919" s="62"/>
      <c r="BQ919" s="62"/>
      <c r="BR919" s="63"/>
    </row>
    <row r="920" spans="1:70">
      <c r="B920" s="1284"/>
      <c r="D920" s="5" t="s">
        <v>167</v>
      </c>
      <c r="E920" s="46"/>
      <c r="F920" s="46"/>
      <c r="G920" s="46"/>
      <c r="H920" s="46"/>
      <c r="I920" s="46"/>
      <c r="J920" s="46"/>
      <c r="K920" s="46"/>
      <c r="L920" s="46"/>
      <c r="N920" s="29">
        <v>0.12449614351296867</v>
      </c>
      <c r="O920" s="29">
        <v>0.34917823127958431</v>
      </c>
      <c r="P920" s="29">
        <v>1.3328896067047886</v>
      </c>
      <c r="Q920" s="29">
        <v>0.26634016688550977</v>
      </c>
      <c r="R920" s="29">
        <v>0.29484198429683262</v>
      </c>
      <c r="S920" s="29">
        <v>0.18976331131636115</v>
      </c>
      <c r="T920" s="29">
        <v>0.22814796771227139</v>
      </c>
      <c r="U920" s="46"/>
      <c r="W920" s="30">
        <v>-6.6078906846854482</v>
      </c>
      <c r="X920" s="30">
        <v>15.729518120785682</v>
      </c>
      <c r="Y920" s="30">
        <v>-17.765032476319352</v>
      </c>
      <c r="Z920" s="30">
        <v>1.0435173251641325</v>
      </c>
      <c r="AA920" s="30">
        <v>1.1531887167196662</v>
      </c>
      <c r="AB920" s="30">
        <v>4.7357389649958099</v>
      </c>
      <c r="AC920" s="30">
        <v>-5.4069811732528734</v>
      </c>
      <c r="AD920" s="46"/>
      <c r="AF920" s="31">
        <f t="shared" si="1728"/>
        <v>0.12449614351296867</v>
      </c>
      <c r="AG920" s="25">
        <f t="shared" si="1729"/>
        <v>-6.6078906846854482</v>
      </c>
      <c r="AH920" s="32">
        <f t="shared" si="1739"/>
        <v>-6.7323868281984165</v>
      </c>
      <c r="AI920" s="33">
        <f t="shared" si="1740"/>
        <v>-54.077071290944112</v>
      </c>
      <c r="AK920" s="31">
        <f t="shared" si="1730"/>
        <v>0.34917823127958431</v>
      </c>
      <c r="AL920" s="25">
        <f t="shared" si="1731"/>
        <v>15.729518120785682</v>
      </c>
      <c r="AM920" s="32">
        <f t="shared" si="1741"/>
        <v>15.380339889506098</v>
      </c>
      <c r="AN920" s="33">
        <f t="shared" si="1742"/>
        <v>44.047247255775176</v>
      </c>
      <c r="AP920" s="31">
        <f t="shared" si="1732"/>
        <v>1.3328896067047886</v>
      </c>
      <c r="AQ920" s="25">
        <f t="shared" si="1733"/>
        <v>-17.765032476319352</v>
      </c>
      <c r="AR920" s="32">
        <f t="shared" si="1743"/>
        <v>-19.097922083024141</v>
      </c>
      <c r="AS920" s="33">
        <f t="shared" si="1744"/>
        <v>-14.328209918478262</v>
      </c>
      <c r="AU920" s="31">
        <f t="shared" si="1745"/>
        <v>0.26634016688550977</v>
      </c>
      <c r="AV920" s="25">
        <f t="shared" si="1746"/>
        <v>1.0435173251641325</v>
      </c>
      <c r="AW920" s="32">
        <f t="shared" si="1747"/>
        <v>0.77717715827862277</v>
      </c>
      <c r="AX920" s="33">
        <f t="shared" si="1748"/>
        <v>2.9179870515463926</v>
      </c>
      <c r="AZ920" s="31">
        <f t="shared" si="1734"/>
        <v>0.29484198429683262</v>
      </c>
      <c r="BA920" s="25">
        <f t="shared" si="1735"/>
        <v>1.1531887167196662</v>
      </c>
      <c r="BB920" s="32">
        <f t="shared" si="1749"/>
        <v>0.85834673242283355</v>
      </c>
      <c r="BC920" s="33">
        <f t="shared" si="1750"/>
        <v>2.9112093193576247</v>
      </c>
      <c r="BE920" s="31">
        <f t="shared" si="1751"/>
        <v>0.18976331131636115</v>
      </c>
      <c r="BF920" s="25">
        <f t="shared" si="1752"/>
        <v>4.7357389649958099</v>
      </c>
      <c r="BG920" s="32">
        <f t="shared" si="1753"/>
        <v>4.5459756536794487</v>
      </c>
      <c r="BH920" s="1115">
        <f t="shared" si="1754"/>
        <v>23.956030394625078</v>
      </c>
      <c r="BJ920" s="31">
        <f t="shared" si="1736"/>
        <v>0.22814796771227139</v>
      </c>
      <c r="BK920" s="25">
        <f t="shared" si="1737"/>
        <v>-5.4069811732528734</v>
      </c>
      <c r="BL920" s="32">
        <f t="shared" si="1738"/>
        <v>-5.6351291409651445</v>
      </c>
      <c r="BM920" s="1115">
        <f t="shared" si="1755"/>
        <v>-24.699449210399642</v>
      </c>
      <c r="BO920" s="62"/>
      <c r="BP920" s="62"/>
      <c r="BQ920" s="62"/>
      <c r="BR920" s="63"/>
    </row>
    <row r="921" spans="1:70">
      <c r="B921" s="1284"/>
      <c r="D921" s="5" t="s">
        <v>168</v>
      </c>
      <c r="E921" s="46"/>
      <c r="F921" s="46"/>
      <c r="G921" s="46"/>
      <c r="H921" s="46"/>
      <c r="I921" s="46"/>
      <c r="J921" s="46"/>
      <c r="K921" s="46"/>
      <c r="L921" s="46"/>
      <c r="N921" s="29">
        <v>0</v>
      </c>
      <c r="O921" s="29">
        <v>0</v>
      </c>
      <c r="P921" s="29">
        <v>0</v>
      </c>
      <c r="Q921" s="29">
        <v>0</v>
      </c>
      <c r="R921" s="29">
        <v>0</v>
      </c>
      <c r="S921" s="29">
        <v>0</v>
      </c>
      <c r="T921" s="29">
        <v>0</v>
      </c>
      <c r="U921" s="46"/>
      <c r="W921" s="30">
        <v>3.242103763661575</v>
      </c>
      <c r="X921" s="30">
        <v>2.8969615096640116</v>
      </c>
      <c r="Y921" s="30">
        <v>-6.5411876408525904</v>
      </c>
      <c r="Z921" s="30">
        <v>-4.9635754624492217</v>
      </c>
      <c r="AA921" s="30">
        <v>-4.6020456732500925</v>
      </c>
      <c r="AB921" s="30">
        <v>-4.4790356673564533</v>
      </c>
      <c r="AC921" s="30">
        <v>-5.5742263150873059</v>
      </c>
      <c r="AD921" s="46"/>
      <c r="AF921" s="31">
        <f t="shared" si="1728"/>
        <v>0</v>
      </c>
      <c r="AG921" s="25">
        <f t="shared" si="1729"/>
        <v>3.242103763661575</v>
      </c>
      <c r="AH921" s="32">
        <f t="shared" si="1739"/>
        <v>3.242103763661575</v>
      </c>
      <c r="AI921" s="33" t="e">
        <f t="shared" si="1740"/>
        <v>#DIV/0!</v>
      </c>
      <c r="AK921" s="31">
        <f t="shared" si="1730"/>
        <v>0</v>
      </c>
      <c r="AL921" s="25">
        <f t="shared" si="1731"/>
        <v>2.8969615096640116</v>
      </c>
      <c r="AM921" s="32">
        <f t="shared" si="1741"/>
        <v>2.8969615096640116</v>
      </c>
      <c r="AN921" s="33" t="e">
        <f>AM921/AK921</f>
        <v>#DIV/0!</v>
      </c>
      <c r="AP921" s="31">
        <f t="shared" si="1732"/>
        <v>0</v>
      </c>
      <c r="AQ921" s="25">
        <f t="shared" si="1733"/>
        <v>-6.5411876408525904</v>
      </c>
      <c r="AR921" s="32">
        <f t="shared" si="1743"/>
        <v>-6.5411876408525904</v>
      </c>
      <c r="AS921" s="33" t="e">
        <f t="shared" si="1744"/>
        <v>#DIV/0!</v>
      </c>
      <c r="AU921" s="31">
        <f t="shared" si="1745"/>
        <v>0</v>
      </c>
      <c r="AV921" s="25">
        <f t="shared" si="1746"/>
        <v>-4.9635754624492217</v>
      </c>
      <c r="AW921" s="32">
        <f t="shared" si="1747"/>
        <v>-4.9635754624492217</v>
      </c>
      <c r="AX921" s="33" t="e">
        <f t="shared" si="1748"/>
        <v>#DIV/0!</v>
      </c>
      <c r="AZ921" s="31">
        <f t="shared" si="1734"/>
        <v>0</v>
      </c>
      <c r="BA921" s="25">
        <f t="shared" si="1735"/>
        <v>-4.6020456732500925</v>
      </c>
      <c r="BB921" s="32">
        <f t="shared" si="1749"/>
        <v>-4.6020456732500925</v>
      </c>
      <c r="BC921" s="33" t="e">
        <f t="shared" si="1750"/>
        <v>#DIV/0!</v>
      </c>
      <c r="BE921" s="31">
        <f t="shared" si="1751"/>
        <v>0</v>
      </c>
      <c r="BF921" s="25">
        <f t="shared" si="1752"/>
        <v>-4.4790356673564533</v>
      </c>
      <c r="BG921" s="32">
        <f t="shared" si="1753"/>
        <v>-4.4790356673564533</v>
      </c>
      <c r="BH921" s="1115" t="e">
        <f t="shared" si="1754"/>
        <v>#DIV/0!</v>
      </c>
      <c r="BJ921" s="31">
        <f t="shared" si="1736"/>
        <v>0</v>
      </c>
      <c r="BK921" s="25">
        <f t="shared" si="1737"/>
        <v>-5.5742263150873059</v>
      </c>
      <c r="BL921" s="32">
        <f t="shared" si="1738"/>
        <v>-5.5742263150873059</v>
      </c>
      <c r="BM921" s="1115" t="e">
        <f t="shared" si="1755"/>
        <v>#DIV/0!</v>
      </c>
      <c r="BO921" s="62"/>
      <c r="BP921" s="62"/>
      <c r="BQ921" s="62"/>
      <c r="BR921" s="63"/>
    </row>
    <row r="922" spans="1:70">
      <c r="B922" s="1284"/>
      <c r="D922" s="5" t="s">
        <v>169</v>
      </c>
      <c r="E922" s="46"/>
      <c r="F922" s="46"/>
      <c r="G922" s="46"/>
      <c r="H922" s="46"/>
      <c r="I922" s="46"/>
      <c r="J922" s="46"/>
      <c r="K922" s="46"/>
      <c r="L922" s="46"/>
      <c r="N922" s="29">
        <v>0.43696821372085182</v>
      </c>
      <c r="O922" s="29">
        <v>0.92483637925231554</v>
      </c>
      <c r="P922" s="29">
        <v>9.4277284413771437E-2</v>
      </c>
      <c r="Q922" s="29">
        <v>0.14274013836949381</v>
      </c>
      <c r="R922" s="29">
        <v>0.34403677838624613</v>
      </c>
      <c r="S922" s="29">
        <v>0.39294103777062456</v>
      </c>
      <c r="T922" s="29">
        <v>0.47242377136148483</v>
      </c>
      <c r="U922" s="46"/>
      <c r="W922" s="30">
        <v>8.9344637548673891</v>
      </c>
      <c r="X922" s="30">
        <v>3.1229133499234458</v>
      </c>
      <c r="Y922" s="30">
        <v>-3.5489495180920421</v>
      </c>
      <c r="Z922" s="30">
        <v>-2.1378116125259541</v>
      </c>
      <c r="AA922" s="30">
        <v>-1.5283887300119776</v>
      </c>
      <c r="AB922" s="30">
        <v>-1.9328079954258142</v>
      </c>
      <c r="AC922" s="30">
        <v>-2.7202412848137421</v>
      </c>
      <c r="AD922" s="46"/>
      <c r="AF922" s="31">
        <f t="shared" si="1728"/>
        <v>0.43696821372085182</v>
      </c>
      <c r="AG922" s="25">
        <f t="shared" si="1729"/>
        <v>8.9344637548673891</v>
      </c>
      <c r="AH922" s="32">
        <f t="shared" si="1739"/>
        <v>8.497495541146538</v>
      </c>
      <c r="AI922" s="33">
        <f t="shared" si="1740"/>
        <v>19.446484376492862</v>
      </c>
      <c r="AK922" s="31">
        <f t="shared" si="1730"/>
        <v>0.92483637925231554</v>
      </c>
      <c r="AL922" s="25">
        <f t="shared" si="1731"/>
        <v>3.1229133499234458</v>
      </c>
      <c r="AM922" s="32">
        <f t="shared" si="1741"/>
        <v>2.1980769706711305</v>
      </c>
      <c r="AN922" s="33">
        <f t="shared" si="1742"/>
        <v>2.3767198392954296</v>
      </c>
      <c r="AP922" s="31">
        <f t="shared" si="1732"/>
        <v>9.4277284413771437E-2</v>
      </c>
      <c r="AQ922" s="25">
        <f t="shared" si="1733"/>
        <v>-3.5489495180920421</v>
      </c>
      <c r="AR922" s="32">
        <f t="shared" si="1743"/>
        <v>-3.6432268025058137</v>
      </c>
      <c r="AS922" s="33">
        <f t="shared" si="1744"/>
        <v>-38.643739318117589</v>
      </c>
      <c r="AU922" s="31">
        <f t="shared" si="1745"/>
        <v>0.14274013836949381</v>
      </c>
      <c r="AV922" s="25">
        <f t="shared" si="1746"/>
        <v>-2.1378116125259541</v>
      </c>
      <c r="AW922" s="32">
        <f t="shared" si="1747"/>
        <v>-2.280551750895448</v>
      </c>
      <c r="AX922" s="33">
        <f t="shared" si="1748"/>
        <v>-15.976947878473149</v>
      </c>
      <c r="AZ922" s="31">
        <f t="shared" si="1734"/>
        <v>0.34403677838624613</v>
      </c>
      <c r="BA922" s="25">
        <f t="shared" si="1735"/>
        <v>-1.5283887300119776</v>
      </c>
      <c r="BB922" s="32">
        <f t="shared" si="1749"/>
        <v>-1.8724255083982237</v>
      </c>
      <c r="BC922" s="33">
        <f t="shared" si="1750"/>
        <v>-5.4425155275000083</v>
      </c>
      <c r="BE922" s="31">
        <f t="shared" si="1751"/>
        <v>0.39294103777062456</v>
      </c>
      <c r="BF922" s="25">
        <f t="shared" si="1752"/>
        <v>-1.9328079954258142</v>
      </c>
      <c r="BG922" s="32">
        <f t="shared" si="1753"/>
        <v>-2.3257490331964386</v>
      </c>
      <c r="BH922" s="1115">
        <f t="shared" si="1754"/>
        <v>-5.9188244790916231</v>
      </c>
      <c r="BJ922" s="31">
        <f t="shared" si="1736"/>
        <v>0.47242377136148483</v>
      </c>
      <c r="BK922" s="25">
        <f t="shared" si="1737"/>
        <v>-2.7202412848137421</v>
      </c>
      <c r="BL922" s="32">
        <f t="shared" si="1738"/>
        <v>-3.192665056175227</v>
      </c>
      <c r="BM922" s="1115">
        <f t="shared" si="1755"/>
        <v>-6.7580533616550236</v>
      </c>
      <c r="BO922" s="62"/>
      <c r="BP922" s="62"/>
      <c r="BQ922" s="62"/>
      <c r="BR922" s="63"/>
    </row>
    <row r="923" spans="1:70">
      <c r="B923" s="1284"/>
      <c r="D923" s="5" t="s">
        <v>170</v>
      </c>
      <c r="E923" s="46"/>
      <c r="F923" s="46"/>
      <c r="G923" s="46"/>
      <c r="H923" s="46"/>
      <c r="I923" s="46"/>
      <c r="J923" s="46"/>
      <c r="K923" s="46"/>
      <c r="L923" s="46"/>
      <c r="N923" s="29">
        <v>1.976968748856367</v>
      </c>
      <c r="O923" s="29">
        <v>2.0530536263159957</v>
      </c>
      <c r="P923" s="29">
        <v>1.9046728382450608</v>
      </c>
      <c r="Q923" s="29">
        <v>2.8011671643583416</v>
      </c>
      <c r="R923" s="29">
        <v>3.2626153578782757</v>
      </c>
      <c r="S923" s="29">
        <v>2.4227217962771439</v>
      </c>
      <c r="T923" s="29">
        <v>2.912781455585812</v>
      </c>
      <c r="U923" s="46"/>
      <c r="W923" s="30">
        <v>13.139698076454151</v>
      </c>
      <c r="X923" s="30">
        <v>6.6535939503512243</v>
      </c>
      <c r="Y923" s="30">
        <v>-4.2107195369477122</v>
      </c>
      <c r="Z923" s="30">
        <v>-5.8570182863544584</v>
      </c>
      <c r="AA923" s="30">
        <v>-4.8901793205667232</v>
      </c>
      <c r="AB923" s="30">
        <v>-5.8453454990038001</v>
      </c>
      <c r="AC923" s="30">
        <v>-4.7096519461338904</v>
      </c>
      <c r="AD923" s="46"/>
      <c r="AF923" s="31">
        <f t="shared" si="1728"/>
        <v>1.976968748856367</v>
      </c>
      <c r="AG923" s="25">
        <f t="shared" si="1729"/>
        <v>13.139698076454151</v>
      </c>
      <c r="AH923" s="32">
        <f t="shared" si="1739"/>
        <v>11.162729327597784</v>
      </c>
      <c r="AI923" s="33">
        <f t="shared" si="1740"/>
        <v>5.6463863346626892</v>
      </c>
      <c r="AK923" s="31">
        <f t="shared" si="1730"/>
        <v>2.0530536263159957</v>
      </c>
      <c r="AL923" s="25">
        <f t="shared" si="1731"/>
        <v>6.6535939503512243</v>
      </c>
      <c r="AM923" s="32">
        <f t="shared" si="1741"/>
        <v>4.6005403240352285</v>
      </c>
      <c r="AN923" s="33">
        <f t="shared" si="1742"/>
        <v>2.2408281328191357</v>
      </c>
      <c r="AP923" s="31">
        <f t="shared" si="1732"/>
        <v>1.9046728382450608</v>
      </c>
      <c r="AQ923" s="25">
        <f t="shared" si="1733"/>
        <v>-4.2107195369477122</v>
      </c>
      <c r="AR923" s="32">
        <f t="shared" si="1743"/>
        <v>-6.1153923751927728</v>
      </c>
      <c r="AS923" s="33">
        <f t="shared" si="1744"/>
        <v>-3.2107311305113222</v>
      </c>
      <c r="AU923" s="31">
        <f t="shared" si="1745"/>
        <v>2.8011671643583416</v>
      </c>
      <c r="AV923" s="25">
        <f t="shared" si="1746"/>
        <v>-5.8570182863544584</v>
      </c>
      <c r="AW923" s="32">
        <f t="shared" si="1747"/>
        <v>-8.6581854507128</v>
      </c>
      <c r="AX923" s="33">
        <f t="shared" si="1748"/>
        <v>-3.0909206565314409</v>
      </c>
      <c r="AZ923" s="31">
        <f t="shared" si="1734"/>
        <v>3.2626153578782757</v>
      </c>
      <c r="BA923" s="25">
        <f t="shared" si="1735"/>
        <v>-4.8901793205667232</v>
      </c>
      <c r="BB923" s="32">
        <f t="shared" si="1749"/>
        <v>-8.1527946784449981</v>
      </c>
      <c r="BC923" s="33">
        <f t="shared" si="1750"/>
        <v>-2.4988525413387603</v>
      </c>
      <c r="BE923" s="31">
        <f t="shared" si="1751"/>
        <v>2.4227217962771439</v>
      </c>
      <c r="BF923" s="25">
        <f t="shared" si="1752"/>
        <v>-5.8453454990038001</v>
      </c>
      <c r="BG923" s="32">
        <f t="shared" si="1753"/>
        <v>-8.2680672952809431</v>
      </c>
      <c r="BH923" s="1115">
        <f t="shared" si="1754"/>
        <v>-3.4127184177671586</v>
      </c>
      <c r="BJ923" s="31">
        <f t="shared" si="1736"/>
        <v>2.912781455585812</v>
      </c>
      <c r="BK923" s="25">
        <f t="shared" si="1737"/>
        <v>-4.7096519461338904</v>
      </c>
      <c r="BL923" s="32">
        <f t="shared" si="1738"/>
        <v>-7.622433401719702</v>
      </c>
      <c r="BM923" s="1115">
        <f t="shared" si="1755"/>
        <v>-2.6168916267652822</v>
      </c>
      <c r="BO923" s="62"/>
      <c r="BP923" s="62"/>
      <c r="BQ923" s="62"/>
      <c r="BR923" s="63"/>
    </row>
    <row r="924" spans="1:70">
      <c r="B924" s="1284"/>
      <c r="D924" s="5" t="s">
        <v>171</v>
      </c>
      <c r="E924" s="46"/>
      <c r="F924" s="46"/>
      <c r="G924" s="46"/>
      <c r="H924" s="46"/>
      <c r="I924" s="46"/>
      <c r="J924" s="46"/>
      <c r="K924" s="46"/>
      <c r="L924" s="46"/>
      <c r="N924" s="29">
        <v>-0.89020946153060176</v>
      </c>
      <c r="O924" s="29">
        <v>-0.72041763903935685</v>
      </c>
      <c r="P924" s="29">
        <v>-0.86738468263593671</v>
      </c>
      <c r="Q924" s="29">
        <v>3.1955982770066558</v>
      </c>
      <c r="R924" s="29">
        <v>3.0645736155191328</v>
      </c>
      <c r="S924" s="29">
        <v>1.1965813170296336</v>
      </c>
      <c r="T924" s="29">
        <v>1.4386215849051032</v>
      </c>
      <c r="U924" s="46"/>
      <c r="W924" s="30">
        <v>-7.4016994757388899</v>
      </c>
      <c r="X924" s="30">
        <v>2.7994499051393342</v>
      </c>
      <c r="Y924" s="30">
        <v>-6.8938025355369117</v>
      </c>
      <c r="Z924" s="30">
        <v>-4.213103726650794</v>
      </c>
      <c r="AA924" s="30">
        <v>-4.9086570641034442</v>
      </c>
      <c r="AB924" s="30">
        <v>-3.9200256304392496</v>
      </c>
      <c r="AC924" s="30">
        <v>-4.7995580845849375</v>
      </c>
      <c r="AD924" s="46"/>
      <c r="AF924" s="31">
        <f t="shared" si="1728"/>
        <v>-0.89020946153060176</v>
      </c>
      <c r="AG924" s="25">
        <f t="shared" si="1729"/>
        <v>-7.4016994757388899</v>
      </c>
      <c r="AH924" s="32">
        <f t="shared" si="1739"/>
        <v>-6.5114900142082881</v>
      </c>
      <c r="AI924" s="33">
        <f t="shared" si="1740"/>
        <v>7.3145594330267061</v>
      </c>
      <c r="AK924" s="31">
        <f t="shared" si="1730"/>
        <v>-0.72041763903935685</v>
      </c>
      <c r="AL924" s="25">
        <f t="shared" si="1731"/>
        <v>2.7994499051393342</v>
      </c>
      <c r="AM924" s="32">
        <f t="shared" si="1741"/>
        <v>3.5198675441786911</v>
      </c>
      <c r="AN924" s="33">
        <f t="shared" si="1742"/>
        <v>-4.8858708524575682</v>
      </c>
      <c r="AP924" s="31">
        <f t="shared" si="1732"/>
        <v>-0.86738468263593671</v>
      </c>
      <c r="AQ924" s="25">
        <f t="shared" si="1733"/>
        <v>-6.8938025355369117</v>
      </c>
      <c r="AR924" s="32">
        <f t="shared" si="1743"/>
        <v>-6.0264178529009751</v>
      </c>
      <c r="AS924" s="33">
        <f t="shared" si="1744"/>
        <v>6.9478029455016506</v>
      </c>
      <c r="AU924" s="31">
        <f t="shared" si="1745"/>
        <v>3.1955982770066558</v>
      </c>
      <c r="AV924" s="25">
        <f t="shared" si="1746"/>
        <v>-4.213103726650794</v>
      </c>
      <c r="AW924" s="32">
        <f t="shared" si="1747"/>
        <v>-7.4087020036574494</v>
      </c>
      <c r="AX924" s="33">
        <f t="shared" si="1748"/>
        <v>-2.3184084360557495</v>
      </c>
      <c r="AZ924" s="31">
        <f t="shared" si="1734"/>
        <v>3.0645736155191328</v>
      </c>
      <c r="BA924" s="25">
        <f t="shared" si="1735"/>
        <v>-4.9086570641034442</v>
      </c>
      <c r="BB924" s="32">
        <f t="shared" si="1749"/>
        <v>-7.9732306796225769</v>
      </c>
      <c r="BC924" s="33">
        <f t="shared" si="1750"/>
        <v>-2.6017422584485468</v>
      </c>
      <c r="BE924" s="31">
        <f t="shared" si="1751"/>
        <v>1.1965813170296336</v>
      </c>
      <c r="BF924" s="25">
        <f t="shared" si="1752"/>
        <v>-3.9200256304392496</v>
      </c>
      <c r="BG924" s="32">
        <f t="shared" si="1753"/>
        <v>-5.1166069474688829</v>
      </c>
      <c r="BH924" s="1115">
        <f t="shared" si="1754"/>
        <v>-4.2760210899583759</v>
      </c>
      <c r="BJ924" s="31">
        <f t="shared" si="1736"/>
        <v>1.4386215849051032</v>
      </c>
      <c r="BK924" s="25">
        <f t="shared" si="1737"/>
        <v>-4.7995580845849375</v>
      </c>
      <c r="BL924" s="32">
        <f t="shared" si="1738"/>
        <v>-6.2381796694900409</v>
      </c>
      <c r="BM924" s="1115">
        <f t="shared" si="1755"/>
        <v>-4.3362199865098887</v>
      </c>
      <c r="BO924" s="62"/>
      <c r="BP924" s="62"/>
      <c r="BQ924" s="62"/>
      <c r="BR924" s="63"/>
    </row>
    <row r="925" spans="1:70">
      <c r="B925" s="1284"/>
      <c r="D925" s="5" t="s">
        <v>172</v>
      </c>
      <c r="E925" s="46"/>
      <c r="F925" s="46"/>
      <c r="G925" s="46"/>
      <c r="H925" s="46"/>
      <c r="I925" s="46"/>
      <c r="J925" s="46"/>
      <c r="K925" s="46"/>
      <c r="L925" s="46"/>
      <c r="N925" s="29">
        <v>1.5279515865325446</v>
      </c>
      <c r="O925" s="29">
        <v>0.87924693009243426</v>
      </c>
      <c r="P925" s="29">
        <v>2.746760588948034</v>
      </c>
      <c r="Q925" s="29">
        <v>5.5586746127788205</v>
      </c>
      <c r="R925" s="29">
        <v>7.1047994864609088</v>
      </c>
      <c r="S925" s="29">
        <v>7.717032636047505</v>
      </c>
      <c r="T925" s="29">
        <v>9.2780069048663982</v>
      </c>
      <c r="U925" s="46"/>
      <c r="W925" s="30">
        <v>-5.2371547672451095</v>
      </c>
      <c r="X925" s="30">
        <v>3.5505837979262562</v>
      </c>
      <c r="Y925" s="30">
        <v>-6.3204809352487503</v>
      </c>
      <c r="Z925" s="30">
        <v>-2.6147436496492342</v>
      </c>
      <c r="AA925" s="30">
        <v>-2.8037426081421999</v>
      </c>
      <c r="AB925" s="30">
        <v>-3.7938370635003018</v>
      </c>
      <c r="AC925" s="30">
        <v>-5.1043837047102913</v>
      </c>
      <c r="AD925" s="46"/>
      <c r="AF925" s="31">
        <f t="shared" si="1728"/>
        <v>1.5279515865325446</v>
      </c>
      <c r="AG925" s="25">
        <f t="shared" si="1729"/>
        <v>-5.2371547672451095</v>
      </c>
      <c r="AH925" s="32">
        <f t="shared" si="1739"/>
        <v>-6.7651063537776537</v>
      </c>
      <c r="AI925" s="33">
        <f t="shared" si="1740"/>
        <v>-4.4275659081123377</v>
      </c>
      <c r="AK925" s="31">
        <f t="shared" si="1730"/>
        <v>0.87924693009243426</v>
      </c>
      <c r="AL925" s="25">
        <f t="shared" si="1731"/>
        <v>3.5505837979262562</v>
      </c>
      <c r="AM925" s="32">
        <f t="shared" si="1741"/>
        <v>2.6713368678338218</v>
      </c>
      <c r="AN925" s="33">
        <f t="shared" si="1742"/>
        <v>3.038210059548331</v>
      </c>
      <c r="AP925" s="31">
        <f t="shared" si="1732"/>
        <v>2.746760588948034</v>
      </c>
      <c r="AQ925" s="25">
        <f t="shared" si="1733"/>
        <v>-6.3204809352487503</v>
      </c>
      <c r="AR925" s="32">
        <f t="shared" si="1743"/>
        <v>-9.0672415241967848</v>
      </c>
      <c r="AS925" s="33">
        <f t="shared" si="1744"/>
        <v>-3.3010672865629673</v>
      </c>
      <c r="AU925" s="31">
        <f t="shared" si="1745"/>
        <v>5.5586746127788205</v>
      </c>
      <c r="AV925" s="25">
        <f t="shared" si="1746"/>
        <v>-2.6147436496492342</v>
      </c>
      <c r="AW925" s="32">
        <f t="shared" si="1747"/>
        <v>-8.1734182624280542</v>
      </c>
      <c r="AX925" s="33">
        <f t="shared" si="1748"/>
        <v>-1.4703897658694047</v>
      </c>
      <c r="AZ925" s="31">
        <f t="shared" si="1734"/>
        <v>7.1047994864609088</v>
      </c>
      <c r="BA925" s="25">
        <f t="shared" si="1735"/>
        <v>-2.8037426081421999</v>
      </c>
      <c r="BB925" s="32">
        <f t="shared" si="1749"/>
        <v>-9.9085420946031082</v>
      </c>
      <c r="BC925" s="33">
        <f t="shared" si="1750"/>
        <v>-1.3946265638439317</v>
      </c>
      <c r="BE925" s="31">
        <f t="shared" si="1751"/>
        <v>7.717032636047505</v>
      </c>
      <c r="BF925" s="25">
        <f t="shared" si="1752"/>
        <v>-3.7938370635003018</v>
      </c>
      <c r="BG925" s="32">
        <f t="shared" si="1753"/>
        <v>-11.510869699547808</v>
      </c>
      <c r="BH925" s="1115">
        <f t="shared" si="1754"/>
        <v>-1.4916186366478066</v>
      </c>
      <c r="BJ925" s="31">
        <f t="shared" si="1736"/>
        <v>9.2780069048663982</v>
      </c>
      <c r="BK925" s="25">
        <f t="shared" si="1737"/>
        <v>-5.1043837047102913</v>
      </c>
      <c r="BL925" s="32">
        <f t="shared" si="1738"/>
        <v>-14.382390609576689</v>
      </c>
      <c r="BM925" s="1115">
        <f t="shared" si="1755"/>
        <v>-1.5501595069985339</v>
      </c>
      <c r="BO925" s="62"/>
      <c r="BP925" s="62"/>
      <c r="BQ925" s="62"/>
      <c r="BR925" s="63"/>
    </row>
    <row r="926" spans="1:70">
      <c r="B926" s="1284"/>
      <c r="D926" s="5" t="s">
        <v>28</v>
      </c>
      <c r="E926" s="46"/>
      <c r="F926" s="46"/>
      <c r="G926" s="46"/>
      <c r="H926" s="46"/>
      <c r="I926" s="46"/>
      <c r="J926" s="46"/>
      <c r="K926" s="46"/>
      <c r="L926" s="46"/>
      <c r="N926" s="29">
        <v>28.175889212868494</v>
      </c>
      <c r="O926" s="29">
        <v>34.760145012261916</v>
      </c>
      <c r="P926" s="29">
        <v>33.304493899194355</v>
      </c>
      <c r="Q926" s="29">
        <v>37.767699494000411</v>
      </c>
      <c r="R926" s="29">
        <v>42.371621044769796</v>
      </c>
      <c r="S926" s="29">
        <v>28.424551128779346</v>
      </c>
      <c r="T926" s="29">
        <v>34.174169538774422</v>
      </c>
      <c r="U926" s="46"/>
      <c r="W926" s="30">
        <v>22.422290307624518</v>
      </c>
      <c r="X926" s="30">
        <v>26.586072151907718</v>
      </c>
      <c r="Y926" s="30">
        <v>19.263591124120126</v>
      </c>
      <c r="Z926" s="30">
        <v>18.934189869810496</v>
      </c>
      <c r="AA926" s="30">
        <v>27.819889009648705</v>
      </c>
      <c r="AB926" s="30">
        <v>30.977217258850256</v>
      </c>
      <c r="AC926" s="30">
        <v>28.762594489266053</v>
      </c>
      <c r="AD926" s="46"/>
      <c r="AF926" s="31">
        <f t="shared" si="1728"/>
        <v>28.175889212868494</v>
      </c>
      <c r="AG926" s="25">
        <f t="shared" si="1729"/>
        <v>22.422290307624518</v>
      </c>
      <c r="AH926" s="32">
        <f t="shared" si="1739"/>
        <v>-5.753598905243976</v>
      </c>
      <c r="AI926" s="33">
        <f t="shared" si="1740"/>
        <v>-0.2042029219300093</v>
      </c>
      <c r="AK926" s="31">
        <f t="shared" si="1730"/>
        <v>34.760145012261916</v>
      </c>
      <c r="AL926" s="25">
        <f t="shared" si="1731"/>
        <v>26.586072151907718</v>
      </c>
      <c r="AM926" s="32">
        <f t="shared" si="1741"/>
        <v>-8.1740728603541974</v>
      </c>
      <c r="AN926" s="33">
        <f t="shared" si="1742"/>
        <v>-0.23515646604669596</v>
      </c>
      <c r="AP926" s="31">
        <f t="shared" si="1732"/>
        <v>33.304493899194355</v>
      </c>
      <c r="AQ926" s="25">
        <f t="shared" si="1733"/>
        <v>19.263591124120126</v>
      </c>
      <c r="AR926" s="32">
        <f t="shared" si="1743"/>
        <v>-14.04090277507423</v>
      </c>
      <c r="AS926" s="33">
        <f t="shared" si="1744"/>
        <v>-0.42159183735303307</v>
      </c>
      <c r="AU926" s="31">
        <f t="shared" si="1745"/>
        <v>37.767699494000411</v>
      </c>
      <c r="AV926" s="25">
        <f t="shared" si="1746"/>
        <v>18.934189869810496</v>
      </c>
      <c r="AW926" s="32">
        <f t="shared" si="1747"/>
        <v>-18.833509624189915</v>
      </c>
      <c r="AX926" s="33">
        <f t="shared" si="1748"/>
        <v>-0.49866711175198036</v>
      </c>
      <c r="AZ926" s="31">
        <f t="shared" si="1734"/>
        <v>42.371621044769796</v>
      </c>
      <c r="BA926" s="25">
        <f t="shared" si="1735"/>
        <v>27.819889009648705</v>
      </c>
      <c r="BB926" s="32">
        <f t="shared" si="1749"/>
        <v>-14.551732035121091</v>
      </c>
      <c r="BC926" s="33">
        <f t="shared" si="1750"/>
        <v>-0.34343109081773743</v>
      </c>
      <c r="BE926" s="31">
        <f t="shared" si="1751"/>
        <v>28.424551128779346</v>
      </c>
      <c r="BF926" s="25">
        <f t="shared" si="1752"/>
        <v>30.977217258850256</v>
      </c>
      <c r="BG926" s="32">
        <f t="shared" si="1753"/>
        <v>2.5526661300709108</v>
      </c>
      <c r="BH926" s="1115">
        <f t="shared" si="1754"/>
        <v>8.9804975934567433E-2</v>
      </c>
      <c r="BJ926" s="31">
        <f t="shared" si="1736"/>
        <v>34.174169538774422</v>
      </c>
      <c r="BK926" s="25">
        <f t="shared" si="1737"/>
        <v>28.762594489266053</v>
      </c>
      <c r="BL926" s="32">
        <f t="shared" si="1738"/>
        <v>-5.4115750495083681</v>
      </c>
      <c r="BM926" s="1115">
        <f t="shared" si="1755"/>
        <v>-0.15835278874497097</v>
      </c>
      <c r="BO926" s="62"/>
      <c r="BP926" s="62"/>
      <c r="BQ926" s="62"/>
      <c r="BR926" s="63"/>
    </row>
    <row r="927" spans="1:70">
      <c r="B927" s="1284"/>
      <c r="D927" s="5" t="s">
        <v>173</v>
      </c>
      <c r="E927" s="46"/>
      <c r="F927" s="46"/>
      <c r="G927" s="46"/>
      <c r="H927" s="46"/>
      <c r="I927" s="46"/>
      <c r="J927" s="46"/>
      <c r="K927" s="46"/>
      <c r="L927" s="46"/>
      <c r="N927" s="29">
        <v>0.30153612632769111</v>
      </c>
      <c r="O927" s="29">
        <v>-0.12622047993166896</v>
      </c>
      <c r="P927" s="29">
        <v>-7.7638401004840887E-2</v>
      </c>
      <c r="Q927" s="29">
        <v>-0.16183843034638787</v>
      </c>
      <c r="R927" s="29">
        <v>1.1468662505803797</v>
      </c>
      <c r="S927" s="29">
        <v>-0.53031648934457409</v>
      </c>
      <c r="T927" s="29">
        <v>-0.63758704698487934</v>
      </c>
      <c r="U927" s="46"/>
      <c r="W927" s="30">
        <v>-10.229999565046427</v>
      </c>
      <c r="X927" s="30">
        <v>-5.7945245995807895</v>
      </c>
      <c r="Y927" s="30">
        <v>-0.94682670666465396</v>
      </c>
      <c r="Z927" s="30">
        <v>-6.4547969375598591</v>
      </c>
      <c r="AA927" s="30">
        <v>-1.2584277861022295</v>
      </c>
      <c r="AB927" s="30">
        <v>-2.221988297282103</v>
      </c>
      <c r="AC927" s="30">
        <v>-5.8127540989923459</v>
      </c>
      <c r="AD927" s="46"/>
      <c r="AF927" s="31">
        <f t="shared" si="1728"/>
        <v>0.30153612632769111</v>
      </c>
      <c r="AG927" s="25">
        <f t="shared" si="1729"/>
        <v>-10.229999565046427</v>
      </c>
      <c r="AH927" s="32">
        <f t="shared" si="1739"/>
        <v>-10.531535691374119</v>
      </c>
      <c r="AI927" s="33">
        <f t="shared" si="1740"/>
        <v>-34.926281701745701</v>
      </c>
      <c r="AK927" s="31">
        <f t="shared" si="1730"/>
        <v>-0.12622047993166896</v>
      </c>
      <c r="AL927" s="25">
        <f t="shared" si="1731"/>
        <v>-5.7945245995807895</v>
      </c>
      <c r="AM927" s="32">
        <f t="shared" si="1741"/>
        <v>-5.6683041196491208</v>
      </c>
      <c r="AN927" s="33">
        <f t="shared" si="1742"/>
        <v>44.907958856738055</v>
      </c>
      <c r="AP927" s="31">
        <f t="shared" si="1732"/>
        <v>-7.7638401004840887E-2</v>
      </c>
      <c r="AQ927" s="25">
        <f t="shared" si="1733"/>
        <v>-0.94682670666465396</v>
      </c>
      <c r="AR927" s="32">
        <f t="shared" si="1743"/>
        <v>-0.86918830565981309</v>
      </c>
      <c r="AS927" s="33">
        <f t="shared" si="1744"/>
        <v>11.195340120485193</v>
      </c>
      <c r="AU927" s="31">
        <f t="shared" si="1745"/>
        <v>-0.16183843034638787</v>
      </c>
      <c r="AV927" s="25">
        <f t="shared" si="1746"/>
        <v>-6.4547969375598591</v>
      </c>
      <c r="AW927" s="32">
        <f t="shared" si="1747"/>
        <v>-6.2929585072134708</v>
      </c>
      <c r="AX927" s="33">
        <f t="shared" si="1748"/>
        <v>38.884203793527</v>
      </c>
      <c r="AZ927" s="31">
        <f t="shared" si="1734"/>
        <v>1.1468662505803797</v>
      </c>
      <c r="BA927" s="25">
        <f t="shared" si="1735"/>
        <v>-1.2584277861022295</v>
      </c>
      <c r="BB927" s="32">
        <f t="shared" si="1749"/>
        <v>-2.4052940366826094</v>
      </c>
      <c r="BC927" s="33">
        <f t="shared" si="1750"/>
        <v>-2.0972751055019656</v>
      </c>
      <c r="BE927" s="31">
        <f t="shared" si="1751"/>
        <v>-0.53031648934457409</v>
      </c>
      <c r="BF927" s="25">
        <f t="shared" si="1752"/>
        <v>-2.221988297282103</v>
      </c>
      <c r="BG927" s="32">
        <f t="shared" si="1753"/>
        <v>-1.6916718079375288</v>
      </c>
      <c r="BH927" s="1115">
        <f t="shared" si="1754"/>
        <v>3.189928734873567</v>
      </c>
      <c r="BJ927" s="31">
        <f t="shared" si="1736"/>
        <v>-0.63758704698487934</v>
      </c>
      <c r="BK927" s="25">
        <f t="shared" si="1737"/>
        <v>-5.8127540989923459</v>
      </c>
      <c r="BL927" s="32">
        <f t="shared" si="1738"/>
        <v>-5.1751670520074669</v>
      </c>
      <c r="BM927" s="1115">
        <f t="shared" si="1755"/>
        <v>8.1168007983860413</v>
      </c>
      <c r="BO927" s="62"/>
      <c r="BP927" s="62"/>
      <c r="BQ927" s="62"/>
      <c r="BR927" s="63"/>
    </row>
    <row r="928" spans="1:70">
      <c r="A928" s="1"/>
      <c r="B928" s="1284"/>
      <c r="D928" s="4" t="s">
        <v>174</v>
      </c>
      <c r="E928" s="46"/>
      <c r="F928" s="46"/>
      <c r="G928" s="46"/>
      <c r="H928" s="46"/>
      <c r="I928" s="46"/>
      <c r="J928" s="46"/>
      <c r="K928" s="46"/>
      <c r="L928" s="46"/>
      <c r="M928" s="1"/>
      <c r="N928" s="81">
        <f t="shared" ref="N928:S928" si="1756">SUM(N914:N927)</f>
        <v>36.446889184823554</v>
      </c>
      <c r="O928" s="81">
        <f t="shared" si="1756"/>
        <v>46.041472644282109</v>
      </c>
      <c r="P928" s="81">
        <f t="shared" si="1756"/>
        <v>45.430267569143567</v>
      </c>
      <c r="Q928" s="81">
        <f t="shared" si="1756"/>
        <v>56.327172279503145</v>
      </c>
      <c r="R928" s="81">
        <f t="shared" si="1756"/>
        <v>65.125877581970997</v>
      </c>
      <c r="S928" s="81">
        <f t="shared" si="1756"/>
        <v>48.174000103492752</v>
      </c>
      <c r="T928" s="81">
        <f t="shared" ref="T928" si="1757">SUM(T914:T927)</f>
        <v>57.918467716130166</v>
      </c>
      <c r="U928" s="46"/>
      <c r="V928" s="1"/>
      <c r="W928" s="85">
        <f t="shared" ref="W928:AB928" si="1758">SUM(W914:W927)</f>
        <v>-8.7222163996683904</v>
      </c>
      <c r="X928" s="85">
        <f t="shared" si="1758"/>
        <v>83.773876970050878</v>
      </c>
      <c r="Y928" s="85">
        <f t="shared" si="1758"/>
        <v>-72.572272747761602</v>
      </c>
      <c r="Z928" s="85">
        <f t="shared" si="1758"/>
        <v>-17.948509230324984</v>
      </c>
      <c r="AA928" s="85">
        <f t="shared" si="1758"/>
        <v>-1.381983503901038</v>
      </c>
      <c r="AB928" s="85">
        <f t="shared" si="1758"/>
        <v>13.61054627311862</v>
      </c>
      <c r="AC928" s="85">
        <f t="shared" ref="AC928" si="1759">SUM(AC914:AC927)</f>
        <v>-39.687866612846292</v>
      </c>
      <c r="AD928" s="46"/>
      <c r="AE928" s="1"/>
      <c r="AF928" s="949">
        <f t="shared" si="1728"/>
        <v>36.446889184823554</v>
      </c>
      <c r="AG928" s="843">
        <f t="shared" si="1729"/>
        <v>-8.7222163996683904</v>
      </c>
      <c r="AH928" s="34">
        <f t="shared" si="1739"/>
        <v>-45.169105584491945</v>
      </c>
      <c r="AI928" s="35">
        <f t="shared" si="1740"/>
        <v>-1.2393130550988234</v>
      </c>
      <c r="AK928" s="949">
        <f t="shared" si="1730"/>
        <v>46.041472644282109</v>
      </c>
      <c r="AL928" s="843">
        <f t="shared" si="1731"/>
        <v>83.773876970050878</v>
      </c>
      <c r="AM928" s="34">
        <f t="shared" si="1741"/>
        <v>37.732404325768769</v>
      </c>
      <c r="AN928" s="35">
        <f t="shared" si="1742"/>
        <v>0.81953078732495233</v>
      </c>
      <c r="AP928" s="949">
        <f t="shared" si="1732"/>
        <v>45.430267569143567</v>
      </c>
      <c r="AQ928" s="843">
        <f t="shared" si="1733"/>
        <v>-72.572272747761602</v>
      </c>
      <c r="AR928" s="34">
        <f t="shared" si="1743"/>
        <v>-118.00254031690517</v>
      </c>
      <c r="AS928" s="35">
        <f t="shared" si="1744"/>
        <v>-2.5974432164043209</v>
      </c>
      <c r="AU928" s="949">
        <f t="shared" si="1745"/>
        <v>56.327172279503145</v>
      </c>
      <c r="AV928" s="843">
        <f t="shared" si="1746"/>
        <v>-17.948509230324984</v>
      </c>
      <c r="AW928" s="34">
        <f t="shared" si="1747"/>
        <v>-74.275681509828132</v>
      </c>
      <c r="AX928" s="35">
        <f t="shared" si="1748"/>
        <v>-1.3186474396630816</v>
      </c>
      <c r="AZ928" s="949">
        <f t="shared" si="1734"/>
        <v>65.125877581970997</v>
      </c>
      <c r="BA928" s="843">
        <f t="shared" si="1735"/>
        <v>-1.381983503901038</v>
      </c>
      <c r="BB928" s="34">
        <f t="shared" si="1749"/>
        <v>-66.507861085872037</v>
      </c>
      <c r="BC928" s="35">
        <f t="shared" si="1750"/>
        <v>-1.0212201901181539</v>
      </c>
      <c r="BE928" s="949">
        <f t="shared" si="1751"/>
        <v>48.174000103492752</v>
      </c>
      <c r="BF928" s="843">
        <f t="shared" si="1752"/>
        <v>13.61054627311862</v>
      </c>
      <c r="BG928" s="32">
        <f t="shared" si="1753"/>
        <v>-34.563453830374129</v>
      </c>
      <c r="BH928" s="1115">
        <f t="shared" si="1754"/>
        <v>-0.71747112044092387</v>
      </c>
      <c r="BJ928" s="949">
        <f t="shared" si="1736"/>
        <v>57.918467716130166</v>
      </c>
      <c r="BK928" s="843">
        <f t="shared" si="1737"/>
        <v>-39.687866612846292</v>
      </c>
      <c r="BL928" s="32">
        <f t="shared" si="1738"/>
        <v>-97.606334328976459</v>
      </c>
      <c r="BM928" s="1115">
        <f t="shared" si="1755"/>
        <v>-1.685236819581698</v>
      </c>
      <c r="BO928" s="62"/>
      <c r="BP928" s="62"/>
      <c r="BQ928" s="62"/>
      <c r="BR928" s="63"/>
    </row>
    <row r="929" spans="1:70">
      <c r="A929" s="1"/>
      <c r="B929" s="1285"/>
      <c r="D929" s="4" t="s">
        <v>724</v>
      </c>
      <c r="E929" s="46"/>
      <c r="F929" s="46"/>
      <c r="G929" s="46"/>
      <c r="H929" s="46"/>
      <c r="I929" s="46"/>
      <c r="J929" s="46"/>
      <c r="K929" s="46"/>
      <c r="L929" s="46"/>
      <c r="M929" s="1"/>
      <c r="N929" s="81">
        <f t="shared" ref="N929:S929" si="1760">N928-SUM(N917:N920)</f>
        <v>34.509348922356708</v>
      </c>
      <c r="O929" s="81">
        <f t="shared" si="1760"/>
        <v>42.861539496813364</v>
      </c>
      <c r="P929" s="81">
        <f t="shared" si="1760"/>
        <v>42.574599567834078</v>
      </c>
      <c r="Q929" s="81">
        <f t="shared" si="1760"/>
        <v>54.066671777765194</v>
      </c>
      <c r="R929" s="81">
        <f t="shared" si="1760"/>
        <v>62.28453668067462</v>
      </c>
      <c r="S929" s="81">
        <f t="shared" si="1760"/>
        <v>45.90481073702805</v>
      </c>
      <c r="T929" s="81">
        <f t="shared" ref="T929" si="1761">T928-SUM(T917:T920)</f>
        <v>55.190274691240738</v>
      </c>
      <c r="U929" s="46"/>
      <c r="V929" s="1"/>
      <c r="W929" s="85">
        <f t="shared" ref="W929:AB929" si="1762">W928-SUM(W917:W920)</f>
        <v>9.1360237625314866</v>
      </c>
      <c r="X929" s="85">
        <f t="shared" si="1762"/>
        <v>26.264884222810039</v>
      </c>
      <c r="Y929" s="85">
        <f t="shared" si="1762"/>
        <v>-15.283133589644535</v>
      </c>
      <c r="Z929" s="85">
        <f t="shared" si="1762"/>
        <v>-14.07006434617487</v>
      </c>
      <c r="AA929" s="85">
        <f t="shared" si="1762"/>
        <v>-4.2054362041563582</v>
      </c>
      <c r="AB929" s="85">
        <f t="shared" si="1762"/>
        <v>-4.9087854621989226</v>
      </c>
      <c r="AC929" s="85">
        <f t="shared" ref="AC929" si="1763">AC928-SUM(AC917:AC920)</f>
        <v>-20.665931344140073</v>
      </c>
      <c r="AD929" s="46"/>
      <c r="AE929" s="1"/>
      <c r="AF929" s="949">
        <f t="shared" si="1728"/>
        <v>34.509348922356708</v>
      </c>
      <c r="AG929" s="843">
        <f t="shared" si="1729"/>
        <v>9.1360237625314866</v>
      </c>
      <c r="AH929" s="34">
        <f t="shared" si="1739"/>
        <v>-25.373325159825221</v>
      </c>
      <c r="AI929" s="35">
        <f t="shared" si="1740"/>
        <v>-0.73525945728252329</v>
      </c>
      <c r="AK929" s="949">
        <f t="shared" si="1730"/>
        <v>42.861539496813364</v>
      </c>
      <c r="AL929" s="843">
        <f t="shared" si="1731"/>
        <v>26.264884222810039</v>
      </c>
      <c r="AM929" s="34">
        <f t="shared" si="1741"/>
        <v>-16.596655274003325</v>
      </c>
      <c r="AN929" s="35">
        <f t="shared" si="1742"/>
        <v>-0.38721556595598344</v>
      </c>
      <c r="AP929" s="949">
        <f t="shared" si="1732"/>
        <v>42.574599567834078</v>
      </c>
      <c r="AQ929" s="843">
        <f t="shared" si="1733"/>
        <v>-15.283133589644535</v>
      </c>
      <c r="AR929" s="34">
        <f t="shared" si="1743"/>
        <v>-57.857733157478613</v>
      </c>
      <c r="AS929" s="35">
        <f t="shared" si="1744"/>
        <v>-1.3589730436640732</v>
      </c>
      <c r="AU929" s="949">
        <f t="shared" si="1745"/>
        <v>54.066671777765194</v>
      </c>
      <c r="AV929" s="843">
        <f t="shared" si="1746"/>
        <v>-14.07006434617487</v>
      </c>
      <c r="AW929" s="34">
        <f t="shared" si="1747"/>
        <v>-68.136736123940068</v>
      </c>
      <c r="AX929" s="35">
        <f t="shared" si="1748"/>
        <v>-1.2602354441939434</v>
      </c>
      <c r="AZ929" s="949">
        <f t="shared" si="1734"/>
        <v>62.28453668067462</v>
      </c>
      <c r="BA929" s="843">
        <f t="shared" si="1735"/>
        <v>-4.2054362041563582</v>
      </c>
      <c r="BB929" s="34">
        <f t="shared" si="1749"/>
        <v>-66.489972884830976</v>
      </c>
      <c r="BC929" s="35">
        <f t="shared" si="1750"/>
        <v>-1.0675197477299563</v>
      </c>
      <c r="BE929" s="949">
        <f t="shared" si="1751"/>
        <v>45.90481073702805</v>
      </c>
      <c r="BF929" s="843">
        <f t="shared" si="1752"/>
        <v>-4.9087854621989226</v>
      </c>
      <c r="BG929" s="32">
        <f t="shared" si="1753"/>
        <v>-50.813596199226971</v>
      </c>
      <c r="BH929" s="1115">
        <f t="shared" si="1754"/>
        <v>-1.1069340093856299</v>
      </c>
      <c r="BJ929" s="949">
        <f t="shared" si="1736"/>
        <v>55.190274691240738</v>
      </c>
      <c r="BK929" s="843">
        <f t="shared" si="1737"/>
        <v>-20.665931344140073</v>
      </c>
      <c r="BL929" s="32">
        <f t="shared" si="1738"/>
        <v>-75.856206035380808</v>
      </c>
      <c r="BM929" s="1115">
        <f t="shared" si="1755"/>
        <v>-1.3744487857644232</v>
      </c>
      <c r="BO929" s="62"/>
      <c r="BP929" s="62"/>
      <c r="BQ929" s="62"/>
      <c r="BR929" s="63"/>
    </row>
    <row r="930" spans="1:70" customFormat="1"/>
    <row r="931" spans="1:70" customFormat="1"/>
    <row r="932" spans="1:70" customFormat="1"/>
    <row r="933" spans="1:70" customFormat="1"/>
    <row r="934" spans="1:70" customFormat="1"/>
    <row r="935" spans="1:70" customFormat="1"/>
    <row r="936" spans="1:70" customFormat="1"/>
    <row r="937" spans="1:70">
      <c r="BO937"/>
    </row>
    <row r="939" spans="1:70">
      <c r="W939" s="122"/>
      <c r="Y939" s="122"/>
    </row>
    <row r="940" spans="1:70">
      <c r="W940" s="122"/>
      <c r="Y940" s="122"/>
    </row>
    <row r="941" spans="1:70">
      <c r="W941" s="122"/>
      <c r="Y941" s="122"/>
    </row>
    <row r="942" spans="1:70">
      <c r="W942" s="122"/>
      <c r="Y942" s="122"/>
    </row>
    <row r="943" spans="1:70">
      <c r="W943" s="122"/>
      <c r="Y943" s="122"/>
    </row>
    <row r="944" spans="1:70">
      <c r="W944" s="122"/>
      <c r="Y944" s="122"/>
    </row>
    <row r="945" spans="23:25">
      <c r="W945" s="122"/>
      <c r="Y945" s="122"/>
    </row>
    <row r="946" spans="23:25">
      <c r="W946" s="122"/>
      <c r="Y946" s="122"/>
    </row>
    <row r="947" spans="23:25">
      <c r="W947" s="122"/>
      <c r="Y947" s="122"/>
    </row>
    <row r="948" spans="23:25">
      <c r="W948" s="122"/>
      <c r="Y948" s="122"/>
    </row>
    <row r="949" spans="23:25">
      <c r="W949" s="122"/>
      <c r="Y949" s="122"/>
    </row>
    <row r="950" spans="23:25">
      <c r="W950" s="122"/>
      <c r="Y950" s="122"/>
    </row>
    <row r="951" spans="23:25">
      <c r="W951" s="122"/>
      <c r="Y951" s="122"/>
    </row>
    <row r="952" spans="23:25">
      <c r="W952" s="122"/>
      <c r="Y952" s="122"/>
    </row>
    <row r="953" spans="23:25">
      <c r="W953" s="122"/>
    </row>
  </sheetData>
  <sortState xmlns:xlrd2="http://schemas.microsoft.com/office/spreadsheetml/2017/richdata2" ref="M154:Q168">
    <sortCondition descending="1" ref="N96:N110"/>
  </sortState>
  <mergeCells count="298">
    <mergeCell ref="BL149:BM149"/>
    <mergeCell ref="BQ149:BR149"/>
    <mergeCell ref="BQ772:BR772"/>
    <mergeCell ref="BQ732:BR732"/>
    <mergeCell ref="AH752:AI752"/>
    <mergeCell ref="AM752:AN752"/>
    <mergeCell ref="AR752:AS752"/>
    <mergeCell ref="AW752:AX752"/>
    <mergeCell ref="BB752:BC752"/>
    <mergeCell ref="BQ752:BR752"/>
    <mergeCell ref="AH732:AI732"/>
    <mergeCell ref="AM732:AN732"/>
    <mergeCell ref="AR732:AS732"/>
    <mergeCell ref="AW732:AX732"/>
    <mergeCell ref="BB732:BC732"/>
    <mergeCell ref="BQ692:BR692"/>
    <mergeCell ref="AH712:AI712"/>
    <mergeCell ref="AM712:AN712"/>
    <mergeCell ref="BQ712:BR712"/>
    <mergeCell ref="AH692:AI692"/>
    <mergeCell ref="AM692:AN692"/>
    <mergeCell ref="AR692:AS692"/>
    <mergeCell ref="AW692:AX692"/>
    <mergeCell ref="BB692:BC692"/>
    <mergeCell ref="BQ912:BR912"/>
    <mergeCell ref="E912:L912"/>
    <mergeCell ref="AH912:AI912"/>
    <mergeCell ref="AM912:AN912"/>
    <mergeCell ref="AR912:AS912"/>
    <mergeCell ref="AW912:AX912"/>
    <mergeCell ref="BB912:BC912"/>
    <mergeCell ref="H53:J53"/>
    <mergeCell ref="K53:M53"/>
    <mergeCell ref="V53:X53"/>
    <mergeCell ref="E53:G53"/>
    <mergeCell ref="E452:L452"/>
    <mergeCell ref="E472:L472"/>
    <mergeCell ref="E492:L492"/>
    <mergeCell ref="E392:L392"/>
    <mergeCell ref="E412:L412"/>
    <mergeCell ref="E432:L432"/>
    <mergeCell ref="E269:L269"/>
    <mergeCell ref="W269:AD269"/>
    <mergeCell ref="E292:L292"/>
    <mergeCell ref="W292:AD292"/>
    <mergeCell ref="E312:L312"/>
    <mergeCell ref="BQ892:BR892"/>
    <mergeCell ref="AH892:AI892"/>
    <mergeCell ref="B3:B69"/>
    <mergeCell ref="S53:U53"/>
    <mergeCell ref="B146:B929"/>
    <mergeCell ref="E852:L852"/>
    <mergeCell ref="E892:L892"/>
    <mergeCell ref="E772:L772"/>
    <mergeCell ref="E812:L812"/>
    <mergeCell ref="E672:L672"/>
    <mergeCell ref="Y53:AA53"/>
    <mergeCell ref="W249:AD249"/>
    <mergeCell ref="E692:L692"/>
    <mergeCell ref="E832:L832"/>
    <mergeCell ref="E712:L712"/>
    <mergeCell ref="E732:L732"/>
    <mergeCell ref="E752:L752"/>
    <mergeCell ref="E792:L792"/>
    <mergeCell ref="E632:L632"/>
    <mergeCell ref="E652:L652"/>
    <mergeCell ref="E572:L572"/>
    <mergeCell ref="E592:L592"/>
    <mergeCell ref="E612:L612"/>
    <mergeCell ref="E512:L512"/>
    <mergeCell ref="E532:L532"/>
    <mergeCell ref="E552:L552"/>
    <mergeCell ref="AM892:AN892"/>
    <mergeCell ref="AR892:AS892"/>
    <mergeCell ref="AW892:AX892"/>
    <mergeCell ref="BB892:BC892"/>
    <mergeCell ref="BQ832:BR832"/>
    <mergeCell ref="BQ872:BR872"/>
    <mergeCell ref="AH832:AI832"/>
    <mergeCell ref="AM832:AN832"/>
    <mergeCell ref="AR832:AS832"/>
    <mergeCell ref="AW832:AX832"/>
    <mergeCell ref="BB832:BC832"/>
    <mergeCell ref="AM812:AN812"/>
    <mergeCell ref="AR812:AS812"/>
    <mergeCell ref="AW812:AX812"/>
    <mergeCell ref="BB812:BC812"/>
    <mergeCell ref="BQ812:BR812"/>
    <mergeCell ref="AH772:AI772"/>
    <mergeCell ref="AM772:AN772"/>
    <mergeCell ref="AR772:AS772"/>
    <mergeCell ref="AW772:AX772"/>
    <mergeCell ref="AH792:AI792"/>
    <mergeCell ref="AM792:AN792"/>
    <mergeCell ref="AR792:AS792"/>
    <mergeCell ref="AW792:AX792"/>
    <mergeCell ref="BB792:BC792"/>
    <mergeCell ref="BQ792:BR792"/>
    <mergeCell ref="AH672:AI672"/>
    <mergeCell ref="AM672:AN672"/>
    <mergeCell ref="AR672:AS672"/>
    <mergeCell ref="AW672:AX672"/>
    <mergeCell ref="BB672:BC672"/>
    <mergeCell ref="BQ672:BR672"/>
    <mergeCell ref="AH652:AI652"/>
    <mergeCell ref="AM652:AN652"/>
    <mergeCell ref="AR652:AS652"/>
    <mergeCell ref="AW652:AX652"/>
    <mergeCell ref="BB652:BC652"/>
    <mergeCell ref="AH632:AI632"/>
    <mergeCell ref="AM632:AN632"/>
    <mergeCell ref="AR632:AS632"/>
    <mergeCell ref="AW632:AX632"/>
    <mergeCell ref="BB632:BC632"/>
    <mergeCell ref="BQ632:BR632"/>
    <mergeCell ref="BQ652:BR652"/>
    <mergeCell ref="BQ592:BR592"/>
    <mergeCell ref="AH612:AI612"/>
    <mergeCell ref="AM612:AN612"/>
    <mergeCell ref="AR612:AS612"/>
    <mergeCell ref="AW612:AX612"/>
    <mergeCell ref="BB612:BC612"/>
    <mergeCell ref="BQ612:BR612"/>
    <mergeCell ref="AH592:AI592"/>
    <mergeCell ref="AM592:AN592"/>
    <mergeCell ref="AR592:AS592"/>
    <mergeCell ref="AW592:AX592"/>
    <mergeCell ref="BB592:BC592"/>
    <mergeCell ref="BQ552:BR552"/>
    <mergeCell ref="AH572:AI572"/>
    <mergeCell ref="AM572:AN572"/>
    <mergeCell ref="AR572:AS572"/>
    <mergeCell ref="AW572:AX572"/>
    <mergeCell ref="BB572:BC572"/>
    <mergeCell ref="BQ572:BR572"/>
    <mergeCell ref="AH552:AI552"/>
    <mergeCell ref="AM552:AN552"/>
    <mergeCell ref="AR552:AS552"/>
    <mergeCell ref="AW552:AX552"/>
    <mergeCell ref="BB552:BC552"/>
    <mergeCell ref="BQ512:BR512"/>
    <mergeCell ref="AH532:AI532"/>
    <mergeCell ref="AM532:AN532"/>
    <mergeCell ref="AR532:AS532"/>
    <mergeCell ref="AW532:AX532"/>
    <mergeCell ref="BB532:BC532"/>
    <mergeCell ref="BQ532:BR532"/>
    <mergeCell ref="AH512:AI512"/>
    <mergeCell ref="AM512:AN512"/>
    <mergeCell ref="AR512:AS512"/>
    <mergeCell ref="AW512:AX512"/>
    <mergeCell ref="BB512:BC512"/>
    <mergeCell ref="BQ472:BR472"/>
    <mergeCell ref="AH492:AI492"/>
    <mergeCell ref="AM492:AN492"/>
    <mergeCell ref="AR492:AS492"/>
    <mergeCell ref="AW492:AX492"/>
    <mergeCell ref="BB492:BC492"/>
    <mergeCell ref="BQ492:BR492"/>
    <mergeCell ref="AH472:AI472"/>
    <mergeCell ref="AM472:AN472"/>
    <mergeCell ref="AR472:AS472"/>
    <mergeCell ref="AW472:AX472"/>
    <mergeCell ref="BB472:BC472"/>
    <mergeCell ref="BQ432:BR432"/>
    <mergeCell ref="AH452:AI452"/>
    <mergeCell ref="AM452:AN452"/>
    <mergeCell ref="AR452:AS452"/>
    <mergeCell ref="AW452:AX452"/>
    <mergeCell ref="BB452:BC452"/>
    <mergeCell ref="BQ452:BR452"/>
    <mergeCell ref="AH432:AI432"/>
    <mergeCell ref="AM432:AN432"/>
    <mergeCell ref="AR432:AS432"/>
    <mergeCell ref="AW432:AX432"/>
    <mergeCell ref="BB432:BC432"/>
    <mergeCell ref="BQ352:BR352"/>
    <mergeCell ref="AH332:AI332"/>
    <mergeCell ref="AM332:AN332"/>
    <mergeCell ref="AR332:AS332"/>
    <mergeCell ref="AW332:AX332"/>
    <mergeCell ref="BB332:BC332"/>
    <mergeCell ref="BQ412:BR412"/>
    <mergeCell ref="AH392:AI392"/>
    <mergeCell ref="AM392:AN392"/>
    <mergeCell ref="AR392:AS392"/>
    <mergeCell ref="AW392:AX392"/>
    <mergeCell ref="BB392:BC392"/>
    <mergeCell ref="BQ372:BR372"/>
    <mergeCell ref="AH372:AI372"/>
    <mergeCell ref="AM372:AN372"/>
    <mergeCell ref="AR372:AS372"/>
    <mergeCell ref="AW372:AX372"/>
    <mergeCell ref="BB372:BC372"/>
    <mergeCell ref="BQ392:BR392"/>
    <mergeCell ref="BQ209:BR209"/>
    <mergeCell ref="BQ229:BR229"/>
    <mergeCell ref="AH249:AI249"/>
    <mergeCell ref="AM249:AN249"/>
    <mergeCell ref="AR249:AS249"/>
    <mergeCell ref="AW249:AX249"/>
    <mergeCell ref="BB249:BC249"/>
    <mergeCell ref="BQ249:BR249"/>
    <mergeCell ref="AH229:AI229"/>
    <mergeCell ref="AM229:AN229"/>
    <mergeCell ref="AR229:AS229"/>
    <mergeCell ref="AW229:AX229"/>
    <mergeCell ref="BB229:BC229"/>
    <mergeCell ref="BQ169:BR169"/>
    <mergeCell ref="AH189:AI189"/>
    <mergeCell ref="AM189:AN189"/>
    <mergeCell ref="AR189:AS189"/>
    <mergeCell ref="AW189:AX189"/>
    <mergeCell ref="BB189:BC189"/>
    <mergeCell ref="BQ189:BR189"/>
    <mergeCell ref="AH169:AI169"/>
    <mergeCell ref="AM169:AN169"/>
    <mergeCell ref="AR169:AS169"/>
    <mergeCell ref="AW169:AX169"/>
    <mergeCell ref="BQ269:BR269"/>
    <mergeCell ref="AH852:AI852"/>
    <mergeCell ref="AM852:AN852"/>
    <mergeCell ref="AR852:AS852"/>
    <mergeCell ref="AW852:AX852"/>
    <mergeCell ref="BB852:BC852"/>
    <mergeCell ref="BQ852:BR852"/>
    <mergeCell ref="BQ292:BR292"/>
    <mergeCell ref="AH312:AI312"/>
    <mergeCell ref="AM312:AN312"/>
    <mergeCell ref="AR312:AS312"/>
    <mergeCell ref="AW312:AX312"/>
    <mergeCell ref="BB312:BC312"/>
    <mergeCell ref="BQ312:BR312"/>
    <mergeCell ref="AH292:AI292"/>
    <mergeCell ref="AM292:AN292"/>
    <mergeCell ref="AR292:AS292"/>
    <mergeCell ref="AW292:AX292"/>
    <mergeCell ref="AH269:AI269"/>
    <mergeCell ref="AM269:AN269"/>
    <mergeCell ref="AR269:AS269"/>
    <mergeCell ref="AW269:AX269"/>
    <mergeCell ref="BQ332:BR332"/>
    <mergeCell ref="AH352:AI352"/>
    <mergeCell ref="E872:L872"/>
    <mergeCell ref="AH872:AI872"/>
    <mergeCell ref="AM872:AN872"/>
    <mergeCell ref="AR872:AS872"/>
    <mergeCell ref="AW872:AX872"/>
    <mergeCell ref="BB872:BC872"/>
    <mergeCell ref="BB292:BC292"/>
    <mergeCell ref="AH412:AI412"/>
    <mergeCell ref="AM412:AN412"/>
    <mergeCell ref="AR412:AS412"/>
    <mergeCell ref="AW412:AX412"/>
    <mergeCell ref="BB412:BC412"/>
    <mergeCell ref="BB772:BC772"/>
    <mergeCell ref="E332:L332"/>
    <mergeCell ref="E352:L352"/>
    <mergeCell ref="E372:L372"/>
    <mergeCell ref="AR712:AS712"/>
    <mergeCell ref="AW712:AX712"/>
    <mergeCell ref="BB712:BC712"/>
    <mergeCell ref="AH812:AI812"/>
    <mergeCell ref="AM352:AN352"/>
    <mergeCell ref="AR352:AS352"/>
    <mergeCell ref="AW352:AX352"/>
    <mergeCell ref="BB352:BC352"/>
    <mergeCell ref="E169:L169"/>
    <mergeCell ref="W169:AD169"/>
    <mergeCell ref="BB269:BC269"/>
    <mergeCell ref="AH149:AI149"/>
    <mergeCell ref="AM149:AN149"/>
    <mergeCell ref="AR149:AS149"/>
    <mergeCell ref="AW149:AX149"/>
    <mergeCell ref="BB169:BC169"/>
    <mergeCell ref="BB149:BC149"/>
    <mergeCell ref="E189:L189"/>
    <mergeCell ref="W189:AD189"/>
    <mergeCell ref="E209:L209"/>
    <mergeCell ref="W209:AD209"/>
    <mergeCell ref="E229:L229"/>
    <mergeCell ref="W229:AD229"/>
    <mergeCell ref="E249:L249"/>
    <mergeCell ref="AH209:AI209"/>
    <mergeCell ref="AM209:AN209"/>
    <mergeCell ref="AR209:AS209"/>
    <mergeCell ref="AW209:AX209"/>
    <mergeCell ref="BB209:BC209"/>
    <mergeCell ref="E93:I93"/>
    <mergeCell ref="J93:N93"/>
    <mergeCell ref="J73:N73"/>
    <mergeCell ref="E73:I73"/>
    <mergeCell ref="E114:H114"/>
    <mergeCell ref="I114:L114"/>
    <mergeCell ref="E134:H134"/>
    <mergeCell ref="I134:L134"/>
    <mergeCell ref="W149:AD149"/>
    <mergeCell ref="E149:L149"/>
  </mergeCells>
  <conditionalFormatting sqref="AJ1:AJ26 V27:V46 AJ47:AJ929 AJ937:AJ1048576">
    <cfRule type="cellIs" dxfId="11" priority="2" operator="lessThan">
      <formula>0</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tableParts count="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9" tint="-0.249977111117893"/>
  </sheetPr>
  <dimension ref="A1:R29"/>
  <sheetViews>
    <sheetView zoomScale="90" zoomScaleNormal="90" workbookViewId="0">
      <selection activeCell="E10" sqref="E10"/>
    </sheetView>
  </sheetViews>
  <sheetFormatPr defaultColWidth="9.1796875" defaultRowHeight="14.5"/>
  <cols>
    <col min="1" max="1" width="56.1796875" style="794" bestFit="1" customWidth="1"/>
    <col min="2" max="2" width="10.81640625" style="794" customWidth="1"/>
    <col min="3" max="3" width="12.81640625" style="794" customWidth="1"/>
    <col min="4" max="4" width="10.81640625" style="794" bestFit="1" customWidth="1"/>
    <col min="5" max="6" width="9.1796875" style="794"/>
    <col min="7" max="7" width="9.1796875" style="815"/>
    <col min="8" max="8" width="9.1796875" style="812"/>
    <col min="9" max="9" width="9.1796875" style="794"/>
    <col min="10" max="10" width="35.1796875" style="794" bestFit="1" customWidth="1"/>
    <col min="11" max="11" width="13.26953125" style="794" customWidth="1"/>
    <col min="12" max="13" width="9.1796875" style="794"/>
    <col min="14" max="14" width="17.81640625" style="794" bestFit="1" customWidth="1"/>
    <col min="15" max="15" width="9.1796875" style="794"/>
    <col min="16" max="16" width="38.26953125" style="794" bestFit="1" customWidth="1"/>
    <col min="17" max="17" width="9.1796875" style="794"/>
    <col min="18" max="18" width="28.1796875" style="794" bestFit="1" customWidth="1"/>
    <col min="19" max="16384" width="9.1796875" style="794"/>
  </cols>
  <sheetData>
    <row r="1" spans="1:18" ht="20" thickBot="1">
      <c r="A1" s="885" t="s">
        <v>743</v>
      </c>
      <c r="B1" s="885"/>
      <c r="C1" s="885"/>
      <c r="D1" s="885"/>
      <c r="E1" s="885"/>
      <c r="F1" s="885"/>
      <c r="G1" s="1309" t="s">
        <v>602</v>
      </c>
      <c r="H1" s="1310"/>
      <c r="J1" s="794" t="s">
        <v>744</v>
      </c>
      <c r="P1" s="794" t="s">
        <v>745</v>
      </c>
    </row>
    <row r="2" spans="1:18" ht="34.5">
      <c r="A2" s="795" t="s">
        <v>631</v>
      </c>
      <c r="B2" s="796" t="s">
        <v>674</v>
      </c>
      <c r="C2" s="797" t="s">
        <v>675</v>
      </c>
      <c r="D2" s="798" t="s">
        <v>298</v>
      </c>
      <c r="E2" s="799" t="s">
        <v>676</v>
      </c>
      <c r="G2" s="813" t="s">
        <v>734</v>
      </c>
      <c r="H2" s="810" t="s">
        <v>606</v>
      </c>
      <c r="J2" s="800"/>
      <c r="K2" s="801" t="s">
        <v>734</v>
      </c>
      <c r="L2" s="802" t="s">
        <v>606</v>
      </c>
      <c r="P2" s="986"/>
      <c r="Q2" s="987" t="s">
        <v>734</v>
      </c>
      <c r="R2" s="987" t="s">
        <v>606</v>
      </c>
    </row>
    <row r="3" spans="1:18">
      <c r="A3" s="803" t="s">
        <v>682</v>
      </c>
      <c r="B3" s="83">
        <f>'Ch4 expenditure drivers'!E28</f>
        <v>2898.5545143159875</v>
      </c>
      <c r="C3" s="816">
        <f t="shared" ref="C3:C10" si="0">B3/$B$24</f>
        <v>0.10540694381311301</v>
      </c>
      <c r="D3" s="52">
        <f>'Ch4 expenditure drivers'!G28</f>
        <v>1915.1273747896275</v>
      </c>
      <c r="E3" s="36">
        <f t="shared" ref="E3:E10" si="1">D3/$D$24</f>
        <v>7.1272927624516855E-2</v>
      </c>
      <c r="G3" s="252">
        <f>D3-B3</f>
        <v>-983.42713952635995</v>
      </c>
      <c r="H3" s="36">
        <f>G3/B3</f>
        <v>-0.33928191954617526</v>
      </c>
      <c r="J3" s="804" t="str">
        <f>A3</f>
        <v>Network Reinforcement</v>
      </c>
      <c r="K3" s="1043">
        <f>G3</f>
        <v>-983.42713952635995</v>
      </c>
      <c r="L3" s="805">
        <f>H3</f>
        <v>-0.33928191954617526</v>
      </c>
      <c r="P3" s="986" t="str">
        <f>A5</f>
        <v>Network Faults</v>
      </c>
      <c r="Q3" s="1043">
        <f t="shared" ref="Q3:R5" si="2">G5</f>
        <v>690.97934139025801</v>
      </c>
      <c r="R3" s="969">
        <f t="shared" si="2"/>
        <v>0.21543220131126423</v>
      </c>
    </row>
    <row r="4" spans="1:18">
      <c r="A4" s="803" t="s">
        <v>683</v>
      </c>
      <c r="B4" s="83">
        <f>'Ch4 expenditure drivers'!E29</f>
        <v>6947.3420645344831</v>
      </c>
      <c r="C4" s="816">
        <f t="shared" si="0"/>
        <v>0.25264251233849</v>
      </c>
      <c r="D4" s="52">
        <f>'Ch4 expenditure drivers'!G29</f>
        <v>5658.9095260798476</v>
      </c>
      <c r="E4" s="36">
        <f t="shared" si="1"/>
        <v>0.21060063909863044</v>
      </c>
      <c r="G4" s="252">
        <f t="shared" ref="G4:G24" si="3">D4-B4</f>
        <v>-1288.4325384546355</v>
      </c>
      <c r="H4" s="36">
        <f t="shared" ref="H4:H24" si="4">G4/B4</f>
        <v>-0.18545690229245518</v>
      </c>
      <c r="J4" s="804" t="str">
        <f>A4</f>
        <v>Replacing &amp; refurbishing equipment</v>
      </c>
      <c r="K4" s="1043">
        <f>G4</f>
        <v>-1288.4325384546355</v>
      </c>
      <c r="L4" s="805">
        <f>H4</f>
        <v>-0.18545690229245518</v>
      </c>
      <c r="P4" s="986" t="str">
        <f>A6</f>
        <v>Operational Support</v>
      </c>
      <c r="Q4" s="1043">
        <f t="shared" si="2"/>
        <v>669.25713620182432</v>
      </c>
      <c r="R4" s="969">
        <f t="shared" si="2"/>
        <v>0.12439632259188707</v>
      </c>
    </row>
    <row r="5" spans="1:18">
      <c r="A5" s="803" t="s">
        <v>687</v>
      </c>
      <c r="B5" s="83">
        <f>'Ch4 expenditure drivers'!E30</f>
        <v>3207.4097427612787</v>
      </c>
      <c r="C5" s="816">
        <f t="shared" si="0"/>
        <v>0.11663857169878056</v>
      </c>
      <c r="D5" s="52">
        <f>'Ch4 expenditure drivers'!G30</f>
        <v>3898.3890841515367</v>
      </c>
      <c r="E5" s="36">
        <f t="shared" si="1"/>
        <v>0.14508152653682377</v>
      </c>
      <c r="G5" s="252">
        <f t="shared" si="3"/>
        <v>690.97934139025801</v>
      </c>
      <c r="H5" s="36">
        <f t="shared" si="4"/>
        <v>0.21543220131126423</v>
      </c>
      <c r="J5" s="970" t="s">
        <v>174</v>
      </c>
      <c r="K5" s="1044">
        <f>SUM(K3:K4)</f>
        <v>-2271.8596779809955</v>
      </c>
      <c r="L5" s="971">
        <f>K5/SUM(B3:B4)</f>
        <v>-0.23074177753004999</v>
      </c>
      <c r="P5" s="986" t="str">
        <f>A7</f>
        <v>Business Support</v>
      </c>
      <c r="Q5" s="1113">
        <f t="shared" si="2"/>
        <v>154.72206660001484</v>
      </c>
      <c r="R5" s="988">
        <f t="shared" si="2"/>
        <v>5.3126110333588522E-2</v>
      </c>
    </row>
    <row r="6" spans="1:18">
      <c r="A6" s="803" t="s">
        <v>689</v>
      </c>
      <c r="B6" s="83">
        <f>'Ch4 expenditure drivers'!E31</f>
        <v>5380.0395562937019</v>
      </c>
      <c r="C6" s="816">
        <f t="shared" si="0"/>
        <v>0.19564701109525301</v>
      </c>
      <c r="D6" s="52">
        <f>'Ch4 expenditure drivers'!G31</f>
        <v>6049.2966924955263</v>
      </c>
      <c r="E6" s="36">
        <f t="shared" si="1"/>
        <v>0.22512919559244657</v>
      </c>
      <c r="G6" s="252">
        <f t="shared" si="3"/>
        <v>669.25713620182432</v>
      </c>
      <c r="H6" s="36">
        <f t="shared" si="4"/>
        <v>0.12439632259188707</v>
      </c>
      <c r="P6" s="986" t="s">
        <v>747</v>
      </c>
      <c r="Q6" s="1043">
        <f>G9</f>
        <v>49.339213841652509</v>
      </c>
      <c r="R6" s="988">
        <f>H9</f>
        <v>1.7098760770307687E-2</v>
      </c>
    </row>
    <row r="7" spans="1:18">
      <c r="A7" s="803" t="s">
        <v>107</v>
      </c>
      <c r="B7" s="83">
        <f>'Ch4 expenditure drivers'!E32</f>
        <v>2912.3545019292173</v>
      </c>
      <c r="C7" s="816">
        <f t="shared" si="0"/>
        <v>0.10590878516603047</v>
      </c>
      <c r="D7" s="52">
        <f>'Ch4 expenditure drivers'!G32</f>
        <v>3067.0765685292322</v>
      </c>
      <c r="E7" s="36">
        <f t="shared" si="1"/>
        <v>0.11414359648618574</v>
      </c>
      <c r="G7" s="252">
        <f t="shared" si="3"/>
        <v>154.72206660001484</v>
      </c>
      <c r="H7" s="36">
        <f t="shared" si="4"/>
        <v>5.3126110333588522E-2</v>
      </c>
      <c r="J7" s="807"/>
      <c r="K7" s="807"/>
      <c r="L7" s="807"/>
      <c r="P7" s="989" t="s">
        <v>174</v>
      </c>
      <c r="Q7" s="1044">
        <f>SUM(Q3:Q6)</f>
        <v>1564.2977580337497</v>
      </c>
      <c r="R7" s="990">
        <f>Q7/SUM(B5,B6,B7)</f>
        <v>0.13602821275088806</v>
      </c>
    </row>
    <row r="8" spans="1:18">
      <c r="A8" s="806" t="s">
        <v>746</v>
      </c>
      <c r="B8" s="83">
        <f>'Ch4 expenditure drivers'!E33</f>
        <v>21345.70037983467</v>
      </c>
      <c r="C8" s="816">
        <f t="shared" si="0"/>
        <v>0.77624382411166715</v>
      </c>
      <c r="D8" s="52">
        <f>'Ch4 expenditure drivers'!G33</f>
        <v>20588.799246045775</v>
      </c>
      <c r="E8" s="36">
        <f t="shared" si="1"/>
        <v>0.76622788533860353</v>
      </c>
      <c r="G8" s="252">
        <f t="shared" si="3"/>
        <v>-756.90113378889509</v>
      </c>
      <c r="H8" s="36">
        <f t="shared" si="4"/>
        <v>-3.5459184768841842E-2</v>
      </c>
    </row>
    <row r="9" spans="1:18">
      <c r="A9" s="803" t="s">
        <v>747</v>
      </c>
      <c r="B9" s="83">
        <f>B12+B13+B15+B14+B18+B16+B19+B17-B26</f>
        <v>2885.543256873385</v>
      </c>
      <c r="C9" s="816">
        <f t="shared" si="0"/>
        <v>0.10493378490738375</v>
      </c>
      <c r="D9" s="52">
        <f>D12+D13+D15+D14+D18+D16+D19+D17-D26</f>
        <v>2934.8824707150375</v>
      </c>
      <c r="E9" s="36">
        <f t="shared" si="1"/>
        <v>0.10922389219396635</v>
      </c>
      <c r="G9" s="252">
        <f t="shared" si="3"/>
        <v>49.339213841652509</v>
      </c>
      <c r="H9" s="36">
        <f t="shared" si="4"/>
        <v>1.7098760770307687E-2</v>
      </c>
    </row>
    <row r="10" spans="1:18" s="807" customFormat="1">
      <c r="A10" s="806" t="s">
        <v>748</v>
      </c>
      <c r="B10" s="83">
        <f>SUM(B8:B9)</f>
        <v>24231.243636708055</v>
      </c>
      <c r="C10" s="816">
        <f t="shared" si="0"/>
        <v>0.88117760901905084</v>
      </c>
      <c r="D10" s="52">
        <f>SUM(D8:D9)</f>
        <v>23523.681716760813</v>
      </c>
      <c r="E10" s="36">
        <f t="shared" si="1"/>
        <v>0.87545177753256997</v>
      </c>
      <c r="G10" s="252">
        <f t="shared" si="3"/>
        <v>-707.56191994724213</v>
      </c>
      <c r="H10" s="36">
        <f t="shared" si="4"/>
        <v>-2.9200396420237893E-2</v>
      </c>
    </row>
    <row r="11" spans="1:18" s="807" customFormat="1">
      <c r="E11" s="811"/>
      <c r="G11" s="814"/>
      <c r="H11" s="811"/>
      <c r="J11" s="814"/>
    </row>
    <row r="12" spans="1:18">
      <c r="A12" s="808" t="s">
        <v>290</v>
      </c>
      <c r="B12" s="83">
        <f>'Ch4 expenditure drivers'!E35</f>
        <v>1157.8399573433555</v>
      </c>
      <c r="C12" s="816">
        <f t="shared" ref="C12:C19" si="5">B12/$B$24</f>
        <v>4.2105253058201932E-2</v>
      </c>
      <c r="D12" s="52">
        <f>'Ch4 expenditure drivers'!G35</f>
        <v>1063.7109761014221</v>
      </c>
      <c r="E12" s="36">
        <f t="shared" ref="E12:E19" si="6">D12/$D$24</f>
        <v>3.9586816214461355E-2</v>
      </c>
      <c r="G12" s="252">
        <f t="shared" si="3"/>
        <v>-94.128981241933388</v>
      </c>
      <c r="H12" s="36">
        <f t="shared" si="4"/>
        <v>-8.129705720116169E-2</v>
      </c>
      <c r="K12" s="1063" t="s">
        <v>749</v>
      </c>
      <c r="R12" s="1063" t="s">
        <v>749</v>
      </c>
    </row>
    <row r="13" spans="1:18">
      <c r="A13" s="808" t="s">
        <v>696</v>
      </c>
      <c r="B13" s="83">
        <f>'Ch4 expenditure drivers'!E36</f>
        <v>752.7986742549125</v>
      </c>
      <c r="C13" s="816">
        <f t="shared" si="5"/>
        <v>2.7375785815951403E-2</v>
      </c>
      <c r="D13" s="52">
        <f>'Ch4 expenditure drivers'!G36</f>
        <v>765.79677983857516</v>
      </c>
      <c r="E13" s="36">
        <f t="shared" si="6"/>
        <v>2.8499711916299242E-2</v>
      </c>
      <c r="G13" s="252">
        <f t="shared" si="3"/>
        <v>12.998105583662664</v>
      </c>
      <c r="H13" s="36">
        <f t="shared" si="4"/>
        <v>1.72663768258195E-2</v>
      </c>
      <c r="K13" s="1063" t="s">
        <v>1419</v>
      </c>
      <c r="R13" s="1063" t="s">
        <v>1414</v>
      </c>
    </row>
    <row r="14" spans="1:18">
      <c r="A14" s="808" t="s">
        <v>698</v>
      </c>
      <c r="B14" s="83">
        <f>'Ch4 expenditure drivers'!E37</f>
        <v>497.34824129888841</v>
      </c>
      <c r="C14" s="816">
        <f t="shared" si="5"/>
        <v>1.8086241906860846E-2</v>
      </c>
      <c r="D14" s="52">
        <f>'Ch4 expenditure drivers'!G37</f>
        <v>415.78441774842463</v>
      </c>
      <c r="E14" s="36">
        <f t="shared" si="6"/>
        <v>1.5473734595246228E-2</v>
      </c>
      <c r="G14" s="252">
        <f t="shared" si="3"/>
        <v>-81.563823550463781</v>
      </c>
      <c r="H14" s="36">
        <f t="shared" si="4"/>
        <v>-0.1639974102199486</v>
      </c>
    </row>
    <row r="15" spans="1:18">
      <c r="A15" s="808" t="s">
        <v>699</v>
      </c>
      <c r="B15" s="83">
        <f>'Ch4 expenditure drivers'!E38</f>
        <v>733.63605058108828</v>
      </c>
      <c r="C15" s="816">
        <f t="shared" si="5"/>
        <v>2.6678930336117426E-2</v>
      </c>
      <c r="D15" s="52">
        <f>'Ch4 expenditure drivers'!G38</f>
        <v>740.28406566204899</v>
      </c>
      <c r="E15" s="36">
        <f t="shared" si="6"/>
        <v>2.7550236776971614E-2</v>
      </c>
      <c r="G15" s="252">
        <f t="shared" si="3"/>
        <v>6.6480150809607039</v>
      </c>
      <c r="H15" s="36">
        <f t="shared" si="4"/>
        <v>9.0617344604249431E-3</v>
      </c>
      <c r="K15"/>
      <c r="O15"/>
    </row>
    <row r="16" spans="1:18">
      <c r="A16" s="808" t="s">
        <v>701</v>
      </c>
      <c r="B16" s="83">
        <f>'Ch4 expenditure drivers'!E39</f>
        <v>59.397668599597544</v>
      </c>
      <c r="C16" s="816">
        <f t="shared" si="5"/>
        <v>2.1600168931737909E-3</v>
      </c>
      <c r="D16" s="52">
        <f>'Ch4 expenditure drivers'!G39</f>
        <v>267.78086637503333</v>
      </c>
      <c r="E16" s="36">
        <f t="shared" si="6"/>
        <v>9.9656694168839145E-3</v>
      </c>
      <c r="G16" s="252">
        <f t="shared" si="3"/>
        <v>208.38319777543578</v>
      </c>
      <c r="H16" s="36">
        <f t="shared" si="4"/>
        <v>3.5082723394441055</v>
      </c>
    </row>
    <row r="17" spans="1:8">
      <c r="A17" s="808" t="s">
        <v>14</v>
      </c>
      <c r="B17" s="83">
        <f>'Ch4 expenditure drivers'!E41</f>
        <v>131.52631600675952</v>
      </c>
      <c r="C17" s="816">
        <f t="shared" si="5"/>
        <v>4.7830002619570801E-3</v>
      </c>
      <c r="D17" s="52">
        <f>'Ch4 expenditure drivers'!G41</f>
        <v>92.431800183491234</v>
      </c>
      <c r="E17" s="36">
        <f t="shared" si="6"/>
        <v>3.4399200238080449E-3</v>
      </c>
      <c r="G17" s="252">
        <f t="shared" si="3"/>
        <v>-39.094515823268281</v>
      </c>
      <c r="H17" s="36">
        <f t="shared" si="4"/>
        <v>-0.29723721465185038</v>
      </c>
    </row>
    <row r="18" spans="1:8">
      <c r="A18" s="808" t="s">
        <v>704</v>
      </c>
      <c r="B18" s="83">
        <f>'Ch4 expenditure drivers'!E42</f>
        <v>301.25226379691327</v>
      </c>
      <c r="C18" s="816">
        <f t="shared" si="5"/>
        <v>1.0955143429865003E-2</v>
      </c>
      <c r="D18" s="52">
        <f>'Ch4 expenditure drivers'!G42</f>
        <v>254.59419845138478</v>
      </c>
      <c r="E18" s="36">
        <f t="shared" si="6"/>
        <v>9.4749175009002668E-3</v>
      </c>
      <c r="G18" s="252">
        <f t="shared" si="3"/>
        <v>-46.658065345528485</v>
      </c>
      <c r="H18" s="36">
        <f t="shared" si="4"/>
        <v>-0.15488038083917149</v>
      </c>
    </row>
    <row r="19" spans="1:8">
      <c r="A19" s="808" t="s">
        <v>702</v>
      </c>
      <c r="B19" s="83">
        <f>'Ch4 expenditure drivers'!E44</f>
        <v>215.63704143470065</v>
      </c>
      <c r="C19" s="816">
        <f t="shared" si="5"/>
        <v>7.8417160685684897E-3</v>
      </c>
      <c r="D19" s="52">
        <f>'Ch4 expenditure drivers'!G44</f>
        <v>226.68223578867725</v>
      </c>
      <c r="E19" s="36">
        <f t="shared" si="6"/>
        <v>8.4361524971177399E-3</v>
      </c>
      <c r="G19" s="252">
        <f t="shared" si="3"/>
        <v>11.045194353976598</v>
      </c>
      <c r="H19" s="36">
        <f t="shared" si="4"/>
        <v>5.1221229342090148E-2</v>
      </c>
    </row>
    <row r="20" spans="1:8">
      <c r="G20" s="794"/>
      <c r="H20" s="794"/>
    </row>
    <row r="21" spans="1:8">
      <c r="A21" s="808" t="s">
        <v>706</v>
      </c>
      <c r="B21" s="83">
        <f>'Ch4 expenditure drivers'!E45</f>
        <v>195.38271055127282</v>
      </c>
      <c r="C21" s="816">
        <f>B21/$B$24</f>
        <v>7.1051602760666913E-3</v>
      </c>
      <c r="D21" s="52">
        <f>'Ch4 expenditure drivers'!G45</f>
        <v>201.9163989110815</v>
      </c>
      <c r="E21" s="36">
        <f>D21/$D$24</f>
        <v>7.5144729667776912E-3</v>
      </c>
      <c r="G21" s="252">
        <f t="shared" si="3"/>
        <v>6.5336883598086786</v>
      </c>
      <c r="H21" s="36">
        <f t="shared" si="4"/>
        <v>3.3440463290604683E-2</v>
      </c>
    </row>
    <row r="22" spans="1:8">
      <c r="A22" s="808" t="s">
        <v>694</v>
      </c>
      <c r="B22" s="83">
        <f>'Ch4 expenditure drivers'!E40</f>
        <v>1050.2231363765916</v>
      </c>
      <c r="C22" s="816">
        <f>B22/$B$24</f>
        <v>3.8191729905553397E-2</v>
      </c>
      <c r="D22" s="52">
        <f>'Ch4 expenditure drivers'!G40</f>
        <v>1116.7278217025128</v>
      </c>
      <c r="E22" s="36">
        <f>D22/$D$24</f>
        <v>4.1559878606628242E-2</v>
      </c>
      <c r="G22" s="252">
        <f>D22-B22</f>
        <v>66.504685325921173</v>
      </c>
      <c r="H22" s="36">
        <f>G22/B22</f>
        <v>6.33243384404681E-2</v>
      </c>
    </row>
    <row r="23" spans="1:8">
      <c r="A23" s="808" t="s">
        <v>693</v>
      </c>
      <c r="B23" s="83">
        <f>'Ch4 expenditure drivers'!E43</f>
        <v>1057.9631428773203</v>
      </c>
      <c r="C23" s="816">
        <f>B23/$B$24</f>
        <v>3.8473197936016841E-2</v>
      </c>
      <c r="D23" s="52">
        <f>'Ch4 expenditure drivers'!G43</f>
        <v>1135.8252543793722</v>
      </c>
      <c r="E23" s="36">
        <f>D23/$D$24</f>
        <v>4.2270604146302279E-2</v>
      </c>
      <c r="G23" s="252">
        <f>D23-B23</f>
        <v>77.862111502051903</v>
      </c>
      <c r="H23" s="36">
        <f>G23/B23</f>
        <v>7.3596242011127105E-2</v>
      </c>
    </row>
    <row r="24" spans="1:8" s="807" customFormat="1">
      <c r="A24" s="809" t="s">
        <v>707</v>
      </c>
      <c r="B24" s="83">
        <f>'Ch4 expenditure drivers'!E46</f>
        <v>27498.70558295607</v>
      </c>
      <c r="C24" s="816">
        <f>B24/$B$24</f>
        <v>1</v>
      </c>
      <c r="D24" s="52">
        <f>'Ch4 expenditure drivers'!G46</f>
        <v>26870.334061187794</v>
      </c>
      <c r="E24" s="36">
        <f>D24/$D$24</f>
        <v>1</v>
      </c>
      <c r="G24" s="252">
        <f t="shared" si="3"/>
        <v>-628.37152176827658</v>
      </c>
      <c r="H24" s="36">
        <f t="shared" si="4"/>
        <v>-2.2850949106409814E-2</v>
      </c>
    </row>
    <row r="26" spans="1:8">
      <c r="A26" s="312" t="s">
        <v>750</v>
      </c>
      <c r="B26" s="83">
        <f>SUM('Ch4 expenditure drivers'!AK728,'Ch4 expenditure drivers'!AF728,'Ch4 expenditure drivers'!AP728,'Ch4 expenditure drivers'!AU728,'Ch4 expenditure drivers'!AZ728+'Ch4 expenditure drivers'!BE728+'Ch4 expenditure drivers'!BJ728)</f>
        <v>963.89295644283015</v>
      </c>
      <c r="C26" s="816">
        <f>B26/$B$24</f>
        <v>3.50523028633122E-2</v>
      </c>
      <c r="D26" s="52">
        <f>SUM('Ch4 expenditure drivers'!AG728,'Ch4 expenditure drivers'!AL728,'Ch4 expenditure drivers'!AQ728,'Ch4 expenditure drivers'!AV728,'Ch4 expenditure drivers'!BA728+'Ch4 expenditure drivers'!BF728+'Ch4 expenditure drivers'!BK728)</f>
        <v>892.18286943402018</v>
      </c>
      <c r="E26" s="36">
        <f>D26/$D$24</f>
        <v>3.320326674772206E-2</v>
      </c>
    </row>
    <row r="27" spans="1:8">
      <c r="A27" s="1067"/>
    </row>
    <row r="29" spans="1:8">
      <c r="C29" s="1056"/>
    </row>
  </sheetData>
  <mergeCells count="1">
    <mergeCell ref="G1:H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249977111117893"/>
  </sheetPr>
  <dimension ref="A1:X529"/>
  <sheetViews>
    <sheetView workbookViewId="0"/>
  </sheetViews>
  <sheetFormatPr defaultRowHeight="14.5"/>
  <cols>
    <col min="1" max="1" width="70" customWidth="1"/>
    <col min="2" max="2" width="37.1796875" bestFit="1" customWidth="1"/>
    <col min="7" max="7" width="9.453125" bestFit="1" customWidth="1"/>
    <col min="9" max="9" width="12.36328125" customWidth="1"/>
    <col min="13" max="13" width="14.26953125" bestFit="1" customWidth="1"/>
    <col min="14" max="14" width="14.7265625" customWidth="1"/>
    <col min="16" max="16" width="10.1796875" customWidth="1"/>
    <col min="18" max="18" width="15.453125" bestFit="1" customWidth="1"/>
    <col min="19" max="19" width="11.453125" customWidth="1"/>
    <col min="21" max="21" width="10.81640625" customWidth="1"/>
  </cols>
  <sheetData>
    <row r="1" spans="1:16">
      <c r="A1" t="str">
        <f>'One-pager'!A2</f>
        <v>WMID</v>
      </c>
    </row>
    <row r="5" spans="1:16">
      <c r="A5" s="828" t="s">
        <v>751</v>
      </c>
    </row>
    <row r="6" spans="1:16">
      <c r="A6" s="847" t="s">
        <v>147</v>
      </c>
      <c r="B6" s="847" t="s">
        <v>752</v>
      </c>
      <c r="C6" s="866" t="s">
        <v>148</v>
      </c>
      <c r="D6" s="866" t="s">
        <v>149</v>
      </c>
      <c r="E6" s="866" t="s">
        <v>150</v>
      </c>
      <c r="F6" s="866" t="s">
        <v>151</v>
      </c>
      <c r="G6" s="866" t="s">
        <v>152</v>
      </c>
      <c r="H6" s="866" t="s">
        <v>153</v>
      </c>
      <c r="I6" s="866" t="s">
        <v>154</v>
      </c>
      <c r="J6" s="866" t="s">
        <v>155</v>
      </c>
      <c r="K6" s="866" t="s">
        <v>156</v>
      </c>
      <c r="L6" s="866" t="s">
        <v>157</v>
      </c>
      <c r="M6" s="866" t="s">
        <v>158</v>
      </c>
      <c r="N6" s="866" t="s">
        <v>159</v>
      </c>
    </row>
    <row r="7" spans="1:16">
      <c r="A7" s="869" t="s">
        <v>33</v>
      </c>
      <c r="B7" s="869"/>
      <c r="C7" s="869">
        <f>INDEX(Dataset!$A:$V,MATCH(Calculations!C$6&amp;Calculations!$P7,Dataset!$V:$V,0),MATCH(Calculations!$A$1,Dataset!$A$1:$V$1,0))</f>
        <v>2446951</v>
      </c>
      <c r="D7" s="869">
        <f>INDEX(Dataset!$A:$V,MATCH(Calculations!D$6&amp;Calculations!$P7,Dataset!$V:$V,0),MATCH(Calculations!$A$1,Dataset!$A$1:$V$1,0))</f>
        <v>2462123</v>
      </c>
      <c r="E7" s="869">
        <f>INDEX(Dataset!$A:$V,MATCH(Calculations!E$6&amp;Calculations!$P7,Dataset!$V:$V,0),MATCH(Calculations!$A$1,Dataset!$A$1:$V$1,0))</f>
        <v>2469953</v>
      </c>
      <c r="F7" s="869">
        <f>INDEX(Dataset!$A:$V,MATCH(Calculations!F$6&amp;Calculations!$P7,Dataset!$V:$V,0),MATCH(Calculations!$A$1,Dataset!$A$1:$V$1,0))</f>
        <v>2448930</v>
      </c>
      <c r="G7" s="869">
        <f>INDEX(Dataset!$A:$V,MATCH(Calculations!G$6&amp;Calculations!$P7,Dataset!$V:$V,0),MATCH(Calculations!$A$1,Dataset!$A$1:$V$1,0))</f>
        <v>2455914</v>
      </c>
      <c r="H7" s="869">
        <f>INDEX(Dataset!$A:$V,MATCH(Calculations!H$6&amp;Calculations!$P7,Dataset!$V:$V,0),MATCH(Calculations!$A$1,Dataset!$A$1:$V$1,0))</f>
        <v>2463217</v>
      </c>
      <c r="I7" s="869">
        <f>INDEX(Dataset!$A:$V,MATCH(Calculations!I$6&amp;Calculations!$P7,Dataset!$V:$V,0),MATCH(Calculations!$A$1,Dataset!$A$1:$V$1,0))</f>
        <v>2470151</v>
      </c>
      <c r="J7" s="869">
        <f>INDEX(Dataset!$A:$V,MATCH(Calculations!J$6&amp;Calculations!$P7,Dataset!$V:$V,0),MATCH(Calculations!$A$1,Dataset!$A$1:$V$1,0))</f>
        <v>2481944</v>
      </c>
      <c r="K7" s="869">
        <f>INDEX(Dataset!$A:$V,MATCH(Calculations!K$6&amp;Calculations!$P7,Dataset!$V:$V,0),MATCH(Calculations!$A$1,Dataset!$A$1:$V$1,0))</f>
        <v>2491212</v>
      </c>
      <c r="L7" s="869">
        <f>INDEX(Dataset!$A:$V,MATCH(Calculations!L$6&amp;Calculations!$P7,Dataset!$V:$V,0),MATCH(Calculations!$A$1,Dataset!$A$1:$V$1,0))</f>
        <v>2498337</v>
      </c>
      <c r="M7" s="1039">
        <f>INDEX(Dataset!$A:$V,MATCH(Calculations!M$6&amp;Calculations!$P7,Dataset!$V:$V,0),MATCH(Calculations!$A$1,Dataset!$A$1:$V$1,0))</f>
        <v>2505140</v>
      </c>
      <c r="N7" s="1039">
        <f>INDEX(Dataset!$A:$V,MATCH(Calculations!N$6&amp;Calculations!$P7,Dataset!$V:$V,0),MATCH(Calculations!$A$1,Dataset!$A$1:$V$1,0))</f>
        <v>2515482</v>
      </c>
      <c r="P7" t="s">
        <v>753</v>
      </c>
    </row>
    <row r="8" spans="1:16">
      <c r="A8" s="869" t="s">
        <v>35</v>
      </c>
      <c r="B8" s="869"/>
      <c r="C8" s="869">
        <f>INDEX(Dataset!$A:$V,MATCH(Calculations!C$6&amp;Calculations!$P8,Dataset!$V:$V,0),MATCH(Calculations!$A$1,Dataset!$A$1:$V$1,0))</f>
        <v>63459.140749999999</v>
      </c>
      <c r="D8" s="869">
        <f>INDEX(Dataset!$A:$V,MATCH(Calculations!D$6&amp;Calculations!$P8,Dataset!$V:$V,0),MATCH(Calculations!$A$1,Dataset!$A$1:$V$1,0))</f>
        <v>64111.492048000007</v>
      </c>
      <c r="E8" s="869">
        <f>INDEX(Dataset!$A:$V,MATCH(Calculations!E$6&amp;Calculations!$P8,Dataset!$V:$V,0),MATCH(Calculations!$A$1,Dataset!$A$1:$V$1,0))</f>
        <v>64147.940481999991</v>
      </c>
      <c r="F8" s="869">
        <f>INDEX(Dataset!$A:$V,MATCH(Calculations!F$6&amp;Calculations!$P8,Dataset!$V:$V,0),MATCH(Calculations!$A$1,Dataset!$A$1:$V$1,0))</f>
        <v>64280.343775000001</v>
      </c>
      <c r="G8" s="869">
        <f>INDEX(Dataset!$A:$V,MATCH(Calculations!G$6&amp;Calculations!$P8,Dataset!$V:$V,0),MATCH(Calculations!$A$1,Dataset!$A$1:$V$1,0))</f>
        <v>64590.589907000001</v>
      </c>
      <c r="H8" s="869">
        <f>INDEX(Dataset!$A:$V,MATCH(Calculations!H$6&amp;Calculations!$P8,Dataset!$V:$V,0),MATCH(Calculations!$A$1,Dataset!$A$1:$V$1,0))</f>
        <v>64268.963857000002</v>
      </c>
      <c r="I8" s="869">
        <f>INDEX(Dataset!$A:$V,MATCH(Calculations!I$6&amp;Calculations!$P8,Dataset!$V:$V,0),MATCH(Calculations!$A$1,Dataset!$A$1:$V$1,0))</f>
        <v>64575.202520999999</v>
      </c>
      <c r="J8" s="869">
        <f>INDEX(Dataset!$A:$V,MATCH(Calculations!J$6&amp;Calculations!$P8,Dataset!$V:$V,0),MATCH(Calculations!$A$1,Dataset!$A$1:$V$1,0))</f>
        <v>64878.788410999994</v>
      </c>
      <c r="K8" s="869">
        <f>INDEX(Dataset!$A:$V,MATCH(Calculations!K$6&amp;Calculations!$P8,Dataset!$V:$V,0),MATCH(Calculations!$A$1,Dataset!$A$1:$V$1,0))</f>
        <v>65153.472103457003</v>
      </c>
      <c r="L8" s="869">
        <f>INDEX(Dataset!$A:$V,MATCH(Calculations!L$6&amp;Calculations!$P8,Dataset!$V:$V,0),MATCH(Calculations!$A$1,Dataset!$A$1:$V$1,0))</f>
        <v>65363.597202456986</v>
      </c>
      <c r="M8" s="1039">
        <f>INDEX(Dataset!$A:$V,MATCH(Calculations!M$6&amp;Calculations!$P8,Dataset!$V:$V,0),MATCH(Calculations!$A$1,Dataset!$A$1:$V$1,0))</f>
        <v>65570.050743457003</v>
      </c>
      <c r="N8" s="1039">
        <f>INDEX(Dataset!$A:$V,MATCH(Calculations!N$6&amp;Calculations!$P8,Dataset!$V:$V,0),MATCH(Calculations!$A$1,Dataset!$A$1:$V$1,0))</f>
        <v>65765.192433456978</v>
      </c>
      <c r="P8" t="s">
        <v>754</v>
      </c>
    </row>
    <row r="9" spans="1:16">
      <c r="A9" s="869" t="s">
        <v>176</v>
      </c>
      <c r="B9" s="869"/>
      <c r="C9" s="869">
        <f>INDEX(Dataset!$A:$V,MATCH(Calculations!C$6&amp;Calculations!$P9,Dataset!$V:$V,0),MATCH(Calculations!$A$1,Dataset!$A$1:$V$1,0))</f>
        <v>24932.160369199999</v>
      </c>
      <c r="D9" s="869">
        <f>INDEX(Dataset!$A:$V,MATCH(Calculations!D$6&amp;Calculations!$P9,Dataset!$V:$V,0),MATCH(Calculations!$A$1,Dataset!$A$1:$V$1,0))</f>
        <v>24247.7224594</v>
      </c>
      <c r="E9" s="869">
        <f>INDEX(Dataset!$A:$V,MATCH(Calculations!E$6&amp;Calculations!$P9,Dataset!$V:$V,0),MATCH(Calculations!$A$1,Dataset!$A$1:$V$1,0))</f>
        <v>24682.022656299996</v>
      </c>
      <c r="F9" s="869">
        <f>INDEX(Dataset!$A:$V,MATCH(Calculations!F$6&amp;Calculations!$P9,Dataset!$V:$V,0),MATCH(Calculations!$A$1,Dataset!$A$1:$V$1,0))</f>
        <v>24427.327903599999</v>
      </c>
      <c r="G9" s="869">
        <f>INDEX(Dataset!$A:$V,MATCH(Calculations!G$6&amp;Calculations!$P9,Dataset!$V:$V,0),MATCH(Calculations!$A$1,Dataset!$A$1:$V$1,0))</f>
        <v>24212.9227039</v>
      </c>
      <c r="H9" s="869">
        <f>INDEX(Dataset!$A:$V,MATCH(Calculations!H$6&amp;Calculations!$P9,Dataset!$V:$V,0),MATCH(Calculations!$A$1,Dataset!$A$1:$V$1,0))</f>
        <v>23941.294863080002</v>
      </c>
      <c r="I9" s="869">
        <f>INDEX(Dataset!$A:$V,MATCH(Calculations!I$6&amp;Calculations!$P9,Dataset!$V:$V,0),MATCH(Calculations!$A$1,Dataset!$A$1:$V$1,0))</f>
        <v>23896.440088999996</v>
      </c>
      <c r="J9" s="869">
        <f>INDEX(Dataset!$A:$V,MATCH(Calculations!J$6&amp;Calculations!$P9,Dataset!$V:$V,0),MATCH(Calculations!$A$1,Dataset!$A$1:$V$1,0))</f>
        <v>23772.670099600004</v>
      </c>
      <c r="K9" s="869">
        <f>INDEX(Dataset!$A:$V,MATCH(Calculations!K$6&amp;Calculations!$P9,Dataset!$V:$V,0),MATCH(Calculations!$A$1,Dataset!$A$1:$V$1,0))</f>
        <v>23198.030306199998</v>
      </c>
      <c r="L9" s="869">
        <f>INDEX(Dataset!$A:$V,MATCH(Calculations!L$6&amp;Calculations!$P9,Dataset!$V:$V,0),MATCH(Calculations!$A$1,Dataset!$A$1:$V$1,0))</f>
        <v>22877.671561799998</v>
      </c>
      <c r="M9" s="869">
        <f>INDEX(Dataset!$A:$V,MATCH(Calculations!M$6&amp;Calculations!$P9,Dataset!$V:$V,0),MATCH(Calculations!$A$1,Dataset!$A$1:$V$1,0))</f>
        <v>21453.790872399997</v>
      </c>
      <c r="N9" s="869">
        <f>INDEX(Dataset!$A:$V,MATCH(Calculations!N$6&amp;Calculations!$P9,Dataset!$V:$V,0),MATCH(Calculations!$A$1,Dataset!$A$1:$V$1,0))</f>
        <v>22019.0479977</v>
      </c>
      <c r="P9" t="s">
        <v>755</v>
      </c>
    </row>
    <row r="10" spans="1:16">
      <c r="A10" s="865" t="s">
        <v>756</v>
      </c>
      <c r="B10" s="865"/>
      <c r="C10" s="865">
        <f>INDEX(Dataset!$A:$V,MATCH(Calculations!C$6&amp;Calculations!$P10,Dataset!$V:$V,0),MATCH(Calculations!$A$1,Dataset!$A$1:$V$1,0))</f>
        <v>4662.2315439340582</v>
      </c>
      <c r="D10" s="865">
        <f>INDEX(Dataset!$A:$V,MATCH(Calculations!D$6&amp;Calculations!$P10,Dataset!$V:$V,0),MATCH(Calculations!$A$1,Dataset!$A$1:$V$1,0))</f>
        <v>4792.1384571428571</v>
      </c>
      <c r="E10" s="865">
        <f>INDEX(Dataset!$A:$V,MATCH(Calculations!E$6&amp;Calculations!$P10,Dataset!$V:$V,0),MATCH(Calculations!$A$1,Dataset!$A$1:$V$1,0))</f>
        <v>4782.4592000000002</v>
      </c>
      <c r="F10" s="865">
        <f>INDEX(Dataset!$A:$V,MATCH(Calculations!F$6&amp;Calculations!$P10,Dataset!$V:$V,0),MATCH(Calculations!$A$1,Dataset!$A$1:$V$1,0))</f>
        <v>4492</v>
      </c>
      <c r="G10" s="865">
        <f>INDEX(Dataset!$A:$V,MATCH(Calculations!G$6&amp;Calculations!$P10,Dataset!$V:$V,0),MATCH(Calculations!$A$1,Dataset!$A$1:$V$1,0))</f>
        <v>4597.6000000000004</v>
      </c>
      <c r="H10" s="865">
        <f>INDEX(Dataset!$A:$V,MATCH(Calculations!H$6&amp;Calculations!$P10,Dataset!$V:$V,0),MATCH(Calculations!$A$1,Dataset!$A$1:$V$1,0))</f>
        <v>4487.2</v>
      </c>
      <c r="I10" s="865">
        <f>INDEX(Dataset!$A:$V,MATCH(Calculations!I$6&amp;Calculations!$P10,Dataset!$V:$V,0),MATCH(Calculations!$A$1,Dataset!$A$1:$V$1,0))</f>
        <v>4469.6000000000004</v>
      </c>
      <c r="J10" s="865">
        <f>INDEX(Dataset!$A:$V,MATCH(Calculations!J$6&amp;Calculations!$P10,Dataset!$V:$V,0),MATCH(Calculations!$A$1,Dataset!$A$1:$V$1,0))</f>
        <v>4440</v>
      </c>
      <c r="K10" s="869">
        <f>INDEX(Dataset!$A:$V,MATCH(Calculations!K$6&amp;Calculations!$P10,Dataset!$V:$V,0),MATCH(Calculations!$A$1,Dataset!$A$1:$V$1,0))</f>
        <v>4323.8</v>
      </c>
      <c r="L10" s="869">
        <f>INDEX(Dataset!$A:$V,MATCH(Calculations!L$6&amp;Calculations!$P10,Dataset!$V:$V,0),MATCH(Calculations!$A$1,Dataset!$A$1:$V$1,0))</f>
        <v>4251</v>
      </c>
      <c r="M10" s="869">
        <f>INDEX(Dataset!$A:$V,MATCH(Calculations!M$6&amp;Calculations!$P10,Dataset!$V:$V,0),MATCH(Calculations!$A$1,Dataset!$A$1:$V$1,0))</f>
        <v>4162</v>
      </c>
      <c r="N10" s="869">
        <f>INDEX(Dataset!$A:$V,MATCH(Calculations!N$6&amp;Calculations!$P10,Dataset!$V:$V,0),MATCH(Calculations!$A$1,Dataset!$A$1:$V$1,0))</f>
        <v>4220.2</v>
      </c>
      <c r="P10" t="s">
        <v>757</v>
      </c>
    </row>
    <row r="12" spans="1:16">
      <c r="A12" s="828" t="s">
        <v>758</v>
      </c>
    </row>
    <row r="13" spans="1:16">
      <c r="C13" s="866" t="s">
        <v>142</v>
      </c>
    </row>
    <row r="14" spans="1:16">
      <c r="A14" s="869" t="s">
        <v>180</v>
      </c>
      <c r="B14" s="869"/>
      <c r="C14" s="869">
        <f>INDEX(Dataset!$A:$V,MATCH(Calculations!C$13&amp;Calculations!$P14,Dataset!$V:$V,0),MATCH(Calculations!$A$1,Dataset!$A$1:$V$1,0))</f>
        <v>22.50958209870236</v>
      </c>
      <c r="P14" t="s">
        <v>759</v>
      </c>
    </row>
    <row r="15" spans="1:16">
      <c r="A15" s="869" t="s">
        <v>181</v>
      </c>
      <c r="B15" s="869"/>
      <c r="C15" s="869">
        <f>INDEX(Dataset!$A:$V,MATCH(Calculations!C$13&amp;Calculations!$P15,Dataset!$V:$V,0),MATCH(Calculations!$A$1,Dataset!$A$1:$V$1,0))</f>
        <v>0</v>
      </c>
      <c r="P15" t="s">
        <v>760</v>
      </c>
    </row>
    <row r="16" spans="1:16">
      <c r="A16" s="869" t="s">
        <v>182</v>
      </c>
      <c r="B16" s="869"/>
      <c r="C16" s="869">
        <f>INDEX(Dataset!$A:$V,MATCH(Calculations!C$13&amp;Calculations!$P16,Dataset!$V:$V,0),MATCH(Calculations!$A$1,Dataset!$A$1:$V$1,0))</f>
        <v>2.0347535846871696</v>
      </c>
      <c r="P16" t="s">
        <v>761</v>
      </c>
    </row>
    <row r="17" spans="1:16">
      <c r="A17" s="869" t="s">
        <v>762</v>
      </c>
      <c r="B17" s="869"/>
      <c r="C17" s="869">
        <f>INDEX(Dataset!$A:$V,MATCH(Calculations!C$13&amp;Calculations!$P17,Dataset!$V:$V,0),MATCH(Calculations!$A$1,Dataset!$A$1:$V$1,0))</f>
        <v>5.1422404366287298</v>
      </c>
      <c r="P17" t="s">
        <v>763</v>
      </c>
    </row>
    <row r="18" spans="1:16">
      <c r="A18" s="869" t="s">
        <v>184</v>
      </c>
      <c r="B18" s="869"/>
      <c r="C18" s="869">
        <f>INDEX(Dataset!$A:$V,MATCH(Calculations!C$13&amp;Calculations!$P18,Dataset!$V:$V,0),MATCH(Calculations!$A$1,Dataset!$A$1:$V$1,0))</f>
        <v>0</v>
      </c>
      <c r="P18" t="s">
        <v>764</v>
      </c>
    </row>
    <row r="19" spans="1:16">
      <c r="A19" s="869" t="s">
        <v>185</v>
      </c>
      <c r="B19" s="869"/>
      <c r="C19" s="869">
        <f>INDEX(Dataset!$A:$V,MATCH(Calculations!C$13&amp;Calculations!$P19,Dataset!$V:$V,0),MATCH(Calculations!$A$1,Dataset!$A$1:$V$1,0))</f>
        <v>29.686576120018259</v>
      </c>
      <c r="P19" t="s">
        <v>765</v>
      </c>
    </row>
    <row r="21" spans="1:16">
      <c r="A21" s="828" t="s">
        <v>766</v>
      </c>
      <c r="C21" s="821"/>
    </row>
    <row r="22" spans="1:16">
      <c r="A22" s="828"/>
      <c r="D22" s="869" t="s">
        <v>137</v>
      </c>
      <c r="E22" s="869" t="s">
        <v>138</v>
      </c>
      <c r="F22" s="869" t="s">
        <v>139</v>
      </c>
      <c r="G22" s="869" t="s">
        <v>140</v>
      </c>
      <c r="H22" s="869" t="s">
        <v>141</v>
      </c>
      <c r="I22" s="869" t="s">
        <v>126</v>
      </c>
      <c r="J22" s="869" t="s">
        <v>142</v>
      </c>
      <c r="K22" s="869" t="s">
        <v>143</v>
      </c>
      <c r="L22" s="869" t="s">
        <v>719</v>
      </c>
      <c r="M22" s="869" t="s">
        <v>145</v>
      </c>
    </row>
    <row r="23" spans="1:16">
      <c r="A23" s="828" t="s">
        <v>767</v>
      </c>
      <c r="M23" s="869"/>
    </row>
    <row r="24" spans="1:16">
      <c r="A24" s="869" t="s">
        <v>225</v>
      </c>
      <c r="B24" s="869"/>
      <c r="C24" s="869" t="str">
        <f>IFERROR(INDEX(Dataset!$A:$V,MATCH(Calculations!#REF!&amp;Calculations!$P24,Dataset!$V:$V,0),MATCH(Calculations!$A$1,Dataset!$A$1:$V$1,0)),"")</f>
        <v/>
      </c>
      <c r="D24" s="869">
        <f>IFERROR(INDEX(Dataset!$A:$V,MATCH(Calculations!D$22&amp;Calculations!$P24,Dataset!$V:$V,0),MATCH(Calculations!$A$1,Dataset!$A$1:$V$1,0)),"")</f>
        <v>65.226896034738303</v>
      </c>
      <c r="E24" s="869">
        <f>IFERROR(INDEX(Dataset!$A:$V,MATCH(Calculations!E$22&amp;Calculations!$P24,Dataset!$V:$V,0),MATCH(Calculations!$A$1,Dataset!$A$1:$V$1,0)),"")</f>
        <v>58.959998801692691</v>
      </c>
      <c r="F24" s="869">
        <f>IFERROR(INDEX(Dataset!$A:$V,MATCH(Calculations!F$22&amp;Calculations!$P24,Dataset!$V:$V,0),MATCH(Calculations!$A$1,Dataset!$A$1:$V$1,0)),"")</f>
        <v>55.644204704054559</v>
      </c>
      <c r="G24" s="869">
        <f>IFERROR(INDEX(Dataset!$A:$V,MATCH(Calculations!G$22&amp;Calculations!$P24,Dataset!$V:$V,0),MATCH(Calculations!$A$1,Dataset!$A$1:$V$1,0)),"")</f>
        <v>55.370759293066989</v>
      </c>
      <c r="H24" s="869">
        <f>IFERROR(INDEX(Dataset!$A:$V,MATCH(Calculations!H$22&amp;Calculations!$P24,Dataset!$V:$V,0),MATCH(Calculations!$A$1,Dataset!$A$1:$V$1,0)),"")</f>
        <v>48.484079757854929</v>
      </c>
      <c r="I24" s="1095">
        <f>IFERROR(INDEX(Dataset!$A:$V,MATCH(Calculations!I$22&amp;Calculations!$P24,Dataset!$V:$V,0),MATCH(Calculations!$A$1,Dataset!$A$1:$V$1,0)),"")</f>
        <v>44.448154594154417</v>
      </c>
      <c r="J24" s="869">
        <f>IFERROR(INDEX(Dataset!$A:$V,MATCH(Calculations!J$22&amp;Calculations!$P24,Dataset!$V:$V,0),MATCH(Calculations!$A$1,Dataset!$A$1:$V$1,0)),"")</f>
        <v>46.759905258713836</v>
      </c>
      <c r="K24" s="869" t="str">
        <f>IFERROR(INDEX(Dataset!$A:$V,MATCH(Calculations!K$22&amp;Calculations!$P24,Dataset!$V:$V,0),MATCH(Calculations!$A$1,Dataset!$A$1:$V$1,0)),"")</f>
        <v/>
      </c>
      <c r="L24" s="869" t="str">
        <f>IFERROR(INDEX(Dataset!$A:$V,MATCH(Calculations!L$22&amp;Calculations!$P24,Dataset!$V:$V,0),MATCH(Calculations!$A$1,Dataset!$A$1:$V$1,0)),"")</f>
        <v/>
      </c>
      <c r="M24" s="869"/>
      <c r="P24" t="s">
        <v>768</v>
      </c>
    </row>
    <row r="25" spans="1:16">
      <c r="A25" s="869" t="s">
        <v>769</v>
      </c>
      <c r="B25" s="869"/>
      <c r="C25" s="869" t="str">
        <f>IFERROR(INDEX(Dataset!$A:$V,MATCH(Calculations!#REF!&amp;Calculations!$P25,Dataset!$V:$V,0),MATCH(Calculations!$A$1,Dataset!$A$1:$V$1,0)),"")</f>
        <v/>
      </c>
      <c r="D25" s="869" t="str">
        <f>IFERROR(INDEX(Dataset!$A:$V,MATCH(Calculations!D$22&amp;Calculations!$P25,Dataset!$V:$V,0),MATCH(Calculations!$A$1,Dataset!$A$1:$V$1,0)),"")</f>
        <v/>
      </c>
      <c r="E25" s="869" t="str">
        <f>IFERROR(INDEX(Dataset!$A:$V,MATCH(Calculations!E$22&amp;Calculations!$P25,Dataset!$V:$V,0),MATCH(Calculations!$A$1,Dataset!$A$1:$V$1,0)),"")</f>
        <v/>
      </c>
      <c r="F25" s="869" t="str">
        <f>IFERROR(INDEX(Dataset!$A:$V,MATCH(Calculations!F$22&amp;Calculations!$P25,Dataset!$V:$V,0),MATCH(Calculations!$A$1,Dataset!$A$1:$V$1,0)),"")</f>
        <v/>
      </c>
      <c r="G25" s="869" t="str">
        <f>IFERROR(INDEX(Dataset!$A:$V,MATCH(Calculations!G$22&amp;Calculations!$P25,Dataset!$V:$V,0),MATCH(Calculations!$A$1,Dataset!$A$1:$V$1,0)),"")</f>
        <v/>
      </c>
      <c r="H25" s="869" t="str">
        <f>IFERROR(INDEX(Dataset!$A:$V,MATCH(Calculations!H$22&amp;Calculations!$P25,Dataset!$V:$V,0),MATCH(Calculations!$A$1,Dataset!$A$1:$V$1,0)),"")</f>
        <v/>
      </c>
      <c r="I25" s="869" t="str">
        <f>IFERROR(INDEX(Dataset!$A:$V,MATCH(Calculations!I$22&amp;Calculations!$P25,Dataset!$V:$V,0),MATCH(Calculations!$A$1,Dataset!$A$1:$V$1,0)),"")</f>
        <v/>
      </c>
      <c r="J25" s="869" t="str">
        <f>IFERROR(INDEX(Dataset!$A:$V,MATCH(Calculations!J$22&amp;Calculations!$P25,Dataset!$V:$V,0),MATCH(Calculations!$A$1,Dataset!$A$1:$V$1,0)),"")</f>
        <v>Green</v>
      </c>
      <c r="K25" s="869" t="str">
        <f>IFERROR(INDEX(Dataset!$A:$V,MATCH(Calculations!K$22&amp;Calculations!$P25,Dataset!$V:$V,0),MATCH(Calculations!$A$1,Dataset!$A$1:$V$1,0)),"")</f>
        <v/>
      </c>
      <c r="L25" s="869" t="str">
        <f>IFERROR(INDEX(Dataset!$A:$V,MATCH(Calculations!L$22&amp;Calculations!$P25,Dataset!$V:$V,0),MATCH(Calculations!$A$1,Dataset!$A$1:$V$1,0)),"")</f>
        <v/>
      </c>
      <c r="M25" s="869"/>
      <c r="P25" t="s">
        <v>770</v>
      </c>
    </row>
    <row r="26" spans="1:16">
      <c r="A26" s="869" t="s">
        <v>227</v>
      </c>
      <c r="B26" s="869"/>
      <c r="C26" s="869" t="str">
        <f>IFERROR(INDEX(Dataset!$A:$V,MATCH(Calculations!#REF!&amp;Calculations!$P26,Dataset!$V:$V,0),MATCH(Calculations!$A$1,Dataset!$A$1:$V$1,0)),"")</f>
        <v/>
      </c>
      <c r="D26" s="869">
        <f>IFERROR(INDEX(Dataset!$A:$V,MATCH(Calculations!D$22&amp;Calculations!$P26,Dataset!$V:$V,0),MATCH(Calculations!$A$1,Dataset!$A$1:$V$1,0)),"")</f>
        <v>32.151251136217397</v>
      </c>
      <c r="E26" s="869">
        <f>IFERROR(INDEX(Dataset!$A:$V,MATCH(Calculations!E$22&amp;Calculations!$P26,Dataset!$V:$V,0),MATCH(Calculations!$A$1,Dataset!$A$1:$V$1,0)),"")</f>
        <v>31.973613961251758</v>
      </c>
      <c r="F26" s="869">
        <f>IFERROR(INDEX(Dataset!$A:$V,MATCH(Calculations!F$22&amp;Calculations!$P26,Dataset!$V:$V,0),MATCH(Calculations!$A$1,Dataset!$A$1:$V$1,0)),"")</f>
        <v>31.024045063063472</v>
      </c>
      <c r="G26" s="869">
        <f>IFERROR(INDEX(Dataset!$A:$V,MATCH(Calculations!G$22&amp;Calculations!$P26,Dataset!$V:$V,0),MATCH(Calculations!$A$1,Dataset!$A$1:$V$1,0)),"")</f>
        <v>32.297354821669131</v>
      </c>
      <c r="H26" s="869">
        <f>IFERROR(INDEX(Dataset!$A:$V,MATCH(Calculations!H$22&amp;Calculations!$P26,Dataset!$V:$V,0),MATCH(Calculations!$A$1,Dataset!$A$1:$V$1,0)),"")</f>
        <v>29.002556020264681</v>
      </c>
      <c r="I26" s="869">
        <f>IFERROR(INDEX(Dataset!$A:$V,MATCH(Calculations!I$22&amp;Calculations!$P26,Dataset!$V:$V,0),MATCH(Calculations!$A$1,Dataset!$A$1:$V$1,0)),"")</f>
        <v>28.24247962932213</v>
      </c>
      <c r="J26" s="869">
        <f>IFERROR(INDEX(Dataset!$A:$V,MATCH(Calculations!J$22&amp;Calculations!$P26,Dataset!$V:$V,0),MATCH(Calculations!$A$1,Dataset!$A$1:$V$1,0)),"")</f>
        <v>29.520587586832292</v>
      </c>
      <c r="K26" s="869" t="str">
        <f>IFERROR(INDEX(Dataset!$A:$V,MATCH(Calculations!K$22&amp;Calculations!$P26,Dataset!$V:$V,0),MATCH(Calculations!$A$1,Dataset!$A$1:$V$1,0)),"")</f>
        <v/>
      </c>
      <c r="L26" s="869" t="str">
        <f>IFERROR(INDEX(Dataset!$A:$V,MATCH(Calculations!L$22&amp;Calculations!$P26,Dataset!$V:$V,0),MATCH(Calculations!$A$1,Dataset!$A$1:$V$1,0)),"")</f>
        <v/>
      </c>
      <c r="M26" s="869"/>
      <c r="P26" t="s">
        <v>771</v>
      </c>
    </row>
    <row r="27" spans="1:16">
      <c r="A27" s="869" t="s">
        <v>772</v>
      </c>
      <c r="B27" s="869"/>
      <c r="C27" s="869" t="str">
        <f>IFERROR(INDEX(Dataset!$A:$V,MATCH(Calculations!#REF!&amp;Calculations!$P27,Dataset!$V:$V,0),MATCH(Calculations!$A$1,Dataset!$A$1:$V$1,0)),"")</f>
        <v/>
      </c>
      <c r="D27" s="869" t="str">
        <f>IFERROR(INDEX(Dataset!$A:$V,MATCH(Calculations!D$22&amp;Calculations!$P27,Dataset!$V:$V,0),MATCH(Calculations!$A$1,Dataset!$A$1:$V$1,0)),"")</f>
        <v/>
      </c>
      <c r="E27" s="869" t="str">
        <f>IFERROR(INDEX(Dataset!$A:$V,MATCH(Calculations!E$22&amp;Calculations!$P27,Dataset!$V:$V,0),MATCH(Calculations!$A$1,Dataset!$A$1:$V$1,0)),"")</f>
        <v/>
      </c>
      <c r="F27" s="869" t="str">
        <f>IFERROR(INDEX(Dataset!$A:$V,MATCH(Calculations!F$22&amp;Calculations!$P27,Dataset!$V:$V,0),MATCH(Calculations!$A$1,Dataset!$A$1:$V$1,0)),"")</f>
        <v/>
      </c>
      <c r="G27" s="869" t="str">
        <f>IFERROR(INDEX(Dataset!$A:$V,MATCH(Calculations!G$22&amp;Calculations!$P27,Dataset!$V:$V,0),MATCH(Calculations!$A$1,Dataset!$A$1:$V$1,0)),"")</f>
        <v/>
      </c>
      <c r="H27" s="869" t="str">
        <f>IFERROR(INDEX(Dataset!$A:$V,MATCH(Calculations!H$22&amp;Calculations!$P27,Dataset!$V:$V,0),MATCH(Calculations!$A$1,Dataset!$A$1:$V$1,0)),"")</f>
        <v/>
      </c>
      <c r="I27" s="869" t="str">
        <f>IFERROR(INDEX(Dataset!$A:$V,MATCH(Calculations!I$22&amp;Calculations!$P27,Dataset!$V:$V,0),MATCH(Calculations!$A$1,Dataset!$A$1:$V$1,0)),"")</f>
        <v/>
      </c>
      <c r="J27" s="869" t="str">
        <f>IFERROR(INDEX(Dataset!$A:$V,MATCH(Calculations!J$22&amp;Calculations!$P27,Dataset!$V:$V,0),MATCH(Calculations!$A$1,Dataset!$A$1:$V$1,0)),"")</f>
        <v>Green</v>
      </c>
      <c r="K27" s="869" t="str">
        <f>IFERROR(INDEX(Dataset!$A:$V,MATCH(Calculations!K$22&amp;Calculations!$P27,Dataset!$V:$V,0),MATCH(Calculations!$A$1,Dataset!$A$1:$V$1,0)),"")</f>
        <v/>
      </c>
      <c r="L27" s="869" t="str">
        <f>IFERROR(INDEX(Dataset!$A:$V,MATCH(Calculations!L$22&amp;Calculations!$P27,Dataset!$V:$V,0),MATCH(Calculations!$A$1,Dataset!$A$1:$V$1,0)),"")</f>
        <v/>
      </c>
      <c r="M27" s="869"/>
      <c r="P27" t="s">
        <v>773</v>
      </c>
    </row>
    <row r="28" spans="1:16">
      <c r="A28" s="869" t="s">
        <v>774</v>
      </c>
      <c r="B28" s="869"/>
      <c r="C28" s="869" t="str">
        <f>IFERROR(INDEX(Dataset!$A:$V,MATCH(Calculations!#REF!&amp;Calculations!$P28,Dataset!$V:$V,0),MATCH(Calculations!$A$1,Dataset!$A$1:$V$1,0)),"")</f>
        <v/>
      </c>
      <c r="D28" s="869">
        <f>IFERROR(INDEX(Dataset!$A:$V,MATCH(Calculations!D$22&amp;Calculations!$P28,Dataset!$V:$V,0),MATCH(Calculations!$A$1,Dataset!$A$1:$V$1,0)),"")</f>
        <v>2.0841647325428494</v>
      </c>
      <c r="E28" s="869">
        <f>IFERROR(INDEX(Dataset!$A:$V,MATCH(Calculations!E$22&amp;Calculations!$P28,Dataset!$V:$V,0),MATCH(Calculations!$A$1,Dataset!$A$1:$V$1,0)),"")</f>
        <v>2.881645696963465</v>
      </c>
      <c r="F28" s="869">
        <f>IFERROR(INDEX(Dataset!$A:$V,MATCH(Calculations!F$22&amp;Calculations!$P28,Dataset!$V:$V,0),MATCH(Calculations!$A$1,Dataset!$A$1:$V$1,0)),"")</f>
        <v>2.3658470940520817</v>
      </c>
      <c r="G28" s="869">
        <f>IFERROR(INDEX(Dataset!$A:$V,MATCH(Calculations!G$22&amp;Calculations!$P28,Dataset!$V:$V,0),MATCH(Calculations!$A$1,Dataset!$A$1:$V$1,0)),"")</f>
        <v>2.566582049219416</v>
      </c>
      <c r="H28" s="869">
        <f>IFERROR(INDEX(Dataset!$A:$V,MATCH(Calculations!H$22&amp;Calculations!$P28,Dataset!$V:$V,0),MATCH(Calculations!$A$1,Dataset!$A$1:$V$1,0)),"")</f>
        <v>2.2526384551003327</v>
      </c>
      <c r="I28" s="869">
        <f>IFERROR(INDEX(Dataset!$A:$V,MATCH(Calculations!I$22&amp;Calculations!$P28,Dataset!$V:$V,0),MATCH(Calculations!$A$1,Dataset!$A$1:$V$1,0)),"")</f>
        <v>1.8923293708136073</v>
      </c>
      <c r="J28" s="869">
        <f>IFERROR(INDEX(Dataset!$A:$V,MATCH(Calculations!J$22&amp;Calculations!$P28,Dataset!$V:$V,0),MATCH(Calculations!$A$1,Dataset!$A$1:$V$1,0)),"")</f>
        <v>2.2470445028030412</v>
      </c>
      <c r="K28" s="869" t="str">
        <f>IFERROR(INDEX(Dataset!$A:$V,MATCH(Calculations!K$22&amp;Calculations!$P28,Dataset!$V:$V,0),MATCH(Calculations!$A$1,Dataset!$A$1:$V$1,0)),"")</f>
        <v/>
      </c>
      <c r="L28" s="869" t="str">
        <f>IFERROR(INDEX(Dataset!$A:$V,MATCH(Calculations!L$22&amp;Calculations!$P28,Dataset!$V:$V,0),MATCH(Calculations!$A$1,Dataset!$A$1:$V$1,0)),"")</f>
        <v/>
      </c>
      <c r="M28" s="869"/>
      <c r="P28" t="s">
        <v>775</v>
      </c>
    </row>
    <row r="29" spans="1:16">
      <c r="A29" s="869" t="s">
        <v>776</v>
      </c>
      <c r="B29" s="869"/>
      <c r="C29" s="869" t="str">
        <f>IFERROR(INDEX(Dataset!$A:$V,MATCH(Calculations!#REF!&amp;Calculations!$P29,Dataset!$V:$V,0),MATCH(Calculations!$A$1,Dataset!$A$1:$V$1,0)),"")</f>
        <v/>
      </c>
      <c r="D29" s="869">
        <f>IFERROR(INDEX(Dataset!$A:$V,MATCH(Calculations!D$22&amp;Calculations!$P29,Dataset!$V:$V,0),MATCH(Calculations!$A$1,Dataset!$A$1:$V$1,0)),"")</f>
        <v>2.3768442257207596</v>
      </c>
      <c r="E29" s="869">
        <f>IFERROR(INDEX(Dataset!$A:$V,MATCH(Calculations!E$22&amp;Calculations!$P29,Dataset!$V:$V,0),MATCH(Calculations!$A$1,Dataset!$A$1:$V$1,0)),"")</f>
        <v>2.054564851484221</v>
      </c>
      <c r="F29" s="869">
        <f>IFERROR(INDEX(Dataset!$A:$V,MATCH(Calculations!F$22&amp;Calculations!$P29,Dataset!$V:$V,0),MATCH(Calculations!$A$1,Dataset!$A$1:$V$1,0)),"")</f>
        <v>2.0947732999362638</v>
      </c>
      <c r="G29" s="869">
        <f>IFERROR(INDEX(Dataset!$A:$V,MATCH(Calculations!G$22&amp;Calculations!$P29,Dataset!$V:$V,0),MATCH(Calculations!$A$1,Dataset!$A$1:$V$1,0)),"")</f>
        <v>2.3788767786888538</v>
      </c>
      <c r="H29" s="869">
        <f>IFERROR(INDEX(Dataset!$A:$V,MATCH(Calculations!H$22&amp;Calculations!$P29,Dataset!$V:$V,0),MATCH(Calculations!$A$1,Dataset!$A$1:$V$1,0)),"")</f>
        <v>2.4438858411861322</v>
      </c>
      <c r="I29" s="869">
        <f>IFERROR(INDEX(Dataset!$A:$V,MATCH(Calculations!I$22&amp;Calculations!$P29,Dataset!$V:$V,0),MATCH(Calculations!$A$1,Dataset!$A$1:$V$1,0)),"")</f>
        <v>2.6046916134116547</v>
      </c>
      <c r="J29" s="869">
        <f>IFERROR(INDEX(Dataset!$A:$V,MATCH(Calculations!J$22&amp;Calculations!$P29,Dataset!$V:$V,0),MATCH(Calculations!$A$1,Dataset!$A$1:$V$1,0)),"")</f>
        <v>2.3950225327906103</v>
      </c>
      <c r="K29" s="869" t="str">
        <f>IFERROR(INDEX(Dataset!$A:$V,MATCH(Calculations!K$22&amp;Calculations!$P29,Dataset!$V:$V,0),MATCH(Calculations!$A$1,Dataset!$A$1:$V$1,0)),"")</f>
        <v/>
      </c>
      <c r="L29" s="869" t="str">
        <f>IFERROR(INDEX(Dataset!$A:$V,MATCH(Calculations!L$22&amp;Calculations!$P29,Dataset!$V:$V,0),MATCH(Calculations!$A$1,Dataset!$A$1:$V$1,0)),"")</f>
        <v/>
      </c>
      <c r="M29" s="869"/>
      <c r="P29" t="s">
        <v>777</v>
      </c>
    </row>
    <row r="30" spans="1:16">
      <c r="A30" s="869" t="s">
        <v>778</v>
      </c>
      <c r="B30" s="869"/>
      <c r="C30" s="869" t="str">
        <f>IFERROR(INDEX(Dataset!$A:$V,MATCH(Calculations!#REF!&amp;Calculations!$P30,Dataset!$V:$V,0),MATCH(Calculations!$A$1,Dataset!$A$1:$V$1,0)),"")</f>
        <v/>
      </c>
      <c r="D30" s="869">
        <f>IFERROR(INDEX(Dataset!$A:$V,MATCH(Calculations!D$22&amp;Calculations!$P30,Dataset!$V:$V,0),MATCH(Calculations!$A$1,Dataset!$A$1:$V$1,0)),"")</f>
        <v>0.12375937566090452</v>
      </c>
      <c r="E30" s="869">
        <f>IFERROR(INDEX(Dataset!$A:$V,MATCH(Calculations!E$22&amp;Calculations!$P30,Dataset!$V:$V,0),MATCH(Calculations!$A$1,Dataset!$A$1:$V$1,0)),"")</f>
        <v>-0.34973071719576754</v>
      </c>
      <c r="F30" s="869">
        <f>IFERROR(INDEX(Dataset!$A:$V,MATCH(Calculations!F$22&amp;Calculations!$P30,Dataset!$V:$V,0),MATCH(Calculations!$A$1,Dataset!$A$1:$V$1,0)),"")</f>
        <v>-0.11320831282970591</v>
      </c>
      <c r="G30" s="869">
        <f>IFERROR(INDEX(Dataset!$A:$V,MATCH(Calculations!G$22&amp;Calculations!$P30,Dataset!$V:$V,0),MATCH(Calculations!$A$1,Dataset!$A$1:$V$1,0)),"")</f>
        <v>-7.8391188847009546E-2</v>
      </c>
      <c r="H30" s="869">
        <f>IFERROR(INDEX(Dataset!$A:$V,MATCH(Calculations!H$22&amp;Calculations!$P30,Dataset!$V:$V,0),MATCH(Calculations!$A$1,Dataset!$A$1:$V$1,0)),"")</f>
        <v>7.9870479485059709E-2</v>
      </c>
      <c r="I30" s="869">
        <f>IFERROR(INDEX(Dataset!$A:$V,MATCH(Calculations!I$22&amp;Calculations!$P30,Dataset!$V:$V,0),MATCH(Calculations!$A$1,Dataset!$A$1:$V$1,0)),"")</f>
        <v>0.29750322369286053</v>
      </c>
      <c r="J30" s="869">
        <f>IFERROR(INDEX(Dataset!$A:$V,MATCH(Calculations!J$22&amp;Calculations!$P30,Dataset!$V:$V,0),MATCH(Calculations!$A$1,Dataset!$A$1:$V$1,0)),"")</f>
        <v>6.1799935937735022E-2</v>
      </c>
      <c r="K30" s="869" t="str">
        <f>IFERROR(INDEX(Dataset!$A:$V,MATCH(Calculations!K$22&amp;Calculations!$P30,Dataset!$V:$V,0),MATCH(Calculations!$A$1,Dataset!$A$1:$V$1,0)),"")</f>
        <v/>
      </c>
      <c r="L30" s="869" t="str">
        <f>IFERROR(INDEX(Dataset!$A:$V,MATCH(Calculations!L$22&amp;Calculations!$P30,Dataset!$V:$V,0),MATCH(Calculations!$A$1,Dataset!$A$1:$V$1,0)),"")</f>
        <v/>
      </c>
      <c r="M30" s="869"/>
      <c r="P30" t="s">
        <v>779</v>
      </c>
    </row>
    <row r="31" spans="1:16">
      <c r="A31" s="869" t="s">
        <v>780</v>
      </c>
      <c r="B31" s="869"/>
      <c r="C31" s="869" t="str">
        <f>IFERROR(INDEX(Dataset!$A:$V,MATCH(Calculations!#REF!&amp;Calculations!$P31,Dataset!$V:$V,0),MATCH(Calculations!$A$1,Dataset!$A$1:$V$1,0)),"")</f>
        <v/>
      </c>
      <c r="D31" s="869">
        <f>IFERROR(INDEX(Dataset!$A:$V,MATCH(Calculations!D$22&amp;Calculations!$P31,Dataset!$V:$V,0),MATCH(Calculations!$A$1,Dataset!$A$1:$V$1,0)),"")</f>
        <v>3.7597353379746892</v>
      </c>
      <c r="E31" s="869">
        <f>IFERROR(INDEX(Dataset!$A:$V,MATCH(Calculations!E$22&amp;Calculations!$P31,Dataset!$V:$V,0),MATCH(Calculations!$A$1,Dataset!$A$1:$V$1,0)),"")</f>
        <v>4.8940222682742878</v>
      </c>
      <c r="F31" s="869">
        <f>IFERROR(INDEX(Dataset!$A:$V,MATCH(Calculations!F$22&amp;Calculations!$P31,Dataset!$V:$V,0),MATCH(Calculations!$A$1,Dataset!$A$1:$V$1,0)),"")</f>
        <v>4.4407684057335706</v>
      </c>
      <c r="G31" s="869">
        <f>IFERROR(INDEX(Dataset!$A:$V,MATCH(Calculations!G$22&amp;Calculations!$P31,Dataset!$V:$V,0),MATCH(Calculations!$A$1,Dataset!$A$1:$V$1,0)),"")</f>
        <v>5.2607929393403694</v>
      </c>
      <c r="H31" s="869">
        <f>IFERROR(INDEX(Dataset!$A:$V,MATCH(Calculations!H$22&amp;Calculations!$P31,Dataset!$V:$V,0),MATCH(Calculations!$A$1,Dataset!$A$1:$V$1,0)),"")</f>
        <v>4.8335124524833919</v>
      </c>
      <c r="I31" s="869">
        <f>IFERROR(INDEX(Dataset!$A:$V,MATCH(Calculations!I$22&amp;Calculations!$P31,Dataset!$V:$V,0),MATCH(Calculations!$A$1,Dataset!$A$1:$V$1,0)),"")</f>
        <v>3.9624840072810303</v>
      </c>
      <c r="J31" s="869">
        <f>IFERROR(INDEX(Dataset!$A:$V,MATCH(Calculations!J$22&amp;Calculations!$P31,Dataset!$V:$V,0),MATCH(Calculations!$A$1,Dataset!$A$1:$V$1,0)),"")</f>
        <v>4.5248522313019945</v>
      </c>
      <c r="K31" s="869" t="str">
        <f>IFERROR(INDEX(Dataset!$A:$V,MATCH(Calculations!K$22&amp;Calculations!$P31,Dataset!$V:$V,0),MATCH(Calculations!$A$1,Dataset!$A$1:$V$1,0)),"")</f>
        <v/>
      </c>
      <c r="L31" s="869" t="str">
        <f>IFERROR(INDEX(Dataset!$A:$V,MATCH(Calculations!L$22&amp;Calculations!$P31,Dataset!$V:$V,0),MATCH(Calculations!$A$1,Dataset!$A$1:$V$1,0)),"")</f>
        <v/>
      </c>
      <c r="M31" s="869"/>
      <c r="P31" t="s">
        <v>781</v>
      </c>
    </row>
    <row r="32" spans="1:16">
      <c r="A32" s="869" t="s">
        <v>782</v>
      </c>
      <c r="B32" s="869"/>
      <c r="C32" s="869" t="str">
        <f>IFERROR(INDEX(Dataset!$A:$V,MATCH(Calculations!#REF!&amp;Calculations!$P32,Dataset!$V:$V,0),MATCH(Calculations!$A$1,Dataset!$A$1:$V$1,0)),"")</f>
        <v/>
      </c>
      <c r="D32" s="869">
        <f>IFERROR(INDEX(Dataset!$A:$V,MATCH(Calculations!D$22&amp;Calculations!$P32,Dataset!$V:$V,0),MATCH(Calculations!$A$1,Dataset!$A$1:$V$1,0)),"")</f>
        <v>4.5560001649728177</v>
      </c>
      <c r="E32" s="869">
        <f>IFERROR(INDEX(Dataset!$A:$V,MATCH(Calculations!E$22&amp;Calculations!$P32,Dataset!$V:$V,0),MATCH(Calculations!$A$1,Dataset!$A$1:$V$1,0)),"")</f>
        <v>3.3016225182860128</v>
      </c>
      <c r="F32" s="869">
        <f>IFERROR(INDEX(Dataset!$A:$V,MATCH(Calculations!F$22&amp;Calculations!$P32,Dataset!$V:$V,0),MATCH(Calculations!$A$1,Dataset!$A$1:$V$1,0)),"")</f>
        <v>3.4933607250773426</v>
      </c>
      <c r="G32" s="869">
        <f>IFERROR(INDEX(Dataset!$A:$V,MATCH(Calculations!G$22&amp;Calculations!$P32,Dataset!$V:$V,0),MATCH(Calculations!$A$1,Dataset!$A$1:$V$1,0)),"")</f>
        <v>4.0833745206867107</v>
      </c>
      <c r="H32" s="869">
        <f>IFERROR(INDEX(Dataset!$A:$V,MATCH(Calculations!H$22&amp;Calculations!$P32,Dataset!$V:$V,0),MATCH(Calculations!$A$1,Dataset!$A$1:$V$1,0)),"")</f>
        <v>4.3648420039941831</v>
      </c>
      <c r="I32" s="869">
        <f>IFERROR(INDEX(Dataset!$A:$V,MATCH(Calculations!I$22&amp;Calculations!$P32,Dataset!$V:$V,0),MATCH(Calculations!$A$1,Dataset!$A$1:$V$1,0)),"")</f>
        <v>4.8651945377827426</v>
      </c>
      <c r="J32" s="869">
        <f>IFERROR(INDEX(Dataset!$A:$V,MATCH(Calculations!J$22&amp;Calculations!$P32,Dataset!$V:$V,0),MATCH(Calculations!$A$1,Dataset!$A$1:$V$1,0)),"")</f>
        <v>4.8450245991857779</v>
      </c>
      <c r="K32" s="869" t="str">
        <f>IFERROR(INDEX(Dataset!$A:$V,MATCH(Calculations!K$22&amp;Calculations!$P32,Dataset!$V:$V,0),MATCH(Calculations!$A$1,Dataset!$A$1:$V$1,0)),"")</f>
        <v/>
      </c>
      <c r="L32" s="869" t="str">
        <f>IFERROR(INDEX(Dataset!$A:$V,MATCH(Calculations!L$22&amp;Calculations!$P32,Dataset!$V:$V,0),MATCH(Calculations!$A$1,Dataset!$A$1:$V$1,0)),"")</f>
        <v/>
      </c>
      <c r="M32" s="869"/>
      <c r="P32" t="s">
        <v>783</v>
      </c>
    </row>
    <row r="33" spans="1:16">
      <c r="A33" s="869" t="s">
        <v>784</v>
      </c>
      <c r="B33" s="869"/>
      <c r="C33" s="869" t="str">
        <f>IFERROR(INDEX(Dataset!$A:$V,MATCH(Calculations!#REF!&amp;Calculations!$P33,Dataset!$V:$V,0),MATCH(Calculations!$A$1,Dataset!$A$1:$V$1,0)),"")</f>
        <v/>
      </c>
      <c r="D33" s="869">
        <f>IFERROR(INDEX(Dataset!$A:$V,MATCH(Calculations!D$22&amp;Calculations!$P33,Dataset!$V:$V,0),MATCH(Calculations!$A$1,Dataset!$A$1:$V$1,0)),"")</f>
        <v>0.82402938634539813</v>
      </c>
      <c r="E33" s="869">
        <f>IFERROR(INDEX(Dataset!$A:$V,MATCH(Calculations!E$22&amp;Calculations!$P33,Dataset!$V:$V,0),MATCH(Calculations!$A$1,Dataset!$A$1:$V$1,0)),"")</f>
        <v>-1.647924339125038</v>
      </c>
      <c r="F33" s="869">
        <f>IFERROR(INDEX(Dataset!$A:$V,MATCH(Calculations!F$22&amp;Calculations!$P33,Dataset!$V:$V,0),MATCH(Calculations!$A$1,Dataset!$A$1:$V$1,0)),"")</f>
        <v>-0.96833813772796473</v>
      </c>
      <c r="G33" s="869">
        <f>IFERROR(INDEX(Dataset!$A:$V,MATCH(Calculations!G$22&amp;Calculations!$P33,Dataset!$V:$V,0),MATCH(Calculations!$A$1,Dataset!$A$1:$V$1,0)),"")</f>
        <v>-1.2034303522386101</v>
      </c>
      <c r="H33" s="869">
        <f>IFERROR(INDEX(Dataset!$A:$V,MATCH(Calculations!H$22&amp;Calculations!$P33,Dataset!$V:$V,0),MATCH(Calculations!$A$1,Dataset!$A$1:$V$1,0)),"")</f>
        <v>-0.47902447759745964</v>
      </c>
      <c r="I33" s="869">
        <f>IFERROR(INDEX(Dataset!$A:$V,MATCH(Calculations!I$22&amp;Calculations!$P33,Dataset!$V:$V,0),MATCH(Calculations!$A$1,Dataset!$A$1:$V$1,0)),"")</f>
        <v>0.92265352272421963</v>
      </c>
      <c r="J33" s="869">
        <f>IFERROR(INDEX(Dataset!$A:$V,MATCH(Calculations!J$22&amp;Calculations!$P33,Dataset!$V:$V,0),MATCH(Calculations!$A$1,Dataset!$A$1:$V$1,0)),"")</f>
        <v>0.32724572620499315</v>
      </c>
      <c r="K33" s="869" t="str">
        <f>IFERROR(INDEX(Dataset!$A:$V,MATCH(Calculations!K$22&amp;Calculations!$P33,Dataset!$V:$V,0),MATCH(Calculations!$A$1,Dataset!$A$1:$V$1,0)),"")</f>
        <v/>
      </c>
      <c r="L33" s="869" t="str">
        <f>IFERROR(INDEX(Dataset!$A:$V,MATCH(Calculations!L$22&amp;Calculations!$P33,Dataset!$V:$V,0),MATCH(Calculations!$A$1,Dataset!$A$1:$V$1,0)),"")</f>
        <v/>
      </c>
      <c r="M33" s="869"/>
      <c r="P33" t="s">
        <v>785</v>
      </c>
    </row>
    <row r="34" spans="1:16">
      <c r="A34" s="869" t="s">
        <v>786</v>
      </c>
      <c r="B34" s="869"/>
      <c r="C34" s="869" t="str">
        <f>IFERROR(INDEX(Dataset!$A:$V,MATCH(Calculations!#REF!&amp;Calculations!$P34,Dataset!$V:$V,0),MATCH(Calculations!$A$1,Dataset!$A$1:$V$1,0)),"")</f>
        <v/>
      </c>
      <c r="D34" s="869">
        <f>IFERROR(INDEX(Dataset!$A:$V,MATCH(Calculations!D$22&amp;Calculations!$P34,Dataset!$V:$V,0),MATCH(Calculations!$A$1,Dataset!$A$1:$V$1,0)),"")</f>
        <v>63.14273130219545</v>
      </c>
      <c r="E34" s="869">
        <f>IFERROR(INDEX(Dataset!$A:$V,MATCH(Calculations!E$22&amp;Calculations!$P34,Dataset!$V:$V,0),MATCH(Calculations!$A$1,Dataset!$A$1:$V$1,0)),"")</f>
        <v>56.078353104729224</v>
      </c>
      <c r="F34" s="869">
        <f>IFERROR(INDEX(Dataset!$A:$V,MATCH(Calculations!F$22&amp;Calculations!$P34,Dataset!$V:$V,0),MATCH(Calculations!$A$1,Dataset!$A$1:$V$1,0)),"")</f>
        <v>53.27835761000248</v>
      </c>
      <c r="G34" s="869">
        <f>IFERROR(INDEX(Dataset!$A:$V,MATCH(Calculations!G$22&amp;Calculations!$P34,Dataset!$V:$V,0),MATCH(Calculations!$A$1,Dataset!$A$1:$V$1,0)),"")</f>
        <v>52.804177243847576</v>
      </c>
      <c r="H34" s="869">
        <f>IFERROR(INDEX(Dataset!$A:$V,MATCH(Calculations!H$22&amp;Calculations!$P34,Dataset!$V:$V,0),MATCH(Calculations!$A$1,Dataset!$A$1:$V$1,0)),"")</f>
        <v>46.231441302754597</v>
      </c>
      <c r="I34" s="869">
        <f>IFERROR(INDEX(Dataset!$A:$V,MATCH(Calculations!I$22&amp;Calculations!$P34,Dataset!$V:$V,0),MATCH(Calculations!$A$1,Dataset!$A$1:$V$1,0)),"")</f>
        <v>42.555825223340811</v>
      </c>
      <c r="J34" s="869">
        <f>IFERROR(INDEX(Dataset!$A:$V,MATCH(Calculations!J$22&amp;Calculations!$P34,Dataset!$V:$V,0),MATCH(Calculations!$A$1,Dataset!$A$1:$V$1,0)),"")</f>
        <v>44.512860755910793</v>
      </c>
      <c r="K34" s="869" t="str">
        <f>IFERROR(INDEX(Dataset!$A:$V,MATCH(Calculations!K$22&amp;Calculations!$P34,Dataset!$V:$V,0),MATCH(Calculations!$A$1,Dataset!$A$1:$V$1,0)),"")</f>
        <v/>
      </c>
      <c r="L34" s="869" t="str">
        <f>IFERROR(INDEX(Dataset!$A:$V,MATCH(Calculations!L$22&amp;Calculations!$P34,Dataset!$V:$V,0),MATCH(Calculations!$A$1,Dataset!$A$1:$V$1,0)),"")</f>
        <v/>
      </c>
      <c r="M34" s="869"/>
      <c r="P34" t="s">
        <v>787</v>
      </c>
    </row>
    <row r="35" spans="1:16">
      <c r="A35" s="869" t="s">
        <v>788</v>
      </c>
      <c r="B35" s="869"/>
      <c r="C35" s="869" t="str">
        <f>IFERROR(INDEX(Dataset!$A:$V,MATCH(Calculations!#REF!&amp;Calculations!$P35,Dataset!$V:$V,0),MATCH(Calculations!$A$1,Dataset!$A$1:$V$1,0)),"")</f>
        <v/>
      </c>
      <c r="D35" s="869">
        <f>IFERROR(INDEX(Dataset!$A:$V,MATCH(Calculations!D$22&amp;Calculations!$P35,Dataset!$V:$V,0),MATCH(Calculations!$A$1,Dataset!$A$1:$V$1,0)),"")</f>
        <v>86.7</v>
      </c>
      <c r="E35" s="869">
        <f>IFERROR(INDEX(Dataset!$A:$V,MATCH(Calculations!E$22&amp;Calculations!$P35,Dataset!$V:$V,0),MATCH(Calculations!$A$1,Dataset!$A$1:$V$1,0)),"")</f>
        <v>85</v>
      </c>
      <c r="F35" s="869">
        <f>IFERROR(INDEX(Dataset!$A:$V,MATCH(Calculations!F$22&amp;Calculations!$P35,Dataset!$V:$V,0),MATCH(Calculations!$A$1,Dataset!$A$1:$V$1,0)),"")</f>
        <v>83.3</v>
      </c>
      <c r="G35" s="869">
        <f>IFERROR(INDEX(Dataset!$A:$V,MATCH(Calculations!G$22&amp;Calculations!$P35,Dataset!$V:$V,0),MATCH(Calculations!$A$1,Dataset!$A$1:$V$1,0)),"")</f>
        <v>81.7</v>
      </c>
      <c r="H35" s="869">
        <f>IFERROR(INDEX(Dataset!$A:$V,MATCH(Calculations!H$22&amp;Calculations!$P35,Dataset!$V:$V,0),MATCH(Calculations!$A$1,Dataset!$A$1:$V$1,0)),"")</f>
        <v>80</v>
      </c>
      <c r="I35" s="869">
        <f>IFERROR(INDEX(Dataset!$A:$V,MATCH(Calculations!I$22&amp;Calculations!$P35,Dataset!$V:$V,0),MATCH(Calculations!$A$1,Dataset!$A$1:$V$1,0)),"")</f>
        <v>78.3</v>
      </c>
      <c r="J35" s="869">
        <f>IFERROR(INDEX(Dataset!$A:$V,MATCH(Calculations!J$22&amp;Calculations!$P35,Dataset!$V:$V,0),MATCH(Calculations!$A$1,Dataset!$A$1:$V$1,0)),"")</f>
        <v>76.7</v>
      </c>
      <c r="K35" s="869" t="str">
        <f>IFERROR(INDEX(Dataset!$A:$V,MATCH(Calculations!K$22&amp;Calculations!$P35,Dataset!$V:$V,0),MATCH(Calculations!$A$1,Dataset!$A$1:$V$1,0)),"")</f>
        <v/>
      </c>
      <c r="L35" s="869" t="str">
        <f>IFERROR(INDEX(Dataset!$A:$V,MATCH(Calculations!L$22&amp;Calculations!$P35,Dataset!$V:$V,0),MATCH(Calculations!$A$1,Dataset!$A$1:$V$1,0)),"")</f>
        <v/>
      </c>
      <c r="M35" s="869"/>
      <c r="P35" t="s">
        <v>789</v>
      </c>
    </row>
    <row r="36" spans="1:16">
      <c r="A36" s="869" t="s">
        <v>790</v>
      </c>
      <c r="B36" s="869"/>
      <c r="C36" s="869" t="str">
        <f>IFERROR(INDEX(Dataset!$A:$V,MATCH(Calculations!#REF!&amp;Calculations!$P36,Dataset!$V:$V,0),MATCH(Calculations!$A$1,Dataset!$A$1:$V$1,0)),"")</f>
        <v/>
      </c>
      <c r="D36" s="869">
        <f>IFERROR(INDEX(Dataset!$A:$V,MATCH(Calculations!D$22&amp;Calculations!$P36,Dataset!$V:$V,0),MATCH(Calculations!$A$1,Dataset!$A$1:$V$1,0)),"")</f>
        <v>9.9611791542370387</v>
      </c>
      <c r="E36" s="869">
        <f>IFERROR(INDEX(Dataset!$A:$V,MATCH(Calculations!E$22&amp;Calculations!$P36,Dataset!$V:$V,0),MATCH(Calculations!$A$1,Dataset!$A$1:$V$1,0)),"")</f>
        <v>12.229503761878169</v>
      </c>
      <c r="F36" s="869">
        <f>IFERROR(INDEX(Dataset!$A:$V,MATCH(Calculations!F$22&amp;Calculations!$P36,Dataset!$V:$V,0),MATCH(Calculations!$A$1,Dataset!$A$1:$V$1,0)),"")</f>
        <v>12.537912395531249</v>
      </c>
      <c r="G36" s="869">
        <f>IFERROR(INDEX(Dataset!$A:$V,MATCH(Calculations!G$22&amp;Calculations!$P36,Dataset!$V:$V,0),MATCH(Calculations!$A$1,Dataset!$A$1:$V$1,0)),"")</f>
        <v>12.06773732119815</v>
      </c>
      <c r="H36" s="869">
        <f>IFERROR(INDEX(Dataset!$A:$V,MATCH(Calculations!H$22&amp;Calculations!$P36,Dataset!$V:$V,0),MATCH(Calculations!$A$1,Dataset!$A$1:$V$1,0)),"")</f>
        <v>14.102733793487594</v>
      </c>
      <c r="I36" s="869">
        <f>IFERROR(INDEX(Dataset!$A:$V,MATCH(Calculations!I$22&amp;Calculations!$P36,Dataset!$V:$V,0),MATCH(Calculations!$A$1,Dataset!$A$1:$V$1,0)),"")</f>
        <v>14.92780861814628</v>
      </c>
      <c r="J36" s="869">
        <f>IFERROR(INDEX(Dataset!$A:$V,MATCH(Calculations!J$22&amp;Calculations!$P36,Dataset!$V:$V,0),MATCH(Calculations!$A$1,Dataset!$A$1:$V$1,0)),"")</f>
        <v>13.44228696294153</v>
      </c>
      <c r="K36" s="869" t="str">
        <f>IFERROR(INDEX(Dataset!$A:$V,MATCH(Calculations!K$22&amp;Calculations!$P36,Dataset!$V:$V,0),MATCH(Calculations!$A$1,Dataset!$A$1:$V$1,0)),"")</f>
        <v/>
      </c>
      <c r="L36" s="869" t="str">
        <f>IFERROR(INDEX(Dataset!$A:$V,MATCH(Calculations!L$22&amp;Calculations!$P36,Dataset!$V:$V,0),MATCH(Calculations!$A$1,Dataset!$A$1:$V$1,0)),"")</f>
        <v/>
      </c>
      <c r="M36" s="869"/>
      <c r="P36" t="s">
        <v>791</v>
      </c>
    </row>
    <row r="37" spans="1:16">
      <c r="A37" s="869" t="s">
        <v>792</v>
      </c>
      <c r="B37" s="869"/>
      <c r="C37" s="869" t="str">
        <f>IFERROR(INDEX(Dataset!$A:$V,MATCH(Calculations!#REF!&amp;Calculations!$P37,Dataset!$V:$V,0),MATCH(Calculations!$A$1,Dataset!$A$1:$V$1,0)),"")</f>
        <v/>
      </c>
      <c r="D37" s="869">
        <f>IFERROR(INDEX(Dataset!$A:$V,MATCH(Calculations!D$22&amp;Calculations!$P37,Dataset!$V:$V,0),MATCH(Calculations!$A$1,Dataset!$A$1:$V$1,0)),"")</f>
        <v>28.391515798242708</v>
      </c>
      <c r="E37" s="869">
        <f>IFERROR(INDEX(Dataset!$A:$V,MATCH(Calculations!E$22&amp;Calculations!$P37,Dataset!$V:$V,0),MATCH(Calculations!$A$1,Dataset!$A$1:$V$1,0)),"")</f>
        <v>27.07959169297747</v>
      </c>
      <c r="F37" s="869">
        <f>IFERROR(INDEX(Dataset!$A:$V,MATCH(Calculations!F$22&amp;Calculations!$P37,Dataset!$V:$V,0),MATCH(Calculations!$A$1,Dataset!$A$1:$V$1,0)),"")</f>
        <v>26.5832766573299</v>
      </c>
      <c r="G37" s="869">
        <f>IFERROR(INDEX(Dataset!$A:$V,MATCH(Calculations!G$22&amp;Calculations!$P37,Dataset!$V:$V,0),MATCH(Calculations!$A$1,Dataset!$A$1:$V$1,0)),"")</f>
        <v>27.036561882328762</v>
      </c>
      <c r="H37" s="869">
        <f>IFERROR(INDEX(Dataset!$A:$V,MATCH(Calculations!H$22&amp;Calculations!$P37,Dataset!$V:$V,0),MATCH(Calculations!$A$1,Dataset!$A$1:$V$1,0)),"")</f>
        <v>24.169043567781291</v>
      </c>
      <c r="I37" s="869">
        <f>IFERROR(INDEX(Dataset!$A:$V,MATCH(Calculations!I$22&amp;Calculations!$P37,Dataset!$V:$V,0),MATCH(Calculations!$A$1,Dataset!$A$1:$V$1,0)),"")</f>
        <v>24.279995622041099</v>
      </c>
      <c r="J37" s="869">
        <f>IFERROR(INDEX(Dataset!$A:$V,MATCH(Calculations!J$22&amp;Calculations!$P37,Dataset!$V:$V,0),MATCH(Calculations!$A$1,Dataset!$A$1:$V$1,0)),"")</f>
        <v>24.995735355530297</v>
      </c>
      <c r="K37" s="869" t="str">
        <f>IFERROR(INDEX(Dataset!$A:$V,MATCH(Calculations!K$22&amp;Calculations!$P37,Dataset!$V:$V,0),MATCH(Calculations!$A$1,Dataset!$A$1:$V$1,0)),"")</f>
        <v/>
      </c>
      <c r="L37" s="869" t="str">
        <f>IFERROR(INDEX(Dataset!$A:$V,MATCH(Calculations!L$22&amp;Calculations!$P37,Dataset!$V:$V,0),MATCH(Calculations!$A$1,Dataset!$A$1:$V$1,0)),"")</f>
        <v/>
      </c>
      <c r="M37" s="869"/>
      <c r="P37" t="s">
        <v>793</v>
      </c>
    </row>
    <row r="38" spans="1:16">
      <c r="A38" s="869" t="s">
        <v>794</v>
      </c>
      <c r="B38" s="869"/>
      <c r="C38" s="869" t="str">
        <f>IFERROR(INDEX(Dataset!$A:$V,MATCH(Calculations!#REF!&amp;Calculations!$P38,Dataset!$V:$V,0),MATCH(Calculations!$A$1,Dataset!$A$1:$V$1,0)),"")</f>
        <v/>
      </c>
      <c r="D38" s="869">
        <f>IFERROR(INDEX(Dataset!$A:$V,MATCH(Calculations!D$22&amp;Calculations!$P38,Dataset!$V:$V,0),MATCH(Calculations!$A$1,Dataset!$A$1:$V$1,0)),"")</f>
        <v>51.1</v>
      </c>
      <c r="E38" s="869">
        <f>IFERROR(INDEX(Dataset!$A:$V,MATCH(Calculations!E$22&amp;Calculations!$P38,Dataset!$V:$V,0),MATCH(Calculations!$A$1,Dataset!$A$1:$V$1,0)),"")</f>
        <v>50.3</v>
      </c>
      <c r="F38" s="869">
        <f>IFERROR(INDEX(Dataset!$A:$V,MATCH(Calculations!F$22&amp;Calculations!$P38,Dataset!$V:$V,0),MATCH(Calculations!$A$1,Dataset!$A$1:$V$1,0)),"")</f>
        <v>49.5</v>
      </c>
      <c r="G38" s="869">
        <f>IFERROR(INDEX(Dataset!$A:$V,MATCH(Calculations!G$22&amp;Calculations!$P38,Dataset!$V:$V,0),MATCH(Calculations!$A$1,Dataset!$A$1:$V$1,0)),"")</f>
        <v>48.7</v>
      </c>
      <c r="H38" s="869">
        <f>IFERROR(INDEX(Dataset!$A:$V,MATCH(Calculations!H$22&amp;Calculations!$P38,Dataset!$V:$V,0),MATCH(Calculations!$A$1,Dataset!$A$1:$V$1,0)),"")</f>
        <v>47.9</v>
      </c>
      <c r="I38" s="869">
        <f>IFERROR(INDEX(Dataset!$A:$V,MATCH(Calculations!I$22&amp;Calculations!$P38,Dataset!$V:$V,0),MATCH(Calculations!$A$1,Dataset!$A$1:$V$1,0)),"")</f>
        <v>47.1</v>
      </c>
      <c r="J38" s="869">
        <f>IFERROR(INDEX(Dataset!$A:$V,MATCH(Calculations!J$22&amp;Calculations!$P38,Dataset!$V:$V,0),MATCH(Calculations!$A$1,Dataset!$A$1:$V$1,0)),"")</f>
        <v>46.4</v>
      </c>
      <c r="K38" s="869" t="str">
        <f>IFERROR(INDEX(Dataset!$A:$V,MATCH(Calculations!K$22&amp;Calculations!$P38,Dataset!$V:$V,0),MATCH(Calculations!$A$1,Dataset!$A$1:$V$1,0)),"")</f>
        <v/>
      </c>
      <c r="L38" s="869" t="str">
        <f>IFERROR(INDEX(Dataset!$A:$V,MATCH(Calculations!L$22&amp;Calculations!$P38,Dataset!$V:$V,0),MATCH(Calculations!$A$1,Dataset!$A$1:$V$1,0)),"")</f>
        <v/>
      </c>
      <c r="M38" s="869"/>
      <c r="P38" t="s">
        <v>795</v>
      </c>
    </row>
    <row r="39" spans="1:16">
      <c r="A39" s="869" t="s">
        <v>796</v>
      </c>
      <c r="B39" s="869"/>
      <c r="C39" s="869" t="str">
        <f>IFERROR(INDEX(Dataset!$A:$V,MATCH(Calculations!#REF!&amp;Calculations!$P39,Dataset!$V:$V,0),MATCH(Calculations!$A$1,Dataset!$A$1:$V$1,0)),"")</f>
        <v/>
      </c>
      <c r="D39" s="869">
        <f>IFERROR(INDEX(Dataset!$A:$V,MATCH(Calculations!D$22&amp;Calculations!$P39,Dataset!$V:$V,0),MATCH(Calculations!$A$1,Dataset!$A$1:$V$1,0)),"")</f>
        <v>23.500294961103702</v>
      </c>
      <c r="E39" s="869">
        <f>IFERROR(INDEX(Dataset!$A:$V,MATCH(Calculations!E$22&amp;Calculations!$P39,Dataset!$V:$V,0),MATCH(Calculations!$A$1,Dataset!$A$1:$V$1,0)),"")</f>
        <v>24.030069091536461</v>
      </c>
      <c r="F39" s="869">
        <f>IFERROR(INDEX(Dataset!$A:$V,MATCH(Calculations!F$22&amp;Calculations!$P39,Dataset!$V:$V,0),MATCH(Calculations!$A$1,Dataset!$A$1:$V$1,0)),"")</f>
        <v>23.423007494616581</v>
      </c>
      <c r="G39" s="869">
        <f>IFERROR(INDEX(Dataset!$A:$V,MATCH(Calculations!G$22&amp;Calculations!$P39,Dataset!$V:$V,0),MATCH(Calculations!$A$1,Dataset!$A$1:$V$1,0)),"")</f>
        <v>22.142034260394166</v>
      </c>
      <c r="H39" s="869">
        <f>IFERROR(INDEX(Dataset!$A:$V,MATCH(Calculations!H$22&amp;Calculations!$P39,Dataset!$V:$V,0),MATCH(Calculations!$A$1,Dataset!$A$1:$V$1,0)),"")</f>
        <v>24.255228902262193</v>
      </c>
      <c r="I39" s="869">
        <f>IFERROR(INDEX(Dataset!$A:$V,MATCH(Calculations!I$22&amp;Calculations!$P39,Dataset!$V:$V,0),MATCH(Calculations!$A$1,Dataset!$A$1:$V$1,0)),"")</f>
        <v>23.324151781195994</v>
      </c>
      <c r="J39" s="869">
        <f>IFERROR(INDEX(Dataset!$A:$V,MATCH(Calculations!J$22&amp;Calculations!$P39,Dataset!$V:$V,0),MATCH(Calculations!$A$1,Dataset!$A$1:$V$1,0)),"")</f>
        <v>21.877135037480294</v>
      </c>
      <c r="K39" s="869" t="str">
        <f>IFERROR(INDEX(Dataset!$A:$V,MATCH(Calculations!K$22&amp;Calculations!$P39,Dataset!$V:$V,0),MATCH(Calculations!$A$1,Dataset!$A$1:$V$1,0)),"")</f>
        <v/>
      </c>
      <c r="L39" s="869" t="str">
        <f>IFERROR(INDEX(Dataset!$A:$V,MATCH(Calculations!L$22&amp;Calculations!$P39,Dataset!$V:$V,0),MATCH(Calculations!$A$1,Dataset!$A$1:$V$1,0)),"")</f>
        <v/>
      </c>
      <c r="M39" s="869"/>
      <c r="P39" t="s">
        <v>797</v>
      </c>
    </row>
    <row r="40" spans="1:16">
      <c r="A40" s="869" t="s">
        <v>798</v>
      </c>
      <c r="B40" s="869"/>
      <c r="C40" s="869" t="str">
        <f>IFERROR(INDEX(Dataset!$A:$V,MATCH(Calculations!#REF!&amp;Calculations!$P40,Dataset!$V:$V,0),MATCH(Calculations!$A$1,Dataset!$A$1:$V$1,0)),"")</f>
        <v/>
      </c>
      <c r="D40" s="869">
        <f>IFERROR(INDEX(Dataset!$A:$V,MATCH(Calculations!D$22&amp;Calculations!$P40,Dataset!$V:$V,0),MATCH(Calculations!$A$1,Dataset!$A$1:$V$1,0)),"")</f>
        <v>22.50958209870236</v>
      </c>
      <c r="E40" s="869">
        <f>IFERROR(INDEX(Dataset!$A:$V,MATCH(Calculations!E$22&amp;Calculations!$P40,Dataset!$V:$V,0),MATCH(Calculations!$A$1,Dataset!$A$1:$V$1,0)),"")</f>
        <v>22.50958209870236</v>
      </c>
      <c r="F40" s="869">
        <f>IFERROR(INDEX(Dataset!$A:$V,MATCH(Calculations!F$22&amp;Calculations!$P40,Dataset!$V:$V,0),MATCH(Calculations!$A$1,Dataset!$A$1:$V$1,0)),"")</f>
        <v>22.50958209870236</v>
      </c>
      <c r="G40" s="869">
        <f>IFERROR(INDEX(Dataset!$A:$V,MATCH(Calculations!G$22&amp;Calculations!$P40,Dataset!$V:$V,0),MATCH(Calculations!$A$1,Dataset!$A$1:$V$1,0)),"")</f>
        <v>22.50958209870236</v>
      </c>
      <c r="H40" s="869">
        <f>IFERROR(INDEX(Dataset!$A:$V,MATCH(Calculations!H$22&amp;Calculations!$P40,Dataset!$V:$V,0),MATCH(Calculations!$A$1,Dataset!$A$1:$V$1,0)),"")</f>
        <v>22.50958209870236</v>
      </c>
      <c r="I40" s="869">
        <f>IFERROR(INDEX(Dataset!$A:$V,MATCH(Calculations!I$22&amp;Calculations!$P40,Dataset!$V:$V,0),MATCH(Calculations!$A$1,Dataset!$A$1:$V$1,0)),"")</f>
        <v>22.50958209870236</v>
      </c>
      <c r="J40" s="869">
        <f>IFERROR(INDEX(Dataset!$A:$V,MATCH(Calculations!J$22&amp;Calculations!$P40,Dataset!$V:$V,0),MATCH(Calculations!$A$1,Dataset!$A$1:$V$1,0)),"")</f>
        <v>22.50958209870236</v>
      </c>
      <c r="K40" s="869" t="str">
        <f>IFERROR(INDEX(Dataset!$A:$V,MATCH(Calculations!K$22&amp;Calculations!$P40,Dataset!$V:$V,0),MATCH(Calculations!$A$1,Dataset!$A$1:$V$1,0)),"")</f>
        <v/>
      </c>
      <c r="L40" s="869" t="str">
        <f>IFERROR(INDEX(Dataset!$A:$V,MATCH(Calculations!L$22&amp;Calculations!$P40,Dataset!$V:$V,0),MATCH(Calculations!$A$1,Dataset!$A$1:$V$1,0)),"")</f>
        <v/>
      </c>
      <c r="M40" s="869"/>
      <c r="P40" t="s">
        <v>799</v>
      </c>
    </row>
    <row r="41" spans="1:16">
      <c r="A41" s="869" t="s">
        <v>237</v>
      </c>
      <c r="B41" s="869"/>
      <c r="C41" s="869" t="str">
        <f>IFERROR(INDEX(Dataset!$A:$V,MATCH(Calculations!#REF!&amp;Calculations!$P41,Dataset!$V:$V,0),MATCH(Calculations!$A$1,Dataset!$A$1:$V$1,0)),"")</f>
        <v/>
      </c>
      <c r="D41" s="869">
        <f>IFERROR(INDEX(Dataset!$A:$V,MATCH(Calculations!D$22&amp;Calculations!$P41,Dataset!$V:$V,0),MATCH(Calculations!$A$1,Dataset!$A$1:$V$1,0)),"")</f>
        <v>0</v>
      </c>
      <c r="E41" s="869">
        <f>IFERROR(INDEX(Dataset!$A:$V,MATCH(Calculations!E$22&amp;Calculations!$P41,Dataset!$V:$V,0),MATCH(Calculations!$A$1,Dataset!$A$1:$V$1,0)),"")</f>
        <v>0</v>
      </c>
      <c r="F41" s="869">
        <f>IFERROR(INDEX(Dataset!$A:$V,MATCH(Calculations!F$22&amp;Calculations!$P41,Dataset!$V:$V,0),MATCH(Calculations!$A$1,Dataset!$A$1:$V$1,0)),"")</f>
        <v>0</v>
      </c>
      <c r="G41" s="869">
        <f>IFERROR(INDEX(Dataset!$A:$V,MATCH(Calculations!G$22&amp;Calculations!$P41,Dataset!$V:$V,0),MATCH(Calculations!$A$1,Dataset!$A$1:$V$1,0)),"")</f>
        <v>0</v>
      </c>
      <c r="H41" s="869">
        <f>IFERROR(INDEX(Dataset!$A:$V,MATCH(Calculations!H$22&amp;Calculations!$P41,Dataset!$V:$V,0),MATCH(Calculations!$A$1,Dataset!$A$1:$V$1,0)),"")</f>
        <v>0</v>
      </c>
      <c r="I41" s="869">
        <f>IFERROR(INDEX(Dataset!$A:$V,MATCH(Calculations!I$22&amp;Calculations!$P41,Dataset!$V:$V,0),MATCH(Calculations!$A$1,Dataset!$A$1:$V$1,0)),"")</f>
        <v>0</v>
      </c>
      <c r="J41" s="869">
        <f>IFERROR(INDEX(Dataset!$A:$V,MATCH(Calculations!J$22&amp;Calculations!$P41,Dataset!$V:$V,0),MATCH(Calculations!$A$1,Dataset!$A$1:$V$1,0)),"")</f>
        <v>0</v>
      </c>
      <c r="K41" s="869" t="str">
        <f>IFERROR(INDEX(Dataset!$A:$V,MATCH(Calculations!K$22&amp;Calculations!$P41,Dataset!$V:$V,0),MATCH(Calculations!$A$1,Dataset!$A$1:$V$1,0)),"")</f>
        <v/>
      </c>
      <c r="L41" s="869" t="str">
        <f>IFERROR(INDEX(Dataset!$A:$V,MATCH(Calculations!L$22&amp;Calculations!$P41,Dataset!$V:$V,0),MATCH(Calculations!$A$1,Dataset!$A$1:$V$1,0)),"")</f>
        <v/>
      </c>
      <c r="M41" s="869"/>
      <c r="P41" t="s">
        <v>800</v>
      </c>
    </row>
    <row r="42" spans="1:16">
      <c r="A42" s="865" t="s">
        <v>238</v>
      </c>
      <c r="B42" s="865"/>
      <c r="C42" s="865" t="str">
        <f>IFERROR(INDEX(Dataset!$A:$V,MATCH(Calculations!#REF!&amp;Calculations!$P42,Dataset!$V:$V,0),MATCH(Calculations!$A$1,Dataset!$A$1:$V$1,0)),"")</f>
        <v/>
      </c>
      <c r="D42" s="865">
        <f>IFERROR(INDEX(Dataset!$A:$V,MATCH(Calculations!D$22&amp;Calculations!$P42,Dataset!$V:$V,0),MATCH(Calculations!$A$1,Dataset!$A$1:$V$1,0)),"")</f>
        <v>0</v>
      </c>
      <c r="E42" s="865">
        <f>IFERROR(INDEX(Dataset!$A:$V,MATCH(Calculations!E$22&amp;Calculations!$P42,Dataset!$V:$V,0),MATCH(Calculations!$A$1,Dataset!$A$1:$V$1,0)),"")</f>
        <v>0</v>
      </c>
      <c r="F42" s="865">
        <f>IFERROR(INDEX(Dataset!$A:$V,MATCH(Calculations!F$22&amp;Calculations!$P42,Dataset!$V:$V,0),MATCH(Calculations!$A$1,Dataset!$A$1:$V$1,0)),"")</f>
        <v>0</v>
      </c>
      <c r="G42" s="865">
        <f>IFERROR(INDEX(Dataset!$A:$V,MATCH(Calculations!G$22&amp;Calculations!$P42,Dataset!$V:$V,0),MATCH(Calculations!$A$1,Dataset!$A$1:$V$1,0)),"")</f>
        <v>0</v>
      </c>
      <c r="H42" s="865">
        <f>IFERROR(INDEX(Dataset!$A:$V,MATCH(Calculations!H$22&amp;Calculations!$P42,Dataset!$V:$V,0),MATCH(Calculations!$A$1,Dataset!$A$1:$V$1,0)),"")</f>
        <v>0</v>
      </c>
      <c r="I42" s="865">
        <f>IFERROR(INDEX(Dataset!$A:$V,MATCH(Calculations!I$22&amp;Calculations!$P42,Dataset!$V:$V,0),MATCH(Calculations!$A$1,Dataset!$A$1:$V$1,0)),"")</f>
        <v>0</v>
      </c>
      <c r="J42" s="865">
        <f>IFERROR(INDEX(Dataset!$A:$V,MATCH(Calculations!J$22&amp;Calculations!$P42,Dataset!$V:$V,0),MATCH(Calculations!$A$1,Dataset!$A$1:$V$1,0)),"")</f>
        <v>0</v>
      </c>
      <c r="K42" s="865" t="str">
        <f>IFERROR(INDEX(Dataset!$A:$V,MATCH(Calculations!K$22&amp;Calculations!$P42,Dataset!$V:$V,0),MATCH(Calculations!$A$1,Dataset!$A$1:$V$1,0)),"")</f>
        <v/>
      </c>
      <c r="L42" s="865" t="str">
        <f>IFERROR(INDEX(Dataset!$A:$V,MATCH(Calculations!L$22&amp;Calculations!$P42,Dataset!$V:$V,0),MATCH(Calculations!$A$1,Dataset!$A$1:$V$1,0)),"")</f>
        <v/>
      </c>
      <c r="M42" s="869"/>
      <c r="P42" t="s">
        <v>801</v>
      </c>
    </row>
    <row r="44" spans="1:16">
      <c r="A44" s="828" t="s">
        <v>802</v>
      </c>
    </row>
    <row r="45" spans="1:16">
      <c r="A45" s="869" t="s">
        <v>245</v>
      </c>
      <c r="B45" s="869" t="s">
        <v>257</v>
      </c>
      <c r="C45" s="869" t="str">
        <f>IFERROR(INDEX(Dataset!$A:$V,MATCH(Calculations!#REF!&amp;Calculations!$P45,Dataset!$V:$V,0),MATCH(Calculations!$A$1,Dataset!$A$1:$V$1,0)),"")</f>
        <v/>
      </c>
      <c r="D45" s="869">
        <f>IFERROR(INDEX(Dataset!$A:$V,MATCH(Calculations!D$22&amp;Calculations!$P45,Dataset!$V:$V,0),MATCH(Calculations!$A$1,Dataset!$A$1:$V$1,0)),"")</f>
        <v>0</v>
      </c>
      <c r="E45" s="869">
        <f>IFERROR(INDEX(Dataset!$A:$V,MATCH(Calculations!E$22&amp;Calculations!$P45,Dataset!$V:$V,0),MATCH(Calculations!$A$1,Dataset!$A$1:$V$1,0)),"")</f>
        <v>11</v>
      </c>
      <c r="F45" s="869">
        <f>IFERROR(INDEX(Dataset!$A:$V,MATCH(Calculations!F$22&amp;Calculations!$P45,Dataset!$V:$V,0),MATCH(Calculations!$A$1,Dataset!$A$1:$V$1,0)),"")</f>
        <v>17</v>
      </c>
      <c r="G45" s="869">
        <f>IFERROR(INDEX(Dataset!$A:$V,MATCH(Calculations!G$22&amp;Calculations!$P45,Dataset!$V:$V,0),MATCH(Calculations!$A$1,Dataset!$A$1:$V$1,0)),"")</f>
        <v>0</v>
      </c>
      <c r="H45" s="869">
        <f>IFERROR(INDEX(Dataset!$A:$V,MATCH(Calculations!H$22&amp;Calculations!$P45,Dataset!$V:$V,0),MATCH(Calculations!$A$1,Dataset!$A$1:$V$1,0)),"")</f>
        <v>76</v>
      </c>
      <c r="I45" s="869">
        <f>IFERROR(INDEX(Dataset!$A:$V,MATCH(Calculations!I$22&amp;Calculations!$P45,Dataset!$V:$V,0),MATCH(Calculations!$A$1,Dataset!$A$1:$V$1,0)),"")</f>
        <v>43</v>
      </c>
      <c r="J45" s="869">
        <f>IFERROR(INDEX(Dataset!$A:$V,MATCH(Calculations!J$22&amp;Calculations!$P45,Dataset!$V:$V,0),MATCH(Calculations!$A$1,Dataset!$A$1:$V$1,0)),"")</f>
        <v>327</v>
      </c>
      <c r="K45" s="869" t="str">
        <f>IFERROR(INDEX(Dataset!$A:$V,MATCH(Calculations!K$22&amp;Calculations!$P45,Dataset!$V:$V,0),MATCH(Calculations!$A$1,Dataset!$A$1:$V$1,0)),"")</f>
        <v/>
      </c>
      <c r="L45" s="869" t="str">
        <f>IFERROR(INDEX(Dataset!$A:$V,MATCH(Calculations!L$22&amp;Calculations!$P45,Dataset!$V:$V,0),MATCH(Calculations!$A$1,Dataset!$A$1:$V$1,0)),"")</f>
        <v/>
      </c>
      <c r="M45" s="869"/>
      <c r="P45" t="s">
        <v>803</v>
      </c>
    </row>
    <row r="46" spans="1:16">
      <c r="A46" s="869" t="s">
        <v>245</v>
      </c>
      <c r="B46" s="869" t="s">
        <v>258</v>
      </c>
      <c r="C46" s="869" t="str">
        <f>IFERROR(INDEX(Dataset!$A:$V,MATCH(Calculations!#REF!&amp;Calculations!$P46,Dataset!$V:$V,0),MATCH(Calculations!$A$1,Dataset!$A$1:$V$1,0)),"")</f>
        <v/>
      </c>
      <c r="D46" s="871" t="str">
        <f>IFERROR(INDEX(Dataset!$A:$V,MATCH(Calculations!D$22&amp;Calculations!$P46,Dataset!$V:$V,0),MATCH(Calculations!$A$1,Dataset!$A$1:$V$1,0)),"")</f>
        <v>N/A</v>
      </c>
      <c r="E46" s="871">
        <f>IFERROR(INDEX(Dataset!$A:$V,MATCH(Calculations!E$22&amp;Calculations!$P46,Dataset!$V:$V,0),MATCH(Calculations!$A$1,Dataset!$A$1:$V$1,0)),"")</f>
        <v>1</v>
      </c>
      <c r="F46" s="871">
        <f>IFERROR(INDEX(Dataset!$A:$V,MATCH(Calculations!F$22&amp;Calculations!$P46,Dataset!$V:$V,0),MATCH(Calculations!$A$1,Dataset!$A$1:$V$1,0)),"")</f>
        <v>1</v>
      </c>
      <c r="G46" s="871" t="str">
        <f>IFERROR(INDEX(Dataset!$A:$V,MATCH(Calculations!G$22&amp;Calculations!$P46,Dataset!$V:$V,0),MATCH(Calculations!$A$1,Dataset!$A$1:$V$1,0)),"")</f>
        <v>N/A</v>
      </c>
      <c r="H46" s="871">
        <f>IFERROR(INDEX(Dataset!$A:$V,MATCH(Calculations!H$22&amp;Calculations!$P46,Dataset!$V:$V,0),MATCH(Calculations!$A$1,Dataset!$A$1:$V$1,0)),"")</f>
        <v>1</v>
      </c>
      <c r="I46" s="871">
        <f>IFERROR(INDEX(Dataset!$A:$V,MATCH(Calculations!I$22&amp;Calculations!$P46,Dataset!$V:$V,0),MATCH(Calculations!$A$1,Dataset!$A$1:$V$1,0)),"")</f>
        <v>1</v>
      </c>
      <c r="J46" s="869">
        <f>IFERROR(INDEX(Dataset!$A:$V,MATCH(Calculations!J$22&amp;Calculations!$P46,Dataset!$V:$V,0),MATCH(Calculations!$A$1,Dataset!$A$1:$V$1,0)),"")</f>
        <v>1</v>
      </c>
      <c r="K46" s="869" t="str">
        <f>IFERROR(INDEX(Dataset!$A:$V,MATCH(Calculations!K$22&amp;Calculations!$P46,Dataset!$V:$V,0),MATCH(Calculations!$A$1,Dataset!$A$1:$V$1,0)),"")</f>
        <v/>
      </c>
      <c r="L46" s="869" t="str">
        <f>IFERROR(INDEX(Dataset!$A:$V,MATCH(Calculations!L$22&amp;Calculations!$P46,Dataset!$V:$V,0),MATCH(Calculations!$A$1,Dataset!$A$1:$V$1,0)),"")</f>
        <v/>
      </c>
      <c r="M46" s="869"/>
      <c r="P46" t="s">
        <v>804</v>
      </c>
    </row>
    <row r="47" spans="1:16">
      <c r="A47" s="869" t="s">
        <v>246</v>
      </c>
      <c r="B47" s="869" t="s">
        <v>257</v>
      </c>
      <c r="C47" s="869" t="str">
        <f>IFERROR(INDEX(Dataset!$A:$V,MATCH(Calculations!#REF!&amp;Calculations!$P47,Dataset!$V:$V,0),MATCH(Calculations!$A$1,Dataset!$A$1:$V$1,0)),"")</f>
        <v/>
      </c>
      <c r="D47" s="869">
        <f>IFERROR(INDEX(Dataset!$A:$V,MATCH(Calculations!D$22&amp;Calculations!$P47,Dataset!$V:$V,0),MATCH(Calculations!$A$1,Dataset!$A$1:$V$1,0)),"")</f>
        <v>0</v>
      </c>
      <c r="E47" s="869">
        <f>IFERROR(INDEX(Dataset!$A:$V,MATCH(Calculations!E$22&amp;Calculations!$P47,Dataset!$V:$V,0),MATCH(Calculations!$A$1,Dataset!$A$1:$V$1,0)),"")</f>
        <v>0</v>
      </c>
      <c r="F47" s="869">
        <f>IFERROR(INDEX(Dataset!$A:$V,MATCH(Calculations!F$22&amp;Calculations!$P47,Dataset!$V:$V,0),MATCH(Calculations!$A$1,Dataset!$A$1:$V$1,0)),"")</f>
        <v>0</v>
      </c>
      <c r="G47" s="869">
        <f>IFERROR(INDEX(Dataset!$A:$V,MATCH(Calculations!G$22&amp;Calculations!$P47,Dataset!$V:$V,0),MATCH(Calculations!$A$1,Dataset!$A$1:$V$1,0)),"")</f>
        <v>0</v>
      </c>
      <c r="H47" s="869">
        <f>IFERROR(INDEX(Dataset!$A:$V,MATCH(Calculations!H$22&amp;Calculations!$P47,Dataset!$V:$V,0),MATCH(Calculations!$A$1,Dataset!$A$1:$V$1,0)),"")</f>
        <v>0</v>
      </c>
      <c r="I47" s="869">
        <f>IFERROR(INDEX(Dataset!$A:$V,MATCH(Calculations!I$22&amp;Calculations!$P47,Dataset!$V:$V,0),MATCH(Calculations!$A$1,Dataset!$A$1:$V$1,0)),"")</f>
        <v>0</v>
      </c>
      <c r="J47" s="869">
        <f>IFERROR(INDEX(Dataset!$A:$V,MATCH(Calculations!J$22&amp;Calculations!$P47,Dataset!$V:$V,0),MATCH(Calculations!$A$1,Dataset!$A$1:$V$1,0)),"")</f>
        <v>0</v>
      </c>
      <c r="K47" s="869" t="str">
        <f>IFERROR(INDEX(Dataset!$A:$V,MATCH(Calculations!K$22&amp;Calculations!$P47,Dataset!$V:$V,0),MATCH(Calculations!$A$1,Dataset!$A$1:$V$1,0)),"")</f>
        <v/>
      </c>
      <c r="L47" s="869" t="str">
        <f>IFERROR(INDEX(Dataset!$A:$V,MATCH(Calculations!L$22&amp;Calculations!$P47,Dataset!$V:$V,0),MATCH(Calculations!$A$1,Dataset!$A$1:$V$1,0)),"")</f>
        <v/>
      </c>
      <c r="M47" s="869"/>
      <c r="P47" t="s">
        <v>805</v>
      </c>
    </row>
    <row r="48" spans="1:16">
      <c r="A48" s="869" t="s">
        <v>246</v>
      </c>
      <c r="B48" s="869" t="s">
        <v>258</v>
      </c>
      <c r="C48" s="869" t="str">
        <f>IFERROR(INDEX(Dataset!$A:$V,MATCH(Calculations!#REF!&amp;Calculations!$P48,Dataset!$V:$V,0),MATCH(Calculations!$A$1,Dataset!$A$1:$V$1,0)),"")</f>
        <v/>
      </c>
      <c r="D48" s="869" t="str">
        <f>IFERROR(INDEX(Dataset!$A:$V,MATCH(Calculations!D$22&amp;Calculations!$P48,Dataset!$V:$V,0),MATCH(Calculations!$A$1,Dataset!$A$1:$V$1,0)),"")</f>
        <v>N/A</v>
      </c>
      <c r="E48" s="869" t="str">
        <f>IFERROR(INDEX(Dataset!$A:$V,MATCH(Calculations!E$22&amp;Calculations!$P48,Dataset!$V:$V,0),MATCH(Calculations!$A$1,Dataset!$A$1:$V$1,0)),"")</f>
        <v>N/A</v>
      </c>
      <c r="F48" s="869" t="str">
        <f>IFERROR(INDEX(Dataset!$A:$V,MATCH(Calculations!F$22&amp;Calculations!$P48,Dataset!$V:$V,0),MATCH(Calculations!$A$1,Dataset!$A$1:$V$1,0)),"")</f>
        <v>N/A</v>
      </c>
      <c r="G48" s="869" t="str">
        <f>IFERROR(INDEX(Dataset!$A:$V,MATCH(Calculations!G$22&amp;Calculations!$P48,Dataset!$V:$V,0),MATCH(Calculations!$A$1,Dataset!$A$1:$V$1,0)),"")</f>
        <v>N/A</v>
      </c>
      <c r="H48" s="869" t="str">
        <f>IFERROR(INDEX(Dataset!$A:$V,MATCH(Calculations!H$22&amp;Calculations!$P48,Dataset!$V:$V,0),MATCH(Calculations!$A$1,Dataset!$A$1:$V$1,0)),"")</f>
        <v>N/A</v>
      </c>
      <c r="I48" s="869" t="str">
        <f>IFERROR(INDEX(Dataset!$A:$V,MATCH(Calculations!I$22&amp;Calculations!$P48,Dataset!$V:$V,0),MATCH(Calculations!$A$1,Dataset!$A$1:$V$1,0)),"")</f>
        <v>N/A</v>
      </c>
      <c r="J48" s="869" t="str">
        <f>IFERROR(INDEX(Dataset!$A:$V,MATCH(Calculations!J$22&amp;Calculations!$P48,Dataset!$V:$V,0),MATCH(Calculations!$A$1,Dataset!$A$1:$V$1,0)),"")</f>
        <v>N/A</v>
      </c>
      <c r="K48" s="869" t="str">
        <f>IFERROR(INDEX(Dataset!$A:$V,MATCH(Calculations!K$22&amp;Calculations!$P48,Dataset!$V:$V,0),MATCH(Calculations!$A$1,Dataset!$A$1:$V$1,0)),"")</f>
        <v/>
      </c>
      <c r="L48" s="869" t="str">
        <f>IFERROR(INDEX(Dataset!$A:$V,MATCH(Calculations!L$22&amp;Calculations!$P48,Dataset!$V:$V,0),MATCH(Calculations!$A$1,Dataset!$A$1:$V$1,0)),"")</f>
        <v/>
      </c>
      <c r="M48" s="869"/>
      <c r="P48" t="s">
        <v>806</v>
      </c>
    </row>
    <row r="49" spans="1:16">
      <c r="A49" s="869" t="s">
        <v>247</v>
      </c>
      <c r="B49" s="869" t="s">
        <v>257</v>
      </c>
      <c r="C49" s="869" t="str">
        <f>IFERROR(INDEX(Dataset!$A:$V,MATCH(Calculations!#REF!&amp;Calculations!$P49,Dataset!$V:$V,0),MATCH(Calculations!$A$1,Dataset!$A$1:$V$1,0)),"")</f>
        <v/>
      </c>
      <c r="D49" s="869">
        <f>IFERROR(INDEX(Dataset!$A:$V,MATCH(Calculations!D$22&amp;Calculations!$P49,Dataset!$V:$V,0),MATCH(Calculations!$A$1,Dataset!$A$1:$V$1,0)),"")</f>
        <v>0</v>
      </c>
      <c r="E49" s="869">
        <f>IFERROR(INDEX(Dataset!$A:$V,MATCH(Calculations!E$22&amp;Calculations!$P49,Dataset!$V:$V,0),MATCH(Calculations!$A$1,Dataset!$A$1:$V$1,0)),"")</f>
        <v>0</v>
      </c>
      <c r="F49" s="869">
        <f>IFERROR(INDEX(Dataset!$A:$V,MATCH(Calculations!F$22&amp;Calculations!$P49,Dataset!$V:$V,0),MATCH(Calculations!$A$1,Dataset!$A$1:$V$1,0)),"")</f>
        <v>0</v>
      </c>
      <c r="G49" s="869">
        <f>IFERROR(INDEX(Dataset!$A:$V,MATCH(Calculations!G$22&amp;Calculations!$P49,Dataset!$V:$V,0),MATCH(Calculations!$A$1,Dataset!$A$1:$V$1,0)),"")</f>
        <v>0</v>
      </c>
      <c r="H49" s="869">
        <f>IFERROR(INDEX(Dataset!$A:$V,MATCH(Calculations!H$22&amp;Calculations!$P49,Dataset!$V:$V,0),MATCH(Calculations!$A$1,Dataset!$A$1:$V$1,0)),"")</f>
        <v>0</v>
      </c>
      <c r="I49" s="869">
        <f>IFERROR(INDEX(Dataset!$A:$V,MATCH(Calculations!I$22&amp;Calculations!$P49,Dataset!$V:$V,0),MATCH(Calculations!$A$1,Dataset!$A$1:$V$1,0)),"")</f>
        <v>0</v>
      </c>
      <c r="J49" s="869">
        <f>IFERROR(INDEX(Dataset!$A:$V,MATCH(Calculations!J$22&amp;Calculations!$P49,Dataset!$V:$V,0),MATCH(Calculations!$A$1,Dataset!$A$1:$V$1,0)),"")</f>
        <v>0</v>
      </c>
      <c r="K49" s="869" t="str">
        <f>IFERROR(INDEX(Dataset!$A:$V,MATCH(Calculations!K$22&amp;Calculations!$P49,Dataset!$V:$V,0),MATCH(Calculations!$A$1,Dataset!$A$1:$V$1,0)),"")</f>
        <v/>
      </c>
      <c r="L49" s="869" t="str">
        <f>IFERROR(INDEX(Dataset!$A:$V,MATCH(Calculations!L$22&amp;Calculations!$P49,Dataset!$V:$V,0),MATCH(Calculations!$A$1,Dataset!$A$1:$V$1,0)),"")</f>
        <v/>
      </c>
      <c r="M49" s="869"/>
      <c r="P49" t="s">
        <v>807</v>
      </c>
    </row>
    <row r="50" spans="1:16">
      <c r="A50" s="869" t="s">
        <v>247</v>
      </c>
      <c r="B50" s="869" t="s">
        <v>258</v>
      </c>
      <c r="C50" s="869" t="str">
        <f>IFERROR(INDEX(Dataset!$A:$V,MATCH(Calculations!#REF!&amp;Calculations!$P50,Dataset!$V:$V,0),MATCH(Calculations!$A$1,Dataset!$A$1:$V$1,0)),"")</f>
        <v/>
      </c>
      <c r="D50" s="871" t="str">
        <f>IFERROR(INDEX(Dataset!$A:$V,MATCH(Calculations!D$22&amp;Calculations!$P50,Dataset!$V:$V,0),MATCH(Calculations!$A$1,Dataset!$A$1:$V$1,0)),"")</f>
        <v>N/A</v>
      </c>
      <c r="E50" s="871" t="str">
        <f>IFERROR(INDEX(Dataset!$A:$V,MATCH(Calculations!E$22&amp;Calculations!$P50,Dataset!$V:$V,0),MATCH(Calculations!$A$1,Dataset!$A$1:$V$1,0)),"")</f>
        <v>N/A</v>
      </c>
      <c r="F50" s="871" t="str">
        <f>IFERROR(INDEX(Dataset!$A:$V,MATCH(Calculations!F$22&amp;Calculations!$P50,Dataset!$V:$V,0),MATCH(Calculations!$A$1,Dataset!$A$1:$V$1,0)),"")</f>
        <v>N/A</v>
      </c>
      <c r="G50" s="871" t="str">
        <f>IFERROR(INDEX(Dataset!$A:$V,MATCH(Calculations!G$22&amp;Calculations!$P50,Dataset!$V:$V,0),MATCH(Calculations!$A$1,Dataset!$A$1:$V$1,0)),"")</f>
        <v>N/A</v>
      </c>
      <c r="H50" s="871" t="str">
        <f>IFERROR(INDEX(Dataset!$A:$V,MATCH(Calculations!H$22&amp;Calculations!$P50,Dataset!$V:$V,0),MATCH(Calculations!$A$1,Dataset!$A$1:$V$1,0)),"")</f>
        <v>N/A</v>
      </c>
      <c r="I50" s="871" t="str">
        <f>IFERROR(INDEX(Dataset!$A:$V,MATCH(Calculations!I$22&amp;Calculations!$P50,Dataset!$V:$V,0),MATCH(Calculations!$A$1,Dataset!$A$1:$V$1,0)),"")</f>
        <v>N/A</v>
      </c>
      <c r="J50" s="869" t="str">
        <f>IFERROR(INDEX(Dataset!$A:$V,MATCH(Calculations!J$22&amp;Calculations!$P50,Dataset!$V:$V,0),MATCH(Calculations!$A$1,Dataset!$A$1:$V$1,0)),"")</f>
        <v>N/A</v>
      </c>
      <c r="K50" s="869" t="str">
        <f>IFERROR(INDEX(Dataset!$A:$V,MATCH(Calculations!K$22&amp;Calculations!$P50,Dataset!$V:$V,0),MATCH(Calculations!$A$1,Dataset!$A$1:$V$1,0)),"")</f>
        <v/>
      </c>
      <c r="L50" s="869" t="str">
        <f>IFERROR(INDEX(Dataset!$A:$V,MATCH(Calculations!L$22&amp;Calculations!$P50,Dataset!$V:$V,0),MATCH(Calculations!$A$1,Dataset!$A$1:$V$1,0)),"")</f>
        <v/>
      </c>
      <c r="M50" s="869"/>
      <c r="P50" t="s">
        <v>808</v>
      </c>
    </row>
    <row r="51" spans="1:16">
      <c r="A51" s="869" t="s">
        <v>248</v>
      </c>
      <c r="B51" s="869" t="s">
        <v>257</v>
      </c>
      <c r="C51" s="869" t="str">
        <f>IFERROR(INDEX(Dataset!$A:$V,MATCH(Calculations!#REF!&amp;Calculations!$P51,Dataset!$V:$V,0),MATCH(Calculations!$A$1,Dataset!$A$1:$V$1,0)),"")</f>
        <v/>
      </c>
      <c r="D51" s="869">
        <f>IFERROR(INDEX(Dataset!$A:$V,MATCH(Calculations!D$22&amp;Calculations!$P51,Dataset!$V:$V,0),MATCH(Calculations!$A$1,Dataset!$A$1:$V$1,0)),"")</f>
        <v>0</v>
      </c>
      <c r="E51" s="869">
        <f>IFERROR(INDEX(Dataset!$A:$V,MATCH(Calculations!E$22&amp;Calculations!$P51,Dataset!$V:$V,0),MATCH(Calculations!$A$1,Dataset!$A$1:$V$1,0)),"")</f>
        <v>0</v>
      </c>
      <c r="F51" s="869">
        <f>IFERROR(INDEX(Dataset!$A:$V,MATCH(Calculations!F$22&amp;Calculations!$P51,Dataset!$V:$V,0),MATCH(Calculations!$A$1,Dataset!$A$1:$V$1,0)),"")</f>
        <v>0</v>
      </c>
      <c r="G51" s="869">
        <f>IFERROR(INDEX(Dataset!$A:$V,MATCH(Calculations!G$22&amp;Calculations!$P51,Dataset!$V:$V,0),MATCH(Calculations!$A$1,Dataset!$A$1:$V$1,0)),"")</f>
        <v>0</v>
      </c>
      <c r="H51" s="869">
        <f>IFERROR(INDEX(Dataset!$A:$V,MATCH(Calculations!H$22&amp;Calculations!$P51,Dataset!$V:$V,0),MATCH(Calculations!$A$1,Dataset!$A$1:$V$1,0)),"")</f>
        <v>0</v>
      </c>
      <c r="I51" s="869">
        <f>IFERROR(INDEX(Dataset!$A:$V,MATCH(Calculations!I$22&amp;Calculations!$P51,Dataset!$V:$V,0),MATCH(Calculations!$A$1,Dataset!$A$1:$V$1,0)),"")</f>
        <v>0</v>
      </c>
      <c r="J51" s="869">
        <f>IFERROR(INDEX(Dataset!$A:$V,MATCH(Calculations!J$22&amp;Calculations!$P51,Dataset!$V:$V,0),MATCH(Calculations!$A$1,Dataset!$A$1:$V$1,0)),"")</f>
        <v>2353</v>
      </c>
      <c r="K51" s="869" t="str">
        <f>IFERROR(INDEX(Dataset!$A:$V,MATCH(Calculations!K$22&amp;Calculations!$P51,Dataset!$V:$V,0),MATCH(Calculations!$A$1,Dataset!$A$1:$V$1,0)),"")</f>
        <v/>
      </c>
      <c r="L51" s="869" t="str">
        <f>IFERROR(INDEX(Dataset!$A:$V,MATCH(Calculations!L$22&amp;Calculations!$P51,Dataset!$V:$V,0),MATCH(Calculations!$A$1,Dataset!$A$1:$V$1,0)),"")</f>
        <v/>
      </c>
      <c r="M51" s="869"/>
      <c r="P51" t="s">
        <v>809</v>
      </c>
    </row>
    <row r="52" spans="1:16">
      <c r="A52" s="869" t="s">
        <v>248</v>
      </c>
      <c r="B52" s="869" t="s">
        <v>258</v>
      </c>
      <c r="C52" s="869" t="str">
        <f>IFERROR(INDEX(Dataset!$A:$V,MATCH(Calculations!#REF!&amp;Calculations!$P52,Dataset!$V:$V,0),MATCH(Calculations!$A$1,Dataset!$A$1:$V$1,0)),"")</f>
        <v/>
      </c>
      <c r="D52" s="871" t="str">
        <f>IFERROR(INDEX(Dataset!$A:$V,MATCH(Calculations!D$22&amp;Calculations!$P52,Dataset!$V:$V,0),MATCH(Calculations!$A$1,Dataset!$A$1:$V$1,0)),"")</f>
        <v>N/A</v>
      </c>
      <c r="E52" s="871" t="str">
        <f>IFERROR(INDEX(Dataset!$A:$V,MATCH(Calculations!E$22&amp;Calculations!$P52,Dataset!$V:$V,0),MATCH(Calculations!$A$1,Dataset!$A$1:$V$1,0)),"")</f>
        <v>N/A</v>
      </c>
      <c r="F52" s="871" t="str">
        <f>IFERROR(INDEX(Dataset!$A:$V,MATCH(Calculations!F$22&amp;Calculations!$P52,Dataset!$V:$V,0),MATCH(Calculations!$A$1,Dataset!$A$1:$V$1,0)),"")</f>
        <v>N/A</v>
      </c>
      <c r="G52" s="871" t="str">
        <f>IFERROR(INDEX(Dataset!$A:$V,MATCH(Calculations!G$22&amp;Calculations!$P52,Dataset!$V:$V,0),MATCH(Calculations!$A$1,Dataset!$A$1:$V$1,0)),"")</f>
        <v>N/A</v>
      </c>
      <c r="H52" s="869" t="str">
        <f>IFERROR(INDEX(Dataset!$A:$V,MATCH(Calculations!H$22&amp;Calculations!$P52,Dataset!$V:$V,0),MATCH(Calculations!$A$1,Dataset!$A$1:$V$1,0)),"")</f>
        <v>N/A</v>
      </c>
      <c r="I52" s="869" t="str">
        <f>IFERROR(INDEX(Dataset!$A:$V,MATCH(Calculations!I$22&amp;Calculations!$P52,Dataset!$V:$V,0),MATCH(Calculations!$A$1,Dataset!$A$1:$V$1,0)),"")</f>
        <v>N/A</v>
      </c>
      <c r="J52" s="869">
        <f>IFERROR(INDEX(Dataset!$A:$V,MATCH(Calculations!J$22&amp;Calculations!$P52,Dataset!$V:$V,0),MATCH(Calculations!$A$1,Dataset!$A$1:$V$1,0)),"")</f>
        <v>1</v>
      </c>
      <c r="K52" s="869" t="str">
        <f>IFERROR(INDEX(Dataset!$A:$V,MATCH(Calculations!K$22&amp;Calculations!$P52,Dataset!$V:$V,0),MATCH(Calculations!$A$1,Dataset!$A$1:$V$1,0)),"")</f>
        <v/>
      </c>
      <c r="L52" s="869" t="str">
        <f>IFERROR(INDEX(Dataset!$A:$V,MATCH(Calculations!L$22&amp;Calculations!$P52,Dataset!$V:$V,0),MATCH(Calculations!$A$1,Dataset!$A$1:$V$1,0)),"")</f>
        <v/>
      </c>
      <c r="M52" s="869"/>
      <c r="P52" t="s">
        <v>810</v>
      </c>
    </row>
    <row r="53" spans="1:16">
      <c r="A53" s="869" t="s">
        <v>249</v>
      </c>
      <c r="B53" s="869" t="s">
        <v>257</v>
      </c>
      <c r="C53" s="869" t="str">
        <f>IFERROR(INDEX(Dataset!$A:$V,MATCH(Calculations!#REF!&amp;Calculations!$P53,Dataset!$V:$V,0),MATCH(Calculations!$A$1,Dataset!$A$1:$V$1,0)),"")</f>
        <v/>
      </c>
      <c r="D53" s="869">
        <f>IFERROR(INDEX(Dataset!$A:$V,MATCH(Calculations!D$22&amp;Calculations!$P53,Dataset!$V:$V,0),MATCH(Calculations!$A$1,Dataset!$A$1:$V$1,0)),"")</f>
        <v>0</v>
      </c>
      <c r="E53" s="869">
        <f>IFERROR(INDEX(Dataset!$A:$V,MATCH(Calculations!E$22&amp;Calculations!$P53,Dataset!$V:$V,0),MATCH(Calculations!$A$1,Dataset!$A$1:$V$1,0)),"")</f>
        <v>0</v>
      </c>
      <c r="F53" s="869">
        <f>IFERROR(INDEX(Dataset!$A:$V,MATCH(Calculations!F$22&amp;Calculations!$P53,Dataset!$V:$V,0),MATCH(Calculations!$A$1,Dataset!$A$1:$V$1,0)),"")</f>
        <v>0</v>
      </c>
      <c r="G53" s="869">
        <f>IFERROR(INDEX(Dataset!$A:$V,MATCH(Calculations!G$22&amp;Calculations!$P53,Dataset!$V:$V,0),MATCH(Calculations!$A$1,Dataset!$A$1:$V$1,0)),"")</f>
        <v>0</v>
      </c>
      <c r="H53" s="869">
        <f>IFERROR(INDEX(Dataset!$A:$V,MATCH(Calculations!H$22&amp;Calculations!$P53,Dataset!$V:$V,0),MATCH(Calculations!$A$1,Dataset!$A$1:$V$1,0)),"")</f>
        <v>0</v>
      </c>
      <c r="I53" s="869">
        <f>IFERROR(INDEX(Dataset!$A:$V,MATCH(Calculations!I$22&amp;Calculations!$P53,Dataset!$V:$V,0),MATCH(Calculations!$A$1,Dataset!$A$1:$V$1,0)),"")</f>
        <v>0</v>
      </c>
      <c r="J53" s="869">
        <f>IFERROR(INDEX(Dataset!$A:$V,MATCH(Calculations!J$22&amp;Calculations!$P53,Dataset!$V:$V,0),MATCH(Calculations!$A$1,Dataset!$A$1:$V$1,0)),"")</f>
        <v>0</v>
      </c>
      <c r="K53" s="869" t="str">
        <f>IFERROR(INDEX(Dataset!$A:$V,MATCH(Calculations!K$22&amp;Calculations!$P53,Dataset!$V:$V,0),MATCH(Calculations!$A$1,Dataset!$A$1:$V$1,0)),"")</f>
        <v/>
      </c>
      <c r="L53" s="869" t="str">
        <f>IFERROR(INDEX(Dataset!$A:$V,MATCH(Calculations!L$22&amp;Calculations!$P53,Dataset!$V:$V,0),MATCH(Calculations!$A$1,Dataset!$A$1:$V$1,0)),"")</f>
        <v/>
      </c>
      <c r="M53" s="869"/>
      <c r="P53" t="s">
        <v>811</v>
      </c>
    </row>
    <row r="54" spans="1:16">
      <c r="A54" s="869" t="s">
        <v>249</v>
      </c>
      <c r="B54" s="869" t="s">
        <v>258</v>
      </c>
      <c r="C54" s="869" t="str">
        <f>IFERROR(INDEX(Dataset!$A:$V,MATCH(Calculations!#REF!&amp;Calculations!$P54,Dataset!$V:$V,0),MATCH(Calculations!$A$1,Dataset!$A$1:$V$1,0)),"")</f>
        <v/>
      </c>
      <c r="D54" s="871" t="str">
        <f>IFERROR(INDEX(Dataset!$A:$V,MATCH(Calculations!D$22&amp;Calculations!$P54,Dataset!$V:$V,0),MATCH(Calculations!$A$1,Dataset!$A$1:$V$1,0)),"")</f>
        <v>N/A</v>
      </c>
      <c r="E54" s="871" t="str">
        <f>IFERROR(INDEX(Dataset!$A:$V,MATCH(Calculations!E$22&amp;Calculations!$P54,Dataset!$V:$V,0),MATCH(Calculations!$A$1,Dataset!$A$1:$V$1,0)),"")</f>
        <v>N/A</v>
      </c>
      <c r="F54" s="871" t="str">
        <f>IFERROR(INDEX(Dataset!$A:$V,MATCH(Calculations!F$22&amp;Calculations!$P54,Dataset!$V:$V,0),MATCH(Calculations!$A$1,Dataset!$A$1:$V$1,0)),"")</f>
        <v>N/A</v>
      </c>
      <c r="G54" s="871" t="str">
        <f>IFERROR(INDEX(Dataset!$A:$V,MATCH(Calculations!G$22&amp;Calculations!$P54,Dataset!$V:$V,0),MATCH(Calculations!$A$1,Dataset!$A$1:$V$1,0)),"")</f>
        <v>N/A</v>
      </c>
      <c r="H54" s="869" t="str">
        <f>IFERROR(INDEX(Dataset!$A:$V,MATCH(Calculations!H$22&amp;Calculations!$P54,Dataset!$V:$V,0),MATCH(Calculations!$A$1,Dataset!$A$1:$V$1,0)),"")</f>
        <v>N/A</v>
      </c>
      <c r="I54" s="869" t="str">
        <f>IFERROR(INDEX(Dataset!$A:$V,MATCH(Calculations!I$22&amp;Calculations!$P54,Dataset!$V:$V,0),MATCH(Calculations!$A$1,Dataset!$A$1:$V$1,0)),"")</f>
        <v>N/A</v>
      </c>
      <c r="J54" s="869" t="str">
        <f>IFERROR(INDEX(Dataset!$A:$V,MATCH(Calculations!J$22&amp;Calculations!$P54,Dataset!$V:$V,0),MATCH(Calculations!$A$1,Dataset!$A$1:$V$1,0)),"")</f>
        <v>N/A</v>
      </c>
      <c r="K54" s="869" t="str">
        <f>IFERROR(INDEX(Dataset!$A:$V,MATCH(Calculations!K$22&amp;Calculations!$P54,Dataset!$V:$V,0),MATCH(Calculations!$A$1,Dataset!$A$1:$V$1,0)),"")</f>
        <v/>
      </c>
      <c r="L54" s="869" t="str">
        <f>IFERROR(INDEX(Dataset!$A:$V,MATCH(Calculations!L$22&amp;Calculations!$P54,Dataset!$V:$V,0),MATCH(Calculations!$A$1,Dataset!$A$1:$V$1,0)),"")</f>
        <v/>
      </c>
      <c r="M54" s="869"/>
      <c r="P54" t="s">
        <v>812</v>
      </c>
    </row>
    <row r="55" spans="1:16">
      <c r="A55" s="869" t="s">
        <v>250</v>
      </c>
      <c r="B55" s="869" t="s">
        <v>257</v>
      </c>
      <c r="C55" s="869" t="str">
        <f>IFERROR(INDEX(Dataset!$A:$V,MATCH(Calculations!#REF!&amp;Calculations!$P55,Dataset!$V:$V,0),MATCH(Calculations!$A$1,Dataset!$A$1:$V$1,0)),"")</f>
        <v/>
      </c>
      <c r="D55" s="869">
        <f>IFERROR(INDEX(Dataset!$A:$V,MATCH(Calculations!D$22&amp;Calculations!$P55,Dataset!$V:$V,0),MATCH(Calculations!$A$1,Dataset!$A$1:$V$1,0)),"")</f>
        <v>0</v>
      </c>
      <c r="E55" s="869">
        <f>IFERROR(INDEX(Dataset!$A:$V,MATCH(Calculations!E$22&amp;Calculations!$P55,Dataset!$V:$V,0),MATCH(Calculations!$A$1,Dataset!$A$1:$V$1,0)),"")</f>
        <v>0</v>
      </c>
      <c r="F55" s="869">
        <f>IFERROR(INDEX(Dataset!$A:$V,MATCH(Calculations!F$22&amp;Calculations!$P55,Dataset!$V:$V,0),MATCH(Calculations!$A$1,Dataset!$A$1:$V$1,0)),"")</f>
        <v>0</v>
      </c>
      <c r="G55" s="869">
        <f>IFERROR(INDEX(Dataset!$A:$V,MATCH(Calculations!G$22&amp;Calculations!$P55,Dataset!$V:$V,0),MATCH(Calculations!$A$1,Dataset!$A$1:$V$1,0)),"")</f>
        <v>0</v>
      </c>
      <c r="H55" s="869">
        <f>IFERROR(INDEX(Dataset!$A:$V,MATCH(Calculations!H$22&amp;Calculations!$P55,Dataset!$V:$V,0),MATCH(Calculations!$A$1,Dataset!$A$1:$V$1,0)),"")</f>
        <v>0</v>
      </c>
      <c r="I55" s="869">
        <f>IFERROR(INDEX(Dataset!$A:$V,MATCH(Calculations!I$22&amp;Calculations!$P55,Dataset!$V:$V,0),MATCH(Calculations!$A$1,Dataset!$A$1:$V$1,0)),"")</f>
        <v>0</v>
      </c>
      <c r="J55" s="869">
        <f>IFERROR(INDEX(Dataset!$A:$V,MATCH(Calculations!J$22&amp;Calculations!$P55,Dataset!$V:$V,0),MATCH(Calculations!$A$1,Dataset!$A$1:$V$1,0)),"")</f>
        <v>0</v>
      </c>
      <c r="K55" s="869" t="str">
        <f>IFERROR(INDEX(Dataset!$A:$V,MATCH(Calculations!K$22&amp;Calculations!$P55,Dataset!$V:$V,0),MATCH(Calculations!$A$1,Dataset!$A$1:$V$1,0)),"")</f>
        <v/>
      </c>
      <c r="L55" s="869" t="str">
        <f>IFERROR(INDEX(Dataset!$A:$V,MATCH(Calculations!L$22&amp;Calculations!$P55,Dataset!$V:$V,0),MATCH(Calculations!$A$1,Dataset!$A$1:$V$1,0)),"")</f>
        <v/>
      </c>
      <c r="M55" s="869"/>
      <c r="P55" t="s">
        <v>813</v>
      </c>
    </row>
    <row r="56" spans="1:16">
      <c r="A56" s="869" t="s">
        <v>250</v>
      </c>
      <c r="B56" s="869" t="s">
        <v>258</v>
      </c>
      <c r="C56" s="869" t="str">
        <f>IFERROR(INDEX(Dataset!$A:$V,MATCH(Calculations!#REF!&amp;Calculations!$P56,Dataset!$V:$V,0),MATCH(Calculations!$A$1,Dataset!$A$1:$V$1,0)),"")</f>
        <v/>
      </c>
      <c r="D56" s="871" t="str">
        <f>IFERROR(INDEX(Dataset!$A:$V,MATCH(Calculations!D$22&amp;Calculations!$P56,Dataset!$V:$V,0),MATCH(Calculations!$A$1,Dataset!$A$1:$V$1,0)),"")</f>
        <v>N/A</v>
      </c>
      <c r="E56" s="871" t="str">
        <f>IFERROR(INDEX(Dataset!$A:$V,MATCH(Calculations!E$22&amp;Calculations!$P56,Dataset!$V:$V,0),MATCH(Calculations!$A$1,Dataset!$A$1:$V$1,0)),"")</f>
        <v>N/A</v>
      </c>
      <c r="F56" s="871" t="str">
        <f>IFERROR(INDEX(Dataset!$A:$V,MATCH(Calculations!F$22&amp;Calculations!$P56,Dataset!$V:$V,0),MATCH(Calculations!$A$1,Dataset!$A$1:$V$1,0)),"")</f>
        <v>N/A</v>
      </c>
      <c r="G56" s="871" t="str">
        <f>IFERROR(INDEX(Dataset!$A:$V,MATCH(Calculations!G$22&amp;Calculations!$P56,Dataset!$V:$V,0),MATCH(Calculations!$A$1,Dataset!$A$1:$V$1,0)),"")</f>
        <v>N/A</v>
      </c>
      <c r="H56" s="869" t="str">
        <f>IFERROR(INDEX(Dataset!$A:$V,MATCH(Calculations!H$22&amp;Calculations!$P56,Dataset!$V:$V,0),MATCH(Calculations!$A$1,Dataset!$A$1:$V$1,0)),"")</f>
        <v>N/A</v>
      </c>
      <c r="I56" s="869" t="str">
        <f>IFERROR(INDEX(Dataset!$A:$V,MATCH(Calculations!I$22&amp;Calculations!$P56,Dataset!$V:$V,0),MATCH(Calculations!$A$1,Dataset!$A$1:$V$1,0)),"")</f>
        <v>N/A</v>
      </c>
      <c r="J56" s="869" t="str">
        <f>IFERROR(INDEX(Dataset!$A:$V,MATCH(Calculations!J$22&amp;Calculations!$P56,Dataset!$V:$V,0),MATCH(Calculations!$A$1,Dataset!$A$1:$V$1,0)),"")</f>
        <v>N/A</v>
      </c>
      <c r="K56" s="869" t="str">
        <f>IFERROR(INDEX(Dataset!$A:$V,MATCH(Calculations!K$22&amp;Calculations!$P56,Dataset!$V:$V,0),MATCH(Calculations!$A$1,Dataset!$A$1:$V$1,0)),"")</f>
        <v/>
      </c>
      <c r="L56" s="869" t="str">
        <f>IFERROR(INDEX(Dataset!$A:$V,MATCH(Calculations!L$22&amp;Calculations!$P56,Dataset!$V:$V,0),MATCH(Calculations!$A$1,Dataset!$A$1:$V$1,0)),"")</f>
        <v/>
      </c>
      <c r="M56" s="869"/>
      <c r="P56" t="s">
        <v>814</v>
      </c>
    </row>
    <row r="57" spans="1:16">
      <c r="A57" s="869" t="s">
        <v>251</v>
      </c>
      <c r="B57" s="869" t="s">
        <v>257</v>
      </c>
      <c r="C57" s="869" t="str">
        <f>IFERROR(INDEX(Dataset!$A:$V,MATCH(Calculations!#REF!&amp;Calculations!$P57,Dataset!$V:$V,0),MATCH(Calculations!$A$1,Dataset!$A$1:$V$1,0)),"")</f>
        <v/>
      </c>
      <c r="D57" s="869">
        <f>IFERROR(INDEX(Dataset!$A:$V,MATCH(Calculations!D$22&amp;Calculations!$P57,Dataset!$V:$V,0),MATCH(Calculations!$A$1,Dataset!$A$1:$V$1,0)),"")</f>
        <v>0</v>
      </c>
      <c r="E57" s="869">
        <f>IFERROR(INDEX(Dataset!$A:$V,MATCH(Calculations!E$22&amp;Calculations!$P57,Dataset!$V:$V,0),MATCH(Calculations!$A$1,Dataset!$A$1:$V$1,0)),"")</f>
        <v>0</v>
      </c>
      <c r="F57" s="869">
        <f>IFERROR(INDEX(Dataset!$A:$V,MATCH(Calculations!F$22&amp;Calculations!$P57,Dataset!$V:$V,0),MATCH(Calculations!$A$1,Dataset!$A$1:$V$1,0)),"")</f>
        <v>0</v>
      </c>
      <c r="G57" s="869">
        <f>IFERROR(INDEX(Dataset!$A:$V,MATCH(Calculations!G$22&amp;Calculations!$P57,Dataset!$V:$V,0),MATCH(Calculations!$A$1,Dataset!$A$1:$V$1,0)),"")</f>
        <v>0</v>
      </c>
      <c r="H57" s="869">
        <f>IFERROR(INDEX(Dataset!$A:$V,MATCH(Calculations!H$22&amp;Calculations!$P57,Dataset!$V:$V,0),MATCH(Calculations!$A$1,Dataset!$A$1:$V$1,0)),"")</f>
        <v>0</v>
      </c>
      <c r="I57" s="869">
        <f>IFERROR(INDEX(Dataset!$A:$V,MATCH(Calculations!I$22&amp;Calculations!$P57,Dataset!$V:$V,0),MATCH(Calculations!$A$1,Dataset!$A$1:$V$1,0)),"")</f>
        <v>0</v>
      </c>
      <c r="J57" s="869">
        <f>IFERROR(INDEX(Dataset!$A:$V,MATCH(Calculations!J$22&amp;Calculations!$P57,Dataset!$V:$V,0),MATCH(Calculations!$A$1,Dataset!$A$1:$V$1,0)),"")</f>
        <v>8</v>
      </c>
      <c r="K57" s="869" t="str">
        <f>IFERROR(INDEX(Dataset!$A:$V,MATCH(Calculations!K$22&amp;Calculations!$P57,Dataset!$V:$V,0),MATCH(Calculations!$A$1,Dataset!$A$1:$V$1,0)),"")</f>
        <v/>
      </c>
      <c r="L57" s="869" t="str">
        <f>IFERROR(INDEX(Dataset!$A:$V,MATCH(Calculations!L$22&amp;Calculations!$P57,Dataset!$V:$V,0),MATCH(Calculations!$A$1,Dataset!$A$1:$V$1,0)),"")</f>
        <v/>
      </c>
      <c r="M57" s="869"/>
      <c r="P57" t="s">
        <v>815</v>
      </c>
    </row>
    <row r="58" spans="1:16">
      <c r="A58" s="869" t="s">
        <v>251</v>
      </c>
      <c r="B58" s="869" t="s">
        <v>258</v>
      </c>
      <c r="C58" s="869" t="str">
        <f>IFERROR(INDEX(Dataset!$A:$V,MATCH(Calculations!#REF!&amp;Calculations!$P58,Dataset!$V:$V,0),MATCH(Calculations!$A$1,Dataset!$A$1:$V$1,0)),"")</f>
        <v/>
      </c>
      <c r="D58" s="871" t="str">
        <f>IFERROR(INDEX(Dataset!$A:$V,MATCH(Calculations!D$22&amp;Calculations!$P58,Dataset!$V:$V,0),MATCH(Calculations!$A$1,Dataset!$A$1:$V$1,0)),"")</f>
        <v>N/A</v>
      </c>
      <c r="E58" s="871" t="str">
        <f>IFERROR(INDEX(Dataset!$A:$V,MATCH(Calculations!E$22&amp;Calculations!$P58,Dataset!$V:$V,0),MATCH(Calculations!$A$1,Dataset!$A$1:$V$1,0)),"")</f>
        <v>N/A</v>
      </c>
      <c r="F58" s="871" t="str">
        <f>IFERROR(INDEX(Dataset!$A:$V,MATCH(Calculations!F$22&amp;Calculations!$P58,Dataset!$V:$V,0),MATCH(Calculations!$A$1,Dataset!$A$1:$V$1,0)),"")</f>
        <v>N/A</v>
      </c>
      <c r="G58" s="871" t="str">
        <f>IFERROR(INDEX(Dataset!$A:$V,MATCH(Calculations!G$22&amp;Calculations!$P58,Dataset!$V:$V,0),MATCH(Calculations!$A$1,Dataset!$A$1:$V$1,0)),"")</f>
        <v>N/A</v>
      </c>
      <c r="H58" s="871" t="str">
        <f>IFERROR(INDEX(Dataset!$A:$V,MATCH(Calculations!H$22&amp;Calculations!$P58,Dataset!$V:$V,0),MATCH(Calculations!$A$1,Dataset!$A$1:$V$1,0)),"")</f>
        <v>N/A</v>
      </c>
      <c r="I58" s="871" t="str">
        <f>IFERROR(INDEX(Dataset!$A:$V,MATCH(Calculations!I$22&amp;Calculations!$P58,Dataset!$V:$V,0),MATCH(Calculations!$A$1,Dataset!$A$1:$V$1,0)),"")</f>
        <v>N/A</v>
      </c>
      <c r="J58" s="869">
        <f>IFERROR(INDEX(Dataset!$A:$V,MATCH(Calculations!J$22&amp;Calculations!$P58,Dataset!$V:$V,0),MATCH(Calculations!$A$1,Dataset!$A$1:$V$1,0)),"")</f>
        <v>1</v>
      </c>
      <c r="K58" s="869" t="str">
        <f>IFERROR(INDEX(Dataset!$A:$V,MATCH(Calculations!K$22&amp;Calculations!$P58,Dataset!$V:$V,0),MATCH(Calculations!$A$1,Dataset!$A$1:$V$1,0)),"")</f>
        <v/>
      </c>
      <c r="L58" s="869" t="str">
        <f>IFERROR(INDEX(Dataset!$A:$V,MATCH(Calculations!L$22&amp;Calculations!$P58,Dataset!$V:$V,0),MATCH(Calculations!$A$1,Dataset!$A$1:$V$1,0)),"")</f>
        <v/>
      </c>
      <c r="M58" s="869"/>
      <c r="P58" t="s">
        <v>816</v>
      </c>
    </row>
    <row r="59" spans="1:16">
      <c r="A59" s="869" t="s">
        <v>252</v>
      </c>
      <c r="B59" s="869" t="s">
        <v>257</v>
      </c>
      <c r="C59" s="869" t="str">
        <f>IFERROR(INDEX(Dataset!$A:$V,MATCH(Calculations!#REF!&amp;Calculations!$P59,Dataset!$V:$V,0),MATCH(Calculations!$A$1,Dataset!$A$1:$V$1,0)),"")</f>
        <v/>
      </c>
      <c r="D59" s="869">
        <f>IFERROR(INDEX(Dataset!$A:$V,MATCH(Calculations!D$22&amp;Calculations!$P59,Dataset!$V:$V,0),MATCH(Calculations!$A$1,Dataset!$A$1:$V$1,0)),"")</f>
        <v>0</v>
      </c>
      <c r="E59" s="869">
        <f>IFERROR(INDEX(Dataset!$A:$V,MATCH(Calculations!E$22&amp;Calculations!$P59,Dataset!$V:$V,0),MATCH(Calculations!$A$1,Dataset!$A$1:$V$1,0)),"")</f>
        <v>0</v>
      </c>
      <c r="F59" s="869">
        <f>IFERROR(INDEX(Dataset!$A:$V,MATCH(Calculations!F$22&amp;Calculations!$P59,Dataset!$V:$V,0),MATCH(Calculations!$A$1,Dataset!$A$1:$V$1,0)),"")</f>
        <v>0</v>
      </c>
      <c r="G59" s="1049">
        <f>IFERROR(INDEX(Dataset!$A:$V,MATCH(Calculations!G$22&amp;Calculations!$P59,Dataset!$V:$V,0),MATCH(Calculations!$A$1,Dataset!$A$1:$V$1,0)),"")</f>
        <v>0</v>
      </c>
      <c r="H59" s="869">
        <f>IFERROR(INDEX(Dataset!$A:$V,MATCH(Calculations!H$22&amp;Calculations!$P59,Dataset!$V:$V,0),MATCH(Calculations!$A$1,Dataset!$A$1:$V$1,0)),"")</f>
        <v>0</v>
      </c>
      <c r="I59" s="869">
        <f>IFERROR(INDEX(Dataset!$A:$V,MATCH(Calculations!I$22&amp;Calculations!$P59,Dataset!$V:$V,0),MATCH(Calculations!$A$1,Dataset!$A$1:$V$1,0)),"")</f>
        <v>1</v>
      </c>
      <c r="J59" s="869">
        <f>IFERROR(INDEX(Dataset!$A:$V,MATCH(Calculations!J$22&amp;Calculations!$P59,Dataset!$V:$V,0),MATCH(Calculations!$A$1,Dataset!$A$1:$V$1,0)),"")</f>
        <v>0</v>
      </c>
      <c r="K59" s="869" t="str">
        <f>IFERROR(INDEX(Dataset!$A:$V,MATCH(Calculations!K$22&amp;Calculations!$P59,Dataset!$V:$V,0),MATCH(Calculations!$A$1,Dataset!$A$1:$V$1,0)),"")</f>
        <v/>
      </c>
      <c r="L59" s="869" t="str">
        <f>IFERROR(INDEX(Dataset!$A:$V,MATCH(Calculations!L$22&amp;Calculations!$P59,Dataset!$V:$V,0),MATCH(Calculations!$A$1,Dataset!$A$1:$V$1,0)),"")</f>
        <v/>
      </c>
      <c r="M59" s="869"/>
      <c r="P59" t="s">
        <v>817</v>
      </c>
    </row>
    <row r="60" spans="1:16">
      <c r="A60" s="869" t="s">
        <v>252</v>
      </c>
      <c r="B60" s="869" t="s">
        <v>258</v>
      </c>
      <c r="C60" s="869" t="str">
        <f>IFERROR(INDEX(Dataset!$A:$V,MATCH(Calculations!#REF!&amp;Calculations!$P60,Dataset!$V:$V,0),MATCH(Calculations!$A$1,Dataset!$A$1:$V$1,0)),"")</f>
        <v/>
      </c>
      <c r="D60" s="871" t="str">
        <f>IFERROR(INDEX(Dataset!$A:$V,MATCH(Calculations!D$22&amp;Calculations!$P60,Dataset!$V:$V,0),MATCH(Calculations!$A$1,Dataset!$A$1:$V$1,0)),"")</f>
        <v>N/A</v>
      </c>
      <c r="E60" s="871" t="str">
        <f>IFERROR(INDEX(Dataset!$A:$V,MATCH(Calculations!E$22&amp;Calculations!$P60,Dataset!$V:$V,0),MATCH(Calculations!$A$1,Dataset!$A$1:$V$1,0)),"")</f>
        <v>N/A</v>
      </c>
      <c r="F60" s="871" t="str">
        <f>IFERROR(INDEX(Dataset!$A:$V,MATCH(Calculations!F$22&amp;Calculations!$P60,Dataset!$V:$V,0),MATCH(Calculations!$A$1,Dataset!$A$1:$V$1,0)),"")</f>
        <v>N/A</v>
      </c>
      <c r="G60" s="871" t="str">
        <f>IFERROR(INDEX(Dataset!$A:$V,MATCH(Calculations!G$22&amp;Calculations!$P60,Dataset!$V:$V,0),MATCH(Calculations!$A$1,Dataset!$A$1:$V$1,0)),"")</f>
        <v>N/A</v>
      </c>
      <c r="H60" s="871" t="str">
        <f>IFERROR(INDEX(Dataset!$A:$V,MATCH(Calculations!H$22&amp;Calculations!$P60,Dataset!$V:$V,0),MATCH(Calculations!$A$1,Dataset!$A$1:$V$1,0)),"")</f>
        <v>N/A</v>
      </c>
      <c r="I60" s="871">
        <f>IFERROR(INDEX(Dataset!$A:$V,MATCH(Calculations!I$22&amp;Calculations!$P60,Dataset!$V:$V,0),MATCH(Calculations!$A$1,Dataset!$A$1:$V$1,0)),"")</f>
        <v>1</v>
      </c>
      <c r="J60" s="869" t="str">
        <f>IFERROR(INDEX(Dataset!$A:$V,MATCH(Calculations!J$22&amp;Calculations!$P60,Dataset!$V:$V,0),MATCH(Calculations!$A$1,Dataset!$A$1:$V$1,0)),"")</f>
        <v>N/A</v>
      </c>
      <c r="K60" s="869" t="str">
        <f>IFERROR(INDEX(Dataset!$A:$V,MATCH(Calculations!K$22&amp;Calculations!$P60,Dataset!$V:$V,0),MATCH(Calculations!$A$1,Dataset!$A$1:$V$1,0)),"")</f>
        <v/>
      </c>
      <c r="L60" s="869" t="str">
        <f>IFERROR(INDEX(Dataset!$A:$V,MATCH(Calculations!L$22&amp;Calculations!$P60,Dataset!$V:$V,0),MATCH(Calculations!$A$1,Dataset!$A$1:$V$1,0)),"")</f>
        <v/>
      </c>
      <c r="M60" s="869"/>
      <c r="P60" t="s">
        <v>818</v>
      </c>
    </row>
    <row r="61" spans="1:16">
      <c r="A61" s="869" t="s">
        <v>253</v>
      </c>
      <c r="B61" s="869" t="s">
        <v>257</v>
      </c>
      <c r="C61" s="869" t="str">
        <f>IFERROR(INDEX(Dataset!$A:$V,MATCH(Calculations!#REF!&amp;Calculations!$P61,Dataset!$V:$V,0),MATCH(Calculations!$A$1,Dataset!$A$1:$V$1,0)),"")</f>
        <v/>
      </c>
      <c r="D61" s="869">
        <f>IFERROR(INDEX(Dataset!$A:$V,MATCH(Calculations!D$22&amp;Calculations!$P61,Dataset!$V:$V,0),MATCH(Calculations!$A$1,Dataset!$A$1:$V$1,0)),"")</f>
        <v>0</v>
      </c>
      <c r="E61" s="869">
        <f>IFERROR(INDEX(Dataset!$A:$V,MATCH(Calculations!E$22&amp;Calculations!$P61,Dataset!$V:$V,0),MATCH(Calculations!$A$1,Dataset!$A$1:$V$1,0)),"")</f>
        <v>4</v>
      </c>
      <c r="F61" s="869">
        <f>IFERROR(INDEX(Dataset!$A:$V,MATCH(Calculations!F$22&amp;Calculations!$P61,Dataset!$V:$V,0),MATCH(Calculations!$A$1,Dataset!$A$1:$V$1,0)),"")</f>
        <v>3</v>
      </c>
      <c r="G61" s="869">
        <f>IFERROR(INDEX(Dataset!$A:$V,MATCH(Calculations!G$22&amp;Calculations!$P61,Dataset!$V:$V,0),MATCH(Calculations!$A$1,Dataset!$A$1:$V$1,0)),"")</f>
        <v>0</v>
      </c>
      <c r="H61" s="869">
        <f>IFERROR(INDEX(Dataset!$A:$V,MATCH(Calculations!H$22&amp;Calculations!$P61,Dataset!$V:$V,0),MATCH(Calculations!$A$1,Dataset!$A$1:$V$1,0)),"")</f>
        <v>3</v>
      </c>
      <c r="I61" s="869">
        <f>IFERROR(INDEX(Dataset!$A:$V,MATCH(Calculations!I$22&amp;Calculations!$P61,Dataset!$V:$V,0),MATCH(Calculations!$A$1,Dataset!$A$1:$V$1,0)),"")</f>
        <v>3</v>
      </c>
      <c r="J61" s="869">
        <f>IFERROR(INDEX(Dataset!$A:$V,MATCH(Calculations!J$22&amp;Calculations!$P61,Dataset!$V:$V,0),MATCH(Calculations!$A$1,Dataset!$A$1:$V$1,0)),"")</f>
        <v>2</v>
      </c>
      <c r="K61" s="869" t="str">
        <f>IFERROR(INDEX(Dataset!$A:$V,MATCH(Calculations!K$22&amp;Calculations!$P61,Dataset!$V:$V,0),MATCH(Calculations!$A$1,Dataset!$A$1:$V$1,0)),"")</f>
        <v/>
      </c>
      <c r="L61" s="869" t="str">
        <f>IFERROR(INDEX(Dataset!$A:$V,MATCH(Calculations!L$22&amp;Calculations!$P61,Dataset!$V:$V,0),MATCH(Calculations!$A$1,Dataset!$A$1:$V$1,0)),"")</f>
        <v/>
      </c>
      <c r="M61" s="869"/>
      <c r="P61" t="s">
        <v>819</v>
      </c>
    </row>
    <row r="62" spans="1:16">
      <c r="A62" s="869" t="s">
        <v>253</v>
      </c>
      <c r="B62" s="869" t="s">
        <v>258</v>
      </c>
      <c r="C62" s="869" t="str">
        <f>IFERROR(INDEX(Dataset!$A:$V,MATCH(Calculations!#REF!&amp;Calculations!$P62,Dataset!$V:$V,0),MATCH(Calculations!$A$1,Dataset!$A$1:$V$1,0)),"")</f>
        <v/>
      </c>
      <c r="D62" s="871" t="str">
        <f>IFERROR(INDEX(Dataset!$A:$V,MATCH(Calculations!D$22&amp;Calculations!$P62,Dataset!$V:$V,0),MATCH(Calculations!$A$1,Dataset!$A$1:$V$1,0)),"")</f>
        <v>N/A</v>
      </c>
      <c r="E62" s="871">
        <f>IFERROR(INDEX(Dataset!$A:$V,MATCH(Calculations!E$22&amp;Calculations!$P62,Dataset!$V:$V,0),MATCH(Calculations!$A$1,Dataset!$A$1:$V$1,0)),"")</f>
        <v>1</v>
      </c>
      <c r="F62" s="871">
        <f>IFERROR(INDEX(Dataset!$A:$V,MATCH(Calculations!F$22&amp;Calculations!$P62,Dataset!$V:$V,0),MATCH(Calculations!$A$1,Dataset!$A$1:$V$1,0)),"")</f>
        <v>1</v>
      </c>
      <c r="G62" s="871" t="str">
        <f>IFERROR(INDEX(Dataset!$A:$V,MATCH(Calculations!G$22&amp;Calculations!$P62,Dataset!$V:$V,0),MATCH(Calculations!$A$1,Dataset!$A$1:$V$1,0)),"")</f>
        <v>N/A</v>
      </c>
      <c r="H62" s="871">
        <f>IFERROR(INDEX(Dataset!$A:$V,MATCH(Calculations!H$22&amp;Calculations!$P62,Dataset!$V:$V,0),MATCH(Calculations!$A$1,Dataset!$A$1:$V$1,0)),"")</f>
        <v>1</v>
      </c>
      <c r="I62" s="871">
        <f>IFERROR(INDEX(Dataset!$A:$V,MATCH(Calculations!I$22&amp;Calculations!$P62,Dataset!$V:$V,0),MATCH(Calculations!$A$1,Dataset!$A$1:$V$1,0)),"")</f>
        <v>1</v>
      </c>
      <c r="J62" s="869">
        <f>IFERROR(INDEX(Dataset!$A:$V,MATCH(Calculations!J$22&amp;Calculations!$P62,Dataset!$V:$V,0),MATCH(Calculations!$A$1,Dataset!$A$1:$V$1,0)),"")</f>
        <v>1</v>
      </c>
      <c r="K62" s="869" t="str">
        <f>IFERROR(INDEX(Dataset!$A:$V,MATCH(Calculations!K$22&amp;Calculations!$P62,Dataset!$V:$V,0),MATCH(Calculations!$A$1,Dataset!$A$1:$V$1,0)),"")</f>
        <v/>
      </c>
      <c r="L62" s="869" t="str">
        <f>IFERROR(INDEX(Dataset!$A:$V,MATCH(Calculations!L$22&amp;Calculations!$P62,Dataset!$V:$V,0),MATCH(Calculations!$A$1,Dataset!$A$1:$V$1,0)),"")</f>
        <v/>
      </c>
      <c r="M62" s="869"/>
      <c r="P62" t="s">
        <v>820</v>
      </c>
    </row>
    <row r="63" spans="1:16">
      <c r="A63" s="869" t="s">
        <v>254</v>
      </c>
      <c r="B63" s="869" t="s">
        <v>821</v>
      </c>
      <c r="C63" s="869" t="str">
        <f>IFERROR(INDEX(Dataset!$A:$V,MATCH(Calculations!#REF!&amp;Calculations!$P63,Dataset!$V:$V,0),MATCH(Calculations!$A$1,Dataset!$A$1:$V$1,0)),"")</f>
        <v/>
      </c>
      <c r="D63" s="869">
        <f>IFERROR(INDEX(Dataset!$A:$V,MATCH(Calculations!D$22&amp;Calculations!$P63,Dataset!$V:$V,0),MATCH(Calculations!$A$1,Dataset!$A$1:$V$1,0)),"")</f>
        <v>0</v>
      </c>
      <c r="E63" s="869">
        <f>IFERROR(INDEX(Dataset!$A:$V,MATCH(Calculations!E$22&amp;Calculations!$P63,Dataset!$V:$V,0),MATCH(Calculations!$A$1,Dataset!$A$1:$V$1,0)),"")</f>
        <v>0</v>
      </c>
      <c r="F63" s="869">
        <f>IFERROR(INDEX(Dataset!$A:$V,MATCH(Calculations!F$22&amp;Calculations!$P63,Dataset!$V:$V,0),MATCH(Calculations!$A$1,Dataset!$A$1:$V$1,0)),"")</f>
        <v>0</v>
      </c>
      <c r="G63" s="869">
        <f>IFERROR(INDEX(Dataset!$A:$V,MATCH(Calculations!G$22&amp;Calculations!$P63,Dataset!$V:$V,0),MATCH(Calculations!$A$1,Dataset!$A$1:$V$1,0)),"")</f>
        <v>0</v>
      </c>
      <c r="H63" s="869">
        <f>IFERROR(INDEX(Dataset!$A:$V,MATCH(Calculations!H$22&amp;Calculations!$P63,Dataset!$V:$V,0),MATCH(Calculations!$A$1,Dataset!$A$1:$V$1,0)),"")</f>
        <v>0</v>
      </c>
      <c r="I63" s="869">
        <f>IFERROR(INDEX(Dataset!$A:$V,MATCH(Calculations!I$22&amp;Calculations!$P63,Dataset!$V:$V,0),MATCH(Calculations!$A$1,Dataset!$A$1:$V$1,0)),"")</f>
        <v>0</v>
      </c>
      <c r="J63" s="869">
        <f>IFERROR(INDEX(Dataset!$A:$V,MATCH(Calculations!J$22&amp;Calculations!$P63,Dataset!$V:$V,0),MATCH(Calculations!$A$1,Dataset!$A$1:$V$1,0)),"")</f>
        <v>0</v>
      </c>
      <c r="K63" s="869" t="str">
        <f>IFERROR(INDEX(Dataset!$A:$V,MATCH(Calculations!K$22&amp;Calculations!$P63,Dataset!$V:$V,0),MATCH(Calculations!$A$1,Dataset!$A$1:$V$1,0)),"")</f>
        <v/>
      </c>
      <c r="L63" s="869" t="str">
        <f>IFERROR(INDEX(Dataset!$A:$V,MATCH(Calculations!L$22&amp;Calculations!$P63,Dataset!$V:$V,0),MATCH(Calculations!$A$1,Dataset!$A$1:$V$1,0)),"")</f>
        <v/>
      </c>
      <c r="M63" s="869"/>
      <c r="P63" t="s">
        <v>822</v>
      </c>
    </row>
    <row r="64" spans="1:16">
      <c r="A64" s="869" t="s">
        <v>255</v>
      </c>
      <c r="B64" s="869" t="s">
        <v>257</v>
      </c>
      <c r="C64" s="869" t="str">
        <f>IFERROR(INDEX(Dataset!$A:$V,MATCH(Calculations!#REF!&amp;Calculations!$P64,Dataset!$V:$V,0),MATCH(Calculations!$A$1,Dataset!$A$1:$V$1,0)),"")</f>
        <v/>
      </c>
      <c r="D64" s="869">
        <f>IFERROR(INDEX(Dataset!$A:$V,MATCH(Calculations!D$22&amp;Calculations!$P64,Dataset!$V:$V,0),MATCH(Calculations!$A$1,Dataset!$A$1:$V$1,0)),"")</f>
        <v>12664</v>
      </c>
      <c r="E64" s="869">
        <f>IFERROR(INDEX(Dataset!$A:$V,MATCH(Calculations!E$22&amp;Calculations!$P64,Dataset!$V:$V,0),MATCH(Calculations!$A$1,Dataset!$A$1:$V$1,0)),"")</f>
        <v>0</v>
      </c>
      <c r="F64" s="869">
        <f>IFERROR(INDEX(Dataset!$A:$V,MATCH(Calculations!F$22&amp;Calculations!$P64,Dataset!$V:$V,0),MATCH(Calculations!$A$1,Dataset!$A$1:$V$1,0)),"")</f>
        <v>14632</v>
      </c>
      <c r="G64" s="869">
        <f>IFERROR(INDEX(Dataset!$A:$V,MATCH(Calculations!G$22&amp;Calculations!$P64,Dataset!$V:$V,0),MATCH(Calculations!$A$1,Dataset!$A$1:$V$1,0)),"")</f>
        <v>0</v>
      </c>
      <c r="H64" s="869">
        <f>IFERROR(INDEX(Dataset!$A:$V,MATCH(Calculations!H$22&amp;Calculations!$P64,Dataset!$V:$V,0),MATCH(Calculations!$A$1,Dataset!$A$1:$V$1,0)),"")</f>
        <v>0</v>
      </c>
      <c r="I64" s="869">
        <f>IFERROR(INDEX(Dataset!$A:$V,MATCH(Calculations!I$22&amp;Calculations!$P64,Dataset!$V:$V,0),MATCH(Calculations!$A$1,Dataset!$A$1:$V$1,0)),"")</f>
        <v>1</v>
      </c>
      <c r="J64" s="869">
        <f>IFERROR(INDEX(Dataset!$A:$V,MATCH(Calculations!J$22&amp;Calculations!$P64,Dataset!$V:$V,0),MATCH(Calculations!$A$1,Dataset!$A$1:$V$1,0)),"")</f>
        <v>1</v>
      </c>
      <c r="K64" s="869" t="str">
        <f>IFERROR(INDEX(Dataset!$A:$V,MATCH(Calculations!K$22&amp;Calculations!$P64,Dataset!$V:$V,0),MATCH(Calculations!$A$1,Dataset!$A$1:$V$1,0)),"")</f>
        <v/>
      </c>
      <c r="L64" s="869" t="str">
        <f>IFERROR(INDEX(Dataset!$A:$V,MATCH(Calculations!L$22&amp;Calculations!$P64,Dataset!$V:$V,0),MATCH(Calculations!$A$1,Dataset!$A$1:$V$1,0)),"")</f>
        <v/>
      </c>
      <c r="M64" s="869"/>
      <c r="P64" t="s">
        <v>823</v>
      </c>
    </row>
    <row r="65" spans="1:16">
      <c r="A65" s="869" t="s">
        <v>255</v>
      </c>
      <c r="B65" s="869" t="s">
        <v>258</v>
      </c>
      <c r="C65" s="869" t="str">
        <f>IFERROR(INDEX(Dataset!$A:$V,MATCH(Calculations!#REF!&amp;Calculations!$P65,Dataset!$V:$V,0),MATCH(Calculations!$A$1,Dataset!$A$1:$V$1,0)),"")</f>
        <v/>
      </c>
      <c r="D65" s="871">
        <f>IFERROR(INDEX(Dataset!$A:$V,MATCH(Calculations!D$22&amp;Calculations!$P65,Dataset!$V:$V,0),MATCH(Calculations!$A$1,Dataset!$A$1:$V$1,0)),"")</f>
        <v>0</v>
      </c>
      <c r="E65" s="871" t="str">
        <f>IFERROR(INDEX(Dataset!$A:$V,MATCH(Calculations!E$22&amp;Calculations!$P65,Dataset!$V:$V,0),MATCH(Calculations!$A$1,Dataset!$A$1:$V$1,0)),"")</f>
        <v>N/A</v>
      </c>
      <c r="F65" s="871">
        <f>IFERROR(INDEX(Dataset!$A:$V,MATCH(Calculations!F$22&amp;Calculations!$P65,Dataset!$V:$V,0),MATCH(Calculations!$A$1,Dataset!$A$1:$V$1,0)),"")</f>
        <v>0</v>
      </c>
      <c r="G65" s="871" t="str">
        <f>IFERROR(INDEX(Dataset!$A:$V,MATCH(Calculations!G$22&amp;Calculations!$P65,Dataset!$V:$V,0),MATCH(Calculations!$A$1,Dataset!$A$1:$V$1,0)),"")</f>
        <v>N/A</v>
      </c>
      <c r="H65" s="871" t="str">
        <f>IFERROR(INDEX(Dataset!$A:$V,MATCH(Calculations!H$22&amp;Calculations!$P65,Dataset!$V:$V,0),MATCH(Calculations!$A$1,Dataset!$A$1:$V$1,0)),"")</f>
        <v>N/A</v>
      </c>
      <c r="I65" s="871">
        <f>IFERROR(INDEX(Dataset!$A:$V,MATCH(Calculations!I$22&amp;Calculations!$P65,Dataset!$V:$V,0),MATCH(Calculations!$A$1,Dataset!$A$1:$V$1,0)),"")</f>
        <v>1</v>
      </c>
      <c r="J65" s="869">
        <f>IFERROR(INDEX(Dataset!$A:$V,MATCH(Calculations!J$22&amp;Calculations!$P65,Dataset!$V:$V,0),MATCH(Calculations!$A$1,Dataset!$A$1:$V$1,0)),"")</f>
        <v>1</v>
      </c>
      <c r="K65" s="869" t="str">
        <f>IFERROR(INDEX(Dataset!$A:$V,MATCH(Calculations!K$22&amp;Calculations!$P65,Dataset!$V:$V,0),MATCH(Calculations!$A$1,Dataset!$A$1:$V$1,0)),"")</f>
        <v/>
      </c>
      <c r="L65" s="869" t="str">
        <f>IFERROR(INDEX(Dataset!$A:$V,MATCH(Calculations!L$22&amp;Calculations!$P65,Dataset!$V:$V,0),MATCH(Calculations!$A$1,Dataset!$A$1:$V$1,0)),"")</f>
        <v/>
      </c>
      <c r="M65" s="869"/>
      <c r="P65" t="s">
        <v>824</v>
      </c>
    </row>
    <row r="66" spans="1:16">
      <c r="A66" s="869" t="s">
        <v>256</v>
      </c>
      <c r="B66" s="869" t="s">
        <v>257</v>
      </c>
      <c r="C66" s="869" t="str">
        <f>IFERROR(INDEX(Dataset!$A:$V,MATCH(Calculations!#REF!&amp;Calculations!$P66,Dataset!$V:$V,0),MATCH(Calculations!$A$1,Dataset!$A$1:$V$1,0)),"")</f>
        <v/>
      </c>
      <c r="D66" s="869">
        <f>IFERROR(INDEX(Dataset!$A:$V,MATCH(Calculations!D$22&amp;Calculations!$P66,Dataset!$V:$V,0),MATCH(Calculations!$A$1,Dataset!$A$1:$V$1,0)),"")</f>
        <v>0</v>
      </c>
      <c r="E66" s="869">
        <f>IFERROR(INDEX(Dataset!$A:$V,MATCH(Calculations!E$22&amp;Calculations!$P66,Dataset!$V:$V,0),MATCH(Calculations!$A$1,Dataset!$A$1:$V$1,0)),"")</f>
        <v>0</v>
      </c>
      <c r="F66" s="869">
        <f>IFERROR(INDEX(Dataset!$A:$V,MATCH(Calculations!F$22&amp;Calculations!$P66,Dataset!$V:$V,0),MATCH(Calculations!$A$1,Dataset!$A$1:$V$1,0)),"")</f>
        <v>0</v>
      </c>
      <c r="G66" s="869">
        <f>IFERROR(INDEX(Dataset!$A:$V,MATCH(Calculations!G$22&amp;Calculations!$P66,Dataset!$V:$V,0),MATCH(Calculations!$A$1,Dataset!$A$1:$V$1,0)),"")</f>
        <v>0</v>
      </c>
      <c r="H66" s="869">
        <f>IFERROR(INDEX(Dataset!$A:$V,MATCH(Calculations!H$22&amp;Calculations!$P66,Dataset!$V:$V,0),MATCH(Calculations!$A$1,Dataset!$A$1:$V$1,0)),"")</f>
        <v>0</v>
      </c>
      <c r="I66" s="869">
        <f>IFERROR(INDEX(Dataset!$A:$V,MATCH(Calculations!I$22&amp;Calculations!$P66,Dataset!$V:$V,0),MATCH(Calculations!$A$1,Dataset!$A$1:$V$1,0)),"")</f>
        <v>0</v>
      </c>
      <c r="J66" s="869">
        <f>IFERROR(INDEX(Dataset!$A:$V,MATCH(Calculations!J$22&amp;Calculations!$P66,Dataset!$V:$V,0),MATCH(Calculations!$A$1,Dataset!$A$1:$V$1,0)),"")</f>
        <v>0</v>
      </c>
      <c r="K66" s="869" t="str">
        <f>IFERROR(INDEX(Dataset!$A:$V,MATCH(Calculations!K$22&amp;Calculations!$P66,Dataset!$V:$V,0),MATCH(Calculations!$A$1,Dataset!$A$1:$V$1,0)),"")</f>
        <v/>
      </c>
      <c r="L66" s="869" t="str">
        <f>IFERROR(INDEX(Dataset!$A:$V,MATCH(Calculations!L$22&amp;Calculations!$P66,Dataset!$V:$V,0),MATCH(Calculations!$A$1,Dataset!$A$1:$V$1,0)),"")</f>
        <v/>
      </c>
      <c r="M66" s="869"/>
      <c r="P66" t="s">
        <v>825</v>
      </c>
    </row>
    <row r="67" spans="1:16">
      <c r="A67" s="869" t="s">
        <v>256</v>
      </c>
      <c r="B67" s="869" t="s">
        <v>258</v>
      </c>
      <c r="C67" s="869" t="str">
        <f>IFERROR(INDEX(Dataset!$A:$V,MATCH(Calculations!#REF!&amp;Calculations!$P67,Dataset!$V:$V,0),MATCH(Calculations!$A$1,Dataset!$A$1:$V$1,0)),"")</f>
        <v/>
      </c>
      <c r="D67" s="871" t="str">
        <f>IFERROR(INDEX(Dataset!$A:$V,MATCH(Calculations!D$22&amp;Calculations!$P67,Dataset!$V:$V,0),MATCH(Calculations!$A$1,Dataset!$A$1:$V$1,0)),"")</f>
        <v>N/A</v>
      </c>
      <c r="E67" s="871" t="str">
        <f>IFERROR(INDEX(Dataset!$A:$V,MATCH(Calculations!E$22&amp;Calculations!$P67,Dataset!$V:$V,0),MATCH(Calculations!$A$1,Dataset!$A$1:$V$1,0)),"")</f>
        <v>N/A</v>
      </c>
      <c r="F67" s="871" t="str">
        <f>IFERROR(INDEX(Dataset!$A:$V,MATCH(Calculations!F$22&amp;Calculations!$P67,Dataset!$V:$V,0),MATCH(Calculations!$A$1,Dataset!$A$1:$V$1,0)),"")</f>
        <v>N/A</v>
      </c>
      <c r="G67" s="871" t="str">
        <f>IFERROR(INDEX(Dataset!$A:$V,MATCH(Calculations!G$22&amp;Calculations!$P67,Dataset!$V:$V,0),MATCH(Calculations!$A$1,Dataset!$A$1:$V$1,0)),"")</f>
        <v>N/A</v>
      </c>
      <c r="H67" s="871" t="str">
        <f>IFERROR(INDEX(Dataset!$A:$V,MATCH(Calculations!H$22&amp;Calculations!$P67,Dataset!$V:$V,0),MATCH(Calculations!$A$1,Dataset!$A$1:$V$1,0)),"")</f>
        <v>N/A</v>
      </c>
      <c r="I67" s="871" t="str">
        <f>IFERROR(INDEX(Dataset!$A:$V,MATCH(Calculations!I$22&amp;Calculations!$P67,Dataset!$V:$V,0),MATCH(Calculations!$A$1,Dataset!$A$1:$V$1,0)),"")</f>
        <v>N/A</v>
      </c>
      <c r="J67" s="869" t="str">
        <f>IFERROR(INDEX(Dataset!$A:$V,MATCH(Calculations!J$22&amp;Calculations!$P67,Dataset!$V:$V,0),MATCH(Calculations!$A$1,Dataset!$A$1:$V$1,0)),"")</f>
        <v>N/A</v>
      </c>
      <c r="K67" s="869" t="str">
        <f>IFERROR(INDEX(Dataset!$A:$V,MATCH(Calculations!K$22&amp;Calculations!$P67,Dataset!$V:$V,0),MATCH(Calculations!$A$1,Dataset!$A$1:$V$1,0)),"")</f>
        <v/>
      </c>
      <c r="L67" s="869" t="str">
        <f>IFERROR(INDEX(Dataset!$A:$V,MATCH(Calculations!L$22&amp;Calculations!$P67,Dataset!$V:$V,0),MATCH(Calculations!$A$1,Dataset!$A$1:$V$1,0)),"")</f>
        <v/>
      </c>
      <c r="M67" s="869"/>
      <c r="P67" t="s">
        <v>826</v>
      </c>
    </row>
    <row r="68" spans="1:16">
      <c r="A68" s="869"/>
      <c r="B68" s="869" t="s">
        <v>827</v>
      </c>
      <c r="C68" s="869" t="str">
        <f>IFERROR(INDEX(Dataset!$A:$V,MATCH(Calculations!#REF!&amp;Calculations!$P68,Dataset!$V:$V,0),MATCH(Calculations!$A$1,Dataset!$A$1:$V$1,0)),"")</f>
        <v/>
      </c>
      <c r="D68" s="875">
        <f>IFERROR(INDEX(Dataset!$A:$V,MATCH(Calculations!D$22&amp;Calculations!$P68,Dataset!$V:$V,0),MATCH(Calculations!$A$1,Dataset!$A$1:$V$1,0)),"")</f>
        <v>12664</v>
      </c>
      <c r="E68" s="875">
        <f>IFERROR(INDEX(Dataset!$A:$V,MATCH(Calculations!E$22&amp;Calculations!$P68,Dataset!$V:$V,0),MATCH(Calculations!$A$1,Dataset!$A$1:$V$1,0)),"")</f>
        <v>15</v>
      </c>
      <c r="F68" s="875">
        <f>IFERROR(INDEX(Dataset!$A:$V,MATCH(Calculations!F$22&amp;Calculations!$P68,Dataset!$V:$V,0),MATCH(Calculations!$A$1,Dataset!$A$1:$V$1,0)),"")</f>
        <v>14652</v>
      </c>
      <c r="G68" s="941">
        <f>IFERROR(INDEX(Dataset!$A:$V,MATCH(Calculations!G$22&amp;Calculations!$P68,Dataset!$V:$V,0),MATCH(Calculations!$A$1,Dataset!$A$1:$V$1,0)),"")</f>
        <v>0</v>
      </c>
      <c r="H68" s="869">
        <f>IFERROR(INDEX(Dataset!$A:$V,MATCH(Calculations!H$22&amp;Calculations!$P68,Dataset!$V:$V,0),MATCH(Calculations!$A$1,Dataset!$A$1:$V$1,0)),"")</f>
        <v>82</v>
      </c>
      <c r="I68" s="869">
        <f>IFERROR(INDEX(Dataset!$A:$V,MATCH(Calculations!I$22&amp;Calculations!$P68,Dataset!$V:$V,0),MATCH(Calculations!$A$1,Dataset!$A$1:$V$1,0)),"")</f>
        <v>52</v>
      </c>
      <c r="J68" s="869">
        <f>IFERROR(INDEX(Dataset!$A:$V,MATCH(Calculations!J$22&amp;Calculations!$P68,Dataset!$V:$V,0),MATCH(Calculations!$A$1,Dataset!$A$1:$V$1,0)),"")</f>
        <v>2691</v>
      </c>
      <c r="K68" s="869" t="str">
        <f>IFERROR(INDEX(Dataset!$A:$V,MATCH(Calculations!K$22&amp;Calculations!$P68,Dataset!$V:$V,0),MATCH(Calculations!$A$1,Dataset!$A$1:$V$1,0)),"")</f>
        <v/>
      </c>
      <c r="L68" s="869" t="str">
        <f>IFERROR(INDEX(Dataset!$A:$V,MATCH(Calculations!L$22&amp;Calculations!$P68,Dataset!$V:$V,0),MATCH(Calculations!$A$1,Dataset!$A$1:$V$1,0)),"")</f>
        <v/>
      </c>
      <c r="P68" t="s">
        <v>828</v>
      </c>
    </row>
    <row r="69" spans="1:16">
      <c r="A69" s="869"/>
      <c r="B69" s="869" t="s">
        <v>829</v>
      </c>
      <c r="C69" s="869" t="str">
        <f>IFERROR(INDEX(Dataset!$A:$V,MATCH(Calculations!#REF!&amp;Calculations!$P69,Dataset!$V:$V,0),MATCH(Calculations!$A$1,Dataset!$A$1:$V$1,0)),"")</f>
        <v/>
      </c>
      <c r="D69" s="875">
        <f>IFERROR(INDEX(Dataset!$A:$V,MATCH(Calculations!D$22&amp;Calculations!$P69,Dataset!$V:$V,0),MATCH(Calculations!$A$1,Dataset!$A$1:$V$1,0)),"")</f>
        <v>24</v>
      </c>
      <c r="E69" s="875">
        <f>IFERROR(INDEX(Dataset!$A:$V,MATCH(Calculations!E$22&amp;Calculations!$P69,Dataset!$V:$V,0),MATCH(Calculations!$A$1,Dataset!$A$1:$V$1,0)),"")</f>
        <v>15</v>
      </c>
      <c r="F69" s="875">
        <f>IFERROR(INDEX(Dataset!$A:$V,MATCH(Calculations!F$22&amp;Calculations!$P69,Dataset!$V:$V,0),MATCH(Calculations!$A$1,Dataset!$A$1:$V$1,0)),"")</f>
        <v>20</v>
      </c>
      <c r="G69" s="869">
        <f>IFERROR(INDEX(Dataset!$A:$V,MATCH(Calculations!G$22&amp;Calculations!$P69,Dataset!$V:$V,0),MATCH(Calculations!$A$1,Dataset!$A$1:$V$1,0)),"")</f>
        <v>0</v>
      </c>
      <c r="H69" s="869">
        <f>IFERROR(INDEX(Dataset!$A:$V,MATCH(Calculations!H$22&amp;Calculations!$P69,Dataset!$V:$V,0),MATCH(Calculations!$A$1,Dataset!$A$1:$V$1,0)),"")</f>
        <v>79</v>
      </c>
      <c r="I69" s="869">
        <f>IFERROR(INDEX(Dataset!$A:$V,MATCH(Calculations!I$22&amp;Calculations!$P69,Dataset!$V:$V,0),MATCH(Calculations!$A$1,Dataset!$A$1:$V$1,0)),"")</f>
        <v>48</v>
      </c>
      <c r="J69" s="869">
        <f>IFERROR(INDEX(Dataset!$A:$V,MATCH(Calculations!J$22&amp;Calculations!$P69,Dataset!$V:$V,0),MATCH(Calculations!$A$1,Dataset!$A$1:$V$1,0)),"")</f>
        <v>2691</v>
      </c>
      <c r="K69" s="869" t="str">
        <f>IFERROR(INDEX(Dataset!$A:$V,MATCH(Calculations!K$22&amp;Calculations!$P69,Dataset!$V:$V,0),MATCH(Calculations!$A$1,Dataset!$A$1:$V$1,0)),"")</f>
        <v/>
      </c>
      <c r="L69" s="869" t="str">
        <f>IFERROR(INDEX(Dataset!$A:$V,MATCH(Calculations!L$22&amp;Calculations!$P69,Dataset!$V:$V,0),MATCH(Calculations!$A$1,Dataset!$A$1:$V$1,0)),"")</f>
        <v/>
      </c>
      <c r="M69" s="869"/>
      <c r="P69" t="s">
        <v>830</v>
      </c>
    </row>
    <row r="70" spans="1:16">
      <c r="A70" s="869"/>
      <c r="B70" s="869" t="s">
        <v>831</v>
      </c>
      <c r="C70" s="869" t="str">
        <f>IFERROR(INDEX(Dataset!$A:$V,MATCH(Calculations!#REF!&amp;Calculations!$P70,Dataset!$V:$V,0),MATCH(Calculations!$A$1,Dataset!$A$1:$V$1,0)),"")</f>
        <v/>
      </c>
      <c r="D70" s="871">
        <f>IFERROR(INDEX(Dataset!$A:$V,MATCH(Calculations!D$22&amp;Calculations!$P70,Dataset!$V:$V,0),MATCH(Calculations!$A$1,Dataset!$A$1:$V$1,0)),"")</f>
        <v>1.8951358180669614E-3</v>
      </c>
      <c r="E70" s="871">
        <f>IFERROR(INDEX(Dataset!$A:$V,MATCH(Calculations!E$22&amp;Calculations!$P70,Dataset!$V:$V,0),MATCH(Calculations!$A$1,Dataset!$A$1:$V$1,0)),"")</f>
        <v>1</v>
      </c>
      <c r="F70" s="871">
        <f>IFERROR(INDEX(Dataset!$A:$V,MATCH(Calculations!F$22&amp;Calculations!$P70,Dataset!$V:$V,0),MATCH(Calculations!$A$1,Dataset!$A$1:$V$1,0)),"")</f>
        <v>1.3650013650013948E-3</v>
      </c>
      <c r="G70" s="871" t="str">
        <f>IFERROR(INDEX(Dataset!$A:$V,MATCH(Calculations!G$22&amp;Calculations!$P70,Dataset!$V:$V,0),MATCH(Calculations!$A$1,Dataset!$A$1:$V$1,0)),"")</f>
        <v/>
      </c>
      <c r="H70" s="871">
        <f>IFERROR(INDEX(Dataset!$A:$V,MATCH(Calculations!H$22&amp;Calculations!$P70,Dataset!$V:$V,0),MATCH(Calculations!$A$1,Dataset!$A$1:$V$1,0)),"")</f>
        <v>0.96341463414634143</v>
      </c>
      <c r="I70" s="871">
        <f>IFERROR(INDEX(Dataset!$A:$V,MATCH(Calculations!I$22&amp;Calculations!$P70,Dataset!$V:$V,0),MATCH(Calculations!$A$1,Dataset!$A$1:$V$1,0)),"")</f>
        <v>0.92307692307692313</v>
      </c>
      <c r="J70" s="871">
        <f>IFERROR(INDEX(Dataset!$A:$V,MATCH(Calculations!J$22&amp;Calculations!$P70,Dataset!$V:$V,0),MATCH(Calculations!$A$1,Dataset!$A$1:$V$1,0)),"")</f>
        <v>1</v>
      </c>
      <c r="K70" s="869" t="str">
        <f>IFERROR(INDEX(Dataset!$A:$V,MATCH(Calculations!K$22&amp;Calculations!$P70,Dataset!$V:$V,0),MATCH(Calculations!$A$1,Dataset!$A$1:$V$1,0)),"")</f>
        <v/>
      </c>
      <c r="L70" s="869" t="str">
        <f>IFERROR(INDEX(Dataset!$A:$V,MATCH(Calculations!L$22&amp;Calculations!$P70,Dataset!$V:$V,0),MATCH(Calculations!$A$1,Dataset!$A$1:$V$1,0)),"")</f>
        <v/>
      </c>
      <c r="M70" s="869"/>
      <c r="P70" t="s">
        <v>832</v>
      </c>
    </row>
    <row r="71" spans="1:16">
      <c r="A71" s="828" t="s">
        <v>833</v>
      </c>
      <c r="M71" s="869"/>
    </row>
    <row r="72" spans="1:16">
      <c r="A72" s="869" t="s">
        <v>834</v>
      </c>
      <c r="B72" s="869"/>
      <c r="C72" s="869" t="str">
        <f>IFERROR(INDEX(Dataset!$A:$V,MATCH(Calculations!#REF!&amp;Calculations!$P72,Dataset!$V:$V,0),MATCH(Calculations!$A$1,Dataset!$A$1:$V$1,0)),"")</f>
        <v/>
      </c>
      <c r="D72" s="869" t="str">
        <f>IFERROR(INDEX(Dataset!$A:$V,MATCH(Calculations!D$22&amp;Calculations!$P72,Dataset!$V:$V,0),MATCH(Calculations!$A$1,Dataset!$A$1:$V$1,0)),"")</f>
        <v/>
      </c>
      <c r="E72" s="1108">
        <f>IFERROR(INDEX(Dataset!$A:$V,MATCH(Calculations!E$22&amp;Calculations!$P72,Dataset!$V:$V,0),MATCH(Calculations!$A$1,Dataset!$A$1:$V$1,0)),"")</f>
        <v>7.3774047895785538E-2</v>
      </c>
      <c r="F72" s="1108">
        <f>IFERROR(INDEX(Dataset!$A:$V,MATCH(Calculations!F$22&amp;Calculations!$P72,Dataset!$V:$V,0),MATCH(Calculations!$A$1,Dataset!$A$1:$V$1,0)),"")</f>
        <v>7.0845992113725303E-2</v>
      </c>
      <c r="G72" s="1108">
        <f>IFERROR(INDEX(Dataset!$A:$V,MATCH(Calculations!G$22&amp;Calculations!$P72,Dataset!$V:$V,0),MATCH(Calculations!$A$1,Dataset!$A$1:$V$1,0)),"")</f>
        <v>1.4077267496858545E-2</v>
      </c>
      <c r="H72" s="1108">
        <f>IFERROR(INDEX(Dataset!$A:$V,MATCH(Calculations!H$22&amp;Calculations!$P72,Dataset!$V:$V,0),MATCH(Calculations!$A$1,Dataset!$A$1:$V$1,0)),"")</f>
        <v>3.7041102111876466E-2</v>
      </c>
      <c r="I72" s="1108">
        <f>IFERROR(INDEX(Dataset!$A:$V,MATCH(Calculations!I$22&amp;Calculations!$P72,Dataset!$V:$V,0),MATCH(Calculations!$A$1,Dataset!$A$1:$V$1,0)),"")</f>
        <v>7.0865562758569117E-2</v>
      </c>
      <c r="J72" s="1108">
        <f>IFERROR(INDEX(Dataset!$A:$V,MATCH(Calculations!J$22&amp;Calculations!$P72,Dataset!$V:$V,0),MATCH(Calculations!$A$1,Dataset!$A$1:$V$1,0)),"")</f>
        <v>8.9878301377435271E-2</v>
      </c>
      <c r="K72" s="1108" t="str">
        <f>IFERROR(INDEX(Dataset!$A:$V,MATCH(Calculations!K$22&amp;Calculations!$P72,Dataset!$V:$V,0),MATCH(Calculations!$A$1,Dataset!$A$1:$V$1,0)),"")</f>
        <v/>
      </c>
      <c r="L72" s="869" t="str">
        <f>IFERROR(INDEX(Dataset!$A:$V,MATCH(Calculations!L$22&amp;Calculations!$P72,Dataset!$V:$V,0),MATCH(Calculations!$A$1,Dataset!$A$1:$V$1,0)),"")</f>
        <v/>
      </c>
      <c r="M72" s="869"/>
      <c r="P72" t="s">
        <v>835</v>
      </c>
    </row>
    <row r="73" spans="1:16">
      <c r="A73" s="869" t="s">
        <v>1386</v>
      </c>
      <c r="B73" s="869"/>
      <c r="C73" s="869" t="str">
        <f>IFERROR(INDEX(Dataset!$A:$V,MATCH(Calculations!#REF!&amp;Calculations!$P73,Dataset!$V:$V,0),MATCH(Calculations!$A$1,Dataset!$A$1:$V$1,0)),"")</f>
        <v/>
      </c>
      <c r="D73" s="869" t="str">
        <f>IFERROR(INDEX(Dataset!$A:$V,MATCH(Calculations!D$22&amp;Calculations!$P73,Dataset!$V:$V,0),MATCH(Calculations!$A$1,Dataset!$A$1:$V$1,0)),"")</f>
        <v/>
      </c>
      <c r="E73" s="1108">
        <f>IFERROR(INDEX(Dataset!$A:$V,MATCH(Calculations!E$22&amp;Calculations!$P73,Dataset!$V:$V,0),MATCH(Calculations!$A$1,Dataset!$A$1:$V$1,0)),"")</f>
        <v>9.382050778891439E-2</v>
      </c>
      <c r="F73" s="1108">
        <f>IFERROR(INDEX(Dataset!$A:$V,MATCH(Calculations!F$22&amp;Calculations!$P73,Dataset!$V:$V,0),MATCH(Calculations!$A$1,Dataset!$A$1:$V$1,0)),"")</f>
        <v>9.0096817844515245E-2</v>
      </c>
      <c r="G73" s="1108">
        <f>IFERROR(INDEX(Dataset!$A:$V,MATCH(Calculations!G$22&amp;Calculations!$P73,Dataset!$V:$V,0),MATCH(Calculations!$A$1,Dataset!$A$1:$V$1,0)),"")</f>
        <v>1.7902452454572414E-2</v>
      </c>
      <c r="H73" s="1108">
        <f>IFERROR(INDEX(Dataset!$A:$V,MATCH(Calculations!H$22&amp;Calculations!$P73,Dataset!$V:$V,0),MATCH(Calculations!$A$1,Dataset!$A$1:$V$1,0)),"")</f>
        <v>4.7106199379305123E-2</v>
      </c>
      <c r="I73" s="1108">
        <f>IFERROR(INDEX(Dataset!$A:$V,MATCH(Calculations!I$22&amp;Calculations!$P73,Dataset!$V:$V,0),MATCH(Calculations!$A$1,Dataset!$A$1:$V$1,0)),"")</f>
        <v>9.0121706377669836E-2</v>
      </c>
      <c r="J73" s="1108">
        <f>IFERROR(INDEX(Dataset!$A:$V,MATCH(Calculations!J$22&amp;Calculations!$P73,Dataset!$V:$V,0),MATCH(Calculations!$A$1,Dataset!$A$1:$V$1,0)),"")</f>
        <v>0.11430073467498829</v>
      </c>
      <c r="K73" s="1108" t="str">
        <f>IFERROR(INDEX(Dataset!$A:$V,MATCH(Calculations!K$22&amp;Calculations!$P73,Dataset!$V:$V,0),MATCH(Calculations!$A$1,Dataset!$A$1:$V$1,0)),"")</f>
        <v/>
      </c>
      <c r="L73" s="874" t="str">
        <f>IFERROR(INDEX(Dataset!$A:$V,MATCH(Calculations!L$22&amp;Calculations!$P73,Dataset!$V:$V,0),MATCH(Calculations!$A$1,Dataset!$A$1:$V$1,0)),"")</f>
        <v/>
      </c>
      <c r="M73" s="869"/>
      <c r="P73" t="s">
        <v>1402</v>
      </c>
    </row>
    <row r="74" spans="1:16">
      <c r="A74" s="869" t="s">
        <v>836</v>
      </c>
      <c r="B74" s="869"/>
      <c r="C74" s="869" t="str">
        <f>IFERROR(INDEX(Dataset!$A:$V,MATCH(Calculations!#REF!&amp;Calculations!$P74,Dataset!$V:$V,0),MATCH(Calculations!$A$1,Dataset!$A$1:$V$1,0)),"")</f>
        <v/>
      </c>
      <c r="D74" s="869" t="str">
        <f>IFERROR(INDEX(Dataset!$A:$V,MATCH(Calculations!D$22&amp;Calculations!$P74,Dataset!$V:$V,0),MATCH(Calculations!$A$1,Dataset!$A$1:$V$1,0)),"")</f>
        <v/>
      </c>
      <c r="E74" s="1108">
        <f>IFERROR(INDEX(Dataset!$A:$V,MATCH(Calculations!E$22&amp;Calculations!$P74,Dataset!$V:$V,0),MATCH(Calculations!$A$1,Dataset!$A$1:$V$1,0)),"")</f>
        <v>7.3774047895785538E-2</v>
      </c>
      <c r="F74" s="1108">
        <f>IFERROR(INDEX(Dataset!$A:$V,MATCH(Calculations!F$22&amp;Calculations!$P74,Dataset!$V:$V,0),MATCH(Calculations!$A$1,Dataset!$A$1:$V$1,0)),"")</f>
        <v>7.0845992113725303E-2</v>
      </c>
      <c r="G74" s="1108">
        <f>IFERROR(INDEX(Dataset!$A:$V,MATCH(Calculations!G$22&amp;Calculations!$P74,Dataset!$V:$V,0),MATCH(Calculations!$A$1,Dataset!$A$1:$V$1,0)),"")</f>
        <v>1.4077267496858545E-2</v>
      </c>
      <c r="H74" s="1108">
        <f>IFERROR(INDEX(Dataset!$A:$V,MATCH(Calculations!H$22&amp;Calculations!$P74,Dataset!$V:$V,0),MATCH(Calculations!$A$1,Dataset!$A$1:$V$1,0)),"")</f>
        <v>3.7041102111876466E-2</v>
      </c>
      <c r="I74" s="1108">
        <f>IFERROR(INDEX(Dataset!$A:$V,MATCH(Calculations!I$22&amp;Calculations!$P74,Dataset!$V:$V,0),MATCH(Calculations!$A$1,Dataset!$A$1:$V$1,0)),"")</f>
        <v>7.0865562758569117E-2</v>
      </c>
      <c r="J74" s="1108">
        <f>IFERROR(INDEX(Dataset!$A:$V,MATCH(Calculations!J$22&amp;Calculations!$P74,Dataset!$V:$V,0),MATCH(Calculations!$A$1,Dataset!$A$1:$V$1,0)),"")</f>
        <v>8.9878301377435271E-2</v>
      </c>
      <c r="K74" s="1108" t="str">
        <f>IFERROR(INDEX(Dataset!$A:$V,MATCH(Calculations!K$22&amp;Calculations!$P74,Dataset!$V:$V,0),MATCH(Calculations!$A$1,Dataset!$A$1:$V$1,0)),"")</f>
        <v/>
      </c>
      <c r="L74" s="869" t="str">
        <f>IFERROR(INDEX(Dataset!$A:$V,MATCH(Calculations!L$22&amp;Calculations!$P74,Dataset!$V:$V,0),MATCH(Calculations!$A$1,Dataset!$A$1:$V$1,0)),"")</f>
        <v/>
      </c>
      <c r="M74" s="869" t="str">
        <f>IFERROR(INDEX(Dataset!$A:$V,MATCH(Calculations!M$22&amp;Calculations!$P74,Dataset!$V:$V,0),MATCH(Calculations!$A$1,Dataset!$A$1:$V$1,0)),"")</f>
        <v/>
      </c>
      <c r="P74" t="s">
        <v>835</v>
      </c>
    </row>
    <row r="75" spans="1:16">
      <c r="A75" s="869" t="s">
        <v>1387</v>
      </c>
      <c r="B75" s="869"/>
      <c r="C75" s="869" t="str">
        <f>IFERROR(INDEX(Dataset!$A:$V,MATCH(Calculations!#REF!&amp;Calculations!$P75,Dataset!$V:$V,0),MATCH(Calculations!$A$1,Dataset!$A$1:$V$1,0)),"")</f>
        <v/>
      </c>
      <c r="D75" s="869" t="str">
        <f>IFERROR(INDEX(Dataset!$A:$V,MATCH(Calculations!D$22&amp;Calculations!$P75,Dataset!$V:$V,0),MATCH(Calculations!$A$1,Dataset!$A$1:$V$1,0)),"")</f>
        <v/>
      </c>
      <c r="E75" s="1108">
        <f>IFERROR(INDEX(Dataset!$A:$V,MATCH(Calculations!E$22&amp;Calculations!$P75,Dataset!$V:$V,0),MATCH(Calculations!$A$1,Dataset!$A$1:$V$1,0)),"")</f>
        <v>9.382050778891439E-2</v>
      </c>
      <c r="F75" s="1108">
        <f>IFERROR(INDEX(Dataset!$A:$V,MATCH(Calculations!F$22&amp;Calculations!$P75,Dataset!$V:$V,0),MATCH(Calculations!$A$1,Dataset!$A$1:$V$1,0)),"")</f>
        <v>9.0096817844515245E-2</v>
      </c>
      <c r="G75" s="1108">
        <f>IFERROR(INDEX(Dataset!$A:$V,MATCH(Calculations!G$22&amp;Calculations!$P75,Dataset!$V:$V,0),MATCH(Calculations!$A$1,Dataset!$A$1:$V$1,0)),"")</f>
        <v>1.7902452454572414E-2</v>
      </c>
      <c r="H75" s="1108">
        <f>IFERROR(INDEX(Dataset!$A:$V,MATCH(Calculations!H$22&amp;Calculations!$P75,Dataset!$V:$V,0),MATCH(Calculations!$A$1,Dataset!$A$1:$V$1,0)),"")</f>
        <v>4.7106199379305123E-2</v>
      </c>
      <c r="I75" s="1108">
        <f>IFERROR(INDEX(Dataset!$A:$V,MATCH(Calculations!I$22&amp;Calculations!$P75,Dataset!$V:$V,0),MATCH(Calculations!$A$1,Dataset!$A$1:$V$1,0)),"")</f>
        <v>9.0121706377669836E-2</v>
      </c>
      <c r="J75" s="1108">
        <f>IFERROR(INDEX(Dataset!$A:$V,MATCH(Calculations!J$22&amp;Calculations!$P75,Dataset!$V:$V,0),MATCH(Calculations!$A$1,Dataset!$A$1:$V$1,0)),"")</f>
        <v>0.11430073467498829</v>
      </c>
      <c r="K75" s="1108" t="str">
        <f>IFERROR(INDEX(Dataset!$A:$V,MATCH(Calculations!K$22&amp;Calculations!$P75,Dataset!$V:$V,0),MATCH(Calculations!$A$1,Dataset!$A$1:$V$1,0)),"")</f>
        <v/>
      </c>
      <c r="L75" s="869" t="str">
        <f>IFERROR(INDEX(Dataset!$A:$V,MATCH(Calculations!L$22&amp;Calculations!$P75,Dataset!$V:$V,0),MATCH(Calculations!$A$1,Dataset!$A$1:$V$1,0)),"")</f>
        <v/>
      </c>
      <c r="M75" s="869" t="str">
        <f>IFERROR(INDEX(Dataset!$A:$V,MATCH(Calculations!M$22&amp;Calculations!$P75,Dataset!$V:$V,0),MATCH(Calculations!$A$1,Dataset!$A$1:$V$1,0)),"")</f>
        <v/>
      </c>
      <c r="P75" t="s">
        <v>1402</v>
      </c>
    </row>
    <row r="76" spans="1:16">
      <c r="A76" s="869" t="s">
        <v>837</v>
      </c>
      <c r="B76" s="869"/>
      <c r="C76" s="869" t="str">
        <f>IFERROR(INDEX(Dataset!$A:$V,MATCH(Calculations!#REF!&amp;Calculations!$P76,Dataset!$V:$V,0),MATCH(Calculations!$A$1,Dataset!$A$1:$V$1,0)),"")</f>
        <v/>
      </c>
      <c r="D76" s="869" t="str">
        <f>IFERROR(INDEX(Dataset!$A:$V,MATCH(Calculations!D$22&amp;Calculations!$P76,Dataset!$V:$V,0),MATCH(Calculations!$A$1,Dataset!$A$1:$V$1,0)),"")</f>
        <v/>
      </c>
      <c r="E76" s="869" t="str">
        <f>IFERROR(INDEX(Dataset!$A:$V,MATCH(Calculations!E$22&amp;Calculations!$P76,Dataset!$V:$V,0),MATCH(Calculations!$A$1,Dataset!$A$1:$V$1,0)),"")</f>
        <v/>
      </c>
      <c r="F76" s="869" t="str">
        <f>IFERROR(INDEX(Dataset!$A:$V,MATCH(Calculations!F$22&amp;Calculations!$P76,Dataset!$V:$V,0),MATCH(Calculations!$A$1,Dataset!$A$1:$V$1,0)),"")</f>
        <v/>
      </c>
      <c r="G76" s="869" t="str">
        <f>IFERROR(INDEX(Dataset!$A:$V,MATCH(Calculations!G$22&amp;Calculations!$P76,Dataset!$V:$V,0),MATCH(Calculations!$A$1,Dataset!$A$1:$V$1,0)),"")</f>
        <v/>
      </c>
      <c r="H76" s="869" t="str">
        <f>IFERROR(INDEX(Dataset!$A:$V,MATCH(Calculations!H$22&amp;Calculations!$P76,Dataset!$V:$V,0),MATCH(Calculations!$A$1,Dataset!$A$1:$V$1,0)),"")</f>
        <v/>
      </c>
      <c r="I76" s="869" t="str">
        <f>IFERROR(INDEX(Dataset!$A:$V,MATCH(Calculations!I$22&amp;Calculations!$P76,Dataset!$V:$V,0),MATCH(Calculations!$A$1,Dataset!$A$1:$V$1,0)),"")</f>
        <v/>
      </c>
      <c r="J76" s="869" t="str">
        <f>IFERROR(INDEX(Dataset!$A:$V,MATCH(Calculations!J$22&amp;Calculations!$P76,Dataset!$V:$V,0),MATCH(Calculations!$A$1,Dataset!$A$1:$V$1,0)),"")</f>
        <v/>
      </c>
      <c r="K76" s="869" t="str">
        <f>IFERROR(INDEX(Dataset!$A:$V,MATCH(Calculations!K$22&amp;Calculations!$P76,Dataset!$V:$V,0),MATCH(Calculations!$A$1,Dataset!$A$1:$V$1,0)),"")</f>
        <v/>
      </c>
      <c r="L76" s="869" t="str">
        <f>IFERROR(INDEX(Dataset!$A:$V,MATCH(Calculations!L$22&amp;Calculations!$P76,Dataset!$V:$V,0),MATCH(Calculations!$A$1,Dataset!$A$1:$V$1,0)),"")</f>
        <v/>
      </c>
      <c r="M76" s="869" t="str">
        <f>IFERROR(INDEX(Dataset!$A:$V,MATCH(Calculations!M$22&amp;Calculations!$P76,Dataset!$V:$V,0),MATCH(Calculations!$A$1,Dataset!$A$1:$V$1,0)),"")</f>
        <v/>
      </c>
      <c r="P76" t="s">
        <v>838</v>
      </c>
    </row>
    <row r="77" spans="1:16">
      <c r="A77" s="869" t="s">
        <v>1388</v>
      </c>
      <c r="B77" s="869"/>
      <c r="C77" s="869" t="str">
        <f>IFERROR(INDEX(Dataset!$A:$V,MATCH(Calculations!#REF!&amp;Calculations!$P77,Dataset!$V:$V,0),MATCH(Calculations!$A$1,Dataset!$A$1:$V$1,0)),"")</f>
        <v/>
      </c>
      <c r="D77" s="869" t="str">
        <f>IFERROR(INDEX(Dataset!$A:$V,MATCH(Calculations!D$22&amp;Calculations!$P77,Dataset!$V:$V,0),MATCH(Calculations!$A$1,Dataset!$A$1:$V$1,0)),"")</f>
        <v/>
      </c>
      <c r="E77" s="869" t="str">
        <f>IFERROR(INDEX(Dataset!$A:$V,MATCH(Calculations!E$22&amp;Calculations!$P77,Dataset!$V:$V,0),MATCH(Calculations!$A$1,Dataset!$A$1:$V$1,0)),"")</f>
        <v/>
      </c>
      <c r="F77" s="869" t="str">
        <f>IFERROR(INDEX(Dataset!$A:$V,MATCH(Calculations!F$22&amp;Calculations!$P77,Dataset!$V:$V,0),MATCH(Calculations!$A$1,Dataset!$A$1:$V$1,0)),"")</f>
        <v/>
      </c>
      <c r="G77" s="869" t="str">
        <f>IFERROR(INDEX(Dataset!$A:$V,MATCH(Calculations!G$22&amp;Calculations!$P77,Dataset!$V:$V,0),MATCH(Calculations!$A$1,Dataset!$A$1:$V$1,0)),"")</f>
        <v/>
      </c>
      <c r="H77" s="869" t="str">
        <f>IFERROR(INDEX(Dataset!$A:$V,MATCH(Calculations!H$22&amp;Calculations!$P77,Dataset!$V:$V,0),MATCH(Calculations!$A$1,Dataset!$A$1:$V$1,0)),"")</f>
        <v/>
      </c>
      <c r="I77" s="869" t="str">
        <f>IFERROR(INDEX(Dataset!$A:$V,MATCH(Calculations!I$22&amp;Calculations!$P77,Dataset!$V:$V,0),MATCH(Calculations!$A$1,Dataset!$A$1:$V$1,0)),"")</f>
        <v/>
      </c>
      <c r="J77" s="869" t="str">
        <f>IFERROR(INDEX(Dataset!$A:$V,MATCH(Calculations!J$22&amp;Calculations!$P77,Dataset!$V:$V,0),MATCH(Calculations!$A$1,Dataset!$A$1:$V$1,0)),"")</f>
        <v/>
      </c>
      <c r="K77" s="869" t="str">
        <f>IFERROR(INDEX(Dataset!$A:$V,MATCH(Calculations!K$22&amp;Calculations!$P77,Dataset!$V:$V,0),MATCH(Calculations!$A$1,Dataset!$A$1:$V$1,0)),"")</f>
        <v/>
      </c>
      <c r="L77" s="869" t="str">
        <f>IFERROR(INDEX(Dataset!$A:$V,MATCH(Calculations!L$22&amp;Calculations!$P77,Dataset!$V:$V,0),MATCH(Calculations!$A$1,Dataset!$A$1:$V$1,0)),"")</f>
        <v/>
      </c>
      <c r="M77" s="869" t="str">
        <f>IFERROR(INDEX(Dataset!$A:$V,MATCH(Calculations!M$22&amp;Calculations!$P77,Dataset!$V:$V,0),MATCH(Calculations!$A$1,Dataset!$A$1:$V$1,0)),"")</f>
        <v/>
      </c>
      <c r="P77" t="s">
        <v>1403</v>
      </c>
    </row>
    <row r="78" spans="1:16">
      <c r="A78" s="828" t="s">
        <v>290</v>
      </c>
      <c r="M78" s="869"/>
    </row>
    <row r="79" spans="1:16">
      <c r="A79" s="869" t="s">
        <v>839</v>
      </c>
      <c r="B79" s="869"/>
      <c r="C79" s="869" t="str">
        <f>IFERROR(INDEX(Dataset!$A:$V,MATCH(Calculations!#REF!&amp;Calculations!$P79,Dataset!$V:$V,0),MATCH(Calculations!$A$1,Dataset!$A$1:$V$1,0)),"")</f>
        <v/>
      </c>
      <c r="D79" s="869">
        <f>IFERROR(INDEX(Dataset!$A:$V,MATCH(Calculations!D$22&amp;Calculations!$P79,Dataset!$V:$V,0),MATCH(Calculations!$A$1,Dataset!$A$1:$V$1,0)),"")</f>
        <v>0.29310526019539673</v>
      </c>
      <c r="E79" s="869">
        <f>IFERROR(INDEX(Dataset!$A:$V,MATCH(Calculations!E$22&amp;Calculations!$P79,Dataset!$V:$V,0),MATCH(Calculations!$A$1,Dataset!$A$1:$V$1,0)),"")</f>
        <v>0.62025699754064401</v>
      </c>
      <c r="F79" s="869">
        <f>IFERROR(INDEX(Dataset!$A:$V,MATCH(Calculations!F$22&amp;Calculations!$P79,Dataset!$V:$V,0),MATCH(Calculations!$A$1,Dataset!$A$1:$V$1,0)),"")</f>
        <v>0.94441472413524252</v>
      </c>
      <c r="G79" s="869">
        <f>IFERROR(INDEX(Dataset!$A:$V,MATCH(Calculations!G$22&amp;Calculations!$P79,Dataset!$V:$V,0),MATCH(Calculations!$A$1,Dataset!$A$1:$V$1,0)),"")</f>
        <v>1.0442780480239542</v>
      </c>
      <c r="H79" s="869">
        <f>IFERROR(INDEX(Dataset!$A:$V,MATCH(Calculations!H$22&amp;Calculations!$P79,Dataset!$V:$V,0),MATCH(Calculations!$A$1,Dataset!$A$1:$V$1,0)),"")</f>
        <v>0.72090033588423452</v>
      </c>
      <c r="I79" s="869">
        <f>IFERROR(INDEX(Dataset!$A:$V,MATCH(Calculations!I$22&amp;Calculations!$P79,Dataset!$V:$V,0),MATCH(Calculations!$A$1,Dataset!$A$1:$V$1,0)),"")</f>
        <v>0.39511377234710016</v>
      </c>
      <c r="J79" s="869">
        <f>IFERROR(INDEX(Dataset!$A:$V,MATCH(Calculations!J$22&amp;Calculations!$P79,Dataset!$V:$V,0),MATCH(Calculations!$A$1,Dataset!$A$1:$V$1,0)),"")</f>
        <v>0.3971933414603101</v>
      </c>
      <c r="K79" s="869">
        <f>IFERROR(INDEX(Dataset!$A:$V,MATCH(Calculations!K$22&amp;Calculations!$P79,Dataset!$V:$V,0),MATCH(Calculations!$A$1,Dataset!$A$1:$V$1,0)),"")</f>
        <v>0.16476167406358741</v>
      </c>
      <c r="L79" s="869" t="str">
        <f>IFERROR(INDEX(Dataset!$A:$V,MATCH(Calculations!L$22&amp;Calculations!$P79,Dataset!$V:$V,0),MATCH(Calculations!$A$1,Dataset!$A$1:$V$1,0)),"")</f>
        <v/>
      </c>
      <c r="M79" s="869"/>
      <c r="P79" t="s">
        <v>840</v>
      </c>
    </row>
    <row r="80" spans="1:16">
      <c r="A80" s="869" t="s">
        <v>841</v>
      </c>
      <c r="B80" s="869"/>
      <c r="C80" s="869" t="str">
        <f>IFERROR(INDEX(Dataset!$A:$V,MATCH(Calculations!#REF!&amp;Calculations!$P80,Dataset!$V:$V,0),MATCH(Calculations!$A$1,Dataset!$A$1:$V$1,0)),"")</f>
        <v/>
      </c>
      <c r="D80" s="869">
        <f>IFERROR(INDEX(Dataset!$A:$V,MATCH(Calculations!D$22&amp;Calculations!$P80,Dataset!$V:$V,0),MATCH(Calculations!$A$1,Dataset!$A$1:$V$1,0)),"")</f>
        <v>0.64862313738036415</v>
      </c>
      <c r="E80" s="869">
        <f>IFERROR(INDEX(Dataset!$A:$V,MATCH(Calculations!E$22&amp;Calculations!$P80,Dataset!$V:$V,0),MATCH(Calculations!$A$1,Dataset!$A$1:$V$1,0)),"")</f>
        <v>1.5689881943605846</v>
      </c>
      <c r="F80" s="869">
        <f>IFERROR(INDEX(Dataset!$A:$V,MATCH(Calculations!F$22&amp;Calculations!$P80,Dataset!$V:$V,0),MATCH(Calculations!$A$1,Dataset!$A$1:$V$1,0)),"")</f>
        <v>1.0947372124492558</v>
      </c>
      <c r="G80" s="869">
        <f>IFERROR(INDEX(Dataset!$A:$V,MATCH(Calculations!G$22&amp;Calculations!$P80,Dataset!$V:$V,0),MATCH(Calculations!$A$1,Dataset!$A$1:$V$1,0)),"")</f>
        <v>0.87172301735213975</v>
      </c>
      <c r="H80" s="869">
        <f>IFERROR(INDEX(Dataset!$A:$V,MATCH(Calculations!H$22&amp;Calculations!$P80,Dataset!$V:$V,0),MATCH(Calculations!$A$1,Dataset!$A$1:$V$1,0)),"")</f>
        <v>0.395047178315591</v>
      </c>
      <c r="I80" s="869">
        <f>IFERROR(INDEX(Dataset!$A:$V,MATCH(Calculations!I$22&amp;Calculations!$P80,Dataset!$V:$V,0),MATCH(Calculations!$A$1,Dataset!$A$1:$V$1,0)),"")</f>
        <v>1.057759707921011E-3</v>
      </c>
      <c r="J80" s="869">
        <f>IFERROR(INDEX(Dataset!$A:$V,MATCH(Calculations!J$22&amp;Calculations!$P80,Dataset!$V:$V,0),MATCH(Calculations!$A$1,Dataset!$A$1:$V$1,0)),"")</f>
        <v>8.8200000000000001E-2</v>
      </c>
      <c r="K80" s="869" t="str">
        <f>IFERROR(INDEX(Dataset!$A:$V,MATCH(Calculations!K$22&amp;Calculations!$P80,Dataset!$V:$V,0),MATCH(Calculations!$A$1,Dataset!$A$1:$V$1,0)),"")</f>
        <v/>
      </c>
      <c r="L80" s="869" t="str">
        <f>IFERROR(INDEX(Dataset!$A:$V,MATCH(Calculations!L$22&amp;Calculations!$P80,Dataset!$V:$V,0),MATCH(Calculations!$A$1,Dataset!$A$1:$V$1,0)),"")</f>
        <v/>
      </c>
      <c r="M80" s="869"/>
      <c r="P80" t="s">
        <v>842</v>
      </c>
    </row>
    <row r="81" spans="1:16">
      <c r="A81" s="869" t="s">
        <v>843</v>
      </c>
      <c r="B81" s="869"/>
      <c r="C81" s="869" t="str">
        <f>IFERROR(INDEX(Dataset!$A:$V,MATCH(Calculations!#REF!&amp;Calculations!$P81,Dataset!$V:$V,0),MATCH(Calculations!$A$1,Dataset!$A$1:$V$1,0)),"")</f>
        <v/>
      </c>
      <c r="D81" s="869">
        <f>IFERROR(INDEX(Dataset!$A:$V,MATCH(Calculations!D$22&amp;Calculations!$P81,Dataset!$V:$V,0),MATCH(Calculations!$A$1,Dataset!$A$1:$V$1,0)),"")</f>
        <v>3.7929730235013406E-2</v>
      </c>
      <c r="E81" s="869">
        <f>IFERROR(INDEX(Dataset!$A:$V,MATCH(Calculations!E$22&amp;Calculations!$P81,Dataset!$V:$V,0),MATCH(Calculations!$A$1,Dataset!$A$1:$V$1,0)),"")</f>
        <v>7.8028065788695103E-2</v>
      </c>
      <c r="F81" s="869">
        <f>IFERROR(INDEX(Dataset!$A:$V,MATCH(Calculations!F$22&amp;Calculations!$P81,Dataset!$V:$V,0),MATCH(Calculations!$A$1,Dataset!$A$1:$V$1,0)),"")</f>
        <v>0.22546417344096054</v>
      </c>
      <c r="G81" s="869">
        <f>IFERROR(INDEX(Dataset!$A:$V,MATCH(Calculations!G$22&amp;Calculations!$P81,Dataset!$V:$V,0),MATCH(Calculations!$A$1,Dataset!$A$1:$V$1,0)),"")</f>
        <v>0.11625619693211658</v>
      </c>
      <c r="H81" s="869">
        <f>IFERROR(INDEX(Dataset!$A:$V,MATCH(Calculations!H$22&amp;Calculations!$P81,Dataset!$V:$V,0),MATCH(Calculations!$A$1,Dataset!$A$1:$V$1,0)),"")</f>
        <v>0.22733559224312863</v>
      </c>
      <c r="I81" s="869">
        <f>IFERROR(INDEX(Dataset!$A:$V,MATCH(Calculations!I$22&amp;Calculations!$P81,Dataset!$V:$V,0),MATCH(Calculations!$A$1,Dataset!$A$1:$V$1,0)),"")</f>
        <v>0.5483834858647384</v>
      </c>
      <c r="J81" s="869">
        <f>IFERROR(INDEX(Dataset!$A:$V,MATCH(Calculations!J$22&amp;Calculations!$P81,Dataset!$V:$V,0),MATCH(Calculations!$A$1,Dataset!$A$1:$V$1,0)),"")</f>
        <v>0.18987642031565818</v>
      </c>
      <c r="K81" s="869">
        <f>IFERROR(INDEX(Dataset!$A:$V,MATCH(Calculations!K$22&amp;Calculations!$P81,Dataset!$V:$V,0),MATCH(Calculations!$A$1,Dataset!$A$1:$V$1,0)),"")</f>
        <v>0.11829774175845807</v>
      </c>
      <c r="L81" s="869" t="str">
        <f>IFERROR(INDEX(Dataset!$A:$V,MATCH(Calculations!L$22&amp;Calculations!$P81,Dataset!$V:$V,0),MATCH(Calculations!$A$1,Dataset!$A$1:$V$1,0)),"")</f>
        <v/>
      </c>
      <c r="M81" s="869"/>
      <c r="P81" t="s">
        <v>844</v>
      </c>
    </row>
    <row r="82" spans="1:16">
      <c r="A82" s="869" t="s">
        <v>845</v>
      </c>
      <c r="B82" s="869"/>
      <c r="C82" s="869" t="str">
        <f>IFERROR(INDEX(Dataset!$A:$V,MATCH(Calculations!#REF!&amp;Calculations!$P82,Dataset!$V:$V,0),MATCH(Calculations!$A$1,Dataset!$A$1:$V$1,0)),"")</f>
        <v/>
      </c>
      <c r="D82" s="869">
        <f>IFERROR(INDEX(Dataset!$A:$V,MATCH(Calculations!D$22&amp;Calculations!$P82,Dataset!$V:$V,0),MATCH(Calculations!$A$1,Dataset!$A$1:$V$1,0)),"")</f>
        <v>0.15232089209930891</v>
      </c>
      <c r="E82" s="869">
        <f>IFERROR(INDEX(Dataset!$A:$V,MATCH(Calculations!E$22&amp;Calculations!$P82,Dataset!$V:$V,0),MATCH(Calculations!$A$1,Dataset!$A$1:$V$1,0)),"")</f>
        <v>4.8142879785050122E-2</v>
      </c>
      <c r="F82" s="869">
        <f>IFERROR(INDEX(Dataset!$A:$V,MATCH(Calculations!F$22&amp;Calculations!$P82,Dataset!$V:$V,0),MATCH(Calculations!$A$1,Dataset!$A$1:$V$1,0)),"")</f>
        <v>0.18336169191147583</v>
      </c>
      <c r="G82" s="869">
        <f>IFERROR(INDEX(Dataset!$A:$V,MATCH(Calculations!G$22&amp;Calculations!$P82,Dataset!$V:$V,0),MATCH(Calculations!$A$1,Dataset!$A$1:$V$1,0)),"")</f>
        <v>0.32180275177545287</v>
      </c>
      <c r="H82" s="869">
        <f>IFERROR(INDEX(Dataset!$A:$V,MATCH(Calculations!H$22&amp;Calculations!$P82,Dataset!$V:$V,0),MATCH(Calculations!$A$1,Dataset!$A$1:$V$1,0)),"")</f>
        <v>0.12525886141713863</v>
      </c>
      <c r="I82" s="869">
        <f>IFERROR(INDEX(Dataset!$A:$V,MATCH(Calculations!I$22&amp;Calculations!$P82,Dataset!$V:$V,0),MATCH(Calculations!$A$1,Dataset!$A$1:$V$1,0)),"")</f>
        <v>0</v>
      </c>
      <c r="J82" s="869">
        <f>IFERROR(INDEX(Dataset!$A:$V,MATCH(Calculations!J$22&amp;Calculations!$P82,Dataset!$V:$V,0),MATCH(Calculations!$A$1,Dataset!$A$1:$V$1,0)),"")</f>
        <v>7.0599999999999996E-2</v>
      </c>
      <c r="K82" s="869" t="str">
        <f>IFERROR(INDEX(Dataset!$A:$V,MATCH(Calculations!K$22&amp;Calculations!$P82,Dataset!$V:$V,0),MATCH(Calculations!$A$1,Dataset!$A$1:$V$1,0)),"")</f>
        <v/>
      </c>
      <c r="L82" s="869" t="str">
        <f>IFERROR(INDEX(Dataset!$A:$V,MATCH(Calculations!L$22&amp;Calculations!$P82,Dataset!$V:$V,0),MATCH(Calculations!$A$1,Dataset!$A$1:$V$1,0)),"")</f>
        <v/>
      </c>
      <c r="M82" s="869"/>
      <c r="P82" t="s">
        <v>846</v>
      </c>
    </row>
    <row r="83" spans="1:16">
      <c r="A83" s="869" t="s">
        <v>847</v>
      </c>
      <c r="B83" s="869"/>
      <c r="C83" s="869" t="str">
        <f>IFERROR(INDEX(Dataset!$A:$V,MATCH(Calculations!#REF!&amp;Calculations!$P83,Dataset!$V:$V,0),MATCH(Calculations!$A$1,Dataset!$A$1:$V$1,0)),"")</f>
        <v/>
      </c>
      <c r="D83" s="869">
        <f>IFERROR(INDEX(Dataset!$A:$V,MATCH(Calculations!D$22&amp;Calculations!$P83,Dataset!$V:$V,0),MATCH(Calculations!$A$1,Dataset!$A$1:$V$1,0)),"")</f>
        <v>0</v>
      </c>
      <c r="E83" s="869">
        <f>IFERROR(INDEX(Dataset!$A:$V,MATCH(Calculations!E$22&amp;Calculations!$P83,Dataset!$V:$V,0),MATCH(Calculations!$A$1,Dataset!$A$1:$V$1,0)),"")</f>
        <v>1</v>
      </c>
      <c r="F83" s="869">
        <f>IFERROR(INDEX(Dataset!$A:$V,MATCH(Calculations!F$22&amp;Calculations!$P83,Dataset!$V:$V,0),MATCH(Calculations!$A$1,Dataset!$A$1:$V$1,0)),"")</f>
        <v>5</v>
      </c>
      <c r="G83" s="869">
        <f>IFERROR(INDEX(Dataset!$A:$V,MATCH(Calculations!G$22&amp;Calculations!$P83,Dataset!$V:$V,0),MATCH(Calculations!$A$1,Dataset!$A$1:$V$1,0)),"")</f>
        <v>6</v>
      </c>
      <c r="H83" s="869">
        <f>IFERROR(INDEX(Dataset!$A:$V,MATCH(Calculations!H$22&amp;Calculations!$P83,Dataset!$V:$V,0),MATCH(Calculations!$A$1,Dataset!$A$1:$V$1,0)),"")</f>
        <v>2</v>
      </c>
      <c r="I83" s="869">
        <f>IFERROR(INDEX(Dataset!$A:$V,MATCH(Calculations!I$22&amp;Calculations!$P83,Dataset!$V:$V,0),MATCH(Calculations!$A$1,Dataset!$A$1:$V$1,0)),"")</f>
        <v>2</v>
      </c>
      <c r="J83" s="869">
        <f>IFERROR(INDEX(Dataset!$A:$V,MATCH(Calculations!J$22&amp;Calculations!$P83,Dataset!$V:$V,0),MATCH(Calculations!$A$1,Dataset!$A$1:$V$1,0)),"")</f>
        <v>0</v>
      </c>
      <c r="K83" s="869" t="str">
        <f>IFERROR(INDEX(Dataset!$A:$V,MATCH(Calculations!K$22&amp;Calculations!$P83,Dataset!$V:$V,0),MATCH(Calculations!$A$1,Dataset!$A$1:$V$1,0)),"")</f>
        <v/>
      </c>
      <c r="L83" s="869" t="str">
        <f>IFERROR(INDEX(Dataset!$A:$V,MATCH(Calculations!L$22&amp;Calculations!$P83,Dataset!$V:$V,0),MATCH(Calculations!$A$1,Dataset!$A$1:$V$1,0)),"")</f>
        <v/>
      </c>
      <c r="M83" s="869"/>
      <c r="P83" t="s">
        <v>848</v>
      </c>
    </row>
    <row r="84" spans="1:16">
      <c r="A84" s="869" t="s">
        <v>849</v>
      </c>
      <c r="B84" s="869"/>
      <c r="C84" s="869" t="str">
        <f>IFERROR(INDEX(Dataset!$A:$V,MATCH(Calculations!#REF!&amp;Calculations!$P84,Dataset!$V:$V,0),MATCH(Calculations!$A$1,Dataset!$A$1:$V$1,0)),"")</f>
        <v/>
      </c>
      <c r="D84" s="869">
        <f>IFERROR(INDEX(Dataset!$A:$V,MATCH(Calculations!D$22&amp;Calculations!$P84,Dataset!$V:$V,0),MATCH(Calculations!$A$1,Dataset!$A$1:$V$1,0)),"")</f>
        <v>0</v>
      </c>
      <c r="E84" s="869">
        <f>IFERROR(INDEX(Dataset!$A:$V,MATCH(Calculations!E$22&amp;Calculations!$P84,Dataset!$V:$V,0),MATCH(Calculations!$A$1,Dataset!$A$1:$V$1,0)),"")</f>
        <v>0</v>
      </c>
      <c r="F84" s="869">
        <f>IFERROR(INDEX(Dataset!$A:$V,MATCH(Calculations!F$22&amp;Calculations!$P84,Dataset!$V:$V,0),MATCH(Calculations!$A$1,Dataset!$A$1:$V$1,0)),"")</f>
        <v>0</v>
      </c>
      <c r="G84" s="869">
        <f>IFERROR(INDEX(Dataset!$A:$V,MATCH(Calculations!G$22&amp;Calculations!$P84,Dataset!$V:$V,0),MATCH(Calculations!$A$1,Dataset!$A$1:$V$1,0)),"")</f>
        <v>0</v>
      </c>
      <c r="H84" s="869">
        <f>IFERROR(INDEX(Dataset!$A:$V,MATCH(Calculations!H$22&amp;Calculations!$P84,Dataset!$V:$V,0),MATCH(Calculations!$A$1,Dataset!$A$1:$V$1,0)),"")</f>
        <v>0</v>
      </c>
      <c r="I84" s="869">
        <f>IFERROR(INDEX(Dataset!$A:$V,MATCH(Calculations!I$22&amp;Calculations!$P84,Dataset!$V:$V,0),MATCH(Calculations!$A$1,Dataset!$A$1:$V$1,0)),"")</f>
        <v>0</v>
      </c>
      <c r="J84" s="869">
        <f>IFERROR(INDEX(Dataset!$A:$V,MATCH(Calculations!J$22&amp;Calculations!$P84,Dataset!$V:$V,0),MATCH(Calculations!$A$1,Dataset!$A$1:$V$1,0)),"")</f>
        <v>0</v>
      </c>
      <c r="K84" s="869">
        <f>IFERROR(INDEX(Dataset!$A:$V,MATCH(Calculations!K$22&amp;Calculations!$P84,Dataset!$V:$V,0),MATCH(Calculations!$A$1,Dataset!$A$1:$V$1,0)),"")</f>
        <v>0</v>
      </c>
      <c r="L84" s="869" t="str">
        <f>IFERROR(INDEX(Dataset!$A:$V,MATCH(Calculations!L$22&amp;Calculations!$P84,Dataset!$V:$V,0),MATCH(Calculations!$A$1,Dataset!$A$1:$V$1,0)),"")</f>
        <v/>
      </c>
      <c r="M84" s="869"/>
      <c r="P84" t="s">
        <v>850</v>
      </c>
    </row>
    <row r="85" spans="1:16">
      <c r="A85" s="869" t="s">
        <v>851</v>
      </c>
      <c r="B85" s="869"/>
      <c r="C85" s="869" t="str">
        <f>IFERROR(INDEX(Dataset!$A:$V,MATCH(Calculations!#REF!&amp;Calculations!$P85,Dataset!$V:$V,0),MATCH(Calculations!$A$1,Dataset!$A$1:$V$1,0)),"")</f>
        <v/>
      </c>
      <c r="D85" s="869">
        <f>IFERROR(INDEX(Dataset!$A:$V,MATCH(Calculations!D$22&amp;Calculations!$P85,Dataset!$V:$V,0),MATCH(Calculations!$A$1,Dataset!$A$1:$V$1,0)),"")</f>
        <v>0</v>
      </c>
      <c r="E85" s="869">
        <f>IFERROR(INDEX(Dataset!$A:$V,MATCH(Calculations!E$22&amp;Calculations!$P85,Dataset!$V:$V,0),MATCH(Calculations!$A$1,Dataset!$A$1:$V$1,0)),"")</f>
        <v>0</v>
      </c>
      <c r="F85" s="869">
        <f>IFERROR(INDEX(Dataset!$A:$V,MATCH(Calculations!F$22&amp;Calculations!$P85,Dataset!$V:$V,0),MATCH(Calculations!$A$1,Dataset!$A$1:$V$1,0)),"")</f>
        <v>0</v>
      </c>
      <c r="G85" s="869">
        <f>IFERROR(INDEX(Dataset!$A:$V,MATCH(Calculations!G$22&amp;Calculations!$P85,Dataset!$V:$V,0),MATCH(Calculations!$A$1,Dataset!$A$1:$V$1,0)),"")</f>
        <v>0</v>
      </c>
      <c r="H85" s="869">
        <f>IFERROR(INDEX(Dataset!$A:$V,MATCH(Calculations!H$22&amp;Calculations!$P85,Dataset!$V:$V,0),MATCH(Calculations!$A$1,Dataset!$A$1:$V$1,0)),"")</f>
        <v>0</v>
      </c>
      <c r="I85" s="869">
        <f>IFERROR(INDEX(Dataset!$A:$V,MATCH(Calculations!I$22&amp;Calculations!$P85,Dataset!$V:$V,0),MATCH(Calculations!$A$1,Dataset!$A$1:$V$1,0)),"")</f>
        <v>0</v>
      </c>
      <c r="J85" s="869">
        <f>IFERROR(INDEX(Dataset!$A:$V,MATCH(Calculations!J$22&amp;Calculations!$P85,Dataset!$V:$V,0),MATCH(Calculations!$A$1,Dataset!$A$1:$V$1,0)),"")</f>
        <v>0</v>
      </c>
      <c r="K85" s="869" t="str">
        <f>IFERROR(INDEX(Dataset!$A:$V,MATCH(Calculations!K$22&amp;Calculations!$P85,Dataset!$V:$V,0),MATCH(Calculations!$A$1,Dataset!$A$1:$V$1,0)),"")</f>
        <v/>
      </c>
      <c r="L85" s="869" t="str">
        <f>IFERROR(INDEX(Dataset!$A:$V,MATCH(Calculations!L$22&amp;Calculations!$P85,Dataset!$V:$V,0),MATCH(Calculations!$A$1,Dataset!$A$1:$V$1,0)),"")</f>
        <v/>
      </c>
      <c r="M85" s="869"/>
      <c r="P85" t="s">
        <v>852</v>
      </c>
    </row>
    <row r="86" spans="1:16">
      <c r="A86" s="869" t="s">
        <v>853</v>
      </c>
      <c r="B86" s="869"/>
      <c r="C86" s="869" t="str">
        <f>IFERROR(INDEX(Dataset!$A:$V,MATCH(Calculations!#REF!&amp;Calculations!$P86,Dataset!$V:$V,0),MATCH(Calculations!$A$1,Dataset!$A$1:$V$1,0)),"")</f>
        <v/>
      </c>
      <c r="D86" s="869">
        <f>IFERROR(INDEX(Dataset!$A:$V,MATCH(Calculations!D$22&amp;Calculations!$P86,Dataset!$V:$V,0),MATCH(Calculations!$A$1,Dataset!$A$1:$V$1,0)),"")</f>
        <v>10.406321738142125</v>
      </c>
      <c r="E86" s="869">
        <f>IFERROR(INDEX(Dataset!$A:$V,MATCH(Calculations!E$22&amp;Calculations!$P86,Dataset!$V:$V,0),MATCH(Calculations!$A$1,Dataset!$A$1:$V$1,0)),"")</f>
        <v>10.439080019721876</v>
      </c>
      <c r="F86" s="869">
        <f>IFERROR(INDEX(Dataset!$A:$V,MATCH(Calculations!F$22&amp;Calculations!$P86,Dataset!$V:$V,0),MATCH(Calculations!$A$1,Dataset!$A$1:$V$1,0)),"")</f>
        <v>10.446895700787653</v>
      </c>
      <c r="G86" s="869">
        <f>IFERROR(INDEX(Dataset!$A:$V,MATCH(Calculations!G$22&amp;Calculations!$P86,Dataset!$V:$V,0),MATCH(Calculations!$A$1,Dataset!$A$1:$V$1,0)),"")</f>
        <v>10.518640219415012</v>
      </c>
      <c r="H86" s="869">
        <f>IFERROR(INDEX(Dataset!$A:$V,MATCH(Calculations!H$22&amp;Calculations!$P86,Dataset!$V:$V,0),MATCH(Calculations!$A$1,Dataset!$A$1:$V$1,0)),"")</f>
        <v>10.591105369497823</v>
      </c>
      <c r="I86" s="869">
        <f>IFERROR(INDEX(Dataset!$A:$V,MATCH(Calculations!I$22&amp;Calculations!$P86,Dataset!$V:$V,0),MATCH(Calculations!$A$1,Dataset!$A$1:$V$1,0)),"")</f>
        <v>10.664811603256121</v>
      </c>
      <c r="J86" s="869">
        <f>IFERROR(INDEX(Dataset!$A:$V,MATCH(Calculations!J$22&amp;Calculations!$P86,Dataset!$V:$V,0),MATCH(Calculations!$A$1,Dataset!$A$1:$V$1,0)),"")</f>
        <v>10.736003540222338</v>
      </c>
      <c r="K86" s="869">
        <f>IFERROR(INDEX(Dataset!$A:$V,MATCH(Calculations!K$22&amp;Calculations!$P86,Dataset!$V:$V,0),MATCH(Calculations!$A$1,Dataset!$A$1:$V$1,0)),"")</f>
        <v>10.812173198238026</v>
      </c>
      <c r="L86" s="869" t="str">
        <f>IFERROR(INDEX(Dataset!$A:$V,MATCH(Calculations!L$22&amp;Calculations!$P86,Dataset!$V:$V,0),MATCH(Calculations!$A$1,Dataset!$A$1:$V$1,0)),"")</f>
        <v/>
      </c>
      <c r="M86" s="869"/>
      <c r="P86" t="s">
        <v>854</v>
      </c>
    </row>
    <row r="87" spans="1:16">
      <c r="A87" s="869" t="s">
        <v>855</v>
      </c>
      <c r="B87" s="869"/>
      <c r="C87" s="869" t="str">
        <f>IFERROR(INDEX(Dataset!$A:$V,MATCH(Calculations!#REF!&amp;Calculations!$P87,Dataset!$V:$V,0),MATCH(Calculations!$A$1,Dataset!$A$1:$V$1,0)),"")</f>
        <v/>
      </c>
      <c r="D87" s="869">
        <f>IFERROR(INDEX(Dataset!$A:$V,MATCH(Calculations!D$22&amp;Calculations!$P87,Dataset!$V:$V,0),MATCH(Calculations!$A$1,Dataset!$A$1:$V$1,0)),"")</f>
        <v>18.029036614463077</v>
      </c>
      <c r="E87" s="869">
        <f>IFERROR(INDEX(Dataset!$A:$V,MATCH(Calculations!E$22&amp;Calculations!$P87,Dataset!$V:$V,0),MATCH(Calculations!$A$1,Dataset!$A$1:$V$1,0)),"")</f>
        <v>21.643160004830332</v>
      </c>
      <c r="F87" s="869">
        <f>IFERROR(INDEX(Dataset!$A:$V,MATCH(Calculations!F$22&amp;Calculations!$P87,Dataset!$V:$V,0),MATCH(Calculations!$A$1,Dataset!$A$1:$V$1,0)),"")</f>
        <v>18.851166535713766</v>
      </c>
      <c r="G87" s="869">
        <f>IFERROR(INDEX(Dataset!$A:$V,MATCH(Calculations!G$22&amp;Calculations!$P87,Dataset!$V:$V,0),MATCH(Calculations!$A$1,Dataset!$A$1:$V$1,0)),"")</f>
        <v>15.917704032360541</v>
      </c>
      <c r="H87" s="869">
        <f>IFERROR(INDEX(Dataset!$A:$V,MATCH(Calculations!H$22&amp;Calculations!$P87,Dataset!$V:$V,0),MATCH(Calculations!$A$1,Dataset!$A$1:$V$1,0)),"")</f>
        <v>14.011863061773592</v>
      </c>
      <c r="I87" s="869">
        <f>IFERROR(INDEX(Dataset!$A:$V,MATCH(Calculations!I$22&amp;Calculations!$P87,Dataset!$V:$V,0),MATCH(Calculations!$A$1,Dataset!$A$1:$V$1,0)),"")</f>
        <v>14.337932840869307</v>
      </c>
      <c r="J87" s="869">
        <f>IFERROR(INDEX(Dataset!$A:$V,MATCH(Calculations!J$22&amp;Calculations!$P87,Dataset!$V:$V,0),MATCH(Calculations!$A$1,Dataset!$A$1:$V$1,0)),"")</f>
        <v>13.915299999999998</v>
      </c>
      <c r="K87" s="869" t="str">
        <f>IFERROR(INDEX(Dataset!$A:$V,MATCH(Calculations!K$22&amp;Calculations!$P87,Dataset!$V:$V,0),MATCH(Calculations!$A$1,Dataset!$A$1:$V$1,0)),"")</f>
        <v/>
      </c>
      <c r="L87" s="869" t="str">
        <f>IFERROR(INDEX(Dataset!$A:$V,MATCH(Calculations!L$22&amp;Calculations!$P87,Dataset!$V:$V,0),MATCH(Calculations!$A$1,Dataset!$A$1:$V$1,0)),"")</f>
        <v/>
      </c>
      <c r="M87" s="869"/>
      <c r="P87" t="s">
        <v>856</v>
      </c>
    </row>
    <row r="88" spans="1:16">
      <c r="A88" s="869" t="s">
        <v>58</v>
      </c>
      <c r="B88" s="869"/>
      <c r="C88" s="869" t="str">
        <f>IFERROR(INDEX(Dataset!$A:$V,MATCH(Calculations!#REF!&amp;Calculations!$P88,Dataset!$V:$V,0),MATCH(Calculations!$A$1,Dataset!$A$1:$V$1,0)),"")</f>
        <v/>
      </c>
      <c r="D88" s="869">
        <f>IFERROR(INDEX(Dataset!$A:$V,MATCH(Calculations!D$22&amp;Calculations!$P88,Dataset!$V:$V,0),MATCH(Calculations!$A$1,Dataset!$A$1:$V$1,0)),"")</f>
        <v>10.737356728572536</v>
      </c>
      <c r="E88" s="869">
        <f>IFERROR(INDEX(Dataset!$A:$V,MATCH(Calculations!E$22&amp;Calculations!$P88,Dataset!$V:$V,0),MATCH(Calculations!$A$1,Dataset!$A$1:$V$1,0)),"")</f>
        <v>11.137365083051215</v>
      </c>
      <c r="F88" s="869">
        <f>IFERROR(INDEX(Dataset!$A:$V,MATCH(Calculations!F$22&amp;Calculations!$P88,Dataset!$V:$V,0),MATCH(Calculations!$A$1,Dataset!$A$1:$V$1,0)),"")</f>
        <v>11.616774598363856</v>
      </c>
      <c r="G88" s="869">
        <f>IFERROR(INDEX(Dataset!$A:$V,MATCH(Calculations!G$22&amp;Calculations!$P88,Dataset!$V:$V,0),MATCH(Calculations!$A$1,Dataset!$A$1:$V$1,0)),"")</f>
        <v>11.679174464371084</v>
      </c>
      <c r="H88" s="869">
        <f>IFERROR(INDEX(Dataset!$A:$V,MATCH(Calculations!H$22&amp;Calculations!$P88,Dataset!$V:$V,0),MATCH(Calculations!$A$1,Dataset!$A$1:$V$1,0)),"")</f>
        <v>11.539341297625187</v>
      </c>
      <c r="I88" s="869">
        <f>IFERROR(INDEX(Dataset!$A:$V,MATCH(Calculations!I$22&amp;Calculations!$P88,Dataset!$V:$V,0),MATCH(Calculations!$A$1,Dataset!$A$1:$V$1,0)),"")</f>
        <v>11.608308861467959</v>
      </c>
      <c r="J88" s="869">
        <f>IFERROR(INDEX(Dataset!$A:$V,MATCH(Calculations!J$22&amp;Calculations!$P88,Dataset!$V:$V,0),MATCH(Calculations!$A$1,Dataset!$A$1:$V$1,0)),"")</f>
        <v>11.323073301998306</v>
      </c>
      <c r="K88" s="869">
        <f>IFERROR(INDEX(Dataset!$A:$V,MATCH(Calculations!K$22&amp;Calculations!$P88,Dataset!$V:$V,0),MATCH(Calculations!$A$1,Dataset!$A$1:$V$1,0)),"")</f>
        <v>11.095232614060071</v>
      </c>
      <c r="L88" s="869" t="str">
        <f>IFERROR(INDEX(Dataset!$A:$V,MATCH(Calculations!L$22&amp;Calculations!$P88,Dataset!$V:$V,0),MATCH(Calculations!$A$1,Dataset!$A$1:$V$1,0)),"")</f>
        <v/>
      </c>
      <c r="M88" s="869"/>
      <c r="P88" t="s">
        <v>857</v>
      </c>
    </row>
    <row r="89" spans="1:16">
      <c r="A89" s="869" t="s">
        <v>60</v>
      </c>
      <c r="B89" s="869"/>
      <c r="C89" s="869" t="str">
        <f>IFERROR(INDEX(Dataset!$A:$V,MATCH(Calculations!#REF!&amp;Calculations!$P89,Dataset!$V:$V,0),MATCH(Calculations!$A$1,Dataset!$A$1:$V$1,0)),"")</f>
        <v/>
      </c>
      <c r="D89" s="869">
        <f>IFERROR(INDEX(Dataset!$A:$V,MATCH(Calculations!D$22&amp;Calculations!$P89,Dataset!$V:$V,0),MATCH(Calculations!$A$1,Dataset!$A$1:$V$1,0)),"")</f>
        <v>18.829980643942751</v>
      </c>
      <c r="E89" s="869">
        <f>IFERROR(INDEX(Dataset!$A:$V,MATCH(Calculations!E$22&amp;Calculations!$P89,Dataset!$V:$V,0),MATCH(Calculations!$A$1,Dataset!$A$1:$V$1,0)),"")</f>
        <v>23.260291078975968</v>
      </c>
      <c r="F89" s="869">
        <f>IFERROR(INDEX(Dataset!$A:$V,MATCH(Calculations!F$22&amp;Calculations!$P89,Dataset!$V:$V,0),MATCH(Calculations!$A$1,Dataset!$A$1:$V$1,0)),"")</f>
        <v>20.129265440074498</v>
      </c>
      <c r="G89" s="869">
        <f>IFERROR(INDEX(Dataset!$A:$V,MATCH(Calculations!G$22&amp;Calculations!$P89,Dataset!$V:$V,0),MATCH(Calculations!$A$1,Dataset!$A$1:$V$1,0)),"")</f>
        <v>17.111229801488133</v>
      </c>
      <c r="H89" s="869">
        <f>IFERROR(INDEX(Dataset!$A:$V,MATCH(Calculations!H$22&amp;Calculations!$P89,Dataset!$V:$V,0),MATCH(Calculations!$A$1,Dataset!$A$1:$V$1,0)),"")</f>
        <v>14.532169101506323</v>
      </c>
      <c r="I89" s="869">
        <f>IFERROR(INDEX(Dataset!$A:$V,MATCH(Calculations!I$22&amp;Calculations!$P89,Dataset!$V:$V,0),MATCH(Calculations!$A$1,Dataset!$A$1:$V$1,0)),"")</f>
        <v>14.338990600577228</v>
      </c>
      <c r="J89" s="869">
        <f>IFERROR(INDEX(Dataset!$A:$V,MATCH(Calculations!J$22&amp;Calculations!$P89,Dataset!$V:$V,0),MATCH(Calculations!$A$1,Dataset!$A$1:$V$1,0)),"")</f>
        <v>14.0741</v>
      </c>
      <c r="K89" s="869" t="str">
        <f>IFERROR(INDEX(Dataset!$A:$V,MATCH(Calculations!K$22&amp;Calculations!$P89,Dataset!$V:$V,0),MATCH(Calculations!$A$1,Dataset!$A$1:$V$1,0)),"")</f>
        <v/>
      </c>
      <c r="L89" s="869" t="str">
        <f>IFERROR(INDEX(Dataset!$A:$V,MATCH(Calculations!L$22&amp;Calculations!$P89,Dataset!$V:$V,0),MATCH(Calculations!$A$1,Dataset!$A$1:$V$1,0)),"")</f>
        <v/>
      </c>
      <c r="M89" s="869"/>
      <c r="P89" t="s">
        <v>858</v>
      </c>
    </row>
    <row r="91" spans="1:16">
      <c r="A91" s="828" t="s">
        <v>859</v>
      </c>
    </row>
    <row r="92" spans="1:16">
      <c r="A92" s="869" t="s">
        <v>860</v>
      </c>
      <c r="B92" s="869"/>
      <c r="C92" s="869" t="str">
        <f>IFERROR(INDEX(Dataset!$A:$V,MATCH(Calculations!#REF!&amp;Calculations!$P92,Dataset!$V:$V,0),MATCH(Calculations!$A$1,Dataset!$A$1:$V$1,0)),"")</f>
        <v/>
      </c>
      <c r="D92" s="869" t="str">
        <f>IFERROR(INDEX(Dataset!$A:$V,MATCH(Calculations!D$22&amp;Calculations!$P92,Dataset!$V:$V,0),MATCH(Calculations!$A$1,Dataset!$A$1:$V$1,0)),"")</f>
        <v/>
      </c>
      <c r="E92" s="869" t="str">
        <f>IFERROR(INDEX(Dataset!$A:$V,MATCH(Calculations!E$22&amp;Calculations!$P92,Dataset!$V:$V,0),MATCH(Calculations!$A$1,Dataset!$A$1:$V$1,0)),"")</f>
        <v/>
      </c>
      <c r="F92" s="869" t="str">
        <f>IFERROR(INDEX(Dataset!$A:$V,MATCH(Calculations!F$22&amp;Calculations!$P92,Dataset!$V:$V,0),MATCH(Calculations!$A$1,Dataset!$A$1:$V$1,0)),"")</f>
        <v/>
      </c>
      <c r="G92" s="869" t="str">
        <f>IFERROR(INDEX(Dataset!$A:$V,MATCH(Calculations!G$22&amp;Calculations!$P92,Dataset!$V:$V,0),MATCH(Calculations!$A$1,Dataset!$A$1:$V$1,0)),"")</f>
        <v/>
      </c>
      <c r="H92" s="869" t="str">
        <f>IFERROR(INDEX(Dataset!$A:$V,MATCH(Calculations!H$22&amp;Calculations!$P92,Dataset!$V:$V,0),MATCH(Calculations!$A$1,Dataset!$A$1:$V$1,0)),"")</f>
        <v/>
      </c>
      <c r="I92" s="869" t="str">
        <f>IFERROR(INDEX(Dataset!$A:$V,MATCH(Calculations!I$22&amp;Calculations!$P92,Dataset!$V:$V,0),MATCH(Calculations!$A$1,Dataset!$A$1:$V$1,0)),"")</f>
        <v/>
      </c>
      <c r="J92" s="869">
        <f>IFERROR(INDEX(Dataset!$A:$V,MATCH(Calculations!J$22&amp;Calculations!$P92,Dataset!$V:$V,0),MATCH(Calculations!$A$1,Dataset!$A$1:$V$1,0)),"")</f>
        <v>40210986.96654059</v>
      </c>
      <c r="K92" s="869" t="str">
        <f>IFERROR(INDEX(Dataset!$A:$V,MATCH(Calculations!K$22&amp;Calculations!$P92,Dataset!$V:$V,0),MATCH(Calculations!$A$1,Dataset!$A$1:$V$1,0)),"")</f>
        <v/>
      </c>
      <c r="L92" s="869" t="str">
        <f>IFERROR(INDEX(Dataset!$A:$V,MATCH(Calculations!L$22&amp;Calculations!$P92,Dataset!$V:$V,0),MATCH(Calculations!$A$1,Dataset!$A$1:$V$1,0)),"")</f>
        <v/>
      </c>
      <c r="M92" s="869"/>
      <c r="P92" t="s">
        <v>861</v>
      </c>
    </row>
    <row r="93" spans="1:16">
      <c r="A93" s="869" t="s">
        <v>862</v>
      </c>
      <c r="B93" s="869"/>
      <c r="C93" s="869" t="str">
        <f>IFERROR(INDEX(Dataset!$A:$V,MATCH(Calculations!#REF!&amp;Calculations!$P93,Dataset!$V:$V,0),MATCH(Calculations!$A$1,Dataset!$A$1:$V$1,0)),"")</f>
        <v/>
      </c>
      <c r="D93" s="869" t="str">
        <f>IFERROR(INDEX(Dataset!$A:$V,MATCH(Calculations!D$22&amp;Calculations!$P93,Dataset!$V:$V,0),MATCH(Calculations!$A$1,Dataset!$A$1:$V$1,0)),"")</f>
        <v/>
      </c>
      <c r="E93" s="869" t="str">
        <f>IFERROR(INDEX(Dataset!$A:$V,MATCH(Calculations!E$22&amp;Calculations!$P93,Dataset!$V:$V,0),MATCH(Calculations!$A$1,Dataset!$A$1:$V$1,0)),"")</f>
        <v/>
      </c>
      <c r="F93" s="869" t="str">
        <f>IFERROR(INDEX(Dataset!$A:$V,MATCH(Calculations!F$22&amp;Calculations!$P93,Dataset!$V:$V,0),MATCH(Calculations!$A$1,Dataset!$A$1:$V$1,0)),"")</f>
        <v/>
      </c>
      <c r="G93" s="869" t="str">
        <f>IFERROR(INDEX(Dataset!$A:$V,MATCH(Calculations!G$22&amp;Calculations!$P93,Dataset!$V:$V,0),MATCH(Calculations!$A$1,Dataset!$A$1:$V$1,0)),"")</f>
        <v/>
      </c>
      <c r="H93" s="869" t="str">
        <f>IFERROR(INDEX(Dataset!$A:$V,MATCH(Calculations!H$22&amp;Calculations!$P93,Dataset!$V:$V,0),MATCH(Calculations!$A$1,Dataset!$A$1:$V$1,0)),"")</f>
        <v/>
      </c>
      <c r="I93" s="869" t="str">
        <f>IFERROR(INDEX(Dataset!$A:$V,MATCH(Calculations!I$22&amp;Calculations!$P93,Dataset!$V:$V,0),MATCH(Calculations!$A$1,Dataset!$A$1:$V$1,0)),"")</f>
        <v/>
      </c>
      <c r="J93" s="869">
        <f>IFERROR(INDEX(Dataset!$A:$V,MATCH(Calculations!J$22&amp;Calculations!$P93,Dataset!$V:$V,0),MATCH(Calculations!$A$1,Dataset!$A$1:$V$1,0)),"")</f>
        <v>52621580.08995156</v>
      </c>
      <c r="K93" s="869" t="str">
        <f>IFERROR(INDEX(Dataset!$A:$V,MATCH(Calculations!K$22&amp;Calculations!$P93,Dataset!$V:$V,0),MATCH(Calculations!$A$1,Dataset!$A$1:$V$1,0)),"")</f>
        <v/>
      </c>
      <c r="L93" s="869" t="str">
        <f>IFERROR(INDEX(Dataset!$A:$V,MATCH(Calculations!L$22&amp;Calculations!$P93,Dataset!$V:$V,0),MATCH(Calculations!$A$1,Dataset!$A$1:$V$1,0)),"")</f>
        <v/>
      </c>
      <c r="M93" s="869"/>
      <c r="P93" t="s">
        <v>863</v>
      </c>
    </row>
    <row r="94" spans="1:16">
      <c r="A94" s="869" t="s">
        <v>864</v>
      </c>
      <c r="B94" s="869"/>
      <c r="C94" s="869" t="str">
        <f>IFERROR(INDEX(Dataset!$A:$V,MATCH(Calculations!#REF!&amp;Calculations!$P94,Dataset!$V:$V,0),MATCH(Calculations!$A$1,Dataset!$A$1:$V$1,0)),"")</f>
        <v/>
      </c>
      <c r="D94" s="869" t="str">
        <f>IFERROR(INDEX(Dataset!$A:$V,MATCH(Calculations!D$22&amp;Calculations!$P94,Dataset!$V:$V,0),MATCH(Calculations!$A$1,Dataset!$A$1:$V$1,0)),"")</f>
        <v/>
      </c>
      <c r="E94" s="869" t="str">
        <f>IFERROR(INDEX(Dataset!$A:$V,MATCH(Calculations!E$22&amp;Calculations!$P94,Dataset!$V:$V,0),MATCH(Calculations!$A$1,Dataset!$A$1:$V$1,0)),"")</f>
        <v/>
      </c>
      <c r="F94" s="869" t="str">
        <f>IFERROR(INDEX(Dataset!$A:$V,MATCH(Calculations!F$22&amp;Calculations!$P94,Dataset!$V:$V,0),MATCH(Calculations!$A$1,Dataset!$A$1:$V$1,0)),"")</f>
        <v/>
      </c>
      <c r="G94" s="869" t="str">
        <f>IFERROR(INDEX(Dataset!$A:$V,MATCH(Calculations!G$22&amp;Calculations!$P94,Dataset!$V:$V,0),MATCH(Calculations!$A$1,Dataset!$A$1:$V$1,0)),"")</f>
        <v/>
      </c>
      <c r="H94" s="869" t="str">
        <f>IFERROR(INDEX(Dataset!$A:$V,MATCH(Calculations!H$22&amp;Calculations!$P94,Dataset!$V:$V,0),MATCH(Calculations!$A$1,Dataset!$A$1:$V$1,0)),"")</f>
        <v/>
      </c>
      <c r="I94" s="869" t="str">
        <f>IFERROR(INDEX(Dataset!$A:$V,MATCH(Calculations!I$22&amp;Calculations!$P94,Dataset!$V:$V,0),MATCH(Calculations!$A$1,Dataset!$A$1:$V$1,0)),"")</f>
        <v/>
      </c>
      <c r="J94" s="869">
        <f>IFERROR(INDEX(Dataset!$A:$V,MATCH(Calculations!J$22&amp;Calculations!$P94,Dataset!$V:$V,0),MATCH(Calculations!$A$1,Dataset!$A$1:$V$1,0)),"")</f>
        <v>35393380.373779505</v>
      </c>
      <c r="K94" s="869" t="str">
        <f>IFERROR(INDEX(Dataset!$A:$V,MATCH(Calculations!K$22&amp;Calculations!$P94,Dataset!$V:$V,0),MATCH(Calculations!$A$1,Dataset!$A$1:$V$1,0)),"")</f>
        <v/>
      </c>
      <c r="L94" s="869" t="str">
        <f>IFERROR(INDEX(Dataset!$A:$V,MATCH(Calculations!L$22&amp;Calculations!$P94,Dataset!$V:$V,0),MATCH(Calculations!$A$1,Dataset!$A$1:$V$1,0)),"")</f>
        <v/>
      </c>
      <c r="M94" s="869"/>
      <c r="P94" t="s">
        <v>865</v>
      </c>
    </row>
    <row r="95" spans="1:16">
      <c r="A95" s="869" t="s">
        <v>866</v>
      </c>
      <c r="B95" s="869"/>
      <c r="C95" s="869" t="str">
        <f>IFERROR(INDEX(Dataset!$A:$V,MATCH(Calculations!#REF!&amp;Calculations!$P95,Dataset!$V:$V,0),MATCH(Calculations!$A$1,Dataset!$A$1:$V$1,0)),"")</f>
        <v/>
      </c>
      <c r="D95" s="869" t="str">
        <f>IFERROR(INDEX(Dataset!$A:$V,MATCH(Calculations!D$22&amp;Calculations!$P95,Dataset!$V:$V,0),MATCH(Calculations!$A$1,Dataset!$A$1:$V$1,0)),"")</f>
        <v/>
      </c>
      <c r="E95" s="869" t="str">
        <f>IFERROR(INDEX(Dataset!$A:$V,MATCH(Calculations!E$22&amp;Calculations!$P95,Dataset!$V:$V,0),MATCH(Calculations!$A$1,Dataset!$A$1:$V$1,0)),"")</f>
        <v/>
      </c>
      <c r="F95" s="869" t="str">
        <f>IFERROR(INDEX(Dataset!$A:$V,MATCH(Calculations!F$22&amp;Calculations!$P95,Dataset!$V:$V,0),MATCH(Calculations!$A$1,Dataset!$A$1:$V$1,0)),"")</f>
        <v/>
      </c>
      <c r="G95" s="869" t="str">
        <f>IFERROR(INDEX(Dataset!$A:$V,MATCH(Calculations!G$22&amp;Calculations!$P95,Dataset!$V:$V,0),MATCH(Calculations!$A$1,Dataset!$A$1:$V$1,0)),"")</f>
        <v/>
      </c>
      <c r="H95" s="869" t="str">
        <f>IFERROR(INDEX(Dataset!$A:$V,MATCH(Calculations!H$22&amp;Calculations!$P95,Dataset!$V:$V,0),MATCH(Calculations!$A$1,Dataset!$A$1:$V$1,0)),"")</f>
        <v/>
      </c>
      <c r="I95" s="869" t="str">
        <f>IFERROR(INDEX(Dataset!$A:$V,MATCH(Calculations!I$22&amp;Calculations!$P95,Dataset!$V:$V,0),MATCH(Calculations!$A$1,Dataset!$A$1:$V$1,0)),"")</f>
        <v/>
      </c>
      <c r="J95" s="869">
        <f>IFERROR(INDEX(Dataset!$A:$V,MATCH(Calculations!J$22&amp;Calculations!$P95,Dataset!$V:$V,0),MATCH(Calculations!$A$1,Dataset!$A$1:$V$1,0)),"")</f>
        <v>17228199.716172047</v>
      </c>
      <c r="K95" s="869" t="str">
        <f>IFERROR(INDEX(Dataset!$A:$V,MATCH(Calculations!K$22&amp;Calculations!$P95,Dataset!$V:$V,0),MATCH(Calculations!$A$1,Dataset!$A$1:$V$1,0)),"")</f>
        <v/>
      </c>
      <c r="L95" s="869" t="str">
        <f>IFERROR(INDEX(Dataset!$A:$V,MATCH(Calculations!L$22&amp;Calculations!$P95,Dataset!$V:$V,0),MATCH(Calculations!$A$1,Dataset!$A$1:$V$1,0)),"")</f>
        <v/>
      </c>
      <c r="M95" s="869"/>
      <c r="P95" t="s">
        <v>867</v>
      </c>
    </row>
    <row r="96" spans="1:16">
      <c r="A96" s="869" t="s">
        <v>306</v>
      </c>
      <c r="B96" s="869"/>
      <c r="C96" s="869" t="str">
        <f>IFERROR(INDEX(Dataset!$A:$V,MATCH(Calculations!#REF!&amp;Calculations!$P96,Dataset!$V:$V,0),MATCH(Calculations!$A$1,Dataset!$A$1:$V$1,0)),"")</f>
        <v/>
      </c>
      <c r="D96" s="869" t="str">
        <f>IFERROR(INDEX(Dataset!$A:$V,MATCH(Calculations!D$22&amp;Calculations!$P96,Dataset!$V:$V,0),MATCH(Calculations!$A$1,Dataset!$A$1:$V$1,0)),"")</f>
        <v/>
      </c>
      <c r="E96" s="869" t="str">
        <f>IFERROR(INDEX(Dataset!$A:$V,MATCH(Calculations!E$22&amp;Calculations!$P96,Dataset!$V:$V,0),MATCH(Calculations!$A$1,Dataset!$A$1:$V$1,0)),"")</f>
        <v/>
      </c>
      <c r="F96" s="869" t="str">
        <f>IFERROR(INDEX(Dataset!$A:$V,MATCH(Calculations!F$22&amp;Calculations!$P96,Dataset!$V:$V,0),MATCH(Calculations!$A$1,Dataset!$A$1:$V$1,0)),"")</f>
        <v/>
      </c>
      <c r="G96" s="869" t="str">
        <f>IFERROR(INDEX(Dataset!$A:$V,MATCH(Calculations!G$22&amp;Calculations!$P96,Dataset!$V:$V,0),MATCH(Calculations!$A$1,Dataset!$A$1:$V$1,0)),"")</f>
        <v/>
      </c>
      <c r="H96" s="869" t="str">
        <f>IFERROR(INDEX(Dataset!$A:$V,MATCH(Calculations!H$22&amp;Calculations!$P96,Dataset!$V:$V,0),MATCH(Calculations!$A$1,Dataset!$A$1:$V$1,0)),"")</f>
        <v/>
      </c>
      <c r="I96" s="869" t="str">
        <f>IFERROR(INDEX(Dataset!$A:$V,MATCH(Calculations!I$22&amp;Calculations!$P96,Dataset!$V:$V,0),MATCH(Calculations!$A$1,Dataset!$A$1:$V$1,0)),"")</f>
        <v/>
      </c>
      <c r="J96" s="869">
        <f>IFERROR(INDEX(Dataset!$A:$V,MATCH(Calculations!J$22&amp;Calculations!$P96,Dataset!$V:$V,0),MATCH(Calculations!$A$1,Dataset!$A$1:$V$1,0)),"")</f>
        <v>12410593.12341097</v>
      </c>
      <c r="K96" s="869" t="str">
        <f>IFERROR(INDEX(Dataset!$A:$V,MATCH(Calculations!K$22&amp;Calculations!$P96,Dataset!$V:$V,0),MATCH(Calculations!$A$1,Dataset!$A$1:$V$1,0)),"")</f>
        <v/>
      </c>
      <c r="L96" s="869" t="str">
        <f>IFERROR(INDEX(Dataset!$A:$V,MATCH(Calculations!L$22&amp;Calculations!$P96,Dataset!$V:$V,0),MATCH(Calculations!$A$1,Dataset!$A$1:$V$1,0)),"")</f>
        <v/>
      </c>
      <c r="M96" s="869"/>
      <c r="P96" t="s">
        <v>868</v>
      </c>
    </row>
    <row r="97" spans="1:16">
      <c r="A97" s="869" t="s">
        <v>869</v>
      </c>
      <c r="B97" s="869"/>
      <c r="C97" s="869" t="str">
        <f>IFERROR(INDEX(Dataset!$A:$V,MATCH(Calculations!#REF!&amp;Calculations!$P97,Dataset!$V:$V,0),MATCH(Calculations!$A$1,Dataset!$A$1:$V$1,0)),"")</f>
        <v/>
      </c>
      <c r="D97" s="869" t="str">
        <f>IFERROR(INDEX(Dataset!$A:$V,MATCH(Calculations!D$22&amp;Calculations!$P97,Dataset!$V:$V,0),MATCH(Calculations!$A$1,Dataset!$A$1:$V$1,0)),"")</f>
        <v/>
      </c>
      <c r="E97" s="869" t="str">
        <f>IFERROR(INDEX(Dataset!$A:$V,MATCH(Calculations!E$22&amp;Calculations!$P97,Dataset!$V:$V,0),MATCH(Calculations!$A$1,Dataset!$A$1:$V$1,0)),"")</f>
        <v/>
      </c>
      <c r="F97" s="869" t="str">
        <f>IFERROR(INDEX(Dataset!$A:$V,MATCH(Calculations!F$22&amp;Calculations!$P97,Dataset!$V:$V,0),MATCH(Calculations!$A$1,Dataset!$A$1:$V$1,0)),"")</f>
        <v/>
      </c>
      <c r="G97" s="869" t="str">
        <f>IFERROR(INDEX(Dataset!$A:$V,MATCH(Calculations!G$22&amp;Calculations!$P97,Dataset!$V:$V,0),MATCH(Calculations!$A$1,Dataset!$A$1:$V$1,0)),"")</f>
        <v/>
      </c>
      <c r="H97" s="869" t="str">
        <f>IFERROR(INDEX(Dataset!$A:$V,MATCH(Calculations!H$22&amp;Calculations!$P97,Dataset!$V:$V,0),MATCH(Calculations!$A$1,Dataset!$A$1:$V$1,0)),"")</f>
        <v/>
      </c>
      <c r="I97" s="869" t="str">
        <f>IFERROR(INDEX(Dataset!$A:$V,MATCH(Calculations!I$22&amp;Calculations!$P97,Dataset!$V:$V,0),MATCH(Calculations!$A$1,Dataset!$A$1:$V$1,0)),"")</f>
        <v/>
      </c>
      <c r="J97" s="869">
        <f>IFERROR(INDEX(Dataset!$A:$V,MATCH(Calculations!J$22&amp;Calculations!$P97,Dataset!$V:$V,0),MATCH(Calculations!$A$1,Dataset!$A$1:$V$1,0)),"")</f>
        <v>19779941.64751476</v>
      </c>
      <c r="K97" s="869" t="str">
        <f>IFERROR(INDEX(Dataset!$A:$V,MATCH(Calculations!K$22&amp;Calculations!$P97,Dataset!$V:$V,0),MATCH(Calculations!$A$1,Dataset!$A$1:$V$1,0)),"")</f>
        <v/>
      </c>
      <c r="L97" s="869" t="str">
        <f>IFERROR(INDEX(Dataset!$A:$V,MATCH(Calculations!L$22&amp;Calculations!$P97,Dataset!$V:$V,0),MATCH(Calculations!$A$1,Dataset!$A$1:$V$1,0)),"")</f>
        <v/>
      </c>
      <c r="M97" s="869"/>
      <c r="P97" t="s">
        <v>870</v>
      </c>
    </row>
    <row r="98" spans="1:16">
      <c r="A98" s="869" t="s">
        <v>871</v>
      </c>
      <c r="B98" s="869"/>
      <c r="C98" s="869" t="str">
        <f>IFERROR(INDEX(Dataset!$A:$V,MATCH(Calculations!#REF!&amp;Calculations!$P98,Dataset!$V:$V,0),MATCH(Calculations!$A$1,Dataset!$A$1:$V$1,0)),"")</f>
        <v/>
      </c>
      <c r="D98" s="871" t="str">
        <f>IFERROR(INDEX(Dataset!$A:$V,MATCH(Calculations!D$22&amp;Calculations!$P98,Dataset!$V:$V,0),MATCH(Calculations!$A$1,Dataset!$A$1:$V$1,0)),"")</f>
        <v/>
      </c>
      <c r="E98" s="871" t="str">
        <f>IFERROR(INDEX(Dataset!$A:$V,MATCH(Calculations!E$22&amp;Calculations!$P98,Dataset!$V:$V,0),MATCH(Calculations!$A$1,Dataset!$A$1:$V$1,0)),"")</f>
        <v/>
      </c>
      <c r="F98" s="871" t="str">
        <f>IFERROR(INDEX(Dataset!$A:$V,MATCH(Calculations!F$22&amp;Calculations!$P98,Dataset!$V:$V,0),MATCH(Calculations!$A$1,Dataset!$A$1:$V$1,0)),"")</f>
        <v/>
      </c>
      <c r="G98" s="871" t="str">
        <f>IFERROR(INDEX(Dataset!$A:$V,MATCH(Calculations!G$22&amp;Calculations!$P98,Dataset!$V:$V,0),MATCH(Calculations!$A$1,Dataset!$A$1:$V$1,0)),"")</f>
        <v/>
      </c>
      <c r="H98" s="871" t="str">
        <f>IFERROR(INDEX(Dataset!$A:$V,MATCH(Calculations!H$22&amp;Calculations!$P98,Dataset!$V:$V,0),MATCH(Calculations!$A$1,Dataset!$A$1:$V$1,0)),"")</f>
        <v/>
      </c>
      <c r="I98" s="871" t="str">
        <f>IFERROR(INDEX(Dataset!$A:$V,MATCH(Calculations!I$22&amp;Calculations!$P98,Dataset!$V:$V,0),MATCH(Calculations!$A$1,Dataset!$A$1:$V$1,0)),"")</f>
        <v/>
      </c>
      <c r="J98" s="871">
        <f>IFERROR(INDEX(Dataset!$A:$V,MATCH(Calculations!J$22&amp;Calculations!$P98,Dataset!$V:$V,0),MATCH(Calculations!$A$1,Dataset!$A$1:$V$1,0)),"")</f>
        <v>1.1481142529911237</v>
      </c>
      <c r="K98" s="871" t="str">
        <f>IFERROR(INDEX(Dataset!$A:$V,MATCH(Calculations!K$22&amp;Calculations!$P98,Dataset!$V:$V,0),MATCH(Calculations!$A$1,Dataset!$A$1:$V$1,0)),"")</f>
        <v/>
      </c>
      <c r="L98" s="869" t="str">
        <f>IFERROR(INDEX(Dataset!$A:$V,MATCH(Calculations!L$22&amp;Calculations!$P98,Dataset!$V:$V,0),MATCH(Calculations!$A$1,Dataset!$A$1:$V$1,0)),"")</f>
        <v/>
      </c>
      <c r="M98" s="869"/>
      <c r="P98" t="s">
        <v>872</v>
      </c>
    </row>
    <row r="100" spans="1:16">
      <c r="A100" s="828" t="s">
        <v>873</v>
      </c>
      <c r="C100" s="821"/>
      <c r="D100" s="821"/>
      <c r="E100" s="821"/>
      <c r="F100" s="821"/>
      <c r="G100" s="821"/>
      <c r="H100" s="821"/>
      <c r="I100" s="821"/>
      <c r="J100" s="821"/>
      <c r="K100" s="821"/>
      <c r="L100" s="821"/>
    </row>
    <row r="101" spans="1:16">
      <c r="A101" s="828"/>
      <c r="C101" s="870" t="s">
        <v>137</v>
      </c>
      <c r="D101" s="870" t="s">
        <v>138</v>
      </c>
      <c r="E101" s="870" t="s">
        <v>139</v>
      </c>
      <c r="F101" s="870" t="s">
        <v>140</v>
      </c>
      <c r="G101" s="870" t="s">
        <v>141</v>
      </c>
      <c r="H101" s="870" t="s">
        <v>126</v>
      </c>
      <c r="I101" s="870" t="s">
        <v>142</v>
      </c>
      <c r="J101" s="870" t="s">
        <v>143</v>
      </c>
      <c r="K101" s="821"/>
      <c r="L101" s="821"/>
    </row>
    <row r="102" spans="1:16">
      <c r="A102" s="828" t="s">
        <v>65</v>
      </c>
      <c r="C102" s="821"/>
      <c r="D102" s="821"/>
      <c r="E102" s="821"/>
      <c r="F102" s="821"/>
      <c r="G102" s="821"/>
      <c r="H102" s="821"/>
      <c r="I102" s="821"/>
      <c r="J102" s="821"/>
      <c r="K102" s="821"/>
      <c r="L102" s="821"/>
    </row>
    <row r="103" spans="1:16">
      <c r="A103" t="s">
        <v>874</v>
      </c>
      <c r="C103" s="869">
        <f>IFERROR(INDEX(Dataset!$A:$V,MATCH(Calculations!C$101&amp;Calculations!$P103,Dataset!$V:$V,0),MATCH(Calculations!$A$1,Dataset!$A$1:$V$1,0)),"")</f>
        <v>24.47506500000037</v>
      </c>
      <c r="D103" s="869">
        <f>IFERROR(INDEX(Dataset!$A:$V,MATCH(Calculations!D$101&amp;Calculations!$P103,Dataset!$V:$V,0),MATCH(Calculations!$A$1,Dataset!$A$1:$V$1,0)),"")</f>
        <v>2.3479049999999937</v>
      </c>
      <c r="E103" s="869">
        <f>IFERROR(INDEX(Dataset!$A:$V,MATCH(Calculations!E$101&amp;Calculations!$P103,Dataset!$V:$V,0),MATCH(Calculations!$A$1,Dataset!$A$1:$V$1,0)),"")</f>
        <v>2.34</v>
      </c>
      <c r="F103" s="869">
        <f>IFERROR(INDEX(Dataset!$A:$V,MATCH(Calculations!F$101&amp;Calculations!$P103,Dataset!$V:$V,0),MATCH(Calculations!$A$1,Dataset!$A$1:$V$1,0)),"")</f>
        <v>4.1900000000000004</v>
      </c>
      <c r="G103" s="869">
        <f>IFERROR(INDEX(Dataset!$A:$V,MATCH(Calculations!G$101&amp;Calculations!$P103,Dataset!$V:$V,0),MATCH(Calculations!$A$1,Dataset!$A$1:$V$1,0)),"")</f>
        <v>1.962465000000009</v>
      </c>
      <c r="H103" s="869">
        <f>IFERROR(INDEX(Dataset!$A:$V,MATCH(Calculations!H$101&amp;Calculations!$P103,Dataset!$V:$V,0),MATCH(Calculations!$A$1,Dataset!$A$1:$V$1,0)),"")</f>
        <v>4.4051319999999441</v>
      </c>
      <c r="I103" s="869">
        <f>IFERROR(INDEX(Dataset!$A:$V,MATCH(Calculations!I$101&amp;Calculations!$P103,Dataset!$V:$V,0),MATCH(Calculations!$A$1,Dataset!$A$1:$V$1,0)),"")</f>
        <v>9.8052030000002439</v>
      </c>
      <c r="J103" s="869" t="str">
        <f>IFERROR(INDEX(Dataset!$A:$V,MATCH(Calculations!J$101&amp;Calculations!$P103,Dataset!$V:$V,0),MATCH(Calculations!$A$1,Dataset!$A$1:$V$1,0)),"")</f>
        <v/>
      </c>
      <c r="K103" s="821"/>
      <c r="L103" s="821"/>
      <c r="P103" t="s">
        <v>875</v>
      </c>
    </row>
    <row r="104" spans="1:16">
      <c r="A104" t="s">
        <v>876</v>
      </c>
      <c r="C104" s="869">
        <f>IFERROR(INDEX(Dataset!$A:$V,MATCH(Calculations!C$101&amp;Calculations!$P104,Dataset!$V:$V,0),MATCH(Calculations!$A$1,Dataset!$A$1:$V$1,0)),"")</f>
        <v>1.318000000000029E-2</v>
      </c>
      <c r="D104" s="869">
        <f>IFERROR(INDEX(Dataset!$A:$V,MATCH(Calculations!D$101&amp;Calculations!$P104,Dataset!$V:$V,0),MATCH(Calculations!$A$1,Dataset!$A$1:$V$1,0)),"")</f>
        <v>1.098E-2</v>
      </c>
      <c r="E104" s="869">
        <f>IFERROR(INDEX(Dataset!$A:$V,MATCH(Calculations!E$101&amp;Calculations!$P104,Dataset!$V:$V,0),MATCH(Calculations!$A$1,Dataset!$A$1:$V$1,0)),"")</f>
        <v>0.06</v>
      </c>
      <c r="F104" s="869">
        <f>IFERROR(INDEX(Dataset!$A:$V,MATCH(Calculations!F$101&amp;Calculations!$P104,Dataset!$V:$V,0),MATCH(Calculations!$A$1,Dataset!$A$1:$V$1,0)),"")</f>
        <v>0.06</v>
      </c>
      <c r="G104" s="869">
        <f>IFERROR(INDEX(Dataset!$A:$V,MATCH(Calculations!G$101&amp;Calculations!$P104,Dataset!$V:$V,0),MATCH(Calculations!$A$1,Dataset!$A$1:$V$1,0)),"")</f>
        <v>0.1946799999999978</v>
      </c>
      <c r="H104" s="869">
        <f>IFERROR(INDEX(Dataset!$A:$V,MATCH(Calculations!H$101&amp;Calculations!$P104,Dataset!$V:$V,0),MATCH(Calculations!$A$1,Dataset!$A$1:$V$1,0)),"")</f>
        <v>0.14324000000000137</v>
      </c>
      <c r="I104" s="869">
        <f>IFERROR(INDEX(Dataset!$A:$V,MATCH(Calculations!I$101&amp;Calculations!$P104,Dataset!$V:$V,0),MATCH(Calculations!$A$1,Dataset!$A$1:$V$1,0)),"")</f>
        <v>0.45538000000002476</v>
      </c>
      <c r="J104" s="869" t="str">
        <f>IFERROR(INDEX(Dataset!$A:$V,MATCH(Calculations!J$101&amp;Calculations!$P104,Dataset!$V:$V,0),MATCH(Calculations!$A$1,Dataset!$A$1:$V$1,0)),"")</f>
        <v/>
      </c>
      <c r="K104" s="821"/>
      <c r="L104" s="821"/>
      <c r="P104" t="s">
        <v>877</v>
      </c>
    </row>
    <row r="105" spans="1:16">
      <c r="A105" t="s">
        <v>878</v>
      </c>
      <c r="C105" s="869">
        <f>IFERROR(INDEX(Dataset!$A:$V,MATCH(Calculations!C$101&amp;Calculations!$P105,Dataset!$V:$V,0),MATCH(Calculations!$A$1,Dataset!$A$1:$V$1,0)),"")</f>
        <v>131.35399999999998</v>
      </c>
      <c r="D105" s="869">
        <f>IFERROR(INDEX(Dataset!$A:$V,MATCH(Calculations!D$101&amp;Calculations!$P105,Dataset!$V:$V,0),MATCH(Calculations!$A$1,Dataset!$A$1:$V$1,0)),"")</f>
        <v>255.17699999999996</v>
      </c>
      <c r="E105" s="869">
        <f>IFERROR(INDEX(Dataset!$A:$V,MATCH(Calculations!E$101&amp;Calculations!$P105,Dataset!$V:$V,0),MATCH(Calculations!$A$1,Dataset!$A$1:$V$1,0)),"")</f>
        <v>47.131999999999998</v>
      </c>
      <c r="F105" s="869">
        <f>IFERROR(INDEX(Dataset!$A:$V,MATCH(Calculations!F$101&amp;Calculations!$P105,Dataset!$V:$V,0),MATCH(Calculations!$A$1,Dataset!$A$1:$V$1,0)),"")</f>
        <v>154.43</v>
      </c>
      <c r="G105" s="869">
        <f>IFERROR(INDEX(Dataset!$A:$V,MATCH(Calculations!G$101&amp;Calculations!$P105,Dataset!$V:$V,0),MATCH(Calculations!$A$1,Dataset!$A$1:$V$1,0)),"")</f>
        <v>59.612629999999996</v>
      </c>
      <c r="H105" s="869">
        <f>IFERROR(INDEX(Dataset!$A:$V,MATCH(Calculations!H$101&amp;Calculations!$P105,Dataset!$V:$V,0),MATCH(Calculations!$A$1,Dataset!$A$1:$V$1,0)),"")</f>
        <v>5.8557499999999996</v>
      </c>
      <c r="I105" s="869">
        <f>IFERROR(INDEX(Dataset!$A:$V,MATCH(Calculations!I$101&amp;Calculations!$P105,Dataset!$V:$V,0),MATCH(Calculations!$A$1,Dataset!$A$1:$V$1,0)),"")</f>
        <v>101.9177</v>
      </c>
      <c r="J105" s="869" t="str">
        <f>IFERROR(INDEX(Dataset!$A:$V,MATCH(Calculations!J$101&amp;Calculations!$P105,Dataset!$V:$V,0),MATCH(Calculations!$A$1,Dataset!$A$1:$V$1,0)),"")</f>
        <v/>
      </c>
      <c r="K105" s="821"/>
      <c r="L105" s="821"/>
      <c r="P105" t="s">
        <v>879</v>
      </c>
    </row>
    <row r="106" spans="1:16">
      <c r="A106" t="s">
        <v>174</v>
      </c>
      <c r="C106" s="869">
        <f t="shared" ref="C106:G106" si="0">SUM(C103:C105)</f>
        <v>155.84224500000036</v>
      </c>
      <c r="D106" s="869">
        <f t="shared" si="0"/>
        <v>257.53588499999995</v>
      </c>
      <c r="E106" s="869">
        <f t="shared" si="0"/>
        <v>49.531999999999996</v>
      </c>
      <c r="F106" s="869">
        <f t="shared" si="0"/>
        <v>158.68</v>
      </c>
      <c r="G106" s="869">
        <f t="shared" si="0"/>
        <v>61.769775000000003</v>
      </c>
      <c r="H106" s="869">
        <f>SUM(H103:H105)</f>
        <v>10.404121999999944</v>
      </c>
      <c r="I106" s="869">
        <f>SUM(I103:I105)</f>
        <v>112.17828300000026</v>
      </c>
      <c r="J106" s="869"/>
      <c r="K106" s="821"/>
      <c r="L106" s="821"/>
    </row>
    <row r="107" spans="1:16">
      <c r="A107" s="828"/>
      <c r="C107" s="821"/>
      <c r="D107" s="821"/>
      <c r="E107" s="821"/>
      <c r="F107" s="821"/>
      <c r="G107" s="821"/>
      <c r="H107" s="821"/>
      <c r="I107" s="821"/>
      <c r="J107" s="821"/>
      <c r="K107" s="821"/>
      <c r="L107" s="821"/>
    </row>
    <row r="108" spans="1:16">
      <c r="A108" s="828" t="s">
        <v>326</v>
      </c>
    </row>
    <row r="109" spans="1:16">
      <c r="A109" s="869" t="s">
        <v>880</v>
      </c>
      <c r="B109" s="869"/>
      <c r="C109" s="869">
        <f>IFERROR(INDEX(Dataset!$A:$V,MATCH(Calculations!C$101&amp;Calculations!$P109,Dataset!$V:$V,0),MATCH(Calculations!$A$1,Dataset!$A$1:$V$1,0)),"")</f>
        <v>4.8</v>
      </c>
      <c r="D109" s="869">
        <f>IFERROR(INDEX(Dataset!$A:$V,MATCH(Calculations!D$101&amp;Calculations!$P109,Dataset!$V:$V,0),MATCH(Calculations!$A$1,Dataset!$A$1:$V$1,0)),"")</f>
        <v>4.5167570114135698</v>
      </c>
      <c r="E109" s="869">
        <f>IFERROR(INDEX(Dataset!$A:$V,MATCH(Calculations!E$101&amp;Calculations!$P109,Dataset!$V:$V,0),MATCH(Calculations!$A$1,Dataset!$A$1:$V$1,0)),"")</f>
        <v>4.1399999999999997</v>
      </c>
      <c r="F109" s="869">
        <f>IFERROR(INDEX(Dataset!$A:$V,MATCH(Calculations!F$101&amp;Calculations!$P109,Dataset!$V:$V,0),MATCH(Calculations!$A$1,Dataset!$A$1:$V$1,0)),"")</f>
        <v>4.8674736022949201</v>
      </c>
      <c r="G109" s="869">
        <f>IFERROR(INDEX(Dataset!$A:$V,MATCH(Calculations!G$101&amp;Calculations!$P109,Dataset!$V:$V,0),MATCH(Calculations!$A$1,Dataset!$A$1:$V$1,0)),"")</f>
        <v>2.27422046661377</v>
      </c>
      <c r="H109" s="869">
        <f>IFERROR(INDEX(Dataset!$A:$V,MATCH(Calculations!H$101&amp;Calculations!$P109,Dataset!$V:$V,0),MATCH(Calculations!$A$1,Dataset!$A$1:$V$1,0)),"")</f>
        <v>1.1024590730667101</v>
      </c>
      <c r="I109" s="869">
        <f>IFERROR(INDEX(Dataset!$A:$V,MATCH(Calculations!I$101&amp;Calculations!$P109,Dataset!$V:$V,0),MATCH(Calculations!$A$1,Dataset!$A$1:$V$1,0)),"")</f>
        <v>1.5580579042434699</v>
      </c>
      <c r="J109" s="869" t="str">
        <f>IFERROR(INDEX(Dataset!$A:$V,MATCH(Calculations!J$101&amp;Calculations!$P109,Dataset!$V:$V,0),MATCH(Calculations!$A$1,Dataset!$A$1:$V$1,0)),"")</f>
        <v/>
      </c>
      <c r="K109" s="869"/>
      <c r="L109" s="869"/>
      <c r="P109" t="s">
        <v>881</v>
      </c>
    </row>
    <row r="110" spans="1:16">
      <c r="A110" s="869" t="s">
        <v>882</v>
      </c>
      <c r="B110" s="869"/>
      <c r="C110" s="869">
        <f>IFERROR(INDEX(Dataset!$A:$V,MATCH(Calculations!C$101&amp;Calculations!$P110,Dataset!$V:$V,0),MATCH(Calculations!$A$1,Dataset!$A$1:$V$1,0)),"")</f>
        <v>7</v>
      </c>
      <c r="D110" s="869">
        <f>IFERROR(INDEX(Dataset!$A:$V,MATCH(Calculations!D$101&amp;Calculations!$P110,Dataset!$V:$V,0),MATCH(Calculations!$A$1,Dataset!$A$1:$V$1,0)),"")</f>
        <v>6</v>
      </c>
      <c r="E110" s="869">
        <f>IFERROR(INDEX(Dataset!$A:$V,MATCH(Calculations!E$101&amp;Calculations!$P110,Dataset!$V:$V,0),MATCH(Calculations!$A$1,Dataset!$A$1:$V$1,0)),"")</f>
        <v>6</v>
      </c>
      <c r="F110" s="869">
        <f>IFERROR(INDEX(Dataset!$A:$V,MATCH(Calculations!F$101&amp;Calculations!$P110,Dataset!$V:$V,0),MATCH(Calculations!$A$1,Dataset!$A$1:$V$1,0)),"")</f>
        <v>8</v>
      </c>
      <c r="G110" s="869">
        <f>IFERROR(INDEX(Dataset!$A:$V,MATCH(Calculations!G$101&amp;Calculations!$P110,Dataset!$V:$V,0),MATCH(Calculations!$A$1,Dataset!$A$1:$V$1,0)),"")</f>
        <v>3</v>
      </c>
      <c r="H110" s="869">
        <f>IFERROR(INDEX(Dataset!$A:$V,MATCH(Calculations!H$101&amp;Calculations!$P110,Dataset!$V:$V,0),MATCH(Calculations!$A$1,Dataset!$A$1:$V$1,0)),"")</f>
        <v>2</v>
      </c>
      <c r="I110" s="869">
        <f>IFERROR(INDEX(Dataset!$A:$V,MATCH(Calculations!I$101&amp;Calculations!$P110,Dataset!$V:$V,0),MATCH(Calculations!$A$1,Dataset!$A$1:$V$1,0)),"")</f>
        <v>2</v>
      </c>
      <c r="J110" s="869" t="str">
        <f>IFERROR(INDEX(Dataset!$A:$V,MATCH(Calculations!J$101&amp;Calculations!$P110,Dataset!$V:$V,0),MATCH(Calculations!$A$1,Dataset!$A$1:$V$1,0)),"")</f>
        <v/>
      </c>
      <c r="K110" s="869"/>
      <c r="L110" s="869"/>
      <c r="P110" t="s">
        <v>883</v>
      </c>
    </row>
    <row r="111" spans="1:16">
      <c r="A111" s="869" t="s">
        <v>884</v>
      </c>
      <c r="B111" s="869"/>
      <c r="C111" s="869">
        <f>IFERROR(INDEX(Dataset!$A:$V,MATCH(Calculations!C$101&amp;Calculations!$P111,Dataset!$V:$V,0),MATCH(Calculations!$A$1,Dataset!$A$1:$V$1,0)),"")</f>
        <v>34.32</v>
      </c>
      <c r="D111" s="869">
        <f>IFERROR(INDEX(Dataset!$A:$V,MATCH(Calculations!D$101&amp;Calculations!$P111,Dataset!$V:$V,0),MATCH(Calculations!$A$1,Dataset!$A$1:$V$1,0)),"")</f>
        <v>37.184478759765597</v>
      </c>
      <c r="E111" s="869">
        <f>IFERROR(INDEX(Dataset!$A:$V,MATCH(Calculations!E$101&amp;Calculations!$P111,Dataset!$V:$V,0),MATCH(Calculations!$A$1,Dataset!$A$1:$V$1,0)),"")</f>
        <v>28.08</v>
      </c>
      <c r="F111" s="869">
        <f>IFERROR(INDEX(Dataset!$A:$V,MATCH(Calculations!F$101&amp;Calculations!$P111,Dataset!$V:$V,0),MATCH(Calculations!$A$1,Dataset!$A$1:$V$1,0)),"")</f>
        <v>29.9463195800781</v>
      </c>
      <c r="G111" s="869">
        <f>IFERROR(INDEX(Dataset!$A:$V,MATCH(Calculations!G$101&amp;Calculations!$P111,Dataset!$V:$V,0),MATCH(Calculations!$A$1,Dataset!$A$1:$V$1,0)),"")</f>
        <v>28.673145294189499</v>
      </c>
      <c r="H111" s="869">
        <f>IFERROR(INDEX(Dataset!$A:$V,MATCH(Calculations!H$101&amp;Calculations!$P111,Dataset!$V:$V,0),MATCH(Calculations!$A$1,Dataset!$A$1:$V$1,0)),"")</f>
        <v>31.980798721313501</v>
      </c>
      <c r="I111" s="869">
        <f>IFERROR(INDEX(Dataset!$A:$V,MATCH(Calculations!I$101&amp;Calculations!$P111,Dataset!$V:$V,0),MATCH(Calculations!$A$1,Dataset!$A$1:$V$1,0)),"")</f>
        <v>33.607269287109403</v>
      </c>
      <c r="J111" s="869" t="str">
        <f>IFERROR(INDEX(Dataset!$A:$V,MATCH(Calculations!J$101&amp;Calculations!$P111,Dataset!$V:$V,0),MATCH(Calculations!$A$1,Dataset!$A$1:$V$1,0)),"")</f>
        <v/>
      </c>
      <c r="K111" s="869"/>
      <c r="L111" s="869"/>
      <c r="P111" t="s">
        <v>885</v>
      </c>
    </row>
    <row r="112" spans="1:16">
      <c r="A112" s="869" t="s">
        <v>886</v>
      </c>
      <c r="B112" s="869"/>
      <c r="C112" s="869">
        <f>IFERROR(INDEX(Dataset!$A:$V,MATCH(Calculations!C$101&amp;Calculations!$P112,Dataset!$V:$V,0),MATCH(Calculations!$A$1,Dataset!$A$1:$V$1,0)),"")</f>
        <v>7</v>
      </c>
      <c r="D112" s="869">
        <f>IFERROR(INDEX(Dataset!$A:$V,MATCH(Calculations!D$101&amp;Calculations!$P112,Dataset!$V:$V,0),MATCH(Calculations!$A$1,Dataset!$A$1:$V$1,0)),"")</f>
        <v>6</v>
      </c>
      <c r="E112" s="869">
        <f>IFERROR(INDEX(Dataset!$A:$V,MATCH(Calculations!E$101&amp;Calculations!$P112,Dataset!$V:$V,0),MATCH(Calculations!$A$1,Dataset!$A$1:$V$1,0)),"")</f>
        <v>3</v>
      </c>
      <c r="F112" s="869">
        <f>IFERROR(INDEX(Dataset!$A:$V,MATCH(Calculations!F$101&amp;Calculations!$P112,Dataset!$V:$V,0),MATCH(Calculations!$A$1,Dataset!$A$1:$V$1,0)),"")</f>
        <v>4</v>
      </c>
      <c r="G112" s="869">
        <f>IFERROR(INDEX(Dataset!$A:$V,MATCH(Calculations!G$101&amp;Calculations!$P112,Dataset!$V:$V,0),MATCH(Calculations!$A$1,Dataset!$A$1:$V$1,0)),"")</f>
        <v>6</v>
      </c>
      <c r="H112" s="869">
        <f>IFERROR(INDEX(Dataset!$A:$V,MATCH(Calculations!H$101&amp;Calculations!$P112,Dataset!$V:$V,0),MATCH(Calculations!$A$1,Dataset!$A$1:$V$1,0)),"")</f>
        <v>5</v>
      </c>
      <c r="I112" s="869">
        <f>IFERROR(INDEX(Dataset!$A:$V,MATCH(Calculations!I$101&amp;Calculations!$P112,Dataset!$V:$V,0),MATCH(Calculations!$A$1,Dataset!$A$1:$V$1,0)),"")</f>
        <v>6</v>
      </c>
      <c r="J112" s="869" t="str">
        <f>IFERROR(INDEX(Dataset!$A:$V,MATCH(Calculations!J$101&amp;Calculations!$P112,Dataset!$V:$V,0),MATCH(Calculations!$A$1,Dataset!$A$1:$V$1,0)),"")</f>
        <v/>
      </c>
      <c r="K112" s="869"/>
      <c r="L112" s="869"/>
      <c r="P112" t="s">
        <v>887</v>
      </c>
    </row>
    <row r="113" spans="1:16">
      <c r="A113" s="869" t="s">
        <v>888</v>
      </c>
      <c r="B113" s="869"/>
      <c r="C113" s="869">
        <f>IFERROR(INDEX(Dataset!$A:$V,MATCH(Calculations!C$101&amp;Calculations!$P113,Dataset!$V:$V,0),MATCH(Calculations!$A$1,Dataset!$A$1:$V$1,0)),"")</f>
        <v>6.11</v>
      </c>
      <c r="D113" s="869">
        <f>IFERROR(INDEX(Dataset!$A:$V,MATCH(Calculations!D$101&amp;Calculations!$P113,Dataset!$V:$V,0),MATCH(Calculations!$A$1,Dataset!$A$1:$V$1,0)),"")</f>
        <v>6.0833001136779803</v>
      </c>
      <c r="E113" s="869">
        <f>IFERROR(INDEX(Dataset!$A:$V,MATCH(Calculations!E$101&amp;Calculations!$P113,Dataset!$V:$V,0),MATCH(Calculations!$A$1,Dataset!$A$1:$V$1,0)),"")</f>
        <v>4.47</v>
      </c>
      <c r="F113" s="869">
        <f>IFERROR(INDEX(Dataset!$A:$V,MATCH(Calculations!F$101&amp;Calculations!$P113,Dataset!$V:$V,0),MATCH(Calculations!$A$1,Dataset!$A$1:$V$1,0)),"")</f>
        <v>5.7056989669799796</v>
      </c>
      <c r="G113" s="869">
        <f>IFERROR(INDEX(Dataset!$A:$V,MATCH(Calculations!G$101&amp;Calculations!$P113,Dataset!$V:$V,0),MATCH(Calculations!$A$1,Dataset!$A$1:$V$1,0)),"")</f>
        <v>2.8124723434448202</v>
      </c>
      <c r="H113" s="869">
        <f>IFERROR(INDEX(Dataset!$A:$V,MATCH(Calculations!H$101&amp;Calculations!$P113,Dataset!$V:$V,0),MATCH(Calculations!$A$1,Dataset!$A$1:$V$1,0)),"")</f>
        <v>2.1311604976654102</v>
      </c>
      <c r="I113" s="869">
        <f>IFERROR(INDEX(Dataset!$A:$V,MATCH(Calculations!I$101&amp;Calculations!$P113,Dataset!$V:$V,0),MATCH(Calculations!$A$1,Dataset!$A$1:$V$1,0)),"")</f>
        <v>2.8879563808441202</v>
      </c>
      <c r="J113" s="869" t="str">
        <f>IFERROR(INDEX(Dataset!$A:$V,MATCH(Calculations!J$101&amp;Calculations!$P113,Dataset!$V:$V,0),MATCH(Calculations!$A$1,Dataset!$A$1:$V$1,0)),"")</f>
        <v/>
      </c>
      <c r="K113" s="869"/>
      <c r="L113" s="869"/>
      <c r="P113" t="s">
        <v>889</v>
      </c>
    </row>
    <row r="114" spans="1:16">
      <c r="A114" s="869" t="s">
        <v>890</v>
      </c>
      <c r="B114" s="869"/>
      <c r="C114" s="869">
        <f>IFERROR(INDEX(Dataset!$A:$V,MATCH(Calculations!C$101&amp;Calculations!$P114,Dataset!$V:$V,0),MATCH(Calculations!$A$1,Dataset!$A$1:$V$1,0)),"")</f>
        <v>4</v>
      </c>
      <c r="D114" s="869">
        <f>IFERROR(INDEX(Dataset!$A:$V,MATCH(Calculations!D$101&amp;Calculations!$P114,Dataset!$V:$V,0),MATCH(Calculations!$A$1,Dataset!$A$1:$V$1,0)),"")</f>
        <v>4</v>
      </c>
      <c r="E114" s="869">
        <f>IFERROR(INDEX(Dataset!$A:$V,MATCH(Calculations!E$101&amp;Calculations!$P114,Dataset!$V:$V,0),MATCH(Calculations!$A$1,Dataset!$A$1:$V$1,0)),"")</f>
        <v>1</v>
      </c>
      <c r="F114" s="869">
        <f>IFERROR(INDEX(Dataset!$A:$V,MATCH(Calculations!F$101&amp;Calculations!$P114,Dataset!$V:$V,0),MATCH(Calculations!$A$1,Dataset!$A$1:$V$1,0)),"")</f>
        <v>4</v>
      </c>
      <c r="G114" s="869">
        <f>IFERROR(INDEX(Dataset!$A:$V,MATCH(Calculations!G$101&amp;Calculations!$P114,Dataset!$V:$V,0),MATCH(Calculations!$A$1,Dataset!$A$1:$V$1,0)),"")</f>
        <v>1</v>
      </c>
      <c r="H114" s="869">
        <f>IFERROR(INDEX(Dataset!$A:$V,MATCH(Calculations!H$101&amp;Calculations!$P114,Dataset!$V:$V,0),MATCH(Calculations!$A$1,Dataset!$A$1:$V$1,0)),"")</f>
        <v>1</v>
      </c>
      <c r="I114" s="869">
        <f>IFERROR(INDEX(Dataset!$A:$V,MATCH(Calculations!I$101&amp;Calculations!$P114,Dataset!$V:$V,0),MATCH(Calculations!$A$1,Dataset!$A$1:$V$1,0)),"")</f>
        <v>2</v>
      </c>
      <c r="J114" s="869" t="str">
        <f>IFERROR(INDEX(Dataset!$A:$V,MATCH(Calculations!J$101&amp;Calculations!$P114,Dataset!$V:$V,0),MATCH(Calculations!$A$1,Dataset!$A$1:$V$1,0)),"")</f>
        <v/>
      </c>
      <c r="K114" s="869"/>
      <c r="L114" s="869"/>
      <c r="P114" t="s">
        <v>891</v>
      </c>
    </row>
    <row r="115" spans="1:16">
      <c r="A115" s="869" t="s">
        <v>892</v>
      </c>
      <c r="B115" s="869"/>
      <c r="C115" s="869">
        <f>IFERROR(INDEX(Dataset!$A:$V,MATCH(Calculations!C$101&amp;Calculations!$P115,Dataset!$V:$V,0),MATCH(Calculations!$A$1,Dataset!$A$1:$V$1,0)),"")</f>
        <v>44.8</v>
      </c>
      <c r="D115" s="869">
        <f>IFERROR(INDEX(Dataset!$A:$V,MATCH(Calculations!D$101&amp;Calculations!$P115,Dataset!$V:$V,0),MATCH(Calculations!$A$1,Dataset!$A$1:$V$1,0)),"")</f>
        <v>47.503597259521499</v>
      </c>
      <c r="E115" s="869">
        <f>IFERROR(INDEX(Dataset!$A:$V,MATCH(Calculations!E$101&amp;Calculations!$P115,Dataset!$V:$V,0),MATCH(Calculations!$A$1,Dataset!$A$1:$V$1,0)),"")</f>
        <v>40.28</v>
      </c>
      <c r="F115" s="869">
        <f>IFERROR(INDEX(Dataset!$A:$V,MATCH(Calculations!F$101&amp;Calculations!$P115,Dataset!$V:$V,0),MATCH(Calculations!$A$1,Dataset!$A$1:$V$1,0)),"")</f>
        <v>37.608497619628899</v>
      </c>
      <c r="G115" s="869">
        <f>IFERROR(INDEX(Dataset!$A:$V,MATCH(Calculations!G$101&amp;Calculations!$P115,Dataset!$V:$V,0),MATCH(Calculations!$A$1,Dataset!$A$1:$V$1,0)),"")</f>
        <v>34.812282562255902</v>
      </c>
      <c r="H115" s="869">
        <f>IFERROR(INDEX(Dataset!$A:$V,MATCH(Calculations!H$101&amp;Calculations!$P115,Dataset!$V:$V,0),MATCH(Calculations!$A$1,Dataset!$A$1:$V$1,0)),"")</f>
        <v>37.995662689208999</v>
      </c>
      <c r="I115" s="869">
        <f>IFERROR(INDEX(Dataset!$A:$V,MATCH(Calculations!I$101&amp;Calculations!$P115,Dataset!$V:$V,0),MATCH(Calculations!$A$1,Dataset!$A$1:$V$1,0)),"")</f>
        <v>38.578441619872997</v>
      </c>
      <c r="J115" s="869" t="str">
        <f>IFERROR(INDEX(Dataset!$A:$V,MATCH(Calculations!J$101&amp;Calculations!$P115,Dataset!$V:$V,0),MATCH(Calculations!$A$1,Dataset!$A$1:$V$1,0)),"")</f>
        <v/>
      </c>
      <c r="K115" s="869"/>
      <c r="L115" s="869"/>
      <c r="P115" t="s">
        <v>893</v>
      </c>
    </row>
    <row r="116" spans="1:16">
      <c r="A116" s="869" t="s">
        <v>894</v>
      </c>
      <c r="B116" s="869"/>
      <c r="C116" s="869">
        <f>IFERROR(INDEX(Dataset!$A:$V,MATCH(Calculations!C$101&amp;Calculations!$P116,Dataset!$V:$V,0),MATCH(Calculations!$A$1,Dataset!$A$1:$V$1,0)),"")</f>
        <v>8</v>
      </c>
      <c r="D116" s="869">
        <f>IFERROR(INDEX(Dataset!$A:$V,MATCH(Calculations!D$101&amp;Calculations!$P116,Dataset!$V:$V,0),MATCH(Calculations!$A$1,Dataset!$A$1:$V$1,0)),"")</f>
        <v>6</v>
      </c>
      <c r="E116" s="869">
        <f>IFERROR(INDEX(Dataset!$A:$V,MATCH(Calculations!E$101&amp;Calculations!$P116,Dataset!$V:$V,0),MATCH(Calculations!$A$1,Dataset!$A$1:$V$1,0)),"")</f>
        <v>6</v>
      </c>
      <c r="F116" s="869">
        <f>IFERROR(INDEX(Dataset!$A:$V,MATCH(Calculations!F$101&amp;Calculations!$P116,Dataset!$V:$V,0),MATCH(Calculations!$A$1,Dataset!$A$1:$V$1,0)),"")</f>
        <v>6</v>
      </c>
      <c r="G116" s="869">
        <f>IFERROR(INDEX(Dataset!$A:$V,MATCH(Calculations!G$101&amp;Calculations!$P116,Dataset!$V:$V,0),MATCH(Calculations!$A$1,Dataset!$A$1:$V$1,0)),"")</f>
        <v>6</v>
      </c>
      <c r="H116" s="869">
        <f>IFERROR(INDEX(Dataset!$A:$V,MATCH(Calculations!H$101&amp;Calculations!$P116,Dataset!$V:$V,0),MATCH(Calculations!$A$1,Dataset!$A$1:$V$1,0)),"")</f>
        <v>4</v>
      </c>
      <c r="I116" s="869">
        <f>IFERROR(INDEX(Dataset!$A:$V,MATCH(Calculations!I$101&amp;Calculations!$P116,Dataset!$V:$V,0),MATCH(Calculations!$A$1,Dataset!$A$1:$V$1,0)),"")</f>
        <v>3</v>
      </c>
      <c r="J116" s="869" t="str">
        <f>IFERROR(INDEX(Dataset!$A:$V,MATCH(Calculations!J$101&amp;Calculations!$P116,Dataset!$V:$V,0),MATCH(Calculations!$A$1,Dataset!$A$1:$V$1,0)),"")</f>
        <v/>
      </c>
      <c r="K116" s="869"/>
      <c r="L116" s="869"/>
      <c r="P116" t="s">
        <v>895</v>
      </c>
    </row>
    <row r="117" spans="1:16">
      <c r="A117" s="869" t="s">
        <v>896</v>
      </c>
      <c r="B117" s="869"/>
      <c r="C117" s="869">
        <f>IFERROR(INDEX(Dataset!$A:$V,MATCH(Calculations!C$101&amp;Calculations!$P117,Dataset!$V:$V,0),MATCH(Calculations!$A$1,Dataset!$A$1:$V$1,0)),"")</f>
        <v>1.3474000000000004</v>
      </c>
      <c r="D117" s="869">
        <f>IFERROR(INDEX(Dataset!$A:$V,MATCH(Calculations!D$101&amp;Calculations!$P117,Dataset!$V:$V,0),MATCH(Calculations!$A$1,Dataset!$A$1:$V$1,0)),"")</f>
        <v>1.1517129318237314</v>
      </c>
      <c r="E117" s="869">
        <f>IFERROR(INDEX(Dataset!$A:$V,MATCH(Calculations!E$101&amp;Calculations!$P117,Dataset!$V:$V,0),MATCH(Calculations!$A$1,Dataset!$A$1:$V$1,0)),"")</f>
        <v>1.5725999999999998</v>
      </c>
      <c r="F117" s="869">
        <f>IFERROR(INDEX(Dataset!$A:$V,MATCH(Calculations!F$101&amp;Calculations!$P117,Dataset!$V:$V,0),MATCH(Calculations!$A$1,Dataset!$A$1:$V$1,0)),"")</f>
        <v>1.6</v>
      </c>
      <c r="G117" s="869">
        <f>IFERROR(INDEX(Dataset!$A:$V,MATCH(Calculations!G$101&amp;Calculations!$P117,Dataset!$V:$V,0),MATCH(Calculations!$A$1,Dataset!$A$1:$V$1,0)),"")</f>
        <v>1.5254218849273655</v>
      </c>
      <c r="H117" s="869">
        <f>IFERROR(INDEX(Dataset!$A:$V,MATCH(Calculations!H$101&amp;Calculations!$P117,Dataset!$V:$V,0),MATCH(Calculations!$A$1,Dataset!$A$1:$V$1,0)),"")</f>
        <v>1.6</v>
      </c>
      <c r="I117" s="869">
        <f>IFERROR(INDEX(Dataset!$A:$V,MATCH(Calculations!I$101&amp;Calculations!$P117,Dataset!$V:$V,0),MATCH(Calculations!$A$1,Dataset!$A$1:$V$1,0)),"")</f>
        <v>1.5999914299181552</v>
      </c>
      <c r="J117" s="869" t="str">
        <f>IFERROR(INDEX(Dataset!$A:$V,MATCH(Calculations!J$101&amp;Calculations!$P117,Dataset!$V:$V,0),MATCH(Calculations!$A$1,Dataset!$A$1:$V$1,0)),"")</f>
        <v/>
      </c>
      <c r="K117" s="869"/>
      <c r="L117" s="869"/>
      <c r="P117" t="s">
        <v>897</v>
      </c>
    </row>
    <row r="118" spans="1:16">
      <c r="A118" s="869" t="s">
        <v>898</v>
      </c>
      <c r="B118" s="869"/>
      <c r="C118" s="869">
        <f>IFERROR(INDEX(Dataset!$A:$V,MATCH(Calculations!C$101&amp;Calculations!$P118,Dataset!$V:$V,0),MATCH(Calculations!$A$1,Dataset!$A$1:$V$1,0)),"")</f>
        <v>1.7135260406661903</v>
      </c>
      <c r="D118" s="869">
        <f>IFERROR(INDEX(Dataset!$A:$V,MATCH(Calculations!D$101&amp;Calculations!$P118,Dataset!$V:$V,0),MATCH(Calculations!$A$1,Dataset!$A$1:$V$1,0)),"")</f>
        <v>1.4646653555380496</v>
      </c>
      <c r="E118" s="869">
        <f>IFERROR(INDEX(Dataset!$A:$V,MATCH(Calculations!E$101&amp;Calculations!$P118,Dataset!$V:$V,0),MATCH(Calculations!$A$1,Dataset!$A$1:$V$1,0)),"")</f>
        <v>1.9999191417186062</v>
      </c>
      <c r="F118" s="869">
        <f>IFERROR(INDEX(Dataset!$A:$V,MATCH(Calculations!F$101&amp;Calculations!$P118,Dataset!$V:$V,0),MATCH(Calculations!$A$1,Dataset!$A$1:$V$1,0)),"")</f>
        <v>2.0347644834985186</v>
      </c>
      <c r="G118" s="869">
        <f>IFERROR(INDEX(Dataset!$A:$V,MATCH(Calculations!G$101&amp;Calculations!$P118,Dataset!$V:$V,0),MATCH(Calculations!$A$1,Dataset!$A$1:$V$1,0)),"")</f>
        <v>1.9399214211259797</v>
      </c>
      <c r="H118" s="869">
        <f>IFERROR(INDEX(Dataset!$A:$V,MATCH(Calculations!H$101&amp;Calculations!$P118,Dataset!$V:$V,0),MATCH(Calculations!$A$1,Dataset!$A$1:$V$1,0)),"")</f>
        <v>2.0347644834985186</v>
      </c>
      <c r="I118" s="869">
        <f>IFERROR(INDEX(Dataset!$A:$V,MATCH(Calculations!I$101&amp;Calculations!$P118,Dataset!$V:$V,0),MATCH(Calculations!$A$1,Dataset!$A$1:$V$1,0)),"")</f>
        <v>2.0347535846871696</v>
      </c>
      <c r="J118" s="869" t="str">
        <f>IFERROR(INDEX(Dataset!$A:$V,MATCH(Calculations!J$101&amp;Calculations!$P118,Dataset!$V:$V,0),MATCH(Calculations!$A$1,Dataset!$A$1:$V$1,0)),"")</f>
        <v/>
      </c>
      <c r="K118" s="869"/>
      <c r="L118" s="869"/>
      <c r="P118" t="s">
        <v>899</v>
      </c>
    </row>
    <row r="119" spans="1:16">
      <c r="A119" s="869" t="s">
        <v>339</v>
      </c>
      <c r="B119" s="869"/>
      <c r="C119" s="869" t="str">
        <f>IFERROR(INDEX(Dataset!$A:$V,MATCH(Calculations!C$101&amp;Calculations!$P119,Dataset!$V:$V,0),MATCH(Calculations!$A$1,Dataset!$A$1:$V$1,0)),"")</f>
        <v>Green</v>
      </c>
      <c r="D119" s="869" t="str">
        <f>IFERROR(INDEX(Dataset!$A:$V,MATCH(Calculations!D$101&amp;Calculations!$P119,Dataset!$V:$V,0),MATCH(Calculations!$A$1,Dataset!$A$1:$V$1,0)),"")</f>
        <v>Green</v>
      </c>
      <c r="E119" s="869" t="str">
        <f>IFERROR(INDEX(Dataset!$A:$V,MATCH(Calculations!E$101&amp;Calculations!$P119,Dataset!$V:$V,0),MATCH(Calculations!$A$1,Dataset!$A$1:$V$1,0)),"")</f>
        <v>Green</v>
      </c>
      <c r="F119" s="869" t="str">
        <f>IFERROR(INDEX(Dataset!$A:$V,MATCH(Calculations!F$101&amp;Calculations!$P119,Dataset!$V:$V,0),MATCH(Calculations!$A$1,Dataset!$A$1:$V$1,0)),"")</f>
        <v>Green</v>
      </c>
      <c r="G119" s="869" t="str">
        <f>IFERROR(INDEX(Dataset!$A:$V,MATCH(Calculations!G$101&amp;Calculations!$P119,Dataset!$V:$V,0),MATCH(Calculations!$A$1,Dataset!$A$1:$V$1,0)),"")</f>
        <v>Green</v>
      </c>
      <c r="H119" s="869" t="str">
        <f>IFERROR(INDEX(Dataset!$A:$V,MATCH(Calculations!H$101&amp;Calculations!$P119,Dataset!$V:$V,0),MATCH(Calculations!$A$1,Dataset!$A$1:$V$1,0)),"")</f>
        <v>Green</v>
      </c>
      <c r="I119" s="869" t="str">
        <f>IFERROR(INDEX(Dataset!$A:$V,MATCH(Calculations!I$101&amp;Calculations!$P119,Dataset!$V:$V,0),MATCH(Calculations!$A$1,Dataset!$A$1:$V$1,0)),"")</f>
        <v>Green</v>
      </c>
      <c r="J119" s="869" t="str">
        <f>IFERROR(INDEX(Dataset!$A:$V,MATCH(Calculations!J$101&amp;Calculations!$P119,Dataset!$V:$V,0),MATCH(Calculations!$A$1,Dataset!$A$1:$V$1,0)),"")</f>
        <v/>
      </c>
      <c r="K119" s="869"/>
      <c r="L119" s="869"/>
      <c r="P119" t="s">
        <v>900</v>
      </c>
    </row>
    <row r="120" spans="1:16">
      <c r="A120" s="869" t="s">
        <v>901</v>
      </c>
      <c r="B120" s="869"/>
      <c r="C120" s="869">
        <f>IFERROR(INDEX(Dataset!$A:$V,MATCH(Calculations!C$101&amp;Calculations!$P120,Dataset!$V:$V,0),MATCH(Calculations!$A$1,Dataset!$A$1:$V$1,0)),"")</f>
        <v>6.5</v>
      </c>
      <c r="D120" s="869">
        <f>IFERROR(INDEX(Dataset!$A:$V,MATCH(Calculations!D$101&amp;Calculations!$P120,Dataset!$V:$V,0),MATCH(Calculations!$A$1,Dataset!$A$1:$V$1,0)),"")</f>
        <v>5.5</v>
      </c>
      <c r="E120" s="869">
        <f>IFERROR(INDEX(Dataset!$A:$V,MATCH(Calculations!E$101&amp;Calculations!$P120,Dataset!$V:$V,0),MATCH(Calculations!$A$1,Dataset!$A$1:$V$1,0)),"")</f>
        <v>4</v>
      </c>
      <c r="F120" s="869">
        <f>IFERROR(INDEX(Dataset!$A:$V,MATCH(Calculations!F$101&amp;Calculations!$P120,Dataset!$V:$V,0),MATCH(Calculations!$A$1,Dataset!$A$1:$V$1,0)),"")</f>
        <v>5.5</v>
      </c>
      <c r="G120" s="869">
        <f>IFERROR(INDEX(Dataset!$A:$V,MATCH(Calculations!G$101&amp;Calculations!$P120,Dataset!$V:$V,0),MATCH(Calculations!$A$1,Dataset!$A$1:$V$1,0)),"")</f>
        <v>4</v>
      </c>
      <c r="H120" s="869">
        <f>IFERROR(INDEX(Dataset!$A:$V,MATCH(Calculations!H$101&amp;Calculations!$P120,Dataset!$V:$V,0),MATCH(Calculations!$A$1,Dataset!$A$1:$V$1,0)),"")</f>
        <v>3</v>
      </c>
      <c r="I120" s="869">
        <f>IFERROR(INDEX(Dataset!$A:$V,MATCH(Calculations!I$101&amp;Calculations!$P120,Dataset!$V:$V,0),MATCH(Calculations!$A$1,Dataset!$A$1:$V$1,0)),"")</f>
        <v>3.25</v>
      </c>
      <c r="J120" s="869" t="str">
        <f>IFERROR(INDEX(Dataset!$A:$V,MATCH(Calculations!J$101&amp;Calculations!$P120,Dataset!$V:$V,0),MATCH(Calculations!$A$1,Dataset!$A$1:$V$1,0)),"")</f>
        <v/>
      </c>
      <c r="K120" s="869"/>
      <c r="L120" s="869"/>
      <c r="P120" t="s">
        <v>902</v>
      </c>
    </row>
    <row r="121" spans="1:16">
      <c r="A121" s="869" t="s">
        <v>903</v>
      </c>
      <c r="B121" s="869"/>
      <c r="C121" s="869">
        <f>IFERROR(INDEX(Dataset!$A:$V,MATCH(Calculations!C$101&amp;Calculations!$P121,Dataset!$V:$V,0),MATCH(Calculations!$A$1,Dataset!$A$1:$V$1,0)),"")</f>
        <v>5</v>
      </c>
      <c r="D121" s="869">
        <f>IFERROR(INDEX(Dataset!$A:$V,MATCH(Calculations!D$101&amp;Calculations!$P121,Dataset!$V:$V,0),MATCH(Calculations!$A$1,Dataset!$A$1:$V$1,0)),"")</f>
        <v>6</v>
      </c>
      <c r="E121" s="869">
        <f>IFERROR(INDEX(Dataset!$A:$V,MATCH(Calculations!E$101&amp;Calculations!$P121,Dataset!$V:$V,0),MATCH(Calculations!$A$1,Dataset!$A$1:$V$1,0)),"")</f>
        <v>3</v>
      </c>
      <c r="F121" s="869">
        <f>IFERROR(INDEX(Dataset!$A:$V,MATCH(Calculations!F$101&amp;Calculations!$P121,Dataset!$V:$V,0),MATCH(Calculations!$A$1,Dataset!$A$1:$V$1,0)),"")</f>
        <v>5</v>
      </c>
      <c r="G121" s="869">
        <f>IFERROR(INDEX(Dataset!$A:$V,MATCH(Calculations!G$101&amp;Calculations!$P121,Dataset!$V:$V,0),MATCH(Calculations!$A$1,Dataset!$A$1:$V$1,0)),"")</f>
        <v>4</v>
      </c>
      <c r="H121" s="869">
        <f>IFERROR(INDEX(Dataset!$A:$V,MATCH(Calculations!H$101&amp;Calculations!$P121,Dataset!$V:$V,0),MATCH(Calculations!$A$1,Dataset!$A$1:$V$1,0)),"")</f>
        <v>2</v>
      </c>
      <c r="I121" s="869">
        <f>IFERROR(INDEX(Dataset!$A:$V,MATCH(Calculations!I$101&amp;Calculations!$P121,Dataset!$V:$V,0),MATCH(Calculations!$A$1,Dataset!$A$1:$V$1,0)),"")</f>
        <v>1</v>
      </c>
      <c r="J121" s="869" t="str">
        <f>IFERROR(INDEX(Dataset!$A:$V,MATCH(Calculations!J$101&amp;Calculations!$P121,Dataset!$V:$V,0),MATCH(Calculations!$A$1,Dataset!$A$1:$V$1,0)),"")</f>
        <v/>
      </c>
      <c r="K121" s="869"/>
      <c r="L121" s="869"/>
      <c r="P121" t="s">
        <v>904</v>
      </c>
    </row>
    <row r="122" spans="1:16">
      <c r="A122" s="872" t="s">
        <v>342</v>
      </c>
      <c r="B122" s="869"/>
      <c r="C122" s="869">
        <f>IFERROR(INDEX(Dataset!$A:$V,MATCH(Calculations!C$101&amp;Calculations!$P122,Dataset!$V:$V,0),MATCH(Calculations!$A$1,Dataset!$A$1:$V$1,0)),"")</f>
        <v>90.03</v>
      </c>
      <c r="D122" s="869">
        <f>IFERROR(INDEX(Dataset!$A:$V,MATCH(Calculations!D$101&amp;Calculations!$P122,Dataset!$V:$V,0),MATCH(Calculations!$A$1,Dataset!$A$1:$V$1,0)),"")</f>
        <v>95.288133144378634</v>
      </c>
      <c r="E122" s="869">
        <f>IFERROR(INDEX(Dataset!$A:$V,MATCH(Calculations!E$101&amp;Calculations!$P122,Dataset!$V:$V,0),MATCH(Calculations!$A$1,Dataset!$A$1:$V$1,0)),"")</f>
        <v>76.97</v>
      </c>
      <c r="F122" s="869">
        <f>IFERROR(INDEX(Dataset!$A:$V,MATCH(Calculations!F$101&amp;Calculations!$P122,Dataset!$V:$V,0),MATCH(Calculations!$A$1,Dataset!$A$1:$V$1,0)),"")</f>
        <v>78.127989768981905</v>
      </c>
      <c r="G122" s="869">
        <f>IFERROR(INDEX(Dataset!$A:$V,MATCH(Calculations!G$101&amp;Calculations!$P122,Dataset!$V:$V,0),MATCH(Calculations!$A$1,Dataset!$A$1:$V$1,0)),"")</f>
        <v>68.572120666503992</v>
      </c>
      <c r="H122" s="869">
        <f>IFERROR(INDEX(Dataset!$A:$V,MATCH(Calculations!H$101&amp;Calculations!$P122,Dataset!$V:$V,0),MATCH(Calculations!$A$1,Dataset!$A$1:$V$1,0)),"")</f>
        <v>73.21008098125462</v>
      </c>
      <c r="I122" s="869">
        <f>IFERROR(INDEX(Dataset!$A:$V,MATCH(Calculations!I$101&amp;Calculations!$P122,Dataset!$V:$V,0),MATCH(Calculations!$A$1,Dataset!$A$1:$V$1,0)),"")</f>
        <v>76.631725192069993</v>
      </c>
      <c r="J122" s="869" t="str">
        <f>IFERROR(INDEX(Dataset!$A:$V,MATCH(Calculations!J$101&amp;Calculations!$P122,Dataset!$V:$V,0),MATCH(Calculations!$A$1,Dataset!$A$1:$V$1,0)),"")</f>
        <v/>
      </c>
      <c r="K122" s="869"/>
      <c r="L122" s="869"/>
      <c r="P122" t="s">
        <v>905</v>
      </c>
    </row>
    <row r="124" spans="1:16">
      <c r="A124" s="828" t="s">
        <v>906</v>
      </c>
    </row>
    <row r="125" spans="1:16">
      <c r="A125" s="869" t="s">
        <v>907</v>
      </c>
      <c r="B125" s="869"/>
      <c r="C125" s="869">
        <f>IFERROR(INDEX(Dataset!$A:$V,MATCH(Calculations!C$101&amp;Calculations!$P125,Dataset!$V:$V,0),MATCH(Calculations!$A$1,Dataset!$A$1:$V$1,0)),"")</f>
        <v>36475</v>
      </c>
      <c r="D125" s="869">
        <f>IFERROR(INDEX(Dataset!$A:$V,MATCH(Calculations!D$101&amp;Calculations!$P125,Dataset!$V:$V,0),MATCH(Calculations!$A$1,Dataset!$A$1:$V$1,0)),"")</f>
        <v>33786</v>
      </c>
      <c r="E125" s="869">
        <f>IFERROR(INDEX(Dataset!$A:$V,MATCH(Calculations!E$101&amp;Calculations!$P125,Dataset!$V:$V,0),MATCH(Calculations!$A$1,Dataset!$A$1:$V$1,0)),"")</f>
        <v>37789</v>
      </c>
      <c r="F125" s="869">
        <f>IFERROR(INDEX(Dataset!$A:$V,MATCH(Calculations!F$101&amp;Calculations!$P125,Dataset!$V:$V,0),MATCH(Calculations!$A$1,Dataset!$A$1:$V$1,0)),"")</f>
        <v>36158</v>
      </c>
      <c r="G125" s="869">
        <f>IFERROR(INDEX(Dataset!$A:$V,MATCH(Calculations!G$101&amp;Calculations!$P125,Dataset!$V:$V,0),MATCH(Calculations!$A$1,Dataset!$A$1:$V$1,0)),"")</f>
        <v>35222</v>
      </c>
      <c r="H125" s="869">
        <f>IFERROR(INDEX(Dataset!$A:$V,MATCH(Calculations!H$101&amp;Calculations!$P125,Dataset!$V:$V,0),MATCH(Calculations!$A$1,Dataset!$A$1:$V$1,0)),"")</f>
        <v>36632</v>
      </c>
      <c r="I125" s="869">
        <f>IFERROR(INDEX(Dataset!$A:$V,MATCH(Calculations!I$101&amp;Calculations!$P125,Dataset!$V:$V,0),MATCH(Calculations!$A$1,Dataset!$A$1:$V$1,0)),"")</f>
        <v>39994</v>
      </c>
      <c r="J125" s="869"/>
      <c r="K125" s="869"/>
      <c r="L125" s="869"/>
      <c r="P125" t="s">
        <v>908</v>
      </c>
    </row>
    <row r="126" spans="1:16">
      <c r="A126" s="869" t="s">
        <v>909</v>
      </c>
      <c r="B126" s="869"/>
      <c r="C126" s="869">
        <f>IFERROR(INDEX(Dataset!$A:$V,MATCH(Calculations!C$101&amp;Calculations!$P126,Dataset!$V:$V,0),MATCH(Calculations!$A$1,Dataset!$A$1:$V$1,0)),"")</f>
        <v>0</v>
      </c>
      <c r="D126" s="869">
        <f>IFERROR(INDEX(Dataset!$A:$V,MATCH(Calculations!D$101&amp;Calculations!$P126,Dataset!$V:$V,0),MATCH(Calculations!$A$1,Dataset!$A$1:$V$1,0)),"")</f>
        <v>0</v>
      </c>
      <c r="E126" s="869">
        <f>IFERROR(INDEX(Dataset!$A:$V,MATCH(Calculations!E$101&amp;Calculations!$P126,Dataset!$V:$V,0),MATCH(Calculations!$A$1,Dataset!$A$1:$V$1,0)),"")</f>
        <v>0</v>
      </c>
      <c r="F126" s="869">
        <f>IFERROR(INDEX(Dataset!$A:$V,MATCH(Calculations!F$101&amp;Calculations!$P126,Dataset!$V:$V,0),MATCH(Calculations!$A$1,Dataset!$A$1:$V$1,0)),"")</f>
        <v>1</v>
      </c>
      <c r="G126" s="869">
        <f>IFERROR(INDEX(Dataset!$A:$V,MATCH(Calculations!G$101&amp;Calculations!$P126,Dataset!$V:$V,0),MATCH(Calculations!$A$1,Dataset!$A$1:$V$1,0)),"")</f>
        <v>0</v>
      </c>
      <c r="H126" s="869">
        <f>IFERROR(INDEX(Dataset!$A:$V,MATCH(Calculations!H$101&amp;Calculations!$P126,Dataset!$V:$V,0),MATCH(Calculations!$A$1,Dataset!$A$1:$V$1,0)),"")</f>
        <v>1</v>
      </c>
      <c r="I126" s="869">
        <f>IFERROR(INDEX(Dataset!$A:$V,MATCH(Calculations!I$101&amp;Calculations!$P126,Dataset!$V:$V,0),MATCH(Calculations!$A$1,Dataset!$A$1:$V$1,0)),"")</f>
        <v>6</v>
      </c>
      <c r="J126" s="869"/>
      <c r="K126" s="869"/>
      <c r="L126" s="869"/>
      <c r="P126" t="s">
        <v>910</v>
      </c>
    </row>
    <row r="127" spans="1:16">
      <c r="A127" s="869" t="s">
        <v>911</v>
      </c>
      <c r="B127" s="869"/>
      <c r="C127" s="869">
        <f>IFERROR(INDEX(Dataset!$A:$V,MATCH(Calculations!C$101&amp;Calculations!$P127,Dataset!$V:$V,0),MATCH(Calculations!$A$1,Dataset!$A$1:$V$1,0)),"")</f>
        <v>0</v>
      </c>
      <c r="D127" s="869">
        <f>IFERROR(INDEX(Dataset!$A:$V,MATCH(Calculations!D$101&amp;Calculations!$P127,Dataset!$V:$V,0),MATCH(Calculations!$A$1,Dataset!$A$1:$V$1,0)),"")</f>
        <v>0</v>
      </c>
      <c r="E127" s="869">
        <f>IFERROR(INDEX(Dataset!$A:$V,MATCH(Calculations!E$101&amp;Calculations!$P127,Dataset!$V:$V,0),MATCH(Calculations!$A$1,Dataset!$A$1:$V$1,0)),"")</f>
        <v>0</v>
      </c>
      <c r="F127" s="869">
        <f>IFERROR(INDEX(Dataset!$A:$V,MATCH(Calculations!F$101&amp;Calculations!$P127,Dataset!$V:$V,0),MATCH(Calculations!$A$1,Dataset!$A$1:$V$1,0)),"")</f>
        <v>142.78029564996402</v>
      </c>
      <c r="G127" s="869">
        <f>IFERROR(INDEX(Dataset!$A:$V,MATCH(Calculations!G$101&amp;Calculations!$P127,Dataset!$V:$V,0),MATCH(Calculations!$A$1,Dataset!$A$1:$V$1,0)),"")</f>
        <v>0</v>
      </c>
      <c r="H127" s="869">
        <f>IFERROR(INDEX(Dataset!$A:$V,MATCH(Calculations!H$101&amp;Calculations!$P127,Dataset!$V:$V,0),MATCH(Calculations!$A$1,Dataset!$A$1:$V$1,0)),"")</f>
        <v>253.86396162723901</v>
      </c>
      <c r="I127" s="869">
        <f>IFERROR(INDEX(Dataset!$A:$V,MATCH(Calculations!I$101&amp;Calculations!$P127,Dataset!$V:$V,0),MATCH(Calculations!$A$1,Dataset!$A$1:$V$1,0)),"")</f>
        <v>1040</v>
      </c>
      <c r="J127" s="869"/>
      <c r="K127" s="869"/>
      <c r="L127" s="869"/>
      <c r="P127" t="s">
        <v>912</v>
      </c>
    </row>
    <row r="128" spans="1:16">
      <c r="A128" s="869" t="s">
        <v>913</v>
      </c>
      <c r="B128" s="869"/>
      <c r="C128" s="871">
        <f>IFERROR(INDEX(Dataset!$A:$V,MATCH(Calculations!C$101&amp;Calculations!$P128,Dataset!$V:$V,0),MATCH(Calculations!$A$1,Dataset!$A$1:$V$1,0)),"")</f>
        <v>0</v>
      </c>
      <c r="D128" s="871">
        <f>IFERROR(INDEX(Dataset!$A:$V,MATCH(Calculations!D$101&amp;Calculations!$P128,Dataset!$V:$V,0),MATCH(Calculations!$A$1,Dataset!$A$1:$V$1,0)),"")</f>
        <v>0</v>
      </c>
      <c r="E128" s="871">
        <f>IFERROR(INDEX(Dataset!$A:$V,MATCH(Calculations!E$101&amp;Calculations!$P128,Dataset!$V:$V,0),MATCH(Calculations!$A$1,Dataset!$A$1:$V$1,0)),"")</f>
        <v>0</v>
      </c>
      <c r="F128" s="871">
        <f>IFERROR(INDEX(Dataset!$A:$V,MATCH(Calculations!F$101&amp;Calculations!$P128,Dataset!$V:$V,0),MATCH(Calculations!$A$1,Dataset!$A$1:$V$1,0)),"")</f>
        <v>2.765639692460866E-5</v>
      </c>
      <c r="G128" s="871">
        <f>IFERROR(INDEX(Dataset!$A:$V,MATCH(Calculations!G$101&amp;Calculations!$P128,Dataset!$V:$V,0),MATCH(Calculations!$A$1,Dataset!$A$1:$V$1,0)),"")</f>
        <v>0</v>
      </c>
      <c r="H128" s="871">
        <f>IFERROR(INDEX(Dataset!$A:$V,MATCH(Calculations!H$101&amp;Calculations!$P128,Dataset!$V:$V,0),MATCH(Calculations!$A$1,Dataset!$A$1:$V$1,0)),"")</f>
        <v>2.7298536798427603E-5</v>
      </c>
      <c r="I128" s="871">
        <f>IFERROR(INDEX(Dataset!$A:$V,MATCH(Calculations!I$101&amp;Calculations!$P128,Dataset!$V:$V,0),MATCH(Calculations!$A$1,Dataset!$A$1:$V$1,0)),"")</f>
        <v>1.5002250337550632E-4</v>
      </c>
      <c r="J128" s="869"/>
      <c r="K128" s="869"/>
      <c r="L128" s="869"/>
      <c r="P128" t="s">
        <v>914</v>
      </c>
    </row>
    <row r="129" spans="1:16">
      <c r="A129" s="869" t="s">
        <v>339</v>
      </c>
      <c r="B129" s="869"/>
      <c r="C129" s="869" t="str">
        <f>IFERROR(INDEX(Dataset!$A:$V,MATCH(Calculations!C$101&amp;Calculations!$P129,Dataset!$V:$V,0),MATCH(Calculations!$A$1,Dataset!$A$1:$V$1,0)),"")</f>
        <v>Green</v>
      </c>
      <c r="D129" s="869" t="str">
        <f>IFERROR(INDEX(Dataset!$A:$V,MATCH(Calculations!D$101&amp;Calculations!$P129,Dataset!$V:$V,0),MATCH(Calculations!$A$1,Dataset!$A$1:$V$1,0)),"")</f>
        <v>Green</v>
      </c>
      <c r="E129" s="869" t="str">
        <f>IFERROR(INDEX(Dataset!$A:$V,MATCH(Calculations!E$101&amp;Calculations!$P129,Dataset!$V:$V,0),MATCH(Calculations!$A$1,Dataset!$A$1:$V$1,0)),"")</f>
        <v>Green</v>
      </c>
      <c r="F129" s="869" t="str">
        <f>IFERROR(INDEX(Dataset!$A:$V,MATCH(Calculations!F$101&amp;Calculations!$P129,Dataset!$V:$V,0),MATCH(Calculations!$A$1,Dataset!$A$1:$V$1,0)),"")</f>
        <v>Green</v>
      </c>
      <c r="G129" s="869" t="str">
        <f>IFERROR(INDEX(Dataset!$A:$V,MATCH(Calculations!G$101&amp;Calculations!$P129,Dataset!$V:$V,0),MATCH(Calculations!$A$1,Dataset!$A$1:$V$1,0)),"")</f>
        <v>Green</v>
      </c>
      <c r="H129" s="869" t="str">
        <f>IFERROR(INDEX(Dataset!$A:$V,MATCH(Calculations!H$101&amp;Calculations!$P129,Dataset!$V:$V,0),MATCH(Calculations!$A$1,Dataset!$A$1:$V$1,0)),"")</f>
        <v>Green</v>
      </c>
      <c r="I129" s="869" t="str">
        <f>IFERROR(INDEX(Dataset!$A:$V,MATCH(Calculations!I$101&amp;Calculations!$P129,Dataset!$V:$V,0),MATCH(Calculations!$A$1,Dataset!$A$1:$V$1,0)),"")</f>
        <v>Green</v>
      </c>
      <c r="J129" s="869"/>
      <c r="K129" s="869"/>
      <c r="L129" s="869"/>
      <c r="P129" t="s">
        <v>915</v>
      </c>
    </row>
    <row r="130" spans="1:16">
      <c r="A130" s="869" t="s">
        <v>63</v>
      </c>
      <c r="B130" s="869"/>
      <c r="C130" s="869">
        <f>IFERROR(INDEX(Dataset!$A:$V,MATCH(Calculations!C$101&amp;Calculations!$P130,Dataset!$V:$V,0),MATCH(Calculations!$A$1,Dataset!$A$1:$V$1,0)),"")</f>
        <v>1</v>
      </c>
      <c r="D130" s="869">
        <f>IFERROR(INDEX(Dataset!$A:$V,MATCH(Calculations!D$101&amp;Calculations!$P130,Dataset!$V:$V,0),MATCH(Calculations!$A$1,Dataset!$A$1:$V$1,0)),"")</f>
        <v>1</v>
      </c>
      <c r="E130" s="869">
        <f>IFERROR(INDEX(Dataset!$A:$V,MATCH(Calculations!E$101&amp;Calculations!$P130,Dataset!$V:$V,0),MATCH(Calculations!$A$1,Dataset!$A$1:$V$1,0)),"")</f>
        <v>1</v>
      </c>
      <c r="F130" s="869">
        <f>IFERROR(INDEX(Dataset!$A:$V,MATCH(Calculations!F$101&amp;Calculations!$P130,Dataset!$V:$V,0),MATCH(Calculations!$A$1,Dataset!$A$1:$V$1,0)),"")</f>
        <v>3</v>
      </c>
      <c r="G130" s="869">
        <f>IFERROR(INDEX(Dataset!$A:$V,MATCH(Calculations!G$101&amp;Calculations!$P130,Dataset!$V:$V,0),MATCH(Calculations!$A$1,Dataset!$A$1:$V$1,0)),"")</f>
        <v>1</v>
      </c>
      <c r="H130" s="869">
        <f>IFERROR(INDEX(Dataset!$A:$V,MATCH(Calculations!H$101&amp;Calculations!$P130,Dataset!$V:$V,0),MATCH(Calculations!$A$1,Dataset!$A$1:$V$1,0)),"")</f>
        <v>2</v>
      </c>
      <c r="I130" s="869">
        <f>IFERROR(INDEX(Dataset!$A:$V,MATCH(Calculations!I$101&amp;Calculations!$P130,Dataset!$V:$V,0),MATCH(Calculations!$A$1,Dataset!$A$1:$V$1,0)),"")</f>
        <v>3</v>
      </c>
      <c r="J130" s="869"/>
      <c r="K130" s="869"/>
      <c r="L130" s="869"/>
      <c r="P130" t="s">
        <v>916</v>
      </c>
    </row>
    <row r="132" spans="1:16">
      <c r="A132" s="828" t="s">
        <v>917</v>
      </c>
    </row>
    <row r="133" spans="1:16">
      <c r="A133" s="869"/>
      <c r="B133" s="869"/>
      <c r="C133" s="869" t="s">
        <v>132</v>
      </c>
      <c r="D133" s="869" t="s">
        <v>133</v>
      </c>
      <c r="E133" s="869" t="s">
        <v>134</v>
      </c>
      <c r="F133" s="869" t="s">
        <v>135</v>
      </c>
      <c r="G133" s="869" t="s">
        <v>136</v>
      </c>
      <c r="H133" s="869" t="s">
        <v>137</v>
      </c>
      <c r="I133" s="869" t="s">
        <v>138</v>
      </c>
      <c r="J133" s="869" t="s">
        <v>139</v>
      </c>
      <c r="K133" s="869" t="s">
        <v>140</v>
      </c>
      <c r="L133" s="869" t="s">
        <v>141</v>
      </c>
      <c r="M133" s="869" t="s">
        <v>126</v>
      </c>
      <c r="N133" s="869" t="s">
        <v>142</v>
      </c>
      <c r="O133" s="869" t="s">
        <v>143</v>
      </c>
    </row>
    <row r="134" spans="1:16">
      <c r="A134" s="873" t="s">
        <v>918</v>
      </c>
      <c r="B134" s="869"/>
      <c r="C134" s="869"/>
      <c r="D134" s="869"/>
      <c r="E134" s="869"/>
      <c r="F134" s="869"/>
      <c r="G134" s="869"/>
      <c r="H134" s="869"/>
      <c r="I134" s="869"/>
      <c r="J134" s="869"/>
      <c r="K134" s="869"/>
      <c r="L134" s="869"/>
      <c r="M134" s="869"/>
      <c r="N134" s="869"/>
      <c r="O134" s="869"/>
    </row>
    <row r="135" spans="1:16">
      <c r="A135" s="869" t="s">
        <v>334</v>
      </c>
      <c r="B135" s="869"/>
      <c r="C135" s="869"/>
      <c r="D135" s="869"/>
      <c r="E135" s="869"/>
      <c r="F135" s="869"/>
      <c r="G135" s="869"/>
      <c r="H135" s="874" t="str">
        <f>IFERROR(INDEX(Dataset!$A:$V,MATCH(Calculations!H$133&amp;Calculations!$P135,Dataset!$V:$V,0),MATCH(Calculations!$A$1,Dataset!$A$1:$V$1,0)),"")</f>
        <v/>
      </c>
      <c r="I135" s="874">
        <f>IFERROR(INDEX(Dataset!$A:$V,MATCH(Calculations!I$133&amp;Calculations!$P135,Dataset!$V:$V,0),MATCH(Calculations!$A$1,Dataset!$A$1:$V$1,0)),"")</f>
        <v>187875.86040333295</v>
      </c>
      <c r="J135" s="874" t="str">
        <f>IFERROR(INDEX(Dataset!$A:$V,MATCH(Calculations!J$133&amp;Calculations!$P135,Dataset!$V:$V,0),MATCH(Calculations!$A$1,Dataset!$A$1:$V$1,0)),"")</f>
        <v/>
      </c>
      <c r="K135" s="874">
        <v>0</v>
      </c>
      <c r="L135" s="874" t="str">
        <f>IFERROR(INDEX(Dataset!$A:$V,MATCH(Calculations!L$133&amp;Calculations!$P135,Dataset!$V:$V,0),MATCH(Calculations!$A$1,Dataset!$A$1:$V$1,0)),"")</f>
        <v/>
      </c>
      <c r="M135" s="874">
        <f>IFERROR(INDEX(Dataset!$A:$V,MATCH(Calculations!M$133&amp;Calculations!$P135,Dataset!$V:$V,0),MATCH(Calculations!$A$1,Dataset!$A$1:$V$1,0)),"")</f>
        <v>0</v>
      </c>
      <c r="N135" s="874" t="str">
        <f>IFERROR(INDEX(Dataset!$A:$V,MATCH(Calculations!N$133&amp;Calculations!$P135,Dataset!$V:$V,0),MATCH(Calculations!$A$1,Dataset!$A$1:$V$1,0)),"")</f>
        <v/>
      </c>
      <c r="O135" s="874" t="str">
        <f>IFERROR(INDEX(Dataset!$A:$V,MATCH(Calculations!O$133&amp;Calculations!$P135,Dataset!$V:$V,0),MATCH(Calculations!$A$1,Dataset!$A$1:$V$1,0)),"")</f>
        <v/>
      </c>
      <c r="P135" t="s">
        <v>919</v>
      </c>
    </row>
    <row r="136" spans="1:16">
      <c r="A136" s="869" t="s">
        <v>76</v>
      </c>
      <c r="B136" s="869"/>
      <c r="C136" s="869" t="str">
        <f>IFERROR(INDEX(Dataset!$A:$V,MATCH(Calculations!C$133&amp;Calculations!$P136,Dataset!$V:$V,0),MATCH(Calculations!$A$1,Dataset!$A$1:$V$1,0)),"")</f>
        <v/>
      </c>
      <c r="D136" s="869" t="str">
        <f>IFERROR(INDEX(Dataset!$A:$V,MATCH(Calculations!D$133&amp;Calculations!$P136,Dataset!$V:$V,0),MATCH(Calculations!$A$1,Dataset!$A$1:$V$1,0)),"")</f>
        <v/>
      </c>
      <c r="E136" s="869" t="str">
        <f>IFERROR(INDEX(Dataset!$A:$V,MATCH(Calculations!E$133&amp;Calculations!$P136,Dataset!$V:$V,0),MATCH(Calculations!$A$1,Dataset!$A$1:$V$1,0)),"")</f>
        <v/>
      </c>
      <c r="F136" s="869" t="str">
        <f>IFERROR(INDEX(Dataset!$A:$V,MATCH(Calculations!F$133&amp;Calculations!$P136,Dataset!$V:$V,0),MATCH(Calculations!$A$1,Dataset!$A$1:$V$1,0)),"")</f>
        <v/>
      </c>
      <c r="G136" s="869" t="str">
        <f>IFERROR(INDEX(Dataset!$A:$V,MATCH(Calculations!G$133&amp;Calculations!$P136,Dataset!$V:$V,0),MATCH(Calculations!$A$1,Dataset!$A$1:$V$1,0)),"")</f>
        <v/>
      </c>
      <c r="H136" s="871">
        <f>IFERROR(INDEX(Dataset!$A:$V,MATCH(Calculations!H$133&amp;Calculations!$P136,Dataset!$V:$V,0),MATCH(Calculations!$A$1,Dataset!$A$1:$V$1,0)),"")</f>
        <v>5.2407788057232257E-2</v>
      </c>
      <c r="I136" s="871">
        <f>IFERROR(INDEX(Dataset!$A:$V,MATCH(Calculations!I$133&amp;Calculations!$P136,Dataset!$V:$V,0),MATCH(Calculations!$A$1,Dataset!$A$1:$V$1,0)),"")</f>
        <v>5.7284526025704129E-2</v>
      </c>
      <c r="J136" s="871">
        <f>IFERROR(INDEX(Dataset!$A:$V,MATCH(Calculations!J$133&amp;Calculations!$P136,Dataset!$V:$V,0),MATCH(Calculations!$A$1,Dataset!$A$1:$V$1,0)),"")</f>
        <v>6.072177958774122E-2</v>
      </c>
      <c r="K136" s="871">
        <f>IFERROR(INDEX(Dataset!$A:$V,MATCH(Calculations!K$133&amp;Calculations!$P136,Dataset!$V:$V,0),MATCH(Calculations!$A$1,Dataset!$A$1:$V$1,0)),"")</f>
        <v>5.6285080360940494E-2</v>
      </c>
      <c r="L136" s="871">
        <f>IFERROR(INDEX(Dataset!$A:$V,MATCH(Calculations!L$133&amp;Calculations!$P136,Dataset!$V:$V,0),MATCH(Calculations!$A$1,Dataset!$A$1:$V$1,0)),"")</f>
        <v>6.0729972049248425E-2</v>
      </c>
      <c r="M136" s="871">
        <f>IFERROR(INDEX(Dataset!$A:$V,MATCH(Calculations!M$133&amp;Calculations!$P136,Dataset!$V:$V,0),MATCH(Calculations!$A$1,Dataset!$A$1:$V$1,0)),"")</f>
        <v>6.6584322812511795E-2</v>
      </c>
      <c r="N136" s="871">
        <f>IFERROR(INDEX(Dataset!$A:$V,MATCH(Calculations!N$133&amp;Calculations!$P136,Dataset!$V:$V,0),MATCH(Calculations!$A$1,Dataset!$A$1:$V$1,0)),"")</f>
        <v>6.0469927380106606E-2</v>
      </c>
      <c r="O136" s="871" t="str">
        <f>IFERROR(INDEX(Dataset!$A:$V,MATCH(Calculations!O$133&amp;Calculations!$P136,Dataset!$V:$V,0),MATCH(Calculations!$A$1,Dataset!$A$1:$V$1,0)),"")</f>
        <v/>
      </c>
      <c r="P136" t="s">
        <v>920</v>
      </c>
    </row>
    <row r="137" spans="1:16">
      <c r="A137" s="869" t="s">
        <v>63</v>
      </c>
      <c r="B137" s="869"/>
      <c r="C137" s="869"/>
      <c r="D137" s="869"/>
      <c r="E137" s="869"/>
      <c r="F137" s="869"/>
      <c r="G137" s="869"/>
      <c r="H137" s="871"/>
      <c r="I137" s="875">
        <f>IFERROR(INDEX(Dataset!$A:$V,MATCH(Calculations!I$133&amp;Calculations!$P137,Dataset!$V:$V,0),MATCH(Calculations!$A$1,Dataset!$A$1:$V$1,0)),"")</f>
        <v>11</v>
      </c>
      <c r="J137" s="875" t="str">
        <f>IFERROR(INDEX(Dataset!$A:$V,MATCH(Calculations!J$133&amp;Calculations!$P137,Dataset!$V:$V,0),MATCH(Calculations!$A$1,Dataset!$A$1:$V$1,0)),"")</f>
        <v/>
      </c>
      <c r="K137" s="875">
        <f>IFERROR(INDEX(Dataset!$A:$V,MATCH(Calculations!K$133&amp;Calculations!$P137,Dataset!$V:$V,0),MATCH(Calculations!$A$1,Dataset!$A$1:$V$1,0)),"")</f>
        <v>1</v>
      </c>
      <c r="L137" s="875" t="str">
        <f>IFERROR(INDEX(Dataset!$A:$V,MATCH(Calculations!L$133&amp;Calculations!$P137,Dataset!$V:$V,0),MATCH(Calculations!$A$1,Dataset!$A$1:$V$1,0)),"")</f>
        <v/>
      </c>
      <c r="M137" s="875">
        <f>IFERROR(INDEX(Dataset!$A:$V,MATCH(Calculations!M$133&amp;Calculations!$P137,Dataset!$V:$V,0),MATCH(Calculations!$A$1,Dataset!$A$1:$V$1,0)),"")</f>
        <v>1</v>
      </c>
      <c r="N137" s="875" t="str">
        <f>IFERROR(INDEX(Dataset!$A:$V,MATCH(Calculations!N$133&amp;Calculations!$P137,Dataset!$V:$V,0),MATCH(Calculations!$A$1,Dataset!$A$1:$V$1,0)),"")</f>
        <v/>
      </c>
      <c r="O137" s="875" t="str">
        <f>IFERROR(INDEX(Dataset!$A:$V,MATCH(Calculations!O$133&amp;Calculations!$P137,Dataset!$V:$V,0),MATCH(Calculations!$A$1,Dataset!$A$1:$V$1,0)),"")</f>
        <v/>
      </c>
      <c r="P137" t="s">
        <v>921</v>
      </c>
    </row>
    <row r="139" spans="1:16">
      <c r="A139" s="828" t="s">
        <v>922</v>
      </c>
    </row>
    <row r="140" spans="1:16">
      <c r="A140" s="869" t="s">
        <v>923</v>
      </c>
      <c r="B140" s="869"/>
      <c r="C140" s="869" t="str">
        <f>IFERROR(INDEX(Dataset!$A:$V,MATCH(Calculations!C$133&amp;Calculations!$P140,Dataset!$V:$V,0),MATCH(Calculations!$A$1,Dataset!$A$1:$V$1,0)),"")</f>
        <v/>
      </c>
      <c r="D140" s="869" t="str">
        <f>IFERROR(INDEX(Dataset!$A:$V,MATCH(Calculations!D$133&amp;Calculations!$P140,Dataset!$V:$V,0),MATCH(Calculations!$A$1,Dataset!$A$1:$V$1,0)),"")</f>
        <v/>
      </c>
      <c r="E140" s="869" t="str">
        <f>IFERROR(INDEX(Dataset!$A:$V,MATCH(Calculations!E$133&amp;Calculations!$P140,Dataset!$V:$V,0),MATCH(Calculations!$A$1,Dataset!$A$1:$V$1,0)),"")</f>
        <v/>
      </c>
      <c r="F140" s="869">
        <f>IFERROR(INDEX(Dataset!$A:$V,MATCH(Calculations!F$133&amp;Calculations!$P140,Dataset!$V:$V,0),MATCH(Calculations!$A$1,Dataset!$A$1:$V$1,0)),"")</f>
        <v>29290.645064748202</v>
      </c>
      <c r="G140" s="869">
        <f>IFERROR(INDEX(Dataset!$A:$V,MATCH(Calculations!G$133&amp;Calculations!$P140,Dataset!$V:$V,0),MATCH(Calculations!$A$1,Dataset!$A$1:$V$1,0)),"")</f>
        <v>29722.899999999998</v>
      </c>
      <c r="H140" s="869">
        <f>IFERROR(INDEX(Dataset!$A:$V,MATCH(Calculations!H$133&amp;Calculations!$P140,Dataset!$V:$V,0),MATCH(Calculations!$A$1,Dataset!$A$1:$V$1,0)),"")</f>
        <v>26708.587865428595</v>
      </c>
      <c r="I140" s="869">
        <f>IFERROR(INDEX(Dataset!$A:$V,MATCH(Calculations!I$133&amp;Calculations!$P140,Dataset!$V:$V,0),MATCH(Calculations!$A$1,Dataset!$A$1:$V$1,0)),"")</f>
        <v>22933.915431895362</v>
      </c>
      <c r="J140" s="869">
        <f>IFERROR(INDEX(Dataset!$A:$V,MATCH(Calculations!J$133&amp;Calculations!$P140,Dataset!$V:$V,0),MATCH(Calculations!$A$1,Dataset!$A$1:$V$1,0)),"")</f>
        <v>20832.016472945819</v>
      </c>
      <c r="K140" s="869">
        <f>IFERROR(INDEX(Dataset!$A:$V,MATCH(Calculations!K$133&amp;Calculations!$P140,Dataset!$V:$V,0),MATCH(Calculations!$A$1,Dataset!$A$1:$V$1,0)),"")</f>
        <v>17325.740381459083</v>
      </c>
      <c r="L140" s="869">
        <f>IFERROR(INDEX(Dataset!$A:$V,MATCH(Calculations!L$133&amp;Calculations!$P140,Dataset!$V:$V,0),MATCH(Calculations!$A$1,Dataset!$A$1:$V$1,0)),"")</f>
        <v>14547.590891712225</v>
      </c>
      <c r="M140" s="869">
        <f>IFERROR(INDEX(Dataset!$A:$V,MATCH(Calculations!M$133&amp;Calculations!$P140,Dataset!$V:$V,0),MATCH(Calculations!$A$1,Dataset!$A$1:$V$1,0)),"")</f>
        <v>14876.638565430478</v>
      </c>
      <c r="N140" s="869">
        <f>IFERROR(INDEX(Dataset!$A:$V,MATCH(Calculations!N$133&amp;Calculations!$P140,Dataset!$V:$V,0),MATCH(Calculations!$A$1,Dataset!$A$1:$V$1,0)),"")</f>
        <v>14043.356877497055</v>
      </c>
      <c r="O140" s="869" t="str">
        <f>IFERROR(INDEX(Dataset!$A:$V,MATCH(Calculations!O$133&amp;Calculations!$P140,Dataset!$V:$V,0),MATCH(Calculations!$A$1,Dataset!$A$1:$V$1,0)),"")</f>
        <v/>
      </c>
      <c r="P140" t="s">
        <v>924</v>
      </c>
    </row>
    <row r="141" spans="1:16">
      <c r="A141" s="869" t="s">
        <v>925</v>
      </c>
      <c r="B141" s="869"/>
      <c r="C141" s="869" t="str">
        <f>IFERROR(INDEX(Dataset!$A:$V,MATCH(Calculations!C$133&amp;Calculations!$P141,Dataset!$V:$V,0),MATCH(Calculations!$A$1,Dataset!$A$1:$V$1,0)),"")</f>
        <v/>
      </c>
      <c r="D141" s="869" t="str">
        <f>IFERROR(INDEX(Dataset!$A:$V,MATCH(Calculations!D$133&amp;Calculations!$P141,Dataset!$V:$V,0),MATCH(Calculations!$A$1,Dataset!$A$1:$V$1,0)),"")</f>
        <v/>
      </c>
      <c r="E141" s="869" t="str">
        <f>IFERROR(INDEX(Dataset!$A:$V,MATCH(Calculations!E$133&amp;Calculations!$P141,Dataset!$V:$V,0),MATCH(Calculations!$A$1,Dataset!$A$1:$V$1,0)),"")</f>
        <v/>
      </c>
      <c r="F141" s="871">
        <f>IFERROR(INDEX(Dataset!$A:$V,MATCH(Calculations!F$133&amp;Calculations!$P141,Dataset!$V:$V,0),MATCH(Calculations!$A$1,Dataset!$A$1:$V$1,0)),"")</f>
        <v>0.23381545639027365</v>
      </c>
      <c r="G141" s="871">
        <f>IFERROR(INDEX(Dataset!$A:$V,MATCH(Calculations!G$133&amp;Calculations!$P141,Dataset!$V:$V,0),MATCH(Calculations!$A$1,Dataset!$A$1:$V$1,0)),"")</f>
        <v>0.23613821254543346</v>
      </c>
      <c r="H141" s="871">
        <f>IFERROR(INDEX(Dataset!$A:$V,MATCH(Calculations!H$133&amp;Calculations!$P141,Dataset!$V:$V,0),MATCH(Calculations!$A$1,Dataset!$A$1:$V$1,0)),"")</f>
        <v>0.21320908774122974</v>
      </c>
      <c r="I141" s="871">
        <f>IFERROR(INDEX(Dataset!$A:$V,MATCH(Calculations!I$133&amp;Calculations!$P141,Dataset!$V:$V,0),MATCH(Calculations!$A$1,Dataset!$A$1:$V$1,0)),"")</f>
        <v>0.18221745896709957</v>
      </c>
      <c r="J141" s="871">
        <f>IFERROR(INDEX(Dataset!$A:$V,MATCH(Calculations!J$133&amp;Calculations!$P141,Dataset!$V:$V,0),MATCH(Calculations!$A$1,Dataset!$A$1:$V$1,0)),"")</f>
        <v>0.16474237874143857</v>
      </c>
      <c r="K141" s="871">
        <f>IFERROR(INDEX(Dataset!$A:$V,MATCH(Calculations!K$133&amp;Calculations!$P141,Dataset!$V:$V,0),MATCH(Calculations!$A$1,Dataset!$A$1:$V$1,0)),"")</f>
        <v>0.13643836231536605</v>
      </c>
      <c r="L141" s="871">
        <f>IFERROR(INDEX(Dataset!$A:$V,MATCH(Calculations!L$133&amp;Calculations!$P141,Dataset!$V:$V,0),MATCH(Calculations!$A$1,Dataset!$A$1:$V$1,0)),"")</f>
        <v>0.11419351029081042</v>
      </c>
      <c r="M141" s="871">
        <f>IFERROR(INDEX(Dataset!$A:$V,MATCH(Calculations!M$133&amp;Calculations!$P141,Dataset!$V:$V,0),MATCH(Calculations!$A$1,Dataset!$A$1:$V$1,0)),"")</f>
        <v>0.1164100271134887</v>
      </c>
      <c r="N141" s="871">
        <f>IFERROR(INDEX(Dataset!$A:$V,MATCH(Calculations!N$133&amp;Calculations!$P141,Dataset!$V:$V,0),MATCH(Calculations!$A$1,Dataset!$A$1:$V$1,0)),"")</f>
        <v>0.10956030289578472</v>
      </c>
      <c r="O141" s="871" t="str">
        <f>IFERROR(INDEX(Dataset!$A:$V,MATCH(Calculations!O$133&amp;Calculations!$P141,Dataset!$V:$V,0),MATCH(Calculations!$A$1,Dataset!$A$1:$V$1,0)),"")</f>
        <v/>
      </c>
      <c r="P141" t="s">
        <v>926</v>
      </c>
    </row>
    <row r="142" spans="1:16">
      <c r="A142" s="869" t="s">
        <v>63</v>
      </c>
      <c r="B142" s="869"/>
      <c r="C142" s="869" t="str">
        <f>IFERROR(INDEX(Dataset!$A:$V,MATCH(Calculations!C$133&amp;Calculations!$P142,Dataset!$V:$V,0),MATCH(Calculations!$A$1,Dataset!$A$1:$V$1,0)),"")</f>
        <v/>
      </c>
      <c r="D142" s="869" t="str">
        <f>IFERROR(INDEX(Dataset!$A:$V,MATCH(Calculations!D$133&amp;Calculations!$P142,Dataset!$V:$V,0),MATCH(Calculations!$A$1,Dataset!$A$1:$V$1,0)),"")</f>
        <v/>
      </c>
      <c r="E142" s="869" t="str">
        <f>IFERROR(INDEX(Dataset!$A:$V,MATCH(Calculations!E$133&amp;Calculations!$P142,Dataset!$V:$V,0),MATCH(Calculations!$A$1,Dataset!$A$1:$V$1,0)),"")</f>
        <v/>
      </c>
      <c r="F142" s="869" t="str">
        <f>IFERROR(INDEX(Dataset!$A:$V,MATCH(Calculations!F$133&amp;Calculations!$P142,Dataset!$V:$V,0),MATCH(Calculations!$A$1,Dataset!$A$1:$V$1,0)),"")</f>
        <v/>
      </c>
      <c r="G142" s="869" t="str">
        <f>IFERROR(INDEX(Dataset!$A:$V,MATCH(Calculations!G$133&amp;Calculations!$P142,Dataset!$V:$V,0),MATCH(Calculations!$A$1,Dataset!$A$1:$V$1,0)),"")</f>
        <v/>
      </c>
      <c r="H142" s="869">
        <f>IFERROR(INDEX(Dataset!$A:$V,MATCH(Calculations!H$133&amp;Calculations!$P142,Dataset!$V:$V,0),MATCH(Calculations!$A$1,Dataset!$A$1:$V$1,0)),"")</f>
        <v>14</v>
      </c>
      <c r="I142" s="869">
        <f>IFERROR(INDEX(Dataset!$A:$V,MATCH(Calculations!I$133&amp;Calculations!$P142,Dataset!$V:$V,0),MATCH(Calculations!$A$1,Dataset!$A$1:$V$1,0)),"")</f>
        <v>12</v>
      </c>
      <c r="J142" s="869">
        <f>IFERROR(INDEX(Dataset!$A:$V,MATCH(Calculations!J$133&amp;Calculations!$P142,Dataset!$V:$V,0),MATCH(Calculations!$A$1,Dataset!$A$1:$V$1,0)),"")</f>
        <v>10</v>
      </c>
      <c r="K142" s="869">
        <f>IFERROR(INDEX(Dataset!$A:$V,MATCH(Calculations!K$133&amp;Calculations!$P142,Dataset!$V:$V,0),MATCH(Calculations!$A$1,Dataset!$A$1:$V$1,0)),"")</f>
        <v>8</v>
      </c>
      <c r="L142" s="869">
        <f>IFERROR(INDEX(Dataset!$A:$V,MATCH(Calculations!L$133&amp;Calculations!$P142,Dataset!$V:$V,0),MATCH(Calculations!$A$1,Dataset!$A$1:$V$1,0)),"")</f>
        <v>7</v>
      </c>
      <c r="M142" s="869">
        <f>IFERROR(INDEX(Dataset!$A:$V,MATCH(Calculations!M$133&amp;Calculations!$P142,Dataset!$V:$V,0),MATCH(Calculations!$A$1,Dataset!$A$1:$V$1,0)),"")</f>
        <v>8</v>
      </c>
      <c r="N142" s="869">
        <f>IFERROR(INDEX(Dataset!$A:$V,MATCH(Calculations!N$133&amp;Calculations!$P142,Dataset!$V:$V,0),MATCH(Calculations!$A$1,Dataset!$A$1:$V$1,0)),"")</f>
        <v>8</v>
      </c>
      <c r="O142" s="869" t="str">
        <f>IFERROR(INDEX(Dataset!$A:$V,MATCH(Calculations!O$133&amp;Calculations!$P142,Dataset!$V:$V,0),MATCH(Calculations!$A$1,Dataset!$A$1:$V$1,0)),"")</f>
        <v/>
      </c>
      <c r="P142" t="s">
        <v>927</v>
      </c>
    </row>
    <row r="144" spans="1:16">
      <c r="A144" s="828" t="s">
        <v>928</v>
      </c>
    </row>
    <row r="145" spans="1:16">
      <c r="A145" s="869" t="s">
        <v>929</v>
      </c>
      <c r="B145" s="869"/>
      <c r="C145" s="869" t="str">
        <f>IFERROR(INDEX(Dataset!$A:$V,MATCH(Calculations!C$133&amp;Calculations!$P145,Dataset!$V:$V,0),MATCH(Calculations!$A$1,Dataset!$A$1:$V$1,0)),"")</f>
        <v/>
      </c>
      <c r="D145" s="869" t="str">
        <f>IFERROR(INDEX(Dataset!$A:$V,MATCH(Calculations!D$133&amp;Calculations!$P145,Dataset!$V:$V,0),MATCH(Calculations!$A$1,Dataset!$A$1:$V$1,0)),"")</f>
        <v/>
      </c>
      <c r="E145" s="869" t="str">
        <f>IFERROR(INDEX(Dataset!$A:$V,MATCH(Calculations!E$133&amp;Calculations!$P145,Dataset!$V:$V,0),MATCH(Calculations!$A$1,Dataset!$A$1:$V$1,0)),"")</f>
        <v/>
      </c>
      <c r="F145" s="869">
        <f>IFERROR(INDEX(Dataset!$A:$V,MATCH(Calculations!F$133&amp;Calculations!$P145,Dataset!$V:$V,0),MATCH(Calculations!$A$1,Dataset!$A$1:$V$1,0)),"")</f>
        <v>94.660881370217623</v>
      </c>
      <c r="G145" s="869">
        <f>IFERROR(INDEX(Dataset!$A:$V,MATCH(Calculations!G$133&amp;Calculations!$P145,Dataset!$V:$V,0),MATCH(Calculations!$A$1,Dataset!$A$1:$V$1,0)),"")</f>
        <v>62</v>
      </c>
      <c r="H145" s="869">
        <f>IFERROR(INDEX(Dataset!$A:$V,MATCH(Calculations!H$133&amp;Calculations!$P145,Dataset!$V:$V,0),MATCH(Calculations!$A$1,Dataset!$A$1:$V$1,0)),"")</f>
        <v>352.64</v>
      </c>
      <c r="I145" s="869">
        <f>IFERROR(INDEX(Dataset!$A:$V,MATCH(Calculations!I$133&amp;Calculations!$P145,Dataset!$V:$V,0),MATCH(Calculations!$A$1,Dataset!$A$1:$V$1,0)),"")</f>
        <v>199.63</v>
      </c>
      <c r="J145" s="869">
        <f>IFERROR(INDEX(Dataset!$A:$V,MATCH(Calculations!J$133&amp;Calculations!$P145,Dataset!$V:$V,0),MATCH(Calculations!$A$1,Dataset!$A$1:$V$1,0)),"")</f>
        <v>186.96</v>
      </c>
      <c r="K145" s="869">
        <f>IFERROR(INDEX(Dataset!$A:$V,MATCH(Calculations!K$133&amp;Calculations!$P145,Dataset!$V:$V,0),MATCH(Calculations!$A$1,Dataset!$A$1:$V$1,0)),"")</f>
        <v>166.28399999999999</v>
      </c>
      <c r="L145" s="869">
        <f>IFERROR(INDEX(Dataset!$A:$V,MATCH(Calculations!L$133&amp;Calculations!$P145,Dataset!$V:$V,0),MATCH(Calculations!$A$1,Dataset!$A$1:$V$1,0)),"")</f>
        <v>111.521</v>
      </c>
      <c r="M145" s="869">
        <f>IFERROR(INDEX(Dataset!$A:$V,MATCH(Calculations!M$133&amp;Calculations!$P145,Dataset!$V:$V,0),MATCH(Calculations!$A$1,Dataset!$A$1:$V$1,0)),"")</f>
        <v>184.79600000000002</v>
      </c>
      <c r="N145" s="869">
        <f>IFERROR(INDEX(Dataset!$A:$V,MATCH(Calculations!N$133&amp;Calculations!$P145,Dataset!$V:$V,0),MATCH(Calculations!$A$1,Dataset!$A$1:$V$1,0)),"")</f>
        <v>135.422</v>
      </c>
      <c r="O145" s="869" t="str">
        <f>IFERROR(INDEX(Dataset!$A:$V,MATCH(Calculations!O$133&amp;Calculations!$P145,Dataset!$V:$V,0),MATCH(Calculations!$A$1,Dataset!$A$1:$V$1,0)),"")</f>
        <v/>
      </c>
      <c r="P145" t="s">
        <v>930</v>
      </c>
    </row>
    <row r="146" spans="1:16">
      <c r="A146" s="869" t="s">
        <v>931</v>
      </c>
      <c r="B146" s="869"/>
      <c r="C146" s="869" t="str">
        <f>IFERROR(INDEX(Dataset!$A:$V,MATCH(Calculations!C$133&amp;Calculations!$P146,Dataset!$V:$V,0),MATCH(Calculations!$A$1,Dataset!$A$1:$V$1,0)),"")</f>
        <v/>
      </c>
      <c r="D146" s="869" t="str">
        <f>IFERROR(INDEX(Dataset!$A:$V,MATCH(Calculations!D$133&amp;Calculations!$P146,Dataset!$V:$V,0),MATCH(Calculations!$A$1,Dataset!$A$1:$V$1,0)),"")</f>
        <v/>
      </c>
      <c r="E146" s="869" t="str">
        <f>IFERROR(INDEX(Dataset!$A:$V,MATCH(Calculations!E$133&amp;Calculations!$P146,Dataset!$V:$V,0),MATCH(Calculations!$A$1,Dataset!$A$1:$V$1,0)),"")</f>
        <v/>
      </c>
      <c r="F146" s="869">
        <f>IFERROR(INDEX(Dataset!$A:$V,MATCH(Calculations!F$133&amp;Calculations!$P146,Dataset!$V:$V,0),MATCH(Calculations!$A$1,Dataset!$A$1:$V$1,0)),"")</f>
        <v>17537</v>
      </c>
      <c r="G146" s="869">
        <f>IFERROR(INDEX(Dataset!$A:$V,MATCH(Calculations!G$133&amp;Calculations!$P146,Dataset!$V:$V,0),MATCH(Calculations!$A$1,Dataset!$A$1:$V$1,0)),"")</f>
        <v>19464</v>
      </c>
      <c r="H146" s="869">
        <f>IFERROR(INDEX(Dataset!$A:$V,MATCH(Calculations!H$133&amp;Calculations!$P146,Dataset!$V:$V,0),MATCH(Calculations!$A$1,Dataset!$A$1:$V$1,0)),"")</f>
        <v>20866</v>
      </c>
      <c r="I146" s="869">
        <f>IFERROR(INDEX(Dataset!$A:$V,MATCH(Calculations!I$133&amp;Calculations!$P146,Dataset!$V:$V,0),MATCH(Calculations!$A$1,Dataset!$A$1:$V$1,0)),"")</f>
        <v>22761</v>
      </c>
      <c r="J146" s="869">
        <f>IFERROR(INDEX(Dataset!$A:$V,MATCH(Calculations!J$133&amp;Calculations!$P146,Dataset!$V:$V,0),MATCH(Calculations!$A$1,Dataset!$A$1:$V$1,0)),"")</f>
        <v>24570</v>
      </c>
      <c r="K146" s="869">
        <f>IFERROR(INDEX(Dataset!$A:$V,MATCH(Calculations!K$133&amp;Calculations!$P146,Dataset!$V:$V,0),MATCH(Calculations!$A$1,Dataset!$A$1:$V$1,0)),"")</f>
        <v>25776.7</v>
      </c>
      <c r="L146" s="869">
        <f>IFERROR(INDEX(Dataset!$A:$V,MATCH(Calculations!L$133&amp;Calculations!$P146,Dataset!$V:$V,0),MATCH(Calculations!$A$1,Dataset!$A$1:$V$1,0)),"")</f>
        <v>26230.76</v>
      </c>
      <c r="M146" s="869">
        <f>IFERROR(INDEX(Dataset!$A:$V,MATCH(Calculations!M$133&amp;Calculations!$P146,Dataset!$V:$V,0),MATCH(Calculations!$A$1,Dataset!$A$1:$V$1,0)),"")</f>
        <v>26940.35</v>
      </c>
      <c r="N146" s="869">
        <f>IFERROR(INDEX(Dataset!$A:$V,MATCH(Calculations!N$133&amp;Calculations!$P146,Dataset!$V:$V,0),MATCH(Calculations!$A$1,Dataset!$A$1:$V$1,0)),"")</f>
        <v>28523.46</v>
      </c>
      <c r="O146" s="869" t="str">
        <f>IFERROR(INDEX(Dataset!$A:$V,MATCH(Calculations!O$133&amp;Calculations!$P146,Dataset!$V:$V,0),MATCH(Calculations!$A$1,Dataset!$A$1:$V$1,0)),"")</f>
        <v/>
      </c>
      <c r="P146" t="s">
        <v>932</v>
      </c>
    </row>
    <row r="147" spans="1:16">
      <c r="A147" s="869" t="s">
        <v>933</v>
      </c>
      <c r="B147" s="869"/>
      <c r="C147" s="869" t="str">
        <f>IFERROR(INDEX(Dataset!$A:$V,MATCH(Calculations!C$133&amp;Calculations!$P147,Dataset!$V:$V,0),MATCH(Calculations!$A$1,Dataset!$A$1:$V$1,0)),"")</f>
        <v/>
      </c>
      <c r="D147" s="869" t="str">
        <f>IFERROR(INDEX(Dataset!$A:$V,MATCH(Calculations!D$133&amp;Calculations!$P147,Dataset!$V:$V,0),MATCH(Calculations!$A$1,Dataset!$A$1:$V$1,0)),"")</f>
        <v/>
      </c>
      <c r="E147" s="869" t="str">
        <f>IFERROR(INDEX(Dataset!$A:$V,MATCH(Calculations!E$133&amp;Calculations!$P147,Dataset!$V:$V,0),MATCH(Calculations!$A$1,Dataset!$A$1:$V$1,0)),"")</f>
        <v/>
      </c>
      <c r="F147" s="871">
        <f>IFERROR(INDEX(Dataset!$A:$V,MATCH(Calculations!F$133&amp;Calculations!$P147,Dataset!$V:$V,0),MATCH(Calculations!$A$1,Dataset!$A$1:$V$1,0)),"")</f>
        <v>5.3977807703836245E-3</v>
      </c>
      <c r="G147" s="871">
        <f>IFERROR(INDEX(Dataset!$A:$V,MATCH(Calculations!G$133&amp;Calculations!$P147,Dataset!$V:$V,0),MATCH(Calculations!$A$1,Dataset!$A$1:$V$1,0)),"")</f>
        <v>3.1853678586107686E-3</v>
      </c>
      <c r="H147" s="871">
        <f>IFERROR(INDEX(Dataset!$A:$V,MATCH(Calculations!H$133&amp;Calculations!$P147,Dataset!$V:$V,0),MATCH(Calculations!$A$1,Dataset!$A$1:$V$1,0)),"")</f>
        <v>1.6900220454327614E-2</v>
      </c>
      <c r="I147" s="871">
        <f>IFERROR(INDEX(Dataset!$A:$V,MATCH(Calculations!I$133&amp;Calculations!$P147,Dataset!$V:$V,0),MATCH(Calculations!$A$1,Dataset!$A$1:$V$1,0)),"")</f>
        <v>8.7707042748561125E-3</v>
      </c>
      <c r="J147" s="871">
        <f>IFERROR(INDEX(Dataset!$A:$V,MATCH(Calculations!J$133&amp;Calculations!$P147,Dataset!$V:$V,0),MATCH(Calculations!$A$1,Dataset!$A$1:$V$1,0)),"")</f>
        <v>7.6092796092796094E-3</v>
      </c>
      <c r="K147" s="871">
        <f>IFERROR(INDEX(Dataset!$A:$V,MATCH(Calculations!K$133&amp;Calculations!$P147,Dataset!$V:$V,0),MATCH(Calculations!$A$1,Dataset!$A$1:$V$1,0)),"")</f>
        <v>6.4509421299080169E-3</v>
      </c>
      <c r="L147" s="871">
        <f>IFERROR(INDEX(Dataset!$A:$V,MATCH(Calculations!L$133&amp;Calculations!$P147,Dataset!$V:$V,0),MATCH(Calculations!$A$1,Dataset!$A$1:$V$1,0)),"")</f>
        <v>4.2515352204816025E-3</v>
      </c>
      <c r="M147" s="871">
        <f>IFERROR(INDEX(Dataset!$A:$V,MATCH(Calculations!M$133&amp;Calculations!$P147,Dataset!$V:$V,0),MATCH(Calculations!$A$1,Dataset!$A$1:$V$1,0)),"")</f>
        <v>6.859450601050099E-3</v>
      </c>
      <c r="N147" s="871">
        <f>IFERROR(INDEX(Dataset!$A:$V,MATCH(Calculations!N$133&amp;Calculations!$P147,Dataset!$V:$V,0),MATCH(Calculations!$A$1,Dataset!$A$1:$V$1,0)),"")</f>
        <v>4.747740982335243E-3</v>
      </c>
      <c r="O147" s="871" t="str">
        <f>IFERROR(INDEX(Dataset!$A:$V,MATCH(Calculations!O$133&amp;Calculations!$P147,Dataset!$V:$V,0),MATCH(Calculations!$A$1,Dataset!$A$1:$V$1,0)),"")</f>
        <v/>
      </c>
      <c r="P147" t="s">
        <v>934</v>
      </c>
    </row>
    <row r="148" spans="1:16">
      <c r="A148" s="869" t="s">
        <v>63</v>
      </c>
      <c r="B148" s="869"/>
      <c r="C148" s="869" t="str">
        <f>IFERROR(INDEX(Dataset!$A:$V,MATCH(Calculations!C$133&amp;Calculations!$P148,Dataset!$V:$V,0),MATCH(Calculations!$A$1,Dataset!$A$1:$V$1,0)),"")</f>
        <v/>
      </c>
      <c r="D148" s="869" t="str">
        <f>IFERROR(INDEX(Dataset!$A:$V,MATCH(Calculations!D$133&amp;Calculations!$P148,Dataset!$V:$V,0),MATCH(Calculations!$A$1,Dataset!$A$1:$V$1,0)),"")</f>
        <v/>
      </c>
      <c r="E148" s="869" t="str">
        <f>IFERROR(INDEX(Dataset!$A:$V,MATCH(Calculations!E$133&amp;Calculations!$P148,Dataset!$V:$V,0),MATCH(Calculations!$A$1,Dataset!$A$1:$V$1,0)),"")</f>
        <v/>
      </c>
      <c r="F148" s="869" t="str">
        <f>IFERROR(INDEX(Dataset!$A:$V,MATCH(Calculations!F$133&amp;Calculations!$P148,Dataset!$V:$V,0),MATCH(Calculations!$A$1,Dataset!$A$1:$V$1,0)),"")</f>
        <v/>
      </c>
      <c r="G148" s="869" t="str">
        <f>IFERROR(INDEX(Dataset!$A:$V,MATCH(Calculations!G$133&amp;Calculations!$P148,Dataset!$V:$V,0),MATCH(Calculations!$A$1,Dataset!$A$1:$V$1,0)),"")</f>
        <v/>
      </c>
      <c r="H148" s="869">
        <f>IFERROR(INDEX(Dataset!$A:$V,MATCH(Calculations!H$133&amp;Calculations!$P148,Dataset!$V:$V,0),MATCH(Calculations!$A$1,Dataset!$A$1:$V$1,0)),"")</f>
        <v>14</v>
      </c>
      <c r="I148" s="869">
        <f>IFERROR(INDEX(Dataset!$A:$V,MATCH(Calculations!I$133&amp;Calculations!$P148,Dataset!$V:$V,0),MATCH(Calculations!$A$1,Dataset!$A$1:$V$1,0)),"")</f>
        <v>14</v>
      </c>
      <c r="J148" s="869">
        <f>IFERROR(INDEX(Dataset!$A:$V,MATCH(Calculations!J$133&amp;Calculations!$P148,Dataset!$V:$V,0),MATCH(Calculations!$A$1,Dataset!$A$1:$V$1,0)),"")</f>
        <v>12</v>
      </c>
      <c r="K148" s="869">
        <f>IFERROR(INDEX(Dataset!$A:$V,MATCH(Calculations!K$133&amp;Calculations!$P148,Dataset!$V:$V,0),MATCH(Calculations!$A$1,Dataset!$A$1:$V$1,0)),"")</f>
        <v>12</v>
      </c>
      <c r="L148" s="869">
        <f>IFERROR(INDEX(Dataset!$A:$V,MATCH(Calculations!L$133&amp;Calculations!$P148,Dataset!$V:$V,0),MATCH(Calculations!$A$1,Dataset!$A$1:$V$1,0)),"")</f>
        <v>11</v>
      </c>
      <c r="M148" s="869">
        <f>IFERROR(INDEX(Dataset!$A:$V,MATCH(Calculations!M$133&amp;Calculations!$P148,Dataset!$V:$V,0),MATCH(Calculations!$A$1,Dataset!$A$1:$V$1,0)),"")</f>
        <v>13</v>
      </c>
      <c r="N148" s="869">
        <f>IFERROR(INDEX(Dataset!$A:$V,MATCH(Calculations!N$133&amp;Calculations!$P148,Dataset!$V:$V,0),MATCH(Calculations!$A$1,Dataset!$A$1:$V$1,0)),"")</f>
        <v>11</v>
      </c>
      <c r="O148" s="869" t="str">
        <f>IFERROR(INDEX(Dataset!$A:$V,MATCH(Calculations!O$133&amp;Calculations!$P148,Dataset!$V:$V,0),MATCH(Calculations!$A$1,Dataset!$A$1:$V$1,0)),"")</f>
        <v/>
      </c>
      <c r="P148" t="s">
        <v>935</v>
      </c>
    </row>
    <row r="150" spans="1:16">
      <c r="A150" s="828" t="s">
        <v>936</v>
      </c>
    </row>
    <row r="151" spans="1:16">
      <c r="A151" s="869" t="s">
        <v>937</v>
      </c>
      <c r="B151" s="869"/>
      <c r="C151" s="869" t="str">
        <f>IFERROR(INDEX(Dataset!$A:$V,MATCH(Calculations!C$133&amp;Calculations!$P151,Dataset!$V:$V,0),MATCH(Calculations!$A$1,Dataset!$A$1:$V$1,0)),"")</f>
        <v/>
      </c>
      <c r="D151" s="869" t="str">
        <f>IFERROR(INDEX(Dataset!$A:$V,MATCH(Calculations!D$133&amp;Calculations!$P151,Dataset!$V:$V,0),MATCH(Calculations!$A$1,Dataset!$A$1:$V$1,0)),"")</f>
        <v/>
      </c>
      <c r="E151" s="869" t="str">
        <f>IFERROR(INDEX(Dataset!$A:$V,MATCH(Calculations!E$133&amp;Calculations!$P151,Dataset!$V:$V,0),MATCH(Calculations!$A$1,Dataset!$A$1:$V$1,0)),"")</f>
        <v/>
      </c>
      <c r="F151" s="869">
        <f>IFERROR(INDEX(Dataset!$A:$V,MATCH(Calculations!F$133&amp;Calculations!$P151,Dataset!$V:$V,0),MATCH(Calculations!$A$1,Dataset!$A$1:$V$1,0)),"")</f>
        <v>11382</v>
      </c>
      <c r="G151" s="869">
        <f>IFERROR(INDEX(Dataset!$A:$V,MATCH(Calculations!G$133&amp;Calculations!$P151,Dataset!$V:$V,0),MATCH(Calculations!$A$1,Dataset!$A$1:$V$1,0)),"")</f>
        <v>19717</v>
      </c>
      <c r="H151" s="869">
        <f>IFERROR(INDEX(Dataset!$A:$V,MATCH(Calculations!H$133&amp;Calculations!$P151,Dataset!$V:$V,0),MATCH(Calculations!$A$1,Dataset!$A$1:$V$1,0)),"")</f>
        <v>8392</v>
      </c>
      <c r="I151" s="869">
        <f>IFERROR(INDEX(Dataset!$A:$V,MATCH(Calculations!I$133&amp;Calculations!$P151,Dataset!$V:$V,0),MATCH(Calculations!$A$1,Dataset!$A$1:$V$1,0)),"")</f>
        <v>9421</v>
      </c>
      <c r="J151" s="869">
        <f>IFERROR(INDEX(Dataset!$A:$V,MATCH(Calculations!J$133&amp;Calculations!$P151,Dataset!$V:$V,0),MATCH(Calculations!$A$1,Dataset!$A$1:$V$1,0)),"")</f>
        <v>12771</v>
      </c>
      <c r="K151" s="869">
        <f>IFERROR(INDEX(Dataset!$A:$V,MATCH(Calculations!K$133&amp;Calculations!$P151,Dataset!$V:$V,0),MATCH(Calculations!$A$1,Dataset!$A$1:$V$1,0)),"")</f>
        <v>31474</v>
      </c>
      <c r="L151" s="869">
        <f>IFERROR(INDEX(Dataset!$A:$V,MATCH(Calculations!L$133&amp;Calculations!$P151,Dataset!$V:$V,0),MATCH(Calculations!$A$1,Dataset!$A$1:$V$1,0)),"")</f>
        <v>12511</v>
      </c>
      <c r="M151" s="869">
        <f>IFERROR(INDEX(Dataset!$A:$V,MATCH(Calculations!M$133&amp;Calculations!$P151,Dataset!$V:$V,0),MATCH(Calculations!$A$1,Dataset!$A$1:$V$1,0)),"")</f>
        <v>8348</v>
      </c>
      <c r="N151" s="869">
        <f>IFERROR(INDEX(Dataset!$A:$V,MATCH(Calculations!N$133&amp;Calculations!$P151,Dataset!$V:$V,0),MATCH(Calculations!$A$1,Dataset!$A$1:$V$1,0)),"")</f>
        <v>12728</v>
      </c>
      <c r="O151" s="869" t="str">
        <f>IFERROR(INDEX(Dataset!$A:$V,MATCH(Calculations!O$133&amp;Calculations!$P151,Dataset!$V:$V,0),MATCH(Calculations!$A$1,Dataset!$A$1:$V$1,0)),"")</f>
        <v/>
      </c>
      <c r="P151" t="s">
        <v>938</v>
      </c>
    </row>
    <row r="152" spans="1:16">
      <c r="A152" s="869" t="s">
        <v>939</v>
      </c>
      <c r="B152" s="869"/>
      <c r="C152" s="869" t="str">
        <f>IFERROR(INDEX(Dataset!$A:$V,MATCH(Calculations!C$133&amp;Calculations!$P152,Dataset!$V:$V,0),MATCH(Calculations!$A$1,Dataset!$A$1:$V$1,0)),"")</f>
        <v/>
      </c>
      <c r="D152" s="869" t="str">
        <f>IFERROR(INDEX(Dataset!$A:$V,MATCH(Calculations!D$133&amp;Calculations!$P152,Dataset!$V:$V,0),MATCH(Calculations!$A$1,Dataset!$A$1:$V$1,0)),"")</f>
        <v/>
      </c>
      <c r="E152" s="869" t="str">
        <f>IFERROR(INDEX(Dataset!$A:$V,MATCH(Calculations!E$133&amp;Calculations!$P152,Dataset!$V:$V,0),MATCH(Calculations!$A$1,Dataset!$A$1:$V$1,0)),"")</f>
        <v/>
      </c>
      <c r="F152" s="869">
        <f>IFERROR(INDEX(Dataset!$A:$V,MATCH(Calculations!F$133&amp;Calculations!$P152,Dataset!$V:$V,0),MATCH(Calculations!$A$1,Dataset!$A$1:$V$1,0)),"")</f>
        <v>918008.22899999935</v>
      </c>
      <c r="G152" s="869">
        <f>IFERROR(INDEX(Dataset!$A:$V,MATCH(Calculations!G$133&amp;Calculations!$P152,Dataset!$V:$V,0),MATCH(Calculations!$A$1,Dataset!$A$1:$V$1,0)),"")</f>
        <v>877755.23399999982</v>
      </c>
      <c r="H152" s="869">
        <f>IFERROR(INDEX(Dataset!$A:$V,MATCH(Calculations!H$133&amp;Calculations!$P152,Dataset!$V:$V,0),MATCH(Calculations!$A$1,Dataset!$A$1:$V$1,0)),"")</f>
        <v>865392</v>
      </c>
      <c r="I152" s="869">
        <f>IFERROR(INDEX(Dataset!$A:$V,MATCH(Calculations!I$133&amp;Calculations!$P152,Dataset!$V:$V,0),MATCH(Calculations!$A$1,Dataset!$A$1:$V$1,0)),"")</f>
        <v>935150</v>
      </c>
      <c r="J152" s="869">
        <f>IFERROR(INDEX(Dataset!$A:$V,MATCH(Calculations!J$133&amp;Calculations!$P152,Dataset!$V:$V,0),MATCH(Calculations!$A$1,Dataset!$A$1:$V$1,0)),"")</f>
        <v>663808</v>
      </c>
      <c r="K152" s="869">
        <f>IFERROR(INDEX(Dataset!$A:$V,MATCH(Calculations!K$133&amp;Calculations!$P152,Dataset!$V:$V,0),MATCH(Calculations!$A$1,Dataset!$A$1:$V$1,0)),"")</f>
        <v>671353</v>
      </c>
      <c r="L152" s="869">
        <f>IFERROR(INDEX(Dataset!$A:$V,MATCH(Calculations!L$133&amp;Calculations!$P152,Dataset!$V:$V,0),MATCH(Calculations!$A$1,Dataset!$A$1:$V$1,0)),"")</f>
        <v>671353</v>
      </c>
      <c r="M152" s="869">
        <f>IFERROR(INDEX(Dataset!$A:$V,MATCH(Calculations!M$133&amp;Calculations!$P152,Dataset!$V:$V,0),MATCH(Calculations!$A$1,Dataset!$A$1:$V$1,0)),"")</f>
        <v>671353</v>
      </c>
      <c r="N152" s="869">
        <f>IFERROR(INDEX(Dataset!$A:$V,MATCH(Calculations!N$133&amp;Calculations!$P152,Dataset!$V:$V,0),MATCH(Calculations!$A$1,Dataset!$A$1:$V$1,0)),"")</f>
        <v>671353</v>
      </c>
      <c r="O152" s="869" t="str">
        <f>IFERROR(INDEX(Dataset!$A:$V,MATCH(Calculations!O$133&amp;Calculations!$P152,Dataset!$V:$V,0),MATCH(Calculations!$A$1,Dataset!$A$1:$V$1,0)),"")</f>
        <v/>
      </c>
      <c r="P152" t="s">
        <v>940</v>
      </c>
    </row>
    <row r="153" spans="1:16">
      <c r="A153" s="869" t="s">
        <v>941</v>
      </c>
      <c r="B153" s="869"/>
      <c r="C153" s="869" t="str">
        <f>IFERROR(INDEX(Dataset!$A:$V,MATCH(Calculations!C$133&amp;Calculations!$P153,Dataset!$V:$V,0),MATCH(Calculations!$A$1,Dataset!$A$1:$V$1,0)),"")</f>
        <v/>
      </c>
      <c r="D153" s="869" t="str">
        <f>IFERROR(INDEX(Dataset!$A:$V,MATCH(Calculations!D$133&amp;Calculations!$P153,Dataset!$V:$V,0),MATCH(Calculations!$A$1,Dataset!$A$1:$V$1,0)),"")</f>
        <v/>
      </c>
      <c r="E153" s="869" t="str">
        <f>IFERROR(INDEX(Dataset!$A:$V,MATCH(Calculations!E$133&amp;Calculations!$P153,Dataset!$V:$V,0),MATCH(Calculations!$A$1,Dataset!$A$1:$V$1,0)),"")</f>
        <v/>
      </c>
      <c r="F153" s="871">
        <f>IFERROR(INDEX(Dataset!$A:$V,MATCH(Calculations!F$133&amp;Calculations!$P153,Dataset!$V:$V,0),MATCH(Calculations!$A$1,Dataset!$A$1:$V$1,0)),"")</f>
        <v>1.2398581668923154E-2</v>
      </c>
      <c r="G153" s="871">
        <f>IFERROR(INDEX(Dataset!$A:$V,MATCH(Calculations!G$133&amp;Calculations!$P153,Dataset!$V:$V,0),MATCH(Calculations!$A$1,Dataset!$A$1:$V$1,0)),"")</f>
        <v>2.2462981975223409E-2</v>
      </c>
      <c r="H153" s="871">
        <f>IFERROR(INDEX(Dataset!$A:$V,MATCH(Calculations!H$133&amp;Calculations!$P153,Dataset!$V:$V,0),MATCH(Calculations!$A$1,Dataset!$A$1:$V$1,0)),"")</f>
        <v>9.697339471592065E-3</v>
      </c>
      <c r="I153" s="871">
        <f>IFERROR(INDEX(Dataset!$A:$V,MATCH(Calculations!I$133&amp;Calculations!$P153,Dataset!$V:$V,0),MATCH(Calculations!$A$1,Dataset!$A$1:$V$1,0)),"")</f>
        <v>1.0074319627867187E-2</v>
      </c>
      <c r="J153" s="871">
        <f>IFERROR(INDEX(Dataset!$A:$V,MATCH(Calculations!J$133&amp;Calculations!$P153,Dataset!$V:$V,0),MATCH(Calculations!$A$1,Dataset!$A$1:$V$1,0)),"")</f>
        <v>1.9238996818357116E-2</v>
      </c>
      <c r="K153" s="871">
        <f>IFERROR(INDEX(Dataset!$A:$V,MATCH(Calculations!K$133&amp;Calculations!$P153,Dataset!$V:$V,0),MATCH(Calculations!$A$1,Dataset!$A$1:$V$1,0)),"")</f>
        <v>4.6881446869232728E-2</v>
      </c>
      <c r="L153" s="871">
        <f>IFERROR(INDEX(Dataset!$A:$V,MATCH(Calculations!L$133&amp;Calculations!$P153,Dataset!$V:$V,0),MATCH(Calculations!$A$1,Dataset!$A$1:$V$1,0)),"")</f>
        <v>1.8635501740515051E-2</v>
      </c>
      <c r="M153" s="871">
        <f>IFERROR(INDEX(Dataset!$A:$V,MATCH(Calculations!M$133&amp;Calculations!$P153,Dataset!$V:$V,0),MATCH(Calculations!$A$1,Dataset!$A$1:$V$1,0)),"")</f>
        <v>1.2434591042268375E-2</v>
      </c>
      <c r="N153" s="871">
        <f>IFERROR(INDEX(Dataset!$A:$V,MATCH(Calculations!N$133&amp;Calculations!$P153,Dataset!$V:$V,0),MATCH(Calculations!$A$1,Dataset!$A$1:$V$1,0)),"")</f>
        <v>1.8958729610205064E-2</v>
      </c>
      <c r="O153" s="871" t="str">
        <f>IFERROR(INDEX(Dataset!$A:$V,MATCH(Calculations!O$133&amp;Calculations!$P153,Dataset!$V:$V,0),MATCH(Calculations!$A$1,Dataset!$A$1:$V$1,0)),"")</f>
        <v/>
      </c>
      <c r="P153" t="s">
        <v>942</v>
      </c>
    </row>
    <row r="154" spans="1:16">
      <c r="A154" s="869" t="s">
        <v>63</v>
      </c>
      <c r="B154" s="869"/>
      <c r="C154" s="869" t="str">
        <f>IFERROR(INDEX(Dataset!$A:$V,MATCH(Calculations!C$133&amp;Calculations!$P154,Dataset!$V:$V,0),MATCH(Calculations!$A$1,Dataset!$A$1:$V$1,0)),"")</f>
        <v/>
      </c>
      <c r="D154" s="869" t="str">
        <f>IFERROR(INDEX(Dataset!$A:$V,MATCH(Calculations!D$133&amp;Calculations!$P154,Dataset!$V:$V,0),MATCH(Calculations!$A$1,Dataset!$A$1:$V$1,0)),"")</f>
        <v/>
      </c>
      <c r="E154" s="869" t="str">
        <f>IFERROR(INDEX(Dataset!$A:$V,MATCH(Calculations!E$133&amp;Calculations!$P154,Dataset!$V:$V,0),MATCH(Calculations!$A$1,Dataset!$A$1:$V$1,0)),"")</f>
        <v/>
      </c>
      <c r="F154" s="869" t="str">
        <f>IFERROR(INDEX(Dataset!$A:$V,MATCH(Calculations!F$133&amp;Calculations!$P154,Dataset!$V:$V,0),MATCH(Calculations!$A$1,Dataset!$A$1:$V$1,0)),"")</f>
        <v/>
      </c>
      <c r="G154" s="869" t="str">
        <f>IFERROR(INDEX(Dataset!$A:$V,MATCH(Calculations!G$133&amp;Calculations!$P154,Dataset!$V:$V,0),MATCH(Calculations!$A$1,Dataset!$A$1:$V$1,0)),"")</f>
        <v/>
      </c>
      <c r="H154" s="869">
        <f>IFERROR(INDEX(Dataset!$A:$V,MATCH(Calculations!H$133&amp;Calculations!$P154,Dataset!$V:$V,0),MATCH(Calculations!$A$1,Dataset!$A$1:$V$1,0)),"")</f>
        <v>4</v>
      </c>
      <c r="I154" s="869">
        <f>IFERROR(INDEX(Dataset!$A:$V,MATCH(Calculations!I$133&amp;Calculations!$P154,Dataset!$V:$V,0),MATCH(Calculations!$A$1,Dataset!$A$1:$V$1,0)),"")</f>
        <v>3</v>
      </c>
      <c r="J154" s="869">
        <f>IFERROR(INDEX(Dataset!$A:$V,MATCH(Calculations!J$133&amp;Calculations!$P154,Dataset!$V:$V,0),MATCH(Calculations!$A$1,Dataset!$A$1:$V$1,0)),"")</f>
        <v>7</v>
      </c>
      <c r="K154" s="869">
        <f>IFERROR(INDEX(Dataset!$A:$V,MATCH(Calculations!K$133&amp;Calculations!$P154,Dataset!$V:$V,0),MATCH(Calculations!$A$1,Dataset!$A$1:$V$1,0)),"")</f>
        <v>11</v>
      </c>
      <c r="L154" s="869">
        <f>IFERROR(INDEX(Dataset!$A:$V,MATCH(Calculations!L$133&amp;Calculations!$P154,Dataset!$V:$V,0),MATCH(Calculations!$A$1,Dataset!$A$1:$V$1,0)),"")</f>
        <v>7</v>
      </c>
      <c r="M154" s="869">
        <f>IFERROR(INDEX(Dataset!$A:$V,MATCH(Calculations!M$133&amp;Calculations!$P154,Dataset!$V:$V,0),MATCH(Calculations!$A$1,Dataset!$A$1:$V$1,0)),"")</f>
        <v>6</v>
      </c>
      <c r="N154" s="869">
        <f>IFERROR(INDEX(Dataset!$A:$V,MATCH(Calculations!N$133&amp;Calculations!$P154,Dataset!$V:$V,0),MATCH(Calculations!$A$1,Dataset!$A$1:$V$1,0)),"")</f>
        <v>7</v>
      </c>
      <c r="O154" s="869" t="str">
        <f>IFERROR(INDEX(Dataset!$A:$V,MATCH(Calculations!O$133&amp;Calculations!$P154,Dataset!$V:$V,0),MATCH(Calculations!$A$1,Dataset!$A$1:$V$1,0)),"")</f>
        <v/>
      </c>
      <c r="P154" t="s">
        <v>943</v>
      </c>
    </row>
    <row r="156" spans="1:16">
      <c r="A156" s="828" t="s">
        <v>429</v>
      </c>
    </row>
    <row r="157" spans="1:16">
      <c r="A157" s="869" t="s">
        <v>944</v>
      </c>
      <c r="B157" s="869"/>
      <c r="C157" s="869" t="str">
        <f>IFERROR(INDEX(Dataset!$A:$V,MATCH(Calculations!C$133&amp;Calculations!$P157,Dataset!$V:$V,0),MATCH(Calculations!$A$1,Dataset!$A$1:$V$1,0)),"")</f>
        <v/>
      </c>
      <c r="D157" s="869" t="str">
        <f>IFERROR(INDEX(Dataset!$A:$V,MATCH(Calculations!D$133&amp;Calculations!$P157,Dataset!$V:$V,0),MATCH(Calculations!$A$1,Dataset!$A$1:$V$1,0)),"")</f>
        <v/>
      </c>
      <c r="E157" s="869" t="str">
        <f>IFERROR(INDEX(Dataset!$A:$V,MATCH(Calculations!E$133&amp;Calculations!$P157,Dataset!$V:$V,0),MATCH(Calculations!$A$1,Dataset!$A$1:$V$1,0)),"")</f>
        <v/>
      </c>
      <c r="F157" s="869" t="str">
        <f>IFERROR(INDEX(Dataset!$A:$V,MATCH(Calculations!F$133&amp;Calculations!$P157,Dataset!$V:$V,0),MATCH(Calculations!$A$1,Dataset!$A$1:$V$1,0)),"")</f>
        <v/>
      </c>
      <c r="G157" s="869" t="str">
        <f>IFERROR(INDEX(Dataset!$A:$V,MATCH(Calculations!G$133&amp;Calculations!$P157,Dataset!$V:$V,0),MATCH(Calculations!$A$1,Dataset!$A$1:$V$1,0)),"")</f>
        <v/>
      </c>
      <c r="H157" s="869">
        <f>IFERROR(INDEX(Dataset!$A:$V,MATCH(Calculations!H$133&amp;Calculations!$P157,Dataset!$V:$V,0),MATCH(Calculations!$A$1,Dataset!$A$1:$V$1,0)),"")</f>
        <v>4.6558569999999992</v>
      </c>
      <c r="I157" s="869">
        <f>IFERROR(INDEX(Dataset!$A:$V,MATCH(Calculations!I$133&amp;Calculations!$P157,Dataset!$V:$V,0),MATCH(Calculations!$A$1,Dataset!$A$1:$V$1,0)),"")</f>
        <v>3.2930359999999999</v>
      </c>
      <c r="J157" s="869">
        <f>IFERROR(INDEX(Dataset!$A:$V,MATCH(Calculations!J$133&amp;Calculations!$P157,Dataset!$V:$V,0),MATCH(Calculations!$A$1,Dataset!$A$1:$V$1,0)),"")</f>
        <v>0</v>
      </c>
      <c r="K157" s="869">
        <f>IFERROR(INDEX(Dataset!$A:$V,MATCH(Calculations!K$133&amp;Calculations!$P157,Dataset!$V:$V,0),MATCH(Calculations!$A$1,Dataset!$A$1:$V$1,0)),"")</f>
        <v>0.35079300000000002</v>
      </c>
      <c r="L157" s="869">
        <f>IFERROR(INDEX(Dataset!$A:$V,MATCH(Calculations!L$133&amp;Calculations!$P157,Dataset!$V:$V,0),MATCH(Calculations!$A$1,Dataset!$A$1:$V$1,0)),"")</f>
        <v>5.7007799999999982</v>
      </c>
      <c r="M157" s="869">
        <f>IFERROR(INDEX(Dataset!$A:$V,MATCH(Calculations!M$133&amp;Calculations!$P157,Dataset!$V:$V,0),MATCH(Calculations!$A$1,Dataset!$A$1:$V$1,0)),"")</f>
        <v>0</v>
      </c>
      <c r="N157" s="869">
        <f>IFERROR(INDEX(Dataset!$A:$V,MATCH(Calculations!N$133&amp;Calculations!$P157,Dataset!$V:$V,0),MATCH(Calculations!$A$1,Dataset!$A$1:$V$1,0)),"")</f>
        <v>6.2429999999999999E-2</v>
      </c>
      <c r="O157" s="869" t="str">
        <f>IFERROR(INDEX(Dataset!$A:$V,MATCH(Calculations!O$133&amp;Calculations!$P157,Dataset!$V:$V,0),MATCH(Calculations!$A$1,Dataset!$A$1:$V$1,0)),"")</f>
        <v/>
      </c>
      <c r="P157" t="s">
        <v>945</v>
      </c>
    </row>
    <row r="158" spans="1:16">
      <c r="A158" s="869" t="s">
        <v>946</v>
      </c>
      <c r="B158" s="869"/>
      <c r="C158" s="869" t="str">
        <f>IFERROR(INDEX(Dataset!$A:$V,MATCH(Calculations!C$133&amp;Calculations!$P158,Dataset!$V:$V,0),MATCH(Calculations!$A$1,Dataset!$A$1:$V$1,0)),"")</f>
        <v/>
      </c>
      <c r="D158" s="869" t="str">
        <f>IFERROR(INDEX(Dataset!$A:$V,MATCH(Calculations!D$133&amp;Calculations!$P158,Dataset!$V:$V,0),MATCH(Calculations!$A$1,Dataset!$A$1:$V$1,0)),"")</f>
        <v/>
      </c>
      <c r="E158" s="869" t="str">
        <f>IFERROR(INDEX(Dataset!$A:$V,MATCH(Calculations!E$133&amp;Calculations!$P158,Dataset!$V:$V,0),MATCH(Calculations!$A$1,Dataset!$A$1:$V$1,0)),"")</f>
        <v/>
      </c>
      <c r="F158" s="869" t="str">
        <f>IFERROR(INDEX(Dataset!$A:$V,MATCH(Calculations!F$133&amp;Calculations!$P158,Dataset!$V:$V,0),MATCH(Calculations!$A$1,Dataset!$A$1:$V$1,0)),"")</f>
        <v/>
      </c>
      <c r="G158" s="869" t="str">
        <f>IFERROR(INDEX(Dataset!$A:$V,MATCH(Calculations!G$133&amp;Calculations!$P158,Dataset!$V:$V,0),MATCH(Calculations!$A$1,Dataset!$A$1:$V$1,0)),"")</f>
        <v/>
      </c>
      <c r="H158" s="869">
        <f>IFERROR(INDEX(Dataset!$A:$V,MATCH(Calculations!H$133&amp;Calculations!$P158,Dataset!$V:$V,0),MATCH(Calculations!$A$1,Dataset!$A$1:$V$1,0)),"")</f>
        <v>5.0293909999999995</v>
      </c>
      <c r="I158" s="869">
        <f>IFERROR(INDEX(Dataset!$A:$V,MATCH(Calculations!I$133&amp;Calculations!$P158,Dataset!$V:$V,0),MATCH(Calculations!$A$1,Dataset!$A$1:$V$1,0)),"")</f>
        <v>6.442838042</v>
      </c>
      <c r="J158" s="869">
        <f>IFERROR(INDEX(Dataset!$A:$V,MATCH(Calculations!J$133&amp;Calculations!$P158,Dataset!$V:$V,0),MATCH(Calculations!$A$1,Dataset!$A$1:$V$1,0)),"")</f>
        <v>0</v>
      </c>
      <c r="K158" s="869">
        <f>IFERROR(INDEX(Dataset!$A:$V,MATCH(Calculations!K$133&amp;Calculations!$P158,Dataset!$V:$V,0),MATCH(Calculations!$A$1,Dataset!$A$1:$V$1,0)),"")</f>
        <v>0</v>
      </c>
      <c r="L158" s="869">
        <f>IFERROR(INDEX(Dataset!$A:$V,MATCH(Calculations!L$133&amp;Calculations!$P158,Dataset!$V:$V,0),MATCH(Calculations!$A$1,Dataset!$A$1:$V$1,0)),"")</f>
        <v>5.9682199999999996</v>
      </c>
      <c r="M158" s="869">
        <f>IFERROR(INDEX(Dataset!$A:$V,MATCH(Calculations!M$133&amp;Calculations!$P158,Dataset!$V:$V,0),MATCH(Calculations!$A$1,Dataset!$A$1:$V$1,0)),"")</f>
        <v>9.3939999999999996E-2</v>
      </c>
      <c r="N158" s="869">
        <f>IFERROR(INDEX(Dataset!$A:$V,MATCH(Calculations!N$133&amp;Calculations!$P158,Dataset!$V:$V,0),MATCH(Calculations!$A$1,Dataset!$A$1:$V$1,0)),"")</f>
        <v>0</v>
      </c>
      <c r="O158" s="869" t="str">
        <f>IFERROR(INDEX(Dataset!$A:$V,MATCH(Calculations!O$133&amp;Calculations!$P158,Dataset!$V:$V,0),MATCH(Calculations!$A$1,Dataset!$A$1:$V$1,0)),"")</f>
        <v/>
      </c>
      <c r="P158" t="s">
        <v>947</v>
      </c>
    </row>
    <row r="159" spans="1:16">
      <c r="A159" s="869" t="s">
        <v>85</v>
      </c>
      <c r="B159" s="869"/>
      <c r="C159" s="869" t="str">
        <f>IFERROR(INDEX(Dataset!$A:$V,MATCH(Calculations!C$133&amp;Calculations!$P159,Dataset!$V:$V,0),MATCH(Calculations!$A$1,Dataset!$A$1:$V$1,0)),"")</f>
        <v/>
      </c>
      <c r="D159" s="869" t="str">
        <f>IFERROR(INDEX(Dataset!$A:$V,MATCH(Calculations!D$133&amp;Calculations!$P159,Dataset!$V:$V,0),MATCH(Calculations!$A$1,Dataset!$A$1:$V$1,0)),"")</f>
        <v/>
      </c>
      <c r="E159" s="869" t="str">
        <f>IFERROR(INDEX(Dataset!$A:$V,MATCH(Calculations!E$133&amp;Calculations!$P159,Dataset!$V:$V,0),MATCH(Calculations!$A$1,Dataset!$A$1:$V$1,0)),"")</f>
        <v/>
      </c>
      <c r="F159" s="869" t="str">
        <f>IFERROR(INDEX(Dataset!$A:$V,MATCH(Calculations!F$133&amp;Calculations!$P159,Dataset!$V:$V,0),MATCH(Calculations!$A$1,Dataset!$A$1:$V$1,0)),"")</f>
        <v/>
      </c>
      <c r="G159" s="869" t="str">
        <f>IFERROR(INDEX(Dataset!$A:$V,MATCH(Calculations!G$133&amp;Calculations!$P159,Dataset!$V:$V,0),MATCH(Calculations!$A$1,Dataset!$A$1:$V$1,0)),"")</f>
        <v/>
      </c>
      <c r="H159" s="869">
        <f>IFERROR(INDEX(Dataset!$A:$V,MATCH(Calculations!H$133&amp;Calculations!$P159,Dataset!$V:$V,0),MATCH(Calculations!$A$1,Dataset!$A$1:$V$1,0)),"")</f>
        <v>0.83021416704891049</v>
      </c>
      <c r="I159" s="869">
        <f>IFERROR(INDEX(Dataset!$A:$V,MATCH(Calculations!I$133&amp;Calculations!$P159,Dataset!$V:$V,0),MATCH(Calculations!$A$1,Dataset!$A$1:$V$1,0)),"")</f>
        <v>0.53320949112496219</v>
      </c>
      <c r="J159" s="869">
        <f>IFERROR(INDEX(Dataset!$A:$V,MATCH(Calculations!J$133&amp;Calculations!$P159,Dataset!$V:$V,0),MATCH(Calculations!$A$1,Dataset!$A$1:$V$1,0)),"")</f>
        <v>0</v>
      </c>
      <c r="K159" s="869">
        <f>IFERROR(INDEX(Dataset!$A:$V,MATCH(Calculations!K$133&amp;Calculations!$P159,Dataset!$V:$V,0),MATCH(Calculations!$A$1,Dataset!$A$1:$V$1,0)),"")</f>
        <v>1.204651050324029E-3</v>
      </c>
      <c r="L159" s="869">
        <f>IFERROR(INDEX(Dataset!$A:$V,MATCH(Calculations!L$133&amp;Calculations!$P159,Dataset!$V:$V,0),MATCH(Calculations!$A$1,Dataset!$A$1:$V$1,0)),"")</f>
        <v>0.53217600820991062</v>
      </c>
      <c r="M159" s="869">
        <f>IFERROR(INDEX(Dataset!$A:$V,MATCH(Calculations!M$133&amp;Calculations!$P159,Dataset!$V:$V,0),MATCH(Calculations!$A$1,Dataset!$A$1:$V$1,0)),"")</f>
        <v>7.5418751933425593E-2</v>
      </c>
      <c r="N159" s="869">
        <f>IFERROR(INDEX(Dataset!$A:$V,MATCH(Calculations!N$133&amp;Calculations!$P159,Dataset!$V:$V,0),MATCH(Calculations!$A$1,Dataset!$A$1:$V$1,0)),"")</f>
        <v>1.468027719E-2</v>
      </c>
      <c r="O159" s="869" t="str">
        <f>IFERROR(INDEX(Dataset!$A:$V,MATCH(Calculations!O$133&amp;Calculations!$P159,Dataset!$V:$V,0),MATCH(Calculations!$A$1,Dataset!$A$1:$V$1,0)),"")</f>
        <v/>
      </c>
      <c r="P159" t="s">
        <v>948</v>
      </c>
    </row>
    <row r="161" spans="1:16">
      <c r="A161" s="828" t="s">
        <v>949</v>
      </c>
    </row>
    <row r="162" spans="1:16">
      <c r="A162" s="869" t="s">
        <v>950</v>
      </c>
      <c r="B162" s="869"/>
      <c r="C162" s="869" t="str">
        <f>IFERROR(INDEX(Dataset!$A:$V,MATCH(Calculations!C$133&amp;Calculations!$P162,Dataset!$V:$V,0),MATCH(Calculations!$A$1,Dataset!$A$1:$V$1,0)),"")</f>
        <v/>
      </c>
      <c r="D162" s="869" t="str">
        <f>IFERROR(INDEX(Dataset!$A:$V,MATCH(Calculations!D$133&amp;Calculations!$P162,Dataset!$V:$V,0),MATCH(Calculations!$A$1,Dataset!$A$1:$V$1,0)),"")</f>
        <v/>
      </c>
      <c r="E162" s="869" t="str">
        <f>IFERROR(INDEX(Dataset!$A:$V,MATCH(Calculations!E$133&amp;Calculations!$P162,Dataset!$V:$V,0),MATCH(Calculations!$A$1,Dataset!$A$1:$V$1,0)),"")</f>
        <v/>
      </c>
      <c r="F162" s="869" t="str">
        <f>IFERROR(INDEX(Dataset!$A:$V,MATCH(Calculations!F$133&amp;Calculations!$P162,Dataset!$V:$V,0),MATCH(Calculations!$A$1,Dataset!$A$1:$V$1,0)),"")</f>
        <v/>
      </c>
      <c r="G162" s="869" t="str">
        <f>IFERROR(INDEX(Dataset!$A:$V,MATCH(Calculations!G$133&amp;Calculations!$P162,Dataset!$V:$V,0),MATCH(Calculations!$A$1,Dataset!$A$1:$V$1,0)),"")</f>
        <v/>
      </c>
      <c r="H162" s="869">
        <f>IFERROR(INDEX(Dataset!$A:$V,MATCH(Calculations!H$133&amp;Calculations!$P162,Dataset!$V:$V,0),MATCH(Calculations!$A$1,Dataset!$A$1:$V$1,0)),"")</f>
        <v>0.93103999999999998</v>
      </c>
      <c r="I162" s="869">
        <f>IFERROR(INDEX(Dataset!$A:$V,MATCH(Calculations!I$133&amp;Calculations!$P162,Dataset!$V:$V,0),MATCH(Calculations!$A$1,Dataset!$A$1:$V$1,0)),"")</f>
        <v>0.28196000000000038</v>
      </c>
      <c r="J162" s="869">
        <f>IFERROR(INDEX(Dataset!$A:$V,MATCH(Calculations!J$133&amp;Calculations!$P162,Dataset!$V:$V,0),MATCH(Calculations!$A$1,Dataset!$A$1:$V$1,0)),"")</f>
        <v>0.87119999999999997</v>
      </c>
      <c r="K162" s="869">
        <f>IFERROR(INDEX(Dataset!$A:$V,MATCH(Calculations!K$133&amp;Calculations!$P162,Dataset!$V:$V,0),MATCH(Calculations!$A$1,Dataset!$A$1:$V$1,0)),"")</f>
        <v>0.35</v>
      </c>
      <c r="L162" s="869">
        <f>IFERROR(INDEX(Dataset!$A:$V,MATCH(Calculations!L$133&amp;Calculations!$P162,Dataset!$V:$V,0),MATCH(Calculations!$A$1,Dataset!$A$1:$V$1,0)),"")</f>
        <v>0.22</v>
      </c>
      <c r="M162" s="869">
        <f>IFERROR(INDEX(Dataset!$A:$V,MATCH(Calculations!M$133&amp;Calculations!$P162,Dataset!$V:$V,0),MATCH(Calculations!$A$1,Dataset!$A$1:$V$1,0)),"")</f>
        <v>0.11181000000000001</v>
      </c>
      <c r="N162" s="869">
        <f>IFERROR(INDEX(Dataset!$A:$V,MATCH(Calculations!N$133&amp;Calculations!$P162,Dataset!$V:$V,0),MATCH(Calculations!$A$1,Dataset!$A$1:$V$1,0)),"")</f>
        <v>0.16</v>
      </c>
      <c r="O162" s="869" t="str">
        <f>IFERROR(INDEX(Dataset!$A:$V,MATCH(Calculations!O$133&amp;Calculations!$P162,Dataset!$V:$V,0),MATCH(Calculations!$A$1,Dataset!$A$1:$V$1,0)),"")</f>
        <v/>
      </c>
      <c r="P162" t="s">
        <v>951</v>
      </c>
    </row>
    <row r="163" spans="1:16">
      <c r="A163" s="869" t="s">
        <v>952</v>
      </c>
      <c r="B163" s="869"/>
      <c r="C163" s="869" t="str">
        <f>IFERROR(INDEX(Dataset!$A:$V,MATCH(Calculations!C$133&amp;Calculations!$P163,Dataset!$V:$V,0),MATCH(Calculations!$A$1,Dataset!$A$1:$V$1,0)),"")</f>
        <v/>
      </c>
      <c r="D163" s="869" t="str">
        <f>IFERROR(INDEX(Dataset!$A:$V,MATCH(Calculations!D$133&amp;Calculations!$P163,Dataset!$V:$V,0),MATCH(Calculations!$A$1,Dataset!$A$1:$V$1,0)),"")</f>
        <v/>
      </c>
      <c r="E163" s="869" t="str">
        <f>IFERROR(INDEX(Dataset!$A:$V,MATCH(Calculations!E$133&amp;Calculations!$P163,Dataset!$V:$V,0),MATCH(Calculations!$A$1,Dataset!$A$1:$V$1,0)),"")</f>
        <v/>
      </c>
      <c r="F163" s="869" t="str">
        <f>IFERROR(INDEX(Dataset!$A:$V,MATCH(Calculations!F$133&amp;Calculations!$P163,Dataset!$V:$V,0),MATCH(Calculations!$A$1,Dataset!$A$1:$V$1,0)),"")</f>
        <v/>
      </c>
      <c r="G163" s="869" t="str">
        <f>IFERROR(INDEX(Dataset!$A:$V,MATCH(Calculations!G$133&amp;Calculations!$P163,Dataset!$V:$V,0),MATCH(Calculations!$A$1,Dataset!$A$1:$V$1,0)),"")</f>
        <v/>
      </c>
      <c r="H163" s="869">
        <f>IFERROR(INDEX(Dataset!$A:$V,MATCH(Calculations!H$133&amp;Calculations!$P163,Dataset!$V:$V,0),MATCH(Calculations!$A$1,Dataset!$A$1:$V$1,0)),"")</f>
        <v>3.0733060000000001</v>
      </c>
      <c r="I163" s="869">
        <f>IFERROR(INDEX(Dataset!$A:$V,MATCH(Calculations!I$133&amp;Calculations!$P163,Dataset!$V:$V,0),MATCH(Calculations!$A$1,Dataset!$A$1:$V$1,0)),"")</f>
        <v>3.2932500000000036</v>
      </c>
      <c r="J163" s="869">
        <f>IFERROR(INDEX(Dataset!$A:$V,MATCH(Calculations!J$133&amp;Calculations!$P163,Dataset!$V:$V,0),MATCH(Calculations!$A$1,Dataset!$A$1:$V$1,0)),"")</f>
        <v>6.36</v>
      </c>
      <c r="K163" s="869">
        <f>IFERROR(INDEX(Dataset!$A:$V,MATCH(Calculations!K$133&amp;Calculations!$P163,Dataset!$V:$V,0),MATCH(Calculations!$A$1,Dataset!$A$1:$V$1,0)),"")</f>
        <v>5.55</v>
      </c>
      <c r="L163" s="869">
        <f>IFERROR(INDEX(Dataset!$A:$V,MATCH(Calculations!L$133&amp;Calculations!$P163,Dataset!$V:$V,0),MATCH(Calculations!$A$1,Dataset!$A$1:$V$1,0)),"")</f>
        <v>10.94</v>
      </c>
      <c r="M163" s="869">
        <f>IFERROR(INDEX(Dataset!$A:$V,MATCH(Calculations!M$133&amp;Calculations!$P163,Dataset!$V:$V,0),MATCH(Calculations!$A$1,Dataset!$A$1:$V$1,0)),"")</f>
        <v>16.138169999999999</v>
      </c>
      <c r="N163" s="869">
        <f>IFERROR(INDEX(Dataset!$A:$V,MATCH(Calculations!N$133&amp;Calculations!$P163,Dataset!$V:$V,0),MATCH(Calculations!$A$1,Dataset!$A$1:$V$1,0)),"")</f>
        <v>62.15</v>
      </c>
      <c r="O163" s="869" t="str">
        <f>IFERROR(INDEX(Dataset!$A:$V,MATCH(Calculations!O$133&amp;Calculations!$P163,Dataset!$V:$V,0),MATCH(Calculations!$A$1,Dataset!$A$1:$V$1,0)),"")</f>
        <v/>
      </c>
      <c r="P163" t="s">
        <v>953</v>
      </c>
    </row>
    <row r="165" spans="1:16">
      <c r="A165" s="828" t="s">
        <v>954</v>
      </c>
    </row>
    <row r="166" spans="1:16">
      <c r="A166" s="869" t="s">
        <v>955</v>
      </c>
      <c r="B166" s="869"/>
      <c r="C166" s="869">
        <f>INDEX(Dataset!$A:$V,MATCH(Calculations!C$133&amp;Calculations!$P166,Dataset!$V:$V,0),MATCH(Calculations!$A$1,Dataset!$A$1:$V$1,0))</f>
        <v>0</v>
      </c>
      <c r="D166" s="869">
        <f>INDEX(Dataset!$A:$V,MATCH(Calculations!D$133&amp;Calculations!$P166,Dataset!$V:$V,0),MATCH(Calculations!$A$1,Dataset!$A$1:$V$1,0))</f>
        <v>0</v>
      </c>
      <c r="E166" s="869">
        <f>INDEX(Dataset!$A:$V,MATCH(Calculations!E$133&amp;Calculations!$P166,Dataset!$V:$V,0),MATCH(Calculations!$A$1,Dataset!$A$1:$V$1,0))</f>
        <v>0</v>
      </c>
      <c r="F166" s="869">
        <f>INDEX(Dataset!$A:$V,MATCH(Calculations!F$133&amp;Calculations!$P166,Dataset!$V:$V,0),MATCH(Calculations!$A$1,Dataset!$A$1:$V$1,0))</f>
        <v>0</v>
      </c>
      <c r="G166" s="869">
        <f>INDEX(Dataset!$A:$V,MATCH(Calculations!G$133&amp;Calculations!$P166,Dataset!$V:$V,0),MATCH(Calculations!$A$1,Dataset!$A$1:$V$1,0))</f>
        <v>0</v>
      </c>
      <c r="H166" s="869">
        <f>INDEX(Dataset!$A:$V,MATCH(Calculations!H$133&amp;Calculations!$P166,Dataset!$V:$V,0),MATCH(Calculations!$A$1,Dataset!$A$1:$V$1,0))</f>
        <v>0</v>
      </c>
      <c r="I166" s="869">
        <f>INDEX(Dataset!$A:$V,MATCH(Calculations!I$133&amp;Calculations!$P166,Dataset!$V:$V,0),MATCH(Calculations!$A$1,Dataset!$A$1:$V$1,0))</f>
        <v>6</v>
      </c>
      <c r="J166" s="869">
        <f>INDEX(Dataset!$A:$V,MATCH(Calculations!J$133&amp;Calculations!$P166,Dataset!$V:$V,0),MATCH(Calculations!$A$1,Dataset!$A$1:$V$1,0))</f>
        <v>4</v>
      </c>
      <c r="K166" s="869">
        <f>INDEX(Dataset!$A:$V,MATCH(Calculations!K$133&amp;Calculations!$P166,Dataset!$V:$V,0),MATCH(Calculations!$A$1,Dataset!$A$1:$V$1,0))</f>
        <v>2</v>
      </c>
      <c r="L166" s="869">
        <f>INDEX(Dataset!$A:$V,MATCH(Calculations!L$133&amp;Calculations!$P166,Dataset!$V:$V,0),MATCH(Calculations!$A$1,Dataset!$A$1:$V$1,0))</f>
        <v>1</v>
      </c>
      <c r="M166" s="869">
        <f>INDEX(Dataset!$A:$V,MATCH(Calculations!M$133&amp;Calculations!$P166,Dataset!$V:$V,0),MATCH(Calculations!$A$1,Dataset!$A$1:$V$1,0))</f>
        <v>6</v>
      </c>
      <c r="N166" s="869">
        <f>INDEX(Dataset!$A:$V,MATCH(Calculations!N$133&amp;Calculations!$P166,Dataset!$V:$V,0),MATCH(Calculations!$A$1,Dataset!$A$1:$V$1,0))</f>
        <v>6</v>
      </c>
      <c r="O166" s="869"/>
      <c r="P166" t="s">
        <v>956</v>
      </c>
    </row>
    <row r="168" spans="1:16">
      <c r="A168" s="828" t="s">
        <v>957</v>
      </c>
    </row>
    <row r="169" spans="1:16">
      <c r="A169" s="869"/>
      <c r="B169" s="869"/>
      <c r="C169" s="870" t="s">
        <v>137</v>
      </c>
      <c r="D169" s="870" t="s">
        <v>138</v>
      </c>
      <c r="E169" s="869" t="s">
        <v>139</v>
      </c>
      <c r="F169" s="869" t="s">
        <v>140</v>
      </c>
      <c r="G169" s="869" t="s">
        <v>141</v>
      </c>
      <c r="H169" s="869" t="s">
        <v>126</v>
      </c>
      <c r="I169" s="869" t="s">
        <v>142</v>
      </c>
      <c r="J169" s="869" t="s">
        <v>143</v>
      </c>
    </row>
    <row r="170" spans="1:16">
      <c r="A170" s="873" t="s">
        <v>958</v>
      </c>
      <c r="B170" s="869"/>
      <c r="C170" s="869"/>
      <c r="D170" s="869"/>
      <c r="E170" s="869"/>
      <c r="F170" s="869"/>
      <c r="G170" s="869"/>
      <c r="H170" s="869"/>
      <c r="I170" s="869"/>
      <c r="J170" s="869"/>
    </row>
    <row r="171" spans="1:16">
      <c r="A171" s="869" t="s">
        <v>959</v>
      </c>
      <c r="B171" s="869"/>
      <c r="C171" s="869">
        <f>IFERROR(INDEX(Dataset!$A:$V,MATCH(Calculations!C$169&amp;Calculations!$P171,Dataset!$V:$V,0),MATCH(Calculations!$A$1,Dataset!$A$1:$V$1,0)),"")</f>
        <v>8.8800000000000008</v>
      </c>
      <c r="D171" s="869">
        <f>IFERROR(INDEX(Dataset!$A:$V,MATCH(Calculations!D$169&amp;Calculations!$P171,Dataset!$V:$V,0),MATCH(Calculations!$A$1,Dataset!$A$1:$V$1,0)),"")</f>
        <v>8.98</v>
      </c>
      <c r="E171" s="869">
        <f>IFERROR(INDEX(Dataset!$A:$V,MATCH(Calculations!E$169&amp;Calculations!$P171,Dataset!$V:$V,0),MATCH(Calculations!$A$1,Dataset!$A$1:$V$1,0)),"")</f>
        <v>8.9862000000000002</v>
      </c>
      <c r="F171" s="869">
        <f>IFERROR(INDEX(Dataset!$A:$V,MATCH(Calculations!F$169&amp;Calculations!$P171,Dataset!$V:$V,0),MATCH(Calculations!$A$1,Dataset!$A$1:$V$1,0)),"")</f>
        <v>9.0772999999999993</v>
      </c>
      <c r="G171" s="869">
        <f>IFERROR(INDEX(Dataset!$A:$V,MATCH(Calculations!G$169&amp;Calculations!$P171,Dataset!$V:$V,0),MATCH(Calculations!$A$1,Dataset!$A$1:$V$1,0)),"")</f>
        <v>9.0828000000000007</v>
      </c>
      <c r="H171" s="869">
        <f>IFERROR(INDEX(Dataset!$A:$V,MATCH(Calculations!H$169&amp;Calculations!$P171,Dataset!$V:$V,0),MATCH(Calculations!$A$1,Dataset!$A$1:$V$1,0)),"")</f>
        <v>9.1259999999999994</v>
      </c>
      <c r="I171" s="869">
        <f>IFERROR(INDEX(Dataset!$A:$V,MATCH(Calculations!I$169&amp;Calculations!$P171,Dataset!$V:$V,0),MATCH(Calculations!$A$1,Dataset!$A$1:$V$1,0)),"")</f>
        <v>8.9253999999999998</v>
      </c>
      <c r="J171" s="869" t="str">
        <f>IFERROR(INDEX(Dataset!$A:$V,MATCH(Calculations!J$169&amp;Calculations!$P171,Dataset!$V:$V,0),MATCH(Calculations!$A$1,Dataset!$A$1:$V$1,0)),"")</f>
        <v/>
      </c>
      <c r="P171" t="s">
        <v>960</v>
      </c>
    </row>
    <row r="172" spans="1:16">
      <c r="A172" s="869" t="s">
        <v>961</v>
      </c>
      <c r="B172" s="869"/>
      <c r="C172" s="869">
        <f>IFERROR(INDEX(Dataset!$A:$V,MATCH(Calculations!C$169&amp;Calculations!$P172,Dataset!$V:$V,0),MATCH(Calculations!$A$1,Dataset!$A$1:$V$1,0)),"")</f>
        <v>8.6999999999999993</v>
      </c>
      <c r="D172" s="869">
        <f>IFERROR(INDEX(Dataset!$A:$V,MATCH(Calculations!D$169&amp;Calculations!$P172,Dataset!$V:$V,0),MATCH(Calculations!$A$1,Dataset!$A$1:$V$1,0)),"")</f>
        <v>8.66</v>
      </c>
      <c r="E172" s="869">
        <f>IFERROR(INDEX(Dataset!$A:$V,MATCH(Calculations!E$169&amp;Calculations!$P172,Dataset!$V:$V,0),MATCH(Calculations!$A$1,Dataset!$A$1:$V$1,0)),"")</f>
        <v>8.7126999999999999</v>
      </c>
      <c r="F172" s="869">
        <f>IFERROR(INDEX(Dataset!$A:$V,MATCH(Calculations!F$169&amp;Calculations!$P172,Dataset!$V:$V,0),MATCH(Calculations!$A$1,Dataset!$A$1:$V$1,0)),"")</f>
        <v>8.8674999999999997</v>
      </c>
      <c r="G172" s="869">
        <f>IFERROR(INDEX(Dataset!$A:$V,MATCH(Calculations!G$169&amp;Calculations!$P172,Dataset!$V:$V,0),MATCH(Calculations!$A$1,Dataset!$A$1:$V$1,0)),"")</f>
        <v>8.9723000000000006</v>
      </c>
      <c r="H172" s="869">
        <f>IFERROR(INDEX(Dataset!$A:$V,MATCH(Calculations!H$169&amp;Calculations!$P172,Dataset!$V:$V,0),MATCH(Calculations!$A$1,Dataset!$A$1:$V$1,0)),"")</f>
        <v>9.0374999999999996</v>
      </c>
      <c r="I172" s="869">
        <f>IFERROR(INDEX(Dataset!$A:$V,MATCH(Calculations!I$169&amp;Calculations!$P172,Dataset!$V:$V,0),MATCH(Calculations!$A$1,Dataset!$A$1:$V$1,0)),"")</f>
        <v>8.8796999999999997</v>
      </c>
      <c r="J172" s="869" t="str">
        <f>IFERROR(INDEX(Dataset!$A:$V,MATCH(Calculations!J$169&amp;Calculations!$P172,Dataset!$V:$V,0),MATCH(Calculations!$A$1,Dataset!$A$1:$V$1,0)),"")</f>
        <v/>
      </c>
      <c r="P172" t="s">
        <v>962</v>
      </c>
    </row>
    <row r="173" spans="1:16">
      <c r="A173" s="869" t="s">
        <v>963</v>
      </c>
      <c r="B173" s="869"/>
      <c r="C173" s="869">
        <f>IFERROR(INDEX(Dataset!$A:$V,MATCH(Calculations!C$169&amp;Calculations!$P173,Dataset!$V:$V,0),MATCH(Calculations!$A$1,Dataset!$A$1:$V$1,0)),"")</f>
        <v>9.14</v>
      </c>
      <c r="D173" s="869">
        <f>IFERROR(INDEX(Dataset!$A:$V,MATCH(Calculations!D$169&amp;Calculations!$P173,Dataset!$V:$V,0),MATCH(Calculations!$A$1,Dataset!$A$1:$V$1,0)),"")</f>
        <v>9.1999999999999993</v>
      </c>
      <c r="E173" s="869">
        <f>IFERROR(INDEX(Dataset!$A:$V,MATCH(Calculations!E$169&amp;Calculations!$P173,Dataset!$V:$V,0),MATCH(Calculations!$A$1,Dataset!$A$1:$V$1,0)),"")</f>
        <v>9.2665000000000006</v>
      </c>
      <c r="F173" s="869">
        <f>IFERROR(INDEX(Dataset!$A:$V,MATCH(Calculations!F$169&amp;Calculations!$P173,Dataset!$V:$V,0),MATCH(Calculations!$A$1,Dataset!$A$1:$V$1,0)),"")</f>
        <v>9.3786000000000005</v>
      </c>
      <c r="G173" s="869">
        <f>IFERROR(INDEX(Dataset!$A:$V,MATCH(Calculations!G$169&amp;Calculations!$P173,Dataset!$V:$V,0),MATCH(Calculations!$A$1,Dataset!$A$1:$V$1,0)),"")</f>
        <v>9.4833999999999996</v>
      </c>
      <c r="H173" s="869">
        <f>IFERROR(INDEX(Dataset!$A:$V,MATCH(Calculations!H$169&amp;Calculations!$P173,Dataset!$V:$V,0),MATCH(Calculations!$A$1,Dataset!$A$1:$V$1,0)),"")</f>
        <v>9.3294999999999995</v>
      </c>
      <c r="I173" s="869">
        <f>IFERROR(INDEX(Dataset!$A:$V,MATCH(Calculations!I$169&amp;Calculations!$P173,Dataset!$V:$V,0),MATCH(Calculations!$A$1,Dataset!$A$1:$V$1,0)),"")</f>
        <v>9.1877999999999993</v>
      </c>
      <c r="J173" s="869" t="str">
        <f>IFERROR(INDEX(Dataset!$A:$V,MATCH(Calculations!J$169&amp;Calculations!$P173,Dataset!$V:$V,0),MATCH(Calculations!$A$1,Dataset!$A$1:$V$1,0)),"")</f>
        <v/>
      </c>
      <c r="P173" t="s">
        <v>964</v>
      </c>
    </row>
    <row r="174" spans="1:16">
      <c r="A174" s="869" t="s">
        <v>965</v>
      </c>
      <c r="B174" s="869"/>
      <c r="C174" s="869">
        <f>IFERROR(INDEX(Dataset!$A:$V,MATCH(Calculations!C$169&amp;Calculations!$P174,Dataset!$V:$V,0),MATCH(Calculations!$A$1,Dataset!$A$1:$V$1,0)),"")</f>
        <v>8.8419999999999987</v>
      </c>
      <c r="D174" s="869">
        <f>IFERROR(INDEX(Dataset!$A:$V,MATCH(Calculations!D$169&amp;Calculations!$P174,Dataset!$V:$V,0),MATCH(Calculations!$A$1,Dataset!$A$1:$V$1,0)),"")</f>
        <v>8.8640000000000008</v>
      </c>
      <c r="E174" s="869">
        <f>IFERROR(INDEX(Dataset!$A:$V,MATCH(Calculations!E$169&amp;Calculations!$P174,Dataset!$V:$V,0),MATCH(Calculations!$A$1,Dataset!$A$1:$V$1,0)),"")</f>
        <v>8.9055100000000014</v>
      </c>
      <c r="F174" s="869">
        <f>IFERROR(INDEX(Dataset!$A:$V,MATCH(Calculations!F$169&amp;Calculations!$P174,Dataset!$V:$V,0),MATCH(Calculations!$A$1,Dataset!$A$1:$V$1,0)),"")</f>
        <v>9.0326599999999999</v>
      </c>
      <c r="G174" s="869">
        <f>IFERROR(INDEX(Dataset!$A:$V,MATCH(Calculations!G$169&amp;Calculations!$P174,Dataset!$V:$V,0),MATCH(Calculations!$A$1,Dataset!$A$1:$V$1,0)),"")</f>
        <v>9.1076700000000006</v>
      </c>
      <c r="H174" s="869">
        <f>IFERROR(INDEX(Dataset!$A:$V,MATCH(Calculations!H$169&amp;Calculations!$P174,Dataset!$V:$V,0),MATCH(Calculations!$A$1,Dataset!$A$1:$V$1,0)),"")</f>
        <v>9.1224499999999988</v>
      </c>
      <c r="I174" s="869">
        <f>IFERROR(INDEX(Dataset!$A:$V,MATCH(Calculations!I$169&amp;Calculations!$P174,Dataset!$V:$V,0),MATCH(Calculations!$A$1,Dataset!$A$1:$V$1,0)),"")</f>
        <v>8.9550299999999989</v>
      </c>
      <c r="J174" s="869" t="str">
        <f>IFERROR(INDEX(Dataset!$A:$V,MATCH(Calculations!J$169&amp;Calculations!$P174,Dataset!$V:$V,0),MATCH(Calculations!$A$1,Dataset!$A$1:$V$1,0)),"")</f>
        <v/>
      </c>
      <c r="P174" t="s">
        <v>966</v>
      </c>
    </row>
    <row r="175" spans="1:16">
      <c r="A175" s="869" t="s">
        <v>339</v>
      </c>
      <c r="B175" s="869"/>
      <c r="C175" s="869" t="str">
        <f>IFERROR(INDEX(Dataset!$A:$V,MATCH(Calculations!C$169&amp;Calculations!$P175,Dataset!$V:$V,0),MATCH(Calculations!$A$1,Dataset!$A$1:$V$1,0)),"")</f>
        <v>Green</v>
      </c>
      <c r="D175" s="869" t="str">
        <f>IFERROR(INDEX(Dataset!$A:$V,MATCH(Calculations!D$169&amp;Calculations!$P175,Dataset!$V:$V,0),MATCH(Calculations!$A$1,Dataset!$A$1:$V$1,0)),"")</f>
        <v>Green</v>
      </c>
      <c r="E175" s="869" t="str">
        <f>IFERROR(INDEX(Dataset!$A:$V,MATCH(Calculations!E$169&amp;Calculations!$P175,Dataset!$V:$V,0),MATCH(Calculations!$A$1,Dataset!$A$1:$V$1,0)),"")</f>
        <v>Green</v>
      </c>
      <c r="F175" s="869" t="str">
        <f>IFERROR(INDEX(Dataset!$A:$V,MATCH(Calculations!F$169&amp;Calculations!$P175,Dataset!$V:$V,0),MATCH(Calculations!$A$1,Dataset!$A$1:$V$1,0)),"")</f>
        <v>Green</v>
      </c>
      <c r="G175" s="869" t="str">
        <f>IFERROR(INDEX(Dataset!$A:$V,MATCH(Calculations!G$169&amp;Calculations!$P175,Dataset!$V:$V,0),MATCH(Calculations!$A$1,Dataset!$A$1:$V$1,0)),"")</f>
        <v>Green</v>
      </c>
      <c r="H175" s="869" t="str">
        <f>IFERROR(INDEX(Dataset!$A:$V,MATCH(Calculations!H$169&amp;Calculations!$P175,Dataset!$V:$V,0),MATCH(Calculations!$A$1,Dataset!$A$1:$V$1,0)),"")</f>
        <v>Green</v>
      </c>
      <c r="I175" s="869" t="str">
        <f>IFERROR(INDEX(Dataset!$A:$V,MATCH(Calculations!I$169&amp;Calculations!$P175,Dataset!$V:$V,0),MATCH(Calculations!$A$1,Dataset!$A$1:$V$1,0)),"")</f>
        <v>Green</v>
      </c>
      <c r="J175" s="869" t="str">
        <f>IFERROR(INDEX(Dataset!$A:$V,MATCH(Calculations!J$169&amp;Calculations!$P175,Dataset!$V:$V,0),MATCH(Calculations!$A$1,Dataset!$A$1:$V$1,0)),"")</f>
        <v/>
      </c>
      <c r="P175" t="s">
        <v>967</v>
      </c>
    </row>
    <row r="176" spans="1:16">
      <c r="A176" s="869" t="s">
        <v>63</v>
      </c>
      <c r="B176" s="869"/>
      <c r="C176" s="869">
        <f>IFERROR(INDEX(Dataset!$A:$V,MATCH(Calculations!C$169&amp;Calculations!$P176,Dataset!$V:$V,0),MATCH(Calculations!$A$1,Dataset!$A$1:$V$1,0)),"")</f>
        <v>4</v>
      </c>
      <c r="D176" s="869">
        <f>IFERROR(INDEX(Dataset!$A:$V,MATCH(Calculations!D$169&amp;Calculations!$P176,Dataset!$V:$V,0),MATCH(Calculations!$A$1,Dataset!$A$1:$V$1,0)),"")</f>
        <v>4</v>
      </c>
      <c r="E176" s="869">
        <f>IFERROR(INDEX(Dataset!$A:$V,MATCH(Calculations!E$169&amp;Calculations!$P176,Dataset!$V:$V,0),MATCH(Calculations!$A$1,Dataset!$A$1:$V$1,0)),"")</f>
        <v>2</v>
      </c>
      <c r="F176" s="869">
        <f>IFERROR(INDEX(Dataset!$A:$V,MATCH(Calculations!F$169&amp;Calculations!$P176,Dataset!$V:$V,0),MATCH(Calculations!$A$1,Dataset!$A$1:$V$1,0)),"")</f>
        <v>3</v>
      </c>
      <c r="G176" s="869">
        <f>IFERROR(INDEX(Dataset!$A:$V,MATCH(Calculations!G$169&amp;Calculations!$P176,Dataset!$V:$V,0),MATCH(Calculations!$A$1,Dataset!$A$1:$V$1,0)),"")</f>
        <v>7</v>
      </c>
      <c r="H176" s="869">
        <f>IFERROR(INDEX(Dataset!$A:$V,MATCH(Calculations!H$169&amp;Calculations!$P176,Dataset!$V:$V,0),MATCH(Calculations!$A$1,Dataset!$A$1:$V$1,0)),"")</f>
        <v>11</v>
      </c>
      <c r="I176" s="869">
        <f>IFERROR(INDEX(Dataset!$A:$V,MATCH(Calculations!I$169&amp;Calculations!$P176,Dataset!$V:$V,0),MATCH(Calculations!$A$1,Dataset!$A$1:$V$1,0)),"")</f>
        <v>9</v>
      </c>
      <c r="J176" s="869" t="str">
        <f>IFERROR(INDEX(Dataset!$A:$V,MATCH(Calculations!J$169&amp;Calculations!$P176,Dataset!$V:$V,0),MATCH(Calculations!$A$1,Dataset!$A$1:$V$1,0)),"")</f>
        <v/>
      </c>
      <c r="P176" t="s">
        <v>968</v>
      </c>
    </row>
    <row r="178" spans="1:16">
      <c r="A178" s="828" t="s">
        <v>969</v>
      </c>
    </row>
    <row r="179" spans="1:16">
      <c r="A179" s="869" t="s">
        <v>970</v>
      </c>
      <c r="B179" s="869"/>
      <c r="C179" s="871">
        <f>IFERROR(INDEX(Dataset!$A:$V,MATCH(Calculations!C$169&amp;Calculations!$P179,Dataset!$V:$V,0),MATCH(Calculations!$A$1,Dataset!$A$1:$V$1,0)),"")</f>
        <v>0.14805057955742887</v>
      </c>
      <c r="D179" s="871">
        <f>IFERROR(INDEX(Dataset!$A:$V,MATCH(Calculations!D$169&amp;Calculations!$P179,Dataset!$V:$V,0),MATCH(Calculations!$A$1,Dataset!$A$1:$V$1,0)),"")</f>
        <v>0.12523992322456814</v>
      </c>
      <c r="E179" s="871">
        <f>IFERROR(INDEX(Dataset!$A:$V,MATCH(Calculations!E$169&amp;Calculations!$P179,Dataset!$V:$V,0),MATCH(Calculations!$A$1,Dataset!$A$1:$V$1,0)),"")</f>
        <v>0.11629098360655737</v>
      </c>
      <c r="F179" s="871">
        <f>IFERROR(INDEX(Dataset!$A:$V,MATCH(Calculations!F$169&amp;Calculations!$P179,Dataset!$V:$V,0),MATCH(Calculations!$A$1,Dataset!$A$1:$V$1,0)),"")</f>
        <v>0.11609249646059462</v>
      </c>
      <c r="G179" s="871">
        <f>IFERROR(INDEX(Dataset!$A:$V,MATCH(Calculations!G$169&amp;Calculations!$P179,Dataset!$V:$V,0),MATCH(Calculations!$A$1,Dataset!$A$1:$V$1,0)),"")</f>
        <v>8.5074626865671646E-2</v>
      </c>
      <c r="H179" s="871">
        <f>IFERROR(INDEX(Dataset!$A:$V,MATCH(Calculations!H$169&amp;Calculations!$P179,Dataset!$V:$V,0),MATCH(Calculations!$A$1,Dataset!$A$1:$V$1,0)),"")</f>
        <v>9.1089108910891087E-2</v>
      </c>
      <c r="I179" s="871">
        <f>IFERROR(INDEX(Dataset!$A:$V,MATCH(Calculations!I$169&amp;Calculations!$P179,Dataset!$V:$V,0),MATCH(Calculations!$A$1,Dataset!$A$1:$V$1,0)),"")</f>
        <v>0.11962310528471938</v>
      </c>
      <c r="J179" s="871" t="str">
        <f>IFERROR(INDEX(Dataset!$A:$V,MATCH(Calculations!J$169&amp;Calculations!$P179,Dataset!$V:$V,0),MATCH(Calculations!$A$1,Dataset!$A$1:$V$1,0)),"")</f>
        <v/>
      </c>
      <c r="P179" t="s">
        <v>971</v>
      </c>
    </row>
    <row r="180" spans="1:16">
      <c r="A180" s="869" t="s">
        <v>972</v>
      </c>
      <c r="B180" s="869"/>
      <c r="C180" s="871">
        <f>IFERROR(INDEX(Dataset!$A:$V,MATCH(Calculations!C$169&amp;Calculations!$P180,Dataset!$V:$V,0),MATCH(Calculations!$A$1,Dataset!$A$1:$V$1,0)),"")</f>
        <v>7.3761854583772393E-3</v>
      </c>
      <c r="D180" s="871">
        <f>IFERROR(INDEX(Dataset!$A:$V,MATCH(Calculations!D$169&amp;Calculations!$P180,Dataset!$V:$V,0),MATCH(Calculations!$A$1,Dataset!$A$1:$V$1,0)),"")</f>
        <v>5.7581573896353169E-3</v>
      </c>
      <c r="E180" s="871">
        <f>IFERROR(INDEX(Dataset!$A:$V,MATCH(Calculations!E$169&amp;Calculations!$P180,Dataset!$V:$V,0),MATCH(Calculations!$A$1,Dataset!$A$1:$V$1,0)),"")</f>
        <v>6.1475409836065573E-3</v>
      </c>
      <c r="F180" s="871">
        <f>IFERROR(INDEX(Dataset!$A:$V,MATCH(Calculations!F$169&amp;Calculations!$P180,Dataset!$V:$V,0),MATCH(Calculations!$A$1,Dataset!$A$1:$V$1,0)),"")</f>
        <v>3.7753657385559227E-3</v>
      </c>
      <c r="G180" s="871">
        <f>IFERROR(INDEX(Dataset!$A:$V,MATCH(Calculations!G$169&amp;Calculations!$P180,Dataset!$V:$V,0),MATCH(Calculations!$A$1,Dataset!$A$1:$V$1,0)),"")</f>
        <v>8.4577114427860697E-3</v>
      </c>
      <c r="H180" s="871">
        <f>IFERROR(INDEX(Dataset!$A:$V,MATCH(Calculations!H$169&amp;Calculations!$P180,Dataset!$V:$V,0),MATCH(Calculations!$A$1,Dataset!$A$1:$V$1,0)),"")</f>
        <v>7.9207920792079209E-3</v>
      </c>
      <c r="I180" s="871">
        <f>IFERROR(INDEX(Dataset!$A:$V,MATCH(Calculations!I$169&amp;Calculations!$P180,Dataset!$V:$V,0),MATCH(Calculations!$A$1,Dataset!$A$1:$V$1,0)),"")</f>
        <v>7.7836952068824255E-3</v>
      </c>
      <c r="J180" s="871" t="str">
        <f>IFERROR(INDEX(Dataset!$A:$V,MATCH(Calculations!J$169&amp;Calculations!$P180,Dataset!$V:$V,0),MATCH(Calculations!$A$1,Dataset!$A$1:$V$1,0)),"")</f>
        <v/>
      </c>
      <c r="P180" t="s">
        <v>973</v>
      </c>
    </row>
    <row r="181" spans="1:16">
      <c r="A181" s="869" t="s">
        <v>974</v>
      </c>
      <c r="B181" s="869"/>
      <c r="C181" s="871">
        <f>IFERROR(INDEX(Dataset!$A:$V,MATCH(Calculations!C$169&amp;Calculations!$P181,Dataset!$V:$V,0),MATCH(Calculations!$A$1,Dataset!$A$1:$V$1,0)),"")</f>
        <v>0</v>
      </c>
      <c r="D181" s="871">
        <f>IFERROR(INDEX(Dataset!$A:$V,MATCH(Calculations!D$169&amp;Calculations!$P181,Dataset!$V:$V,0),MATCH(Calculations!$A$1,Dataset!$A$1:$V$1,0)),"")</f>
        <v>0</v>
      </c>
      <c r="E181" s="871">
        <f>IFERROR(INDEX(Dataset!$A:$V,MATCH(Calculations!E$169&amp;Calculations!$P181,Dataset!$V:$V,0),MATCH(Calculations!$A$1,Dataset!$A$1:$V$1,0)),"")</f>
        <v>0</v>
      </c>
      <c r="F181" s="871">
        <f>IFERROR(INDEX(Dataset!$A:$V,MATCH(Calculations!F$169&amp;Calculations!$P181,Dataset!$V:$V,0),MATCH(Calculations!$A$1,Dataset!$A$1:$V$1,0)),"")</f>
        <v>0</v>
      </c>
      <c r="G181" s="871">
        <f>IFERROR(INDEX(Dataset!$A:$V,MATCH(Calculations!G$169&amp;Calculations!$P181,Dataset!$V:$V,0),MATCH(Calculations!$A$1,Dataset!$A$1:$V$1,0)),"")</f>
        <v>0</v>
      </c>
      <c r="H181" s="871">
        <f>IFERROR(INDEX(Dataset!$A:$V,MATCH(Calculations!H$169&amp;Calculations!$P181,Dataset!$V:$V,0),MATCH(Calculations!$A$1,Dataset!$A$1:$V$1,0)),"")</f>
        <v>0</v>
      </c>
      <c r="I181" s="871">
        <f>IFERROR(INDEX(Dataset!$A:$V,MATCH(Calculations!I$169&amp;Calculations!$P181,Dataset!$V:$V,0),MATCH(Calculations!$A$1,Dataset!$A$1:$V$1,0)),"")</f>
        <v>0</v>
      </c>
      <c r="J181" s="871" t="str">
        <f>IFERROR(INDEX(Dataset!$A:$V,MATCH(Calculations!J$169&amp;Calculations!$P181,Dataset!$V:$V,0),MATCH(Calculations!$A$1,Dataset!$A$1:$V$1,0)),"")</f>
        <v/>
      </c>
      <c r="P181" t="s">
        <v>975</v>
      </c>
    </row>
    <row r="182" spans="1:16">
      <c r="A182" s="869" t="s">
        <v>976</v>
      </c>
      <c r="B182" s="869"/>
      <c r="C182" s="871">
        <f>IFERROR(INDEX(Dataset!$A:$V,MATCH(Calculations!C$169&amp;Calculations!$P182,Dataset!$V:$V,0),MATCH(Calculations!$A$1,Dataset!$A$1:$V$1,0)),"")</f>
        <v>0</v>
      </c>
      <c r="D182" s="871">
        <f>IFERROR(INDEX(Dataset!$A:$V,MATCH(Calculations!D$169&amp;Calculations!$P182,Dataset!$V:$V,0),MATCH(Calculations!$A$1,Dataset!$A$1:$V$1,0)),"")</f>
        <v>0</v>
      </c>
      <c r="E182" s="871">
        <f>IFERROR(INDEX(Dataset!$A:$V,MATCH(Calculations!E$169&amp;Calculations!$P182,Dataset!$V:$V,0),MATCH(Calculations!$A$1,Dataset!$A$1:$V$1,0)),"")</f>
        <v>0</v>
      </c>
      <c r="F182" s="871">
        <f>IFERROR(INDEX(Dataset!$A:$V,MATCH(Calculations!F$169&amp;Calculations!$P182,Dataset!$V:$V,0),MATCH(Calculations!$A$1,Dataset!$A$1:$V$1,0)),"")</f>
        <v>0</v>
      </c>
      <c r="G182" s="871">
        <f>IFERROR(INDEX(Dataset!$A:$V,MATCH(Calculations!G$169&amp;Calculations!$P182,Dataset!$V:$V,0),MATCH(Calculations!$A$1,Dataset!$A$1:$V$1,0)),"")</f>
        <v>0</v>
      </c>
      <c r="H182" s="871">
        <f>IFERROR(INDEX(Dataset!$A:$V,MATCH(Calculations!H$169&amp;Calculations!$P182,Dataset!$V:$V,0),MATCH(Calculations!$A$1,Dataset!$A$1:$V$1,0)),"")</f>
        <v>0</v>
      </c>
      <c r="I182" s="871">
        <f>IFERROR(INDEX(Dataset!$A:$V,MATCH(Calculations!I$169&amp;Calculations!$P182,Dataset!$V:$V,0),MATCH(Calculations!$A$1,Dataset!$A$1:$V$1,0)),"")</f>
        <v>0</v>
      </c>
      <c r="J182" s="871" t="str">
        <f>IFERROR(INDEX(Dataset!$A:$V,MATCH(Calculations!J$169&amp;Calculations!$P182,Dataset!$V:$V,0),MATCH(Calculations!$A$1,Dataset!$A$1:$V$1,0)),"")</f>
        <v/>
      </c>
      <c r="P182" t="s">
        <v>977</v>
      </c>
    </row>
    <row r="183" spans="1:16">
      <c r="A183" s="869" t="s">
        <v>408</v>
      </c>
      <c r="B183" s="869"/>
      <c r="C183" s="874">
        <f>IFERROR(INDEX(Dataset!$A:$V,MATCH(Calculations!C$169&amp;Calculations!$P183,Dataset!$V:$V,0),MATCH(Calculations!$A$1,Dataset!$A$1:$V$1,0)),"")</f>
        <v>1.7017913593256058</v>
      </c>
      <c r="D183" s="874">
        <f>IFERROR(INDEX(Dataset!$A:$V,MATCH(Calculations!D$169&amp;Calculations!$P183,Dataset!$V:$V,0),MATCH(Calculations!$A$1,Dataset!$A$1:$V$1,0)),"")</f>
        <v>1.4251439539347408</v>
      </c>
      <c r="E183" s="874">
        <f>IFERROR(INDEX(Dataset!$A:$V,MATCH(Calculations!E$169&amp;Calculations!$P183,Dataset!$V:$V,0),MATCH(Calculations!$A$1,Dataset!$A$1:$V$1,0)),"")</f>
        <v>1.3473360655737703</v>
      </c>
      <c r="F183" s="874">
        <f>IFERROR(INDEX(Dataset!$A:$V,MATCH(Calculations!F$169&amp;Calculations!$P183,Dataset!$V:$V,0),MATCH(Calculations!$A$1,Dataset!$A$1:$V$1,0)),"")</f>
        <v>1.274185936762624</v>
      </c>
      <c r="G183" s="874">
        <f>IFERROR(INDEX(Dataset!$A:$V,MATCH(Calculations!G$169&amp;Calculations!$P183,Dataset!$V:$V,0),MATCH(Calculations!$A$1,Dataset!$A$1:$V$1,0)),"")</f>
        <v>1.1044776119402986</v>
      </c>
      <c r="H183" s="874">
        <f>IFERROR(INDEX(Dataset!$A:$V,MATCH(Calculations!H$169&amp;Calculations!$P183,Dataset!$V:$V,0),MATCH(Calculations!$A$1,Dataset!$A$1:$V$1,0)),"")</f>
        <v>1.1485148514851484</v>
      </c>
      <c r="I183" s="874">
        <f>IFERROR(INDEX(Dataset!$A:$V,MATCH(Calculations!I$169&amp;Calculations!$P183,Dataset!$V:$V,0),MATCH(Calculations!$A$1,Dataset!$A$1:$V$1,0)),"")</f>
        <v>1.4297419090536665</v>
      </c>
      <c r="J183" s="874" t="str">
        <f>IFERROR(INDEX(Dataset!$A:$V,MATCH(Calculations!J$169&amp;Calculations!$P183,Dataset!$V:$V,0),MATCH(Calculations!$A$1,Dataset!$A$1:$V$1,0)),"")</f>
        <v/>
      </c>
      <c r="P183" t="s">
        <v>978</v>
      </c>
    </row>
    <row r="184" spans="1:16">
      <c r="A184" s="869" t="s">
        <v>979</v>
      </c>
      <c r="B184" s="869"/>
      <c r="C184" s="871" t="str">
        <f>IFERROR(INDEX(Dataset!$A:$V,MATCH(Calculations!C$169&amp;Calculations!$P184,Dataset!$V:$V,0),MATCH(Calculations!$A$1,Dataset!$A$1:$V$1,0)),"")</f>
        <v>Green</v>
      </c>
      <c r="D184" s="871" t="str">
        <f>IFERROR(INDEX(Dataset!$A:$V,MATCH(Calculations!D$169&amp;Calculations!$P184,Dataset!$V:$V,0),MATCH(Calculations!$A$1,Dataset!$A$1:$V$1,0)),"")</f>
        <v>Green</v>
      </c>
      <c r="E184" s="871" t="str">
        <f>IFERROR(INDEX(Dataset!$A:$V,MATCH(Calculations!E$169&amp;Calculations!$P184,Dataset!$V:$V,0),MATCH(Calculations!$A$1,Dataset!$A$1:$V$1,0)),"")</f>
        <v>Green</v>
      </c>
      <c r="F184" s="871" t="str">
        <f>IFERROR(INDEX(Dataset!$A:$V,MATCH(Calculations!F$169&amp;Calculations!$P184,Dataset!$V:$V,0),MATCH(Calculations!$A$1,Dataset!$A$1:$V$1,0)),"")</f>
        <v>Green</v>
      </c>
      <c r="G184" s="871" t="str">
        <f>IFERROR(INDEX(Dataset!$A:$V,MATCH(Calculations!G$169&amp;Calculations!$P184,Dataset!$V:$V,0),MATCH(Calculations!$A$1,Dataset!$A$1:$V$1,0)),"")</f>
        <v>Green</v>
      </c>
      <c r="H184" s="871" t="str">
        <f>IFERROR(INDEX(Dataset!$A:$V,MATCH(Calculations!H$169&amp;Calculations!$P184,Dataset!$V:$V,0),MATCH(Calculations!$A$1,Dataset!$A$1:$V$1,0)),"")</f>
        <v>Green</v>
      </c>
      <c r="I184" s="871" t="str">
        <f>IFERROR(INDEX(Dataset!$A:$V,MATCH(Calculations!I$169&amp;Calculations!$P184,Dataset!$V:$V,0),MATCH(Calculations!$A$1,Dataset!$A$1:$V$1,0)),"")</f>
        <v>Green</v>
      </c>
      <c r="J184" s="871" t="str">
        <f>IFERROR(INDEX(Dataset!$A:$V,MATCH(Calculations!J$169&amp;Calculations!$P184,Dataset!$V:$V,0),MATCH(Calculations!$A$1,Dataset!$A$1:$V$1,0)),"")</f>
        <v/>
      </c>
      <c r="P184" t="s">
        <v>980</v>
      </c>
    </row>
    <row r="185" spans="1:16">
      <c r="A185" s="869" t="s">
        <v>63</v>
      </c>
      <c r="B185" s="869"/>
      <c r="C185" s="875">
        <f>IFERROR(INDEX(Dataset!$A:$V,MATCH(Calculations!C$169&amp;Calculations!$P185,Dataset!$V:$V,0),MATCH(Calculations!$A$1,Dataset!$A$1:$V$1,0)),"")</f>
        <v>1</v>
      </c>
      <c r="D185" s="875">
        <f>IFERROR(INDEX(Dataset!$A:$V,MATCH(Calculations!D$169&amp;Calculations!$P185,Dataset!$V:$V,0),MATCH(Calculations!$A$1,Dataset!$A$1:$V$1,0)),"")</f>
        <v>1</v>
      </c>
      <c r="E185" s="875">
        <f>IFERROR(INDEX(Dataset!$A:$V,MATCH(Calculations!E$169&amp;Calculations!$P185,Dataset!$V:$V,0),MATCH(Calculations!$A$1,Dataset!$A$1:$V$1,0)),"")</f>
        <v>1</v>
      </c>
      <c r="F185" s="875">
        <f>IFERROR(INDEX(Dataset!$A:$V,MATCH(Calculations!F$169&amp;Calculations!$P185,Dataset!$V:$V,0),MATCH(Calculations!$A$1,Dataset!$A$1:$V$1,0)),"")</f>
        <v>3</v>
      </c>
      <c r="G185" s="875">
        <f>IFERROR(INDEX(Dataset!$A:$V,MATCH(Calculations!G$169&amp;Calculations!$P185,Dataset!$V:$V,0),MATCH(Calculations!$A$1,Dataset!$A$1:$V$1,0)),"")</f>
        <v>2</v>
      </c>
      <c r="H185" s="875">
        <f>IFERROR(INDEX(Dataset!$A:$V,MATCH(Calculations!H$169&amp;Calculations!$P185,Dataset!$V:$V,0),MATCH(Calculations!$A$1,Dataset!$A$1:$V$1,0)),"")</f>
        <v>2</v>
      </c>
      <c r="I185" s="875">
        <f>IFERROR(INDEX(Dataset!$A:$V,MATCH(Calculations!I$169&amp;Calculations!$P185,Dataset!$V:$V,0),MATCH(Calculations!$A$1,Dataset!$A$1:$V$1,0)),"")</f>
        <v>2</v>
      </c>
      <c r="J185" s="875" t="str">
        <f>IFERROR(INDEX(Dataset!$A:$V,MATCH(Calculations!J$169&amp;Calculations!$P185,Dataset!$V:$V,0),MATCH(Calculations!$A$1,Dataset!$A$1:$V$1,0)),"")</f>
        <v/>
      </c>
      <c r="P185" t="s">
        <v>981</v>
      </c>
    </row>
    <row r="187" spans="1:16">
      <c r="A187" s="828" t="s">
        <v>385</v>
      </c>
    </row>
    <row r="188" spans="1:16">
      <c r="A188" s="869" t="s">
        <v>408</v>
      </c>
      <c r="B188" s="869"/>
      <c r="C188" s="869">
        <f>IFERROR(INDEX(Dataset!$A:$V,MATCH(Calculations!C$169&amp;Calculations!$P188,Dataset!$V:$V,0),MATCH(Calculations!$A$1,Dataset!$A$1:$V$1,0)),"")</f>
        <v>8.75</v>
      </c>
      <c r="D188" s="869">
        <f>IFERROR(INDEX(Dataset!$A:$V,MATCH(Calculations!D$169&amp;Calculations!$P188,Dataset!$V:$V,0),MATCH(Calculations!$A$1,Dataset!$A$1:$V$1,0)),"")</f>
        <v>8.5299999999999994</v>
      </c>
      <c r="E188" s="869">
        <f>IFERROR(INDEX(Dataset!$A:$V,MATCH(Calculations!E$169&amp;Calculations!$P188,Dataset!$V:$V,0),MATCH(Calculations!$A$1,Dataset!$A$1:$V$1,0)),"")</f>
        <v>8.75</v>
      </c>
      <c r="F188" s="869">
        <f>IFERROR(INDEX(Dataset!$A:$V,MATCH(Calculations!F$169&amp;Calculations!$P188,Dataset!$V:$V,0),MATCH(Calculations!$A$1,Dataset!$A$1:$V$1,0)),"")</f>
        <v>8.4</v>
      </c>
      <c r="G188" s="869">
        <f>IFERROR(INDEX(Dataset!$A:$V,MATCH(Calculations!G$169&amp;Calculations!$P188,Dataset!$V:$V,0),MATCH(Calculations!$A$1,Dataset!$A$1:$V$1,0)),"")</f>
        <v>0</v>
      </c>
      <c r="H188" s="869">
        <f>IFERROR(INDEX(Dataset!$A:$V,MATCH(Calculations!H$169&amp;Calculations!$P188,Dataset!$V:$V,0),MATCH(Calculations!$A$1,Dataset!$A$1:$V$1,0)),"")</f>
        <v>0</v>
      </c>
      <c r="I188" s="869">
        <f>IFERROR(INDEX(Dataset!$A:$V,MATCH(Calculations!I$169&amp;Calculations!$P188,Dataset!$V:$V,0),MATCH(Calculations!$A$1,Dataset!$A$1:$V$1,0)),"")</f>
        <v>5.35</v>
      </c>
      <c r="J188" s="869"/>
      <c r="P188" t="s">
        <v>982</v>
      </c>
    </row>
    <row r="189" spans="1:16">
      <c r="A189" s="869" t="s">
        <v>339</v>
      </c>
      <c r="B189" s="869"/>
      <c r="C189" s="869" t="str">
        <f>IFERROR(INDEX(Dataset!$A:$V,MATCH(Calculations!C$169&amp;Calculations!$P189,Dataset!$V:$V,0),MATCH(Calculations!$A$1,Dataset!$A$1:$V$1,0)),"")</f>
        <v>Green</v>
      </c>
      <c r="D189" s="869" t="str">
        <f>IFERROR(INDEX(Dataset!$A:$V,MATCH(Calculations!D$169&amp;Calculations!$P189,Dataset!$V:$V,0),MATCH(Calculations!$A$1,Dataset!$A$1:$V$1,0)),"")</f>
        <v>Green</v>
      </c>
      <c r="E189" s="869" t="str">
        <f>IFERROR(INDEX(Dataset!$A:$V,MATCH(Calculations!E$169&amp;Calculations!$P189,Dataset!$V:$V,0),MATCH(Calculations!$A$1,Dataset!$A$1:$V$1,0)),"")</f>
        <v>Green</v>
      </c>
      <c r="F189" s="869" t="str">
        <f>IFERROR(INDEX(Dataset!$A:$V,MATCH(Calculations!F$169&amp;Calculations!$P189,Dataset!$V:$V,0),MATCH(Calculations!$A$1,Dataset!$A$1:$V$1,0)),"")</f>
        <v>Green</v>
      </c>
      <c r="G189" s="869" t="str">
        <f>IFERROR(INDEX(Dataset!$A:$V,MATCH(Calculations!G$169&amp;Calculations!$P189,Dataset!$V:$V,0),MATCH(Calculations!$A$1,Dataset!$A$1:$V$1,0)),"")</f>
        <v>Red</v>
      </c>
      <c r="H189" s="869" t="str">
        <f>IFERROR(INDEX(Dataset!$A:$V,MATCH(Calculations!H$169&amp;Calculations!$P189,Dataset!$V:$V,0),MATCH(Calculations!$A$1,Dataset!$A$1:$V$1,0)),"")</f>
        <v>Red</v>
      </c>
      <c r="I189" s="869" t="str">
        <f>IFERROR(INDEX(Dataset!$A:$V,MATCH(Calculations!I$169&amp;Calculations!$P189,Dataset!$V:$V,0),MATCH(Calculations!$A$1,Dataset!$A$1:$V$1,0)),"")</f>
        <v>Green</v>
      </c>
      <c r="J189" s="869"/>
      <c r="P189" t="s">
        <v>983</v>
      </c>
    </row>
    <row r="190" spans="1:16">
      <c r="A190" s="869" t="s">
        <v>63</v>
      </c>
      <c r="B190" s="869"/>
      <c r="C190" s="869">
        <f>IFERROR(INDEX(Dataset!$A:$V,MATCH(Calculations!C$169&amp;Calculations!$P190,Dataset!$V:$V,0),MATCH(Calculations!$A$1,Dataset!$A$1:$V$1,0)),"")</f>
        <v>1</v>
      </c>
      <c r="D190" s="869">
        <f>IFERROR(INDEX(Dataset!$A:$V,MATCH(Calculations!D$169&amp;Calculations!$P190,Dataset!$V:$V,0),MATCH(Calculations!$A$1,Dataset!$A$1:$V$1,0)),"")</f>
        <v>1</v>
      </c>
      <c r="E190" s="869">
        <f>IFERROR(INDEX(Dataset!$A:$V,MATCH(Calculations!E$169&amp;Calculations!$P190,Dataset!$V:$V,0),MATCH(Calculations!$A$1,Dataset!$A$1:$V$1,0)),"")</f>
        <v>1</v>
      </c>
      <c r="F190" s="869">
        <f>IFERROR(INDEX(Dataset!$A:$V,MATCH(Calculations!F$169&amp;Calculations!$P190,Dataset!$V:$V,0),MATCH(Calculations!$A$1,Dataset!$A$1:$V$1,0)),"")</f>
        <v>1</v>
      </c>
      <c r="G190" s="869">
        <f>IFERROR(INDEX(Dataset!$A:$V,MATCH(Calculations!G$169&amp;Calculations!$P190,Dataset!$V:$V,0),MATCH(Calculations!$A$1,Dataset!$A$1:$V$1,0)),"")</f>
        <v>6</v>
      </c>
      <c r="H190" s="869">
        <f>IFERROR(INDEX(Dataset!$A:$V,MATCH(Calculations!H$169&amp;Calculations!$P190,Dataset!$V:$V,0),MATCH(Calculations!$A$1,Dataset!$A$1:$V$1,0)),"")</f>
        <v>6</v>
      </c>
      <c r="I190" s="869">
        <f>IFERROR(INDEX(Dataset!$A:$V,MATCH(Calculations!I$169&amp;Calculations!$P190,Dataset!$V:$V,0),MATCH(Calculations!$A$1,Dataset!$A$1:$V$1,0)),"")</f>
        <v>3</v>
      </c>
      <c r="J190" s="869"/>
      <c r="P190" t="s">
        <v>984</v>
      </c>
    </row>
    <row r="192" spans="1:16">
      <c r="A192" s="828" t="s">
        <v>388</v>
      </c>
    </row>
    <row r="193" spans="1:16">
      <c r="A193" s="869" t="s">
        <v>985</v>
      </c>
      <c r="B193" s="869"/>
      <c r="C193" s="869">
        <f>IFERROR(INDEX(Dataset!$A:$V,MATCH(Calculations!C$169&amp;Calculations!$P193,Dataset!$V:$V,0),MATCH(Calculations!$A$1,Dataset!$A$1:$V$1,0)),"")</f>
        <v>4.3213334838974857</v>
      </c>
      <c r="D193" s="869">
        <f>IFERROR(INDEX(Dataset!$A:$V,MATCH(Calculations!D$169&amp;Calculations!$P193,Dataset!$V:$V,0),MATCH(Calculations!$A$1,Dataset!$A$1:$V$1,0)),"")</f>
        <v>4.2399404924900406</v>
      </c>
      <c r="E193" s="869">
        <f>IFERROR(INDEX(Dataset!$A:$V,MATCH(Calculations!E$169&amp;Calculations!$P193,Dataset!$V:$V,0),MATCH(Calculations!$A$1,Dataset!$A$1:$V$1,0)),"")</f>
        <v>4.4342986524982138</v>
      </c>
      <c r="F193" s="869">
        <f>IFERROR(INDEX(Dataset!$A:$V,MATCH(Calculations!F$169&amp;Calculations!$P193,Dataset!$V:$V,0),MATCH(Calculations!$A$1,Dataset!$A$1:$V$1,0)),"")</f>
        <v>5.005202697455811</v>
      </c>
      <c r="G193" s="869">
        <f>IFERROR(INDEX(Dataset!$A:$V,MATCH(Calculations!G$169&amp;Calculations!$P193,Dataset!$V:$V,0),MATCH(Calculations!$A$1,Dataset!$A$1:$V$1,0)),"")</f>
        <v>5.0869112087462964</v>
      </c>
      <c r="H193" s="869">
        <f>IFERROR(INDEX(Dataset!$A:$V,MATCH(Calculations!H$169&amp;Calculations!$P193,Dataset!$V:$V,0),MATCH(Calculations!$A$1,Dataset!$A$1:$V$1,0)),"")</f>
        <v>5.0869112087462964</v>
      </c>
      <c r="I193" s="869">
        <f>IFERROR(INDEX(Dataset!$A:$V,MATCH(Calculations!I$169&amp;Calculations!$P193,Dataset!$V:$V,0),MATCH(Calculations!$A$1,Dataset!$A$1:$V$1,0)),"")</f>
        <v>4.4555074234479797</v>
      </c>
      <c r="J193" s="869"/>
      <c r="P193" t="s">
        <v>986</v>
      </c>
    </row>
    <row r="194" spans="1:16">
      <c r="A194" s="869" t="s">
        <v>102</v>
      </c>
      <c r="B194" s="869"/>
      <c r="C194" s="869">
        <f>IFERROR(INDEX(Dataset!$A:$V,MATCH(Calculations!C$169&amp;Calculations!$P194,Dataset!$V:$V,0),MATCH(Calculations!$A$1,Dataset!$A$1:$V$1,0)),"")</f>
        <v>0</v>
      </c>
      <c r="D194" s="869">
        <f>IFERROR(INDEX(Dataset!$A:$V,MATCH(Calculations!D$169&amp;Calculations!$P194,Dataset!$V:$V,0),MATCH(Calculations!$A$1,Dataset!$A$1:$V$1,0)),"")</f>
        <v>0</v>
      </c>
      <c r="E194" s="869">
        <f>IFERROR(INDEX(Dataset!$A:$V,MATCH(Calculations!E$169&amp;Calculations!$P194,Dataset!$V:$V,0),MATCH(Calculations!$A$1,Dataset!$A$1:$V$1,0)),"")</f>
        <v>0</v>
      </c>
      <c r="F194" s="869">
        <f>IFERROR(INDEX(Dataset!$A:$V,MATCH(Calculations!F$169&amp;Calculations!$P194,Dataset!$V:$V,0),MATCH(Calculations!$A$1,Dataset!$A$1:$V$1,0)),"")</f>
        <v>0</v>
      </c>
      <c r="G194" s="869">
        <f>IFERROR(INDEX(Dataset!$A:$V,MATCH(Calculations!G$169&amp;Calculations!$P194,Dataset!$V:$V,0),MATCH(Calculations!$A$1,Dataset!$A$1:$V$1,0)),"")</f>
        <v>0</v>
      </c>
      <c r="H194" s="869">
        <f>IFERROR(INDEX(Dataset!$A:$V,MATCH(Calculations!H$169&amp;Calculations!$P194,Dataset!$V:$V,0),MATCH(Calculations!$A$1,Dataset!$A$1:$V$1,0)),"")</f>
        <v>0</v>
      </c>
      <c r="I194" s="869">
        <f>IFERROR(INDEX(Dataset!$A:$V,MATCH(Calculations!I$169&amp;Calculations!$P194,Dataset!$V:$V,0),MATCH(Calculations!$A$1,Dataset!$A$1:$V$1,0)),"")</f>
        <v>0</v>
      </c>
      <c r="J194" s="869"/>
      <c r="P194" t="s">
        <v>987</v>
      </c>
    </row>
    <row r="195" spans="1:16">
      <c r="A195" s="869" t="s">
        <v>988</v>
      </c>
      <c r="B195" s="869"/>
      <c r="C195" s="869">
        <f>IFERROR(INDEX(Dataset!$A:$V,MATCH(Calculations!C$169&amp;Calculations!$P195,Dataset!$V:$V,0),MATCH(Calculations!$A$1,Dataset!$A$1:$V$1,0)),"")</f>
        <v>2.4162828241544911</v>
      </c>
      <c r="D195" s="869">
        <f>IFERROR(INDEX(Dataset!$A:$V,MATCH(Calculations!D$169&amp;Calculations!$P195,Dataset!$V:$V,0),MATCH(Calculations!$A$1,Dataset!$A$1:$V$1,0)),"")</f>
        <v>2.301827321957699</v>
      </c>
      <c r="E195" s="869">
        <f>IFERROR(INDEX(Dataset!$A:$V,MATCH(Calculations!E$169&amp;Calculations!$P195,Dataset!$V:$V,0),MATCH(Calculations!$A$1,Dataset!$A$1:$V$1,0)),"")</f>
        <v>2.4162828241544907</v>
      </c>
      <c r="F195" s="869">
        <f>IFERROR(INDEX(Dataset!$A:$V,MATCH(Calculations!F$169&amp;Calculations!$P195,Dataset!$V:$V,0),MATCH(Calculations!$A$1,Dataset!$A$1:$V$1,0)),"")</f>
        <v>2.212806375804639</v>
      </c>
      <c r="G195" s="869">
        <f>IFERROR(INDEX(Dataset!$A:$V,MATCH(Calculations!G$169&amp;Calculations!$P195,Dataset!$V:$V,0),MATCH(Calculations!$A$1,Dataset!$A$1:$V$1,0)),"")</f>
        <v>0</v>
      </c>
      <c r="H195" s="869">
        <f>IFERROR(INDEX(Dataset!$A:$V,MATCH(Calculations!H$169&amp;Calculations!$P195,Dataset!$V:$V,0),MATCH(Calculations!$A$1,Dataset!$A$1:$V$1,0)),"")</f>
        <v>0</v>
      </c>
      <c r="I195" s="869">
        <f>IFERROR(INDEX(Dataset!$A:$V,MATCH(Calculations!I$169&amp;Calculations!$P195,Dataset!$V:$V,0),MATCH(Calculations!$A$1,Dataset!$A$1:$V$1,0)),"")</f>
        <v>0.68673301318074997</v>
      </c>
      <c r="J195" s="869"/>
      <c r="P195" t="s">
        <v>989</v>
      </c>
    </row>
    <row r="196" spans="1:16">
      <c r="A196" s="869" t="s">
        <v>990</v>
      </c>
      <c r="B196" s="869"/>
      <c r="C196" s="869">
        <f>IFERROR(INDEX(Dataset!$A:$V,MATCH(Calculations!C$169&amp;Calculations!$P196,Dataset!$V:$V,0),MATCH(Calculations!$A$1,Dataset!$A$1:$V$1,0)),"")</f>
        <v>7.1467034225646255</v>
      </c>
      <c r="D196" s="869">
        <f>IFERROR(INDEX(Dataset!$A:$V,MATCH(Calculations!D$169&amp;Calculations!$P196,Dataset!$V:$V,0),MATCH(Calculations!$A$1,Dataset!$A$1:$V$1,0)),"")</f>
        <v>6.5417678144477396</v>
      </c>
      <c r="E196" s="869">
        <f>IFERROR(INDEX(Dataset!$A:$V,MATCH(Calculations!E$169&amp;Calculations!$P196,Dataset!$V:$V,0),MATCH(Calculations!$A$1,Dataset!$A$1:$V$1,0)),"")</f>
        <v>6.8505814766527049</v>
      </c>
      <c r="F196" s="869">
        <f>IFERROR(INDEX(Dataset!$A:$V,MATCH(Calculations!F$169&amp;Calculations!$P196,Dataset!$V:$V,0),MATCH(Calculations!$A$1,Dataset!$A$1:$V$1,0)),"")</f>
        <v>7.2180090732604505</v>
      </c>
      <c r="G196" s="869">
        <f>IFERROR(INDEX(Dataset!$A:$V,MATCH(Calculations!G$169&amp;Calculations!$P196,Dataset!$V:$V,0),MATCH(Calculations!$A$1,Dataset!$A$1:$V$1,0)),"")</f>
        <v>5.0869112087462964</v>
      </c>
      <c r="H196" s="869">
        <f>IFERROR(INDEX(Dataset!$A:$V,MATCH(Calculations!H$169&amp;Calculations!$P196,Dataset!$V:$V,0),MATCH(Calculations!$A$1,Dataset!$A$1:$V$1,0)),"")</f>
        <v>5.0869112087462964</v>
      </c>
      <c r="I196" s="869">
        <f>IFERROR(INDEX(Dataset!$A:$V,MATCH(Calculations!I$169&amp;Calculations!$P196,Dataset!$V:$V,0),MATCH(Calculations!$A$1,Dataset!$A$1:$V$1,0)),"")</f>
        <v>5.1422404366287298</v>
      </c>
      <c r="J196" s="869"/>
      <c r="P196" t="s">
        <v>991</v>
      </c>
    </row>
    <row r="197" spans="1:16">
      <c r="A197" s="869" t="s">
        <v>992</v>
      </c>
      <c r="B197" s="869"/>
      <c r="C197" s="869">
        <f>IFERROR(INDEX(Dataset!$A:$V,MATCH(Calculations!C$169&amp;Calculations!$P197,Dataset!$V:$V,0),MATCH(Calculations!$A$1,Dataset!$A$1:$V$1,0)),"")</f>
        <v>2</v>
      </c>
      <c r="D197" s="869">
        <f>IFERROR(INDEX(Dataset!$A:$V,MATCH(Calculations!D$169&amp;Calculations!$P197,Dataset!$V:$V,0),MATCH(Calculations!$A$1,Dataset!$A$1:$V$1,0)),"")</f>
        <v>2</v>
      </c>
      <c r="E197" s="869">
        <f>IFERROR(INDEX(Dataset!$A:$V,MATCH(Calculations!E$169&amp;Calculations!$P197,Dataset!$V:$V,0),MATCH(Calculations!$A$1,Dataset!$A$1:$V$1,0)),"")</f>
        <v>1</v>
      </c>
      <c r="F197" s="869">
        <f>IFERROR(INDEX(Dataset!$A:$V,MATCH(Calculations!F$169&amp;Calculations!$P197,Dataset!$V:$V,0),MATCH(Calculations!$A$1,Dataset!$A$1:$V$1,0)),"")</f>
        <v>1</v>
      </c>
      <c r="G197" s="869">
        <f>IFERROR(INDEX(Dataset!$A:$V,MATCH(Calculations!G$169&amp;Calculations!$P197,Dataset!$V:$V,0),MATCH(Calculations!$A$1,Dataset!$A$1:$V$1,0)),"")</f>
        <v>6</v>
      </c>
      <c r="H197" s="869">
        <f>IFERROR(INDEX(Dataset!$A:$V,MATCH(Calculations!H$169&amp;Calculations!$P197,Dataset!$V:$V,0),MATCH(Calculations!$A$1,Dataset!$A$1:$V$1,0)),"")</f>
        <v>6</v>
      </c>
      <c r="I197" s="869">
        <f>IFERROR(INDEX(Dataset!$A:$V,MATCH(Calculations!I$169&amp;Calculations!$P197,Dataset!$V:$V,0),MATCH(Calculations!$A$1,Dataset!$A$1:$V$1,0)),"")</f>
        <v>5</v>
      </c>
      <c r="J197" s="869"/>
      <c r="P197" t="s">
        <v>993</v>
      </c>
    </row>
    <row r="199" spans="1:16">
      <c r="A199" s="828" t="s">
        <v>994</v>
      </c>
    </row>
    <row r="200" spans="1:16">
      <c r="A200" s="869"/>
      <c r="B200" s="869"/>
      <c r="C200" s="869" t="s">
        <v>137</v>
      </c>
      <c r="D200" s="869" t="s">
        <v>138</v>
      </c>
      <c r="E200" s="869" t="s">
        <v>139</v>
      </c>
      <c r="F200" s="869" t="s">
        <v>140</v>
      </c>
      <c r="G200" s="869" t="s">
        <v>141</v>
      </c>
      <c r="H200" s="869" t="s">
        <v>126</v>
      </c>
      <c r="I200" s="869" t="s">
        <v>142</v>
      </c>
      <c r="J200" s="869" t="s">
        <v>143</v>
      </c>
    </row>
    <row r="201" spans="1:16">
      <c r="A201" s="873" t="s">
        <v>995</v>
      </c>
      <c r="B201" s="869"/>
      <c r="C201" s="869"/>
      <c r="D201" s="869"/>
      <c r="E201" s="869"/>
      <c r="F201" s="869"/>
      <c r="G201" s="869"/>
      <c r="H201" s="869"/>
      <c r="I201" s="869"/>
      <c r="J201" s="869"/>
    </row>
    <row r="202" spans="1:16">
      <c r="A202" s="869" t="s">
        <v>533</v>
      </c>
      <c r="B202" s="869"/>
      <c r="C202" s="869">
        <f>IFERROR(INDEX(Dataset!$A:$V,MATCH(Calculations!C$200&amp;Calculations!$P202,Dataset!$V:$V,0),MATCH(Calculations!$A$1,Dataset!$A$1:$V$1,0)),"")</f>
        <v>14</v>
      </c>
      <c r="D202" s="869">
        <f>IFERROR(INDEX(Dataset!$A:$V,MATCH(Calculations!D$200&amp;Calculations!$P202,Dataset!$V:$V,0),MATCH(Calculations!$A$1,Dataset!$A$1:$V$1,0)),"")</f>
        <v>22</v>
      </c>
      <c r="E202" s="869">
        <f>IFERROR(INDEX(Dataset!$A:$V,MATCH(Calculations!E$200&amp;Calculations!$P202,Dataset!$V:$V,0),MATCH(Calculations!$A$1,Dataset!$A$1:$V$1,0)),"")</f>
        <v>33</v>
      </c>
      <c r="F202" s="869">
        <f>IFERROR(INDEX(Dataset!$A:$V,MATCH(Calculations!F$200&amp;Calculations!$P202,Dataset!$V:$V,0),MATCH(Calculations!$A$1,Dataset!$A$1:$V$1,0)),"")</f>
        <v>39</v>
      </c>
      <c r="G202" s="869">
        <f>IFERROR(INDEX(Dataset!$A:$V,MATCH(Calculations!G$200&amp;Calculations!$P202,Dataset!$V:$V,0),MATCH(Calculations!$A$1,Dataset!$A$1:$V$1,0)),"")</f>
        <v>50</v>
      </c>
      <c r="H202" s="869">
        <f>IFERROR(INDEX(Dataset!$A:$V,MATCH(Calculations!H$200&amp;Calculations!$P202,Dataset!$V:$V,0),MATCH(Calculations!$A$1,Dataset!$A$1:$V$1,0)),"")</f>
        <v>65</v>
      </c>
      <c r="I202" s="869">
        <f>IFERROR(INDEX(Dataset!$A:$V,MATCH(Calculations!I$200&amp;Calculations!$P202,Dataset!$V:$V,0),MATCH(Calculations!$A$1,Dataset!$A$1:$V$1,0)),"")</f>
        <v>21</v>
      </c>
      <c r="J202" s="869"/>
      <c r="P202" t="s">
        <v>996</v>
      </c>
    </row>
    <row r="203" spans="1:16">
      <c r="A203" s="869" t="s">
        <v>997</v>
      </c>
      <c r="B203" s="869"/>
      <c r="C203" s="869">
        <f>IFERROR(INDEX(Dataset!$A:$V,MATCH(Calculations!C$200&amp;Calculations!$P203,Dataset!$V:$V,0),MATCH(Calculations!$A$1,Dataset!$A$1:$V$1,0)),"")</f>
        <v>1.5521289999999999</v>
      </c>
      <c r="D203" s="869">
        <f>IFERROR(INDEX(Dataset!$A:$V,MATCH(Calculations!D$200&amp;Calculations!$P203,Dataset!$V:$V,0),MATCH(Calculations!$A$1,Dataset!$A$1:$V$1,0)),"")</f>
        <v>1.5772369999999998</v>
      </c>
      <c r="E203" s="869">
        <f>IFERROR(INDEX(Dataset!$A:$V,MATCH(Calculations!E$200&amp;Calculations!$P203,Dataset!$V:$V,0),MATCH(Calculations!$A$1,Dataset!$A$1:$V$1,0)),"")</f>
        <v>1.6040021478773456</v>
      </c>
      <c r="F203" s="869">
        <f>IFERROR(INDEX(Dataset!$A:$V,MATCH(Calculations!F$200&amp;Calculations!$P203,Dataset!$V:$V,0),MATCH(Calculations!$A$1,Dataset!$A$1:$V$1,0)),"")</f>
        <v>1.6837790728283801</v>
      </c>
      <c r="G203" s="869">
        <f>IFERROR(INDEX(Dataset!$A:$V,MATCH(Calculations!G$200&amp;Calculations!$P203,Dataset!$V:$V,0),MATCH(Calculations!$A$1,Dataset!$A$1:$V$1,0)),"")</f>
        <v>1.7755039607626066</v>
      </c>
      <c r="H203" s="869">
        <f>IFERROR(INDEX(Dataset!$A:$V,MATCH(Calculations!H$200&amp;Calculations!$P203,Dataset!$V:$V,0),MATCH(Calculations!$A$1,Dataset!$A$1:$V$1,0)),"")</f>
        <v>7.89</v>
      </c>
      <c r="I203" s="869">
        <f>IFERROR(INDEX(Dataset!$A:$V,MATCH(Calculations!I$200&amp;Calculations!$P203,Dataset!$V:$V,0),MATCH(Calculations!$A$1,Dataset!$A$1:$V$1,0)),"")</f>
        <v>7.829581639050895</v>
      </c>
      <c r="J203" s="869"/>
      <c r="P203" t="s">
        <v>998</v>
      </c>
    </row>
    <row r="204" spans="1:16">
      <c r="A204" s="869" t="s">
        <v>999</v>
      </c>
      <c r="B204" s="869"/>
      <c r="C204" s="869">
        <f>IFERROR(INDEX(Dataset!$A:$V,MATCH(Calculations!C$200&amp;Calculations!$P204,Dataset!$V:$V,0),MATCH(Calculations!$A$1,Dataset!$A$1:$V$1,0)),"")</f>
        <v>0.34716923099999997</v>
      </c>
      <c r="D204" s="869">
        <f>IFERROR(INDEX(Dataset!$A:$V,MATCH(Calculations!D$200&amp;Calculations!$P204,Dataset!$V:$V,0),MATCH(Calculations!$A$1,Dataset!$A$1:$V$1,0)),"")</f>
        <v>1.6326712410000002</v>
      </c>
      <c r="E204" s="869">
        <f>IFERROR(INDEX(Dataset!$A:$V,MATCH(Calculations!E$200&amp;Calculations!$P204,Dataset!$V:$V,0),MATCH(Calculations!$A$1,Dataset!$A$1:$V$1,0)),"")</f>
        <v>1.8481499999999997</v>
      </c>
      <c r="F204" s="869">
        <f>IFERROR(INDEX(Dataset!$A:$V,MATCH(Calculations!F$200&amp;Calculations!$P204,Dataset!$V:$V,0),MATCH(Calculations!$A$1,Dataset!$A$1:$V$1,0)),"")</f>
        <v>1.28952</v>
      </c>
      <c r="G204" s="869">
        <f>IFERROR(INDEX(Dataset!$A:$V,MATCH(Calculations!G$200&amp;Calculations!$P204,Dataset!$V:$V,0),MATCH(Calculations!$A$1,Dataset!$A$1:$V$1,0)),"")</f>
        <v>1.8924228000000007</v>
      </c>
      <c r="H204" s="869">
        <f>IFERROR(INDEX(Dataset!$A:$V,MATCH(Calculations!H$200&amp;Calculations!$P204,Dataset!$V:$V,0),MATCH(Calculations!$A$1,Dataset!$A$1:$V$1,0)),"")</f>
        <v>6.12</v>
      </c>
      <c r="I204" s="869">
        <f>IFERROR(INDEX(Dataset!$A:$V,MATCH(Calculations!I$200&amp;Calculations!$P204,Dataset!$V:$V,0),MATCH(Calculations!$A$1,Dataset!$A$1:$V$1,0)),"")</f>
        <v>5.6327589000000007</v>
      </c>
      <c r="J204" s="869"/>
      <c r="P204" t="s">
        <v>1000</v>
      </c>
    </row>
    <row r="205" spans="1:16">
      <c r="A205" s="869" t="s">
        <v>536</v>
      </c>
      <c r="B205" s="869"/>
      <c r="C205" s="871">
        <f>IFERROR(INDEX(Dataset!$A:$V,MATCH(Calculations!C$200&amp;Calculations!$P205,Dataset!$V:$V,0),MATCH(Calculations!$A$1,Dataset!$A$1:$V$1,0)),"")</f>
        <v>0.22367292344901743</v>
      </c>
      <c r="D205" s="871">
        <f>IFERROR(INDEX(Dataset!$A:$V,MATCH(Calculations!D$200&amp;Calculations!$P205,Dataset!$V:$V,0),MATCH(Calculations!$A$1,Dataset!$A$1:$V$1,0)),"")</f>
        <v>1.0351464244118038</v>
      </c>
      <c r="E205" s="871">
        <f>IFERROR(INDEX(Dataset!$A:$V,MATCH(Calculations!E$200&amp;Calculations!$P205,Dataset!$V:$V,0),MATCH(Calculations!$A$1,Dataset!$A$1:$V$1,0)),"")</f>
        <v>1.1522116740590074</v>
      </c>
      <c r="F205" s="871">
        <f>IFERROR(INDEX(Dataset!$A:$V,MATCH(Calculations!F$200&amp;Calculations!$P205,Dataset!$V:$V,0),MATCH(Calculations!$A$1,Dataset!$A$1:$V$1,0)),"")</f>
        <v>0.76584869167775604</v>
      </c>
      <c r="G205" s="871">
        <f>IFERROR(INDEX(Dataset!$A:$V,MATCH(Calculations!G$200&amp;Calculations!$P205,Dataset!$V:$V,0),MATCH(Calculations!$A$1,Dataset!$A$1:$V$1,0)),"")</f>
        <v>1.0658510720455818</v>
      </c>
      <c r="H205" s="871">
        <f>IFERROR(INDEX(Dataset!$A:$V,MATCH(Calculations!H$200&amp;Calculations!$P205,Dataset!$V:$V,0),MATCH(Calculations!$A$1,Dataset!$A$1:$V$1,0)),"")</f>
        <v>0.77566539923954381</v>
      </c>
      <c r="I205" s="871">
        <f>IFERROR(INDEX(Dataset!$A:$V,MATCH(Calculations!I$200&amp;Calculations!$P205,Dataset!$V:$V,0),MATCH(Calculations!$A$1,Dataset!$A$1:$V$1,0)),"")</f>
        <v>0.72</v>
      </c>
      <c r="J205" s="871"/>
      <c r="P205" t="s">
        <v>1001</v>
      </c>
    </row>
    <row r="206" spans="1:16">
      <c r="A206" s="873" t="s">
        <v>1002</v>
      </c>
      <c r="B206" s="869"/>
      <c r="C206" s="869" t="str">
        <f>IFERROR(INDEX(Dataset!$A:$V,MATCH(Calculations!C$200&amp;Calculations!$P206,Dataset!$V:$V,0),MATCH(Calculations!$A$1,Dataset!$A$1:$V$1,0)),"")</f>
        <v/>
      </c>
      <c r="D206" s="869" t="str">
        <f>IFERROR(INDEX(Dataset!$A:$V,MATCH(Calculations!D$200&amp;Calculations!$P206,Dataset!$V:$V,0),MATCH(Calculations!$A$1,Dataset!$A$1:$V$1,0)),"")</f>
        <v/>
      </c>
      <c r="E206" s="869" t="str">
        <f>IFERROR(INDEX(Dataset!$A:$V,MATCH(Calculations!E$200&amp;Calculations!$P206,Dataset!$V:$V,0),MATCH(Calculations!$A$1,Dataset!$A$1:$V$1,0)),"")</f>
        <v/>
      </c>
      <c r="F206" s="869" t="str">
        <f>IFERROR(INDEX(Dataset!$A:$V,MATCH(Calculations!F$200&amp;Calculations!$P206,Dataset!$V:$V,0),MATCH(Calculations!$A$1,Dataset!$A$1:$V$1,0)),"")</f>
        <v/>
      </c>
      <c r="G206" s="869"/>
      <c r="H206" s="869"/>
      <c r="I206" s="869"/>
      <c r="J206" s="869"/>
    </row>
    <row r="207" spans="1:16">
      <c r="A207" s="869" t="s">
        <v>1003</v>
      </c>
      <c r="B207" s="869"/>
      <c r="C207" s="869">
        <f>IFERROR(INDEX(Dataset!$A:$V,MATCH(Calculations!C$200&amp;Calculations!$P207,Dataset!$V:$V,0),MATCH(Calculations!$A$1,Dataset!$A$1:$V$1,0)),"")</f>
        <v>0</v>
      </c>
      <c r="D207" s="869">
        <f>IFERROR(INDEX(Dataset!$A:$V,MATCH(Calculations!D$200&amp;Calculations!$P207,Dataset!$V:$V,0),MATCH(Calculations!$A$1,Dataset!$A$1:$V$1,0)),"")</f>
        <v>5.7003632312724557</v>
      </c>
      <c r="E207" s="869">
        <f>IFERROR(INDEX(Dataset!$A:$V,MATCH(Calculations!E$200&amp;Calculations!$P207,Dataset!$V:$V,0),MATCH(Calculations!$A$1,Dataset!$A$1:$V$1,0)),"")</f>
        <v>0</v>
      </c>
      <c r="F207" s="869">
        <f>IFERROR(INDEX(Dataset!$A:$V,MATCH(Calculations!F$200&amp;Calculations!$P207,Dataset!$V:$V,0),MATCH(Calculations!$A$1,Dataset!$A$1:$V$1,0)),"")</f>
        <v>0</v>
      </c>
      <c r="G207" s="869">
        <f>IFERROR(INDEX(Dataset!$A:$V,MATCH(Calculations!G$200&amp;Calculations!$P207,Dataset!$V:$V,0),MATCH(Calculations!$A$1,Dataset!$A$1:$V$1,0)),"")</f>
        <v>0</v>
      </c>
      <c r="H207" s="869">
        <f>IFERROR(INDEX(Dataset!$A:$V,MATCH(Calculations!H$200&amp;Calculations!$P207,Dataset!$V:$V,0),MATCH(Calculations!$A$1,Dataset!$A$1:$V$1,0)),"")</f>
        <v>0</v>
      </c>
      <c r="I207" s="869">
        <f>IFERROR(INDEX(Dataset!$A:$V,MATCH(Calculations!I$200&amp;Calculations!$P207,Dataset!$V:$V,0),MATCH(Calculations!$A$1,Dataset!$A$1:$V$1,0)),"")</f>
        <v>6.98</v>
      </c>
      <c r="J207" s="869"/>
      <c r="P207" t="s">
        <v>1004</v>
      </c>
    </row>
    <row r="209" spans="1:16">
      <c r="A209" s="828" t="s">
        <v>1005</v>
      </c>
    </row>
    <row r="210" spans="1:16">
      <c r="A210" s="869"/>
      <c r="B210" s="869" t="s">
        <v>607</v>
      </c>
      <c r="C210" s="870" t="s">
        <v>134</v>
      </c>
      <c r="D210" s="870" t="s">
        <v>135</v>
      </c>
      <c r="E210" s="870" t="s">
        <v>136</v>
      </c>
      <c r="F210" s="870" t="s">
        <v>137</v>
      </c>
      <c r="G210" s="870" t="s">
        <v>138</v>
      </c>
      <c r="H210" s="870" t="s">
        <v>139</v>
      </c>
      <c r="I210" s="870" t="s">
        <v>140</v>
      </c>
      <c r="J210" s="870" t="s">
        <v>141</v>
      </c>
      <c r="K210" s="870" t="s">
        <v>126</v>
      </c>
      <c r="L210" s="870" t="s">
        <v>142</v>
      </c>
      <c r="M210" s="870" t="s">
        <v>143</v>
      </c>
      <c r="N210" s="870" t="s">
        <v>1006</v>
      </c>
      <c r="O210" s="870" t="s">
        <v>719</v>
      </c>
    </row>
    <row r="211" spans="1:16">
      <c r="A211" s="873" t="s">
        <v>608</v>
      </c>
      <c r="B211" s="869"/>
      <c r="C211" s="869"/>
      <c r="D211" s="869"/>
      <c r="E211" s="869"/>
      <c r="F211" s="869"/>
      <c r="G211" s="869"/>
      <c r="H211" s="869"/>
      <c r="I211" s="869"/>
      <c r="J211" s="869"/>
      <c r="K211" s="869"/>
      <c r="L211" s="869"/>
      <c r="M211" s="869"/>
      <c r="N211" s="869"/>
      <c r="O211" s="869"/>
    </row>
    <row r="212" spans="1:16">
      <c r="A212" s="869" t="s">
        <v>1007</v>
      </c>
      <c r="B212" s="869"/>
      <c r="C212" s="869" t="str">
        <f>IFERROR(INDEX(Dataset!$A:$V,MATCH(Calculations!C$210&amp;Calculations!$P212,Dataset!$V:$V,0),MATCH(Calculations!$A$1,Dataset!$A$1:$V$1,0)),"")</f>
        <v/>
      </c>
      <c r="D212" s="869" t="str">
        <f>IFERROR(INDEX(Dataset!$A:$V,MATCH(Calculations!D$210&amp;Calculations!$P212,Dataset!$V:$V,0),MATCH(Calculations!$A$1,Dataset!$A$1:$V$1,0)),"")</f>
        <v/>
      </c>
      <c r="E212" s="869" t="str">
        <f>IFERROR(INDEX(Dataset!$A:$V,MATCH(Calculations!E$210&amp;Calculations!$P212,Dataset!$V:$V,0),MATCH(Calculations!$A$1,Dataset!$A$1:$V$1,0)),"")</f>
        <v/>
      </c>
      <c r="F212" s="869" t="str">
        <f>IFERROR(INDEX(Dataset!$A:$V,MATCH(Calculations!F$210&amp;Calculations!$P212,Dataset!$V:$V,0),MATCH(Calculations!$A$1,Dataset!$A$1:$V$1,0)),"")</f>
        <v/>
      </c>
      <c r="G212" s="869" t="str">
        <f>IFERROR(INDEX(Dataset!$A:$V,MATCH(Calculations!G$210&amp;Calculations!$P212,Dataset!$V:$V,0),MATCH(Calculations!$A$1,Dataset!$A$1:$V$1,0)),"")</f>
        <v/>
      </c>
      <c r="H212" s="869" t="str">
        <f>IFERROR(INDEX(Dataset!$A:$V,MATCH(Calculations!H$210&amp;Calculations!$P212,Dataset!$V:$V,0),MATCH(Calculations!$A$1,Dataset!$A$1:$V$1,0)),"")</f>
        <v/>
      </c>
      <c r="I212" s="869" t="str">
        <f>IFERROR(INDEX(Dataset!$A:$V,MATCH(Calculations!I$210&amp;Calculations!$P212,Dataset!$V:$V,0),MATCH(Calculations!$A$1,Dataset!$A$1:$V$1,0)),"")</f>
        <v/>
      </c>
      <c r="J212" s="869" t="str">
        <f>IFERROR(INDEX(Dataset!$A:$V,MATCH(Calculations!J$210&amp;Calculations!$P212,Dataset!$V:$V,0),MATCH(Calculations!$A$1,Dataset!$A$1:$V$1,0)),"")</f>
        <v/>
      </c>
      <c r="K212" s="869" t="str">
        <f>IFERROR(INDEX(Dataset!$A:$V,MATCH(Calculations!K$210&amp;Calculations!$P212,Dataset!$V:$V,0),MATCH(Calculations!$A$1,Dataset!$A$1:$V$1,0)),"")</f>
        <v/>
      </c>
      <c r="L212" s="869">
        <f>IFERROR(INDEX(Dataset!$A:$V,MATCH(Calculations!L$210&amp;Calculations!$P212,Dataset!$V:$V,0),MATCH(Calculations!$A$1,Dataset!$A$1:$V$1,0)),"")</f>
        <v>333.7184336711083</v>
      </c>
      <c r="M212" s="869"/>
      <c r="N212" s="869"/>
      <c r="O212" s="869"/>
      <c r="P212" t="s">
        <v>1008</v>
      </c>
    </row>
    <row r="213" spans="1:16">
      <c r="A213" s="869" t="s">
        <v>1009</v>
      </c>
      <c r="B213" s="869"/>
      <c r="C213" s="869" t="str">
        <f>IFERROR(INDEX(Dataset!$A:$V,MATCH(Calculations!C$210&amp;Calculations!$P213,Dataset!$V:$V,0),MATCH(Calculations!$A$1,Dataset!$A$1:$V$1,0)),"")</f>
        <v/>
      </c>
      <c r="D213" s="869" t="str">
        <f>IFERROR(INDEX(Dataset!$A:$V,MATCH(Calculations!D$210&amp;Calculations!$P213,Dataset!$V:$V,0),MATCH(Calculations!$A$1,Dataset!$A$1:$V$1,0)),"")</f>
        <v/>
      </c>
      <c r="E213" s="869" t="str">
        <f>IFERROR(INDEX(Dataset!$A:$V,MATCH(Calculations!E$210&amp;Calculations!$P213,Dataset!$V:$V,0),MATCH(Calculations!$A$1,Dataset!$A$1:$V$1,0)),"")</f>
        <v/>
      </c>
      <c r="F213" s="869" t="str">
        <f>IFERROR(INDEX(Dataset!$A:$V,MATCH(Calculations!F$210&amp;Calculations!$P213,Dataset!$V:$V,0),MATCH(Calculations!$A$1,Dataset!$A$1:$V$1,0)),"")</f>
        <v/>
      </c>
      <c r="G213" s="869" t="str">
        <f>IFERROR(INDEX(Dataset!$A:$V,MATCH(Calculations!G$210&amp;Calculations!$P213,Dataset!$V:$V,0),MATCH(Calculations!$A$1,Dataset!$A$1:$V$1,0)),"")</f>
        <v/>
      </c>
      <c r="H213" s="869" t="str">
        <f>IFERROR(INDEX(Dataset!$A:$V,MATCH(Calculations!H$210&amp;Calculations!$P213,Dataset!$V:$V,0),MATCH(Calculations!$A$1,Dataset!$A$1:$V$1,0)),"")</f>
        <v/>
      </c>
      <c r="I213" s="869" t="str">
        <f>IFERROR(INDEX(Dataset!$A:$V,MATCH(Calculations!I$210&amp;Calculations!$P213,Dataset!$V:$V,0),MATCH(Calculations!$A$1,Dataset!$A$1:$V$1,0)),"")</f>
        <v/>
      </c>
      <c r="J213" s="869" t="str">
        <f>IFERROR(INDEX(Dataset!$A:$V,MATCH(Calculations!J$210&amp;Calculations!$P213,Dataset!$V:$V,0),MATCH(Calculations!$A$1,Dataset!$A$1:$V$1,0)),"")</f>
        <v/>
      </c>
      <c r="K213" s="869" t="str">
        <f>IFERROR(INDEX(Dataset!$A:$V,MATCH(Calculations!K$210&amp;Calculations!$P213,Dataset!$V:$V,0),MATCH(Calculations!$A$1,Dataset!$A$1:$V$1,0)),"")</f>
        <v/>
      </c>
      <c r="L213" s="869">
        <f>IFERROR(INDEX(Dataset!$A:$V,MATCH(Calculations!L$210&amp;Calculations!$P213,Dataset!$V:$V,0),MATCH(Calculations!$A$1,Dataset!$A$1:$V$1,0)),"")</f>
        <v>349.4748775023474</v>
      </c>
      <c r="M213" s="869"/>
      <c r="N213" s="869"/>
      <c r="O213" s="869"/>
      <c r="P213" t="s">
        <v>1010</v>
      </c>
    </row>
    <row r="214" spans="1:16">
      <c r="A214" s="869" t="s">
        <v>1011</v>
      </c>
      <c r="B214" s="869"/>
      <c r="C214" s="869" t="str">
        <f>IFERROR(INDEX(Dataset!$A:$V,MATCH(Calculations!C$210&amp;Calculations!$P214,Dataset!$V:$V,0),MATCH(Calculations!$A$1,Dataset!$A$1:$V$1,0)),"")</f>
        <v/>
      </c>
      <c r="D214" s="869" t="str">
        <f>IFERROR(INDEX(Dataset!$A:$V,MATCH(Calculations!D$210&amp;Calculations!$P214,Dataset!$V:$V,0),MATCH(Calculations!$A$1,Dataset!$A$1:$V$1,0)),"")</f>
        <v/>
      </c>
      <c r="E214" s="869" t="str">
        <f>IFERROR(INDEX(Dataset!$A:$V,MATCH(Calculations!E$210&amp;Calculations!$P214,Dataset!$V:$V,0),MATCH(Calculations!$A$1,Dataset!$A$1:$V$1,0)),"")</f>
        <v/>
      </c>
      <c r="F214" s="869" t="str">
        <f>IFERROR(INDEX(Dataset!$A:$V,MATCH(Calculations!F$210&amp;Calculations!$P214,Dataset!$V:$V,0),MATCH(Calculations!$A$1,Dataset!$A$1:$V$1,0)),"")</f>
        <v/>
      </c>
      <c r="G214" s="869" t="str">
        <f>IFERROR(INDEX(Dataset!$A:$V,MATCH(Calculations!G$210&amp;Calculations!$P214,Dataset!$V:$V,0),MATCH(Calculations!$A$1,Dataset!$A$1:$V$1,0)),"")</f>
        <v/>
      </c>
      <c r="H214" s="869" t="str">
        <f>IFERROR(INDEX(Dataset!$A:$V,MATCH(Calculations!H$210&amp;Calculations!$P214,Dataset!$V:$V,0),MATCH(Calculations!$A$1,Dataset!$A$1:$V$1,0)),"")</f>
        <v/>
      </c>
      <c r="I214" s="869" t="str">
        <f>IFERROR(INDEX(Dataset!$A:$V,MATCH(Calculations!I$210&amp;Calculations!$P214,Dataset!$V:$V,0),MATCH(Calculations!$A$1,Dataset!$A$1:$V$1,0)),"")</f>
        <v/>
      </c>
      <c r="J214" s="869" t="str">
        <f>IFERROR(INDEX(Dataset!$A:$V,MATCH(Calculations!J$210&amp;Calculations!$P214,Dataset!$V:$V,0),MATCH(Calculations!$A$1,Dataset!$A$1:$V$1,0)),"")</f>
        <v/>
      </c>
      <c r="K214" s="869" t="str">
        <f>IFERROR(INDEX(Dataset!$A:$V,MATCH(Calculations!K$210&amp;Calculations!$P214,Dataset!$V:$V,0),MATCH(Calculations!$A$1,Dataset!$A$1:$V$1,0)),"")</f>
        <v/>
      </c>
      <c r="L214" s="869">
        <f>IFERROR(INDEX(Dataset!$A:$V,MATCH(Calculations!L$210&amp;Calculations!$P214,Dataset!$V:$V,0),MATCH(Calculations!$A$1,Dataset!$A$1:$V$1,0)),"")</f>
        <v>15.756443831239096</v>
      </c>
      <c r="M214" s="869"/>
      <c r="N214" s="869"/>
      <c r="O214" s="869"/>
      <c r="P214" t="s">
        <v>1012</v>
      </c>
    </row>
    <row r="215" spans="1:16">
      <c r="A215" s="869" t="s">
        <v>1013</v>
      </c>
      <c r="B215" s="869"/>
      <c r="C215" s="869" t="str">
        <f>IFERROR(INDEX(Dataset!$A:$V,MATCH(Calculations!C$210&amp;Calculations!$P215,Dataset!$V:$V,0),MATCH(Calculations!$A$1,Dataset!$A$1:$V$1,0)),"")</f>
        <v/>
      </c>
      <c r="D215" s="869" t="str">
        <f>IFERROR(INDEX(Dataset!$A:$V,MATCH(Calculations!D$210&amp;Calculations!$P215,Dataset!$V:$V,0),MATCH(Calculations!$A$1,Dataset!$A$1:$V$1,0)),"")</f>
        <v/>
      </c>
      <c r="E215" s="869" t="str">
        <f>IFERROR(INDEX(Dataset!$A:$V,MATCH(Calculations!E$210&amp;Calculations!$P215,Dataset!$V:$V,0),MATCH(Calculations!$A$1,Dataset!$A$1:$V$1,0)),"")</f>
        <v/>
      </c>
      <c r="F215" s="871" t="str">
        <f>IFERROR(INDEX(Dataset!$A:$V,MATCH(Calculations!F$210&amp;Calculations!$P215,Dataset!$V:$V,0),MATCH(Calculations!$A$1,Dataset!$A$1:$V$1,0)),"")</f>
        <v/>
      </c>
      <c r="G215" s="871" t="str">
        <f>IFERROR(INDEX(Dataset!$A:$V,MATCH(Calculations!G$210&amp;Calculations!$P215,Dataset!$V:$V,0),MATCH(Calculations!$A$1,Dataset!$A$1:$V$1,0)),"")</f>
        <v/>
      </c>
      <c r="H215" s="871" t="str">
        <f>IFERROR(INDEX(Dataset!$A:$V,MATCH(Calculations!H$210&amp;Calculations!$P215,Dataset!$V:$V,0),MATCH(Calculations!$A$1,Dataset!$A$1:$V$1,0)),"")</f>
        <v/>
      </c>
      <c r="I215" s="871" t="str">
        <f>IFERROR(INDEX(Dataset!$A:$V,MATCH(Calculations!I$210&amp;Calculations!$P215,Dataset!$V:$V,0),MATCH(Calculations!$A$1,Dataset!$A$1:$V$1,0)),"")</f>
        <v/>
      </c>
      <c r="J215" s="871" t="str">
        <f>IFERROR(INDEX(Dataset!$A:$V,MATCH(Calculations!J$210&amp;Calculations!$P215,Dataset!$V:$V,0),MATCH(Calculations!$A$1,Dataset!$A$1:$V$1,0)),"")</f>
        <v/>
      </c>
      <c r="K215" s="871" t="str">
        <f>IFERROR(INDEX(Dataset!$A:$V,MATCH(Calculations!K$210&amp;Calculations!$P215,Dataset!$V:$V,0),MATCH(Calculations!$A$1,Dataset!$A$1:$V$1,0)),"")</f>
        <v/>
      </c>
      <c r="L215" s="871">
        <f>IFERROR(INDEX(Dataset!$A:$V,MATCH(Calculations!L$210&amp;Calculations!$P215,Dataset!$V:$V,0),MATCH(Calculations!$A$1,Dataset!$A$1:$V$1,0)),"")</f>
        <v>4.7214784205680552E-2</v>
      </c>
      <c r="M215" s="871"/>
      <c r="N215" s="869"/>
      <c r="O215" s="869"/>
      <c r="P215" t="s">
        <v>1014</v>
      </c>
    </row>
    <row r="216" spans="1:16">
      <c r="A216" s="869" t="s">
        <v>1015</v>
      </c>
      <c r="B216" s="869"/>
      <c r="C216" s="869" t="str">
        <f>IFERROR(INDEX(Dataset!$A:$V,MATCH(Calculations!C$210&amp;Calculations!$P216,Dataset!$V:$V,0),MATCH(Calculations!$A$1,Dataset!$A$1:$V$1,0)),"")</f>
        <v/>
      </c>
      <c r="D216" s="869" t="str">
        <f>IFERROR(INDEX(Dataset!$A:$V,MATCH(Calculations!D$210&amp;Calculations!$P216,Dataset!$V:$V,0),MATCH(Calculations!$A$1,Dataset!$A$1:$V$1,0)),"")</f>
        <v/>
      </c>
      <c r="E216" s="869" t="str">
        <f>IFERROR(INDEX(Dataset!$A:$V,MATCH(Calculations!E$210&amp;Calculations!$P216,Dataset!$V:$V,0),MATCH(Calculations!$A$1,Dataset!$A$1:$V$1,0)),"")</f>
        <v/>
      </c>
      <c r="F216" s="869" t="str">
        <f>IFERROR(INDEX(Dataset!$A:$V,MATCH(Calculations!F$210&amp;Calculations!$P216,Dataset!$V:$V,0),MATCH(Calculations!$A$1,Dataset!$A$1:$V$1,0)),"")</f>
        <v/>
      </c>
      <c r="G216" s="869" t="str">
        <f>IFERROR(INDEX(Dataset!$A:$V,MATCH(Calculations!G$210&amp;Calculations!$P216,Dataset!$V:$V,0),MATCH(Calculations!$A$1,Dataset!$A$1:$V$1,0)),"")</f>
        <v/>
      </c>
      <c r="H216" s="869" t="str">
        <f>IFERROR(INDEX(Dataset!$A:$V,MATCH(Calculations!H$210&amp;Calculations!$P216,Dataset!$V:$V,0),MATCH(Calculations!$A$1,Dataset!$A$1:$V$1,0)),"")</f>
        <v/>
      </c>
      <c r="I216" s="869" t="str">
        <f>IFERROR(INDEX(Dataset!$A:$V,MATCH(Calculations!I$210&amp;Calculations!$P216,Dataset!$V:$V,0),MATCH(Calculations!$A$1,Dataset!$A$1:$V$1,0)),"")</f>
        <v/>
      </c>
      <c r="J216" s="869" t="str">
        <f>IFERROR(INDEX(Dataset!$A:$V,MATCH(Calculations!J$210&amp;Calculations!$P216,Dataset!$V:$V,0),MATCH(Calculations!$A$1,Dataset!$A$1:$V$1,0)),"")</f>
        <v/>
      </c>
      <c r="K216" s="869" t="str">
        <f>IFERROR(INDEX(Dataset!$A:$V,MATCH(Calculations!K$210&amp;Calculations!$P216,Dataset!$V:$V,0),MATCH(Calculations!$A$1,Dataset!$A$1:$V$1,0)),"")</f>
        <v/>
      </c>
      <c r="L216" s="869" t="str">
        <f>IFERROR(INDEX(Dataset!$A:$V,MATCH(Calculations!L$210&amp;Calculations!$P216,Dataset!$V:$V,0),MATCH(Calculations!$A$1,Dataset!$A$1:$V$1,0)),"")</f>
        <v/>
      </c>
      <c r="M216" s="869" t="str">
        <f>IFERROR(INDEX(Dataset!$A:$V,MATCH(Calculations!M$210&amp;Calculations!$P216,Dataset!$V:$V,0),MATCH(Calculations!$A$1,Dataset!$A$1:$V$1,0)),"")</f>
        <v/>
      </c>
      <c r="N216" s="869">
        <f>IFERROR(INDEX(Dataset!$A:$V,MATCH(Calculations!N$210&amp;Calculations!$P216,Dataset!$V:$V,0),MATCH(Calculations!$A$1,Dataset!$A$1:$V$1,0)),"")</f>
        <v>2318.0641912166989</v>
      </c>
      <c r="O216" s="869" t="str">
        <f>IFERROR(INDEX(Dataset!$A:$V,MATCH(Calculations!O$210&amp;Calculations!$P216,Dataset!$V:$V,0),MATCH(Calculations!$A$1,Dataset!$A$1:$V$1,0)),"")</f>
        <v/>
      </c>
      <c r="P216" t="s">
        <v>1016</v>
      </c>
    </row>
    <row r="217" spans="1:16">
      <c r="A217" s="869" t="s">
        <v>1017</v>
      </c>
      <c r="B217" s="869"/>
      <c r="C217" s="869" t="str">
        <f>IFERROR(INDEX(Dataset!$A:$V,MATCH(Calculations!C$210&amp;Calculations!$P217,Dataset!$V:$V,0),MATCH(Calculations!$A$1,Dataset!$A$1:$V$1,0)),"")</f>
        <v/>
      </c>
      <c r="D217" s="869" t="str">
        <f>IFERROR(INDEX(Dataset!$A:$V,MATCH(Calculations!D$210&amp;Calculations!$P217,Dataset!$V:$V,0),MATCH(Calculations!$A$1,Dataset!$A$1:$V$1,0)),"")</f>
        <v/>
      </c>
      <c r="E217" s="869" t="str">
        <f>IFERROR(INDEX(Dataset!$A:$V,MATCH(Calculations!E$210&amp;Calculations!$P217,Dataset!$V:$V,0),MATCH(Calculations!$A$1,Dataset!$A$1:$V$1,0)),"")</f>
        <v/>
      </c>
      <c r="F217" s="869" t="str">
        <f>IFERROR(INDEX(Dataset!$A:$V,MATCH(Calculations!F$210&amp;Calculations!$P217,Dataset!$V:$V,0),MATCH(Calculations!$A$1,Dataset!$A$1:$V$1,0)),"")</f>
        <v/>
      </c>
      <c r="G217" s="869" t="str">
        <f>IFERROR(INDEX(Dataset!$A:$V,MATCH(Calculations!G$210&amp;Calculations!$P217,Dataset!$V:$V,0),MATCH(Calculations!$A$1,Dataset!$A$1:$V$1,0)),"")</f>
        <v/>
      </c>
      <c r="H217" s="869" t="str">
        <f>IFERROR(INDEX(Dataset!$A:$V,MATCH(Calculations!H$210&amp;Calculations!$P217,Dataset!$V:$V,0),MATCH(Calculations!$A$1,Dataset!$A$1:$V$1,0)),"")</f>
        <v/>
      </c>
      <c r="I217" s="869" t="str">
        <f>IFERROR(INDEX(Dataset!$A:$V,MATCH(Calculations!I$210&amp;Calculations!$P217,Dataset!$V:$V,0),MATCH(Calculations!$A$1,Dataset!$A$1:$V$1,0)),"")</f>
        <v/>
      </c>
      <c r="J217" s="869" t="str">
        <f>IFERROR(INDEX(Dataset!$A:$V,MATCH(Calculations!J$210&amp;Calculations!$P217,Dataset!$V:$V,0),MATCH(Calculations!$A$1,Dataset!$A$1:$V$1,0)),"")</f>
        <v/>
      </c>
      <c r="K217" s="869" t="str">
        <f>IFERROR(INDEX(Dataset!$A:$V,MATCH(Calculations!K$210&amp;Calculations!$P217,Dataset!$V:$V,0),MATCH(Calculations!$A$1,Dataset!$A$1:$V$1,0)),"")</f>
        <v/>
      </c>
      <c r="L217" s="869" t="str">
        <f>IFERROR(INDEX(Dataset!$A:$V,MATCH(Calculations!L$210&amp;Calculations!$P217,Dataset!$V:$V,0),MATCH(Calculations!$A$1,Dataset!$A$1:$V$1,0)),"")</f>
        <v/>
      </c>
      <c r="M217" s="869" t="str">
        <f>IFERROR(INDEX(Dataset!$A:$V,MATCH(Calculations!M$210&amp;Calculations!$P217,Dataset!$V:$V,0),MATCH(Calculations!$A$1,Dataset!$A$1:$V$1,0)),"")</f>
        <v/>
      </c>
      <c r="N217" s="869">
        <f>IFERROR(INDEX(Dataset!$A:$V,MATCH(Calculations!N$210&amp;Calculations!$P217,Dataset!$V:$V,0),MATCH(Calculations!$A$1,Dataset!$A$1:$V$1,0)),"")</f>
        <v>2328.8575841136262</v>
      </c>
      <c r="O217" s="869" t="str">
        <f>IFERROR(INDEX(Dataset!$A:$V,MATCH(Calculations!O$210&amp;Calculations!$P217,Dataset!$V:$V,0),MATCH(Calculations!$A$1,Dataset!$A$1:$V$1,0)),"")</f>
        <v/>
      </c>
      <c r="P217" t="s">
        <v>1018</v>
      </c>
    </row>
    <row r="218" spans="1:16">
      <c r="A218" s="869" t="s">
        <v>1019</v>
      </c>
      <c r="B218" s="869"/>
      <c r="C218" s="869" t="str">
        <f>IFERROR(INDEX(Dataset!$A:$V,MATCH(Calculations!C$210&amp;Calculations!$P218,Dataset!$V:$V,0),MATCH(Calculations!$A$1,Dataset!$A$1:$V$1,0)),"")</f>
        <v/>
      </c>
      <c r="D218" s="869" t="str">
        <f>IFERROR(INDEX(Dataset!$A:$V,MATCH(Calculations!D$210&amp;Calculations!$P218,Dataset!$V:$V,0),MATCH(Calculations!$A$1,Dataset!$A$1:$V$1,0)),"")</f>
        <v/>
      </c>
      <c r="E218" s="869" t="str">
        <f>IFERROR(INDEX(Dataset!$A:$V,MATCH(Calculations!E$210&amp;Calculations!$P218,Dataset!$V:$V,0),MATCH(Calculations!$A$1,Dataset!$A$1:$V$1,0)),"")</f>
        <v/>
      </c>
      <c r="F218" s="869" t="str">
        <f>IFERROR(INDEX(Dataset!$A:$V,MATCH(Calculations!F$210&amp;Calculations!$P218,Dataset!$V:$V,0),MATCH(Calculations!$A$1,Dataset!$A$1:$V$1,0)),"")</f>
        <v/>
      </c>
      <c r="G218" s="869" t="str">
        <f>IFERROR(INDEX(Dataset!$A:$V,MATCH(Calculations!G$210&amp;Calculations!$P218,Dataset!$V:$V,0),MATCH(Calculations!$A$1,Dataset!$A$1:$V$1,0)),"")</f>
        <v/>
      </c>
      <c r="H218" s="869" t="str">
        <f>IFERROR(INDEX(Dataset!$A:$V,MATCH(Calculations!H$210&amp;Calculations!$P218,Dataset!$V:$V,0),MATCH(Calculations!$A$1,Dataset!$A$1:$V$1,0)),"")</f>
        <v/>
      </c>
      <c r="I218" s="869" t="str">
        <f>IFERROR(INDEX(Dataset!$A:$V,MATCH(Calculations!I$210&amp;Calculations!$P218,Dataset!$V:$V,0),MATCH(Calculations!$A$1,Dataset!$A$1:$V$1,0)),"")</f>
        <v/>
      </c>
      <c r="J218" s="869" t="str">
        <f>IFERROR(INDEX(Dataset!$A:$V,MATCH(Calculations!J$210&amp;Calculations!$P218,Dataset!$V:$V,0),MATCH(Calculations!$A$1,Dataset!$A$1:$V$1,0)),"")</f>
        <v/>
      </c>
      <c r="K218" s="869" t="str">
        <f>IFERROR(INDEX(Dataset!$A:$V,MATCH(Calculations!K$210&amp;Calculations!$P218,Dataset!$V:$V,0),MATCH(Calculations!$A$1,Dataset!$A$1:$V$1,0)),"")</f>
        <v/>
      </c>
      <c r="L218" s="869" t="str">
        <f>IFERROR(INDEX(Dataset!$A:$V,MATCH(Calculations!L$210&amp;Calculations!$P218,Dataset!$V:$V,0),MATCH(Calculations!$A$1,Dataset!$A$1:$V$1,0)),"")</f>
        <v/>
      </c>
      <c r="M218" s="869" t="str">
        <f>IFERROR(INDEX(Dataset!$A:$V,MATCH(Calculations!M$210&amp;Calculations!$P218,Dataset!$V:$V,0),MATCH(Calculations!$A$1,Dataset!$A$1:$V$1,0)),"")</f>
        <v/>
      </c>
      <c r="N218" s="869">
        <f>IFERROR(INDEX(Dataset!$A:$V,MATCH(Calculations!N$210&amp;Calculations!$P218,Dataset!$V:$V,0),MATCH(Calculations!$A$1,Dataset!$A$1:$V$1,0)),"")</f>
        <v>10.793392896927344</v>
      </c>
      <c r="O218" s="869" t="str">
        <f>IFERROR(INDEX(Dataset!$A:$V,MATCH(Calculations!O$210&amp;Calculations!$P218,Dataset!$V:$V,0),MATCH(Calculations!$A$1,Dataset!$A$1:$V$1,0)),"")</f>
        <v/>
      </c>
      <c r="P218" t="s">
        <v>1020</v>
      </c>
    </row>
    <row r="219" spans="1:16">
      <c r="A219" s="869" t="s">
        <v>1021</v>
      </c>
      <c r="B219" s="869"/>
      <c r="C219" s="869" t="str">
        <f>IFERROR(INDEX(Dataset!$A:$V,MATCH(Calculations!C$210&amp;Calculations!$P219,Dataset!$V:$V,0),MATCH(Calculations!$A$1,Dataset!$A$1:$V$1,0)),"")</f>
        <v/>
      </c>
      <c r="D219" s="869" t="str">
        <f>IFERROR(INDEX(Dataset!$A:$V,MATCH(Calculations!D$210&amp;Calculations!$P219,Dataset!$V:$V,0),MATCH(Calculations!$A$1,Dataset!$A$1:$V$1,0)),"")</f>
        <v/>
      </c>
      <c r="E219" s="869" t="str">
        <f>IFERROR(INDEX(Dataset!$A:$V,MATCH(Calculations!E$210&amp;Calculations!$P219,Dataset!$V:$V,0),MATCH(Calculations!$A$1,Dataset!$A$1:$V$1,0)),"")</f>
        <v/>
      </c>
      <c r="F219" s="869" t="str">
        <f>IFERROR(INDEX(Dataset!$A:$V,MATCH(Calculations!F$210&amp;Calculations!$P219,Dataset!$V:$V,0),MATCH(Calculations!$A$1,Dataset!$A$1:$V$1,0)),"")</f>
        <v/>
      </c>
      <c r="G219" s="869" t="str">
        <f>IFERROR(INDEX(Dataset!$A:$V,MATCH(Calculations!G$210&amp;Calculations!$P219,Dataset!$V:$V,0),MATCH(Calculations!$A$1,Dataset!$A$1:$V$1,0)),"")</f>
        <v/>
      </c>
      <c r="H219" s="869" t="str">
        <f>IFERROR(INDEX(Dataset!$A:$V,MATCH(Calculations!H$210&amp;Calculations!$P219,Dataset!$V:$V,0),MATCH(Calculations!$A$1,Dataset!$A$1:$V$1,0)),"")</f>
        <v/>
      </c>
      <c r="I219" s="869" t="str">
        <f>IFERROR(INDEX(Dataset!$A:$V,MATCH(Calculations!I$210&amp;Calculations!$P219,Dataset!$V:$V,0),MATCH(Calculations!$A$1,Dataset!$A$1:$V$1,0)),"")</f>
        <v/>
      </c>
      <c r="J219" s="871" t="str">
        <f>IFERROR(INDEX(Dataset!$A:$V,MATCH(Calculations!J$210&amp;Calculations!$P219,Dataset!$V:$V,0),MATCH(Calculations!$A$1,Dataset!$A$1:$V$1,0)),"")</f>
        <v/>
      </c>
      <c r="K219" s="869" t="str">
        <f>IFERROR(INDEX(Dataset!$A:$V,MATCH(Calculations!K$210&amp;Calculations!$P219,Dataset!$V:$V,0),MATCH(Calculations!$A$1,Dataset!$A$1:$V$1,0)),"")</f>
        <v/>
      </c>
      <c r="L219" s="869" t="str">
        <f>IFERROR(INDEX(Dataset!$A:$V,MATCH(Calculations!L$210&amp;Calculations!$P219,Dataset!$V:$V,0),MATCH(Calculations!$A$1,Dataset!$A$1:$V$1,0)),"")</f>
        <v/>
      </c>
      <c r="M219" s="869" t="str">
        <f>IFERROR(INDEX(Dataset!$A:$V,MATCH(Calculations!M$210&amp;Calculations!$P219,Dataset!$V:$V,0),MATCH(Calculations!$A$1,Dataset!$A$1:$V$1,0)),"")</f>
        <v/>
      </c>
      <c r="N219" s="871">
        <f>IFERROR(INDEX(Dataset!$A:$V,MATCH(Calculations!N$210&amp;Calculations!$P219,Dataset!$V:$V,0),MATCH(Calculations!$A$1,Dataset!$A$1:$V$1,0)),"")</f>
        <v>4.6562096674562488E-3</v>
      </c>
      <c r="O219" s="869" t="str">
        <f>IFERROR(INDEX(Dataset!$A:$V,MATCH(Calculations!O$210&amp;Calculations!$P219,Dataset!$V:$V,0),MATCH(Calculations!$A$1,Dataset!$A$1:$V$1,0)),"")</f>
        <v/>
      </c>
      <c r="P219" t="s">
        <v>1022</v>
      </c>
    </row>
    <row r="220" spans="1:16">
      <c r="A220" s="869" t="s">
        <v>1023</v>
      </c>
      <c r="B220" s="869"/>
      <c r="C220" s="869" t="str">
        <f>IFERROR(INDEX(Dataset!$A:$V,MATCH(Calculations!C$210&amp;Calculations!$P220,Dataset!$V:$V,0),MATCH(Calculations!$A$1,Dataset!$A$1:$V$1,0)),"")</f>
        <v/>
      </c>
      <c r="D220" s="869" t="str">
        <f>IFERROR(INDEX(Dataset!$A:$V,MATCH(Calculations!D$210&amp;Calculations!$P220,Dataset!$V:$V,0),MATCH(Calculations!$A$1,Dataset!$A$1:$V$1,0)),"")</f>
        <v/>
      </c>
      <c r="E220" s="869" t="str">
        <f>IFERROR(INDEX(Dataset!$A:$V,MATCH(Calculations!E$210&amp;Calculations!$P220,Dataset!$V:$V,0),MATCH(Calculations!$A$1,Dataset!$A$1:$V$1,0)),"")</f>
        <v/>
      </c>
      <c r="F220" s="869" t="str">
        <f>IFERROR(INDEX(Dataset!$A:$V,MATCH(Calculations!F$210&amp;Calculations!$P220,Dataset!$V:$V,0),MATCH(Calculations!$A$1,Dataset!$A$1:$V$1,0)),"")</f>
        <v/>
      </c>
      <c r="G220" s="869" t="str">
        <f>IFERROR(INDEX(Dataset!$A:$V,MATCH(Calculations!G$210&amp;Calculations!$P220,Dataset!$V:$V,0),MATCH(Calculations!$A$1,Dataset!$A$1:$V$1,0)),"")</f>
        <v/>
      </c>
      <c r="H220" s="869" t="str">
        <f>IFERROR(INDEX(Dataset!$A:$V,MATCH(Calculations!H$210&amp;Calculations!$P220,Dataset!$V:$V,0),MATCH(Calculations!$A$1,Dataset!$A$1:$V$1,0)),"")</f>
        <v/>
      </c>
      <c r="I220" s="869" t="str">
        <f>IFERROR(INDEX(Dataset!$A:$V,MATCH(Calculations!I$210&amp;Calculations!$P220,Dataset!$V:$V,0),MATCH(Calculations!$A$1,Dataset!$A$1:$V$1,0)),"")</f>
        <v/>
      </c>
      <c r="J220" s="869" t="str">
        <f>IFERROR(INDEX(Dataset!$A:$V,MATCH(Calculations!J$210&amp;Calculations!$P220,Dataset!$V:$V,0),MATCH(Calculations!$A$1,Dataset!$A$1:$V$1,0)),"")</f>
        <v/>
      </c>
      <c r="K220" s="869" t="str">
        <f>IFERROR(INDEX(Dataset!$A:$V,MATCH(Calculations!K$210&amp;Calculations!$P220,Dataset!$V:$V,0),MATCH(Calculations!$A$1,Dataset!$A$1:$V$1,0)),"")</f>
        <v/>
      </c>
      <c r="L220" s="869" t="str">
        <f>IFERROR(INDEX(Dataset!$A:$V,MATCH(Calculations!L$210&amp;Calculations!$P220,Dataset!$V:$V,0),MATCH(Calculations!$A$1,Dataset!$A$1:$V$1,0)),"")</f>
        <v/>
      </c>
      <c r="M220" s="869" t="str">
        <f>IFERROR(INDEX(Dataset!$A:$V,MATCH(Calculations!M$210&amp;Calculations!$P220,Dataset!$V:$V,0),MATCH(Calculations!$A$1,Dataset!$A$1:$V$1,0)),"")</f>
        <v/>
      </c>
      <c r="N220" s="869" t="str">
        <f>IFERROR(INDEX(Dataset!$A:$V,MATCH(Calculations!N$210&amp;Calculations!$P220,Dataset!$V:$V,0),MATCH(Calculations!$A$1,Dataset!$A$1:$V$1,0)),"")</f>
        <v/>
      </c>
      <c r="O220" s="869">
        <f>IFERROR(INDEX(Dataset!$A:$V,MATCH(Calculations!O$210&amp;Calculations!$P220,Dataset!$V:$V,0),MATCH(Calculations!$A$1,Dataset!$A$1:$V$1,0)),"")</f>
        <v>2657.1196925675022</v>
      </c>
      <c r="P220" t="s">
        <v>1024</v>
      </c>
    </row>
    <row r="221" spans="1:16">
      <c r="A221" s="869" t="s">
        <v>1025</v>
      </c>
      <c r="B221" s="869"/>
      <c r="C221" s="869" t="str">
        <f>IFERROR(INDEX(Dataset!$A:$V,MATCH(Calculations!C$210&amp;Calculations!$P221,Dataset!$V:$V,0),MATCH(Calculations!$A$1,Dataset!$A$1:$V$1,0)),"")</f>
        <v/>
      </c>
      <c r="D221" s="869" t="str">
        <f>IFERROR(INDEX(Dataset!$A:$V,MATCH(Calculations!D$210&amp;Calculations!$P221,Dataset!$V:$V,0),MATCH(Calculations!$A$1,Dataset!$A$1:$V$1,0)),"")</f>
        <v/>
      </c>
      <c r="E221" s="869" t="str">
        <f>IFERROR(INDEX(Dataset!$A:$V,MATCH(Calculations!E$210&amp;Calculations!$P221,Dataset!$V:$V,0),MATCH(Calculations!$A$1,Dataset!$A$1:$V$1,0)),"")</f>
        <v/>
      </c>
      <c r="F221" s="869" t="str">
        <f>IFERROR(INDEX(Dataset!$A:$V,MATCH(Calculations!F$210&amp;Calculations!$P221,Dataset!$V:$V,0),MATCH(Calculations!$A$1,Dataset!$A$1:$V$1,0)),"")</f>
        <v/>
      </c>
      <c r="G221" s="869" t="str">
        <f>IFERROR(INDEX(Dataset!$A:$V,MATCH(Calculations!G$210&amp;Calculations!$P221,Dataset!$V:$V,0),MATCH(Calculations!$A$1,Dataset!$A$1:$V$1,0)),"")</f>
        <v/>
      </c>
      <c r="H221" s="869" t="str">
        <f>IFERROR(INDEX(Dataset!$A:$V,MATCH(Calculations!H$210&amp;Calculations!$P221,Dataset!$V:$V,0),MATCH(Calculations!$A$1,Dataset!$A$1:$V$1,0)),"")</f>
        <v/>
      </c>
      <c r="I221" s="869" t="str">
        <f>IFERROR(INDEX(Dataset!$A:$V,MATCH(Calculations!I$210&amp;Calculations!$P221,Dataset!$V:$V,0),MATCH(Calculations!$A$1,Dataset!$A$1:$V$1,0)),"")</f>
        <v/>
      </c>
      <c r="J221" s="869" t="str">
        <f>IFERROR(INDEX(Dataset!$A:$V,MATCH(Calculations!J$210&amp;Calculations!$P221,Dataset!$V:$V,0),MATCH(Calculations!$A$1,Dataset!$A$1:$V$1,0)),"")</f>
        <v/>
      </c>
      <c r="K221" s="869" t="str">
        <f>IFERROR(INDEX(Dataset!$A:$V,MATCH(Calculations!K$210&amp;Calculations!$P221,Dataset!$V:$V,0),MATCH(Calculations!$A$1,Dataset!$A$1:$V$1,0)),"")</f>
        <v/>
      </c>
      <c r="L221" s="869" t="str">
        <f>IFERROR(INDEX(Dataset!$A:$V,MATCH(Calculations!L$210&amp;Calculations!$P221,Dataset!$V:$V,0),MATCH(Calculations!$A$1,Dataset!$A$1:$V$1,0)),"")</f>
        <v/>
      </c>
      <c r="M221" s="869" t="str">
        <f>IFERROR(INDEX(Dataset!$A:$V,MATCH(Calculations!M$210&amp;Calculations!$P221,Dataset!$V:$V,0),MATCH(Calculations!$A$1,Dataset!$A$1:$V$1,0)),"")</f>
        <v/>
      </c>
      <c r="N221" s="869" t="str">
        <f>IFERROR(INDEX(Dataset!$A:$V,MATCH(Calculations!N$210&amp;Calculations!$P221,Dataset!$V:$V,0),MATCH(Calculations!$A$1,Dataset!$A$1:$V$1,0)),"")</f>
        <v/>
      </c>
      <c r="O221" s="869">
        <f>IFERROR(INDEX(Dataset!$A:$V,MATCH(Calculations!O$210&amp;Calculations!$P221,Dataset!$V:$V,0),MATCH(Calculations!$A$1,Dataset!$A$1:$V$1,0)),"")</f>
        <v>2676.1444675031398</v>
      </c>
      <c r="P221" t="s">
        <v>1026</v>
      </c>
    </row>
    <row r="222" spans="1:16">
      <c r="A222" s="869" t="s">
        <v>1027</v>
      </c>
      <c r="B222" s="869"/>
      <c r="C222" s="869" t="str">
        <f>IFERROR(INDEX(Dataset!$A:$V,MATCH(Calculations!C$210&amp;Calculations!$P222,Dataset!$V:$V,0),MATCH(Calculations!$A$1,Dataset!$A$1:$V$1,0)),"")</f>
        <v/>
      </c>
      <c r="D222" s="869" t="str">
        <f>IFERROR(INDEX(Dataset!$A:$V,MATCH(Calculations!D$210&amp;Calculations!$P222,Dataset!$V:$V,0),MATCH(Calculations!$A$1,Dataset!$A$1:$V$1,0)),"")</f>
        <v/>
      </c>
      <c r="E222" s="869" t="str">
        <f>IFERROR(INDEX(Dataset!$A:$V,MATCH(Calculations!E$210&amp;Calculations!$P222,Dataset!$V:$V,0),MATCH(Calculations!$A$1,Dataset!$A$1:$V$1,0)),"")</f>
        <v/>
      </c>
      <c r="F222" s="869" t="str">
        <f>IFERROR(INDEX(Dataset!$A:$V,MATCH(Calculations!F$210&amp;Calculations!$P222,Dataset!$V:$V,0),MATCH(Calculations!$A$1,Dataset!$A$1:$V$1,0)),"")</f>
        <v/>
      </c>
      <c r="G222" s="869" t="str">
        <f>IFERROR(INDEX(Dataset!$A:$V,MATCH(Calculations!G$210&amp;Calculations!$P222,Dataset!$V:$V,0),MATCH(Calculations!$A$1,Dataset!$A$1:$V$1,0)),"")</f>
        <v/>
      </c>
      <c r="H222" s="869" t="str">
        <f>IFERROR(INDEX(Dataset!$A:$V,MATCH(Calculations!H$210&amp;Calculations!$P222,Dataset!$V:$V,0),MATCH(Calculations!$A$1,Dataset!$A$1:$V$1,0)),"")</f>
        <v/>
      </c>
      <c r="I222" s="869" t="str">
        <f>IFERROR(INDEX(Dataset!$A:$V,MATCH(Calculations!I$210&amp;Calculations!$P222,Dataset!$V:$V,0),MATCH(Calculations!$A$1,Dataset!$A$1:$V$1,0)),"")</f>
        <v/>
      </c>
      <c r="J222" s="869" t="str">
        <f>IFERROR(INDEX(Dataset!$A:$V,MATCH(Calculations!J$210&amp;Calculations!$P222,Dataset!$V:$V,0),MATCH(Calculations!$A$1,Dataset!$A$1:$V$1,0)),"")</f>
        <v/>
      </c>
      <c r="K222" s="869" t="str">
        <f>IFERROR(INDEX(Dataset!$A:$V,MATCH(Calculations!K$210&amp;Calculations!$P222,Dataset!$V:$V,0),MATCH(Calculations!$A$1,Dataset!$A$1:$V$1,0)),"")</f>
        <v/>
      </c>
      <c r="L222" s="869" t="str">
        <f>IFERROR(INDEX(Dataset!$A:$V,MATCH(Calculations!L$210&amp;Calculations!$P222,Dataset!$V:$V,0),MATCH(Calculations!$A$1,Dataset!$A$1:$V$1,0)),"")</f>
        <v/>
      </c>
      <c r="M222" s="869" t="str">
        <f>IFERROR(INDEX(Dataset!$A:$V,MATCH(Calculations!M$210&amp;Calculations!$P222,Dataset!$V:$V,0),MATCH(Calculations!$A$1,Dataset!$A$1:$V$1,0)),"")</f>
        <v/>
      </c>
      <c r="N222" s="869" t="str">
        <f>IFERROR(INDEX(Dataset!$A:$V,MATCH(Calculations!N$210&amp;Calculations!$P222,Dataset!$V:$V,0),MATCH(Calculations!$A$1,Dataset!$A$1:$V$1,0)),"")</f>
        <v/>
      </c>
      <c r="O222" s="869">
        <f>IFERROR(INDEX(Dataset!$A:$V,MATCH(Calculations!O$210&amp;Calculations!$P222,Dataset!$V:$V,0),MATCH(Calculations!$A$1,Dataset!$A$1:$V$1,0)),"")</f>
        <v>19.024774935637652</v>
      </c>
      <c r="P222" t="s">
        <v>1028</v>
      </c>
    </row>
    <row r="223" spans="1:16">
      <c r="A223" s="869" t="s">
        <v>1029</v>
      </c>
      <c r="B223" s="869"/>
      <c r="C223" s="869" t="str">
        <f>IFERROR(INDEX(Dataset!$A:$V,MATCH(Calculations!C$210&amp;Calculations!$P223,Dataset!$V:$V,0),MATCH(Calculations!$A$1,Dataset!$A$1:$V$1,0)),"")</f>
        <v/>
      </c>
      <c r="D223" s="869" t="str">
        <f>IFERROR(INDEX(Dataset!$A:$V,MATCH(Calculations!D$210&amp;Calculations!$P223,Dataset!$V:$V,0),MATCH(Calculations!$A$1,Dataset!$A$1:$V$1,0)),"")</f>
        <v/>
      </c>
      <c r="E223" s="869" t="str">
        <f>IFERROR(INDEX(Dataset!$A:$V,MATCH(Calculations!E$210&amp;Calculations!$P223,Dataset!$V:$V,0),MATCH(Calculations!$A$1,Dataset!$A$1:$V$1,0)),"")</f>
        <v/>
      </c>
      <c r="F223" s="869" t="str">
        <f>IFERROR(INDEX(Dataset!$A:$V,MATCH(Calculations!F$210&amp;Calculations!$P223,Dataset!$V:$V,0),MATCH(Calculations!$A$1,Dataset!$A$1:$V$1,0)),"")</f>
        <v/>
      </c>
      <c r="G223" s="869" t="str">
        <f>IFERROR(INDEX(Dataset!$A:$V,MATCH(Calculations!G$210&amp;Calculations!$P223,Dataset!$V:$V,0),MATCH(Calculations!$A$1,Dataset!$A$1:$V$1,0)),"")</f>
        <v/>
      </c>
      <c r="H223" s="869" t="str">
        <f>IFERROR(INDEX(Dataset!$A:$V,MATCH(Calculations!H$210&amp;Calculations!$P223,Dataset!$V:$V,0),MATCH(Calculations!$A$1,Dataset!$A$1:$V$1,0)),"")</f>
        <v/>
      </c>
      <c r="I223" s="869" t="str">
        <f>IFERROR(INDEX(Dataset!$A:$V,MATCH(Calculations!I$210&amp;Calculations!$P223,Dataset!$V:$V,0),MATCH(Calculations!$A$1,Dataset!$A$1:$V$1,0)),"")</f>
        <v/>
      </c>
      <c r="J223" s="869" t="str">
        <f>IFERROR(INDEX(Dataset!$A:$V,MATCH(Calculations!J$210&amp;Calculations!$P223,Dataset!$V:$V,0),MATCH(Calculations!$A$1,Dataset!$A$1:$V$1,0)),"")</f>
        <v/>
      </c>
      <c r="K223" s="871" t="str">
        <f>IFERROR(INDEX(Dataset!$A:$V,MATCH(Calculations!K$210&amp;Calculations!$P223,Dataset!$V:$V,0),MATCH(Calculations!$A$1,Dataset!$A$1:$V$1,0)),"")</f>
        <v/>
      </c>
      <c r="L223" s="871" t="str">
        <f>IFERROR(INDEX(Dataset!$A:$V,MATCH(Calculations!L$210&amp;Calculations!$P223,Dataset!$V:$V,0),MATCH(Calculations!$A$1,Dataset!$A$1:$V$1,0)),"")</f>
        <v/>
      </c>
      <c r="M223" s="871" t="str">
        <f>IFERROR(INDEX(Dataset!$A:$V,MATCH(Calculations!M$210&amp;Calculations!$P223,Dataset!$V:$V,0),MATCH(Calculations!$A$1,Dataset!$A$1:$V$1,0)),"")</f>
        <v/>
      </c>
      <c r="N223" s="871" t="str">
        <f>IFERROR(INDEX(Dataset!$A:$V,MATCH(Calculations!N$210&amp;Calculations!$P223,Dataset!$V:$V,0),MATCH(Calculations!$A$1,Dataset!$A$1:$V$1,0)),"")</f>
        <v/>
      </c>
      <c r="O223" s="871">
        <f>IFERROR(INDEX(Dataset!$A:$V,MATCH(Calculations!O$210&amp;Calculations!$P223,Dataset!$V:$V,0),MATCH(Calculations!$A$1,Dataset!$A$1:$V$1,0)),"")</f>
        <v>7.1599239540671693E-3</v>
      </c>
      <c r="P223" t="s">
        <v>1030</v>
      </c>
    </row>
    <row r="224" spans="1:16">
      <c r="A224" s="869" t="s">
        <v>607</v>
      </c>
      <c r="B224" s="871">
        <f>INDEX(Dataset!$A:$V,MATCH(Calculations!B$210&amp;Calculations!$P224,Dataset!$V:$V,0),MATCH(Calculations!$A$1,Dataset!$A$1:$V$1,0))</f>
        <v>0.7</v>
      </c>
      <c r="C224" s="869" t="str">
        <f>IFERROR(INDEX(Dataset!$A:$V,MATCH(Calculations!C$210&amp;Calculations!$P224,Dataset!$V:$V,0),MATCH(Calculations!$A$1,Dataset!$A$1:$V$1,0)),"")</f>
        <v/>
      </c>
      <c r="D224" s="869" t="str">
        <f>IFERROR(INDEX(Dataset!$A:$V,MATCH(Calculations!D$210&amp;Calculations!$P224,Dataset!$V:$V,0),MATCH(Calculations!$A$1,Dataset!$A$1:$V$1,0)),"")</f>
        <v/>
      </c>
      <c r="E224" s="869" t="str">
        <f>IFERROR(INDEX(Dataset!$A:$V,MATCH(Calculations!E$210&amp;Calculations!$P224,Dataset!$V:$V,0),MATCH(Calculations!$A$1,Dataset!$A$1:$V$1,0)),"")</f>
        <v/>
      </c>
      <c r="F224" s="869" t="str">
        <f>IFERROR(INDEX(Dataset!$A:$V,MATCH(Calculations!F$210&amp;Calculations!$P224,Dataset!$V:$V,0),MATCH(Calculations!$A$1,Dataset!$A$1:$V$1,0)),"")</f>
        <v/>
      </c>
      <c r="G224" s="869" t="str">
        <f>IFERROR(INDEX(Dataset!$A:$V,MATCH(Calculations!G$210&amp;Calculations!$P224,Dataset!$V:$V,0),MATCH(Calculations!$A$1,Dataset!$A$1:$V$1,0)),"")</f>
        <v/>
      </c>
      <c r="H224" s="869" t="str">
        <f>IFERROR(INDEX(Dataset!$A:$V,MATCH(Calculations!H$210&amp;Calculations!$P224,Dataset!$V:$V,0),MATCH(Calculations!$A$1,Dataset!$A$1:$V$1,0)),"")</f>
        <v/>
      </c>
      <c r="I224" s="869" t="str">
        <f>IFERROR(INDEX(Dataset!$A:$V,MATCH(Calculations!I$210&amp;Calculations!$P224,Dataset!$V:$V,0),MATCH(Calculations!$A$1,Dataset!$A$1:$V$1,0)),"")</f>
        <v/>
      </c>
      <c r="J224" s="869" t="str">
        <f>IFERROR(INDEX(Dataset!$A:$V,MATCH(Calculations!J$210&amp;Calculations!$P224,Dataset!$V:$V,0),MATCH(Calculations!$A$1,Dataset!$A$1:$V$1,0)),"")</f>
        <v/>
      </c>
      <c r="K224" s="869" t="str">
        <f>IFERROR(INDEX(Dataset!$A:$V,MATCH(Calculations!K$210&amp;Calculations!$P224,Dataset!$V:$V,0),MATCH(Calculations!$A$1,Dataset!$A$1:$V$1,0)),"")</f>
        <v/>
      </c>
      <c r="L224" s="869" t="str">
        <f>IFERROR(INDEX(Dataset!$A:$V,MATCH(Calculations!L$210&amp;Calculations!$P224,Dataset!$V:$V,0),MATCH(Calculations!$A$1,Dataset!$A$1:$V$1,0)),"")</f>
        <v/>
      </c>
      <c r="M224" s="869"/>
      <c r="N224" s="869"/>
      <c r="O224" s="869"/>
      <c r="P224" t="s">
        <v>1031</v>
      </c>
    </row>
    <row r="225" spans="1:16">
      <c r="A225" s="869" t="s">
        <v>1032</v>
      </c>
      <c r="B225" s="869"/>
      <c r="C225" s="869" t="str">
        <f>IFERROR(INDEX(Dataset!$A:$V,MATCH(Calculations!C$210&amp;Calculations!$P225,Dataset!$V:$V,0),MATCH(Calculations!$A$1,Dataset!$A$1:$V$1,0)),"")</f>
        <v/>
      </c>
      <c r="D225" s="869" t="str">
        <f>IFERROR(INDEX(Dataset!$A:$V,MATCH(Calculations!D$210&amp;Calculations!$P225,Dataset!$V:$V,0),MATCH(Calculations!$A$1,Dataset!$A$1:$V$1,0)),"")</f>
        <v/>
      </c>
      <c r="E225" s="869" t="str">
        <f>IFERROR(INDEX(Dataset!$A:$V,MATCH(Calculations!E$210&amp;Calculations!$P225,Dataset!$V:$V,0),MATCH(Calculations!$A$1,Dataset!$A$1:$V$1,0)),"")</f>
        <v/>
      </c>
      <c r="F225" s="869" t="str">
        <f>IFERROR(INDEX(Dataset!$A:$V,MATCH(Calculations!F$210&amp;Calculations!$P225,Dataset!$V:$V,0),MATCH(Calculations!$A$1,Dataset!$A$1:$V$1,0)),"")</f>
        <v/>
      </c>
      <c r="G225" s="869" t="str">
        <f>IFERROR(INDEX(Dataset!$A:$V,MATCH(Calculations!G$210&amp;Calculations!$P225,Dataset!$V:$V,0),MATCH(Calculations!$A$1,Dataset!$A$1:$V$1,0)),"")</f>
        <v/>
      </c>
      <c r="H225" s="869" t="str">
        <f>IFERROR(INDEX(Dataset!$A:$V,MATCH(Calculations!H$210&amp;Calculations!$P225,Dataset!$V:$V,0),MATCH(Calculations!$A$1,Dataset!$A$1:$V$1,0)),"")</f>
        <v/>
      </c>
      <c r="I225" s="869" t="str">
        <f>IFERROR(INDEX(Dataset!$A:$V,MATCH(Calculations!I$210&amp;Calculations!$P225,Dataset!$V:$V,0),MATCH(Calculations!$A$1,Dataset!$A$1:$V$1,0)),"")</f>
        <v/>
      </c>
      <c r="J225" s="869" t="str">
        <f>IFERROR(INDEX(Dataset!$A:$V,MATCH(Calculations!J$210&amp;Calculations!$P225,Dataset!$V:$V,0),MATCH(Calculations!$A$1,Dataset!$A$1:$V$1,0)),"")</f>
        <v/>
      </c>
      <c r="K225" s="869" t="str">
        <f>IFERROR(INDEX(Dataset!$A:$V,MATCH(Calculations!K$210&amp;Calculations!$P225,Dataset!$V:$V,0),MATCH(Calculations!$A$1,Dataset!$A$1:$V$1,0)),"")</f>
        <v/>
      </c>
      <c r="L225" s="869">
        <f>IFERROR(INDEX(Dataset!$A:$V,MATCH(Calculations!L$210&amp;Calculations!$P225,Dataset!$V:$V,0),MATCH(Calculations!$A$1,Dataset!$A$1:$V$1,0)),"")</f>
        <v>15.756443831239096</v>
      </c>
      <c r="M225" s="869"/>
      <c r="N225" s="869"/>
      <c r="O225" s="869"/>
      <c r="P225" t="s">
        <v>1033</v>
      </c>
    </row>
    <row r="226" spans="1:16">
      <c r="A226" s="869" t="s">
        <v>1034</v>
      </c>
      <c r="B226" s="869"/>
      <c r="C226" s="869" t="str">
        <f>IFERROR(INDEX(Dataset!$A:$V,MATCH(Calculations!C$210&amp;Calculations!$P226,Dataset!$V:$V,0),MATCH(Calculations!$A$1,Dataset!$A$1:$V$1,0)),"")</f>
        <v/>
      </c>
      <c r="D226" s="869" t="str">
        <f>IFERROR(INDEX(Dataset!$A:$V,MATCH(Calculations!D$210&amp;Calculations!$P226,Dataset!$V:$V,0),MATCH(Calculations!$A$1,Dataset!$A$1:$V$1,0)),"")</f>
        <v/>
      </c>
      <c r="E226" s="869" t="str">
        <f>IFERROR(INDEX(Dataset!$A:$V,MATCH(Calculations!E$210&amp;Calculations!$P226,Dataset!$V:$V,0),MATCH(Calculations!$A$1,Dataset!$A$1:$V$1,0)),"")</f>
        <v/>
      </c>
      <c r="F226" s="869" t="str">
        <f>IFERROR(INDEX(Dataset!$A:$V,MATCH(Calculations!F$210&amp;Calculations!$P226,Dataset!$V:$V,0),MATCH(Calculations!$A$1,Dataset!$A$1:$V$1,0)),"")</f>
        <v/>
      </c>
      <c r="G226" s="869" t="str">
        <f>IFERROR(INDEX(Dataset!$A:$V,MATCH(Calculations!G$210&amp;Calculations!$P226,Dataset!$V:$V,0),MATCH(Calculations!$A$1,Dataset!$A$1:$V$1,0)),"")</f>
        <v/>
      </c>
      <c r="H226" s="869" t="str">
        <f>IFERROR(INDEX(Dataset!$A:$V,MATCH(Calculations!H$210&amp;Calculations!$P226,Dataset!$V:$V,0),MATCH(Calculations!$A$1,Dataset!$A$1:$V$1,0)),"")</f>
        <v/>
      </c>
      <c r="I226" s="869" t="str">
        <f>IFERROR(INDEX(Dataset!$A:$V,MATCH(Calculations!I$210&amp;Calculations!$P226,Dataset!$V:$V,0),MATCH(Calculations!$A$1,Dataset!$A$1:$V$1,0)),"")</f>
        <v/>
      </c>
      <c r="J226" s="869" t="str">
        <f>IFERROR(INDEX(Dataset!$A:$V,MATCH(Calculations!J$210&amp;Calculations!$P226,Dataset!$V:$V,0),MATCH(Calculations!$A$1,Dataset!$A$1:$V$1,0)),"")</f>
        <v/>
      </c>
      <c r="K226" s="869" t="str">
        <f>IFERROR(INDEX(Dataset!$A:$V,MATCH(Calculations!K$210&amp;Calculations!$P226,Dataset!$V:$V,0),MATCH(Calculations!$A$1,Dataset!$A$1:$V$1,0)),"")</f>
        <v/>
      </c>
      <c r="L226" s="869">
        <f>IFERROR(INDEX(Dataset!$A:$V,MATCH(Calculations!L$210&amp;Calculations!$P226,Dataset!$V:$V,0),MATCH(Calculations!$A$1,Dataset!$A$1:$V$1,0)),"")</f>
        <v>4.7269331493717299</v>
      </c>
      <c r="M226" s="869"/>
      <c r="N226" s="869"/>
      <c r="O226" s="869"/>
      <c r="P226" t="s">
        <v>1035</v>
      </c>
    </row>
    <row r="227" spans="1:16">
      <c r="A227" s="869" t="s">
        <v>1036</v>
      </c>
      <c r="B227" s="869"/>
      <c r="C227" s="869" t="str">
        <f>IFERROR(INDEX(Dataset!$A:$V,MATCH(Calculations!C$210&amp;Calculations!$P227,Dataset!$V:$V,0),MATCH(Calculations!$A$1,Dataset!$A$1:$V$1,0)),"")</f>
        <v/>
      </c>
      <c r="D227" s="869" t="str">
        <f>IFERROR(INDEX(Dataset!$A:$V,MATCH(Calculations!D$210&amp;Calculations!$P227,Dataset!$V:$V,0),MATCH(Calculations!$A$1,Dataset!$A$1:$V$1,0)),"")</f>
        <v/>
      </c>
      <c r="E227" s="869" t="str">
        <f>IFERROR(INDEX(Dataset!$A:$V,MATCH(Calculations!E$210&amp;Calculations!$P227,Dataset!$V:$V,0),MATCH(Calculations!$A$1,Dataset!$A$1:$V$1,0)),"")</f>
        <v/>
      </c>
      <c r="F227" s="869" t="str">
        <f>IFERROR(INDEX(Dataset!$A:$V,MATCH(Calculations!F$210&amp;Calculations!$P227,Dataset!$V:$V,0),MATCH(Calculations!$A$1,Dataset!$A$1:$V$1,0)),"")</f>
        <v/>
      </c>
      <c r="G227" s="869" t="str">
        <f>IFERROR(INDEX(Dataset!$A:$V,MATCH(Calculations!G$210&amp;Calculations!$P227,Dataset!$V:$V,0),MATCH(Calculations!$A$1,Dataset!$A$1:$V$1,0)),"")</f>
        <v/>
      </c>
      <c r="H227" s="869" t="str">
        <f>IFERROR(INDEX(Dataset!$A:$V,MATCH(Calculations!H$210&amp;Calculations!$P227,Dataset!$V:$V,0),MATCH(Calculations!$A$1,Dataset!$A$1:$V$1,0)),"")</f>
        <v/>
      </c>
      <c r="I227" s="869" t="str">
        <f>IFERROR(INDEX(Dataset!$A:$V,MATCH(Calculations!I$210&amp;Calculations!$P227,Dataset!$V:$V,0),MATCH(Calculations!$A$1,Dataset!$A$1:$V$1,0)),"")</f>
        <v/>
      </c>
      <c r="J227" s="869" t="str">
        <f>IFERROR(INDEX(Dataset!$A:$V,MATCH(Calculations!J$210&amp;Calculations!$P227,Dataset!$V:$V,0),MATCH(Calculations!$A$1,Dataset!$A$1:$V$1,0)),"")</f>
        <v/>
      </c>
      <c r="K227" s="869" t="str">
        <f>IFERROR(INDEX(Dataset!$A:$V,MATCH(Calculations!K$210&amp;Calculations!$P227,Dataset!$V:$V,0),MATCH(Calculations!$A$1,Dataset!$A$1:$V$1,0)),"")</f>
        <v/>
      </c>
      <c r="L227" s="869">
        <f>IFERROR(INDEX(Dataset!$A:$V,MATCH(Calculations!L$210&amp;Calculations!$P227,Dataset!$V:$V,0),MATCH(Calculations!$A$1,Dataset!$A$1:$V$1,0)),"")</f>
        <v>11.029510681867366</v>
      </c>
      <c r="M227" s="869"/>
      <c r="N227" s="869"/>
      <c r="O227" s="869"/>
      <c r="P227" t="s">
        <v>1037</v>
      </c>
    </row>
    <row r="228" spans="1:16">
      <c r="A228" s="869" t="s">
        <v>1038</v>
      </c>
      <c r="B228" s="869"/>
      <c r="C228" s="869" t="str">
        <f>IFERROR(INDEX(Dataset!$A:$V,MATCH(Calculations!C$210&amp;Calculations!$P228,Dataset!$V:$V,0),MATCH(Calculations!$A$1,Dataset!$A$1:$V$1,0)),"")</f>
        <v/>
      </c>
      <c r="D228" s="869" t="str">
        <f>IFERROR(INDEX(Dataset!$A:$V,MATCH(Calculations!D$210&amp;Calculations!$P228,Dataset!$V:$V,0),MATCH(Calculations!$A$1,Dataset!$A$1:$V$1,0)),"")</f>
        <v/>
      </c>
      <c r="E228" s="869" t="str">
        <f>IFERROR(INDEX(Dataset!$A:$V,MATCH(Calculations!E$210&amp;Calculations!$P228,Dataset!$V:$V,0),MATCH(Calculations!$A$1,Dataset!$A$1:$V$1,0)),"")</f>
        <v/>
      </c>
      <c r="F228" s="869" t="str">
        <f>IFERROR(INDEX(Dataset!$A:$V,MATCH(Calculations!F$210&amp;Calculations!$P228,Dataset!$V:$V,0),MATCH(Calculations!$A$1,Dataset!$A$1:$V$1,0)),"")</f>
        <v/>
      </c>
      <c r="G228" s="869" t="str">
        <f>IFERROR(INDEX(Dataset!$A:$V,MATCH(Calculations!G$210&amp;Calculations!$P228,Dataset!$V:$V,0),MATCH(Calculations!$A$1,Dataset!$A$1:$V$1,0)),"")</f>
        <v/>
      </c>
      <c r="H228" s="869" t="str">
        <f>IFERROR(INDEX(Dataset!$A:$V,MATCH(Calculations!H$210&amp;Calculations!$P228,Dataset!$V:$V,0),MATCH(Calculations!$A$1,Dataset!$A$1:$V$1,0)),"")</f>
        <v/>
      </c>
      <c r="I228" s="869" t="str">
        <f>IFERROR(INDEX(Dataset!$A:$V,MATCH(Calculations!I$210&amp;Calculations!$P228,Dataset!$V:$V,0),MATCH(Calculations!$A$1,Dataset!$A$1:$V$1,0)),"")</f>
        <v/>
      </c>
      <c r="J228" s="869" t="str">
        <f>IFERROR(INDEX(Dataset!$A:$V,MATCH(Calculations!J$210&amp;Calculations!$P228,Dataset!$V:$V,0),MATCH(Calculations!$A$1,Dataset!$A$1:$V$1,0)),"")</f>
        <v/>
      </c>
      <c r="K228" s="869" t="str">
        <f>IFERROR(INDEX(Dataset!$A:$V,MATCH(Calculations!K$210&amp;Calculations!$P228,Dataset!$V:$V,0),MATCH(Calculations!$A$1,Dataset!$A$1:$V$1,0)),"")</f>
        <v/>
      </c>
      <c r="L228" s="869" t="str">
        <f>IFERROR(INDEX(Dataset!$A:$V,MATCH(Calculations!L$210&amp;Calculations!$P228,Dataset!$V:$V,0),MATCH(Calculations!$A$1,Dataset!$A$1:$V$1,0)),"")</f>
        <v/>
      </c>
      <c r="M228" s="869" t="str">
        <f>IFERROR(INDEX(Dataset!$A:$V,MATCH(Calculations!M$210&amp;Calculations!$P228,Dataset!$V:$V,0),MATCH(Calculations!$A$1,Dataset!$A$1:$V$1,0)),"")</f>
        <v/>
      </c>
      <c r="N228" s="869">
        <f>IFERROR(INDEX(Dataset!$A:$V,MATCH(Calculations!N$210&amp;Calculations!$P228,Dataset!$V:$V,0),MATCH(Calculations!$A$1,Dataset!$A$1:$V$1,0)),"")</f>
        <v>10.793392896927344</v>
      </c>
      <c r="O228" s="869" t="str">
        <f>IFERROR(INDEX(Dataset!$A:$V,MATCH(Calculations!O$210&amp;Calculations!$P228,Dataset!$V:$V,0),MATCH(Calculations!$A$1,Dataset!$A$1:$V$1,0)),"")</f>
        <v/>
      </c>
      <c r="P228" t="s">
        <v>1039</v>
      </c>
    </row>
    <row r="229" spans="1:16">
      <c r="A229" s="869" t="s">
        <v>1040</v>
      </c>
      <c r="B229" s="869"/>
      <c r="C229" s="869" t="str">
        <f>IFERROR(INDEX(Dataset!$A:$V,MATCH(Calculations!C$210&amp;Calculations!$P229,Dataset!$V:$V,0),MATCH(Calculations!$A$1,Dataset!$A$1:$V$1,0)),"")</f>
        <v/>
      </c>
      <c r="D229" s="869" t="str">
        <f>IFERROR(INDEX(Dataset!$A:$V,MATCH(Calculations!D$210&amp;Calculations!$P229,Dataset!$V:$V,0),MATCH(Calculations!$A$1,Dataset!$A$1:$V$1,0)),"")</f>
        <v/>
      </c>
      <c r="E229" s="869" t="str">
        <f>IFERROR(INDEX(Dataset!$A:$V,MATCH(Calculations!E$210&amp;Calculations!$P229,Dataset!$V:$V,0),MATCH(Calculations!$A$1,Dataset!$A$1:$V$1,0)),"")</f>
        <v/>
      </c>
      <c r="F229" s="869" t="str">
        <f>IFERROR(INDEX(Dataset!$A:$V,MATCH(Calculations!F$210&amp;Calculations!$P229,Dataset!$V:$V,0),MATCH(Calculations!$A$1,Dataset!$A$1:$V$1,0)),"")</f>
        <v/>
      </c>
      <c r="G229" s="869" t="str">
        <f>IFERROR(INDEX(Dataset!$A:$V,MATCH(Calculations!G$210&amp;Calculations!$P229,Dataset!$V:$V,0),MATCH(Calculations!$A$1,Dataset!$A$1:$V$1,0)),"")</f>
        <v/>
      </c>
      <c r="H229" s="869" t="str">
        <f>IFERROR(INDEX(Dataset!$A:$V,MATCH(Calculations!H$210&amp;Calculations!$P229,Dataset!$V:$V,0),MATCH(Calculations!$A$1,Dataset!$A$1:$V$1,0)),"")</f>
        <v/>
      </c>
      <c r="I229" s="869" t="str">
        <f>IFERROR(INDEX(Dataset!$A:$V,MATCH(Calculations!I$210&amp;Calculations!$P229,Dataset!$V:$V,0),MATCH(Calculations!$A$1,Dataset!$A$1:$V$1,0)),"")</f>
        <v/>
      </c>
      <c r="J229" s="869" t="str">
        <f>IFERROR(INDEX(Dataset!$A:$V,MATCH(Calculations!J$210&amp;Calculations!$P229,Dataset!$V:$V,0),MATCH(Calculations!$A$1,Dataset!$A$1:$V$1,0)),"")</f>
        <v/>
      </c>
      <c r="K229" s="869" t="str">
        <f>IFERROR(INDEX(Dataset!$A:$V,MATCH(Calculations!K$210&amp;Calculations!$P229,Dataset!$V:$V,0),MATCH(Calculations!$A$1,Dataset!$A$1:$V$1,0)),"")</f>
        <v/>
      </c>
      <c r="L229" s="869" t="str">
        <f>IFERROR(INDEX(Dataset!$A:$V,MATCH(Calculations!L$210&amp;Calculations!$P229,Dataset!$V:$V,0),MATCH(Calculations!$A$1,Dataset!$A$1:$V$1,0)),"")</f>
        <v/>
      </c>
      <c r="M229" s="869" t="str">
        <f>IFERROR(INDEX(Dataset!$A:$V,MATCH(Calculations!M$210&amp;Calculations!$P229,Dataset!$V:$V,0),MATCH(Calculations!$A$1,Dataset!$A$1:$V$1,0)),"")</f>
        <v/>
      </c>
      <c r="N229" s="869">
        <f>IFERROR(INDEX(Dataset!$A:$V,MATCH(Calculations!N$210&amp;Calculations!$P229,Dataset!$V:$V,0),MATCH(Calculations!$A$1,Dataset!$A$1:$V$1,0)),"")</f>
        <v>3.2380178690782038</v>
      </c>
      <c r="O229" s="869" t="str">
        <f>IFERROR(INDEX(Dataset!$A:$V,MATCH(Calculations!O$210&amp;Calculations!$P229,Dataset!$V:$V,0),MATCH(Calculations!$A$1,Dataset!$A$1:$V$1,0)),"")</f>
        <v/>
      </c>
      <c r="P229" t="s">
        <v>1041</v>
      </c>
    </row>
    <row r="230" spans="1:16">
      <c r="A230" s="869" t="s">
        <v>1042</v>
      </c>
      <c r="B230" s="869"/>
      <c r="C230" s="869" t="str">
        <f>IFERROR(INDEX(Dataset!$A:$V,MATCH(Calculations!C$210&amp;Calculations!$P230,Dataset!$V:$V,0),MATCH(Calculations!$A$1,Dataset!$A$1:$V$1,0)),"")</f>
        <v/>
      </c>
      <c r="D230" s="869" t="str">
        <f>IFERROR(INDEX(Dataset!$A:$V,MATCH(Calculations!D$210&amp;Calculations!$P230,Dataset!$V:$V,0),MATCH(Calculations!$A$1,Dataset!$A$1:$V$1,0)),"")</f>
        <v/>
      </c>
      <c r="E230" s="869" t="str">
        <f>IFERROR(INDEX(Dataset!$A:$V,MATCH(Calculations!E$210&amp;Calculations!$P230,Dataset!$V:$V,0),MATCH(Calculations!$A$1,Dataset!$A$1:$V$1,0)),"")</f>
        <v/>
      </c>
      <c r="F230" s="869" t="str">
        <f>IFERROR(INDEX(Dataset!$A:$V,MATCH(Calculations!F$210&amp;Calculations!$P230,Dataset!$V:$V,0),MATCH(Calculations!$A$1,Dataset!$A$1:$V$1,0)),"")</f>
        <v/>
      </c>
      <c r="G230" s="869" t="str">
        <f>IFERROR(INDEX(Dataset!$A:$V,MATCH(Calculations!G$210&amp;Calculations!$P230,Dataset!$V:$V,0),MATCH(Calculations!$A$1,Dataset!$A$1:$V$1,0)),"")</f>
        <v/>
      </c>
      <c r="H230" s="869" t="str">
        <f>IFERROR(INDEX(Dataset!$A:$V,MATCH(Calculations!H$210&amp;Calculations!$P230,Dataset!$V:$V,0),MATCH(Calculations!$A$1,Dataset!$A$1:$V$1,0)),"")</f>
        <v/>
      </c>
      <c r="I230" s="869" t="str">
        <f>IFERROR(INDEX(Dataset!$A:$V,MATCH(Calculations!I$210&amp;Calculations!$P230,Dataset!$V:$V,0),MATCH(Calculations!$A$1,Dataset!$A$1:$V$1,0)),"")</f>
        <v/>
      </c>
      <c r="J230" s="869" t="str">
        <f>IFERROR(INDEX(Dataset!$A:$V,MATCH(Calculations!J$210&amp;Calculations!$P230,Dataset!$V:$V,0),MATCH(Calculations!$A$1,Dataset!$A$1:$V$1,0)),"")</f>
        <v/>
      </c>
      <c r="K230" s="869" t="str">
        <f>IFERROR(INDEX(Dataset!$A:$V,MATCH(Calculations!K$210&amp;Calculations!$P230,Dataset!$V:$V,0),MATCH(Calculations!$A$1,Dataset!$A$1:$V$1,0)),"")</f>
        <v/>
      </c>
      <c r="L230" s="869" t="str">
        <f>IFERROR(INDEX(Dataset!$A:$V,MATCH(Calculations!L$210&amp;Calculations!$P230,Dataset!$V:$V,0),MATCH(Calculations!$A$1,Dataset!$A$1:$V$1,0)),"")</f>
        <v/>
      </c>
      <c r="M230" s="869" t="str">
        <f>IFERROR(INDEX(Dataset!$A:$V,MATCH(Calculations!M$210&amp;Calculations!$P230,Dataset!$V:$V,0),MATCH(Calculations!$A$1,Dataset!$A$1:$V$1,0)),"")</f>
        <v/>
      </c>
      <c r="N230" s="869">
        <f>IFERROR(INDEX(Dataset!$A:$V,MATCH(Calculations!N$210&amp;Calculations!$P230,Dataset!$V:$V,0),MATCH(Calculations!$A$1,Dataset!$A$1:$V$1,0)),"")</f>
        <v>7.5553750278491405</v>
      </c>
      <c r="O230" s="869" t="str">
        <f>IFERROR(INDEX(Dataset!$A:$V,MATCH(Calculations!O$210&amp;Calculations!$P230,Dataset!$V:$V,0),MATCH(Calculations!$A$1,Dataset!$A$1:$V$1,0)),"")</f>
        <v/>
      </c>
      <c r="P230" t="s">
        <v>1043</v>
      </c>
    </row>
    <row r="231" spans="1:16">
      <c r="A231" s="869" t="s">
        <v>1044</v>
      </c>
      <c r="B231" s="869"/>
      <c r="C231" s="869" t="str">
        <f>IFERROR(INDEX(Dataset!$A:$V,MATCH(Calculations!C$210&amp;Calculations!$P231,Dataset!$V:$V,0),MATCH(Calculations!$A$1,Dataset!$A$1:$V$1,0)),"")</f>
        <v/>
      </c>
      <c r="D231" s="869" t="str">
        <f>IFERROR(INDEX(Dataset!$A:$V,MATCH(Calculations!D$210&amp;Calculations!$P231,Dataset!$V:$V,0),MATCH(Calculations!$A$1,Dataset!$A$1:$V$1,0)),"")</f>
        <v/>
      </c>
      <c r="E231" s="869" t="str">
        <f>IFERROR(INDEX(Dataset!$A:$V,MATCH(Calculations!E$210&amp;Calculations!$P231,Dataset!$V:$V,0),MATCH(Calculations!$A$1,Dataset!$A$1:$V$1,0)),"")</f>
        <v/>
      </c>
      <c r="F231" s="869" t="str">
        <f>IFERROR(INDEX(Dataset!$A:$V,MATCH(Calculations!F$210&amp;Calculations!$P231,Dataset!$V:$V,0),MATCH(Calculations!$A$1,Dataset!$A$1:$V$1,0)),"")</f>
        <v/>
      </c>
      <c r="G231" s="869" t="str">
        <f>IFERROR(INDEX(Dataset!$A:$V,MATCH(Calculations!G$210&amp;Calculations!$P231,Dataset!$V:$V,0),MATCH(Calculations!$A$1,Dataset!$A$1:$V$1,0)),"")</f>
        <v/>
      </c>
      <c r="H231" s="869" t="str">
        <f>IFERROR(INDEX(Dataset!$A:$V,MATCH(Calculations!H$210&amp;Calculations!$P231,Dataset!$V:$V,0),MATCH(Calculations!$A$1,Dataset!$A$1:$V$1,0)),"")</f>
        <v/>
      </c>
      <c r="I231" s="869" t="str">
        <f>IFERROR(INDEX(Dataset!$A:$V,MATCH(Calculations!I$210&amp;Calculations!$P231,Dataset!$V:$V,0),MATCH(Calculations!$A$1,Dataset!$A$1:$V$1,0)),"")</f>
        <v/>
      </c>
      <c r="J231" s="869" t="str">
        <f>IFERROR(INDEX(Dataset!$A:$V,MATCH(Calculations!J$210&amp;Calculations!$P231,Dataset!$V:$V,0),MATCH(Calculations!$A$1,Dataset!$A$1:$V$1,0)),"")</f>
        <v/>
      </c>
      <c r="K231" s="869" t="str">
        <f>IFERROR(INDEX(Dataset!$A:$V,MATCH(Calculations!K$210&amp;Calculations!$P231,Dataset!$V:$V,0),MATCH(Calculations!$A$1,Dataset!$A$1:$V$1,0)),"")</f>
        <v/>
      </c>
      <c r="L231" s="869" t="str">
        <f>IFERROR(INDEX(Dataset!$A:$V,MATCH(Calculations!L$210&amp;Calculations!$P231,Dataset!$V:$V,0),MATCH(Calculations!$A$1,Dataset!$A$1:$V$1,0)),"")</f>
        <v/>
      </c>
      <c r="M231" s="869" t="str">
        <f>IFERROR(INDEX(Dataset!$A:$V,MATCH(Calculations!M$210&amp;Calculations!$P231,Dataset!$V:$V,0),MATCH(Calculations!$A$1,Dataset!$A$1:$V$1,0)),"")</f>
        <v/>
      </c>
      <c r="N231" s="869" t="str">
        <f>IFERROR(INDEX(Dataset!$A:$V,MATCH(Calculations!N$210&amp;Calculations!$P231,Dataset!$V:$V,0),MATCH(Calculations!$A$1,Dataset!$A$1:$V$1,0)),"")</f>
        <v/>
      </c>
      <c r="O231" s="869">
        <f>IFERROR(INDEX(Dataset!$A:$V,MATCH(Calculations!O$210&amp;Calculations!$P231,Dataset!$V:$V,0),MATCH(Calculations!$A$1,Dataset!$A$1:$V$1,0)),"")</f>
        <v>19.024774935637652</v>
      </c>
      <c r="P231" t="s">
        <v>1045</v>
      </c>
    </row>
    <row r="232" spans="1:16">
      <c r="A232" s="869" t="s">
        <v>1046</v>
      </c>
      <c r="B232" s="869"/>
      <c r="C232" s="869" t="str">
        <f>IFERROR(INDEX(Dataset!$A:$V,MATCH(Calculations!C$210&amp;Calculations!$P232,Dataset!$V:$V,0),MATCH(Calculations!$A$1,Dataset!$A$1:$V$1,0)),"")</f>
        <v/>
      </c>
      <c r="D232" s="869" t="str">
        <f>IFERROR(INDEX(Dataset!$A:$V,MATCH(Calculations!D$210&amp;Calculations!$P232,Dataset!$V:$V,0),MATCH(Calculations!$A$1,Dataset!$A$1:$V$1,0)),"")</f>
        <v/>
      </c>
      <c r="E232" s="869" t="str">
        <f>IFERROR(INDEX(Dataset!$A:$V,MATCH(Calculations!E$210&amp;Calculations!$P232,Dataset!$V:$V,0),MATCH(Calculations!$A$1,Dataset!$A$1:$V$1,0)),"")</f>
        <v/>
      </c>
      <c r="F232" s="869" t="str">
        <f>IFERROR(INDEX(Dataset!$A:$V,MATCH(Calculations!F$210&amp;Calculations!$P232,Dataset!$V:$V,0),MATCH(Calculations!$A$1,Dataset!$A$1:$V$1,0)),"")</f>
        <v/>
      </c>
      <c r="G232" s="869" t="str">
        <f>IFERROR(INDEX(Dataset!$A:$V,MATCH(Calculations!G$210&amp;Calculations!$P232,Dataset!$V:$V,0),MATCH(Calculations!$A$1,Dataset!$A$1:$V$1,0)),"")</f>
        <v/>
      </c>
      <c r="H232" s="869" t="str">
        <f>IFERROR(INDEX(Dataset!$A:$V,MATCH(Calculations!H$210&amp;Calculations!$P232,Dataset!$V:$V,0),MATCH(Calculations!$A$1,Dataset!$A$1:$V$1,0)),"")</f>
        <v/>
      </c>
      <c r="I232" s="869" t="str">
        <f>IFERROR(INDEX(Dataset!$A:$V,MATCH(Calculations!I$210&amp;Calculations!$P232,Dataset!$V:$V,0),MATCH(Calculations!$A$1,Dataset!$A$1:$V$1,0)),"")</f>
        <v/>
      </c>
      <c r="J232" s="869" t="str">
        <f>IFERROR(INDEX(Dataset!$A:$V,MATCH(Calculations!J$210&amp;Calculations!$P232,Dataset!$V:$V,0),MATCH(Calculations!$A$1,Dataset!$A$1:$V$1,0)),"")</f>
        <v/>
      </c>
      <c r="K232" s="869" t="str">
        <f>IFERROR(INDEX(Dataset!$A:$V,MATCH(Calculations!K$210&amp;Calculations!$P232,Dataset!$V:$V,0),MATCH(Calculations!$A$1,Dataset!$A$1:$V$1,0)),"")</f>
        <v/>
      </c>
      <c r="L232" s="869" t="str">
        <f>IFERROR(INDEX(Dataset!$A:$V,MATCH(Calculations!L$210&amp;Calculations!$P232,Dataset!$V:$V,0),MATCH(Calculations!$A$1,Dataset!$A$1:$V$1,0)),"")</f>
        <v/>
      </c>
      <c r="M232" s="869" t="str">
        <f>IFERROR(INDEX(Dataset!$A:$V,MATCH(Calculations!M$210&amp;Calculations!$P232,Dataset!$V:$V,0),MATCH(Calculations!$A$1,Dataset!$A$1:$V$1,0)),"")</f>
        <v/>
      </c>
      <c r="N232" s="869" t="str">
        <f>IFERROR(INDEX(Dataset!$A:$V,MATCH(Calculations!N$210&amp;Calculations!$P232,Dataset!$V:$V,0),MATCH(Calculations!$A$1,Dataset!$A$1:$V$1,0)),"")</f>
        <v/>
      </c>
      <c r="O232" s="869">
        <f>IFERROR(INDEX(Dataset!$A:$V,MATCH(Calculations!O$210&amp;Calculations!$P232,Dataset!$V:$V,0),MATCH(Calculations!$A$1,Dataset!$A$1:$V$1,0)),"")</f>
        <v>5.7074324806912964</v>
      </c>
      <c r="P232" t="s">
        <v>1047</v>
      </c>
    </row>
    <row r="233" spans="1:16">
      <c r="A233" s="869" t="s">
        <v>1048</v>
      </c>
      <c r="B233" s="869"/>
      <c r="C233" s="869" t="str">
        <f>IFERROR(INDEX(Dataset!$A:$V,MATCH(Calculations!C$210&amp;Calculations!$P233,Dataset!$V:$V,0),MATCH(Calculations!$A$1,Dataset!$A$1:$V$1,0)),"")</f>
        <v/>
      </c>
      <c r="D233" s="869" t="str">
        <f>IFERROR(INDEX(Dataset!$A:$V,MATCH(Calculations!D$210&amp;Calculations!$P233,Dataset!$V:$V,0),MATCH(Calculations!$A$1,Dataset!$A$1:$V$1,0)),"")</f>
        <v/>
      </c>
      <c r="E233" s="869" t="str">
        <f>IFERROR(INDEX(Dataset!$A:$V,MATCH(Calculations!E$210&amp;Calculations!$P233,Dataset!$V:$V,0),MATCH(Calculations!$A$1,Dataset!$A$1:$V$1,0)),"")</f>
        <v/>
      </c>
      <c r="F233" s="869" t="str">
        <f>IFERROR(INDEX(Dataset!$A:$V,MATCH(Calculations!F$210&amp;Calculations!$P233,Dataset!$V:$V,0),MATCH(Calculations!$A$1,Dataset!$A$1:$V$1,0)),"")</f>
        <v/>
      </c>
      <c r="G233" s="869" t="str">
        <f>IFERROR(INDEX(Dataset!$A:$V,MATCH(Calculations!G$210&amp;Calculations!$P233,Dataset!$V:$V,0),MATCH(Calculations!$A$1,Dataset!$A$1:$V$1,0)),"")</f>
        <v/>
      </c>
      <c r="H233" s="869" t="str">
        <f>IFERROR(INDEX(Dataset!$A:$V,MATCH(Calculations!H$210&amp;Calculations!$P233,Dataset!$V:$V,0),MATCH(Calculations!$A$1,Dataset!$A$1:$V$1,0)),"")</f>
        <v/>
      </c>
      <c r="I233" s="869" t="str">
        <f>IFERROR(INDEX(Dataset!$A:$V,MATCH(Calculations!I$210&amp;Calculations!$P233,Dataset!$V:$V,0),MATCH(Calculations!$A$1,Dataset!$A$1:$V$1,0)),"")</f>
        <v/>
      </c>
      <c r="J233" s="869" t="str">
        <f>IFERROR(INDEX(Dataset!$A:$V,MATCH(Calculations!J$210&amp;Calculations!$P233,Dataset!$V:$V,0),MATCH(Calculations!$A$1,Dataset!$A$1:$V$1,0)),"")</f>
        <v/>
      </c>
      <c r="K233" s="869" t="str">
        <f>IFERROR(INDEX(Dataset!$A:$V,MATCH(Calculations!K$210&amp;Calculations!$P233,Dataset!$V:$V,0),MATCH(Calculations!$A$1,Dataset!$A$1:$V$1,0)),"")</f>
        <v/>
      </c>
      <c r="L233" s="869" t="str">
        <f>IFERROR(INDEX(Dataset!$A:$V,MATCH(Calculations!L$210&amp;Calculations!$P233,Dataset!$V:$V,0),MATCH(Calculations!$A$1,Dataset!$A$1:$V$1,0)),"")</f>
        <v/>
      </c>
      <c r="M233" s="869" t="str">
        <f>IFERROR(INDEX(Dataset!$A:$V,MATCH(Calculations!M$210&amp;Calculations!$P233,Dataset!$V:$V,0),MATCH(Calculations!$A$1,Dataset!$A$1:$V$1,0)),"")</f>
        <v/>
      </c>
      <c r="N233" s="869" t="str">
        <f>IFERROR(INDEX(Dataset!$A:$V,MATCH(Calculations!N$210&amp;Calculations!$P233,Dataset!$V:$V,0),MATCH(Calculations!$A$1,Dataset!$A$1:$V$1,0)),"")</f>
        <v/>
      </c>
      <c r="O233" s="869">
        <f>IFERROR(INDEX(Dataset!$A:$V,MATCH(Calculations!O$210&amp;Calculations!$P233,Dataset!$V:$V,0),MATCH(Calculations!$A$1,Dataset!$A$1:$V$1,0)),"")</f>
        <v>13.317342454946356</v>
      </c>
      <c r="P233" t="s">
        <v>1049</v>
      </c>
    </row>
    <row r="234" spans="1:16">
      <c r="A234" s="869" t="s">
        <v>34</v>
      </c>
      <c r="B234" s="869"/>
      <c r="C234" s="869" t="str">
        <f>IFERROR(INDEX(Dataset!$A:$V,MATCH(Calculations!C$210&amp;Calculations!$P234,Dataset!$V:$V,0),MATCH(Calculations!$A$1,Dataset!$A$1:$V$1,0)),"")</f>
        <v/>
      </c>
      <c r="D234" s="869" t="str">
        <f>IFERROR(INDEX(Dataset!$A:$V,MATCH(Calculations!D$210&amp;Calculations!$P234,Dataset!$V:$V,0),MATCH(Calculations!$A$1,Dataset!$A$1:$V$1,0)),"")</f>
        <v/>
      </c>
      <c r="E234" s="869" t="str">
        <f>IFERROR(INDEX(Dataset!$A:$V,MATCH(Calculations!E$210&amp;Calculations!$P234,Dataset!$V:$V,0),MATCH(Calculations!$A$1,Dataset!$A$1:$V$1,0)),"")</f>
        <v/>
      </c>
      <c r="F234" s="869">
        <f>IFERROR(INDEX(Dataset!$A:$V,MATCH(Calculations!F$210&amp;Calculations!$P234,Dataset!$V:$V,0),MATCH(Calculations!$A$1,Dataset!$A$1:$V$1,0)),"")</f>
        <v>331.21096045064189</v>
      </c>
      <c r="G234" s="869">
        <f>IFERROR(INDEX(Dataset!$A:$V,MATCH(Calculations!G$210&amp;Calculations!$P234,Dataset!$V:$V,0),MATCH(Calculations!$A$1,Dataset!$A$1:$V$1,0)),"")</f>
        <v>332.36394927064146</v>
      </c>
      <c r="H234" s="869">
        <f>IFERROR(INDEX(Dataset!$A:$V,MATCH(Calculations!H$210&amp;Calculations!$P234,Dataset!$V:$V,0),MATCH(Calculations!$A$1,Dataset!$A$1:$V$1,0)),"")</f>
        <v>321.77650538573533</v>
      </c>
      <c r="I234" s="869">
        <f>IFERROR(INDEX(Dataset!$A:$V,MATCH(Calculations!I$210&amp;Calculations!$P234,Dataset!$V:$V,0),MATCH(Calculations!$A$1,Dataset!$A$1:$V$1,0)),"")</f>
        <v>327.56823781053492</v>
      </c>
      <c r="J234" s="869">
        <f>IFERROR(INDEX(Dataset!$A:$V,MATCH(Calculations!J$210&amp;Calculations!$P234,Dataset!$V:$V,0),MATCH(Calculations!$A$1,Dataset!$A$1:$V$1,0)),"")</f>
        <v>336.78272656456994</v>
      </c>
      <c r="K234" s="869">
        <f>IFERROR(INDEX(Dataset!$A:$V,MATCH(Calculations!K$210&amp;Calculations!$P234,Dataset!$V:$V,0),MATCH(Calculations!$A$1,Dataset!$A$1:$V$1,0)),"")</f>
        <v>334.64337806346703</v>
      </c>
      <c r="L234" s="869">
        <f>IFERROR(INDEX(Dataset!$A:$V,MATCH(Calculations!L$210&amp;Calculations!$P234,Dataset!$V:$V,0),MATCH(Calculations!$A$1,Dataset!$A$1:$V$1,0)),"")</f>
        <v>333.7184336711083</v>
      </c>
      <c r="M234" s="869"/>
      <c r="N234" s="869"/>
      <c r="O234" s="869"/>
      <c r="P234" t="s">
        <v>1050</v>
      </c>
    </row>
    <row r="235" spans="1:16">
      <c r="A235" s="869" t="s">
        <v>36</v>
      </c>
      <c r="B235" s="869"/>
      <c r="C235" s="869" t="str">
        <f>IFERROR(INDEX(Dataset!$A:$V,MATCH(Calculations!C$210&amp;Calculations!$P235,Dataset!$V:$V,0),MATCH(Calculations!$A$1,Dataset!$A$1:$V$1,0)),"")</f>
        <v/>
      </c>
      <c r="D235" s="869" t="str">
        <f>IFERROR(INDEX(Dataset!$A:$V,MATCH(Calculations!D$210&amp;Calculations!$P235,Dataset!$V:$V,0),MATCH(Calculations!$A$1,Dataset!$A$1:$V$1,0)),"")</f>
        <v/>
      </c>
      <c r="E235" s="869" t="str">
        <f>IFERROR(INDEX(Dataset!$A:$V,MATCH(Calculations!E$210&amp;Calculations!$P235,Dataset!$V:$V,0),MATCH(Calculations!$A$1,Dataset!$A$1:$V$1,0)),"")</f>
        <v/>
      </c>
      <c r="F235" s="869">
        <f>IFERROR(INDEX(Dataset!$A:$V,MATCH(Calculations!F$210&amp;Calculations!$P235,Dataset!$V:$V,0),MATCH(Calculations!$A$1,Dataset!$A$1:$V$1,0)),"")</f>
        <v>374.02107204480535</v>
      </c>
      <c r="G235" s="869">
        <f>IFERROR(INDEX(Dataset!$A:$V,MATCH(Calculations!G$210&amp;Calculations!$P235,Dataset!$V:$V,0),MATCH(Calculations!$A$1,Dataset!$A$1:$V$1,0)),"")</f>
        <v>376.67411861792056</v>
      </c>
      <c r="H235" s="869">
        <f>IFERROR(INDEX(Dataset!$A:$V,MATCH(Calculations!H$210&amp;Calculations!$P235,Dataset!$V:$V,0),MATCH(Calculations!$A$1,Dataset!$A$1:$V$1,0)),"")</f>
        <v>318.39139237344864</v>
      </c>
      <c r="I235" s="869">
        <f>IFERROR(INDEX(Dataset!$A:$V,MATCH(Calculations!I$210&amp;Calculations!$P235,Dataset!$V:$V,0),MATCH(Calculations!$A$1,Dataset!$A$1:$V$1,0)),"")</f>
        <v>287.81445035226676</v>
      </c>
      <c r="J235" s="869">
        <f>IFERROR(INDEX(Dataset!$A:$V,MATCH(Calculations!J$210&amp;Calculations!$P235,Dataset!$V:$V,0),MATCH(Calculations!$A$1,Dataset!$A$1:$V$1,0)),"")</f>
        <v>287.89198339516167</v>
      </c>
      <c r="K235" s="869">
        <f>IFERROR(INDEX(Dataset!$A:$V,MATCH(Calculations!K$210&amp;Calculations!$P235,Dataset!$V:$V,0),MATCH(Calculations!$A$1,Dataset!$A$1:$V$1,0)),"")</f>
        <v>334.58968982767612</v>
      </c>
      <c r="L235" s="869">
        <f>IFERROR(INDEX(Dataset!$A:$V,MATCH(Calculations!L$210&amp;Calculations!$P235,Dataset!$V:$V,0),MATCH(Calculations!$A$1,Dataset!$A$1:$V$1,0)),"")</f>
        <v>349.4748775023474</v>
      </c>
      <c r="M235" s="869"/>
      <c r="N235" s="869"/>
      <c r="O235" s="869"/>
      <c r="P235" t="s">
        <v>1051</v>
      </c>
    </row>
    <row r="236" spans="1:16">
      <c r="A236" s="869" t="s">
        <v>1052</v>
      </c>
      <c r="B236" s="869"/>
      <c r="C236" s="869" t="str">
        <f>IFERROR(INDEX(Dataset!$A:$V,MATCH(Calculations!C$210&amp;Calculations!$P236,Dataset!$V:$V,0),MATCH(Calculations!$A$1,Dataset!$A$1:$V$1,0)),"")</f>
        <v/>
      </c>
      <c r="D236" s="869" t="str">
        <f>IFERROR(INDEX(Dataset!$A:$V,MATCH(Calculations!D$210&amp;Calculations!$P236,Dataset!$V:$V,0),MATCH(Calculations!$A$1,Dataset!$A$1:$V$1,0)),"")</f>
        <v/>
      </c>
      <c r="E236" s="869" t="str">
        <f>IFERROR(INDEX(Dataset!$A:$V,MATCH(Calculations!E$210&amp;Calculations!$P236,Dataset!$V:$V,0),MATCH(Calculations!$A$1,Dataset!$A$1:$V$1,0)),"")</f>
        <v/>
      </c>
      <c r="F236" s="869">
        <f>IFERROR(INDEX(Dataset!$A:$V,MATCH(Calculations!F$210&amp;Calculations!$P236,Dataset!$V:$V,0),MATCH(Calculations!$A$1,Dataset!$A$1:$V$1,0)),"")</f>
        <v>42.810111594163459</v>
      </c>
      <c r="G236" s="869">
        <f>IFERROR(INDEX(Dataset!$A:$V,MATCH(Calculations!G$210&amp;Calculations!$P236,Dataset!$V:$V,0),MATCH(Calculations!$A$1,Dataset!$A$1:$V$1,0)),"")</f>
        <v>44.3101693472791</v>
      </c>
      <c r="H236" s="869">
        <f>IFERROR(INDEX(Dataset!$A:$V,MATCH(Calculations!H$210&amp;Calculations!$P236,Dataset!$V:$V,0),MATCH(Calculations!$A$1,Dataset!$A$1:$V$1,0)),"")</f>
        <v>-3.3851130122866948</v>
      </c>
      <c r="I236" s="869">
        <f>IFERROR(INDEX(Dataset!$A:$V,MATCH(Calculations!I$210&amp;Calculations!$P236,Dataset!$V:$V,0),MATCH(Calculations!$A$1,Dataset!$A$1:$V$1,0)),"")</f>
        <v>-39.753787458268164</v>
      </c>
      <c r="J236" s="869">
        <f>IFERROR(INDEX(Dataset!$A:$V,MATCH(Calculations!J$210&amp;Calculations!$P236,Dataset!$V:$V,0),MATCH(Calculations!$A$1,Dataset!$A$1:$V$1,0)),"")</f>
        <v>-48.890743169408267</v>
      </c>
      <c r="K236" s="869">
        <f>IFERROR(INDEX(Dataset!$A:$V,MATCH(Calculations!K$210&amp;Calculations!$P236,Dataset!$V:$V,0),MATCH(Calculations!$A$1,Dataset!$A$1:$V$1,0)),"")</f>
        <v>-5.3688235790900762E-2</v>
      </c>
      <c r="L236" s="869">
        <f>IFERROR(INDEX(Dataset!$A:$V,MATCH(Calculations!L$210&amp;Calculations!$P236,Dataset!$V:$V,0),MATCH(Calculations!$A$1,Dataset!$A$1:$V$1,0)),"")</f>
        <v>15.756443831239096</v>
      </c>
      <c r="M236" s="869"/>
      <c r="N236" s="869"/>
      <c r="O236" s="869"/>
      <c r="P236" t="s">
        <v>1053</v>
      </c>
    </row>
    <row r="237" spans="1:16">
      <c r="A237" s="869" t="s">
        <v>615</v>
      </c>
      <c r="B237" s="869"/>
      <c r="C237" s="869" t="str">
        <f>IFERROR(INDEX(Dataset!$A:$V,MATCH(Calculations!C$210&amp;Calculations!$P237,Dataset!$V:$V,0),MATCH(Calculations!$A$1,Dataset!$A$1:$V$1,0)),"")</f>
        <v/>
      </c>
      <c r="D237" s="869" t="str">
        <f>IFERROR(INDEX(Dataset!$A:$V,MATCH(Calculations!D$210&amp;Calculations!$P237,Dataset!$V:$V,0),MATCH(Calculations!$A$1,Dataset!$A$1:$V$1,0)),"")</f>
        <v/>
      </c>
      <c r="E237" s="869" t="str">
        <f>IFERROR(INDEX(Dataset!$A:$V,MATCH(Calculations!E$210&amp;Calculations!$P237,Dataset!$V:$V,0),MATCH(Calculations!$A$1,Dataset!$A$1:$V$1,0)),"")</f>
        <v/>
      </c>
      <c r="F237" s="871">
        <f>IFERROR(INDEX(Dataset!$A:$V,MATCH(Calculations!F$210&amp;Calculations!$P237,Dataset!$V:$V,0),MATCH(Calculations!$A$1,Dataset!$A$1:$V$1,0)),"")</f>
        <v>0.7</v>
      </c>
      <c r="G237" s="871">
        <f>IFERROR(INDEX(Dataset!$A:$V,MATCH(Calculations!G$210&amp;Calculations!$P237,Dataset!$V:$V,0),MATCH(Calculations!$A$1,Dataset!$A$1:$V$1,0)),"")</f>
        <v>0.7</v>
      </c>
      <c r="H237" s="871">
        <f>IFERROR(INDEX(Dataset!$A:$V,MATCH(Calculations!H$210&amp;Calculations!$P237,Dataset!$V:$V,0),MATCH(Calculations!$A$1,Dataset!$A$1:$V$1,0)),"")</f>
        <v>0.7</v>
      </c>
      <c r="I237" s="871">
        <f>IFERROR(INDEX(Dataset!$A:$V,MATCH(Calculations!I$210&amp;Calculations!$P237,Dataset!$V:$V,0),MATCH(Calculations!$A$1,Dataset!$A$1:$V$1,0)),"")</f>
        <v>0.7</v>
      </c>
      <c r="J237" s="871">
        <f>IFERROR(INDEX(Dataset!$A:$V,MATCH(Calculations!J$210&amp;Calculations!$P237,Dataset!$V:$V,0),MATCH(Calculations!$A$1,Dataset!$A$1:$V$1,0)),"")</f>
        <v>0.7</v>
      </c>
      <c r="K237" s="871">
        <f>IFERROR(INDEX(Dataset!$A:$V,MATCH(Calculations!K$210&amp;Calculations!$P237,Dataset!$V:$V,0),MATCH(Calculations!$A$1,Dataset!$A$1:$V$1,0)),"")</f>
        <v>0.7</v>
      </c>
      <c r="L237" s="871">
        <f>IFERROR(INDEX(Dataset!$A:$V,MATCH(Calculations!L$210&amp;Calculations!$P237,Dataset!$V:$V,0),MATCH(Calculations!$A$1,Dataset!$A$1:$V$1,0)),"")</f>
        <v>0.7</v>
      </c>
      <c r="M237" s="871"/>
      <c r="N237" s="869"/>
      <c r="O237" s="869"/>
      <c r="P237" t="s">
        <v>1054</v>
      </c>
    </row>
    <row r="238" spans="1:16">
      <c r="A238" s="869" t="s">
        <v>40</v>
      </c>
      <c r="B238" s="869"/>
      <c r="C238" s="869" t="str">
        <f>IFERROR(INDEX(Dataset!$A:$V,MATCH(Calculations!C$210&amp;Calculations!$P238,Dataset!$V:$V,0),MATCH(Calculations!$A$1,Dataset!$A$1:$V$1,0)),"")</f>
        <v/>
      </c>
      <c r="D238" s="869" t="str">
        <f>IFERROR(INDEX(Dataset!$A:$V,MATCH(Calculations!D$210&amp;Calculations!$P238,Dataset!$V:$V,0),MATCH(Calculations!$A$1,Dataset!$A$1:$V$1,0)),"")</f>
        <v/>
      </c>
      <c r="E238" s="869" t="str">
        <f>IFERROR(INDEX(Dataset!$A:$V,MATCH(Calculations!E$210&amp;Calculations!$P238,Dataset!$V:$V,0),MATCH(Calculations!$A$1,Dataset!$A$1:$V$1,0)),"")</f>
        <v/>
      </c>
      <c r="F238" s="869">
        <f>IFERROR(INDEX(Dataset!$A:$V,MATCH(Calculations!F$210&amp;Calculations!$P238,Dataset!$V:$V,0),MATCH(Calculations!$A$1,Dataset!$A$1:$V$1,0)),"")</f>
        <v>344.05399392889092</v>
      </c>
      <c r="G238" s="869">
        <f>IFERROR(INDEX(Dataset!$A:$V,MATCH(Calculations!G$210&amp;Calculations!$P238,Dataset!$V:$V,0),MATCH(Calculations!$A$1,Dataset!$A$1:$V$1,0)),"")</f>
        <v>345.65700007482519</v>
      </c>
      <c r="H238" s="869">
        <f>IFERROR(INDEX(Dataset!$A:$V,MATCH(Calculations!H$210&amp;Calculations!$P238,Dataset!$V:$V,0),MATCH(Calculations!$A$1,Dataset!$A$1:$V$1,0)),"")</f>
        <v>320.76097148204934</v>
      </c>
      <c r="I238" s="869">
        <f>IFERROR(INDEX(Dataset!$A:$V,MATCH(Calculations!I$210&amp;Calculations!$P238,Dataset!$V:$V,0),MATCH(Calculations!$A$1,Dataset!$A$1:$V$1,0)),"")</f>
        <v>315.64210157305445</v>
      </c>
      <c r="J238" s="869">
        <f>IFERROR(INDEX(Dataset!$A:$V,MATCH(Calculations!J$210&amp;Calculations!$P238,Dataset!$V:$V,0),MATCH(Calculations!$A$1,Dataset!$A$1:$V$1,0)),"")</f>
        <v>322.11550361374748</v>
      </c>
      <c r="K238" s="869">
        <f>IFERROR(INDEX(Dataset!$A:$V,MATCH(Calculations!K$210&amp;Calculations!$P238,Dataset!$V:$V,0),MATCH(Calculations!$A$1,Dataset!$A$1:$V$1,0)),"")</f>
        <v>334.62727159272976</v>
      </c>
      <c r="L238" s="869">
        <f>IFERROR(INDEX(Dataset!$A:$V,MATCH(Calculations!L$210&amp;Calculations!$P238,Dataset!$V:$V,0),MATCH(Calculations!$A$1,Dataset!$A$1:$V$1,0)),"")</f>
        <v>338.44536682048005</v>
      </c>
      <c r="M238" s="869"/>
      <c r="N238" s="869"/>
      <c r="O238" s="869"/>
      <c r="P238" t="s">
        <v>1055</v>
      </c>
    </row>
    <row r="240" spans="1:16">
      <c r="A240" s="828" t="s">
        <v>1056</v>
      </c>
    </row>
    <row r="241" spans="1:24">
      <c r="A241" s="869" t="s">
        <v>1057</v>
      </c>
      <c r="B241" s="869"/>
      <c r="C241" s="869"/>
      <c r="D241" s="869"/>
      <c r="E241" s="869"/>
      <c r="F241" s="869">
        <f>INDEX(Dataset!$A:$V,MATCH(Calculations!F$210&amp;Calculations!$P241,Dataset!$V:$V,0),MATCH(Calculations!$A$1,Dataset!$A$1:$V$1,0))</f>
        <v>93.850368220600458</v>
      </c>
      <c r="G241" s="869">
        <f>INDEX(Dataset!$A:$V,MATCH(Calculations!G$210&amp;Calculations!$P241,Dataset!$V:$V,0),MATCH(Calculations!$A$1,Dataset!$A$1:$V$1,0))</f>
        <v>107.19651953144816</v>
      </c>
      <c r="H241" s="869">
        <f>INDEX(Dataset!$A:$V,MATCH(Calculations!H$210&amp;Calculations!$P241,Dataset!$V:$V,0),MATCH(Calculations!$A$1,Dataset!$A$1:$V$1,0))</f>
        <v>92.714788167201291</v>
      </c>
      <c r="I241" s="869">
        <f>INDEX(Dataset!$A:$V,MATCH(Calculations!I$210&amp;Calculations!$P241,Dataset!$V:$V,0),MATCH(Calculations!$A$1,Dataset!$A$1:$V$1,0))</f>
        <v>88.790902886610823</v>
      </c>
      <c r="J241" s="869">
        <f>INDEX(Dataset!$A:$V,MATCH(Calculations!J$210&amp;Calculations!$P241,Dataset!$V:$V,0),MATCH(Calculations!$A$1,Dataset!$A$1:$V$1,0))</f>
        <v>87.913639121335137</v>
      </c>
      <c r="K241" s="869">
        <f>INDEX(Dataset!$A:$V,MATCH(Calculations!K$210&amp;Calculations!$P241,Dataset!$V:$V,0),MATCH(Calculations!$A$1,Dataset!$A$1:$V$1,0))</f>
        <v>83.231936090596065</v>
      </c>
      <c r="L241" s="869">
        <f>INDEX(Dataset!$A:$V,MATCH(Calculations!L$210&amp;Calculations!$P241,Dataset!$V:$V,0),MATCH(Calculations!$A$1,Dataset!$A$1:$V$1,0))</f>
        <v>83.747619033776502</v>
      </c>
      <c r="M241" s="869"/>
      <c r="P241" t="s">
        <v>1058</v>
      </c>
    </row>
    <row r="243" spans="1:24">
      <c r="A243" s="828" t="s">
        <v>653</v>
      </c>
    </row>
    <row r="244" spans="1:24">
      <c r="A244" s="869" t="s">
        <v>1059</v>
      </c>
      <c r="B244" s="869"/>
      <c r="C244" s="869"/>
      <c r="D244" s="869"/>
      <c r="E244" s="869"/>
      <c r="F244" s="869">
        <f>IFERROR(INDEX(Dataset!$A:$V,MATCH(Calculations!F$210&amp;Calculations!$P244,Dataset!$V:$V,0),MATCH(Calculations!$A$1,Dataset!$A$1:$V$1,0)),"")</f>
        <v>2497.1769965078047</v>
      </c>
      <c r="G244" s="869">
        <f>IFERROR(INDEX(Dataset!$A:$V,MATCH(Calculations!G$210&amp;Calculations!$P244,Dataset!$V:$V,0),MATCH(Calculations!$A$1,Dataset!$A$1:$V$1,0)),"")</f>
        <v>2553.9279519545839</v>
      </c>
      <c r="H244" s="869">
        <f>IFERROR(INDEX(Dataset!$A:$V,MATCH(Calculations!H$210&amp;Calculations!$P244,Dataset!$V:$V,0),MATCH(Calculations!$A$1,Dataset!$A$1:$V$1,0)),"")</f>
        <v>2606.8973854287283</v>
      </c>
      <c r="I244" s="869">
        <f>IFERROR(INDEX(Dataset!$A:$V,MATCH(Calculations!I$210&amp;Calculations!$P244,Dataset!$V:$V,0),MATCH(Calculations!$A$1,Dataset!$A$1:$V$1,0)),"")</f>
        <v>2637.3118343685005</v>
      </c>
      <c r="J244" s="869">
        <f>IFERROR(INDEX(Dataset!$A:$V,MATCH(Calculations!J$210&amp;Calculations!$P244,Dataset!$V:$V,0),MATCH(Calculations!$A$1,Dataset!$A$1:$V$1,0)),"")</f>
        <v>2661.6259989071964</v>
      </c>
      <c r="K244" s="869">
        <f>IFERROR(INDEX(Dataset!$A:$V,MATCH(Calculations!K$210&amp;Calculations!$P244,Dataset!$V:$V,0),MATCH(Calculations!$A$1,Dataset!$A$1:$V$1,0)),"")</f>
        <v>2690.4740201515965</v>
      </c>
      <c r="L244" s="869">
        <f>IFERROR(INDEX(Dataset!$A:$V,MATCH(Calculations!L$210&amp;Calculations!$P244,Dataset!$V:$V,0),MATCH(Calculations!$A$1,Dataset!$A$1:$V$1,0)),"")</f>
        <v>2728.4796420085881</v>
      </c>
      <c r="M244" s="869" t="str">
        <f>IFERROR(INDEX(Dataset!$A:$V,MATCH(Calculations!M$210&amp;Calculations!$P244,Dataset!$V:$V,0),MATCH(Calculations!$A$1,Dataset!$A$1:$V$1,0)),"")</f>
        <v/>
      </c>
      <c r="P244" t="s">
        <v>1060</v>
      </c>
    </row>
    <row r="245" spans="1:24">
      <c r="A245" s="869" t="s">
        <v>655</v>
      </c>
      <c r="B245" s="869"/>
      <c r="C245" s="869"/>
      <c r="D245" s="869"/>
      <c r="E245" s="869"/>
      <c r="F245" s="869">
        <f>IFERROR(INDEX(Dataset!$A:$V,MATCH(Calculations!F$210&amp;Calculations!$P245,Dataset!$V:$V,0),MATCH(Calculations!$A$1,Dataset!$A$1:$V$1,0)),"")</f>
        <v>275.24300690100262</v>
      </c>
      <c r="G245" s="869">
        <f>IFERROR(INDEX(Dataset!$A:$V,MATCH(Calculations!G$210&amp;Calculations!$P245,Dataset!$V:$V,0),MATCH(Calculations!$A$1,Dataset!$A$1:$V$1,0)),"")</f>
        <v>276.52577807456237</v>
      </c>
      <c r="H245" s="869">
        <f>IFERROR(INDEX(Dataset!$A:$V,MATCH(Calculations!H$210&amp;Calculations!$P245,Dataset!$V:$V,0),MATCH(Calculations!$A$1,Dataset!$A$1:$V$1,0)),"")</f>
        <v>256.60895651046116</v>
      </c>
      <c r="I245" s="869">
        <f>IFERROR(INDEX(Dataset!$A:$V,MATCH(Calculations!I$210&amp;Calculations!$P245,Dataset!$V:$V,0),MATCH(Calculations!$A$1,Dataset!$A$1:$V$1,0)),"")</f>
        <v>252.51395287487247</v>
      </c>
      <c r="J245" s="869">
        <f>IFERROR(INDEX(Dataset!$A:$V,MATCH(Calculations!J$210&amp;Calculations!$P245,Dataset!$V:$V,0),MATCH(Calculations!$A$1,Dataset!$A$1:$V$1,0)),"")</f>
        <v>257.69203076007346</v>
      </c>
      <c r="K245" s="869">
        <f>IFERROR(INDEX(Dataset!$A:$V,MATCH(Calculations!K$210&amp;Calculations!$P245,Dataset!$V:$V,0),MATCH(Calculations!$A$1,Dataset!$A$1:$V$1,0)),"")</f>
        <v>267.70273169437303</v>
      </c>
      <c r="L245" s="869">
        <f>IFERROR(INDEX(Dataset!$A:$V,MATCH(Calculations!L$210&amp;Calculations!$P245,Dataset!$V:$V,0),MATCH(Calculations!$A$1,Dataset!$A$1:$V$1,0)),"")</f>
        <v>270.75772696264369</v>
      </c>
      <c r="M245" s="869" t="str">
        <f>IFERROR(INDEX(Dataset!$A:$V,MATCH(Calculations!M$210&amp;Calculations!$P245,Dataset!$V:$V,0),MATCH(Calculations!$A$1,Dataset!$A$1:$V$1,0)),"")</f>
        <v/>
      </c>
      <c r="P245" t="s">
        <v>1061</v>
      </c>
    </row>
    <row r="246" spans="1:24">
      <c r="A246" s="869" t="s">
        <v>656</v>
      </c>
      <c r="B246" s="869"/>
      <c r="C246" s="869"/>
      <c r="D246" s="869"/>
      <c r="E246" s="869"/>
      <c r="F246" s="869">
        <f>IFERROR(INDEX(Dataset!$A:$V,MATCH(Calculations!F$210&amp;Calculations!$P246,Dataset!$V:$V,0),MATCH(Calculations!$A$1,Dataset!$A$1:$V$1,0)),"")</f>
        <v>-218.49205145422354</v>
      </c>
      <c r="G246" s="869">
        <f>IFERROR(INDEX(Dataset!$A:$V,MATCH(Calculations!G$210&amp;Calculations!$P246,Dataset!$V:$V,0),MATCH(Calculations!$A$1,Dataset!$A$1:$V$1,0)),"")</f>
        <v>-223.5563446004177</v>
      </c>
      <c r="H246" s="869">
        <f>IFERROR(INDEX(Dataset!$A:$V,MATCH(Calculations!H$210&amp;Calculations!$P246,Dataset!$V:$V,0),MATCH(Calculations!$A$1,Dataset!$A$1:$V$1,0)),"")</f>
        <v>-226.19450757068876</v>
      </c>
      <c r="I246" s="869">
        <f>IFERROR(INDEX(Dataset!$A:$V,MATCH(Calculations!I$210&amp;Calculations!$P246,Dataset!$V:$V,0),MATCH(Calculations!$A$1,Dataset!$A$1:$V$1,0)),"")</f>
        <v>-228.19978833617702</v>
      </c>
      <c r="J246" s="869">
        <f>IFERROR(INDEX(Dataset!$A:$V,MATCH(Calculations!J$210&amp;Calculations!$P246,Dataset!$V:$V,0),MATCH(Calculations!$A$1,Dataset!$A$1:$V$1,0)),"")</f>
        <v>-228.84400951567326</v>
      </c>
      <c r="K246" s="869">
        <f>IFERROR(INDEX(Dataset!$A:$V,MATCH(Calculations!K$210&amp;Calculations!$P246,Dataset!$V:$V,0),MATCH(Calculations!$A$1,Dataset!$A$1:$V$1,0)),"")</f>
        <v>-229.69710983738179</v>
      </c>
      <c r="L246" s="869">
        <f>IFERROR(INDEX(Dataset!$A:$V,MATCH(Calculations!L$210&amp;Calculations!$P246,Dataset!$V:$V,0),MATCH(Calculations!$A$1,Dataset!$A$1:$V$1,0)),"")</f>
        <v>-209.79732048435488</v>
      </c>
      <c r="M246" s="869" t="str">
        <f>IFERROR(INDEX(Dataset!$A:$V,MATCH(Calculations!M$210&amp;Calculations!$P246,Dataset!$V:$V,0),MATCH(Calculations!$A$1,Dataset!$A$1:$V$1,0)),"")</f>
        <v/>
      </c>
      <c r="P246" t="s">
        <v>1062</v>
      </c>
    </row>
    <row r="247" spans="1:24">
      <c r="A247" s="869" t="s">
        <v>1063</v>
      </c>
      <c r="B247" s="869"/>
      <c r="C247" s="869"/>
      <c r="D247" s="869"/>
      <c r="E247" s="869"/>
      <c r="F247" s="869">
        <f>IFERROR(INDEX(Dataset!$A:$V,MATCH(Calculations!F$210&amp;Calculations!$P247,Dataset!$V:$V,0),MATCH(Calculations!$A$1,Dataset!$A$1:$V$1,0)),"")</f>
        <v>2553.9279519545839</v>
      </c>
      <c r="G247" s="869">
        <f>IFERROR(INDEX(Dataset!$A:$V,MATCH(Calculations!G$210&amp;Calculations!$P247,Dataset!$V:$V,0),MATCH(Calculations!$A$1,Dataset!$A$1:$V$1,0)),"")</f>
        <v>2606.8973854287283</v>
      </c>
      <c r="H247" s="869">
        <f>IFERROR(INDEX(Dataset!$A:$V,MATCH(Calculations!H$210&amp;Calculations!$P247,Dataset!$V:$V,0),MATCH(Calculations!$A$1,Dataset!$A$1:$V$1,0)),"")</f>
        <v>2637.3118343685005</v>
      </c>
      <c r="I247" s="869">
        <f>IFERROR(INDEX(Dataset!$A:$V,MATCH(Calculations!I$210&amp;Calculations!$P247,Dataset!$V:$V,0),MATCH(Calculations!$A$1,Dataset!$A$1:$V$1,0)),"")</f>
        <v>2661.6259989071964</v>
      </c>
      <c r="J247" s="869">
        <f>IFERROR(INDEX(Dataset!$A:$V,MATCH(Calculations!J$210&amp;Calculations!$P247,Dataset!$V:$V,0),MATCH(Calculations!$A$1,Dataset!$A$1:$V$1,0)),"")</f>
        <v>2690.4740201515965</v>
      </c>
      <c r="K247" s="869">
        <f>IFERROR(INDEX(Dataset!$A:$V,MATCH(Calculations!K$210&amp;Calculations!$P247,Dataset!$V:$V,0),MATCH(Calculations!$A$1,Dataset!$A$1:$V$1,0)),"")</f>
        <v>2728.4796420085881</v>
      </c>
      <c r="L247" s="869">
        <f>IFERROR(INDEX(Dataset!$A:$V,MATCH(Calculations!L$210&amp;Calculations!$P247,Dataset!$V:$V,0),MATCH(Calculations!$A$1,Dataset!$A$1:$V$1,0)),"")</f>
        <v>2789.4452125544726</v>
      </c>
      <c r="M247" s="869" t="str">
        <f>IFERROR(INDEX(Dataset!$A:$V,MATCH(Calculations!M$210&amp;Calculations!$P247,Dataset!$V:$V,0),MATCH(Calculations!$A$1,Dataset!$A$1:$V$1,0)),"")</f>
        <v/>
      </c>
      <c r="P247" t="s">
        <v>1064</v>
      </c>
    </row>
    <row r="249" spans="1:24">
      <c r="A249" s="828" t="s">
        <v>1065</v>
      </c>
    </row>
    <row r="250" spans="1:24">
      <c r="A250" s="869"/>
      <c r="B250" s="869"/>
      <c r="C250" s="870" t="s">
        <v>720</v>
      </c>
      <c r="D250" s="870" t="s">
        <v>721</v>
      </c>
      <c r="E250" s="870" t="s">
        <v>722</v>
      </c>
      <c r="F250" s="870" t="s">
        <v>723</v>
      </c>
      <c r="G250" s="870" t="s">
        <v>131</v>
      </c>
      <c r="H250" s="870" t="s">
        <v>132</v>
      </c>
      <c r="I250" s="870" t="s">
        <v>133</v>
      </c>
      <c r="J250" s="870" t="s">
        <v>134</v>
      </c>
      <c r="K250" s="870" t="s">
        <v>135</v>
      </c>
      <c r="L250" s="870" t="s">
        <v>136</v>
      </c>
      <c r="M250" s="870" t="s">
        <v>137</v>
      </c>
      <c r="N250" s="870" t="s">
        <v>138</v>
      </c>
      <c r="O250" s="870" t="s">
        <v>139</v>
      </c>
      <c r="P250" s="870" t="s">
        <v>140</v>
      </c>
      <c r="Q250" s="870" t="s">
        <v>141</v>
      </c>
      <c r="R250" s="870" t="s">
        <v>126</v>
      </c>
      <c r="S250" s="870" t="s">
        <v>142</v>
      </c>
      <c r="T250" s="870" t="s">
        <v>143</v>
      </c>
      <c r="U250" s="870" t="s">
        <v>1006</v>
      </c>
      <c r="V250" s="870" t="s">
        <v>719</v>
      </c>
    </row>
    <row r="251" spans="1:24">
      <c r="A251" s="873" t="s">
        <v>716</v>
      </c>
      <c r="B251" s="869"/>
      <c r="C251" s="869"/>
      <c r="D251" s="869"/>
      <c r="E251" s="869"/>
      <c r="F251" s="869"/>
      <c r="G251" s="869"/>
      <c r="H251" s="869"/>
      <c r="I251" s="869"/>
      <c r="J251" s="869"/>
      <c r="K251" s="869"/>
      <c r="L251" s="869"/>
      <c r="M251" s="869"/>
      <c r="N251" s="869"/>
      <c r="O251" s="869"/>
      <c r="P251" s="869"/>
      <c r="Q251" s="869"/>
      <c r="R251" s="869"/>
      <c r="S251" s="869"/>
      <c r="T251" s="869"/>
      <c r="U251" s="869"/>
      <c r="V251" s="869"/>
    </row>
    <row r="252" spans="1:24">
      <c r="A252" s="869"/>
      <c r="B252" s="869"/>
      <c r="C252" s="869">
        <f>INDEX(Dataset!$A:$V,MATCH(Calculations!C$250&amp;Calculations!$X252,Dataset!$V:$V,0),MATCH(Calculations!$A$1,Dataset!$A$1:$V$1,0))</f>
        <v>322.59234806121492</v>
      </c>
      <c r="D252" s="869">
        <f>INDEX(Dataset!$A:$V,MATCH(Calculations!D$250&amp;Calculations!$X252,Dataset!$V:$V,0),MATCH(Calculations!$A$1,Dataset!$A$1:$V$1,0))</f>
        <v>317.33383336775893</v>
      </c>
      <c r="E252" s="869">
        <f>INDEX(Dataset!$A:$V,MATCH(Calculations!E$250&amp;Calculations!$X252,Dataset!$V:$V,0),MATCH(Calculations!$A$1,Dataset!$A$1:$V$1,0))</f>
        <v>313.1270216129941</v>
      </c>
      <c r="F252" s="869">
        <f>INDEX(Dataset!$A:$V,MATCH(Calculations!F$250&amp;Calculations!$X252,Dataset!$V:$V,0),MATCH(Calculations!$A$1,Dataset!$A$1:$V$1,0))</f>
        <v>309.97191279692044</v>
      </c>
      <c r="G252" s="869">
        <f>INDEX(Dataset!$A:$V,MATCH(Calculations!G$250&amp;Calculations!$X252,Dataset!$V:$V,0),MATCH(Calculations!$A$1,Dataset!$A$1:$V$1,0))</f>
        <v>308.56964221199888</v>
      </c>
      <c r="H252" s="869">
        <f>INDEX(Dataset!$A:$V,MATCH(Calculations!H$250&amp;Calculations!$X252,Dataset!$V:$V,0),MATCH(Calculations!$A$1,Dataset!$A$1:$V$1,0))</f>
        <v>322.09104359703224</v>
      </c>
      <c r="I252" s="869">
        <f>INDEX(Dataset!$A:$V,MATCH(Calculations!I$250&amp;Calculations!$X252,Dataset!$V:$V,0),MATCH(Calculations!$A$1,Dataset!$A$1:$V$1,0))</f>
        <v>331.98174431634141</v>
      </c>
      <c r="J252" s="869">
        <f>INDEX(Dataset!$A:$V,MATCH(Calculations!J$250&amp;Calculations!$X252,Dataset!$V:$V,0),MATCH(Calculations!$A$1,Dataset!$A$1:$V$1,0))</f>
        <v>350.20889556295913</v>
      </c>
      <c r="K252" s="869">
        <f>INDEX(Dataset!$A:$V,MATCH(Calculations!K$250&amp;Calculations!$X252,Dataset!$V:$V,0),MATCH(Calculations!$A$1,Dataset!$A$1:$V$1,0))</f>
        <v>355.54447320681624</v>
      </c>
      <c r="L252" s="869">
        <f>INDEX(Dataset!$A:$V,MATCH(Calculations!L$250&amp;Calculations!$X252,Dataset!$V:$V,0),MATCH(Calculations!$A$1,Dataset!$A$1:$V$1,0))</f>
        <v>359.74196300105166</v>
      </c>
      <c r="M252" s="869">
        <f>INDEX(Dataset!$A:$V,MATCH(Calculations!M$250&amp;Calculations!$X252,Dataset!$V:$V,0),MATCH(Calculations!$A$1,Dataset!$A$1:$V$1,0))</f>
        <v>331.21096045064183</v>
      </c>
      <c r="N252" s="869">
        <f>INDEX(Dataset!$A:$V,MATCH(Calculations!N$250&amp;Calculations!$X252,Dataset!$V:$V,0),MATCH(Calculations!$A$1,Dataset!$A$1:$V$1,0))</f>
        <v>332.3639492706414</v>
      </c>
      <c r="O252" s="869">
        <f>INDEX(Dataset!$A:$V,MATCH(Calculations!O$250&amp;Calculations!$X252,Dataset!$V:$V,0),MATCH(Calculations!$A$1,Dataset!$A$1:$V$1,0))</f>
        <v>321.77650538573533</v>
      </c>
      <c r="P252" s="869">
        <f>INDEX(Dataset!$A:$V,MATCH(Calculations!P$250&amp;Calculations!$X252,Dataset!$V:$V,0),MATCH(Calculations!$A$1,Dataset!$A$1:$V$1,0))</f>
        <v>327.56823781053487</v>
      </c>
      <c r="Q252" s="869">
        <f>INDEX(Dataset!$A:$V,MATCH(Calculations!Q$250&amp;Calculations!$X252,Dataset!$V:$V,0),MATCH(Calculations!$A$1,Dataset!$A$1:$V$1,0))</f>
        <v>336.78272656456994</v>
      </c>
      <c r="R252" s="869">
        <f>INDEX(Dataset!$A:$V,MATCH(Calculations!R$250&amp;Calculations!$X252,Dataset!$V:$V,0),MATCH(Calculations!$A$1,Dataset!$A$1:$V$1,0))</f>
        <v>334.64337806346697</v>
      </c>
      <c r="S252" s="869">
        <f>INDEX(Dataset!$A:$V,MATCH(Calculations!S$250&amp;Calculations!$X252,Dataset!$V:$V,0),MATCH(Calculations!$A$1,Dataset!$A$1:$V$1,0))</f>
        <v>333.71843367110824</v>
      </c>
      <c r="T252" s="869">
        <f>INDEX(Dataset!$A:$V,MATCH(Calculations!T$250&amp;Calculations!$X252,Dataset!$V:$V,0),MATCH(Calculations!$A$1,Dataset!$A$1:$V$1,0))</f>
        <v>339.03842255087659</v>
      </c>
      <c r="U252" s="869"/>
      <c r="V252" s="869"/>
      <c r="X252" t="s">
        <v>1066</v>
      </c>
    </row>
    <row r="253" spans="1:24">
      <c r="A253" s="873" t="s">
        <v>725</v>
      </c>
      <c r="B253" s="869"/>
      <c r="C253" s="869"/>
      <c r="D253" s="869"/>
      <c r="E253" s="869"/>
      <c r="F253" s="869"/>
      <c r="G253" s="869"/>
      <c r="H253" s="869"/>
      <c r="I253" s="869"/>
      <c r="J253" s="869"/>
      <c r="K253" s="869"/>
      <c r="L253" s="869"/>
      <c r="M253" s="869"/>
      <c r="N253" s="869"/>
      <c r="O253" s="869"/>
      <c r="P253" s="869"/>
      <c r="Q253" s="869"/>
      <c r="R253" s="869"/>
      <c r="S253" s="869"/>
      <c r="T253" s="869"/>
      <c r="U253" s="869"/>
      <c r="V253" s="869"/>
    </row>
    <row r="254" spans="1:24">
      <c r="A254" s="869"/>
      <c r="B254" s="869"/>
      <c r="C254" s="869">
        <f>INDEX(Dataset!$A:$V,MATCH(Calculations!C$250&amp;Calculations!$X254,Dataset!$V:$V,0),MATCH(Calculations!$A$1,Dataset!$A$1:$V$1,0))</f>
        <v>240.64098072663103</v>
      </c>
      <c r="D254" s="869">
        <f>INDEX(Dataset!$A:$V,MATCH(Calculations!D$250&amp;Calculations!$X254,Dataset!$V:$V,0),MATCH(Calculations!$A$1,Dataset!$A$1:$V$1,0))</f>
        <v>307.46617458368968</v>
      </c>
      <c r="E254" s="869">
        <f>INDEX(Dataset!$A:$V,MATCH(Calculations!E$250&amp;Calculations!$X254,Dataset!$V:$V,0),MATCH(Calculations!$A$1,Dataset!$A$1:$V$1,0))</f>
        <v>324.28021828593643</v>
      </c>
      <c r="F254" s="869">
        <f>INDEX(Dataset!$A:$V,MATCH(Calculations!F$250&amp;Calculations!$X254,Dataset!$V:$V,0),MATCH(Calculations!$A$1,Dataset!$A$1:$V$1,0))</f>
        <v>363.84807383120335</v>
      </c>
      <c r="G254" s="869">
        <f>INDEX(Dataset!$A:$V,MATCH(Calculations!G$250&amp;Calculations!$X254,Dataset!$V:$V,0),MATCH(Calculations!$A$1,Dataset!$A$1:$V$1,0))</f>
        <v>336.52110934056486</v>
      </c>
      <c r="H254" s="869">
        <f>INDEX(Dataset!$A:$V,MATCH(Calculations!H$250&amp;Calculations!$X254,Dataset!$V:$V,0),MATCH(Calculations!$A$1,Dataset!$A$1:$V$1,0))</f>
        <v>296.46851398095271</v>
      </c>
      <c r="I254" s="869">
        <f>INDEX(Dataset!$A:$V,MATCH(Calculations!I$250&amp;Calculations!$X254,Dataset!$V:$V,0),MATCH(Calculations!$A$1,Dataset!$A$1:$V$1,0))</f>
        <v>361.13851856952539</v>
      </c>
      <c r="J254" s="869">
        <f>INDEX(Dataset!$A:$V,MATCH(Calculations!J$250&amp;Calculations!$X254,Dataset!$V:$V,0),MATCH(Calculations!$A$1,Dataset!$A$1:$V$1,0))</f>
        <v>340.69002240794651</v>
      </c>
      <c r="K254" s="869">
        <f>INDEX(Dataset!$A:$V,MATCH(Calculations!K$250&amp;Calculations!$X254,Dataset!$V:$V,0),MATCH(Calculations!$A$1,Dataset!$A$1:$V$1,0))</f>
        <v>406.21815119351879</v>
      </c>
      <c r="L254" s="869">
        <f>INDEX(Dataset!$A:$V,MATCH(Calculations!L$250&amp;Calculations!$X254,Dataset!$V:$V,0),MATCH(Calculations!$A$1,Dataset!$A$1:$V$1,0))</f>
        <v>403.47392420453224</v>
      </c>
      <c r="M254" s="869">
        <f>INDEX(Dataset!$A:$V,MATCH(Calculations!M$250&amp;Calculations!$X254,Dataset!$V:$V,0),MATCH(Calculations!$A$1,Dataset!$A$1:$V$1,0))</f>
        <v>374.02107204480541</v>
      </c>
      <c r="N254" s="869">
        <f>INDEX(Dataset!$A:$V,MATCH(Calculations!N$250&amp;Calculations!$X254,Dataset!$V:$V,0),MATCH(Calculations!$A$1,Dataset!$A$1:$V$1,0))</f>
        <v>376.6741186179205</v>
      </c>
      <c r="O254" s="869">
        <f>INDEX(Dataset!$A:$V,MATCH(Calculations!O$250&amp;Calculations!$X254,Dataset!$V:$V,0),MATCH(Calculations!$A$1,Dataset!$A$1:$V$1,0))</f>
        <v>318.39139237344847</v>
      </c>
      <c r="P254" s="869">
        <f>INDEX(Dataset!$A:$V,MATCH(Calculations!P$250&amp;Calculations!$X254,Dataset!$V:$V,0),MATCH(Calculations!$A$1,Dataset!$A$1:$V$1,0))</f>
        <v>287.81445035226687</v>
      </c>
      <c r="Q254" s="869">
        <f>INDEX(Dataset!$A:$V,MATCH(Calculations!Q$250&amp;Calculations!$X254,Dataset!$V:$V,0),MATCH(Calculations!$A$1,Dataset!$A$1:$V$1,0))</f>
        <v>287.89198339516162</v>
      </c>
      <c r="R254" s="869">
        <f>INDEX(Dataset!$A:$V,MATCH(Calculations!R$250&amp;Calculations!$X254,Dataset!$V:$V,0),MATCH(Calculations!$A$1,Dataset!$A$1:$V$1,0))</f>
        <v>334.58968982767607</v>
      </c>
      <c r="S254" s="869">
        <f>INDEX(Dataset!$A:$V,MATCH(Calculations!S$250&amp;Calculations!$X254,Dataset!$V:$V,0),MATCH(Calculations!$A$1,Dataset!$A$1:$V$1,0))</f>
        <v>349.4748775023474</v>
      </c>
      <c r="T254" s="869">
        <f>INDEX(Dataset!$A:$V,MATCH(Calculations!T$250&amp;Calculations!$X254,Dataset!$V:$V,0),MATCH(Calculations!$A$1,Dataset!$A$1:$V$1,0))</f>
        <v>347.26968230662237</v>
      </c>
      <c r="U254" s="869"/>
      <c r="V254" s="869"/>
      <c r="X254" t="s">
        <v>1067</v>
      </c>
    </row>
    <row r="255" spans="1:24">
      <c r="A255" s="873" t="s">
        <v>727</v>
      </c>
      <c r="B255" s="869"/>
      <c r="C255" s="869"/>
      <c r="D255" s="869"/>
      <c r="E255" s="869"/>
      <c r="F255" s="869"/>
      <c r="G255" s="869"/>
      <c r="H255" s="869"/>
      <c r="I255" s="869"/>
      <c r="J255" s="869"/>
      <c r="K255" s="869"/>
      <c r="L255" s="869"/>
      <c r="M255" s="869"/>
      <c r="N255" s="869"/>
      <c r="O255" s="869"/>
      <c r="P255" s="869"/>
      <c r="Q255" s="869"/>
      <c r="R255" s="869"/>
      <c r="S255" s="869"/>
      <c r="T255" s="869"/>
      <c r="U255" s="869"/>
      <c r="V255" s="869"/>
    </row>
    <row r="256" spans="1:24">
      <c r="A256" s="869" t="s">
        <v>1068</v>
      </c>
      <c r="B256" s="869"/>
      <c r="C256" s="869"/>
      <c r="D256" s="869"/>
      <c r="E256" s="869"/>
      <c r="F256" s="869"/>
      <c r="G256" s="869"/>
      <c r="H256" s="869"/>
      <c r="I256" s="869"/>
      <c r="J256" s="869"/>
      <c r="K256" s="869"/>
      <c r="L256" s="869"/>
      <c r="M256" s="869"/>
      <c r="N256" s="869"/>
      <c r="O256" s="869"/>
      <c r="P256" s="869"/>
      <c r="Q256" s="869"/>
      <c r="R256" s="869"/>
      <c r="S256" s="869"/>
      <c r="T256" s="869"/>
      <c r="U256" s="869">
        <f>INDEX(Dataset!$A:$V,MATCH(Calculations!U$250&amp;Calculations!$X256,Dataset!$V:$V,0),MATCH(Calculations!$A$1,Dataset!$A$1:$V$1,0))</f>
        <v>2318.0641912166984</v>
      </c>
      <c r="V256" s="869"/>
      <c r="X256" t="s">
        <v>1069</v>
      </c>
    </row>
    <row r="257" spans="1:24">
      <c r="A257" s="869" t="s">
        <v>1070</v>
      </c>
      <c r="B257" s="869"/>
      <c r="C257" s="869"/>
      <c r="D257" s="869"/>
      <c r="E257" s="869"/>
      <c r="F257" s="869"/>
      <c r="G257" s="869"/>
      <c r="H257" s="869"/>
      <c r="I257" s="869"/>
      <c r="J257" s="869"/>
      <c r="K257" s="869"/>
      <c r="L257" s="869"/>
      <c r="M257" s="869"/>
      <c r="N257" s="869"/>
      <c r="O257" s="869"/>
      <c r="P257" s="869"/>
      <c r="Q257" s="869"/>
      <c r="R257" s="869"/>
      <c r="S257" s="869"/>
      <c r="T257" s="869"/>
      <c r="U257" s="869">
        <f>INDEX(Dataset!$A:$V,MATCH(Calculations!U$250&amp;Calculations!$X257,Dataset!$V:$V,0),MATCH(Calculations!$A$1,Dataset!$A$1:$V$1,0))</f>
        <v>2328.8575841136262</v>
      </c>
      <c r="V257" s="869"/>
      <c r="X257" t="s">
        <v>1071</v>
      </c>
    </row>
    <row r="258" spans="1:24">
      <c r="A258" s="869" t="s">
        <v>1072</v>
      </c>
      <c r="B258" s="869"/>
      <c r="C258" s="869"/>
      <c r="D258" s="869"/>
      <c r="E258" s="869"/>
      <c r="F258" s="869"/>
      <c r="G258" s="869"/>
      <c r="H258" s="869"/>
      <c r="I258" s="869"/>
      <c r="J258" s="869"/>
      <c r="K258" s="869"/>
      <c r="L258" s="869"/>
      <c r="M258" s="869"/>
      <c r="N258" s="869"/>
      <c r="O258" s="869"/>
      <c r="P258" s="869"/>
      <c r="Q258" s="869"/>
      <c r="R258" s="869"/>
      <c r="S258" s="869"/>
      <c r="T258" s="869"/>
      <c r="U258" s="869">
        <f>INDEX(Dataset!$A:$V,MATCH(Calculations!U$250&amp;Calculations!$X258,Dataset!$V:$V,0),MATCH(Calculations!$A$1,Dataset!$A$1:$V$1,0))</f>
        <v>10.793392896927799</v>
      </c>
      <c r="V258" s="869"/>
      <c r="X258" t="s">
        <v>1073</v>
      </c>
    </row>
    <row r="259" spans="1:24">
      <c r="A259" s="869" t="s">
        <v>1074</v>
      </c>
      <c r="B259" s="869"/>
      <c r="C259" s="869"/>
      <c r="D259" s="869"/>
      <c r="E259" s="869"/>
      <c r="F259" s="869"/>
      <c r="G259" s="869"/>
      <c r="H259" s="869"/>
      <c r="I259" s="869"/>
      <c r="J259" s="869"/>
      <c r="K259" s="869"/>
      <c r="L259" s="869"/>
      <c r="M259" s="869"/>
      <c r="N259" s="869"/>
      <c r="O259" s="869"/>
      <c r="P259" s="869"/>
      <c r="Q259" s="869"/>
      <c r="R259" s="869"/>
      <c r="S259" s="869"/>
      <c r="T259" s="869"/>
      <c r="U259" s="871">
        <f>INDEX(Dataset!$A:$V,MATCH(Calculations!U$250&amp;Calculations!$X259,Dataset!$V:$V,0),MATCH(Calculations!$A$1,Dataset!$A$1:$V$1,0))</f>
        <v>4.6562096674564457E-3</v>
      </c>
      <c r="V259" s="869"/>
      <c r="X259" t="s">
        <v>1075</v>
      </c>
    </row>
    <row r="260" spans="1:24">
      <c r="A260" s="869" t="s">
        <v>1076</v>
      </c>
      <c r="B260" s="869"/>
      <c r="C260" s="869"/>
      <c r="D260" s="869"/>
      <c r="E260" s="869"/>
      <c r="F260" s="869"/>
      <c r="G260" s="869"/>
      <c r="H260" s="869"/>
      <c r="I260" s="869"/>
      <c r="J260" s="869"/>
      <c r="K260" s="869"/>
      <c r="L260" s="869"/>
      <c r="M260" s="869"/>
      <c r="N260" s="869"/>
      <c r="O260" s="869"/>
      <c r="P260" s="869"/>
      <c r="Q260" s="869"/>
      <c r="R260" s="869"/>
      <c r="S260" s="869"/>
      <c r="T260" s="869"/>
      <c r="U260" s="869"/>
      <c r="V260" s="869">
        <f>INDEX(Dataset!$A:$V,MATCH(Calculations!V$250&amp;Calculations!$X260,Dataset!$V:$V,0),MATCH(Calculations!$A$1,Dataset!$A$1:$V$1,0))</f>
        <v>2657.1026137675749</v>
      </c>
      <c r="X260" t="s">
        <v>1069</v>
      </c>
    </row>
    <row r="261" spans="1:24">
      <c r="A261" s="869" t="s">
        <v>1077</v>
      </c>
      <c r="B261" s="869"/>
      <c r="C261" s="869"/>
      <c r="D261" s="869"/>
      <c r="E261" s="869"/>
      <c r="F261" s="869"/>
      <c r="G261" s="869"/>
      <c r="H261" s="869"/>
      <c r="I261" s="869"/>
      <c r="J261" s="869"/>
      <c r="K261" s="869"/>
      <c r="L261" s="869"/>
      <c r="M261" s="869"/>
      <c r="N261" s="869"/>
      <c r="O261" s="869"/>
      <c r="P261" s="869"/>
      <c r="Q261" s="869"/>
      <c r="R261" s="869"/>
      <c r="S261" s="869"/>
      <c r="T261" s="869"/>
      <c r="U261" s="869"/>
      <c r="V261" s="869">
        <f>INDEX(Dataset!$A:$V,MATCH(Calculations!V$250&amp;Calculations!$X261,Dataset!$V:$V,0),MATCH(Calculations!$A$1,Dataset!$A$1:$V$1,0))</f>
        <v>2676.1272664202488</v>
      </c>
      <c r="X261" t="s">
        <v>1071</v>
      </c>
    </row>
    <row r="262" spans="1:24">
      <c r="A262" s="869" t="s">
        <v>1078</v>
      </c>
      <c r="B262" s="869"/>
      <c r="C262" s="869"/>
      <c r="D262" s="869"/>
      <c r="E262" s="869"/>
      <c r="F262" s="869"/>
      <c r="G262" s="869"/>
      <c r="H262" s="869"/>
      <c r="I262" s="869"/>
      <c r="J262" s="869"/>
      <c r="K262" s="869"/>
      <c r="L262" s="869"/>
      <c r="M262" s="869"/>
      <c r="N262" s="869"/>
      <c r="O262" s="869"/>
      <c r="P262" s="869"/>
      <c r="Q262" s="869"/>
      <c r="R262" s="869"/>
      <c r="S262" s="869"/>
      <c r="T262" s="869"/>
      <c r="U262" s="869"/>
      <c r="V262" s="869">
        <f>INDEX(Dataset!$A:$V,MATCH(Calculations!V$250&amp;Calculations!$X262,Dataset!$V:$V,0),MATCH(Calculations!$A$1,Dataset!$A$1:$V$1,0))</f>
        <v>19.024652652673922</v>
      </c>
      <c r="X262" t="s">
        <v>1073</v>
      </c>
    </row>
    <row r="263" spans="1:24">
      <c r="A263" s="869" t="s">
        <v>1079</v>
      </c>
      <c r="B263" s="869"/>
      <c r="C263" s="869"/>
      <c r="D263" s="869"/>
      <c r="E263" s="869"/>
      <c r="F263" s="869"/>
      <c r="G263" s="869"/>
      <c r="H263" s="869"/>
      <c r="I263" s="869"/>
      <c r="J263" s="869"/>
      <c r="K263" s="869"/>
      <c r="L263" s="869"/>
      <c r="M263" s="869"/>
      <c r="N263" s="869"/>
      <c r="O263" s="869"/>
      <c r="P263" s="869"/>
      <c r="Q263" s="869"/>
      <c r="R263" s="869"/>
      <c r="S263" s="869"/>
      <c r="T263" s="869"/>
      <c r="U263" s="869"/>
      <c r="V263" s="871">
        <f>INDEX(Dataset!$A:$V,MATCH(Calculations!V$250&amp;Calculations!$X263,Dataset!$V:$V,0),MATCH(Calculations!$A$1,Dataset!$A$1:$V$1,0))</f>
        <v>7.1599239540464611E-3</v>
      </c>
      <c r="X263" t="s">
        <v>1075</v>
      </c>
    </row>
    <row r="265" spans="1:24">
      <c r="A265" s="828" t="s">
        <v>682</v>
      </c>
    </row>
    <row r="266" spans="1:24">
      <c r="A266" s="869" t="s">
        <v>1080</v>
      </c>
      <c r="B266" s="869"/>
      <c r="C266" s="869"/>
      <c r="D266" s="869"/>
      <c r="E266" s="869"/>
      <c r="F266" s="869"/>
      <c r="G266" s="869"/>
      <c r="H266" s="869"/>
      <c r="I266" s="869"/>
      <c r="J266" s="869"/>
      <c r="K266" s="869"/>
      <c r="L266" s="869"/>
      <c r="M266" s="869">
        <f>IFERROR(INDEX(Dataset!$A:$V,MATCH(Calculations!M$250&amp;Calculations!$X266,Dataset!$V:$V,0),MATCH(Calculations!$A$1,Dataset!$A$1:$V$1,0)),"")</f>
        <v>30.155882005311611</v>
      </c>
      <c r="N266" s="869">
        <f>IFERROR(INDEX(Dataset!$A:$V,MATCH(Calculations!N$250&amp;Calculations!$X266,Dataset!$V:$V,0),MATCH(Calculations!$A$1,Dataset!$A$1:$V$1,0)),"")</f>
        <v>31.276003808205296</v>
      </c>
      <c r="O266" s="869">
        <f>IFERROR(INDEX(Dataset!$A:$V,MATCH(Calculations!O$250&amp;Calculations!$X266,Dataset!$V:$V,0),MATCH(Calculations!$A$1,Dataset!$A$1:$V$1,0)),"")</f>
        <v>29.785853574324811</v>
      </c>
      <c r="P266" s="869">
        <f>IFERROR(INDEX(Dataset!$A:$V,MATCH(Calculations!P$250&amp;Calculations!$X266,Dataset!$V:$V,0),MATCH(Calculations!$A$1,Dataset!$A$1:$V$1,0)),"")</f>
        <v>35.362717761892775</v>
      </c>
      <c r="Q266" s="869">
        <f>IFERROR(INDEX(Dataset!$A:$V,MATCH(Calculations!Q$250&amp;Calculations!$X266,Dataset!$V:$V,0),MATCH(Calculations!$A$1,Dataset!$A$1:$V$1,0)),"")</f>
        <v>38.320863016977597</v>
      </c>
      <c r="R266" s="869">
        <f>IFERROR(INDEX(Dataset!$A:$V,MATCH(Calculations!R$250&amp;Calculations!$X266,Dataset!$V:$V,0),MATCH(Calculations!$A$1,Dataset!$A$1:$V$1,0)),"")</f>
        <v>34.611003320287111</v>
      </c>
      <c r="S266" s="869">
        <f>IFERROR(INDEX(Dataset!$A:$V,MATCH(Calculations!S$250&amp;Calculations!$X266,Dataset!$V:$V,0),MATCH(Calculations!$A$1,Dataset!$A$1:$V$1,0)),"")</f>
        <v>39.543791261602891</v>
      </c>
      <c r="T266" s="869">
        <f>IFERROR(INDEX(Dataset!$A:$V,MATCH(Calculations!T$250&amp;Calculations!$X266,Dataset!$V:$V,0),MATCH(Calculations!$A$1,Dataset!$A$1:$V$1,0)),"")</f>
        <v>44.836324036815199</v>
      </c>
      <c r="X266" t="s">
        <v>1081</v>
      </c>
    </row>
    <row r="267" spans="1:24">
      <c r="A267" s="869" t="s">
        <v>1082</v>
      </c>
      <c r="B267" s="869"/>
      <c r="C267" s="869"/>
      <c r="D267" s="869"/>
      <c r="E267" s="869"/>
      <c r="F267" s="869"/>
      <c r="G267" s="869"/>
      <c r="H267" s="869"/>
      <c r="I267" s="869"/>
      <c r="J267" s="869"/>
      <c r="K267" s="869"/>
      <c r="L267" s="869"/>
      <c r="M267" s="869">
        <f>IFERROR(INDEX(Dataset!$A:$V,MATCH(Calculations!M$250&amp;Calculations!$X267,Dataset!$V:$V,0),MATCH(Calculations!$A$1,Dataset!$A$1:$V$1,0)),"")</f>
        <v>30.155882005311611</v>
      </c>
      <c r="N267" s="869">
        <f>IFERROR(INDEX(Dataset!$A:$V,MATCH(Calculations!N$250&amp;Calculations!$X267,Dataset!$V:$V,0),MATCH(Calculations!$A$1,Dataset!$A$1:$V$1,0)),"")</f>
        <v>31.276003808205296</v>
      </c>
      <c r="O267" s="869">
        <f>IFERROR(INDEX(Dataset!$A:$V,MATCH(Calculations!O$250&amp;Calculations!$X267,Dataset!$V:$V,0),MATCH(Calculations!$A$1,Dataset!$A$1:$V$1,0)),"")</f>
        <v>29.785853574324811</v>
      </c>
      <c r="P267" s="869">
        <f>IFERROR(INDEX(Dataset!$A:$V,MATCH(Calculations!P$250&amp;Calculations!$X267,Dataset!$V:$V,0),MATCH(Calculations!$A$1,Dataset!$A$1:$V$1,0)),"")</f>
        <v>35.362717761892775</v>
      </c>
      <c r="Q267" s="869">
        <f>IFERROR(INDEX(Dataset!$A:$V,MATCH(Calculations!Q$250&amp;Calculations!$X267,Dataset!$V:$V,0),MATCH(Calculations!$A$1,Dataset!$A$1:$V$1,0)),"")</f>
        <v>38.320863016977597</v>
      </c>
      <c r="R267" s="869">
        <f>IFERROR(INDEX(Dataset!$A:$V,MATCH(Calculations!R$250&amp;Calculations!$X267,Dataset!$V:$V,0),MATCH(Calculations!$A$1,Dataset!$A$1:$V$1,0)),"")</f>
        <v>34.611003320287111</v>
      </c>
      <c r="S267" s="869">
        <f>IFERROR(INDEX(Dataset!$A:$V,MATCH(Calculations!S$250&amp;Calculations!$X267,Dataset!$V:$V,0),MATCH(Calculations!$A$1,Dataset!$A$1:$V$1,0)),"")</f>
        <v>39.543791261602891</v>
      </c>
      <c r="T267" s="869">
        <f>IFERROR(INDEX(Dataset!$A:$V,MATCH(Calculations!T$250&amp;Calculations!$X267,Dataset!$V:$V,0),MATCH(Calculations!$A$1,Dataset!$A$1:$V$1,0)),"")</f>
        <v>44.836324036815199</v>
      </c>
      <c r="X267" t="s">
        <v>1083</v>
      </c>
    </row>
    <row r="268" spans="1:24">
      <c r="A268" s="869" t="s">
        <v>1084</v>
      </c>
      <c r="B268" s="869"/>
      <c r="C268" s="869"/>
      <c r="D268" s="869"/>
      <c r="E268" s="869"/>
      <c r="F268" s="869"/>
      <c r="G268" s="869"/>
      <c r="H268" s="869"/>
      <c r="I268" s="869"/>
      <c r="J268" s="869"/>
      <c r="K268" s="869"/>
      <c r="L268" s="869"/>
      <c r="M268" s="869">
        <f>IFERROR(INDEX(Dataset!$A:$V,MATCH(Calculations!M$250&amp;Calculations!$X268,Dataset!$V:$V,0),MATCH(Calculations!$A$1,Dataset!$A$1:$V$1,0)),"")</f>
        <v>41.044363597537711</v>
      </c>
      <c r="N268" s="869">
        <f>IFERROR(INDEX(Dataset!$A:$V,MATCH(Calculations!N$250&amp;Calculations!$X268,Dataset!$V:$V,0),MATCH(Calculations!$A$1,Dataset!$A$1:$V$1,0)),"")</f>
        <v>21.481705225063401</v>
      </c>
      <c r="O268" s="869">
        <f>IFERROR(INDEX(Dataset!$A:$V,MATCH(Calculations!O$250&amp;Calculations!$X268,Dataset!$V:$V,0),MATCH(Calculations!$A$1,Dataset!$A$1:$V$1,0)),"")</f>
        <v>19.889537005834679</v>
      </c>
      <c r="P268" s="869">
        <f>IFERROR(INDEX(Dataset!$A:$V,MATCH(Calculations!P$250&amp;Calculations!$X268,Dataset!$V:$V,0),MATCH(Calculations!$A$1,Dataset!$A$1:$V$1,0)),"")</f>
        <v>12.862554835726488</v>
      </c>
      <c r="Q268" s="869">
        <f>IFERROR(INDEX(Dataset!$A:$V,MATCH(Calculations!Q$250&amp;Calculations!$X268,Dataset!$V:$V,0),MATCH(Calculations!$A$1,Dataset!$A$1:$V$1,0)),"")</f>
        <v>13.594761759140113</v>
      </c>
      <c r="R268" s="869">
        <f>IFERROR(INDEX(Dataset!$A:$V,MATCH(Calculations!R$250&amp;Calculations!$X268,Dataset!$V:$V,0),MATCH(Calculations!$A$1,Dataset!$A$1:$V$1,0)),"")</f>
        <v>43.449369196197992</v>
      </c>
      <c r="S268" s="869">
        <f>IFERROR(INDEX(Dataset!$A:$V,MATCH(Calculations!S$250&amp;Calculations!$X268,Dataset!$V:$V,0),MATCH(Calculations!$A$1,Dataset!$A$1:$V$1,0)),"")</f>
        <v>64.671000000000006</v>
      </c>
      <c r="T268" s="869" t="str">
        <f>IFERROR(INDEX(Dataset!$A:$V,MATCH(Calculations!T$250&amp;Calculations!$X268,Dataset!$V:$V,0),MATCH(Calculations!$A$1,Dataset!$A$1:$V$1,0)),"")</f>
        <v/>
      </c>
      <c r="X268" t="s">
        <v>1085</v>
      </c>
    </row>
    <row r="269" spans="1:24">
      <c r="A269" s="869" t="s">
        <v>1086</v>
      </c>
      <c r="B269" s="869"/>
      <c r="C269" s="869"/>
      <c r="D269" s="869"/>
      <c r="E269" s="869"/>
      <c r="F269" s="869"/>
      <c r="G269" s="869"/>
      <c r="H269" s="869"/>
      <c r="I269" s="869"/>
      <c r="J269" s="869"/>
      <c r="K269" s="869"/>
      <c r="L269" s="869"/>
      <c r="M269" s="869">
        <f>IFERROR(INDEX(Dataset!$A:$V,MATCH(Calculations!M$250&amp;Calculations!$X269,Dataset!$V:$V,0),MATCH(Calculations!$A$1,Dataset!$A$1:$V$1,0)),"")</f>
        <v>10.8884815922261</v>
      </c>
      <c r="N269" s="869">
        <f>IFERROR(INDEX(Dataset!$A:$V,MATCH(Calculations!N$250&amp;Calculations!$X269,Dataset!$V:$V,0),MATCH(Calculations!$A$1,Dataset!$A$1:$V$1,0)),"")</f>
        <v>-9.7942985831418952</v>
      </c>
      <c r="O269" s="869">
        <f>IFERROR(INDEX(Dataset!$A:$V,MATCH(Calculations!O$250&amp;Calculations!$X269,Dataset!$V:$V,0),MATCH(Calculations!$A$1,Dataset!$A$1:$V$1,0)),"")</f>
        <v>-9.896316568490132</v>
      </c>
      <c r="P269" s="869">
        <f>IFERROR(INDEX(Dataset!$A:$V,MATCH(Calculations!P$250&amp;Calculations!$X269,Dataset!$V:$V,0),MATCH(Calculations!$A$1,Dataset!$A$1:$V$1,0)),"")</f>
        <v>-22.500162926166286</v>
      </c>
      <c r="Q269" s="869">
        <f>IFERROR(INDEX(Dataset!$A:$V,MATCH(Calculations!Q$250&amp;Calculations!$X269,Dataset!$V:$V,0),MATCH(Calculations!$A$1,Dataset!$A$1:$V$1,0)),"")</f>
        <v>-24.726101257837485</v>
      </c>
      <c r="R269" s="869">
        <f>IFERROR(INDEX(Dataset!$A:$V,MATCH(Calculations!R$250&amp;Calculations!$X269,Dataset!$V:$V,0),MATCH(Calculations!$A$1,Dataset!$A$1:$V$1,0)),"")</f>
        <v>8.8383658759108812</v>
      </c>
      <c r="S269" s="869">
        <f>IFERROR(INDEX(Dataset!$A:$V,MATCH(Calculations!S$250&amp;Calculations!$X269,Dataset!$V:$V,0),MATCH(Calculations!$A$1,Dataset!$A$1:$V$1,0)),"")</f>
        <v>25.127208738397115</v>
      </c>
      <c r="T269" s="869" t="str">
        <f>IFERROR(INDEX(Dataset!$A:$V,MATCH(Calculations!T$250&amp;Calculations!$X269,Dataset!$V:$V,0),MATCH(Calculations!$A$1,Dataset!$A$1:$V$1,0)),"")</f>
        <v/>
      </c>
      <c r="X269" t="s">
        <v>1087</v>
      </c>
    </row>
    <row r="270" spans="1:24">
      <c r="A270" s="869" t="s">
        <v>1088</v>
      </c>
      <c r="B270" s="869"/>
      <c r="C270" s="869"/>
      <c r="D270" s="869"/>
      <c r="E270" s="869"/>
      <c r="F270" s="869"/>
      <c r="G270" s="869"/>
      <c r="H270" s="869"/>
      <c r="I270" s="869"/>
      <c r="J270" s="869"/>
      <c r="K270" s="869"/>
      <c r="L270" s="869"/>
      <c r="M270" s="871">
        <f>IFERROR(INDEX(Dataset!$A:$V,MATCH(Calculations!M$250&amp;Calculations!$X270,Dataset!$V:$V,0),MATCH(Calculations!$A$1,Dataset!$A$1:$V$1,0)),"")</f>
        <v>0.36107322579084966</v>
      </c>
      <c r="N270" s="871">
        <f>IFERROR(INDEX(Dataset!$A:$V,MATCH(Calculations!N$250&amp;Calculations!$X270,Dataset!$V:$V,0),MATCH(Calculations!$A$1,Dataset!$A$1:$V$1,0)),"")</f>
        <v>-0.31315696989947128</v>
      </c>
      <c r="O270" s="871">
        <f>IFERROR(INDEX(Dataset!$A:$V,MATCH(Calculations!O$250&amp;Calculations!$X270,Dataset!$V:$V,0),MATCH(Calculations!$A$1,Dataset!$A$1:$V$1,0)),"")</f>
        <v>-0.33224888263805491</v>
      </c>
      <c r="P270" s="871">
        <f>IFERROR(INDEX(Dataset!$A:$V,MATCH(Calculations!P$250&amp;Calculations!$X270,Dataset!$V:$V,0),MATCH(Calculations!$A$1,Dataset!$A$1:$V$1,0)),"")</f>
        <v>-0.63626792142126276</v>
      </c>
      <c r="Q270" s="871">
        <f>IFERROR(INDEX(Dataset!$A:$V,MATCH(Calculations!Q$250&amp;Calculations!$X270,Dataset!$V:$V,0),MATCH(Calculations!$A$1,Dataset!$A$1:$V$1,0)),"")</f>
        <v>-0.64523863272293436</v>
      </c>
      <c r="R270" s="871">
        <f>IFERROR(INDEX(Dataset!$A:$V,MATCH(Calculations!R$250&amp;Calculations!$X270,Dataset!$V:$V,0),MATCH(Calculations!$A$1,Dataset!$A$1:$V$1,0)),"")</f>
        <v>0.25536289122050115</v>
      </c>
      <c r="S270" s="871">
        <f>IFERROR(INDEX(Dataset!$A:$V,MATCH(Calculations!S$250&amp;Calculations!$X270,Dataset!$V:$V,0),MATCH(Calculations!$A$1,Dataset!$A$1:$V$1,0)),"")</f>
        <v>0.63542740685048305</v>
      </c>
      <c r="T270" s="871" t="str">
        <f>IFERROR(INDEX(Dataset!$A:$V,MATCH(Calculations!T$250&amp;Calculations!$X270,Dataset!$V:$V,0),MATCH(Calculations!$A$1,Dataset!$A$1:$V$1,0)),"")</f>
        <v/>
      </c>
      <c r="X270" t="s">
        <v>1089</v>
      </c>
    </row>
    <row r="272" spans="1:24">
      <c r="A272" s="828" t="s">
        <v>51</v>
      </c>
    </row>
    <row r="273" spans="1:24">
      <c r="A273" s="869" t="s">
        <v>1080</v>
      </c>
      <c r="B273" s="869"/>
      <c r="C273" s="869"/>
      <c r="D273" s="869"/>
      <c r="E273" s="869"/>
      <c r="F273" s="869"/>
      <c r="G273" s="869"/>
      <c r="H273" s="869"/>
      <c r="I273" s="869"/>
      <c r="J273" s="869"/>
      <c r="K273" s="869"/>
      <c r="L273" s="869"/>
      <c r="M273" s="869">
        <f>IFERROR(INDEX(Dataset!$A:$V,MATCH(Calculations!M$250&amp;Calculations!$X273,Dataset!$V:$V,0),MATCH(Calculations!$A$1,Dataset!$A$1:$V$1,0)),"")</f>
        <v>88.53651592238873</v>
      </c>
      <c r="N273" s="869">
        <f>IFERROR(INDEX(Dataset!$A:$V,MATCH(Calculations!N$250&amp;Calculations!$X273,Dataset!$V:$V,0),MATCH(Calculations!$A$1,Dataset!$A$1:$V$1,0)),"")</f>
        <v>90.261965990586589</v>
      </c>
      <c r="O273" s="869">
        <f>IFERROR(INDEX(Dataset!$A:$V,MATCH(Calculations!O$250&amp;Calculations!$X273,Dataset!$V:$V,0),MATCH(Calculations!$A$1,Dataset!$A$1:$V$1,0)),"")</f>
        <v>85.506687429093489</v>
      </c>
      <c r="P273" s="869">
        <f>IFERROR(INDEX(Dataset!$A:$V,MATCH(Calculations!P$250&amp;Calculations!$X273,Dataset!$V:$V,0),MATCH(Calculations!$A$1,Dataset!$A$1:$V$1,0)),"")</f>
        <v>86.926786170508677</v>
      </c>
      <c r="Q273" s="869">
        <f>IFERROR(INDEX(Dataset!$A:$V,MATCH(Calculations!Q$250&amp;Calculations!$X273,Dataset!$V:$V,0),MATCH(Calculations!$A$1,Dataset!$A$1:$V$1,0)),"")</f>
        <v>87.360411827867935</v>
      </c>
      <c r="R273" s="869">
        <f>IFERROR(INDEX(Dataset!$A:$V,MATCH(Calculations!R$250&amp;Calculations!$X273,Dataset!$V:$V,0),MATCH(Calculations!$A$1,Dataset!$A$1:$V$1,0)),"")</f>
        <v>88.022352213140493</v>
      </c>
      <c r="S273" s="869">
        <f>IFERROR(INDEX(Dataset!$A:$V,MATCH(Calculations!S$250&amp;Calculations!$X273,Dataset!$V:$V,0),MATCH(Calculations!$A$1,Dataset!$A$1:$V$1,0)),"")</f>
        <v>88.748942101539797</v>
      </c>
      <c r="T273" s="869">
        <f>IFERROR(INDEX(Dataset!$A:$V,MATCH(Calculations!T$250&amp;Calculations!$X273,Dataset!$V:$V,0),MATCH(Calculations!$A$1,Dataset!$A$1:$V$1,0)),"")</f>
        <v>88.8696819583447</v>
      </c>
      <c r="X273" t="s">
        <v>1090</v>
      </c>
    </row>
    <row r="274" spans="1:24">
      <c r="A274" s="869" t="s">
        <v>1082</v>
      </c>
      <c r="B274" s="869"/>
      <c r="C274" s="869"/>
      <c r="D274" s="869"/>
      <c r="E274" s="869"/>
      <c r="F274" s="869"/>
      <c r="G274" s="869"/>
      <c r="H274" s="869"/>
      <c r="I274" s="869"/>
      <c r="J274" s="869"/>
      <c r="K274" s="869"/>
      <c r="L274" s="869"/>
      <c r="M274" s="869">
        <f>IFERROR(INDEX(Dataset!$A:$V,MATCH(Calculations!M$250&amp;Calculations!$X274,Dataset!$V:$V,0),MATCH(Calculations!$A$1,Dataset!$A$1:$V$1,0)),"")</f>
        <v>88.53651592238873</v>
      </c>
      <c r="N274" s="869">
        <f>IFERROR(INDEX(Dataset!$A:$V,MATCH(Calculations!N$250&amp;Calculations!$X274,Dataset!$V:$V,0),MATCH(Calculations!$A$1,Dataset!$A$1:$V$1,0)),"")</f>
        <v>90.261965990586589</v>
      </c>
      <c r="O274" s="869">
        <f>IFERROR(INDEX(Dataset!$A:$V,MATCH(Calculations!O$250&amp;Calculations!$X274,Dataset!$V:$V,0),MATCH(Calculations!$A$1,Dataset!$A$1:$V$1,0)),"")</f>
        <v>85.506687429093489</v>
      </c>
      <c r="P274" s="869">
        <f>IFERROR(INDEX(Dataset!$A:$V,MATCH(Calculations!P$250&amp;Calculations!$X274,Dataset!$V:$V,0),MATCH(Calculations!$A$1,Dataset!$A$1:$V$1,0)),"")</f>
        <v>86.926786170508677</v>
      </c>
      <c r="Q274" s="869">
        <f>IFERROR(INDEX(Dataset!$A:$V,MATCH(Calculations!Q$250&amp;Calculations!$X274,Dataset!$V:$V,0),MATCH(Calculations!$A$1,Dataset!$A$1:$V$1,0)),"")</f>
        <v>87.360411827867935</v>
      </c>
      <c r="R274" s="869">
        <f>IFERROR(INDEX(Dataset!$A:$V,MATCH(Calculations!R$250&amp;Calculations!$X274,Dataset!$V:$V,0),MATCH(Calculations!$A$1,Dataset!$A$1:$V$1,0)),"")</f>
        <v>88.022352213140493</v>
      </c>
      <c r="S274" s="869">
        <f>IFERROR(INDEX(Dataset!$A:$V,MATCH(Calculations!S$250&amp;Calculations!$X274,Dataset!$V:$V,0),MATCH(Calculations!$A$1,Dataset!$A$1:$V$1,0)),"")</f>
        <v>88.748942101539797</v>
      </c>
      <c r="T274" s="869">
        <f>IFERROR(INDEX(Dataset!$A:$V,MATCH(Calculations!T$250&amp;Calculations!$X274,Dataset!$V:$V,0),MATCH(Calculations!$A$1,Dataset!$A$1:$V$1,0)),"")</f>
        <v>88.8696819583447</v>
      </c>
      <c r="X274" t="s">
        <v>1091</v>
      </c>
    </row>
    <row r="275" spans="1:24">
      <c r="A275" s="869" t="s">
        <v>1084</v>
      </c>
      <c r="B275" s="869"/>
      <c r="C275" s="869"/>
      <c r="D275" s="869"/>
      <c r="E275" s="869"/>
      <c r="F275" s="869"/>
      <c r="G275" s="869"/>
      <c r="H275" s="869"/>
      <c r="I275" s="869"/>
      <c r="J275" s="869"/>
      <c r="K275" s="869"/>
      <c r="L275" s="869"/>
      <c r="M275" s="869">
        <f>IFERROR(INDEX(Dataset!$A:$V,MATCH(Calculations!M$250&amp;Calculations!$X275,Dataset!$V:$V,0),MATCH(Calculations!$A$1,Dataset!$A$1:$V$1,0)),"")</f>
        <v>86.190956700959404</v>
      </c>
      <c r="N275" s="869">
        <f>IFERROR(INDEX(Dataset!$A:$V,MATCH(Calculations!N$250&amp;Calculations!$X275,Dataset!$V:$V,0),MATCH(Calculations!$A$1,Dataset!$A$1:$V$1,0)),"")</f>
        <v>93.360903490671404</v>
      </c>
      <c r="O275" s="869">
        <f>IFERROR(INDEX(Dataset!$A:$V,MATCH(Calculations!O$250&amp;Calculations!$X275,Dataset!$V:$V,0),MATCH(Calculations!$A$1,Dataset!$A$1:$V$1,0)),"")</f>
        <v>77.454242387998903</v>
      </c>
      <c r="P275" s="869">
        <f>IFERROR(INDEX(Dataset!$A:$V,MATCH(Calculations!P$250&amp;Calculations!$X275,Dataset!$V:$V,0),MATCH(Calculations!$A$1,Dataset!$A$1:$V$1,0)),"")</f>
        <v>55.246064020077085</v>
      </c>
      <c r="Q275" s="869">
        <f>IFERROR(INDEX(Dataset!$A:$V,MATCH(Calculations!Q$250&amp;Calculations!$X275,Dataset!$V:$V,0),MATCH(Calculations!$A$1,Dataset!$A$1:$V$1,0)),"")</f>
        <v>67.641069871525801</v>
      </c>
      <c r="R275" s="869">
        <f>IFERROR(INDEX(Dataset!$A:$V,MATCH(Calculations!R$250&amp;Calculations!$X275,Dataset!$V:$V,0),MATCH(Calculations!$A$1,Dataset!$A$1:$V$1,0)),"")</f>
        <v>78.553890052929134</v>
      </c>
      <c r="S275" s="869">
        <f>IFERROR(INDEX(Dataset!$A:$V,MATCH(Calculations!S$250&amp;Calculations!$X275,Dataset!$V:$V,0),MATCH(Calculations!$A$1,Dataset!$A$1:$V$1,0)),"")</f>
        <v>79.267300000000006</v>
      </c>
      <c r="T275" s="869" t="str">
        <f>IFERROR(INDEX(Dataset!$A:$V,MATCH(Calculations!T$250&amp;Calculations!$X275,Dataset!$V:$V,0),MATCH(Calculations!$A$1,Dataset!$A$1:$V$1,0)),"")</f>
        <v/>
      </c>
      <c r="X275" t="s">
        <v>1092</v>
      </c>
    </row>
    <row r="276" spans="1:24">
      <c r="A276" s="869" t="s">
        <v>1086</v>
      </c>
      <c r="B276" s="869"/>
      <c r="C276" s="869"/>
      <c r="D276" s="869"/>
      <c r="E276" s="869"/>
      <c r="F276" s="869"/>
      <c r="G276" s="869"/>
      <c r="H276" s="869"/>
      <c r="I276" s="869"/>
      <c r="J276" s="869"/>
      <c r="K276" s="869"/>
      <c r="L276" s="869"/>
      <c r="M276" s="869">
        <f>IFERROR(INDEX(Dataset!$A:$V,MATCH(Calculations!M$250&amp;Calculations!$X276,Dataset!$V:$V,0),MATCH(Calculations!$A$1,Dataset!$A$1:$V$1,0)),"")</f>
        <v>-2.3455592214293262</v>
      </c>
      <c r="N276" s="869">
        <f>IFERROR(INDEX(Dataset!$A:$V,MATCH(Calculations!N$250&amp;Calculations!$X276,Dataset!$V:$V,0),MATCH(Calculations!$A$1,Dataset!$A$1:$V$1,0)),"")</f>
        <v>3.0989375000848156</v>
      </c>
      <c r="O276" s="869">
        <f>IFERROR(INDEX(Dataset!$A:$V,MATCH(Calculations!O$250&amp;Calculations!$X276,Dataset!$V:$V,0),MATCH(Calculations!$A$1,Dataset!$A$1:$V$1,0)),"")</f>
        <v>-8.052445041094586</v>
      </c>
      <c r="P276" s="869">
        <f>IFERROR(INDEX(Dataset!$A:$V,MATCH(Calculations!P$250&amp;Calculations!$X276,Dataset!$V:$V,0),MATCH(Calculations!$A$1,Dataset!$A$1:$V$1,0)),"")</f>
        <v>-31.680722150431592</v>
      </c>
      <c r="Q276" s="869">
        <f>IFERROR(INDEX(Dataset!$A:$V,MATCH(Calculations!Q$250&amp;Calculations!$X276,Dataset!$V:$V,0),MATCH(Calculations!$A$1,Dataset!$A$1:$V$1,0)),"")</f>
        <v>-19.719341956342134</v>
      </c>
      <c r="R276" s="869">
        <f>IFERROR(INDEX(Dataset!$A:$V,MATCH(Calculations!R$250&amp;Calculations!$X276,Dataset!$V:$V,0),MATCH(Calculations!$A$1,Dataset!$A$1:$V$1,0)),"")</f>
        <v>-9.4684621602113594</v>
      </c>
      <c r="S276" s="869">
        <f>IFERROR(INDEX(Dataset!$A:$V,MATCH(Calculations!S$250&amp;Calculations!$X276,Dataset!$V:$V,0),MATCH(Calculations!$A$1,Dataset!$A$1:$V$1,0)),"")</f>
        <v>-9.4816421015397907</v>
      </c>
      <c r="T276" s="869" t="str">
        <f>IFERROR(INDEX(Dataset!$A:$V,MATCH(Calculations!T$250&amp;Calculations!$X276,Dataset!$V:$V,0),MATCH(Calculations!$A$1,Dataset!$A$1:$V$1,0)),"")</f>
        <v/>
      </c>
      <c r="X276" t="s">
        <v>1093</v>
      </c>
    </row>
    <row r="277" spans="1:24">
      <c r="A277" s="869" t="s">
        <v>1088</v>
      </c>
      <c r="B277" s="869"/>
      <c r="C277" s="869"/>
      <c r="D277" s="869"/>
      <c r="E277" s="869"/>
      <c r="F277" s="869"/>
      <c r="G277" s="869"/>
      <c r="H277" s="869"/>
      <c r="I277" s="869"/>
      <c r="J277" s="869"/>
      <c r="K277" s="869"/>
      <c r="L277" s="869"/>
      <c r="M277" s="871">
        <f>IFERROR(INDEX(Dataset!$A:$V,MATCH(Calculations!M$250&amp;Calculations!$X277,Dataset!$V:$V,0),MATCH(Calculations!$A$1,Dataset!$A$1:$V$1,0)),"")</f>
        <v>-2.6492562949794043E-2</v>
      </c>
      <c r="N277" s="871">
        <f>IFERROR(INDEX(Dataset!$A:$V,MATCH(Calculations!N$250&amp;Calculations!$X277,Dataset!$V:$V,0),MATCH(Calculations!$A$1,Dataset!$A$1:$V$1,0)),"")</f>
        <v>3.4332705542974809E-2</v>
      </c>
      <c r="O277" s="871">
        <f>IFERROR(INDEX(Dataset!$A:$V,MATCH(Calculations!O$250&amp;Calculations!$X277,Dataset!$V:$V,0),MATCH(Calculations!$A$1,Dataset!$A$1:$V$1,0)),"")</f>
        <v>-9.4173277941238046E-2</v>
      </c>
      <c r="P277" s="871">
        <f>IFERROR(INDEX(Dataset!$A:$V,MATCH(Calculations!P$250&amp;Calculations!$X277,Dataset!$V:$V,0),MATCH(Calculations!$A$1,Dataset!$A$1:$V$1,0)),"")</f>
        <v>-0.36445293270464646</v>
      </c>
      <c r="Q277" s="871">
        <f>IFERROR(INDEX(Dataset!$A:$V,MATCH(Calculations!Q$250&amp;Calculations!$X277,Dataset!$V:$V,0),MATCH(Calculations!$A$1,Dataset!$A$1:$V$1,0)),"")</f>
        <v>-0.2257240040854715</v>
      </c>
      <c r="R277" s="871">
        <f>IFERROR(INDEX(Dataset!$A:$V,MATCH(Calculations!R$250&amp;Calculations!$X277,Dataset!$V:$V,0),MATCH(Calculations!$A$1,Dataset!$A$1:$V$1,0)),"")</f>
        <v>-0.10756883816606132</v>
      </c>
      <c r="S277" s="871">
        <f>IFERROR(INDEX(Dataset!$A:$V,MATCH(Calculations!S$250&amp;Calculations!$X277,Dataset!$V:$V,0),MATCH(Calculations!$A$1,Dataset!$A$1:$V$1,0)),"")</f>
        <v>-0.10683667745235337</v>
      </c>
      <c r="T277" s="871" t="str">
        <f>IFERROR(INDEX(Dataset!$A:$V,MATCH(Calculations!T$250&amp;Calculations!$X277,Dataset!$V:$V,0),MATCH(Calculations!$A$1,Dataset!$A$1:$V$1,0)),"")</f>
        <v/>
      </c>
      <c r="X277" t="s">
        <v>1094</v>
      </c>
    </row>
    <row r="279" spans="1:24">
      <c r="A279" s="828" t="s">
        <v>53</v>
      </c>
    </row>
    <row r="280" spans="1:24">
      <c r="A280" s="869" t="s">
        <v>1080</v>
      </c>
      <c r="B280" s="869"/>
      <c r="C280" s="869"/>
      <c r="D280" s="869"/>
      <c r="E280" s="869"/>
      <c r="F280" s="869"/>
      <c r="G280" s="869"/>
      <c r="H280" s="869"/>
      <c r="I280" s="869"/>
      <c r="J280" s="869"/>
      <c r="K280" s="869"/>
      <c r="L280" s="869"/>
      <c r="M280" s="869">
        <f>IFERROR(INDEX(Dataset!$A:$V,MATCH(Calculations!M$250&amp;Calculations!$X280,Dataset!$V:$V,0),MATCH(Calculations!$A$1,Dataset!$A$1:$V$1,0)),"")</f>
        <v>37.786840133713788</v>
      </c>
      <c r="N280" s="869">
        <f>IFERROR(INDEX(Dataset!$A:$V,MATCH(Calculations!N$250&amp;Calculations!$X280,Dataset!$V:$V,0),MATCH(Calculations!$A$1,Dataset!$A$1:$V$1,0)),"")</f>
        <v>37.681920971578613</v>
      </c>
      <c r="O280" s="869">
        <f>IFERROR(INDEX(Dataset!$A:$V,MATCH(Calculations!O$250&amp;Calculations!$X280,Dataset!$V:$V,0),MATCH(Calculations!$A$1,Dataset!$A$1:$V$1,0)),"")</f>
        <v>37.43624219680423</v>
      </c>
      <c r="P280" s="869">
        <f>IFERROR(INDEX(Dataset!$A:$V,MATCH(Calculations!P$250&amp;Calculations!$X280,Dataset!$V:$V,0),MATCH(Calculations!$A$1,Dataset!$A$1:$V$1,0)),"")</f>
        <v>37.353509302795359</v>
      </c>
      <c r="Q280" s="869">
        <f>IFERROR(INDEX(Dataset!$A:$V,MATCH(Calculations!Q$250&amp;Calculations!$X280,Dataset!$V:$V,0),MATCH(Calculations!$A$1,Dataset!$A$1:$V$1,0)),"")</f>
        <v>37.268229569698136</v>
      </c>
      <c r="R280" s="869">
        <f>IFERROR(INDEX(Dataset!$A:$V,MATCH(Calculations!R$250&amp;Calculations!$X280,Dataset!$V:$V,0),MATCH(Calculations!$A$1,Dataset!$A$1:$V$1,0)),"")</f>
        <v>37.333084446354007</v>
      </c>
      <c r="S280" s="869">
        <f>IFERROR(INDEX(Dataset!$A:$V,MATCH(Calculations!S$250&amp;Calculations!$X280,Dataset!$V:$V,0),MATCH(Calculations!$A$1,Dataset!$A$1:$V$1,0)),"")</f>
        <v>37.462296947699699</v>
      </c>
      <c r="T280" s="869">
        <f>IFERROR(INDEX(Dataset!$A:$V,MATCH(Calculations!T$250&amp;Calculations!$X280,Dataset!$V:$V,0),MATCH(Calculations!$A$1,Dataset!$A$1:$V$1,0)),"")</f>
        <v>37.578309147391714</v>
      </c>
      <c r="X280" t="s">
        <v>1095</v>
      </c>
    </row>
    <row r="281" spans="1:24">
      <c r="A281" s="869" t="s">
        <v>1082</v>
      </c>
      <c r="B281" s="869"/>
      <c r="C281" s="869"/>
      <c r="D281" s="869"/>
      <c r="E281" s="869"/>
      <c r="F281" s="869"/>
      <c r="G281" s="869"/>
      <c r="H281" s="869"/>
      <c r="I281" s="869"/>
      <c r="J281" s="869"/>
      <c r="K281" s="869"/>
      <c r="L281" s="869"/>
      <c r="M281" s="869">
        <f>IFERROR(INDEX(Dataset!$A:$V,MATCH(Calculations!M$250&amp;Calculations!$X281,Dataset!$V:$V,0),MATCH(Calculations!$A$1,Dataset!$A$1:$V$1,0)),"")</f>
        <v>37.786840133713788</v>
      </c>
      <c r="N281" s="869">
        <f>IFERROR(INDEX(Dataset!$A:$V,MATCH(Calculations!N$250&amp;Calculations!$X281,Dataset!$V:$V,0),MATCH(Calculations!$A$1,Dataset!$A$1:$V$1,0)),"")</f>
        <v>37.681920971578613</v>
      </c>
      <c r="O281" s="869">
        <f>IFERROR(INDEX(Dataset!$A:$V,MATCH(Calculations!O$250&amp;Calculations!$X281,Dataset!$V:$V,0),MATCH(Calculations!$A$1,Dataset!$A$1:$V$1,0)),"")</f>
        <v>37.43624219680423</v>
      </c>
      <c r="P281" s="869">
        <f>IFERROR(INDEX(Dataset!$A:$V,MATCH(Calculations!P$250&amp;Calculations!$X281,Dataset!$V:$V,0),MATCH(Calculations!$A$1,Dataset!$A$1:$V$1,0)),"")</f>
        <v>37.353509302795359</v>
      </c>
      <c r="Q281" s="869">
        <f>IFERROR(INDEX(Dataset!$A:$V,MATCH(Calculations!Q$250&amp;Calculations!$X281,Dataset!$V:$V,0),MATCH(Calculations!$A$1,Dataset!$A$1:$V$1,0)),"")</f>
        <v>37.268229569698136</v>
      </c>
      <c r="R281" s="869">
        <f>IFERROR(INDEX(Dataset!$A:$V,MATCH(Calculations!R$250&amp;Calculations!$X281,Dataset!$V:$V,0),MATCH(Calculations!$A$1,Dataset!$A$1:$V$1,0)),"")</f>
        <v>37.333084446354007</v>
      </c>
      <c r="S281" s="869">
        <f>IFERROR(INDEX(Dataset!$A:$V,MATCH(Calculations!S$250&amp;Calculations!$X281,Dataset!$V:$V,0),MATCH(Calculations!$A$1,Dataset!$A$1:$V$1,0)),"")</f>
        <v>37.462296947699699</v>
      </c>
      <c r="T281" s="869">
        <f>IFERROR(INDEX(Dataset!$A:$V,MATCH(Calculations!T$250&amp;Calculations!$X281,Dataset!$V:$V,0),MATCH(Calculations!$A$1,Dataset!$A$1:$V$1,0)),"")</f>
        <v>37.578309147391714</v>
      </c>
      <c r="X281" t="s">
        <v>1096</v>
      </c>
    </row>
    <row r="282" spans="1:24">
      <c r="A282" s="869" t="s">
        <v>1084</v>
      </c>
      <c r="B282" s="869"/>
      <c r="C282" s="869"/>
      <c r="D282" s="869"/>
      <c r="E282" s="869"/>
      <c r="F282" s="869"/>
      <c r="G282" s="869"/>
      <c r="H282" s="869"/>
      <c r="I282" s="869"/>
      <c r="J282" s="869"/>
      <c r="K282" s="869"/>
      <c r="L282" s="869"/>
      <c r="M282" s="869">
        <f>IFERROR(INDEX(Dataset!$A:$V,MATCH(Calculations!M$250&amp;Calculations!$X282,Dataset!$V:$V,0),MATCH(Calculations!$A$1,Dataset!$A$1:$V$1,0)),"")</f>
        <v>56.020505733657629</v>
      </c>
      <c r="N282" s="869">
        <f>IFERROR(INDEX(Dataset!$A:$V,MATCH(Calculations!N$250&amp;Calculations!$X282,Dataset!$V:$V,0),MATCH(Calculations!$A$1,Dataset!$A$1:$V$1,0)),"")</f>
        <v>48.12291810318802</v>
      </c>
      <c r="O282" s="869">
        <f>IFERROR(INDEX(Dataset!$A:$V,MATCH(Calculations!O$250&amp;Calculations!$X282,Dataset!$V:$V,0),MATCH(Calculations!$A$1,Dataset!$A$1:$V$1,0)),"")</f>
        <v>43.040195658183826</v>
      </c>
      <c r="P282" s="869">
        <f>IFERROR(INDEX(Dataset!$A:$V,MATCH(Calculations!P$250&amp;Calculations!$X282,Dataset!$V:$V,0),MATCH(Calculations!$A$1,Dataset!$A$1:$V$1,0)),"")</f>
        <v>39.902442917249076</v>
      </c>
      <c r="Q282" s="869">
        <f>IFERROR(INDEX(Dataset!$A:$V,MATCH(Calculations!Q$250&amp;Calculations!$X282,Dataset!$V:$V,0),MATCH(Calculations!$A$1,Dataset!$A$1:$V$1,0)),"")</f>
        <v>41.18233010370146</v>
      </c>
      <c r="R282" s="869">
        <f>IFERROR(INDEX(Dataset!$A:$V,MATCH(Calculations!R$250&amp;Calculations!$X282,Dataset!$V:$V,0),MATCH(Calculations!$A$1,Dataset!$A$1:$V$1,0)),"")</f>
        <v>40.576720155557908</v>
      </c>
      <c r="S282" s="869">
        <f>IFERROR(INDEX(Dataset!$A:$V,MATCH(Calculations!S$250&amp;Calculations!$X282,Dataset!$V:$V,0),MATCH(Calculations!$A$1,Dataset!$A$1:$V$1,0)),"")</f>
        <v>42.063899999999997</v>
      </c>
      <c r="T282" s="869" t="str">
        <f>IFERROR(INDEX(Dataset!$A:$V,MATCH(Calculations!T$250&amp;Calculations!$X282,Dataset!$V:$V,0),MATCH(Calculations!$A$1,Dataset!$A$1:$V$1,0)),"")</f>
        <v/>
      </c>
      <c r="X282" t="s">
        <v>1097</v>
      </c>
    </row>
    <row r="283" spans="1:24">
      <c r="A283" s="869" t="s">
        <v>1086</v>
      </c>
      <c r="B283" s="869"/>
      <c r="C283" s="869"/>
      <c r="D283" s="869"/>
      <c r="E283" s="869"/>
      <c r="F283" s="869"/>
      <c r="G283" s="869"/>
      <c r="H283" s="869"/>
      <c r="I283" s="869"/>
      <c r="J283" s="869"/>
      <c r="K283" s="869"/>
      <c r="L283" s="869"/>
      <c r="M283" s="869">
        <f>IFERROR(INDEX(Dataset!$A:$V,MATCH(Calculations!M$250&amp;Calculations!$X283,Dataset!$V:$V,0),MATCH(Calculations!$A$1,Dataset!$A$1:$V$1,0)),"")</f>
        <v>18.233665599943841</v>
      </c>
      <c r="N283" s="869">
        <f>IFERROR(INDEX(Dataset!$A:$V,MATCH(Calculations!N$250&amp;Calculations!$X283,Dataset!$V:$V,0),MATCH(Calculations!$A$1,Dataset!$A$1:$V$1,0)),"")</f>
        <v>10.440997131609407</v>
      </c>
      <c r="O283" s="869">
        <f>IFERROR(INDEX(Dataset!$A:$V,MATCH(Calculations!O$250&amp;Calculations!$X283,Dataset!$V:$V,0),MATCH(Calculations!$A$1,Dataset!$A$1:$V$1,0)),"")</f>
        <v>5.6039534613795965</v>
      </c>
      <c r="P283" s="869">
        <f>IFERROR(INDEX(Dataset!$A:$V,MATCH(Calculations!P$250&amp;Calculations!$X283,Dataset!$V:$V,0),MATCH(Calculations!$A$1,Dataset!$A$1:$V$1,0)),"")</f>
        <v>2.5489336144537162</v>
      </c>
      <c r="Q283" s="869">
        <f>IFERROR(INDEX(Dataset!$A:$V,MATCH(Calculations!Q$250&amp;Calculations!$X283,Dataset!$V:$V,0),MATCH(Calculations!$A$1,Dataset!$A$1:$V$1,0)),"")</f>
        <v>3.9141005340033246</v>
      </c>
      <c r="R283" s="869">
        <f>IFERROR(INDEX(Dataset!$A:$V,MATCH(Calculations!R$250&amp;Calculations!$X283,Dataset!$V:$V,0),MATCH(Calculations!$A$1,Dataset!$A$1:$V$1,0)),"")</f>
        <v>3.2436357092039003</v>
      </c>
      <c r="S283" s="869">
        <f>IFERROR(INDEX(Dataset!$A:$V,MATCH(Calculations!S$250&amp;Calculations!$X283,Dataset!$V:$V,0),MATCH(Calculations!$A$1,Dataset!$A$1:$V$1,0)),"")</f>
        <v>4.6016030523002982</v>
      </c>
      <c r="T283" s="869" t="str">
        <f>IFERROR(INDEX(Dataset!$A:$V,MATCH(Calculations!T$250&amp;Calculations!$X283,Dataset!$V:$V,0),MATCH(Calculations!$A$1,Dataset!$A$1:$V$1,0)),"")</f>
        <v/>
      </c>
      <c r="X283" t="s">
        <v>1098</v>
      </c>
    </row>
    <row r="284" spans="1:24">
      <c r="A284" s="869" t="s">
        <v>1088</v>
      </c>
      <c r="B284" s="869"/>
      <c r="C284" s="869"/>
      <c r="D284" s="869"/>
      <c r="E284" s="869"/>
      <c r="F284" s="869"/>
      <c r="G284" s="869"/>
      <c r="H284" s="869"/>
      <c r="I284" s="869"/>
      <c r="J284" s="869"/>
      <c r="K284" s="869"/>
      <c r="L284" s="869"/>
      <c r="M284" s="871">
        <f>IFERROR(INDEX(Dataset!$A:$V,MATCH(Calculations!M$250&amp;Calculations!$X284,Dataset!$V:$V,0),MATCH(Calculations!$A$1,Dataset!$A$1:$V$1,0)),"")</f>
        <v>0.48254009955374877</v>
      </c>
      <c r="N284" s="871">
        <f>IFERROR(INDEX(Dataset!$A:$V,MATCH(Calculations!N$250&amp;Calculations!$X284,Dataset!$V:$V,0),MATCH(Calculations!$A$1,Dataset!$A$1:$V$1,0)),"")</f>
        <v>0.27708240085436392</v>
      </c>
      <c r="O284" s="871">
        <f>IFERROR(INDEX(Dataset!$A:$V,MATCH(Calculations!O$250&amp;Calculations!$X284,Dataset!$V:$V,0),MATCH(Calculations!$A$1,Dataset!$A$1:$V$1,0)),"")</f>
        <v>0.1496932686758283</v>
      </c>
      <c r="P284" s="871">
        <f>IFERROR(INDEX(Dataset!$A:$V,MATCH(Calculations!P$250&amp;Calculations!$X284,Dataset!$V:$V,0),MATCH(Calculations!$A$1,Dataset!$A$1:$V$1,0)),"")</f>
        <v>6.8238129750849572E-2</v>
      </c>
      <c r="Q284" s="871">
        <f>IFERROR(INDEX(Dataset!$A:$V,MATCH(Calculations!Q$250&amp;Calculations!$X284,Dataset!$V:$V,0),MATCH(Calculations!$A$1,Dataset!$A$1:$V$1,0)),"")</f>
        <v>0.10502512674188799</v>
      </c>
      <c r="R284" s="871">
        <f>IFERROR(INDEX(Dataset!$A:$V,MATCH(Calculations!R$250&amp;Calculations!$X284,Dataset!$V:$V,0),MATCH(Calculations!$A$1,Dataset!$A$1:$V$1,0)),"")</f>
        <v>8.6883678573755715E-2</v>
      </c>
      <c r="S284" s="871">
        <f>IFERROR(INDEX(Dataset!$A:$V,MATCH(Calculations!S$250&amp;Calculations!$X284,Dataset!$V:$V,0),MATCH(Calculations!$A$1,Dataset!$A$1:$V$1,0)),"")</f>
        <v>0.12283291274756848</v>
      </c>
      <c r="T284" s="871" t="str">
        <f>IFERROR(INDEX(Dataset!$A:$V,MATCH(Calculations!T$250&amp;Calculations!$X284,Dataset!$V:$V,0),MATCH(Calculations!$A$1,Dataset!$A$1:$V$1,0)),"")</f>
        <v/>
      </c>
      <c r="X284" t="s">
        <v>1099</v>
      </c>
    </row>
    <row r="286" spans="1:24">
      <c r="A286" s="828" t="s">
        <v>55</v>
      </c>
    </row>
    <row r="287" spans="1:24">
      <c r="A287" s="869" t="s">
        <v>1080</v>
      </c>
      <c r="B287" s="869"/>
      <c r="C287" s="869"/>
      <c r="D287" s="869"/>
      <c r="E287" s="869"/>
      <c r="F287" s="869"/>
      <c r="G287" s="869"/>
      <c r="H287" s="869"/>
      <c r="I287" s="869"/>
      <c r="J287" s="869"/>
      <c r="K287" s="869"/>
      <c r="L287" s="869"/>
      <c r="M287" s="869">
        <f>IFERROR(INDEX(Dataset!$A:$V,MATCH(Calculations!M$250&amp;Calculations!$X287,Dataset!$V:$V,0),MATCH(Calculations!$A$1,Dataset!$A$1:$V$1,0)),"")</f>
        <v>67.84005104149054</v>
      </c>
      <c r="N287" s="869">
        <f>IFERROR(INDEX(Dataset!$A:$V,MATCH(Calculations!N$250&amp;Calculations!$X287,Dataset!$V:$V,0),MATCH(Calculations!$A$1,Dataset!$A$1:$V$1,0)),"")</f>
        <v>67.401078247069989</v>
      </c>
      <c r="O287" s="869">
        <f>IFERROR(INDEX(Dataset!$A:$V,MATCH(Calculations!O$250&amp;Calculations!$X287,Dataset!$V:$V,0),MATCH(Calculations!$A$1,Dataset!$A$1:$V$1,0)),"")</f>
        <v>67.044400484970822</v>
      </c>
      <c r="P287" s="869">
        <f>IFERROR(INDEX(Dataset!$A:$V,MATCH(Calculations!P$250&amp;Calculations!$X287,Dataset!$V:$V,0),MATCH(Calculations!$A$1,Dataset!$A$1:$V$1,0)),"")</f>
        <v>67.323772361112376</v>
      </c>
      <c r="Q287" s="869">
        <f>IFERROR(INDEX(Dataset!$A:$V,MATCH(Calculations!Q$250&amp;Calculations!$X287,Dataset!$V:$V,0),MATCH(Calculations!$A$1,Dataset!$A$1:$V$1,0)),"")</f>
        <v>68.203228603306442</v>
      </c>
      <c r="R287" s="869">
        <f>IFERROR(INDEX(Dataset!$A:$V,MATCH(Calculations!R$250&amp;Calculations!$X287,Dataset!$V:$V,0),MATCH(Calculations!$A$1,Dataset!$A$1:$V$1,0)),"")</f>
        <v>68.832658749280256</v>
      </c>
      <c r="S287" s="869">
        <f>IFERROR(INDEX(Dataset!$A:$V,MATCH(Calculations!S$250&amp;Calculations!$X287,Dataset!$V:$V,0),MATCH(Calculations!$A$1,Dataset!$A$1:$V$1,0)),"")</f>
        <v>69.292793895842266</v>
      </c>
      <c r="T287" s="869">
        <f>IFERROR(INDEX(Dataset!$A:$V,MATCH(Calculations!T$250&amp;Calculations!$X287,Dataset!$V:$V,0),MATCH(Calculations!$A$1,Dataset!$A$1:$V$1,0)),"")</f>
        <v>69.83794744138622</v>
      </c>
      <c r="X287" t="s">
        <v>1100</v>
      </c>
    </row>
    <row r="288" spans="1:24">
      <c r="A288" s="869" t="s">
        <v>1082</v>
      </c>
      <c r="B288" s="869"/>
      <c r="C288" s="869"/>
      <c r="D288" s="869"/>
      <c r="E288" s="869"/>
      <c r="F288" s="869"/>
      <c r="G288" s="869"/>
      <c r="H288" s="869"/>
      <c r="I288" s="869"/>
      <c r="J288" s="869"/>
      <c r="K288" s="869"/>
      <c r="L288" s="869"/>
      <c r="M288" s="869">
        <f>IFERROR(INDEX(Dataset!$A:$V,MATCH(Calculations!M$250&amp;Calculations!$X288,Dataset!$V:$V,0),MATCH(Calculations!$A$1,Dataset!$A$1:$V$1,0)),"")</f>
        <v>67.84005104149054</v>
      </c>
      <c r="N288" s="869">
        <f>IFERROR(INDEX(Dataset!$A:$V,MATCH(Calculations!N$250&amp;Calculations!$X288,Dataset!$V:$V,0),MATCH(Calculations!$A$1,Dataset!$A$1:$V$1,0)),"")</f>
        <v>67.401078247069989</v>
      </c>
      <c r="O288" s="869">
        <f>IFERROR(INDEX(Dataset!$A:$V,MATCH(Calculations!O$250&amp;Calculations!$X288,Dataset!$V:$V,0),MATCH(Calculations!$A$1,Dataset!$A$1:$V$1,0)),"")</f>
        <v>67.044400484970822</v>
      </c>
      <c r="P288" s="869">
        <f>IFERROR(INDEX(Dataset!$A:$V,MATCH(Calculations!P$250&amp;Calculations!$X288,Dataset!$V:$V,0),MATCH(Calculations!$A$1,Dataset!$A$1:$V$1,0)),"")</f>
        <v>67.323772361112376</v>
      </c>
      <c r="Q288" s="869">
        <f>IFERROR(INDEX(Dataset!$A:$V,MATCH(Calculations!Q$250&amp;Calculations!$X288,Dataset!$V:$V,0),MATCH(Calculations!$A$1,Dataset!$A$1:$V$1,0)),"")</f>
        <v>68.203228603306442</v>
      </c>
      <c r="R288" s="869">
        <f>IFERROR(INDEX(Dataset!$A:$V,MATCH(Calculations!R$250&amp;Calculations!$X288,Dataset!$V:$V,0),MATCH(Calculations!$A$1,Dataset!$A$1:$V$1,0)),"")</f>
        <v>68.832658749280256</v>
      </c>
      <c r="S288" s="869">
        <f>IFERROR(INDEX(Dataset!$A:$V,MATCH(Calculations!S$250&amp;Calculations!$X288,Dataset!$V:$V,0),MATCH(Calculations!$A$1,Dataset!$A$1:$V$1,0)),"")</f>
        <v>69.292793895842266</v>
      </c>
      <c r="T288" s="869">
        <f>IFERROR(INDEX(Dataset!$A:$V,MATCH(Calculations!T$250&amp;Calculations!$X288,Dataset!$V:$V,0),MATCH(Calculations!$A$1,Dataset!$A$1:$V$1,0)),"")</f>
        <v>69.83794744138622</v>
      </c>
      <c r="X288" t="s">
        <v>1101</v>
      </c>
    </row>
    <row r="289" spans="1:24">
      <c r="A289" s="869" t="s">
        <v>1084</v>
      </c>
      <c r="B289" s="869"/>
      <c r="C289" s="869"/>
      <c r="D289" s="869"/>
      <c r="E289" s="869"/>
      <c r="F289" s="869"/>
      <c r="G289" s="869"/>
      <c r="H289" s="869"/>
      <c r="I289" s="869"/>
      <c r="J289" s="869"/>
      <c r="K289" s="869"/>
      <c r="L289" s="869"/>
      <c r="M289" s="869">
        <f>IFERROR(INDEX(Dataset!$A:$V,MATCH(Calculations!M$250&amp;Calculations!$X289,Dataset!$V:$V,0),MATCH(Calculations!$A$1,Dataset!$A$1:$V$1,0)),"")</f>
        <v>82.401884556706364</v>
      </c>
      <c r="N289" s="869">
        <f>IFERROR(INDEX(Dataset!$A:$V,MATCH(Calculations!N$250&amp;Calculations!$X289,Dataset!$V:$V,0),MATCH(Calculations!$A$1,Dataset!$A$1:$V$1,0)),"")</f>
        <v>81.207292199764524</v>
      </c>
      <c r="O289" s="869">
        <f>IFERROR(INDEX(Dataset!$A:$V,MATCH(Calculations!O$250&amp;Calculations!$X289,Dataset!$V:$V,0),MATCH(Calculations!$A$1,Dataset!$A$1:$V$1,0)),"")</f>
        <v>79.619155401079624</v>
      </c>
      <c r="P289" s="869">
        <f>IFERROR(INDEX(Dataset!$A:$V,MATCH(Calculations!P$250&amp;Calculations!$X289,Dataset!$V:$V,0),MATCH(Calculations!$A$1,Dataset!$A$1:$V$1,0)),"")</f>
        <v>78.394115750349428</v>
      </c>
      <c r="Q289" s="869">
        <f>IFERROR(INDEX(Dataset!$A:$V,MATCH(Calculations!Q$250&amp;Calculations!$X289,Dataset!$V:$V,0),MATCH(Calculations!$A$1,Dataset!$A$1:$V$1,0)),"")</f>
        <v>73.08394210609616</v>
      </c>
      <c r="R289" s="869">
        <f>IFERROR(INDEX(Dataset!$A:$V,MATCH(Calculations!R$250&amp;Calculations!$X289,Dataset!$V:$V,0),MATCH(Calculations!$A$1,Dataset!$A$1:$V$1,0)),"")</f>
        <v>70.07869616918282</v>
      </c>
      <c r="S289" s="869">
        <f>IFERROR(INDEX(Dataset!$A:$V,MATCH(Calculations!S$250&amp;Calculations!$X289,Dataset!$V:$V,0),MATCH(Calculations!$A$1,Dataset!$A$1:$V$1,0)),"")</f>
        <v>69.809899999999985</v>
      </c>
      <c r="T289" s="869" t="str">
        <f>IFERROR(INDEX(Dataset!$A:$V,MATCH(Calculations!T$250&amp;Calculations!$X289,Dataset!$V:$V,0),MATCH(Calculations!$A$1,Dataset!$A$1:$V$1,0)),"")</f>
        <v/>
      </c>
      <c r="X289" t="s">
        <v>1102</v>
      </c>
    </row>
    <row r="290" spans="1:24">
      <c r="A290" s="869" t="s">
        <v>1086</v>
      </c>
      <c r="B290" s="869"/>
      <c r="C290" s="869"/>
      <c r="D290" s="869"/>
      <c r="E290" s="869"/>
      <c r="F290" s="869"/>
      <c r="G290" s="869"/>
      <c r="H290" s="869"/>
      <c r="I290" s="869"/>
      <c r="J290" s="869"/>
      <c r="K290" s="869"/>
      <c r="L290" s="869"/>
      <c r="M290" s="869">
        <f>IFERROR(INDEX(Dataset!$A:$V,MATCH(Calculations!M$250&amp;Calculations!$X290,Dataset!$V:$V,0),MATCH(Calculations!$A$1,Dataset!$A$1:$V$1,0)),"")</f>
        <v>14.561833515215824</v>
      </c>
      <c r="N290" s="869">
        <f>IFERROR(INDEX(Dataset!$A:$V,MATCH(Calculations!N$250&amp;Calculations!$X290,Dataset!$V:$V,0),MATCH(Calculations!$A$1,Dataset!$A$1:$V$1,0)),"")</f>
        <v>13.806213952694534</v>
      </c>
      <c r="O290" s="869">
        <f>IFERROR(INDEX(Dataset!$A:$V,MATCH(Calculations!O$250&amp;Calculations!$X290,Dataset!$V:$V,0),MATCH(Calculations!$A$1,Dataset!$A$1:$V$1,0)),"")</f>
        <v>12.574754916108802</v>
      </c>
      <c r="P290" s="869">
        <f>IFERROR(INDEX(Dataset!$A:$V,MATCH(Calculations!P$250&amp;Calculations!$X290,Dataset!$V:$V,0),MATCH(Calculations!$A$1,Dataset!$A$1:$V$1,0)),"")</f>
        <v>11.070343389237053</v>
      </c>
      <c r="Q290" s="869">
        <f>IFERROR(INDEX(Dataset!$A:$V,MATCH(Calculations!Q$250&amp;Calculations!$X290,Dataset!$V:$V,0),MATCH(Calculations!$A$1,Dataset!$A$1:$V$1,0)),"")</f>
        <v>4.8807135027897175</v>
      </c>
      <c r="R290" s="869">
        <f>IFERROR(INDEX(Dataset!$A:$V,MATCH(Calculations!R$250&amp;Calculations!$X290,Dataset!$V:$V,0),MATCH(Calculations!$A$1,Dataset!$A$1:$V$1,0)),"")</f>
        <v>1.2460374199025637</v>
      </c>
      <c r="S290" s="869">
        <f>IFERROR(INDEX(Dataset!$A:$V,MATCH(Calculations!S$250&amp;Calculations!$X290,Dataset!$V:$V,0),MATCH(Calculations!$A$1,Dataset!$A$1:$V$1,0)),"")</f>
        <v>0.51710610415771896</v>
      </c>
      <c r="T290" s="869" t="str">
        <f>IFERROR(INDEX(Dataset!$A:$V,MATCH(Calculations!T$250&amp;Calculations!$X290,Dataset!$V:$V,0),MATCH(Calculations!$A$1,Dataset!$A$1:$V$1,0)),"")</f>
        <v/>
      </c>
      <c r="X290" t="s">
        <v>1103</v>
      </c>
    </row>
    <row r="291" spans="1:24">
      <c r="A291" s="869" t="s">
        <v>1088</v>
      </c>
      <c r="B291" s="869"/>
      <c r="C291" s="869"/>
      <c r="D291" s="869"/>
      <c r="E291" s="869"/>
      <c r="F291" s="869"/>
      <c r="G291" s="869"/>
      <c r="H291" s="869"/>
      <c r="I291" s="869"/>
      <c r="J291" s="869"/>
      <c r="K291" s="869"/>
      <c r="L291" s="869"/>
      <c r="M291" s="871">
        <f>IFERROR(INDEX(Dataset!$A:$V,MATCH(Calculations!M$250&amp;Calculations!$X291,Dataset!$V:$V,0),MATCH(Calculations!$A$1,Dataset!$A$1:$V$1,0)),"")</f>
        <v>0.21464950706345873</v>
      </c>
      <c r="N291" s="871">
        <f>IFERROR(INDEX(Dataset!$A:$V,MATCH(Calculations!N$250&amp;Calculations!$X291,Dataset!$V:$V,0),MATCH(Calculations!$A$1,Dataset!$A$1:$V$1,0)),"")</f>
        <v>0.20483669270223742</v>
      </c>
      <c r="O291" s="871">
        <f>IFERROR(INDEX(Dataset!$A:$V,MATCH(Calculations!O$250&amp;Calculations!$X291,Dataset!$V:$V,0),MATCH(Calculations!$A$1,Dataset!$A$1:$V$1,0)),"")</f>
        <v>0.18755861526314421</v>
      </c>
      <c r="P291" s="871">
        <f>IFERROR(INDEX(Dataset!$A:$V,MATCH(Calculations!P$250&amp;Calculations!$X291,Dataset!$V:$V,0),MATCH(Calculations!$A$1,Dataset!$A$1:$V$1,0)),"")</f>
        <v>0.16443438923561443</v>
      </c>
      <c r="Q291" s="871">
        <f>IFERROR(INDEX(Dataset!$A:$V,MATCH(Calculations!Q$250&amp;Calculations!$X291,Dataset!$V:$V,0),MATCH(Calculations!$A$1,Dataset!$A$1:$V$1,0)),"")</f>
        <v>7.1561326387899235E-2</v>
      </c>
      <c r="R291" s="871">
        <f>IFERROR(INDEX(Dataset!$A:$V,MATCH(Calculations!R$250&amp;Calculations!$X291,Dataset!$V:$V,0),MATCH(Calculations!$A$1,Dataset!$A$1:$V$1,0)),"")</f>
        <v>1.8102415954048743E-2</v>
      </c>
      <c r="S291" s="871">
        <f>IFERROR(INDEX(Dataset!$A:$V,MATCH(Calculations!S$250&amp;Calculations!$X291,Dataset!$V:$V,0),MATCH(Calculations!$A$1,Dataset!$A$1:$V$1,0)),"")</f>
        <v>7.4626245397899386E-3</v>
      </c>
      <c r="T291" s="871" t="str">
        <f>IFERROR(INDEX(Dataset!$A:$V,MATCH(Calculations!T$250&amp;Calculations!$X291,Dataset!$V:$V,0),MATCH(Calculations!$A$1,Dataset!$A$1:$V$1,0)),"")</f>
        <v/>
      </c>
      <c r="X291" t="s">
        <v>1104</v>
      </c>
    </row>
    <row r="293" spans="1:24">
      <c r="A293" s="828" t="s">
        <v>57</v>
      </c>
    </row>
    <row r="294" spans="1:24">
      <c r="A294" s="869" t="s">
        <v>1080</v>
      </c>
      <c r="B294" s="869"/>
      <c r="C294" s="869"/>
      <c r="D294" s="869"/>
      <c r="E294" s="869"/>
      <c r="F294" s="869"/>
      <c r="G294" s="869"/>
      <c r="H294" s="869"/>
      <c r="I294" s="869"/>
      <c r="J294" s="869"/>
      <c r="K294" s="869"/>
      <c r="L294" s="869"/>
      <c r="M294" s="869">
        <f>IFERROR(INDEX(Dataset!$A:$V,MATCH(Calculations!M$250&amp;Calculations!$X294,Dataset!$V:$V,0),MATCH(Calculations!$A$1,Dataset!$A$1:$V$1,0)),"")</f>
        <v>34.850200593562079</v>
      </c>
      <c r="N294" s="869">
        <f>IFERROR(INDEX(Dataset!$A:$V,MATCH(Calculations!N$250&amp;Calculations!$X294,Dataset!$V:$V,0),MATCH(Calculations!$A$1,Dataset!$A$1:$V$1,0)),"")</f>
        <v>34.901899374659294</v>
      </c>
      <c r="O294" s="869">
        <f>IFERROR(INDEX(Dataset!$A:$V,MATCH(Calculations!O$250&amp;Calculations!$X294,Dataset!$V:$V,0),MATCH(Calculations!$A$1,Dataset!$A$1:$V$1,0)),"")</f>
        <v>34.788031101529995</v>
      </c>
      <c r="P294" s="869">
        <f>IFERROR(INDEX(Dataset!$A:$V,MATCH(Calculations!P$250&amp;Calculations!$X294,Dataset!$V:$V,0),MATCH(Calculations!$A$1,Dataset!$A$1:$V$1,0)),"")</f>
        <v>34.878162260666123</v>
      </c>
      <c r="Q294" s="869">
        <f>IFERROR(INDEX(Dataset!$A:$V,MATCH(Calculations!Q$250&amp;Calculations!$X294,Dataset!$V:$V,0),MATCH(Calculations!$A$1,Dataset!$A$1:$V$1,0)),"")</f>
        <v>35.157462389632755</v>
      </c>
      <c r="R294" s="869">
        <f>IFERROR(INDEX(Dataset!$A:$V,MATCH(Calculations!R$250&amp;Calculations!$X294,Dataset!$V:$V,0),MATCH(Calculations!$A$1,Dataset!$A$1:$V$1,0)),"")</f>
        <v>35.353250335379499</v>
      </c>
      <c r="S294" s="869">
        <f>IFERROR(INDEX(Dataset!$A:$V,MATCH(Calculations!S$250&amp;Calculations!$X294,Dataset!$V:$V,0),MATCH(Calculations!$A$1,Dataset!$A$1:$V$1,0)),"")</f>
        <v>35.590784908488686</v>
      </c>
      <c r="T294" s="869">
        <f>IFERROR(INDEX(Dataset!$A:$V,MATCH(Calculations!T$250&amp;Calculations!$X294,Dataset!$V:$V,0),MATCH(Calculations!$A$1,Dataset!$A$1:$V$1,0)),"")</f>
        <v>35.64718883262055</v>
      </c>
      <c r="X294" t="s">
        <v>1105</v>
      </c>
    </row>
    <row r="295" spans="1:24">
      <c r="A295" s="869" t="s">
        <v>1082</v>
      </c>
      <c r="B295" s="869"/>
      <c r="C295" s="869"/>
      <c r="D295" s="869"/>
      <c r="E295" s="869"/>
      <c r="F295" s="869"/>
      <c r="G295" s="869"/>
      <c r="H295" s="869"/>
      <c r="I295" s="869"/>
      <c r="J295" s="869"/>
      <c r="K295" s="869"/>
      <c r="L295" s="869"/>
      <c r="M295" s="869">
        <f>IFERROR(INDEX(Dataset!$A:$V,MATCH(Calculations!M$250&amp;Calculations!$X295,Dataset!$V:$V,0),MATCH(Calculations!$A$1,Dataset!$A$1:$V$1,0)),"")</f>
        <v>34.850200593562079</v>
      </c>
      <c r="N295" s="869">
        <f>IFERROR(INDEX(Dataset!$A:$V,MATCH(Calculations!N$250&amp;Calculations!$X295,Dataset!$V:$V,0),MATCH(Calculations!$A$1,Dataset!$A$1:$V$1,0)),"")</f>
        <v>34.901899374659294</v>
      </c>
      <c r="O295" s="869">
        <f>IFERROR(INDEX(Dataset!$A:$V,MATCH(Calculations!O$250&amp;Calculations!$X295,Dataset!$V:$V,0),MATCH(Calculations!$A$1,Dataset!$A$1:$V$1,0)),"")</f>
        <v>34.788031101529995</v>
      </c>
      <c r="P295" s="869">
        <f>IFERROR(INDEX(Dataset!$A:$V,MATCH(Calculations!P$250&amp;Calculations!$X295,Dataset!$V:$V,0),MATCH(Calculations!$A$1,Dataset!$A$1:$V$1,0)),"")</f>
        <v>34.878162260666123</v>
      </c>
      <c r="Q295" s="869">
        <f>IFERROR(INDEX(Dataset!$A:$V,MATCH(Calculations!Q$250&amp;Calculations!$X295,Dataset!$V:$V,0),MATCH(Calculations!$A$1,Dataset!$A$1:$V$1,0)),"")</f>
        <v>35.157462389632755</v>
      </c>
      <c r="R295" s="869">
        <f>IFERROR(INDEX(Dataset!$A:$V,MATCH(Calculations!R$250&amp;Calculations!$X295,Dataset!$V:$V,0),MATCH(Calculations!$A$1,Dataset!$A$1:$V$1,0)),"")</f>
        <v>35.353250335379499</v>
      </c>
      <c r="S295" s="869">
        <f>IFERROR(INDEX(Dataset!$A:$V,MATCH(Calculations!S$250&amp;Calculations!$X295,Dataset!$V:$V,0),MATCH(Calculations!$A$1,Dataset!$A$1:$V$1,0)),"")</f>
        <v>35.590784908488686</v>
      </c>
      <c r="T295" s="869">
        <f>IFERROR(INDEX(Dataset!$A:$V,MATCH(Calculations!T$250&amp;Calculations!$X295,Dataset!$V:$V,0),MATCH(Calculations!$A$1,Dataset!$A$1:$V$1,0)),"")</f>
        <v>35.64718883262055</v>
      </c>
      <c r="X295" t="s">
        <v>1106</v>
      </c>
    </row>
    <row r="296" spans="1:24">
      <c r="A296" s="869" t="s">
        <v>1084</v>
      </c>
      <c r="B296" s="869"/>
      <c r="C296" s="869"/>
      <c r="D296" s="869"/>
      <c r="E296" s="869"/>
      <c r="F296" s="869"/>
      <c r="G296" s="869"/>
      <c r="H296" s="869"/>
      <c r="I296" s="869"/>
      <c r="J296" s="869"/>
      <c r="K296" s="869"/>
      <c r="L296" s="869"/>
      <c r="M296" s="869">
        <f>IFERROR(INDEX(Dataset!$A:$V,MATCH(Calculations!M$250&amp;Calculations!$X296,Dataset!$V:$V,0),MATCH(Calculations!$A$1,Dataset!$A$1:$V$1,0)),"")</f>
        <v>31.813957411740219</v>
      </c>
      <c r="N296" s="869">
        <f>IFERROR(INDEX(Dataset!$A:$V,MATCH(Calculations!N$250&amp;Calculations!$X296,Dataset!$V:$V,0),MATCH(Calculations!$A$1,Dataset!$A$1:$V$1,0)),"")</f>
        <v>30.55969102765366</v>
      </c>
      <c r="O296" s="869">
        <f>IFERROR(INDEX(Dataset!$A:$V,MATCH(Calculations!O$250&amp;Calculations!$X296,Dataset!$V:$V,0),MATCH(Calculations!$A$1,Dataset!$A$1:$V$1,0)),"")</f>
        <v>29.138776128013735</v>
      </c>
      <c r="P296" s="869">
        <f>IFERROR(INDEX(Dataset!$A:$V,MATCH(Calculations!P$250&amp;Calculations!$X296,Dataset!$V:$V,0),MATCH(Calculations!$A$1,Dataset!$A$1:$V$1,0)),"")</f>
        <v>28.382892876304233</v>
      </c>
      <c r="Q296" s="869">
        <f>IFERROR(INDEX(Dataset!$A:$V,MATCH(Calculations!Q$250&amp;Calculations!$X296,Dataset!$V:$V,0),MATCH(Calculations!$A$1,Dataset!$A$1:$V$1,0)),"")</f>
        <v>28.898182858637089</v>
      </c>
      <c r="R296" s="869">
        <f>IFERROR(INDEX(Dataset!$A:$V,MATCH(Calculations!R$250&amp;Calculations!$X296,Dataset!$V:$V,0),MATCH(Calculations!$A$1,Dataset!$A$1:$V$1,0)),"")</f>
        <v>29.886577443425001</v>
      </c>
      <c r="S296" s="869">
        <f>IFERROR(INDEX(Dataset!$A:$V,MATCH(Calculations!S$250&amp;Calculations!$X296,Dataset!$V:$V,0),MATCH(Calculations!$A$1,Dataset!$A$1:$V$1,0)),"")</f>
        <v>35.716099999999997</v>
      </c>
      <c r="T296" s="869" t="str">
        <f>IFERROR(INDEX(Dataset!$A:$V,MATCH(Calculations!T$250&amp;Calculations!$X296,Dataset!$V:$V,0),MATCH(Calculations!$A$1,Dataset!$A$1:$V$1,0)),"")</f>
        <v/>
      </c>
      <c r="X296" t="s">
        <v>1107</v>
      </c>
    </row>
    <row r="297" spans="1:24">
      <c r="A297" s="869" t="s">
        <v>1086</v>
      </c>
      <c r="B297" s="869"/>
      <c r="C297" s="869"/>
      <c r="D297" s="869"/>
      <c r="E297" s="869"/>
      <c r="F297" s="869"/>
      <c r="G297" s="869"/>
      <c r="H297" s="869"/>
      <c r="I297" s="869"/>
      <c r="J297" s="869"/>
      <c r="K297" s="869"/>
      <c r="L297" s="869"/>
      <c r="M297" s="869">
        <f>IFERROR(INDEX(Dataset!$A:$V,MATCH(Calculations!M$250&amp;Calculations!$X297,Dataset!$V:$V,0),MATCH(Calculations!$A$1,Dataset!$A$1:$V$1,0)),"")</f>
        <v>-3.0362431818218596</v>
      </c>
      <c r="N297" s="869">
        <f>IFERROR(INDEX(Dataset!$A:$V,MATCH(Calculations!N$250&amp;Calculations!$X297,Dataset!$V:$V,0),MATCH(Calculations!$A$1,Dataset!$A$1:$V$1,0)),"")</f>
        <v>-4.3422083470056343</v>
      </c>
      <c r="O297" s="869">
        <f>IFERROR(INDEX(Dataset!$A:$V,MATCH(Calculations!O$250&amp;Calculations!$X297,Dataset!$V:$V,0),MATCH(Calculations!$A$1,Dataset!$A$1:$V$1,0)),"")</f>
        <v>-5.6492549735162605</v>
      </c>
      <c r="P297" s="869">
        <f>IFERROR(INDEX(Dataset!$A:$V,MATCH(Calculations!P$250&amp;Calculations!$X297,Dataset!$V:$V,0),MATCH(Calculations!$A$1,Dataset!$A$1:$V$1,0)),"")</f>
        <v>-6.4952693843618903</v>
      </c>
      <c r="Q297" s="869">
        <f>IFERROR(INDEX(Dataset!$A:$V,MATCH(Calculations!Q$250&amp;Calculations!$X297,Dataset!$V:$V,0),MATCH(Calculations!$A$1,Dataset!$A$1:$V$1,0)),"")</f>
        <v>-6.2592795309956664</v>
      </c>
      <c r="R297" s="869">
        <f>IFERROR(INDEX(Dataset!$A:$V,MATCH(Calculations!R$250&amp;Calculations!$X297,Dataset!$V:$V,0),MATCH(Calculations!$A$1,Dataset!$A$1:$V$1,0)),"")</f>
        <v>-5.4666728919544987</v>
      </c>
      <c r="S297" s="869">
        <f>IFERROR(INDEX(Dataset!$A:$V,MATCH(Calculations!S$250&amp;Calculations!$X297,Dataset!$V:$V,0),MATCH(Calculations!$A$1,Dataset!$A$1:$V$1,0)),"")</f>
        <v>0.12531509151131104</v>
      </c>
      <c r="T297" s="869" t="str">
        <f>IFERROR(INDEX(Dataset!$A:$V,MATCH(Calculations!T$250&amp;Calculations!$X297,Dataset!$V:$V,0),MATCH(Calculations!$A$1,Dataset!$A$1:$V$1,0)),"")</f>
        <v/>
      </c>
      <c r="X297" t="s">
        <v>1108</v>
      </c>
    </row>
    <row r="298" spans="1:24">
      <c r="A298" s="869" t="s">
        <v>1088</v>
      </c>
      <c r="B298" s="869"/>
      <c r="C298" s="869"/>
      <c r="D298" s="869"/>
      <c r="E298" s="869"/>
      <c r="F298" s="869"/>
      <c r="G298" s="869"/>
      <c r="H298" s="869"/>
      <c r="I298" s="869"/>
      <c r="J298" s="869"/>
      <c r="K298" s="869"/>
      <c r="L298" s="869"/>
      <c r="M298" s="871">
        <f>IFERROR(INDEX(Dataset!$A:$V,MATCH(Calculations!M$250&amp;Calculations!$X298,Dataset!$V:$V,0),MATCH(Calculations!$A$1,Dataset!$A$1:$V$1,0)),"")</f>
        <v>-8.7122688825577332E-2</v>
      </c>
      <c r="N298" s="871">
        <f>IFERROR(INDEX(Dataset!$A:$V,MATCH(Calculations!N$250&amp;Calculations!$X298,Dataset!$V:$V,0),MATCH(Calculations!$A$1,Dataset!$A$1:$V$1,0)),"")</f>
        <v>-0.12441180637172765</v>
      </c>
      <c r="O298" s="871">
        <f>IFERROR(INDEX(Dataset!$A:$V,MATCH(Calculations!O$250&amp;Calculations!$X298,Dataset!$V:$V,0),MATCH(Calculations!$A$1,Dataset!$A$1:$V$1,0)),"")</f>
        <v>-0.16239076471527597</v>
      </c>
      <c r="P298" s="871">
        <f>IFERROR(INDEX(Dataset!$A:$V,MATCH(Calculations!P$250&amp;Calculations!$X298,Dataset!$V:$V,0),MATCH(Calculations!$A$1,Dataset!$A$1:$V$1,0)),"")</f>
        <v>-0.18622739741327873</v>
      </c>
      <c r="Q298" s="871">
        <f>IFERROR(INDEX(Dataset!$A:$V,MATCH(Calculations!Q$250&amp;Calculations!$X298,Dataset!$V:$V,0),MATCH(Calculations!$A$1,Dataset!$A$1:$V$1,0)),"")</f>
        <v>-0.17803558919091397</v>
      </c>
      <c r="R298" s="871">
        <f>IFERROR(INDEX(Dataset!$A:$V,MATCH(Calculations!R$250&amp;Calculations!$X298,Dataset!$V:$V,0),MATCH(Calculations!$A$1,Dataset!$A$1:$V$1,0)),"")</f>
        <v>-0.15462999413334752</v>
      </c>
      <c r="S298" s="871">
        <f>IFERROR(INDEX(Dataset!$A:$V,MATCH(Calculations!S$250&amp;Calculations!$X298,Dataset!$V:$V,0),MATCH(Calculations!$A$1,Dataset!$A$1:$V$1,0)),"")</f>
        <v>3.5209982537199509E-3</v>
      </c>
      <c r="T298" s="871" t="str">
        <f>IFERROR(INDEX(Dataset!$A:$V,MATCH(Calculations!T$250&amp;Calculations!$X298,Dataset!$V:$V,0),MATCH(Calculations!$A$1,Dataset!$A$1:$V$1,0)),"")</f>
        <v/>
      </c>
      <c r="X298" t="s">
        <v>1109</v>
      </c>
    </row>
    <row r="300" spans="1:24">
      <c r="A300" s="828" t="s">
        <v>59</v>
      </c>
    </row>
    <row r="301" spans="1:24">
      <c r="A301" s="869" t="s">
        <v>1080</v>
      </c>
      <c r="B301" s="869"/>
      <c r="C301" s="869"/>
      <c r="D301" s="869"/>
      <c r="E301" s="869"/>
      <c r="F301" s="869"/>
      <c r="G301" s="869"/>
      <c r="H301" s="869"/>
      <c r="I301" s="869"/>
      <c r="J301" s="869"/>
      <c r="K301" s="869"/>
      <c r="L301" s="869"/>
      <c r="M301" s="869">
        <f>IFERROR(INDEX(Dataset!$A:$V,MATCH(Calculations!M$250&amp;Calculations!$X301,Dataset!$V:$V,0),MATCH(Calculations!$A$1,Dataset!$A$1:$V$1,0)),"")</f>
        <v>10.737356728572536</v>
      </c>
      <c r="N301" s="869">
        <f>IFERROR(INDEX(Dataset!$A:$V,MATCH(Calculations!N$250&amp;Calculations!$X301,Dataset!$V:$V,0),MATCH(Calculations!$A$1,Dataset!$A$1:$V$1,0)),"")</f>
        <v>11.137365083051215</v>
      </c>
      <c r="O301" s="869">
        <f>IFERROR(INDEX(Dataset!$A:$V,MATCH(Calculations!O$250&amp;Calculations!$X301,Dataset!$V:$V,0),MATCH(Calculations!$A$1,Dataset!$A$1:$V$1,0)),"")</f>
        <v>11.616774598363856</v>
      </c>
      <c r="P301" s="869">
        <f>IFERROR(INDEX(Dataset!$A:$V,MATCH(Calculations!P$250&amp;Calculations!$X301,Dataset!$V:$V,0),MATCH(Calculations!$A$1,Dataset!$A$1:$V$1,0)),"")</f>
        <v>11.679174464371084</v>
      </c>
      <c r="Q301" s="869">
        <f>IFERROR(INDEX(Dataset!$A:$V,MATCH(Calculations!Q$250&amp;Calculations!$X301,Dataset!$V:$V,0),MATCH(Calculations!$A$1,Dataset!$A$1:$V$1,0)),"")</f>
        <v>11.539341297625187</v>
      </c>
      <c r="R301" s="869">
        <f>IFERROR(INDEX(Dataset!$A:$V,MATCH(Calculations!R$250&amp;Calculations!$X301,Dataset!$V:$V,0),MATCH(Calculations!$A$1,Dataset!$A$1:$V$1,0)),"")</f>
        <v>11.608308861467959</v>
      </c>
      <c r="S301" s="869">
        <f>IFERROR(INDEX(Dataset!$A:$V,MATCH(Calculations!S$250&amp;Calculations!$X301,Dataset!$V:$V,0),MATCH(Calculations!$A$1,Dataset!$A$1:$V$1,0)),"")</f>
        <v>11.323073301998306</v>
      </c>
      <c r="T301" s="869">
        <f>IFERROR(INDEX(Dataset!$A:$V,MATCH(Calculations!T$250&amp;Calculations!$X301,Dataset!$V:$V,0),MATCH(Calculations!$A$1,Dataset!$A$1:$V$1,0)),"")</f>
        <v>11.095232614060071</v>
      </c>
      <c r="X301" t="s">
        <v>1110</v>
      </c>
    </row>
    <row r="302" spans="1:24">
      <c r="A302" s="869" t="s">
        <v>1082</v>
      </c>
      <c r="B302" s="869"/>
      <c r="C302" s="869"/>
      <c r="D302" s="869"/>
      <c r="E302" s="869"/>
      <c r="F302" s="869"/>
      <c r="G302" s="869"/>
      <c r="H302" s="869"/>
      <c r="I302" s="869"/>
      <c r="J302" s="869"/>
      <c r="K302" s="869"/>
      <c r="L302" s="869"/>
      <c r="M302" s="869">
        <f>IFERROR(INDEX(Dataset!$A:$V,MATCH(Calculations!M$250&amp;Calculations!$X302,Dataset!$V:$V,0),MATCH(Calculations!$A$1,Dataset!$A$1:$V$1,0)),"")</f>
        <v>10.737356728572536</v>
      </c>
      <c r="N302" s="869">
        <f>IFERROR(INDEX(Dataset!$A:$V,MATCH(Calculations!N$250&amp;Calculations!$X302,Dataset!$V:$V,0),MATCH(Calculations!$A$1,Dataset!$A$1:$V$1,0)),"")</f>
        <v>11.137365083051215</v>
      </c>
      <c r="O302" s="869">
        <f>IFERROR(INDEX(Dataset!$A:$V,MATCH(Calculations!O$250&amp;Calculations!$X302,Dataset!$V:$V,0),MATCH(Calculations!$A$1,Dataset!$A$1:$V$1,0)),"")</f>
        <v>11.616774598363856</v>
      </c>
      <c r="P302" s="869">
        <f>IFERROR(INDEX(Dataset!$A:$V,MATCH(Calculations!P$250&amp;Calculations!$X302,Dataset!$V:$V,0),MATCH(Calculations!$A$1,Dataset!$A$1:$V$1,0)),"")</f>
        <v>11.679174464371084</v>
      </c>
      <c r="Q302" s="869">
        <f>IFERROR(INDEX(Dataset!$A:$V,MATCH(Calculations!Q$250&amp;Calculations!$X302,Dataset!$V:$V,0),MATCH(Calculations!$A$1,Dataset!$A$1:$V$1,0)),"")</f>
        <v>11.539341297625187</v>
      </c>
      <c r="R302" s="869">
        <f>IFERROR(INDEX(Dataset!$A:$V,MATCH(Calculations!R$250&amp;Calculations!$X302,Dataset!$V:$V,0),MATCH(Calculations!$A$1,Dataset!$A$1:$V$1,0)),"")</f>
        <v>11.608308861467959</v>
      </c>
      <c r="S302" s="869">
        <f>IFERROR(INDEX(Dataset!$A:$V,MATCH(Calculations!S$250&amp;Calculations!$X302,Dataset!$V:$V,0),MATCH(Calculations!$A$1,Dataset!$A$1:$V$1,0)),"")</f>
        <v>11.323073301998306</v>
      </c>
      <c r="T302" s="869">
        <f>IFERROR(INDEX(Dataset!$A:$V,MATCH(Calculations!T$250&amp;Calculations!$X302,Dataset!$V:$V,0),MATCH(Calculations!$A$1,Dataset!$A$1:$V$1,0)),"")</f>
        <v>11.095232614060071</v>
      </c>
      <c r="X302" t="s">
        <v>1111</v>
      </c>
    </row>
    <row r="303" spans="1:24">
      <c r="A303" s="869" t="s">
        <v>1084</v>
      </c>
      <c r="B303" s="869"/>
      <c r="C303" s="869"/>
      <c r="D303" s="869"/>
      <c r="E303" s="869"/>
      <c r="F303" s="869"/>
      <c r="G303" s="869"/>
      <c r="H303" s="869"/>
      <c r="I303" s="869"/>
      <c r="J303" s="869"/>
      <c r="K303" s="869"/>
      <c r="L303" s="869"/>
      <c r="M303" s="869">
        <f>IFERROR(INDEX(Dataset!$A:$V,MATCH(Calculations!M$250&amp;Calculations!$X303,Dataset!$V:$V,0),MATCH(Calculations!$A$1,Dataset!$A$1:$V$1,0)),"")</f>
        <v>18.829980643942751</v>
      </c>
      <c r="N303" s="869">
        <f>IFERROR(INDEX(Dataset!$A:$V,MATCH(Calculations!N$250&amp;Calculations!$X303,Dataset!$V:$V,0),MATCH(Calculations!$A$1,Dataset!$A$1:$V$1,0)),"")</f>
        <v>23.260291078975968</v>
      </c>
      <c r="O303" s="869">
        <f>IFERROR(INDEX(Dataset!$A:$V,MATCH(Calculations!O$250&amp;Calculations!$X303,Dataset!$V:$V,0),MATCH(Calculations!$A$1,Dataset!$A$1:$V$1,0)),"")</f>
        <v>20.129265440074498</v>
      </c>
      <c r="P303" s="869">
        <f>IFERROR(INDEX(Dataset!$A:$V,MATCH(Calculations!P$250&amp;Calculations!$X303,Dataset!$V:$V,0),MATCH(Calculations!$A$1,Dataset!$A$1:$V$1,0)),"")</f>
        <v>17.111229801488133</v>
      </c>
      <c r="Q303" s="869">
        <f>IFERROR(INDEX(Dataset!$A:$V,MATCH(Calculations!Q$250&amp;Calculations!$X303,Dataset!$V:$V,0),MATCH(Calculations!$A$1,Dataset!$A$1:$V$1,0)),"")</f>
        <v>14.532169101506321</v>
      </c>
      <c r="R303" s="869">
        <f>IFERROR(INDEX(Dataset!$A:$V,MATCH(Calculations!R$250&amp;Calculations!$X303,Dataset!$V:$V,0),MATCH(Calculations!$A$1,Dataset!$A$1:$V$1,0)),"")</f>
        <v>14.338990600577228</v>
      </c>
      <c r="S303" s="869">
        <f>IFERROR(INDEX(Dataset!$A:$V,MATCH(Calculations!S$250&amp;Calculations!$X303,Dataset!$V:$V,0),MATCH(Calculations!$A$1,Dataset!$A$1:$V$1,0)),"")</f>
        <v>14.074099999999998</v>
      </c>
      <c r="T303" s="869" t="str">
        <f>IFERROR(INDEX(Dataset!$A:$V,MATCH(Calculations!T$250&amp;Calculations!$X303,Dataset!$V:$V,0),MATCH(Calculations!$A$1,Dataset!$A$1:$V$1,0)),"")</f>
        <v/>
      </c>
      <c r="X303" t="s">
        <v>1112</v>
      </c>
    </row>
    <row r="304" spans="1:24">
      <c r="A304" s="869" t="s">
        <v>1086</v>
      </c>
      <c r="B304" s="869"/>
      <c r="C304" s="869"/>
      <c r="D304" s="869"/>
      <c r="E304" s="869"/>
      <c r="F304" s="869"/>
      <c r="G304" s="869"/>
      <c r="H304" s="869"/>
      <c r="I304" s="869"/>
      <c r="J304" s="869"/>
      <c r="K304" s="869"/>
      <c r="L304" s="869"/>
      <c r="M304" s="869">
        <f>IFERROR(INDEX(Dataset!$A:$V,MATCH(Calculations!M$250&amp;Calculations!$X304,Dataset!$V:$V,0),MATCH(Calculations!$A$1,Dataset!$A$1:$V$1,0)),"")</f>
        <v>8.0926239153702149</v>
      </c>
      <c r="N304" s="869">
        <f>IFERROR(INDEX(Dataset!$A:$V,MATCH(Calculations!N$250&amp;Calculations!$X304,Dataset!$V:$V,0),MATCH(Calculations!$A$1,Dataset!$A$1:$V$1,0)),"")</f>
        <v>12.122925995924753</v>
      </c>
      <c r="O304" s="869">
        <f>IFERROR(INDEX(Dataset!$A:$V,MATCH(Calculations!O$250&amp;Calculations!$X304,Dataset!$V:$V,0),MATCH(Calculations!$A$1,Dataset!$A$1:$V$1,0)),"")</f>
        <v>8.5124908417106422</v>
      </c>
      <c r="P304" s="869">
        <f>IFERROR(INDEX(Dataset!$A:$V,MATCH(Calculations!P$250&amp;Calculations!$X304,Dataset!$V:$V,0),MATCH(Calculations!$A$1,Dataset!$A$1:$V$1,0)),"")</f>
        <v>5.432055337117049</v>
      </c>
      <c r="Q304" s="869">
        <f>IFERROR(INDEX(Dataset!$A:$V,MATCH(Calculations!Q$250&amp;Calculations!$X304,Dataset!$V:$V,0),MATCH(Calculations!$A$1,Dataset!$A$1:$V$1,0)),"")</f>
        <v>2.9928278038811342</v>
      </c>
      <c r="R304" s="869">
        <f>IFERROR(INDEX(Dataset!$A:$V,MATCH(Calculations!R$250&amp;Calculations!$X304,Dataset!$V:$V,0),MATCH(Calculations!$A$1,Dataset!$A$1:$V$1,0)),"")</f>
        <v>2.7306817391092686</v>
      </c>
      <c r="S304" s="869">
        <f>IFERROR(INDEX(Dataset!$A:$V,MATCH(Calculations!S$250&amp;Calculations!$X304,Dataset!$V:$V,0),MATCH(Calculations!$A$1,Dataset!$A$1:$V$1,0)),"")</f>
        <v>2.7510266980016915</v>
      </c>
      <c r="T304" s="869" t="str">
        <f>IFERROR(INDEX(Dataset!$A:$V,MATCH(Calculations!T$250&amp;Calculations!$X304,Dataset!$V:$V,0),MATCH(Calculations!$A$1,Dataset!$A$1:$V$1,0)),"")</f>
        <v/>
      </c>
      <c r="X304" t="s">
        <v>1113</v>
      </c>
    </row>
    <row r="305" spans="1:24">
      <c r="A305" s="869" t="s">
        <v>1088</v>
      </c>
      <c r="B305" s="869"/>
      <c r="C305" s="869"/>
      <c r="D305" s="869"/>
      <c r="E305" s="869"/>
      <c r="F305" s="869"/>
      <c r="G305" s="869"/>
      <c r="H305" s="869"/>
      <c r="I305" s="869"/>
      <c r="J305" s="869"/>
      <c r="K305" s="869"/>
      <c r="L305" s="869"/>
      <c r="M305" s="871">
        <f>IFERROR(INDEX(Dataset!$A:$V,MATCH(Calculations!M$250&amp;Calculations!$X305,Dataset!$V:$V,0),MATCH(Calculations!$A$1,Dataset!$A$1:$V$1,0)),"")</f>
        <v>0.75368865168048471</v>
      </c>
      <c r="N305" s="871">
        <f>IFERROR(INDEX(Dataset!$A:$V,MATCH(Calculations!N$250&amp;Calculations!$X305,Dataset!$V:$V,0),MATCH(Calculations!$A$1,Dataset!$A$1:$V$1,0)),"")</f>
        <v>1.0884913896172228</v>
      </c>
      <c r="O305" s="871">
        <f>IFERROR(INDEX(Dataset!$A:$V,MATCH(Calculations!O$250&amp;Calculations!$X305,Dataset!$V:$V,0),MATCH(Calculations!$A$1,Dataset!$A$1:$V$1,0)),"")</f>
        <v>0.73277576057209282</v>
      </c>
      <c r="P305" s="871">
        <f>IFERROR(INDEX(Dataset!$A:$V,MATCH(Calculations!P$250&amp;Calculations!$X305,Dataset!$V:$V,0),MATCH(Calculations!$A$1,Dataset!$A$1:$V$1,0)),"")</f>
        <v>0.46510610434738137</v>
      </c>
      <c r="Q305" s="871">
        <f>IFERROR(INDEX(Dataset!$A:$V,MATCH(Calculations!Q$250&amp;Calculations!$X305,Dataset!$V:$V,0),MATCH(Calculations!$A$1,Dataset!$A$1:$V$1,0)),"")</f>
        <v>0.25935863466462011</v>
      </c>
      <c r="R305" s="871">
        <f>IFERROR(INDEX(Dataset!$A:$V,MATCH(Calculations!R$250&amp;Calculations!$X305,Dataset!$V:$V,0),MATCH(Calculations!$A$1,Dataset!$A$1:$V$1,0)),"")</f>
        <v>0.23523510372586287</v>
      </c>
      <c r="S305" s="871">
        <f>IFERROR(INDEX(Dataset!$A:$V,MATCH(Calculations!S$250&amp;Calculations!$X305,Dataset!$V:$V,0),MATCH(Calculations!$A$1,Dataset!$A$1:$V$1,0)),"")</f>
        <v>0.24295759858025365</v>
      </c>
      <c r="T305" s="871" t="str">
        <f>IFERROR(INDEX(Dataset!$A:$V,MATCH(Calculations!T$250&amp;Calculations!$X305,Dataset!$V:$V,0),MATCH(Calculations!$A$1,Dataset!$A$1:$V$1,0)),"")</f>
        <v/>
      </c>
      <c r="X305" t="s">
        <v>1114</v>
      </c>
    </row>
    <row r="307" spans="1:24">
      <c r="A307" s="828" t="s">
        <v>61</v>
      </c>
    </row>
    <row r="308" spans="1:24">
      <c r="A308" s="869" t="s">
        <v>1080</v>
      </c>
      <c r="B308" s="869"/>
      <c r="C308" s="869"/>
      <c r="D308" s="869"/>
      <c r="E308" s="869"/>
      <c r="F308" s="869"/>
      <c r="G308" s="869"/>
      <c r="H308" s="869"/>
      <c r="I308" s="869"/>
      <c r="J308" s="869"/>
      <c r="K308" s="869"/>
      <c r="L308" s="869"/>
      <c r="M308" s="869">
        <f>IFERROR(INDEX(Dataset!$A:$V,MATCH(Calculations!M$250&amp;Calculations!$X308,Dataset!$V:$V,0),MATCH(Calculations!$A$1,Dataset!$A$1:$V$1,0)),"")</f>
        <v>2.7824595518437674</v>
      </c>
      <c r="N308" s="869">
        <f>IFERROR(INDEX(Dataset!$A:$V,MATCH(Calculations!N$250&amp;Calculations!$X308,Dataset!$V:$V,0),MATCH(Calculations!$A$1,Dataset!$A$1:$V$1,0)),"")</f>
        <v>2.8336075715907052</v>
      </c>
      <c r="O308" s="869">
        <f>IFERROR(INDEX(Dataset!$A:$V,MATCH(Calculations!O$250&amp;Calculations!$X308,Dataset!$V:$V,0),MATCH(Calculations!$A$1,Dataset!$A$1:$V$1,0)),"")</f>
        <v>2.9978334736839907</v>
      </c>
      <c r="P308" s="869">
        <f>IFERROR(INDEX(Dataset!$A:$V,MATCH(Calculations!P$250&amp;Calculations!$X308,Dataset!$V:$V,0),MATCH(Calculations!$A$1,Dataset!$A$1:$V$1,0)),"")</f>
        <v>3.2492738261970771</v>
      </c>
      <c r="Q308" s="869">
        <f>IFERROR(INDEX(Dataset!$A:$V,MATCH(Calculations!Q$250&amp;Calculations!$X308,Dataset!$V:$V,0),MATCH(Calculations!$A$1,Dataset!$A$1:$V$1,0)),"")</f>
        <v>3.2344663338336628</v>
      </c>
      <c r="R308" s="869">
        <f>IFERROR(INDEX(Dataset!$A:$V,MATCH(Calculations!R$250&amp;Calculations!$X308,Dataset!$V:$V,0),MATCH(Calculations!$A$1,Dataset!$A$1:$V$1,0)),"")</f>
        <v>3.3264119525462781</v>
      </c>
      <c r="S308" s="869">
        <f>IFERROR(INDEX(Dataset!$A:$V,MATCH(Calculations!S$250&amp;Calculations!$X308,Dataset!$V:$V,0),MATCH(Calculations!$A$1,Dataset!$A$1:$V$1,0)),"")</f>
        <v>3.4355486208766375</v>
      </c>
      <c r="T308" s="869">
        <f>IFERROR(INDEX(Dataset!$A:$V,MATCH(Calculations!T$250&amp;Calculations!$X308,Dataset!$V:$V,0),MATCH(Calculations!$A$1,Dataset!$A$1:$V$1,0)),"")</f>
        <v>3.5523636458516119</v>
      </c>
      <c r="X308" t="s">
        <v>1115</v>
      </c>
    </row>
    <row r="309" spans="1:24">
      <c r="A309" s="869" t="s">
        <v>1082</v>
      </c>
      <c r="B309" s="869"/>
      <c r="C309" s="869"/>
      <c r="D309" s="869"/>
      <c r="E309" s="869"/>
      <c r="F309" s="869"/>
      <c r="G309" s="869"/>
      <c r="H309" s="869"/>
      <c r="I309" s="869"/>
      <c r="J309" s="869"/>
      <c r="K309" s="869"/>
      <c r="L309" s="869"/>
      <c r="M309" s="869">
        <f>IFERROR(INDEX(Dataset!$A:$V,MATCH(Calculations!M$250&amp;Calculations!$X309,Dataset!$V:$V,0),MATCH(Calculations!$A$1,Dataset!$A$1:$V$1,0)),"")</f>
        <v>2.7824595518437674</v>
      </c>
      <c r="N309" s="869">
        <f>IFERROR(INDEX(Dataset!$A:$V,MATCH(Calculations!N$250&amp;Calculations!$X309,Dataset!$V:$V,0),MATCH(Calculations!$A$1,Dataset!$A$1:$V$1,0)),"")</f>
        <v>2.8336075715907052</v>
      </c>
      <c r="O309" s="869">
        <f>IFERROR(INDEX(Dataset!$A:$V,MATCH(Calculations!O$250&amp;Calculations!$X309,Dataset!$V:$V,0),MATCH(Calculations!$A$1,Dataset!$A$1:$V$1,0)),"")</f>
        <v>2.9978334736839907</v>
      </c>
      <c r="P309" s="869">
        <f>IFERROR(INDEX(Dataset!$A:$V,MATCH(Calculations!P$250&amp;Calculations!$X309,Dataset!$V:$V,0),MATCH(Calculations!$A$1,Dataset!$A$1:$V$1,0)),"")</f>
        <v>3.2492738261970771</v>
      </c>
      <c r="Q309" s="869">
        <f>IFERROR(INDEX(Dataset!$A:$V,MATCH(Calculations!Q$250&amp;Calculations!$X309,Dataset!$V:$V,0),MATCH(Calculations!$A$1,Dataset!$A$1:$V$1,0)),"")</f>
        <v>3.2344663338336628</v>
      </c>
      <c r="R309" s="869">
        <f>IFERROR(INDEX(Dataset!$A:$V,MATCH(Calculations!R$250&amp;Calculations!$X309,Dataset!$V:$V,0),MATCH(Calculations!$A$1,Dataset!$A$1:$V$1,0)),"")</f>
        <v>3.3264119525462781</v>
      </c>
      <c r="S309" s="869">
        <f>IFERROR(INDEX(Dataset!$A:$V,MATCH(Calculations!S$250&amp;Calculations!$X309,Dataset!$V:$V,0),MATCH(Calculations!$A$1,Dataset!$A$1:$V$1,0)),"")</f>
        <v>3.4355486208766375</v>
      </c>
      <c r="T309" s="869">
        <f>IFERROR(INDEX(Dataset!$A:$V,MATCH(Calculations!T$250&amp;Calculations!$X309,Dataset!$V:$V,0),MATCH(Calculations!$A$1,Dataset!$A$1:$V$1,0)),"")</f>
        <v>3.5523636458516119</v>
      </c>
      <c r="X309" t="s">
        <v>1116</v>
      </c>
    </row>
    <row r="310" spans="1:24">
      <c r="A310" s="869" t="s">
        <v>1084</v>
      </c>
      <c r="B310" s="869"/>
      <c r="C310" s="869"/>
      <c r="D310" s="869"/>
      <c r="E310" s="869"/>
      <c r="F310" s="869"/>
      <c r="G310" s="869"/>
      <c r="H310" s="869"/>
      <c r="I310" s="869"/>
      <c r="J310" s="869"/>
      <c r="K310" s="869"/>
      <c r="L310" s="869"/>
      <c r="M310" s="869">
        <f>IFERROR(INDEX(Dataset!$A:$V,MATCH(Calculations!M$250&amp;Calculations!$X310,Dataset!$V:$V,0),MATCH(Calculations!$A$1,Dataset!$A$1:$V$1,0)),"")</f>
        <v>6.7129136462978884</v>
      </c>
      <c r="N310" s="869">
        <f>IFERROR(INDEX(Dataset!$A:$V,MATCH(Calculations!N$250&amp;Calculations!$X310,Dataset!$V:$V,0),MATCH(Calculations!$A$1,Dataset!$A$1:$V$1,0)),"")</f>
        <v>3.2215806092259394</v>
      </c>
      <c r="O310" s="869">
        <f>IFERROR(INDEX(Dataset!$A:$V,MATCH(Calculations!O$250&amp;Calculations!$X310,Dataset!$V:$V,0),MATCH(Calculations!$A$1,Dataset!$A$1:$V$1,0)),"")</f>
        <v>4.0425593755001676</v>
      </c>
      <c r="P310" s="869">
        <f>IFERROR(INDEX(Dataset!$A:$V,MATCH(Calculations!P$250&amp;Calculations!$X310,Dataset!$V:$V,0),MATCH(Calculations!$A$1,Dataset!$A$1:$V$1,0)),"")</f>
        <v>4.991457221822186</v>
      </c>
      <c r="Q310" s="869">
        <f>IFERROR(INDEX(Dataset!$A:$V,MATCH(Calculations!Q$250&amp;Calculations!$X310,Dataset!$V:$V,0),MATCH(Calculations!$A$1,Dataset!$A$1:$V$1,0)),"")</f>
        <v>4.4124307464165531</v>
      </c>
      <c r="R310" s="869">
        <f>IFERROR(INDEX(Dataset!$A:$V,MATCH(Calculations!R$250&amp;Calculations!$X310,Dataset!$V:$V,0),MATCH(Calculations!$A$1,Dataset!$A$1:$V$1,0)),"")</f>
        <v>5.3496049486787234</v>
      </c>
      <c r="S310" s="869">
        <f>IFERROR(INDEX(Dataset!$A:$V,MATCH(Calculations!S$250&amp;Calculations!$X310,Dataset!$V:$V,0),MATCH(Calculations!$A$1,Dataset!$A$1:$V$1,0)),"")</f>
        <v>8.2233999999999998</v>
      </c>
      <c r="T310" s="869" t="str">
        <f>IFERROR(INDEX(Dataset!$A:$V,MATCH(Calculations!T$250&amp;Calculations!$X310,Dataset!$V:$V,0),MATCH(Calculations!$A$1,Dataset!$A$1:$V$1,0)),"")</f>
        <v/>
      </c>
      <c r="X310" t="s">
        <v>1117</v>
      </c>
    </row>
    <row r="311" spans="1:24">
      <c r="A311" s="869" t="s">
        <v>1086</v>
      </c>
      <c r="B311" s="869"/>
      <c r="C311" s="869"/>
      <c r="D311" s="869"/>
      <c r="E311" s="869"/>
      <c r="F311" s="869"/>
      <c r="G311" s="869"/>
      <c r="H311" s="869"/>
      <c r="I311" s="869"/>
      <c r="J311" s="869"/>
      <c r="K311" s="869"/>
      <c r="L311" s="869"/>
      <c r="M311" s="869">
        <f>IFERROR(INDEX(Dataset!$A:$V,MATCH(Calculations!M$250&amp;Calculations!$X311,Dataset!$V:$V,0),MATCH(Calculations!$A$1,Dataset!$A$1:$V$1,0)),"")</f>
        <v>3.9304540944541211</v>
      </c>
      <c r="N311" s="869">
        <f>IFERROR(INDEX(Dataset!$A:$V,MATCH(Calculations!N$250&amp;Calculations!$X311,Dataset!$V:$V,0),MATCH(Calculations!$A$1,Dataset!$A$1:$V$1,0)),"")</f>
        <v>0.38797303763523416</v>
      </c>
      <c r="O311" s="869">
        <f>IFERROR(INDEX(Dataset!$A:$V,MATCH(Calculations!O$250&amp;Calculations!$X311,Dataset!$V:$V,0),MATCH(Calculations!$A$1,Dataset!$A$1:$V$1,0)),"")</f>
        <v>1.044725901816177</v>
      </c>
      <c r="P311" s="869">
        <f>IFERROR(INDEX(Dataset!$A:$V,MATCH(Calculations!P$250&amp;Calculations!$X311,Dataset!$V:$V,0),MATCH(Calculations!$A$1,Dataset!$A$1:$V$1,0)),"")</f>
        <v>1.7421833956251089</v>
      </c>
      <c r="Q311" s="869">
        <f>IFERROR(INDEX(Dataset!$A:$V,MATCH(Calculations!Q$250&amp;Calculations!$X311,Dataset!$V:$V,0),MATCH(Calculations!$A$1,Dataset!$A$1:$V$1,0)),"")</f>
        <v>1.1779644125828903</v>
      </c>
      <c r="R311" s="869">
        <f>IFERROR(INDEX(Dataset!$A:$V,MATCH(Calculations!R$250&amp;Calculations!$X311,Dataset!$V:$V,0),MATCH(Calculations!$A$1,Dataset!$A$1:$V$1,0)),"")</f>
        <v>2.0231929961324453</v>
      </c>
      <c r="S311" s="869">
        <f>IFERROR(INDEX(Dataset!$A:$V,MATCH(Calculations!S$250&amp;Calculations!$X311,Dataset!$V:$V,0),MATCH(Calculations!$A$1,Dataset!$A$1:$V$1,0)),"")</f>
        <v>4.7878513791233619</v>
      </c>
      <c r="T311" s="869" t="str">
        <f>IFERROR(INDEX(Dataset!$A:$V,MATCH(Calculations!T$250&amp;Calculations!$X311,Dataset!$V:$V,0),MATCH(Calculations!$A$1,Dataset!$A$1:$V$1,0)),"")</f>
        <v/>
      </c>
      <c r="X311" t="s">
        <v>1118</v>
      </c>
    </row>
    <row r="312" spans="1:24">
      <c r="A312" s="869" t="s">
        <v>1088</v>
      </c>
      <c r="B312" s="869"/>
      <c r="C312" s="869"/>
      <c r="D312" s="869"/>
      <c r="E312" s="869"/>
      <c r="F312" s="869"/>
      <c r="G312" s="869"/>
      <c r="H312" s="869"/>
      <c r="I312" s="869"/>
      <c r="J312" s="869"/>
      <c r="K312" s="869"/>
      <c r="L312" s="869"/>
      <c r="M312" s="871">
        <f>IFERROR(INDEX(Dataset!$A:$V,MATCH(Calculations!M$250&amp;Calculations!$X312,Dataset!$V:$V,0),MATCH(Calculations!$A$1,Dataset!$A$1:$V$1,0)),"")</f>
        <v>1.4125826525850653</v>
      </c>
      <c r="N312" s="871">
        <f>IFERROR(INDEX(Dataset!$A:$V,MATCH(Calculations!N$250&amp;Calculations!$X312,Dataset!$V:$V,0),MATCH(Calculations!$A$1,Dataset!$A$1:$V$1,0)),"")</f>
        <v>0.13691840801280655</v>
      </c>
      <c r="O312" s="871">
        <f>IFERROR(INDEX(Dataset!$A:$V,MATCH(Calculations!O$250&amp;Calculations!$X312,Dataset!$V:$V,0),MATCH(Calculations!$A$1,Dataset!$A$1:$V$1,0)),"")</f>
        <v>0.34849364081999179</v>
      </c>
      <c r="P312" s="871">
        <f>IFERROR(INDEX(Dataset!$A:$V,MATCH(Calculations!P$250&amp;Calculations!$X312,Dataset!$V:$V,0),MATCH(Calculations!$A$1,Dataset!$A$1:$V$1,0)),"")</f>
        <v>0.53617623161792605</v>
      </c>
      <c r="Q312" s="871">
        <f>IFERROR(INDEX(Dataset!$A:$V,MATCH(Calculations!Q$250&amp;Calculations!$X312,Dataset!$V:$V,0),MATCH(Calculations!$A$1,Dataset!$A$1:$V$1,0)),"")</f>
        <v>0.36419127330557305</v>
      </c>
      <c r="R312" s="871">
        <f>IFERROR(INDEX(Dataset!$A:$V,MATCH(Calculations!R$250&amp;Calculations!$X312,Dataset!$V:$V,0),MATCH(Calculations!$A$1,Dataset!$A$1:$V$1,0)),"")</f>
        <v>0.60822081720327692</v>
      </c>
      <c r="S312" s="871">
        <f>IFERROR(INDEX(Dataset!$A:$V,MATCH(Calculations!S$250&amp;Calculations!$X312,Dataset!$V:$V,0),MATCH(Calculations!$A$1,Dataset!$A$1:$V$1,0)),"")</f>
        <v>1.3936206141951388</v>
      </c>
      <c r="T312" s="871" t="str">
        <f>IFERROR(INDEX(Dataset!$A:$V,MATCH(Calculations!T$250&amp;Calculations!$X312,Dataset!$V:$V,0),MATCH(Calculations!$A$1,Dataset!$A$1:$V$1,0)),"")</f>
        <v/>
      </c>
      <c r="X312" t="s">
        <v>1119</v>
      </c>
    </row>
    <row r="314" spans="1:24">
      <c r="A314" s="828" t="s">
        <v>62</v>
      </c>
    </row>
    <row r="315" spans="1:24">
      <c r="A315" s="869" t="s">
        <v>1080</v>
      </c>
      <c r="B315" s="869"/>
      <c r="C315" s="869"/>
      <c r="D315" s="869"/>
      <c r="E315" s="869"/>
      <c r="F315" s="869"/>
      <c r="G315" s="869"/>
      <c r="H315" s="869"/>
      <c r="I315" s="869"/>
      <c r="J315" s="869"/>
      <c r="K315" s="869"/>
      <c r="L315" s="869"/>
      <c r="M315" s="869">
        <f>IFERROR(INDEX(Dataset!$A:$V,MATCH(Calculations!M$250&amp;Calculations!$X315,Dataset!$V:$V,0),MATCH(Calculations!$A$1,Dataset!$A$1:$V$1,0)),"")</f>
        <v>27.373422453467843</v>
      </c>
      <c r="N315" s="869">
        <f>IFERROR(INDEX(Dataset!$A:$V,MATCH(Calculations!N$250&amp;Calculations!$X315,Dataset!$V:$V,0),MATCH(Calculations!$A$1,Dataset!$A$1:$V$1,0)),"")</f>
        <v>28.442396236614591</v>
      </c>
      <c r="O315" s="869">
        <f>IFERROR(INDEX(Dataset!$A:$V,MATCH(Calculations!O$250&amp;Calculations!$X315,Dataset!$V:$V,0),MATCH(Calculations!$A$1,Dataset!$A$1:$V$1,0)),"")</f>
        <v>26.788020100640821</v>
      </c>
      <c r="P315" s="869">
        <f>IFERROR(INDEX(Dataset!$A:$V,MATCH(Calculations!P$250&amp;Calculations!$X315,Dataset!$V:$V,0),MATCH(Calculations!$A$1,Dataset!$A$1:$V$1,0)),"")</f>
        <v>31.609038105273722</v>
      </c>
      <c r="Q315" s="869">
        <f>IFERROR(INDEX(Dataset!$A:$V,MATCH(Calculations!Q$250&amp;Calculations!$X315,Dataset!$V:$V,0),MATCH(Calculations!$A$1,Dataset!$A$1:$V$1,0)),"")</f>
        <v>34.574503518658737</v>
      </c>
      <c r="R315" s="869">
        <f>IFERROR(INDEX(Dataset!$A:$V,MATCH(Calculations!R$250&amp;Calculations!$X315,Dataset!$V:$V,0),MATCH(Calculations!$A$1,Dataset!$A$1:$V$1,0)),"")</f>
        <v>30.766013335659199</v>
      </c>
      <c r="S315" s="869">
        <f>IFERROR(INDEX(Dataset!$A:$V,MATCH(Calculations!S$250&amp;Calculations!$X315,Dataset!$V:$V,0),MATCH(Calculations!$A$1,Dataset!$A$1:$V$1,0)),"")</f>
        <v>35.58182457902884</v>
      </c>
      <c r="T315" s="869">
        <f>IFERROR(INDEX(Dataset!$A:$V,MATCH(Calculations!T$250&amp;Calculations!$X315,Dataset!$V:$V,0),MATCH(Calculations!$A$1,Dataset!$A$1:$V$1,0)),"")</f>
        <v>40.748978399460306</v>
      </c>
      <c r="X315" t="s">
        <v>1120</v>
      </c>
    </row>
    <row r="316" spans="1:24">
      <c r="A316" s="869" t="s">
        <v>1082</v>
      </c>
      <c r="B316" s="869"/>
      <c r="C316" s="869"/>
      <c r="D316" s="869"/>
      <c r="E316" s="869"/>
      <c r="F316" s="869"/>
      <c r="G316" s="869"/>
      <c r="H316" s="869"/>
      <c r="I316" s="869"/>
      <c r="J316" s="869"/>
      <c r="K316" s="869"/>
      <c r="L316" s="869"/>
      <c r="M316" s="869">
        <f>IFERROR(INDEX(Dataset!$A:$V,MATCH(Calculations!M$250&amp;Calculations!$X316,Dataset!$V:$V,0),MATCH(Calculations!$A$1,Dataset!$A$1:$V$1,0)),"")</f>
        <v>27.373422453467843</v>
      </c>
      <c r="N316" s="869">
        <f>IFERROR(INDEX(Dataset!$A:$V,MATCH(Calculations!N$250&amp;Calculations!$X316,Dataset!$V:$V,0),MATCH(Calculations!$A$1,Dataset!$A$1:$V$1,0)),"")</f>
        <v>28.442396236614591</v>
      </c>
      <c r="O316" s="869">
        <f>IFERROR(INDEX(Dataset!$A:$V,MATCH(Calculations!O$250&amp;Calculations!$X316,Dataset!$V:$V,0),MATCH(Calculations!$A$1,Dataset!$A$1:$V$1,0)),"")</f>
        <v>26.788020100640821</v>
      </c>
      <c r="P316" s="869">
        <f>IFERROR(INDEX(Dataset!$A:$V,MATCH(Calculations!P$250&amp;Calculations!$X316,Dataset!$V:$V,0),MATCH(Calculations!$A$1,Dataset!$A$1:$V$1,0)),"")</f>
        <v>31.609038105273722</v>
      </c>
      <c r="Q316" s="869">
        <f>IFERROR(INDEX(Dataset!$A:$V,MATCH(Calculations!Q$250&amp;Calculations!$X316,Dataset!$V:$V,0),MATCH(Calculations!$A$1,Dataset!$A$1:$V$1,0)),"")</f>
        <v>34.574503518658737</v>
      </c>
      <c r="R316" s="869">
        <f>IFERROR(INDEX(Dataset!$A:$V,MATCH(Calculations!R$250&amp;Calculations!$X316,Dataset!$V:$V,0),MATCH(Calculations!$A$1,Dataset!$A$1:$V$1,0)),"")</f>
        <v>30.766013335659199</v>
      </c>
      <c r="S316" s="869">
        <f>IFERROR(INDEX(Dataset!$A:$V,MATCH(Calculations!S$250&amp;Calculations!$X316,Dataset!$V:$V,0),MATCH(Calculations!$A$1,Dataset!$A$1:$V$1,0)),"")</f>
        <v>35.58182457902884</v>
      </c>
      <c r="T316" s="869">
        <f>IFERROR(INDEX(Dataset!$A:$V,MATCH(Calculations!T$250&amp;Calculations!$X316,Dataset!$V:$V,0),MATCH(Calculations!$A$1,Dataset!$A$1:$V$1,0)),"")</f>
        <v>40.748978399460306</v>
      </c>
      <c r="X316" t="s">
        <v>1121</v>
      </c>
    </row>
    <row r="317" spans="1:24">
      <c r="A317" s="869" t="s">
        <v>1084</v>
      </c>
      <c r="B317" s="869"/>
      <c r="C317" s="869"/>
      <c r="D317" s="869"/>
      <c r="E317" s="869"/>
      <c r="F317" s="869"/>
      <c r="G317" s="869"/>
      <c r="H317" s="869"/>
      <c r="I317" s="869"/>
      <c r="J317" s="869"/>
      <c r="K317" s="869"/>
      <c r="L317" s="869"/>
      <c r="M317" s="869">
        <f>IFERROR(INDEX(Dataset!$A:$V,MATCH(Calculations!M$250&amp;Calculations!$X317,Dataset!$V:$V,0),MATCH(Calculations!$A$1,Dataset!$A$1:$V$1,0)),"")</f>
        <v>34.331449951239819</v>
      </c>
      <c r="N317" s="869">
        <f>IFERROR(INDEX(Dataset!$A:$V,MATCH(Calculations!N$250&amp;Calculations!$X317,Dataset!$V:$V,0),MATCH(Calculations!$A$1,Dataset!$A$1:$V$1,0)),"")</f>
        <v>18.260124615837462</v>
      </c>
      <c r="O317" s="869">
        <f>IFERROR(INDEX(Dataset!$A:$V,MATCH(Calculations!O$250&amp;Calculations!$X317,Dataset!$V:$V,0),MATCH(Calculations!$A$1,Dataset!$A$1:$V$1,0)),"")</f>
        <v>15.846977630334511</v>
      </c>
      <c r="P317" s="869">
        <f>IFERROR(INDEX(Dataset!$A:$V,MATCH(Calculations!P$250&amp;Calculations!$X317,Dataset!$V:$V,0),MATCH(Calculations!$A$1,Dataset!$A$1:$V$1,0)),"")</f>
        <v>7.8710976139043014</v>
      </c>
      <c r="Q317" s="869">
        <f>IFERROR(INDEX(Dataset!$A:$V,MATCH(Calculations!Q$250&amp;Calculations!$X317,Dataset!$V:$V,0),MATCH(Calculations!$A$1,Dataset!$A$1:$V$1,0)),"")</f>
        <v>9.1823310127235587</v>
      </c>
      <c r="R317" s="869">
        <f>IFERROR(INDEX(Dataset!$A:$V,MATCH(Calculations!R$250&amp;Calculations!$X317,Dataset!$V:$V,0),MATCH(Calculations!$A$1,Dataset!$A$1:$V$1,0)),"")</f>
        <v>38.099764247519268</v>
      </c>
      <c r="S317" s="869">
        <f>IFERROR(INDEX(Dataset!$A:$V,MATCH(Calculations!S$250&amp;Calculations!$X317,Dataset!$V:$V,0),MATCH(Calculations!$A$1,Dataset!$A$1:$V$1,0)),"")</f>
        <v>56.447600000000001</v>
      </c>
      <c r="T317" s="869" t="str">
        <f>IFERROR(INDEX(Dataset!$A:$V,MATCH(Calculations!T$250&amp;Calculations!$X317,Dataset!$V:$V,0),MATCH(Calculations!$A$1,Dataset!$A$1:$V$1,0)),"")</f>
        <v/>
      </c>
      <c r="X317" t="s">
        <v>1122</v>
      </c>
    </row>
    <row r="318" spans="1:24">
      <c r="A318" s="869" t="s">
        <v>1086</v>
      </c>
      <c r="B318" s="869"/>
      <c r="C318" s="869"/>
      <c r="D318" s="869"/>
      <c r="E318" s="869"/>
      <c r="F318" s="869"/>
      <c r="G318" s="869"/>
      <c r="H318" s="869"/>
      <c r="I318" s="869"/>
      <c r="J318" s="869"/>
      <c r="K318" s="869"/>
      <c r="L318" s="869"/>
      <c r="M318" s="869">
        <f>IFERROR(INDEX(Dataset!$A:$V,MATCH(Calculations!M$250&amp;Calculations!$X318,Dataset!$V:$V,0),MATCH(Calculations!$A$1,Dataset!$A$1:$V$1,0)),"")</f>
        <v>6.958027497771976</v>
      </c>
      <c r="N318" s="869">
        <f>IFERROR(INDEX(Dataset!$A:$V,MATCH(Calculations!N$250&amp;Calculations!$X318,Dataset!$V:$V,0),MATCH(Calculations!$A$1,Dataset!$A$1:$V$1,0)),"")</f>
        <v>-10.182271620777129</v>
      </c>
      <c r="O318" s="869">
        <f>IFERROR(INDEX(Dataset!$A:$V,MATCH(Calculations!O$250&amp;Calculations!$X318,Dataset!$V:$V,0),MATCH(Calculations!$A$1,Dataset!$A$1:$V$1,0)),"")</f>
        <v>-10.941042470306311</v>
      </c>
      <c r="P318" s="869">
        <f>IFERROR(INDEX(Dataset!$A:$V,MATCH(Calculations!P$250&amp;Calculations!$X318,Dataset!$V:$V,0),MATCH(Calculations!$A$1,Dataset!$A$1:$V$1,0)),"")</f>
        <v>-23.737940491369422</v>
      </c>
      <c r="Q318" s="869">
        <f>IFERROR(INDEX(Dataset!$A:$V,MATCH(Calculations!Q$250&amp;Calculations!$X318,Dataset!$V:$V,0),MATCH(Calculations!$A$1,Dataset!$A$1:$V$1,0)),"")</f>
        <v>-25.392172505935179</v>
      </c>
      <c r="R318" s="869">
        <f>IFERROR(INDEX(Dataset!$A:$V,MATCH(Calculations!R$250&amp;Calculations!$X318,Dataset!$V:$V,0),MATCH(Calculations!$A$1,Dataset!$A$1:$V$1,0)),"")</f>
        <v>7.3337509118600686</v>
      </c>
      <c r="S318" s="869">
        <f>IFERROR(INDEX(Dataset!$A:$V,MATCH(Calculations!S$250&amp;Calculations!$X318,Dataset!$V:$V,0),MATCH(Calculations!$A$1,Dataset!$A$1:$V$1,0)),"")</f>
        <v>20.865775420971161</v>
      </c>
      <c r="T318" s="869" t="str">
        <f>IFERROR(INDEX(Dataset!$A:$V,MATCH(Calculations!T$250&amp;Calculations!$X318,Dataset!$V:$V,0),MATCH(Calculations!$A$1,Dataset!$A$1:$V$1,0)),"")</f>
        <v/>
      </c>
      <c r="X318" t="s">
        <v>1123</v>
      </c>
    </row>
    <row r="319" spans="1:24">
      <c r="A319" s="869" t="s">
        <v>1088</v>
      </c>
      <c r="B319" s="869"/>
      <c r="C319" s="869"/>
      <c r="D319" s="869"/>
      <c r="E319" s="869"/>
      <c r="F319" s="869"/>
      <c r="G319" s="869"/>
      <c r="H319" s="869"/>
      <c r="I319" s="869"/>
      <c r="J319" s="869"/>
      <c r="K319" s="869"/>
      <c r="L319" s="869"/>
      <c r="M319" s="871">
        <f>IFERROR(INDEX(Dataset!$A:$V,MATCH(Calculations!M$250&amp;Calculations!$X319,Dataset!$V:$V,0),MATCH(Calculations!$A$1,Dataset!$A$1:$V$1,0)),"")</f>
        <v>0.25418916869455932</v>
      </c>
      <c r="N319" s="871">
        <f>IFERROR(INDEX(Dataset!$A:$V,MATCH(Calculations!N$250&amp;Calculations!$X319,Dataset!$V:$V,0),MATCH(Calculations!$A$1,Dataset!$A$1:$V$1,0)),"")</f>
        <v>-0.35799626501473325</v>
      </c>
      <c r="O319" s="871">
        <f>IFERROR(INDEX(Dataset!$A:$V,MATCH(Calculations!O$250&amp;Calculations!$X319,Dataset!$V:$V,0),MATCH(Calculations!$A$1,Dataset!$A$1:$V$1,0)),"")</f>
        <v>-0.40843042633242538</v>
      </c>
      <c r="P319" s="871">
        <f>IFERROR(INDEX(Dataset!$A:$V,MATCH(Calculations!P$250&amp;Calculations!$X319,Dataset!$V:$V,0),MATCH(Calculations!$A$1,Dataset!$A$1:$V$1,0)),"")</f>
        <v>-0.75098585449865152</v>
      </c>
      <c r="Q319" s="871">
        <f>IFERROR(INDEX(Dataset!$A:$V,MATCH(Calculations!Q$250&amp;Calculations!$X319,Dataset!$V:$V,0),MATCH(Calculations!$A$1,Dataset!$A$1:$V$1,0)),"")</f>
        <v>-0.73441900596582244</v>
      </c>
      <c r="R319" s="871">
        <f>IFERROR(INDEX(Dataset!$A:$V,MATCH(Calculations!R$250&amp;Calculations!$X319,Dataset!$V:$V,0),MATCH(Calculations!$A$1,Dataset!$A$1:$V$1,0)),"")</f>
        <v>0.23837183036516207</v>
      </c>
      <c r="S319" s="871">
        <f>IFERROR(INDEX(Dataset!$A:$V,MATCH(Calculations!S$250&amp;Calculations!$X319,Dataset!$V:$V,0),MATCH(Calculations!$A$1,Dataset!$A$1:$V$1,0)),"")</f>
        <v>0.58641667952207821</v>
      </c>
      <c r="T319" s="871" t="str">
        <f>IFERROR(INDEX(Dataset!$A:$V,MATCH(Calculations!T$250&amp;Calculations!$X319,Dataset!$V:$V,0),MATCH(Calculations!$A$1,Dataset!$A$1:$V$1,0)),"")</f>
        <v/>
      </c>
      <c r="X319" t="s">
        <v>1124</v>
      </c>
    </row>
    <row r="321" spans="1:24">
      <c r="A321" s="828" t="s">
        <v>1125</v>
      </c>
    </row>
    <row r="322" spans="1:24">
      <c r="A322" s="869" t="s">
        <v>1080</v>
      </c>
      <c r="B322" s="869"/>
      <c r="C322" s="869"/>
      <c r="D322" s="869"/>
      <c r="E322" s="869"/>
      <c r="F322" s="869"/>
      <c r="G322" s="869"/>
      <c r="H322" s="869"/>
      <c r="I322" s="869"/>
      <c r="J322" s="869"/>
      <c r="K322" s="869"/>
      <c r="L322" s="869"/>
      <c r="M322" s="869">
        <f>IFERROR(INDEX(Dataset!$A:$V,MATCH(Calculations!M$250&amp;Calculations!$X322,Dataset!$V:$V,0),MATCH(Calculations!$A$1,Dataset!$A$1:$V$1,0)),"")</f>
        <v>0</v>
      </c>
      <c r="N322" s="869">
        <f>IFERROR(INDEX(Dataset!$A:$V,MATCH(Calculations!N$250&amp;Calculations!$X322,Dataset!$V:$V,0),MATCH(Calculations!$A$1,Dataset!$A$1:$V$1,0)),"")</f>
        <v>0</v>
      </c>
      <c r="O322" s="869">
        <f>IFERROR(INDEX(Dataset!$A:$V,MATCH(Calculations!O$250&amp;Calculations!$X322,Dataset!$V:$V,0),MATCH(Calculations!$A$1,Dataset!$A$1:$V$1,0)),"")</f>
        <v>0</v>
      </c>
      <c r="P322" s="869">
        <f>IFERROR(INDEX(Dataset!$A:$V,MATCH(Calculations!P$250&amp;Calculations!$X322,Dataset!$V:$V,0),MATCH(Calculations!$A$1,Dataset!$A$1:$V$1,0)),"")</f>
        <v>0.50440583042197007</v>
      </c>
      <c r="Q322" s="869">
        <f>IFERROR(INDEX(Dataset!$A:$V,MATCH(Calculations!Q$250&amp;Calculations!$X322,Dataset!$V:$V,0),MATCH(Calculations!$A$1,Dataset!$A$1:$V$1,0)),"")</f>
        <v>0.51189316448519107</v>
      </c>
      <c r="R322" s="869">
        <f>IFERROR(INDEX(Dataset!$A:$V,MATCH(Calculations!R$250&amp;Calculations!$X322,Dataset!$V:$V,0),MATCH(Calculations!$A$1,Dataset!$A$1:$V$1,0)),"")</f>
        <v>0.51857803208163478</v>
      </c>
      <c r="S322" s="869">
        <f>IFERROR(INDEX(Dataset!$A:$V,MATCH(Calculations!S$250&amp;Calculations!$X322,Dataset!$V:$V,0),MATCH(Calculations!$A$1,Dataset!$A$1:$V$1,0)),"")</f>
        <v>0.52641806169741179</v>
      </c>
      <c r="T322" s="869">
        <f>IFERROR(INDEX(Dataset!$A:$V,MATCH(Calculations!T$250&amp;Calculations!$X322,Dataset!$V:$V,0),MATCH(Calculations!$A$1,Dataset!$A$1:$V$1,0)),"")</f>
        <v>0.53498199150327974</v>
      </c>
      <c r="X322" t="s">
        <v>1126</v>
      </c>
    </row>
    <row r="323" spans="1:24">
      <c r="A323" s="869" t="s">
        <v>1082</v>
      </c>
      <c r="B323" s="869"/>
      <c r="C323" s="869"/>
      <c r="D323" s="869"/>
      <c r="E323" s="869"/>
      <c r="F323" s="869"/>
      <c r="G323" s="869"/>
      <c r="H323" s="869"/>
      <c r="I323" s="869"/>
      <c r="J323" s="869"/>
      <c r="K323" s="869"/>
      <c r="L323" s="869"/>
      <c r="M323" s="869">
        <f>IFERROR(INDEX(Dataset!$A:$V,MATCH(Calculations!M$250&amp;Calculations!$X323,Dataset!$V:$V,0),MATCH(Calculations!$A$1,Dataset!$A$1:$V$1,0)),"")</f>
        <v>0</v>
      </c>
      <c r="N323" s="869">
        <f>IFERROR(INDEX(Dataset!$A:$V,MATCH(Calculations!N$250&amp;Calculations!$X323,Dataset!$V:$V,0),MATCH(Calculations!$A$1,Dataset!$A$1:$V$1,0)),"")</f>
        <v>0</v>
      </c>
      <c r="O323" s="869">
        <f>IFERROR(INDEX(Dataset!$A:$V,MATCH(Calculations!O$250&amp;Calculations!$X323,Dataset!$V:$V,0),MATCH(Calculations!$A$1,Dataset!$A$1:$V$1,0)),"")</f>
        <v>0</v>
      </c>
      <c r="P323" s="869">
        <f>IFERROR(INDEX(Dataset!$A:$V,MATCH(Calculations!P$250&amp;Calculations!$X323,Dataset!$V:$V,0),MATCH(Calculations!$A$1,Dataset!$A$1:$V$1,0)),"")</f>
        <v>0.50440583042197007</v>
      </c>
      <c r="Q323" s="869">
        <f>IFERROR(INDEX(Dataset!$A:$V,MATCH(Calculations!Q$250&amp;Calculations!$X323,Dataset!$V:$V,0),MATCH(Calculations!$A$1,Dataset!$A$1:$V$1,0)),"")</f>
        <v>0.51189316448519107</v>
      </c>
      <c r="R323" s="869">
        <f>IFERROR(INDEX(Dataset!$A:$V,MATCH(Calculations!R$250&amp;Calculations!$X323,Dataset!$V:$V,0),MATCH(Calculations!$A$1,Dataset!$A$1:$V$1,0)),"")</f>
        <v>0.51857803208163478</v>
      </c>
      <c r="S323" s="869">
        <f>IFERROR(INDEX(Dataset!$A:$V,MATCH(Calculations!S$250&amp;Calculations!$X323,Dataset!$V:$V,0),MATCH(Calculations!$A$1,Dataset!$A$1:$V$1,0)),"")</f>
        <v>0.52641806169741179</v>
      </c>
      <c r="T323" s="869">
        <f>IFERROR(INDEX(Dataset!$A:$V,MATCH(Calculations!T$250&amp;Calculations!$X323,Dataset!$V:$V,0),MATCH(Calculations!$A$1,Dataset!$A$1:$V$1,0)),"")</f>
        <v>0.53498199150327974</v>
      </c>
      <c r="X323" t="s">
        <v>1127</v>
      </c>
    </row>
    <row r="324" spans="1:24">
      <c r="A324" s="869" t="s">
        <v>1084</v>
      </c>
      <c r="B324" s="869"/>
      <c r="C324" s="869"/>
      <c r="D324" s="869"/>
      <c r="E324" s="869"/>
      <c r="F324" s="869"/>
      <c r="G324" s="869"/>
      <c r="H324" s="869"/>
      <c r="I324" s="869"/>
      <c r="J324" s="869"/>
      <c r="K324" s="869"/>
      <c r="L324" s="869"/>
      <c r="M324" s="869">
        <f>IFERROR(INDEX(Dataset!$A:$V,MATCH(Calculations!M$250&amp;Calculations!$X324,Dataset!$V:$V,0),MATCH(Calculations!$A$1,Dataset!$A$1:$V$1,0)),"")</f>
        <v>0</v>
      </c>
      <c r="N324" s="869">
        <f>IFERROR(INDEX(Dataset!$A:$V,MATCH(Calculations!N$250&amp;Calculations!$X324,Dataset!$V:$V,0),MATCH(Calculations!$A$1,Dataset!$A$1:$V$1,0)),"")</f>
        <v>0</v>
      </c>
      <c r="O324" s="869">
        <f>IFERROR(INDEX(Dataset!$A:$V,MATCH(Calculations!O$250&amp;Calculations!$X324,Dataset!$V:$V,0),MATCH(Calculations!$A$1,Dataset!$A$1:$V$1,0)),"")</f>
        <v>0</v>
      </c>
      <c r="P324" s="869">
        <f>IFERROR(INDEX(Dataset!$A:$V,MATCH(Calculations!P$250&amp;Calculations!$X324,Dataset!$V:$V,0),MATCH(Calculations!$A$1,Dataset!$A$1:$V$1,0)),"")</f>
        <v>0</v>
      </c>
      <c r="Q324" s="869">
        <f>IFERROR(INDEX(Dataset!$A:$V,MATCH(Calculations!Q$250&amp;Calculations!$X324,Dataset!$V:$V,0),MATCH(Calculations!$A$1,Dataset!$A$1:$V$1,0)),"")</f>
        <v>0</v>
      </c>
      <c r="R324" s="869">
        <f>IFERROR(INDEX(Dataset!$A:$V,MATCH(Calculations!R$250&amp;Calculations!$X324,Dataset!$V:$V,0),MATCH(Calculations!$A$1,Dataset!$A$1:$V$1,0)),"")</f>
        <v>0</v>
      </c>
      <c r="S324" s="869">
        <f>IFERROR(INDEX(Dataset!$A:$V,MATCH(Calculations!S$250&amp;Calculations!$X324,Dataset!$V:$V,0),MATCH(Calculations!$A$1,Dataset!$A$1:$V$1,0)),"")</f>
        <v>0</v>
      </c>
      <c r="T324" s="869" t="str">
        <f>IFERROR(INDEX(Dataset!$A:$V,MATCH(Calculations!T$250&amp;Calculations!$X324,Dataset!$V:$V,0),MATCH(Calculations!$A$1,Dataset!$A$1:$V$1,0)),"")</f>
        <v/>
      </c>
      <c r="X324" t="s">
        <v>1128</v>
      </c>
    </row>
    <row r="325" spans="1:24">
      <c r="A325" s="869" t="s">
        <v>1086</v>
      </c>
      <c r="B325" s="869"/>
      <c r="C325" s="869"/>
      <c r="D325" s="869"/>
      <c r="E325" s="869"/>
      <c r="F325" s="869"/>
      <c r="G325" s="869"/>
      <c r="H325" s="869"/>
      <c r="I325" s="869"/>
      <c r="J325" s="869"/>
      <c r="K325" s="869"/>
      <c r="L325" s="869"/>
      <c r="M325" s="869">
        <f>IFERROR(INDEX(Dataset!$A:$V,MATCH(Calculations!M$250&amp;Calculations!$X325,Dataset!$V:$V,0),MATCH(Calculations!$A$1,Dataset!$A$1:$V$1,0)),"")</f>
        <v>0</v>
      </c>
      <c r="N325" s="869">
        <f>IFERROR(INDEX(Dataset!$A:$V,MATCH(Calculations!N$250&amp;Calculations!$X325,Dataset!$V:$V,0),MATCH(Calculations!$A$1,Dataset!$A$1:$V$1,0)),"")</f>
        <v>0</v>
      </c>
      <c r="O325" s="869">
        <f>IFERROR(INDEX(Dataset!$A:$V,MATCH(Calculations!O$250&amp;Calculations!$X325,Dataset!$V:$V,0),MATCH(Calculations!$A$1,Dataset!$A$1:$V$1,0)),"")</f>
        <v>0</v>
      </c>
      <c r="P325" s="869">
        <f>IFERROR(INDEX(Dataset!$A:$V,MATCH(Calculations!P$250&amp;Calculations!$X325,Dataset!$V:$V,0),MATCH(Calculations!$A$1,Dataset!$A$1:$V$1,0)),"")</f>
        <v>-0.50440583042197007</v>
      </c>
      <c r="Q325" s="869">
        <f>IFERROR(INDEX(Dataset!$A:$V,MATCH(Calculations!Q$250&amp;Calculations!$X325,Dataset!$V:$V,0),MATCH(Calculations!$A$1,Dataset!$A$1:$V$1,0)),"")</f>
        <v>-0.51189316448519107</v>
      </c>
      <c r="R325" s="869">
        <f>IFERROR(INDEX(Dataset!$A:$V,MATCH(Calculations!R$250&amp;Calculations!$X325,Dataset!$V:$V,0),MATCH(Calculations!$A$1,Dataset!$A$1:$V$1,0)),"")</f>
        <v>-0.51857803208163478</v>
      </c>
      <c r="S325" s="869">
        <f>IFERROR(INDEX(Dataset!$A:$V,MATCH(Calculations!S$250&amp;Calculations!$X325,Dataset!$V:$V,0),MATCH(Calculations!$A$1,Dataset!$A$1:$V$1,0)),"")</f>
        <v>-0.52641806169741179</v>
      </c>
      <c r="T325" s="869" t="str">
        <f>IFERROR(INDEX(Dataset!$A:$V,MATCH(Calculations!T$250&amp;Calculations!$X325,Dataset!$V:$V,0),MATCH(Calculations!$A$1,Dataset!$A$1:$V$1,0)),"")</f>
        <v/>
      </c>
      <c r="X325" t="s">
        <v>1129</v>
      </c>
    </row>
    <row r="326" spans="1:24">
      <c r="A326" s="869" t="s">
        <v>1088</v>
      </c>
      <c r="B326" s="869"/>
      <c r="C326" s="869"/>
      <c r="D326" s="869"/>
      <c r="E326" s="869"/>
      <c r="F326" s="869"/>
      <c r="G326" s="869"/>
      <c r="H326" s="869"/>
      <c r="I326" s="869"/>
      <c r="J326" s="869"/>
      <c r="K326" s="869"/>
      <c r="L326" s="869"/>
      <c r="M326" s="871" t="str">
        <f>IFERROR(INDEX(Dataset!$A:$V,MATCH(Calculations!M$250&amp;Calculations!$X326,Dataset!$V:$V,0),MATCH(Calculations!$A$1,Dataset!$A$1:$V$1,0)),"")</f>
        <v/>
      </c>
      <c r="N326" s="871" t="str">
        <f>IFERROR(INDEX(Dataset!$A:$V,MATCH(Calculations!N$250&amp;Calculations!$X326,Dataset!$V:$V,0),MATCH(Calculations!$A$1,Dataset!$A$1:$V$1,0)),"")</f>
        <v/>
      </c>
      <c r="O326" s="871" t="str">
        <f>IFERROR(INDEX(Dataset!$A:$V,MATCH(Calculations!O$250&amp;Calculations!$X326,Dataset!$V:$V,0),MATCH(Calculations!$A$1,Dataset!$A$1:$V$1,0)),"")</f>
        <v/>
      </c>
      <c r="P326" s="871">
        <f>IFERROR(INDEX(Dataset!$A:$V,MATCH(Calculations!P$250&amp;Calculations!$X326,Dataset!$V:$V,0),MATCH(Calculations!$A$1,Dataset!$A$1:$V$1,0)),"")</f>
        <v>-1</v>
      </c>
      <c r="Q326" s="869">
        <f>IFERROR(INDEX(Dataset!$A:$V,MATCH(Calculations!Q$250&amp;Calculations!$X326,Dataset!$V:$V,0),MATCH(Calculations!$A$1,Dataset!$A$1:$V$1,0)),"")</f>
        <v>-1</v>
      </c>
      <c r="R326" s="869">
        <f>IFERROR(INDEX(Dataset!$A:$V,MATCH(Calculations!R$250&amp;Calculations!$X326,Dataset!$V:$V,0),MATCH(Calculations!$A$1,Dataset!$A$1:$V$1,0)),"")</f>
        <v>-1</v>
      </c>
      <c r="S326" s="869">
        <f>IFERROR(INDEX(Dataset!$A:$V,MATCH(Calculations!S$250&amp;Calculations!$X326,Dataset!$V:$V,0),MATCH(Calculations!$A$1,Dataset!$A$1:$V$1,0)),"")</f>
        <v>-1</v>
      </c>
      <c r="T326" s="869" t="str">
        <f>IFERROR(INDEX(Dataset!$A:$V,MATCH(Calculations!T$250&amp;Calculations!$X326,Dataset!$V:$V,0),MATCH(Calculations!$A$1,Dataset!$A$1:$V$1,0)),"")</f>
        <v/>
      </c>
      <c r="X326" t="s">
        <v>1130</v>
      </c>
    </row>
    <row r="328" spans="1:24">
      <c r="A328" s="828" t="s">
        <v>1131</v>
      </c>
    </row>
    <row r="329" spans="1:24">
      <c r="A329" s="869" t="s">
        <v>1080</v>
      </c>
      <c r="B329" s="869"/>
      <c r="C329" s="869"/>
      <c r="D329" s="869"/>
      <c r="E329" s="869"/>
      <c r="F329" s="869"/>
      <c r="G329" s="869"/>
      <c r="H329" s="869"/>
      <c r="I329" s="869"/>
      <c r="J329" s="869"/>
      <c r="K329" s="869"/>
      <c r="L329" s="869"/>
      <c r="M329" s="869">
        <f>IFERROR(INDEX(Dataset!$A:$V,MATCH(Calculations!M$250&amp;Calculations!$X329,Dataset!$V:$V,0),MATCH(Calculations!$A$1,Dataset!$A$1:$V$1,0)),"")</f>
        <v>12.048313413065394</v>
      </c>
      <c r="N329" s="869">
        <f>IFERROR(INDEX(Dataset!$A:$V,MATCH(Calculations!N$250&amp;Calculations!$X329,Dataset!$V:$V,0),MATCH(Calculations!$A$1,Dataset!$A$1:$V$1,0)),"")</f>
        <v>11.681330452403513</v>
      </c>
      <c r="O329" s="869">
        <f>IFERROR(INDEX(Dataset!$A:$V,MATCH(Calculations!O$250&amp;Calculations!$X329,Dataset!$V:$V,0),MATCH(Calculations!$A$1,Dataset!$A$1:$V$1,0)),"")</f>
        <v>11.419693679407896</v>
      </c>
      <c r="P329" s="869">
        <f>IFERROR(INDEX(Dataset!$A:$V,MATCH(Calculations!P$250&amp;Calculations!$X329,Dataset!$V:$V,0),MATCH(Calculations!$A$1,Dataset!$A$1:$V$1,0)),"")</f>
        <v>12.512275967255558</v>
      </c>
      <c r="Q329" s="869">
        <f>IFERROR(INDEX(Dataset!$A:$V,MATCH(Calculations!Q$250&amp;Calculations!$X329,Dataset!$V:$V,0),MATCH(Calculations!$A$1,Dataset!$A$1:$V$1,0)),"")</f>
        <v>11.658892153273658</v>
      </c>
      <c r="R329" s="869">
        <f>IFERROR(INDEX(Dataset!$A:$V,MATCH(Calculations!R$250&amp;Calculations!$X329,Dataset!$V:$V,0),MATCH(Calculations!$A$1,Dataset!$A$1:$V$1,0)),"")</f>
        <v>12.35973078381774</v>
      </c>
      <c r="S329" s="869">
        <f>IFERROR(INDEX(Dataset!$A:$V,MATCH(Calculations!S$250&amp;Calculations!$X329,Dataset!$V:$V,0),MATCH(Calculations!$A$1,Dataset!$A$1:$V$1,0)),"")</f>
        <v>11.667273106996145</v>
      </c>
      <c r="T329" s="869">
        <f>IFERROR(INDEX(Dataset!$A:$V,MATCH(Calculations!T$250&amp;Calculations!$X329,Dataset!$V:$V,0),MATCH(Calculations!$A$1,Dataset!$A$1:$V$1,0)),"")</f>
        <v>11.797135401312449</v>
      </c>
      <c r="X329" t="s">
        <v>1132</v>
      </c>
    </row>
    <row r="330" spans="1:24">
      <c r="A330" s="869" t="s">
        <v>1082</v>
      </c>
      <c r="B330" s="869"/>
      <c r="C330" s="869"/>
      <c r="D330" s="869"/>
      <c r="E330" s="869"/>
      <c r="F330" s="869"/>
      <c r="G330" s="869"/>
      <c r="H330" s="869"/>
      <c r="I330" s="869"/>
      <c r="J330" s="869"/>
      <c r="K330" s="869"/>
      <c r="L330" s="869"/>
      <c r="M330" s="869">
        <f>IFERROR(INDEX(Dataset!$A:$V,MATCH(Calculations!M$250&amp;Calculations!$X330,Dataset!$V:$V,0),MATCH(Calculations!$A$1,Dataset!$A$1:$V$1,0)),"")</f>
        <v>12.048313413065394</v>
      </c>
      <c r="N330" s="869">
        <f>IFERROR(INDEX(Dataset!$A:$V,MATCH(Calculations!N$250&amp;Calculations!$X330,Dataset!$V:$V,0),MATCH(Calculations!$A$1,Dataset!$A$1:$V$1,0)),"")</f>
        <v>11.681330452403513</v>
      </c>
      <c r="O330" s="869">
        <f>IFERROR(INDEX(Dataset!$A:$V,MATCH(Calculations!O$250&amp;Calculations!$X330,Dataset!$V:$V,0),MATCH(Calculations!$A$1,Dataset!$A$1:$V$1,0)),"")</f>
        <v>11.419693679407896</v>
      </c>
      <c r="P330" s="869">
        <f>IFERROR(INDEX(Dataset!$A:$V,MATCH(Calculations!P$250&amp;Calculations!$X330,Dataset!$V:$V,0),MATCH(Calculations!$A$1,Dataset!$A$1:$V$1,0)),"")</f>
        <v>12.512275967255558</v>
      </c>
      <c r="Q330" s="869">
        <f>IFERROR(INDEX(Dataset!$A:$V,MATCH(Calculations!Q$250&amp;Calculations!$X330,Dataset!$V:$V,0),MATCH(Calculations!$A$1,Dataset!$A$1:$V$1,0)),"")</f>
        <v>11.658892153273658</v>
      </c>
      <c r="R330" s="869">
        <f>IFERROR(INDEX(Dataset!$A:$V,MATCH(Calculations!R$250&amp;Calculations!$X330,Dataset!$V:$V,0),MATCH(Calculations!$A$1,Dataset!$A$1:$V$1,0)),"")</f>
        <v>12.35973078381774</v>
      </c>
      <c r="S330" s="869">
        <f>IFERROR(INDEX(Dataset!$A:$V,MATCH(Calculations!S$250&amp;Calculations!$X330,Dataset!$V:$V,0),MATCH(Calculations!$A$1,Dataset!$A$1:$V$1,0)),"")</f>
        <v>11.667273106996145</v>
      </c>
      <c r="T330" s="869">
        <f>IFERROR(INDEX(Dataset!$A:$V,MATCH(Calculations!T$250&amp;Calculations!$X330,Dataset!$V:$V,0),MATCH(Calculations!$A$1,Dataset!$A$1:$V$1,0)),"")</f>
        <v>11.797135401312449</v>
      </c>
      <c r="X330" t="s">
        <v>1133</v>
      </c>
    </row>
    <row r="331" spans="1:24">
      <c r="A331" s="869" t="s">
        <v>1084</v>
      </c>
      <c r="B331" s="869"/>
      <c r="C331" s="869"/>
      <c r="D331" s="869"/>
      <c r="E331" s="869"/>
      <c r="F331" s="869"/>
      <c r="G331" s="869"/>
      <c r="H331" s="869"/>
      <c r="I331" s="869"/>
      <c r="J331" s="869"/>
      <c r="K331" s="869"/>
      <c r="L331" s="869"/>
      <c r="M331" s="869">
        <f>IFERROR(INDEX(Dataset!$A:$V,MATCH(Calculations!M$250&amp;Calculations!$X331,Dataset!$V:$V,0),MATCH(Calculations!$A$1,Dataset!$A$1:$V$1,0)),"")</f>
        <v>9.4597270879186546</v>
      </c>
      <c r="N331" s="869">
        <f>IFERROR(INDEX(Dataset!$A:$V,MATCH(Calculations!N$250&amp;Calculations!$X331,Dataset!$V:$V,0),MATCH(Calculations!$A$1,Dataset!$A$1:$V$1,0)),"")</f>
        <v>9.5088058658374592</v>
      </c>
      <c r="O331" s="869">
        <f>IFERROR(INDEX(Dataset!$A:$V,MATCH(Calculations!O$250&amp;Calculations!$X331,Dataset!$V:$V,0),MATCH(Calculations!$A$1,Dataset!$A$1:$V$1,0)),"")</f>
        <v>10.786874050955229</v>
      </c>
      <c r="P331" s="869">
        <f>IFERROR(INDEX(Dataset!$A:$V,MATCH(Calculations!P$250&amp;Calculations!$X331,Dataset!$V:$V,0),MATCH(Calculations!$A$1,Dataset!$A$1:$V$1,0)),"")</f>
        <v>13.188531138548859</v>
      </c>
      <c r="Q331" s="869">
        <f>IFERROR(INDEX(Dataset!$A:$V,MATCH(Calculations!Q$250&amp;Calculations!$X331,Dataset!$V:$V,0),MATCH(Calculations!$A$1,Dataset!$A$1:$V$1,0)),"")</f>
        <v>8.8279661996545595</v>
      </c>
      <c r="R331" s="869">
        <f>IFERROR(INDEX(Dataset!$A:$V,MATCH(Calculations!R$250&amp;Calculations!$X331,Dataset!$V:$V,0),MATCH(Calculations!$A$1,Dataset!$A$1:$V$1,0)),"")</f>
        <v>5.9180597898472644</v>
      </c>
      <c r="S331" s="869">
        <f>IFERROR(INDEX(Dataset!$A:$V,MATCH(Calculations!S$250&amp;Calculations!$X331,Dataset!$V:$V,0),MATCH(Calculations!$A$1,Dataset!$A$1:$V$1,0)),"")</f>
        <v>9.1849999999999987</v>
      </c>
      <c r="T331" s="869" t="str">
        <f>IFERROR(INDEX(Dataset!$A:$V,MATCH(Calculations!T$250&amp;Calculations!$X331,Dataset!$V:$V,0),MATCH(Calculations!$A$1,Dataset!$A$1:$V$1,0)),"")</f>
        <v/>
      </c>
      <c r="X331" t="s">
        <v>1134</v>
      </c>
    </row>
    <row r="332" spans="1:24">
      <c r="A332" s="869" t="s">
        <v>1086</v>
      </c>
      <c r="B332" s="869"/>
      <c r="C332" s="869"/>
      <c r="D332" s="869"/>
      <c r="E332" s="869"/>
      <c r="F332" s="869"/>
      <c r="G332" s="869"/>
      <c r="H332" s="869"/>
      <c r="I332" s="869"/>
      <c r="J332" s="869"/>
      <c r="K332" s="869"/>
      <c r="L332" s="869"/>
      <c r="M332" s="869">
        <f>IFERROR(INDEX(Dataset!$A:$V,MATCH(Calculations!M$250&amp;Calculations!$X332,Dataset!$V:$V,0),MATCH(Calculations!$A$1,Dataset!$A$1:$V$1,0)),"")</f>
        <v>-2.5885863251467391</v>
      </c>
      <c r="N332" s="869">
        <f>IFERROR(INDEX(Dataset!$A:$V,MATCH(Calculations!N$250&amp;Calculations!$X332,Dataset!$V:$V,0),MATCH(Calculations!$A$1,Dataset!$A$1:$V$1,0)),"")</f>
        <v>-2.1725245865660536</v>
      </c>
      <c r="O332" s="869">
        <f>IFERROR(INDEX(Dataset!$A:$V,MATCH(Calculations!O$250&amp;Calculations!$X332,Dataset!$V:$V,0),MATCH(Calculations!$A$1,Dataset!$A$1:$V$1,0)),"")</f>
        <v>-0.63281962845266726</v>
      </c>
      <c r="P332" s="869">
        <f>IFERROR(INDEX(Dataset!$A:$V,MATCH(Calculations!P$250&amp;Calculations!$X332,Dataset!$V:$V,0),MATCH(Calculations!$A$1,Dataset!$A$1:$V$1,0)),"")</f>
        <v>0.67625517129330071</v>
      </c>
      <c r="Q332" s="869">
        <f>IFERROR(INDEX(Dataset!$A:$V,MATCH(Calculations!Q$250&amp;Calculations!$X332,Dataset!$V:$V,0),MATCH(Calculations!$A$1,Dataset!$A$1:$V$1,0)),"")</f>
        <v>-2.8309259536190989</v>
      </c>
      <c r="R332" s="869">
        <f>IFERROR(INDEX(Dataset!$A:$V,MATCH(Calculations!R$250&amp;Calculations!$X332,Dataset!$V:$V,0),MATCH(Calculations!$A$1,Dataset!$A$1:$V$1,0)),"")</f>
        <v>-6.4416709939704759</v>
      </c>
      <c r="S332" s="869">
        <f>IFERROR(INDEX(Dataset!$A:$V,MATCH(Calculations!S$250&amp;Calculations!$X332,Dataset!$V:$V,0),MATCH(Calculations!$A$1,Dataset!$A$1:$V$1,0)),"")</f>
        <v>-2.4822731069961463</v>
      </c>
      <c r="T332" s="869" t="str">
        <f>IFERROR(INDEX(Dataset!$A:$V,MATCH(Calculations!T$250&amp;Calculations!$X332,Dataset!$V:$V,0),MATCH(Calculations!$A$1,Dataset!$A$1:$V$1,0)),"")</f>
        <v/>
      </c>
      <c r="X332" t="s">
        <v>1135</v>
      </c>
    </row>
    <row r="333" spans="1:24">
      <c r="A333" s="869" t="s">
        <v>1088</v>
      </c>
      <c r="B333" s="869"/>
      <c r="C333" s="869"/>
      <c r="D333" s="869"/>
      <c r="E333" s="869"/>
      <c r="F333" s="869"/>
      <c r="G333" s="869"/>
      <c r="H333" s="869"/>
      <c r="I333" s="869"/>
      <c r="J333" s="869"/>
      <c r="K333" s="869"/>
      <c r="L333" s="869"/>
      <c r="M333" s="871">
        <f>IFERROR(INDEX(Dataset!$A:$V,MATCH(Calculations!M$250&amp;Calculations!$X333,Dataset!$V:$V,0),MATCH(Calculations!$A$1,Dataset!$A$1:$V$1,0)),"")</f>
        <v>-0.21485051362787697</v>
      </c>
      <c r="N333" s="871">
        <f>IFERROR(INDEX(Dataset!$A:$V,MATCH(Calculations!N$250&amp;Calculations!$X333,Dataset!$V:$V,0),MATCH(Calculations!$A$1,Dataset!$A$1:$V$1,0)),"")</f>
        <v>-0.18598263232242027</v>
      </c>
      <c r="O333" s="871">
        <f>IFERROR(INDEX(Dataset!$A:$V,MATCH(Calculations!O$250&amp;Calculations!$X333,Dataset!$V:$V,0),MATCH(Calculations!$A$1,Dataset!$A$1:$V$1,0)),"")</f>
        <v>-5.5414763847280231E-2</v>
      </c>
      <c r="P333" s="871">
        <f>IFERROR(INDEX(Dataset!$A:$V,MATCH(Calculations!P$250&amp;Calculations!$X333,Dataset!$V:$V,0),MATCH(Calculations!$A$1,Dataset!$A$1:$V$1,0)),"")</f>
        <v>5.4047335038249676E-2</v>
      </c>
      <c r="Q333" s="871">
        <f>IFERROR(INDEX(Dataset!$A:$V,MATCH(Calculations!Q$250&amp;Calculations!$X333,Dataset!$V:$V,0),MATCH(Calculations!$A$1,Dataset!$A$1:$V$1,0)),"")</f>
        <v>-0.24281260315322614</v>
      </c>
      <c r="R333" s="871">
        <f>IFERROR(INDEX(Dataset!$A:$V,MATCH(Calculations!R$250&amp;Calculations!$X333,Dataset!$V:$V,0),MATCH(Calculations!$A$1,Dataset!$A$1:$V$1,0)),"")</f>
        <v>-0.52118214438815935</v>
      </c>
      <c r="S333" s="871">
        <f>IFERROR(INDEX(Dataset!$A:$V,MATCH(Calculations!S$250&amp;Calculations!$X333,Dataset!$V:$V,0),MATCH(Calculations!$A$1,Dataset!$A$1:$V$1,0)),"")</f>
        <v>-0.21275520717070384</v>
      </c>
      <c r="T333" s="871" t="str">
        <f>IFERROR(INDEX(Dataset!$A:$V,MATCH(Calculations!T$250&amp;Calculations!$X333,Dataset!$V:$V,0),MATCH(Calculations!$A$1,Dataset!$A$1:$V$1,0)),"")</f>
        <v/>
      </c>
      <c r="X333" t="s">
        <v>1136</v>
      </c>
    </row>
    <row r="335" spans="1:24">
      <c r="A335" s="828" t="s">
        <v>1137</v>
      </c>
    </row>
    <row r="336" spans="1:24">
      <c r="A336" s="869" t="s">
        <v>1080</v>
      </c>
      <c r="B336" s="869"/>
      <c r="C336" s="869"/>
      <c r="D336" s="869"/>
      <c r="E336" s="869"/>
      <c r="F336" s="869"/>
      <c r="G336" s="869"/>
      <c r="H336" s="869"/>
      <c r="I336" s="869"/>
      <c r="J336" s="869"/>
      <c r="K336" s="869"/>
      <c r="L336" s="869"/>
      <c r="M336" s="869">
        <f>IFERROR(INDEX(Dataset!$A:$V,MATCH(Calculations!M$250&amp;Calculations!$X336,Dataset!$V:$V,0),MATCH(Calculations!$A$1,Dataset!$A$1:$V$1,0)),"")</f>
        <v>0.67475682166356599</v>
      </c>
      <c r="N336" s="869">
        <f>IFERROR(INDEX(Dataset!$A:$V,MATCH(Calculations!N$250&amp;Calculations!$X336,Dataset!$V:$V,0),MATCH(Calculations!$A$1,Dataset!$A$1:$V$1,0)),"")</f>
        <v>0.18568034638530154</v>
      </c>
      <c r="O336" s="869">
        <f>IFERROR(INDEX(Dataset!$A:$V,MATCH(Calculations!O$250&amp;Calculations!$X336,Dataset!$V:$V,0),MATCH(Calculations!$A$1,Dataset!$A$1:$V$1,0)),"")</f>
        <v>0.18490730437229075</v>
      </c>
      <c r="P336" s="869">
        <f>IFERROR(INDEX(Dataset!$A:$V,MATCH(Calculations!P$250&amp;Calculations!$X336,Dataset!$V:$V,0),MATCH(Calculations!$A$1,Dataset!$A$1:$V$1,0)),"")</f>
        <v>0.18479328047232954</v>
      </c>
      <c r="Q336" s="869">
        <f>IFERROR(INDEX(Dataset!$A:$V,MATCH(Calculations!Q$250&amp;Calculations!$X336,Dataset!$V:$V,0),MATCH(Calculations!$A$1,Dataset!$A$1:$V$1,0)),"")</f>
        <v>1.5977857558437243</v>
      </c>
      <c r="R336" s="869">
        <f>IFERROR(INDEX(Dataset!$A:$V,MATCH(Calculations!R$250&amp;Calculations!$X336,Dataset!$V:$V,0),MATCH(Calculations!$A$1,Dataset!$A$1:$V$1,0)),"")</f>
        <v>7.3458397478671005</v>
      </c>
      <c r="S336" s="869">
        <f>IFERROR(INDEX(Dataset!$A:$V,MATCH(Calculations!S$250&amp;Calculations!$X336,Dataset!$V:$V,0),MATCH(Calculations!$A$1,Dataset!$A$1:$V$1,0)),"")</f>
        <v>7.3612978418377155</v>
      </c>
      <c r="T336" s="869">
        <f>IFERROR(INDEX(Dataset!$A:$V,MATCH(Calculations!T$250&amp;Calculations!$X336,Dataset!$V:$V,0),MATCH(Calculations!$A$1,Dataset!$A$1:$V$1,0)),"")</f>
        <v>7.5106238550647069</v>
      </c>
      <c r="X336" t="s">
        <v>1138</v>
      </c>
    </row>
    <row r="337" spans="1:24">
      <c r="A337" s="869" t="s">
        <v>1082</v>
      </c>
      <c r="B337" s="869"/>
      <c r="C337" s="869"/>
      <c r="D337" s="869"/>
      <c r="E337" s="869"/>
      <c r="F337" s="869"/>
      <c r="G337" s="869"/>
      <c r="H337" s="869"/>
      <c r="I337" s="869"/>
      <c r="J337" s="869"/>
      <c r="K337" s="869"/>
      <c r="L337" s="869"/>
      <c r="M337" s="869">
        <f>IFERROR(INDEX(Dataset!$A:$V,MATCH(Calculations!M$250&amp;Calculations!$X337,Dataset!$V:$V,0),MATCH(Calculations!$A$1,Dataset!$A$1:$V$1,0)),"")</f>
        <v>0.63791125395556669</v>
      </c>
      <c r="N337" s="869">
        <f>IFERROR(INDEX(Dataset!$A:$V,MATCH(Calculations!N$250&amp;Calculations!$X337,Dataset!$V:$V,0),MATCH(Calculations!$A$1,Dataset!$A$1:$V$1,0)),"")</f>
        <v>0.1755411413337436</v>
      </c>
      <c r="O337" s="869">
        <f>IFERROR(INDEX(Dataset!$A:$V,MATCH(Calculations!O$250&amp;Calculations!$X337,Dataset!$V:$V,0),MATCH(Calculations!$A$1,Dataset!$A$1:$V$1,0)),"")</f>
        <v>0.17481031181998744</v>
      </c>
      <c r="P337" s="869">
        <f>IFERROR(INDEX(Dataset!$A:$V,MATCH(Calculations!P$250&amp;Calculations!$X337,Dataset!$V:$V,0),MATCH(Calculations!$A$1,Dataset!$A$1:$V$1,0)),"")</f>
        <v>0.17470251427475353</v>
      </c>
      <c r="Q337" s="869">
        <f>IFERROR(INDEX(Dataset!$A:$V,MATCH(Calculations!Q$250&amp;Calculations!$X337,Dataset!$V:$V,0),MATCH(Calculations!$A$1,Dataset!$A$1:$V$1,0)),"")</f>
        <v>1.510537548252916</v>
      </c>
      <c r="R337" s="869">
        <f>IFERROR(INDEX(Dataset!$A:$V,MATCH(Calculations!R$250&amp;Calculations!$X337,Dataset!$V:$V,0),MATCH(Calculations!$A$1,Dataset!$A$1:$V$1,0)),"")</f>
        <v>-0.83641840243000631</v>
      </c>
      <c r="S337" s="869">
        <f>IFERROR(INDEX(Dataset!$A:$V,MATCH(Calculations!S$250&amp;Calculations!$X337,Dataset!$V:$V,0),MATCH(Calculations!$A$1,Dataset!$A$1:$V$1,0)),"")</f>
        <v>-0.82180440848142067</v>
      </c>
      <c r="T337" s="869">
        <f>IFERROR(INDEX(Dataset!$A:$V,MATCH(Calculations!T$250&amp;Calculations!$X337,Dataset!$V:$V,0),MATCH(Calculations!$A$1,Dataset!$A$1:$V$1,0)),"")</f>
        <v>-0.68063244654264898</v>
      </c>
      <c r="X337" t="s">
        <v>1139</v>
      </c>
    </row>
    <row r="338" spans="1:24">
      <c r="A338" s="869" t="s">
        <v>1084</v>
      </c>
      <c r="B338" s="869"/>
      <c r="C338" s="869"/>
      <c r="D338" s="869"/>
      <c r="E338" s="869"/>
      <c r="F338" s="869"/>
      <c r="G338" s="869"/>
      <c r="H338" s="869"/>
      <c r="I338" s="869"/>
      <c r="J338" s="869"/>
      <c r="K338" s="869"/>
      <c r="L338" s="869"/>
      <c r="M338" s="869">
        <f>IFERROR(INDEX(Dataset!$A:$V,MATCH(Calculations!M$250&amp;Calculations!$X338,Dataset!$V:$V,0),MATCH(Calculations!$A$1,Dataset!$A$1:$V$1,0)),"")</f>
        <v>6.3686924176955137E-2</v>
      </c>
      <c r="N338" s="869">
        <f>IFERROR(INDEX(Dataset!$A:$V,MATCH(Calculations!N$250&amp;Calculations!$X338,Dataset!$V:$V,0),MATCH(Calculations!$A$1,Dataset!$A$1:$V$1,0)),"")</f>
        <v>0.29014891694843614</v>
      </c>
      <c r="O338" s="869">
        <f>IFERROR(INDEX(Dataset!$A:$V,MATCH(Calculations!O$250&amp;Calculations!$X338,Dataset!$V:$V,0),MATCH(Calculations!$A$1,Dataset!$A$1:$V$1,0)),"")</f>
        <v>1.4261464926448121E-2</v>
      </c>
      <c r="P338" s="869">
        <f>IFERROR(INDEX(Dataset!$A:$V,MATCH(Calculations!P$250&amp;Calculations!$X338,Dataset!$V:$V,0),MATCH(Calculations!$A$1,Dataset!$A$1:$V$1,0)),"")</f>
        <v>0</v>
      </c>
      <c r="Q338" s="869">
        <f>IFERROR(INDEX(Dataset!$A:$V,MATCH(Calculations!Q$250&amp;Calculations!$X338,Dataset!$V:$V,0),MATCH(Calculations!$A$1,Dataset!$A$1:$V$1,0)),"")</f>
        <v>0</v>
      </c>
      <c r="R338" s="869">
        <f>IFERROR(INDEX(Dataset!$A:$V,MATCH(Calculations!R$250&amp;Calculations!$X338,Dataset!$V:$V,0),MATCH(Calculations!$A$1,Dataset!$A$1:$V$1,0)),"")</f>
        <v>0</v>
      </c>
      <c r="S338" s="869">
        <f>IFERROR(INDEX(Dataset!$A:$V,MATCH(Calculations!S$250&amp;Calculations!$X338,Dataset!$V:$V,0),MATCH(Calculations!$A$1,Dataset!$A$1:$V$1,0)),"")</f>
        <v>0</v>
      </c>
      <c r="T338" s="869" t="str">
        <f>IFERROR(INDEX(Dataset!$A:$V,MATCH(Calculations!T$250&amp;Calculations!$X338,Dataset!$V:$V,0),MATCH(Calculations!$A$1,Dataset!$A$1:$V$1,0)),"")</f>
        <v/>
      </c>
      <c r="X338" t="s">
        <v>1140</v>
      </c>
    </row>
    <row r="339" spans="1:24">
      <c r="A339" s="869" t="s">
        <v>1086</v>
      </c>
      <c r="B339" s="869"/>
      <c r="C339" s="869"/>
      <c r="D339" s="869"/>
      <c r="E339" s="869"/>
      <c r="F339" s="869"/>
      <c r="G339" s="869"/>
      <c r="H339" s="869"/>
      <c r="I339" s="869"/>
      <c r="J339" s="869"/>
      <c r="K339" s="869"/>
      <c r="L339" s="869"/>
      <c r="M339" s="869">
        <f>IFERROR(INDEX(Dataset!$A:$V,MATCH(Calculations!M$250&amp;Calculations!$X339,Dataset!$V:$V,0),MATCH(Calculations!$A$1,Dataset!$A$1:$V$1,0)),"")</f>
        <v>-0.5742243297786116</v>
      </c>
      <c r="N339" s="869">
        <f>IFERROR(INDEX(Dataset!$A:$V,MATCH(Calculations!N$250&amp;Calculations!$X339,Dataset!$V:$V,0),MATCH(Calculations!$A$1,Dataset!$A$1:$V$1,0)),"")</f>
        <v>0.11460777561469254</v>
      </c>
      <c r="O339" s="869">
        <f>IFERROR(INDEX(Dataset!$A:$V,MATCH(Calculations!O$250&amp;Calculations!$X339,Dataset!$V:$V,0),MATCH(Calculations!$A$1,Dataset!$A$1:$V$1,0)),"")</f>
        <v>-0.16054884689353932</v>
      </c>
      <c r="P339" s="869">
        <f>IFERROR(INDEX(Dataset!$A:$V,MATCH(Calculations!P$250&amp;Calculations!$X339,Dataset!$V:$V,0),MATCH(Calculations!$A$1,Dataset!$A$1:$V$1,0)),"")</f>
        <v>-0.17470251427475353</v>
      </c>
      <c r="Q339" s="869">
        <f>IFERROR(INDEX(Dataset!$A:$V,MATCH(Calculations!Q$250&amp;Calculations!$X339,Dataset!$V:$V,0),MATCH(Calculations!$A$1,Dataset!$A$1:$V$1,0)),"")</f>
        <v>-1.510537548252916</v>
      </c>
      <c r="R339" s="869">
        <f>IFERROR(INDEX(Dataset!$A:$V,MATCH(Calculations!R$250&amp;Calculations!$X339,Dataset!$V:$V,0),MATCH(Calculations!$A$1,Dataset!$A$1:$V$1,0)),"")</f>
        <v>0.83641840243000631</v>
      </c>
      <c r="S339" s="869">
        <f>IFERROR(INDEX(Dataset!$A:$V,MATCH(Calculations!S$250&amp;Calculations!$X339,Dataset!$V:$V,0),MATCH(Calculations!$A$1,Dataset!$A$1:$V$1,0)),"")</f>
        <v>0.82180440848142067</v>
      </c>
      <c r="T339" s="869" t="str">
        <f>IFERROR(INDEX(Dataset!$A:$V,MATCH(Calculations!T$250&amp;Calculations!$X339,Dataset!$V:$V,0),MATCH(Calculations!$A$1,Dataset!$A$1:$V$1,0)),"")</f>
        <v/>
      </c>
      <c r="X339" t="s">
        <v>1141</v>
      </c>
    </row>
    <row r="340" spans="1:24">
      <c r="A340" s="869" t="s">
        <v>1088</v>
      </c>
      <c r="B340" s="869"/>
      <c r="C340" s="869"/>
      <c r="D340" s="869"/>
      <c r="E340" s="869"/>
      <c r="F340" s="869"/>
      <c r="G340" s="869"/>
      <c r="H340" s="869"/>
      <c r="I340" s="869"/>
      <c r="J340" s="869"/>
      <c r="K340" s="869"/>
      <c r="L340" s="869"/>
      <c r="M340" s="871">
        <f>IFERROR(INDEX(Dataset!$A:$V,MATCH(Calculations!M$250&amp;Calculations!$X340,Dataset!$V:$V,0),MATCH(Calculations!$A$1,Dataset!$A$1:$V$1,0)),"")</f>
        <v>-0.90016334751574834</v>
      </c>
      <c r="N340" s="871">
        <f>IFERROR(INDEX(Dataset!$A:$V,MATCH(Calculations!N$250&amp;Calculations!$X340,Dataset!$V:$V,0),MATCH(Calculations!$A$1,Dataset!$A$1:$V$1,0)),"")</f>
        <v>0.6528827074036001</v>
      </c>
      <c r="O340" s="871">
        <f>IFERROR(INDEX(Dataset!$A:$V,MATCH(Calculations!O$250&amp;Calculations!$X340,Dataset!$V:$V,0),MATCH(Calculations!$A$1,Dataset!$A$1:$V$1,0)),"")</f>
        <v>-0.91841748476981155</v>
      </c>
      <c r="P340" s="871">
        <f>IFERROR(INDEX(Dataset!$A:$V,MATCH(Calculations!P$250&amp;Calculations!$X340,Dataset!$V:$V,0),MATCH(Calculations!$A$1,Dataset!$A$1:$V$1,0)),"")</f>
        <v>-1</v>
      </c>
      <c r="Q340" s="869">
        <f>IFERROR(INDEX(Dataset!$A:$V,MATCH(Calculations!Q$250&amp;Calculations!$X340,Dataset!$V:$V,0),MATCH(Calculations!$A$1,Dataset!$A$1:$V$1,0)),"")</f>
        <v>-1</v>
      </c>
      <c r="R340" s="869">
        <f>IFERROR(INDEX(Dataset!$A:$V,MATCH(Calculations!R$250&amp;Calculations!$X340,Dataset!$V:$V,0),MATCH(Calculations!$A$1,Dataset!$A$1:$V$1,0)),"")</f>
        <v>-1</v>
      </c>
      <c r="S340" s="869">
        <f>IFERROR(INDEX(Dataset!$A:$V,MATCH(Calculations!S$250&amp;Calculations!$X340,Dataset!$V:$V,0),MATCH(Calculations!$A$1,Dataset!$A$1:$V$1,0)),"")</f>
        <v>-1</v>
      </c>
      <c r="T340" s="869" t="str">
        <f>IFERROR(INDEX(Dataset!$A:$V,MATCH(Calculations!T$250&amp;Calculations!$X340,Dataset!$V:$V,0),MATCH(Calculations!$A$1,Dataset!$A$1:$V$1,0)),"")</f>
        <v/>
      </c>
      <c r="X340" t="s">
        <v>1142</v>
      </c>
    </row>
    <row r="342" spans="1:24">
      <c r="A342" s="828" t="s">
        <v>1143</v>
      </c>
    </row>
    <row r="343" spans="1:24">
      <c r="A343" s="869" t="s">
        <v>1080</v>
      </c>
      <c r="B343" s="869"/>
      <c r="C343" s="869"/>
      <c r="D343" s="869"/>
      <c r="E343" s="869"/>
      <c r="F343" s="869"/>
      <c r="G343" s="869"/>
      <c r="H343" s="869"/>
      <c r="I343" s="869"/>
      <c r="J343" s="869"/>
      <c r="K343" s="869"/>
      <c r="L343" s="869"/>
      <c r="M343" s="869">
        <f>IFERROR(INDEX(Dataset!$A:$V,MATCH(Calculations!M$250&amp;Calculations!$X343,Dataset!$V:$V,0),MATCH(Calculations!$A$1,Dataset!$A$1:$V$1,0)),"")</f>
        <v>71.286618800905572</v>
      </c>
      <c r="N343" s="869">
        <f>IFERROR(INDEX(Dataset!$A:$V,MATCH(Calculations!N$250&amp;Calculations!$X343,Dataset!$V:$V,0),MATCH(Calculations!$A$1,Dataset!$A$1:$V$1,0)),"")</f>
        <v>72.798333867427019</v>
      </c>
      <c r="O343" s="869">
        <f>IFERROR(INDEX(Dataset!$A:$V,MATCH(Calculations!O$250&amp;Calculations!$X343,Dataset!$V:$V,0),MATCH(Calculations!$A$1,Dataset!$A$1:$V$1,0)),"")</f>
        <v>72.06344268394632</v>
      </c>
      <c r="P343" s="869">
        <f>IFERROR(INDEX(Dataset!$A:$V,MATCH(Calculations!P$250&amp;Calculations!$X343,Dataset!$V:$V,0),MATCH(Calculations!$A$1,Dataset!$A$1:$V$1,0)),"")</f>
        <v>73.257466616910946</v>
      </c>
      <c r="Q343" s="869">
        <f>IFERROR(INDEX(Dataset!$A:$V,MATCH(Calculations!Q$250&amp;Calculations!$X343,Dataset!$V:$V,0),MATCH(Calculations!$A$1,Dataset!$A$1:$V$1,0)),"")</f>
        <v>73.60690678390813</v>
      </c>
      <c r="R343" s="869">
        <f>IFERROR(INDEX(Dataset!$A:$V,MATCH(Calculations!R$250&amp;Calculations!$X343,Dataset!$V:$V,0),MATCH(Calculations!$A$1,Dataset!$A$1:$V$1,0)),"")</f>
        <v>74.186036861031852</v>
      </c>
      <c r="S343" s="869">
        <f>IFERROR(INDEX(Dataset!$A:$V,MATCH(Calculations!S$250&amp;Calculations!$X343,Dataset!$V:$V,0),MATCH(Calculations!$A$1,Dataset!$A$1:$V$1,0)),"")</f>
        <v>74.820285436626136</v>
      </c>
      <c r="T343" s="869">
        <f>IFERROR(INDEX(Dataset!$A:$V,MATCH(Calculations!T$250&amp;Calculations!$X343,Dataset!$V:$V,0),MATCH(Calculations!$A$1,Dataset!$A$1:$V$1,0)),"")</f>
        <v>74.894585362079241</v>
      </c>
      <c r="X343" t="s">
        <v>1144</v>
      </c>
    </row>
    <row r="344" spans="1:24">
      <c r="A344" s="869" t="s">
        <v>1082</v>
      </c>
      <c r="B344" s="869"/>
      <c r="C344" s="869"/>
      <c r="D344" s="869"/>
      <c r="E344" s="869"/>
      <c r="F344" s="869"/>
      <c r="G344" s="869"/>
      <c r="H344" s="869"/>
      <c r="I344" s="869"/>
      <c r="J344" s="869"/>
      <c r="K344" s="869"/>
      <c r="L344" s="869"/>
      <c r="M344" s="869">
        <f>IFERROR(INDEX(Dataset!$A:$V,MATCH(Calculations!M$250&amp;Calculations!$X344,Dataset!$V:$V,0),MATCH(Calculations!$A$1,Dataset!$A$1:$V$1,0)),"")</f>
        <v>71.286618800905572</v>
      </c>
      <c r="N344" s="869">
        <f>IFERROR(INDEX(Dataset!$A:$V,MATCH(Calculations!N$250&amp;Calculations!$X344,Dataset!$V:$V,0),MATCH(Calculations!$A$1,Dataset!$A$1:$V$1,0)),"")</f>
        <v>72.798333867427019</v>
      </c>
      <c r="O344" s="869">
        <f>IFERROR(INDEX(Dataset!$A:$V,MATCH(Calculations!O$250&amp;Calculations!$X344,Dataset!$V:$V,0),MATCH(Calculations!$A$1,Dataset!$A$1:$V$1,0)),"")</f>
        <v>72.06344268394632</v>
      </c>
      <c r="P344" s="869">
        <f>IFERROR(INDEX(Dataset!$A:$V,MATCH(Calculations!P$250&amp;Calculations!$X344,Dataset!$V:$V,0),MATCH(Calculations!$A$1,Dataset!$A$1:$V$1,0)),"")</f>
        <v>73.257466616910946</v>
      </c>
      <c r="Q344" s="869">
        <f>IFERROR(INDEX(Dataset!$A:$V,MATCH(Calculations!Q$250&amp;Calculations!$X344,Dataset!$V:$V,0),MATCH(Calculations!$A$1,Dataset!$A$1:$V$1,0)),"")</f>
        <v>73.60690678390813</v>
      </c>
      <c r="R344" s="869">
        <f>IFERROR(INDEX(Dataset!$A:$V,MATCH(Calculations!R$250&amp;Calculations!$X344,Dataset!$V:$V,0),MATCH(Calculations!$A$1,Dataset!$A$1:$V$1,0)),"")</f>
        <v>74.186036861031852</v>
      </c>
      <c r="S344" s="869">
        <f>IFERROR(INDEX(Dataset!$A:$V,MATCH(Calculations!S$250&amp;Calculations!$X344,Dataset!$V:$V,0),MATCH(Calculations!$A$1,Dataset!$A$1:$V$1,0)),"")</f>
        <v>74.820285436626136</v>
      </c>
      <c r="T344" s="869">
        <f>IFERROR(INDEX(Dataset!$A:$V,MATCH(Calculations!T$250&amp;Calculations!$X344,Dataset!$V:$V,0),MATCH(Calculations!$A$1,Dataset!$A$1:$V$1,0)),"")</f>
        <v>74.894585362079241</v>
      </c>
      <c r="X344" t="s">
        <v>1145</v>
      </c>
    </row>
    <row r="345" spans="1:24">
      <c r="A345" s="869" t="s">
        <v>1084</v>
      </c>
      <c r="B345" s="869"/>
      <c r="C345" s="869"/>
      <c r="D345" s="869"/>
      <c r="E345" s="869"/>
      <c r="F345" s="869"/>
      <c r="G345" s="869"/>
      <c r="H345" s="869"/>
      <c r="I345" s="869"/>
      <c r="J345" s="869"/>
      <c r="K345" s="869"/>
      <c r="L345" s="869"/>
      <c r="M345" s="869">
        <f>IFERROR(INDEX(Dataset!$A:$V,MATCH(Calculations!M$250&amp;Calculations!$X345,Dataset!$V:$V,0),MATCH(Calculations!$A$1,Dataset!$A$1:$V$1,0)),"")</f>
        <v>68.294571194104066</v>
      </c>
      <c r="N345" s="869">
        <f>IFERROR(INDEX(Dataset!$A:$V,MATCH(Calculations!N$250&amp;Calculations!$X345,Dataset!$V:$V,0),MATCH(Calculations!$A$1,Dataset!$A$1:$V$1,0)),"")</f>
        <v>74.463766380117121</v>
      </c>
      <c r="O345" s="869">
        <f>IFERROR(INDEX(Dataset!$A:$V,MATCH(Calculations!O$250&amp;Calculations!$X345,Dataset!$V:$V,0),MATCH(Calculations!$A$1,Dataset!$A$1:$V$1,0)),"")</f>
        <v>62.065555801213499</v>
      </c>
      <c r="P345" s="869">
        <f>IFERROR(INDEX(Dataset!$A:$V,MATCH(Calculations!P$250&amp;Calculations!$X345,Dataset!$V:$V,0),MATCH(Calculations!$A$1,Dataset!$A$1:$V$1,0)),"")</f>
        <v>41.637212358987391</v>
      </c>
      <c r="Q345" s="869">
        <f>IFERROR(INDEX(Dataset!$A:$V,MATCH(Calculations!Q$250&amp;Calculations!$X345,Dataset!$V:$V,0),MATCH(Calculations!$A$1,Dataset!$A$1:$V$1,0)),"")</f>
        <v>53.17559843725271</v>
      </c>
      <c r="R345" s="869">
        <f>IFERROR(INDEX(Dataset!$A:$V,MATCH(Calculations!R$250&amp;Calculations!$X345,Dataset!$V:$V,0),MATCH(Calculations!$A$1,Dataset!$A$1:$V$1,0)),"")</f>
        <v>63.70283797774735</v>
      </c>
      <c r="S345" s="869" t="str">
        <f>IFERROR(INDEX(Dataset!$A:$V,MATCH(Calculations!S$250&amp;Calculations!$X345,Dataset!$V:$V,0),MATCH(Calculations!$A$1,Dataset!$A$1:$V$1,0)),"")</f>
        <v/>
      </c>
      <c r="T345" s="869" t="str">
        <f>IFERROR(INDEX(Dataset!$A:$V,MATCH(Calculations!T$250&amp;Calculations!$X345,Dataset!$V:$V,0),MATCH(Calculations!$A$1,Dataset!$A$1:$V$1,0)),"")</f>
        <v/>
      </c>
      <c r="X345" t="s">
        <v>1146</v>
      </c>
    </row>
    <row r="346" spans="1:24">
      <c r="A346" s="869" t="s">
        <v>1086</v>
      </c>
      <c r="B346" s="869"/>
      <c r="C346" s="869"/>
      <c r="D346" s="869"/>
      <c r="E346" s="869"/>
      <c r="F346" s="869"/>
      <c r="G346" s="869"/>
      <c r="H346" s="869"/>
      <c r="I346" s="869"/>
      <c r="J346" s="869"/>
      <c r="K346" s="869"/>
      <c r="L346" s="869"/>
      <c r="M346" s="869">
        <f>IFERROR(INDEX(Dataset!$A:$V,MATCH(Calculations!M$250&amp;Calculations!$X346,Dataset!$V:$V,0),MATCH(Calculations!$A$1,Dataset!$A$1:$V$1,0)),"")</f>
        <v>-2.9920476068015063</v>
      </c>
      <c r="N346" s="869">
        <f>IFERROR(INDEX(Dataset!$A:$V,MATCH(Calculations!N$250&amp;Calculations!$X346,Dataset!$V:$V,0),MATCH(Calculations!$A$1,Dataset!$A$1:$V$1,0)),"")</f>
        <v>1.6654325126901028</v>
      </c>
      <c r="O346" s="869">
        <f>IFERROR(INDEX(Dataset!$A:$V,MATCH(Calculations!O$250&amp;Calculations!$X346,Dataset!$V:$V,0),MATCH(Calculations!$A$1,Dataset!$A$1:$V$1,0)),"")</f>
        <v>-9.9978868827328213</v>
      </c>
      <c r="P346" s="869">
        <f>IFERROR(INDEX(Dataset!$A:$V,MATCH(Calculations!P$250&amp;Calculations!$X346,Dataset!$V:$V,0),MATCH(Calculations!$A$1,Dataset!$A$1:$V$1,0)),"")</f>
        <v>-31.620254257923555</v>
      </c>
      <c r="Q346" s="869">
        <f>IFERROR(INDEX(Dataset!$A:$V,MATCH(Calculations!Q$250&amp;Calculations!$X346,Dataset!$V:$V,0),MATCH(Calculations!$A$1,Dataset!$A$1:$V$1,0)),"")</f>
        <v>-20.43130834665542</v>
      </c>
      <c r="R346" s="869">
        <f>IFERROR(INDEX(Dataset!$A:$V,MATCH(Calculations!R$250&amp;Calculations!$X346,Dataset!$V:$V,0),MATCH(Calculations!$A$1,Dataset!$A$1:$V$1,0)),"")</f>
        <v>-10.483198883284501</v>
      </c>
      <c r="S346" s="869">
        <f>IFERROR(INDEX(Dataset!$A:$V,MATCH(Calculations!S$250&amp;Calculations!$X346,Dataset!$V:$V,0),MATCH(Calculations!$A$1,Dataset!$A$1:$V$1,0)),"")</f>
        <v>-8.3304854366261338</v>
      </c>
      <c r="T346" s="869" t="str">
        <f>IFERROR(INDEX(Dataset!$A:$V,MATCH(Calculations!T$250&amp;Calculations!$X346,Dataset!$V:$V,0),MATCH(Calculations!$A$1,Dataset!$A$1:$V$1,0)),"")</f>
        <v/>
      </c>
      <c r="X346" t="s">
        <v>1147</v>
      </c>
    </row>
    <row r="347" spans="1:24">
      <c r="A347" s="869" t="s">
        <v>1088</v>
      </c>
      <c r="B347" s="869"/>
      <c r="C347" s="869"/>
      <c r="D347" s="869"/>
      <c r="E347" s="869"/>
      <c r="F347" s="869"/>
      <c r="G347" s="869"/>
      <c r="H347" s="869"/>
      <c r="I347" s="869"/>
      <c r="J347" s="869"/>
      <c r="K347" s="869"/>
      <c r="L347" s="869"/>
      <c r="M347" s="871">
        <f>IFERROR(INDEX(Dataset!$A:$V,MATCH(Calculations!M$250&amp;Calculations!$X347,Dataset!$V:$V,0),MATCH(Calculations!$A$1,Dataset!$A$1:$V$1,0)),"")</f>
        <v>-4.1972079152160564E-2</v>
      </c>
      <c r="N347" s="871">
        <f>IFERROR(INDEX(Dataset!$A:$V,MATCH(Calculations!N$250&amp;Calculations!$X347,Dataset!$V:$V,0),MATCH(Calculations!$A$1,Dataset!$A$1:$V$1,0)),"")</f>
        <v>2.2877343810134728E-2</v>
      </c>
      <c r="O347" s="871">
        <f>IFERROR(INDEX(Dataset!$A:$V,MATCH(Calculations!O$250&amp;Calculations!$X347,Dataset!$V:$V,0),MATCH(Calculations!$A$1,Dataset!$A$1:$V$1,0)),"")</f>
        <v>-0.1387372918968256</v>
      </c>
      <c r="P347" s="871">
        <f>IFERROR(INDEX(Dataset!$A:$V,MATCH(Calculations!P$250&amp;Calculations!$X347,Dataset!$V:$V,0),MATCH(Calculations!$A$1,Dataset!$A$1:$V$1,0)),"")</f>
        <v>-0.43163182837425956</v>
      </c>
      <c r="Q347" s="871">
        <f>IFERROR(INDEX(Dataset!$A:$V,MATCH(Calculations!Q$250&amp;Calculations!$X347,Dataset!$V:$V,0),MATCH(Calculations!$A$1,Dataset!$A$1:$V$1,0)),"")</f>
        <v>-0.27757325011138889</v>
      </c>
      <c r="R347" s="871">
        <f>IFERROR(INDEX(Dataset!$A:$V,MATCH(Calculations!R$250&amp;Calculations!$X347,Dataset!$V:$V,0),MATCH(Calculations!$A$1,Dataset!$A$1:$V$1,0)),"")</f>
        <v>-0.14130959580604144</v>
      </c>
      <c r="S347" s="871">
        <f>IFERROR(INDEX(Dataset!$A:$V,MATCH(Calculations!S$250&amp;Calculations!$X347,Dataset!$V:$V,0),MATCH(Calculations!$A$1,Dataset!$A$1:$V$1,0)),"")</f>
        <v>-0.11133993125009094</v>
      </c>
      <c r="T347" s="871" t="str">
        <f>IFERROR(INDEX(Dataset!$A:$V,MATCH(Calculations!T$250&amp;Calculations!$X347,Dataset!$V:$V,0),MATCH(Calculations!$A$1,Dataset!$A$1:$V$1,0)),"")</f>
        <v/>
      </c>
      <c r="X347" t="s">
        <v>1148</v>
      </c>
    </row>
    <row r="349" spans="1:24">
      <c r="A349" s="828" t="s">
        <v>72</v>
      </c>
    </row>
    <row r="350" spans="1:24">
      <c r="A350" s="869" t="s">
        <v>1080</v>
      </c>
      <c r="B350" s="869"/>
      <c r="C350" s="869"/>
      <c r="D350" s="869"/>
      <c r="E350" s="869"/>
      <c r="F350" s="869"/>
      <c r="G350" s="869"/>
      <c r="H350" s="869"/>
      <c r="I350" s="869"/>
      <c r="J350" s="869"/>
      <c r="K350" s="869"/>
      <c r="L350" s="869"/>
      <c r="M350" s="869">
        <f>IFERROR(INDEX(Dataset!$A:$V,MATCH(Calculations!M$250&amp;Calculations!$X350,Dataset!$V:$V,0),MATCH(Calculations!$A$1,Dataset!$A$1:$V$1,0)),"")</f>
        <v>4.6178792600262701</v>
      </c>
      <c r="N350" s="869">
        <f>IFERROR(INDEX(Dataset!$A:$V,MATCH(Calculations!N$250&amp;Calculations!$X350,Dataset!$V:$V,0),MATCH(Calculations!$A$1,Dataset!$A$1:$V$1,0)),"")</f>
        <v>4.8192249446441506</v>
      </c>
      <c r="O350" s="869">
        <f>IFERROR(INDEX(Dataset!$A:$V,MATCH(Calculations!O$250&amp;Calculations!$X350,Dataset!$V:$V,0),MATCH(Calculations!$A$1,Dataset!$A$1:$V$1,0)),"")</f>
        <v>4.7107337066274066</v>
      </c>
      <c r="P350" s="869">
        <f>IFERROR(INDEX(Dataset!$A:$V,MATCH(Calculations!P$250&amp;Calculations!$X350,Dataset!$V:$V,0),MATCH(Calculations!$A$1,Dataset!$A$1:$V$1,0)),"")</f>
        <v>4.9115539571332469</v>
      </c>
      <c r="Q350" s="869">
        <f>IFERROR(INDEX(Dataset!$A:$V,MATCH(Calculations!Q$250&amp;Calculations!$X350,Dataset!$V:$V,0),MATCH(Calculations!$A$1,Dataset!$A$1:$V$1,0)),"")</f>
        <v>4.9708433684631581</v>
      </c>
      <c r="R350" s="869">
        <f>IFERROR(INDEX(Dataset!$A:$V,MATCH(Calculations!R$250&amp;Calculations!$X350,Dataset!$V:$V,0),MATCH(Calculations!$A$1,Dataset!$A$1:$V$1,0)),"")</f>
        <v>5.0213879241118295</v>
      </c>
      <c r="S350" s="869">
        <f>IFERROR(INDEX(Dataset!$A:$V,MATCH(Calculations!S$250&amp;Calculations!$X350,Dataset!$V:$V,0),MATCH(Calculations!$A$1,Dataset!$A$1:$V$1,0)),"")</f>
        <v>5.0895319596610422</v>
      </c>
      <c r="T350" s="869">
        <f>IFERROR(INDEX(Dataset!$A:$V,MATCH(Calculations!T$250&amp;Calculations!$X350,Dataset!$V:$V,0),MATCH(Calculations!$A$1,Dataset!$A$1:$V$1,0)),"")</f>
        <v>5.1094647521674261</v>
      </c>
      <c r="X350" t="s">
        <v>1149</v>
      </c>
    </row>
    <row r="351" spans="1:24">
      <c r="A351" s="869" t="s">
        <v>1082</v>
      </c>
      <c r="B351" s="869"/>
      <c r="C351" s="869"/>
      <c r="D351" s="869"/>
      <c r="E351" s="869"/>
      <c r="F351" s="869"/>
      <c r="G351" s="869"/>
      <c r="H351" s="869"/>
      <c r="I351" s="869"/>
      <c r="J351" s="869"/>
      <c r="K351" s="869"/>
      <c r="L351" s="869"/>
      <c r="M351" s="869">
        <f>IFERROR(INDEX(Dataset!$A:$V,MATCH(Calculations!M$250&amp;Calculations!$X351,Dataset!$V:$V,0),MATCH(Calculations!$A$1,Dataset!$A$1:$V$1,0)),"")</f>
        <v>4.6178792600262701</v>
      </c>
      <c r="N351" s="869">
        <f>IFERROR(INDEX(Dataset!$A:$V,MATCH(Calculations!N$250&amp;Calculations!$X351,Dataset!$V:$V,0),MATCH(Calculations!$A$1,Dataset!$A$1:$V$1,0)),"")</f>
        <v>4.8192249446441506</v>
      </c>
      <c r="O351" s="869">
        <f>IFERROR(INDEX(Dataset!$A:$V,MATCH(Calculations!O$250&amp;Calculations!$X351,Dataset!$V:$V,0),MATCH(Calculations!$A$1,Dataset!$A$1:$V$1,0)),"")</f>
        <v>4.7107337066274066</v>
      </c>
      <c r="P351" s="869">
        <f>IFERROR(INDEX(Dataset!$A:$V,MATCH(Calculations!P$250&amp;Calculations!$X351,Dataset!$V:$V,0),MATCH(Calculations!$A$1,Dataset!$A$1:$V$1,0)),"")</f>
        <v>4.9115539571332469</v>
      </c>
      <c r="Q351" s="869">
        <f>IFERROR(INDEX(Dataset!$A:$V,MATCH(Calculations!Q$250&amp;Calculations!$X351,Dataset!$V:$V,0),MATCH(Calculations!$A$1,Dataset!$A$1:$V$1,0)),"")</f>
        <v>4.9708433684631581</v>
      </c>
      <c r="R351" s="869">
        <f>IFERROR(INDEX(Dataset!$A:$V,MATCH(Calculations!R$250&amp;Calculations!$X351,Dataset!$V:$V,0),MATCH(Calculations!$A$1,Dataset!$A$1:$V$1,0)),"")</f>
        <v>5.0213879241118295</v>
      </c>
      <c r="S351" s="869">
        <f>IFERROR(INDEX(Dataset!$A:$V,MATCH(Calculations!S$250&amp;Calculations!$X351,Dataset!$V:$V,0),MATCH(Calculations!$A$1,Dataset!$A$1:$V$1,0)),"")</f>
        <v>5.0895319596610422</v>
      </c>
      <c r="T351" s="869">
        <f>IFERROR(INDEX(Dataset!$A:$V,MATCH(Calculations!T$250&amp;Calculations!$X351,Dataset!$V:$V,0),MATCH(Calculations!$A$1,Dataset!$A$1:$V$1,0)),"")</f>
        <v>5.1094647521674261</v>
      </c>
      <c r="X351" t="s">
        <v>1150</v>
      </c>
    </row>
    <row r="352" spans="1:24">
      <c r="A352" s="869" t="s">
        <v>1084</v>
      </c>
      <c r="B352" s="869"/>
      <c r="C352" s="869"/>
      <c r="D352" s="869"/>
      <c r="E352" s="869"/>
      <c r="F352" s="869"/>
      <c r="G352" s="869"/>
      <c r="H352" s="869"/>
      <c r="I352" s="869"/>
      <c r="J352" s="869"/>
      <c r="K352" s="869"/>
      <c r="L352" s="869"/>
      <c r="M352" s="869">
        <f>IFERROR(INDEX(Dataset!$A:$V,MATCH(Calculations!M$250&amp;Calculations!$X352,Dataset!$V:$V,0),MATCH(Calculations!$A$1,Dataset!$A$1:$V$1,0)),"")</f>
        <v>9.2228501100476823</v>
      </c>
      <c r="N352" s="869">
        <f>IFERROR(INDEX(Dataset!$A:$V,MATCH(Calculations!N$250&amp;Calculations!$X352,Dataset!$V:$V,0),MATCH(Calculations!$A$1,Dataset!$A$1:$V$1,0)),"")</f>
        <v>9.2763109829730706</v>
      </c>
      <c r="O352" s="869">
        <f>IFERROR(INDEX(Dataset!$A:$V,MATCH(Calculations!O$250&amp;Calculations!$X352,Dataset!$V:$V,0),MATCH(Calculations!$A$1,Dataset!$A$1:$V$1,0)),"")</f>
        <v>9.2796862179347261</v>
      </c>
      <c r="P352" s="869">
        <f>IFERROR(INDEX(Dataset!$A:$V,MATCH(Calculations!P$250&amp;Calculations!$X352,Dataset!$V:$V,0),MATCH(Calculations!$A$1,Dataset!$A$1:$V$1,0)),"")</f>
        <v>7.9427069634461427</v>
      </c>
      <c r="Q352" s="869">
        <f>IFERROR(INDEX(Dataset!$A:$V,MATCH(Calculations!Q$250&amp;Calculations!$X352,Dataset!$V:$V,0),MATCH(Calculations!$A$1,Dataset!$A$1:$V$1,0)),"")</f>
        <v>7.950618875455028</v>
      </c>
      <c r="R352" s="869">
        <f>IFERROR(INDEX(Dataset!$A:$V,MATCH(Calculations!R$250&amp;Calculations!$X352,Dataset!$V:$V,0),MATCH(Calculations!$A$1,Dataset!$A$1:$V$1,0)),"")</f>
        <v>6.4250440178538053</v>
      </c>
      <c r="S352" s="869">
        <f>IFERROR(INDEX(Dataset!$A:$V,MATCH(Calculations!S$250&amp;Calculations!$X352,Dataset!$V:$V,0),MATCH(Calculations!$A$1,Dataset!$A$1:$V$1,0)),"")</f>
        <v>7.1996000000000002</v>
      </c>
      <c r="T352" s="869" t="str">
        <f>IFERROR(INDEX(Dataset!$A:$V,MATCH(Calculations!T$250&amp;Calculations!$X352,Dataset!$V:$V,0),MATCH(Calculations!$A$1,Dataset!$A$1:$V$1,0)),"")</f>
        <v/>
      </c>
      <c r="X352" t="s">
        <v>1151</v>
      </c>
    </row>
    <row r="353" spans="1:24">
      <c r="A353" s="869" t="s">
        <v>1086</v>
      </c>
      <c r="B353" s="869"/>
      <c r="C353" s="869"/>
      <c r="D353" s="869"/>
      <c r="E353" s="869"/>
      <c r="F353" s="869"/>
      <c r="G353" s="869"/>
      <c r="H353" s="869"/>
      <c r="I353" s="869"/>
      <c r="J353" s="869"/>
      <c r="K353" s="869"/>
      <c r="L353" s="869"/>
      <c r="M353" s="869">
        <f>IFERROR(INDEX(Dataset!$A:$V,MATCH(Calculations!M$250&amp;Calculations!$X353,Dataset!$V:$V,0),MATCH(Calculations!$A$1,Dataset!$A$1:$V$1,0)),"")</f>
        <v>4.6049708500214122</v>
      </c>
      <c r="N353" s="869">
        <f>IFERROR(INDEX(Dataset!$A:$V,MATCH(Calculations!N$250&amp;Calculations!$X353,Dataset!$V:$V,0),MATCH(Calculations!$A$1,Dataset!$A$1:$V$1,0)),"")</f>
        <v>4.4570860383289199</v>
      </c>
      <c r="O353" s="869">
        <f>IFERROR(INDEX(Dataset!$A:$V,MATCH(Calculations!O$250&amp;Calculations!$X353,Dataset!$V:$V,0),MATCH(Calculations!$A$1,Dataset!$A$1:$V$1,0)),"")</f>
        <v>4.5689525113073195</v>
      </c>
      <c r="P353" s="869">
        <f>IFERROR(INDEX(Dataset!$A:$V,MATCH(Calculations!P$250&amp;Calculations!$X353,Dataset!$V:$V,0),MATCH(Calculations!$A$1,Dataset!$A$1:$V$1,0)),"")</f>
        <v>3.0311530063128957</v>
      </c>
      <c r="Q353" s="869">
        <f>IFERROR(INDEX(Dataset!$A:$V,MATCH(Calculations!Q$250&amp;Calculations!$X353,Dataset!$V:$V,0),MATCH(Calculations!$A$1,Dataset!$A$1:$V$1,0)),"")</f>
        <v>2.9797755069918699</v>
      </c>
      <c r="R353" s="869">
        <f>IFERROR(INDEX(Dataset!$A:$V,MATCH(Calculations!R$250&amp;Calculations!$X353,Dataset!$V:$V,0),MATCH(Calculations!$A$1,Dataset!$A$1:$V$1,0)),"")</f>
        <v>1.4036560937419758</v>
      </c>
      <c r="S353" s="869">
        <f>IFERROR(INDEX(Dataset!$A:$V,MATCH(Calculations!S$250&amp;Calculations!$X353,Dataset!$V:$V,0),MATCH(Calculations!$A$1,Dataset!$A$1:$V$1,0)),"")</f>
        <v>2.110068040338958</v>
      </c>
      <c r="T353" s="869" t="str">
        <f>IFERROR(INDEX(Dataset!$A:$V,MATCH(Calculations!T$250&amp;Calculations!$X353,Dataset!$V:$V,0),MATCH(Calculations!$A$1,Dataset!$A$1:$V$1,0)),"")</f>
        <v/>
      </c>
      <c r="X353" t="s">
        <v>1152</v>
      </c>
    </row>
    <row r="354" spans="1:24">
      <c r="A354" s="869" t="s">
        <v>1088</v>
      </c>
      <c r="B354" s="869"/>
      <c r="C354" s="869"/>
      <c r="D354" s="869"/>
      <c r="E354" s="869"/>
      <c r="F354" s="869"/>
      <c r="G354" s="869"/>
      <c r="H354" s="869"/>
      <c r="I354" s="869"/>
      <c r="J354" s="869"/>
      <c r="K354" s="869"/>
      <c r="L354" s="869"/>
      <c r="M354" s="871">
        <f>IFERROR(INDEX(Dataset!$A:$V,MATCH(Calculations!M$250&amp;Calculations!$X354,Dataset!$V:$V,0),MATCH(Calculations!$A$1,Dataset!$A$1:$V$1,0)),"")</f>
        <v>0.99720468871574941</v>
      </c>
      <c r="N354" s="871">
        <f>IFERROR(INDEX(Dataset!$A:$V,MATCH(Calculations!N$250&amp;Calculations!$X354,Dataset!$V:$V,0),MATCH(Calculations!$A$1,Dataset!$A$1:$V$1,0)),"")</f>
        <v>0.92485536357507159</v>
      </c>
      <c r="O354" s="871">
        <f>IFERROR(INDEX(Dataset!$A:$V,MATCH(Calculations!O$250&amp;Calculations!$X354,Dataset!$V:$V,0),MATCH(Calculations!$A$1,Dataset!$A$1:$V$1,0)),"")</f>
        <v>0.96990252386361409</v>
      </c>
      <c r="P354" s="871">
        <f>IFERROR(INDEX(Dataset!$A:$V,MATCH(Calculations!P$250&amp;Calculations!$X354,Dataset!$V:$V,0),MATCH(Calculations!$A$1,Dataset!$A$1:$V$1,0)),"")</f>
        <v>0.61714745124822068</v>
      </c>
      <c r="Q354" s="871">
        <f>IFERROR(INDEX(Dataset!$A:$V,MATCH(Calculations!Q$250&amp;Calculations!$X354,Dataset!$V:$V,0),MATCH(Calculations!$A$1,Dataset!$A$1:$V$1,0)),"")</f>
        <v>0.59945069400026796</v>
      </c>
      <c r="R354" s="871">
        <f>IFERROR(INDEX(Dataset!$A:$V,MATCH(Calculations!R$250&amp;Calculations!$X354,Dataset!$V:$V,0),MATCH(Calculations!$A$1,Dataset!$A$1:$V$1,0)),"")</f>
        <v>0.27953548201322265</v>
      </c>
      <c r="S354" s="871">
        <f>IFERROR(INDEX(Dataset!$A:$V,MATCH(Calculations!S$250&amp;Calculations!$X354,Dataset!$V:$V,0),MATCH(Calculations!$A$1,Dataset!$A$1:$V$1,0)),"")</f>
        <v>0.41458980060702605</v>
      </c>
      <c r="T354" s="871" t="str">
        <f>IFERROR(INDEX(Dataset!$A:$V,MATCH(Calculations!T$250&amp;Calculations!$X354,Dataset!$V:$V,0),MATCH(Calculations!$A$1,Dataset!$A$1:$V$1,0)),"")</f>
        <v/>
      </c>
      <c r="X354" t="s">
        <v>1153</v>
      </c>
    </row>
    <row r="356" spans="1:24">
      <c r="A356" s="828" t="s">
        <v>1154</v>
      </c>
    </row>
    <row r="357" spans="1:24">
      <c r="A357" s="869" t="s">
        <v>1080</v>
      </c>
      <c r="B357" s="869"/>
      <c r="C357" s="869"/>
      <c r="D357" s="869"/>
      <c r="E357" s="869"/>
      <c r="F357" s="869"/>
      <c r="G357" s="869"/>
      <c r="H357" s="869"/>
      <c r="I357" s="869"/>
      <c r="J357" s="869"/>
      <c r="K357" s="869"/>
      <c r="L357" s="869"/>
      <c r="M357" s="869">
        <f>IFERROR(INDEX(Dataset!$A:$V,MATCH(Calculations!M$250&amp;Calculations!$X357,Dataset!$V:$V,0),MATCH(Calculations!$A$1,Dataset!$A$1:$V$1,0)),"")</f>
        <v>8.7376568410989375</v>
      </c>
      <c r="N357" s="869">
        <f>IFERROR(INDEX(Dataset!$A:$V,MATCH(Calculations!N$250&amp;Calculations!$X357,Dataset!$V:$V,0),MATCH(Calculations!$A$1,Dataset!$A$1:$V$1,0)),"")</f>
        <v>8.7444334066924068</v>
      </c>
      <c r="O357" s="869">
        <f>IFERROR(INDEX(Dataset!$A:$V,MATCH(Calculations!O$250&amp;Calculations!$X357,Dataset!$V:$V,0),MATCH(Calculations!$A$1,Dataset!$A$1:$V$1,0)),"")</f>
        <v>8.7325110385197569</v>
      </c>
      <c r="P357" s="869">
        <f>IFERROR(INDEX(Dataset!$A:$V,MATCH(Calculations!P$250&amp;Calculations!$X357,Dataset!$V:$V,0),MATCH(Calculations!$A$1,Dataset!$A$1:$V$1,0)),"")</f>
        <v>8.7577655964644787</v>
      </c>
      <c r="Q357" s="869">
        <f>IFERROR(INDEX(Dataset!$A:$V,MATCH(Calculations!Q$250&amp;Calculations!$X357,Dataset!$V:$V,0),MATCH(Calculations!$A$1,Dataset!$A$1:$V$1,0)),"")</f>
        <v>8.7826616754966409</v>
      </c>
      <c r="R357" s="869">
        <f>IFERROR(INDEX(Dataset!$A:$V,MATCH(Calculations!R$250&amp;Calculations!$X357,Dataset!$V:$V,0),MATCH(Calculations!$A$1,Dataset!$A$1:$V$1,0)),"")</f>
        <v>8.8149274279968068</v>
      </c>
      <c r="S357" s="869">
        <f>IFERROR(INDEX(Dataset!$A:$V,MATCH(Calculations!S$250&amp;Calculations!$X357,Dataset!$V:$V,0),MATCH(Calculations!$A$1,Dataset!$A$1:$V$1,0)),"")</f>
        <v>8.8391247052526172</v>
      </c>
      <c r="T357" s="869">
        <f>IFERROR(INDEX(Dataset!$A:$V,MATCH(Calculations!T$250&amp;Calculations!$X357,Dataset!$V:$V,0),MATCH(Calculations!$A$1,Dataset!$A$1:$V$1,0)),"")</f>
        <v>8.8656318440980346</v>
      </c>
      <c r="X357" t="s">
        <v>1155</v>
      </c>
    </row>
    <row r="358" spans="1:24">
      <c r="A358" s="869" t="s">
        <v>1082</v>
      </c>
      <c r="B358" s="869"/>
      <c r="C358" s="869"/>
      <c r="D358" s="869"/>
      <c r="E358" s="869"/>
      <c r="F358" s="869"/>
      <c r="G358" s="869"/>
      <c r="H358" s="869"/>
      <c r="I358" s="869"/>
      <c r="J358" s="869"/>
      <c r="K358" s="869"/>
      <c r="L358" s="869"/>
      <c r="M358" s="869">
        <f>IFERROR(INDEX(Dataset!$A:$V,MATCH(Calculations!M$250&amp;Calculations!$X358,Dataset!$V:$V,0),MATCH(Calculations!$A$1,Dataset!$A$1:$V$1,0)),"")</f>
        <v>8.7376568410989375</v>
      </c>
      <c r="N358" s="869">
        <f>IFERROR(INDEX(Dataset!$A:$V,MATCH(Calculations!N$250&amp;Calculations!$X358,Dataset!$V:$V,0),MATCH(Calculations!$A$1,Dataset!$A$1:$V$1,0)),"")</f>
        <v>8.7444334066924068</v>
      </c>
      <c r="O358" s="869">
        <f>IFERROR(INDEX(Dataset!$A:$V,MATCH(Calculations!O$250&amp;Calculations!$X358,Dataset!$V:$V,0),MATCH(Calculations!$A$1,Dataset!$A$1:$V$1,0)),"")</f>
        <v>8.7325110385197569</v>
      </c>
      <c r="P358" s="869">
        <f>IFERROR(INDEX(Dataset!$A:$V,MATCH(Calculations!P$250&amp;Calculations!$X358,Dataset!$V:$V,0),MATCH(Calculations!$A$1,Dataset!$A$1:$V$1,0)),"")</f>
        <v>8.7577655964644787</v>
      </c>
      <c r="Q358" s="869">
        <f>IFERROR(INDEX(Dataset!$A:$V,MATCH(Calculations!Q$250&amp;Calculations!$X358,Dataset!$V:$V,0),MATCH(Calculations!$A$1,Dataset!$A$1:$V$1,0)),"")</f>
        <v>8.7826616754966409</v>
      </c>
      <c r="R358" s="869">
        <f>IFERROR(INDEX(Dataset!$A:$V,MATCH(Calculations!R$250&amp;Calculations!$X358,Dataset!$V:$V,0),MATCH(Calculations!$A$1,Dataset!$A$1:$V$1,0)),"")</f>
        <v>8.8149274279968068</v>
      </c>
      <c r="S358" s="869">
        <f>IFERROR(INDEX(Dataset!$A:$V,MATCH(Calculations!S$250&amp;Calculations!$X358,Dataset!$V:$V,0),MATCH(Calculations!$A$1,Dataset!$A$1:$V$1,0)),"")</f>
        <v>8.8391247052526172</v>
      </c>
      <c r="T358" s="869">
        <f>IFERROR(INDEX(Dataset!$A:$V,MATCH(Calculations!T$250&amp;Calculations!$X358,Dataset!$V:$V,0),MATCH(Calculations!$A$1,Dataset!$A$1:$V$1,0)),"")</f>
        <v>8.8656318440980346</v>
      </c>
      <c r="X358" t="s">
        <v>1156</v>
      </c>
    </row>
    <row r="359" spans="1:24">
      <c r="A359" s="869" t="s">
        <v>1084</v>
      </c>
      <c r="B359" s="869"/>
      <c r="C359" s="869"/>
      <c r="D359" s="869"/>
      <c r="E359" s="869"/>
      <c r="F359" s="869"/>
      <c r="G359" s="869"/>
      <c r="H359" s="869"/>
      <c r="I359" s="869"/>
      <c r="J359" s="869"/>
      <c r="K359" s="869"/>
      <c r="L359" s="869"/>
      <c r="M359" s="869">
        <f>IFERROR(INDEX(Dataset!$A:$V,MATCH(Calculations!M$250&amp;Calculations!$X359,Dataset!$V:$V,0),MATCH(Calculations!$A$1,Dataset!$A$1:$V$1,0)),"")</f>
        <v>7.9645835911391387</v>
      </c>
      <c r="N359" s="869">
        <f>IFERROR(INDEX(Dataset!$A:$V,MATCH(Calculations!N$250&amp;Calculations!$X359,Dataset!$V:$V,0),MATCH(Calculations!$A$1,Dataset!$A$1:$V$1,0)),"")</f>
        <v>6.7751122456526982</v>
      </c>
      <c r="O359" s="869">
        <f>IFERROR(INDEX(Dataset!$A:$V,MATCH(Calculations!O$250&amp;Calculations!$X359,Dataset!$V:$V,0),MATCH(Calculations!$A$1,Dataset!$A$1:$V$1,0)),"")</f>
        <v>4.8569342972921845</v>
      </c>
      <c r="P359" s="869">
        <f>IFERROR(INDEX(Dataset!$A:$V,MATCH(Calculations!P$250&amp;Calculations!$X359,Dataset!$V:$V,0),MATCH(Calculations!$A$1,Dataset!$A$1:$V$1,0)),"")</f>
        <v>5.5444527355387061</v>
      </c>
      <c r="Q359" s="869">
        <f>IFERROR(INDEX(Dataset!$A:$V,MATCH(Calculations!Q$250&amp;Calculations!$X359,Dataset!$V:$V,0),MATCH(Calculations!$A$1,Dataset!$A$1:$V$1,0)),"")</f>
        <v>6.5148525588180659</v>
      </c>
      <c r="R359" s="869">
        <f>IFERROR(INDEX(Dataset!$A:$V,MATCH(Calculations!R$250&amp;Calculations!$X359,Dataset!$V:$V,0),MATCH(Calculations!$A$1,Dataset!$A$1:$V$1,0)),"")</f>
        <v>8.4260080573279819</v>
      </c>
      <c r="S359" s="869">
        <f>IFERROR(INDEX(Dataset!$A:$V,MATCH(Calculations!S$250&amp;Calculations!$X359,Dataset!$V:$V,0),MATCH(Calculations!$A$1,Dataset!$A$1:$V$1,0)),"")</f>
        <v>5.5779000000000005</v>
      </c>
      <c r="T359" s="869" t="str">
        <f>IFERROR(INDEX(Dataset!$A:$V,MATCH(Calculations!T$250&amp;Calculations!$X359,Dataset!$V:$V,0),MATCH(Calculations!$A$1,Dataset!$A$1:$V$1,0)),"")</f>
        <v/>
      </c>
      <c r="X359" t="s">
        <v>1157</v>
      </c>
    </row>
    <row r="360" spans="1:24">
      <c r="A360" s="869" t="s">
        <v>1086</v>
      </c>
      <c r="B360" s="869"/>
      <c r="C360" s="869"/>
      <c r="D360" s="869"/>
      <c r="E360" s="869"/>
      <c r="F360" s="869"/>
      <c r="G360" s="869"/>
      <c r="H360" s="869"/>
      <c r="I360" s="869"/>
      <c r="J360" s="869"/>
      <c r="K360" s="869"/>
      <c r="L360" s="869"/>
      <c r="M360" s="869">
        <f>IFERROR(INDEX(Dataset!$A:$V,MATCH(Calculations!M$250&amp;Calculations!$X360,Dataset!$V:$V,0),MATCH(Calculations!$A$1,Dataset!$A$1:$V$1,0)),"")</f>
        <v>-0.77307324995979876</v>
      </c>
      <c r="N360" s="869">
        <f>IFERROR(INDEX(Dataset!$A:$V,MATCH(Calculations!N$250&amp;Calculations!$X360,Dataset!$V:$V,0),MATCH(Calculations!$A$1,Dataset!$A$1:$V$1,0)),"")</f>
        <v>-1.9693211610397086</v>
      </c>
      <c r="O360" s="869">
        <f>IFERROR(INDEX(Dataset!$A:$V,MATCH(Calculations!O$250&amp;Calculations!$X360,Dataset!$V:$V,0),MATCH(Calculations!$A$1,Dataset!$A$1:$V$1,0)),"")</f>
        <v>-3.8755767412275723</v>
      </c>
      <c r="P360" s="869">
        <f>IFERROR(INDEX(Dataset!$A:$V,MATCH(Calculations!P$250&amp;Calculations!$X360,Dataset!$V:$V,0),MATCH(Calculations!$A$1,Dataset!$A$1:$V$1,0)),"")</f>
        <v>-3.2133128609257726</v>
      </c>
      <c r="Q360" s="869">
        <f>IFERROR(INDEX(Dataset!$A:$V,MATCH(Calculations!Q$250&amp;Calculations!$X360,Dataset!$V:$V,0),MATCH(Calculations!$A$1,Dataset!$A$1:$V$1,0)),"")</f>
        <v>-2.267809116678575</v>
      </c>
      <c r="R360" s="869">
        <f>IFERROR(INDEX(Dataset!$A:$V,MATCH(Calculations!R$250&amp;Calculations!$X360,Dataset!$V:$V,0),MATCH(Calculations!$A$1,Dataset!$A$1:$V$1,0)),"")</f>
        <v>-0.38891937066882498</v>
      </c>
      <c r="S360" s="869">
        <f>IFERROR(INDEX(Dataset!$A:$V,MATCH(Calculations!S$250&amp;Calculations!$X360,Dataset!$V:$V,0),MATCH(Calculations!$A$1,Dataset!$A$1:$V$1,0)),"")</f>
        <v>-3.2612247052526167</v>
      </c>
      <c r="T360" s="869" t="str">
        <f>IFERROR(INDEX(Dataset!$A:$V,MATCH(Calculations!T$250&amp;Calculations!$X360,Dataset!$V:$V,0),MATCH(Calculations!$A$1,Dataset!$A$1:$V$1,0)),"")</f>
        <v/>
      </c>
      <c r="X360" t="s">
        <v>1158</v>
      </c>
    </row>
    <row r="361" spans="1:24">
      <c r="A361" s="869" t="s">
        <v>1088</v>
      </c>
      <c r="B361" s="869"/>
      <c r="C361" s="869"/>
      <c r="D361" s="869"/>
      <c r="E361" s="869"/>
      <c r="F361" s="869"/>
      <c r="G361" s="869"/>
      <c r="H361" s="869"/>
      <c r="I361" s="869"/>
      <c r="J361" s="869"/>
      <c r="K361" s="869"/>
      <c r="L361" s="869"/>
      <c r="M361" s="871">
        <f>IFERROR(INDEX(Dataset!$A:$V,MATCH(Calculations!M$250&amp;Calculations!$X361,Dataset!$V:$V,0),MATCH(Calculations!$A$1,Dataset!$A$1:$V$1,0)),"")</f>
        <v>-8.8476036999247623E-2</v>
      </c>
      <c r="N361" s="871">
        <f>IFERROR(INDEX(Dataset!$A:$V,MATCH(Calculations!N$250&amp;Calculations!$X361,Dataset!$V:$V,0),MATCH(Calculations!$A$1,Dataset!$A$1:$V$1,0)),"")</f>
        <v>-0.22520854919342417</v>
      </c>
      <c r="O361" s="871">
        <f>IFERROR(INDEX(Dataset!$A:$V,MATCH(Calculations!O$250&amp;Calculations!$X361,Dataset!$V:$V,0),MATCH(Calculations!$A$1,Dataset!$A$1:$V$1,0)),"")</f>
        <v>-0.44381011648678309</v>
      </c>
      <c r="P361" s="871">
        <f>IFERROR(INDEX(Dataset!$A:$V,MATCH(Calculations!P$250&amp;Calculations!$X361,Dataset!$V:$V,0),MATCH(Calculations!$A$1,Dataset!$A$1:$V$1,0)),"")</f>
        <v>-0.36691012399589584</v>
      </c>
      <c r="Q361" s="871">
        <f>IFERROR(INDEX(Dataset!$A:$V,MATCH(Calculations!Q$250&amp;Calculations!$X361,Dataset!$V:$V,0),MATCH(Calculations!$A$1,Dataset!$A$1:$V$1,0)),"")</f>
        <v>-0.25821433188138093</v>
      </c>
      <c r="R361" s="871">
        <f>IFERROR(INDEX(Dataset!$A:$V,MATCH(Calculations!R$250&amp;Calculations!$X361,Dataset!$V:$V,0),MATCH(Calculations!$A$1,Dataset!$A$1:$V$1,0)),"")</f>
        <v>-4.4120541416324169E-2</v>
      </c>
      <c r="S361" s="871">
        <f>IFERROR(INDEX(Dataset!$A:$V,MATCH(Calculations!S$250&amp;Calculations!$X361,Dataset!$V:$V,0),MATCH(Calculations!$A$1,Dataset!$A$1:$V$1,0)),"")</f>
        <v>-0.36895335386711375</v>
      </c>
      <c r="T361" s="871" t="str">
        <f>IFERROR(INDEX(Dataset!$A:$V,MATCH(Calculations!T$250&amp;Calculations!$X361,Dataset!$V:$V,0),MATCH(Calculations!$A$1,Dataset!$A$1:$V$1,0)),"")</f>
        <v/>
      </c>
      <c r="X361" t="s">
        <v>1159</v>
      </c>
    </row>
    <row r="363" spans="1:24">
      <c r="A363" s="828" t="s">
        <v>1160</v>
      </c>
    </row>
    <row r="364" spans="1:24">
      <c r="A364" s="869" t="s">
        <v>1080</v>
      </c>
      <c r="B364" s="869"/>
      <c r="C364" s="869"/>
      <c r="D364" s="869"/>
      <c r="E364" s="869"/>
      <c r="F364" s="869"/>
      <c r="G364" s="869"/>
      <c r="H364" s="869"/>
      <c r="I364" s="869"/>
      <c r="J364" s="869"/>
      <c r="K364" s="869"/>
      <c r="L364" s="869"/>
      <c r="M364" s="869">
        <f>IFERROR(INDEX(Dataset!$A:$V,MATCH(Calculations!M$250&amp;Calculations!$X364,Dataset!$V:$V,0),MATCH(Calculations!$A$1,Dataset!$A$1:$V$1,0)),"")</f>
        <v>7.4664545176611021</v>
      </c>
      <c r="N364" s="869">
        <f>IFERROR(INDEX(Dataset!$A:$V,MATCH(Calculations!N$250&amp;Calculations!$X364,Dataset!$V:$V,0),MATCH(Calculations!$A$1,Dataset!$A$1:$V$1,0)),"")</f>
        <v>5.2114576413683906</v>
      </c>
      <c r="O364" s="869">
        <f>IFERROR(INDEX(Dataset!$A:$V,MATCH(Calculations!O$250&amp;Calculations!$X364,Dataset!$V:$V,0),MATCH(Calculations!$A$1,Dataset!$A$1:$V$1,0)),"")</f>
        <v>9.0993955017031549</v>
      </c>
      <c r="P364" s="869">
        <f>IFERROR(INDEX(Dataset!$A:$V,MATCH(Calculations!P$250&amp;Calculations!$X364,Dataset!$V:$V,0),MATCH(Calculations!$A$1,Dataset!$A$1:$V$1,0)),"")</f>
        <v>1.5726282750918494</v>
      </c>
      <c r="Q364" s="869">
        <f>IFERROR(INDEX(Dataset!$A:$V,MATCH(Calculations!Q$250&amp;Calculations!$X364,Dataset!$V:$V,0),MATCH(Calculations!$A$1,Dataset!$A$1:$V$1,0)),"")</f>
        <v>2.264141210134651</v>
      </c>
      <c r="R364" s="869">
        <f>IFERROR(INDEX(Dataset!$A:$V,MATCH(Calculations!R$250&amp;Calculations!$X364,Dataset!$V:$V,0),MATCH(Calculations!$A$1,Dataset!$A$1:$V$1,0)),"")</f>
        <v>2.6355572076481386</v>
      </c>
      <c r="S364" s="869">
        <f>IFERROR(INDEX(Dataset!$A:$V,MATCH(Calculations!S$250&amp;Calculations!$X364,Dataset!$V:$V,0),MATCH(Calculations!$A$1,Dataset!$A$1:$V$1,0)),"")</f>
        <v>1.0589538411926898</v>
      </c>
      <c r="T364" s="869">
        <f>IFERROR(INDEX(Dataset!$A:$V,MATCH(Calculations!T$250&amp;Calculations!$X364,Dataset!$V:$V,0),MATCH(Calculations!$A$1,Dataset!$A$1:$V$1,0)),"")</f>
        <v>3.6193481711775668</v>
      </c>
      <c r="X364" t="s">
        <v>1161</v>
      </c>
    </row>
    <row r="365" spans="1:24">
      <c r="A365" s="869" t="s">
        <v>1082</v>
      </c>
      <c r="B365" s="869"/>
      <c r="C365" s="869"/>
      <c r="D365" s="869"/>
      <c r="E365" s="869"/>
      <c r="F365" s="869"/>
      <c r="G365" s="869"/>
      <c r="H365" s="869"/>
      <c r="I365" s="869"/>
      <c r="J365" s="869"/>
      <c r="K365" s="869"/>
      <c r="L365" s="869"/>
      <c r="M365" s="869">
        <f>IFERROR(INDEX(Dataset!$A:$V,MATCH(Calculations!M$250&amp;Calculations!$X365,Dataset!$V:$V,0),MATCH(Calculations!$A$1,Dataset!$A$1:$V$1,0)),"")</f>
        <v>7.4664545176611021</v>
      </c>
      <c r="N365" s="869">
        <f>IFERROR(INDEX(Dataset!$A:$V,MATCH(Calculations!N$250&amp;Calculations!$X365,Dataset!$V:$V,0),MATCH(Calculations!$A$1,Dataset!$A$1:$V$1,0)),"")</f>
        <v>5.2114576413683906</v>
      </c>
      <c r="O365" s="869">
        <f>IFERROR(INDEX(Dataset!$A:$V,MATCH(Calculations!O$250&amp;Calculations!$X365,Dataset!$V:$V,0),MATCH(Calculations!$A$1,Dataset!$A$1:$V$1,0)),"")</f>
        <v>9.0993955017031549</v>
      </c>
      <c r="P365" s="869">
        <f>IFERROR(INDEX(Dataset!$A:$V,MATCH(Calculations!P$250&amp;Calculations!$X365,Dataset!$V:$V,0),MATCH(Calculations!$A$1,Dataset!$A$1:$V$1,0)),"")</f>
        <v>1.5726282750918494</v>
      </c>
      <c r="Q365" s="869">
        <f>IFERROR(INDEX(Dataset!$A:$V,MATCH(Calculations!Q$250&amp;Calculations!$X365,Dataset!$V:$V,0),MATCH(Calculations!$A$1,Dataset!$A$1:$V$1,0)),"")</f>
        <v>2.264141210134651</v>
      </c>
      <c r="R365" s="869">
        <f>IFERROR(INDEX(Dataset!$A:$V,MATCH(Calculations!R$250&amp;Calculations!$X365,Dataset!$V:$V,0),MATCH(Calculations!$A$1,Dataset!$A$1:$V$1,0)),"")</f>
        <v>2.6355572076481386</v>
      </c>
      <c r="S365" s="869">
        <f>IFERROR(INDEX(Dataset!$A:$V,MATCH(Calculations!S$250&amp;Calculations!$X365,Dataset!$V:$V,0),MATCH(Calculations!$A$1,Dataset!$A$1:$V$1,0)),"")</f>
        <v>1.0589538411926898</v>
      </c>
      <c r="T365" s="869">
        <f>IFERROR(INDEX(Dataset!$A:$V,MATCH(Calculations!T$250&amp;Calculations!$X365,Dataset!$V:$V,0),MATCH(Calculations!$A$1,Dataset!$A$1:$V$1,0)),"")</f>
        <v>3.6193481711775668</v>
      </c>
      <c r="X365" t="s">
        <v>1162</v>
      </c>
    </row>
    <row r="366" spans="1:24">
      <c r="A366" s="869" t="s">
        <v>1084</v>
      </c>
      <c r="B366" s="869"/>
      <c r="C366" s="869"/>
      <c r="D366" s="869"/>
      <c r="E366" s="869"/>
      <c r="F366" s="869"/>
      <c r="G366" s="869"/>
      <c r="H366" s="869"/>
      <c r="I366" s="869"/>
      <c r="J366" s="869"/>
      <c r="K366" s="869"/>
      <c r="L366" s="869"/>
      <c r="M366" s="869">
        <f>IFERROR(INDEX(Dataset!$A:$V,MATCH(Calculations!M$250&amp;Calculations!$X366,Dataset!$V:$V,0),MATCH(Calculations!$A$1,Dataset!$A$1:$V$1,0)),"")</f>
        <v>2.4287386338669328</v>
      </c>
      <c r="N366" s="869">
        <f>IFERROR(INDEX(Dataset!$A:$V,MATCH(Calculations!N$250&amp;Calculations!$X366,Dataset!$V:$V,0),MATCH(Calculations!$A$1,Dataset!$A$1:$V$1,0)),"")</f>
        <v>5.281273912419997</v>
      </c>
      <c r="O366" s="869">
        <f>IFERROR(INDEX(Dataset!$A:$V,MATCH(Calculations!O$250&amp;Calculations!$X366,Dataset!$V:$V,0),MATCH(Calculations!$A$1,Dataset!$A$1:$V$1,0)),"")</f>
        <v>7.830110175767893</v>
      </c>
      <c r="P366" s="869">
        <f>IFERROR(INDEX(Dataset!$A:$V,MATCH(Calculations!P$250&amp;Calculations!$X366,Dataset!$V:$V,0),MATCH(Calculations!$A$1,Dataset!$A$1:$V$1,0)),"")</f>
        <v>3.8443896656642242</v>
      </c>
      <c r="Q366" s="869">
        <f>IFERROR(INDEX(Dataset!$A:$V,MATCH(Calculations!Q$250&amp;Calculations!$X366,Dataset!$V:$V,0),MATCH(Calculations!$A$1,Dataset!$A$1:$V$1,0)),"")</f>
        <v>2.8326702685778384</v>
      </c>
      <c r="R366" s="869">
        <f>IFERROR(INDEX(Dataset!$A:$V,MATCH(Calculations!R$250&amp;Calculations!$X366,Dataset!$V:$V,0),MATCH(Calculations!$A$1,Dataset!$A$1:$V$1,0)),"")</f>
        <v>5.1867247277906765</v>
      </c>
      <c r="S366" s="869">
        <f>IFERROR(INDEX(Dataset!$A:$V,MATCH(Calculations!S$250&amp;Calculations!$X366,Dataset!$V:$V,0),MATCH(Calculations!$A$1,Dataset!$A$1:$V$1,0)),"")</f>
        <v>3.0106000000000002</v>
      </c>
      <c r="T366" s="869" t="str">
        <f>IFERROR(INDEX(Dataset!$A:$V,MATCH(Calculations!T$250&amp;Calculations!$X366,Dataset!$V:$V,0),MATCH(Calculations!$A$1,Dataset!$A$1:$V$1,0)),"")</f>
        <v/>
      </c>
      <c r="X366" t="s">
        <v>1163</v>
      </c>
    </row>
    <row r="367" spans="1:24">
      <c r="A367" s="869" t="s">
        <v>1086</v>
      </c>
      <c r="B367" s="869"/>
      <c r="C367" s="869"/>
      <c r="D367" s="869"/>
      <c r="E367" s="869"/>
      <c r="F367" s="869"/>
      <c r="G367" s="869"/>
      <c r="H367" s="869"/>
      <c r="I367" s="869"/>
      <c r="J367" s="869"/>
      <c r="K367" s="869"/>
      <c r="L367" s="869"/>
      <c r="M367" s="869">
        <f>IFERROR(INDEX(Dataset!$A:$V,MATCH(Calculations!M$250&amp;Calculations!$X367,Dataset!$V:$V,0),MATCH(Calculations!$A$1,Dataset!$A$1:$V$1,0)),"")</f>
        <v>-5.0377158837941689</v>
      </c>
      <c r="N367" s="869">
        <f>IFERROR(INDEX(Dataset!$A:$V,MATCH(Calculations!N$250&amp;Calculations!$X367,Dataset!$V:$V,0),MATCH(Calculations!$A$1,Dataset!$A$1:$V$1,0)),"")</f>
        <v>6.9816271051606371E-2</v>
      </c>
      <c r="O367" s="869">
        <f>IFERROR(INDEX(Dataset!$A:$V,MATCH(Calculations!O$250&amp;Calculations!$X367,Dataset!$V:$V,0),MATCH(Calculations!$A$1,Dataset!$A$1:$V$1,0)),"")</f>
        <v>-1.2692853259352619</v>
      </c>
      <c r="P367" s="869">
        <f>IFERROR(INDEX(Dataset!$A:$V,MATCH(Calculations!P$250&amp;Calculations!$X367,Dataset!$V:$V,0),MATCH(Calculations!$A$1,Dataset!$A$1:$V$1,0)),"")</f>
        <v>2.271761390572375</v>
      </c>
      <c r="Q367" s="869">
        <f>IFERROR(INDEX(Dataset!$A:$V,MATCH(Calculations!Q$250&amp;Calculations!$X367,Dataset!$V:$V,0),MATCH(Calculations!$A$1,Dataset!$A$1:$V$1,0)),"")</f>
        <v>0.56852905844318746</v>
      </c>
      <c r="R367" s="869">
        <f>IFERROR(INDEX(Dataset!$A:$V,MATCH(Calculations!R$250&amp;Calculations!$X367,Dataset!$V:$V,0),MATCH(Calculations!$A$1,Dataset!$A$1:$V$1,0)),"")</f>
        <v>2.5511675201425379</v>
      </c>
      <c r="S367" s="869">
        <f>IFERROR(INDEX(Dataset!$A:$V,MATCH(Calculations!S$250&amp;Calculations!$X367,Dataset!$V:$V,0),MATCH(Calculations!$A$1,Dataset!$A$1:$V$1,0)),"")</f>
        <v>1.9516461588073104</v>
      </c>
      <c r="T367" s="869" t="str">
        <f>IFERROR(INDEX(Dataset!$A:$V,MATCH(Calculations!T$250&amp;Calculations!$X367,Dataset!$V:$V,0),MATCH(Calculations!$A$1,Dataset!$A$1:$V$1,0)),"")</f>
        <v/>
      </c>
      <c r="X367" t="s">
        <v>1164</v>
      </c>
    </row>
    <row r="368" spans="1:24">
      <c r="A368" s="869" t="s">
        <v>1088</v>
      </c>
      <c r="B368" s="869"/>
      <c r="C368" s="869"/>
      <c r="D368" s="869"/>
      <c r="E368" s="869"/>
      <c r="F368" s="869"/>
      <c r="G368" s="869"/>
      <c r="H368" s="869"/>
      <c r="I368" s="869"/>
      <c r="J368" s="869"/>
      <c r="K368" s="869"/>
      <c r="L368" s="869"/>
      <c r="M368" s="871">
        <f>IFERROR(INDEX(Dataset!$A:$V,MATCH(Calculations!M$250&amp;Calculations!$X368,Dataset!$V:$V,0),MATCH(Calculations!$A$1,Dataset!$A$1:$V$1,0)),"")</f>
        <v>-0.67471326208148585</v>
      </c>
      <c r="N368" s="871">
        <f>IFERROR(INDEX(Dataset!$A:$V,MATCH(Calculations!N$250&amp;Calculations!$X368,Dataset!$V:$V,0),MATCH(Calculations!$A$1,Dataset!$A$1:$V$1,0)),"")</f>
        <v>1.3396687809070338E-2</v>
      </c>
      <c r="O368" s="871">
        <f>IFERROR(INDEX(Dataset!$A:$V,MATCH(Calculations!O$250&amp;Calculations!$X368,Dataset!$V:$V,0),MATCH(Calculations!$A$1,Dataset!$A$1:$V$1,0)),"")</f>
        <v>-0.13949117012198084</v>
      </c>
      <c r="P368" s="871">
        <f>IFERROR(INDEX(Dataset!$A:$V,MATCH(Calculations!P$250&amp;Calculations!$X368,Dataset!$V:$V,0),MATCH(Calculations!$A$1,Dataset!$A$1:$V$1,0)),"")</f>
        <v>1.4445634906568703</v>
      </c>
      <c r="Q368" s="871">
        <f>IFERROR(INDEX(Dataset!$A:$V,MATCH(Calculations!Q$250&amp;Calculations!$X368,Dataset!$V:$V,0),MATCH(Calculations!$A$1,Dataset!$A$1:$V$1,0)),"")</f>
        <v>0.25110141359485982</v>
      </c>
      <c r="R368" s="869">
        <f>IFERROR(INDEX(Dataset!$A:$V,MATCH(Calculations!R$250&amp;Calculations!$X368,Dataset!$V:$V,0),MATCH(Calculations!$A$1,Dataset!$A$1:$V$1,0)),"")</f>
        <v>0.96798032413763979</v>
      </c>
      <c r="S368" s="871">
        <f>IFERROR(INDEX(Dataset!$A:$V,MATCH(Calculations!S$250&amp;Calculations!$X368,Dataset!$V:$V,0),MATCH(Calculations!$A$1,Dataset!$A$1:$V$1,0)),"")</f>
        <v>1.8429945507437695</v>
      </c>
      <c r="T368" s="871" t="str">
        <f>IFERROR(INDEX(Dataset!$A:$V,MATCH(Calculations!T$250&amp;Calculations!$X368,Dataset!$V:$V,0),MATCH(Calculations!$A$1,Dataset!$A$1:$V$1,0)),"")</f>
        <v/>
      </c>
      <c r="X368" t="s">
        <v>1165</v>
      </c>
    </row>
    <row r="370" spans="1:24">
      <c r="A370" s="828" t="s">
        <v>75</v>
      </c>
    </row>
    <row r="371" spans="1:24">
      <c r="A371" s="869" t="s">
        <v>1080</v>
      </c>
      <c r="B371" s="869"/>
      <c r="C371" s="869"/>
      <c r="D371" s="869"/>
      <c r="E371" s="869"/>
      <c r="F371" s="869"/>
      <c r="G371" s="869"/>
      <c r="H371" s="869"/>
      <c r="I371" s="869"/>
      <c r="J371" s="869"/>
      <c r="K371" s="869"/>
      <c r="L371" s="869"/>
      <c r="M371" s="869">
        <f>IFERROR(INDEX(Dataset!$A:$V,MATCH(Calculations!M$250&amp;Calculations!$X371,Dataset!$V:$V,0),MATCH(Calculations!$A$1,Dataset!$A$1:$V$1,0)),"")</f>
        <v>0.29310526019539673</v>
      </c>
      <c r="N371" s="869">
        <f>IFERROR(INDEX(Dataset!$A:$V,MATCH(Calculations!N$250&amp;Calculations!$X371,Dataset!$V:$V,0),MATCH(Calculations!$A$1,Dataset!$A$1:$V$1,0)),"")</f>
        <v>0.62025699754064401</v>
      </c>
      <c r="O371" s="869">
        <f>IFERROR(INDEX(Dataset!$A:$V,MATCH(Calculations!O$250&amp;Calculations!$X371,Dataset!$V:$V,0),MATCH(Calculations!$A$1,Dataset!$A$1:$V$1,0)),"")</f>
        <v>0.94441472413524252</v>
      </c>
      <c r="P371" s="869">
        <f>IFERROR(INDEX(Dataset!$A:$V,MATCH(Calculations!P$250&amp;Calculations!$X371,Dataset!$V:$V,0),MATCH(Calculations!$A$1,Dataset!$A$1:$V$1,0)),"")</f>
        <v>1.0442780480239542</v>
      </c>
      <c r="Q371" s="869">
        <f>IFERROR(INDEX(Dataset!$A:$V,MATCH(Calculations!Q$250&amp;Calculations!$X371,Dataset!$V:$V,0),MATCH(Calculations!$A$1,Dataset!$A$1:$V$1,0)),"")</f>
        <v>0.72090033588423452</v>
      </c>
      <c r="R371" s="869">
        <f>IFERROR(INDEX(Dataset!$A:$V,MATCH(Calculations!R$250&amp;Calculations!$X371,Dataset!$V:$V,0),MATCH(Calculations!$A$1,Dataset!$A$1:$V$1,0)),"")</f>
        <v>0.39511377234710016</v>
      </c>
      <c r="S371" s="869">
        <f>IFERROR(INDEX(Dataset!$A:$V,MATCH(Calculations!S$250&amp;Calculations!$X371,Dataset!$V:$V,0),MATCH(Calculations!$A$1,Dataset!$A$1:$V$1,0)),"")</f>
        <v>0.3971933414603101</v>
      </c>
      <c r="T371" s="869">
        <f>IFERROR(INDEX(Dataset!$A:$V,MATCH(Calculations!T$250&amp;Calculations!$X371,Dataset!$V:$V,0),MATCH(Calculations!$A$1,Dataset!$A$1:$V$1,0)),"")</f>
        <v>0.16476167406358741</v>
      </c>
      <c r="X371" t="s">
        <v>1166</v>
      </c>
    </row>
    <row r="372" spans="1:24">
      <c r="A372" s="869" t="s">
        <v>1082</v>
      </c>
      <c r="B372" s="869"/>
      <c r="C372" s="869"/>
      <c r="D372" s="869"/>
      <c r="E372" s="869"/>
      <c r="F372" s="869"/>
      <c r="G372" s="869"/>
      <c r="H372" s="869"/>
      <c r="I372" s="869"/>
      <c r="J372" s="869"/>
      <c r="K372" s="869"/>
      <c r="L372" s="869"/>
      <c r="M372" s="869">
        <f>IFERROR(INDEX(Dataset!$A:$V,MATCH(Calculations!M$250&amp;Calculations!$X372,Dataset!$V:$V,0),MATCH(Calculations!$A$1,Dataset!$A$1:$V$1,0)),"")</f>
        <v>0.29310526019539673</v>
      </c>
      <c r="N372" s="869">
        <f>IFERROR(INDEX(Dataset!$A:$V,MATCH(Calculations!N$250&amp;Calculations!$X372,Dataset!$V:$V,0),MATCH(Calculations!$A$1,Dataset!$A$1:$V$1,0)),"")</f>
        <v>0.62025699754064401</v>
      </c>
      <c r="O372" s="869">
        <f>IFERROR(INDEX(Dataset!$A:$V,MATCH(Calculations!O$250&amp;Calculations!$X372,Dataset!$V:$V,0),MATCH(Calculations!$A$1,Dataset!$A$1:$V$1,0)),"")</f>
        <v>0.94441472413524252</v>
      </c>
      <c r="P372" s="869">
        <f>IFERROR(INDEX(Dataset!$A:$V,MATCH(Calculations!P$250&amp;Calculations!$X372,Dataset!$V:$V,0),MATCH(Calculations!$A$1,Dataset!$A$1:$V$1,0)),"")</f>
        <v>1.0442780480239542</v>
      </c>
      <c r="Q372" s="869">
        <f>IFERROR(INDEX(Dataset!$A:$V,MATCH(Calculations!Q$250&amp;Calculations!$X372,Dataset!$V:$V,0),MATCH(Calculations!$A$1,Dataset!$A$1:$V$1,0)),"")</f>
        <v>0.72090033588423452</v>
      </c>
      <c r="R372" s="869">
        <f>IFERROR(INDEX(Dataset!$A:$V,MATCH(Calculations!R$250&amp;Calculations!$X372,Dataset!$V:$V,0),MATCH(Calculations!$A$1,Dataset!$A$1:$V$1,0)),"")</f>
        <v>0.39511377234710016</v>
      </c>
      <c r="S372" s="869">
        <f>IFERROR(INDEX(Dataset!$A:$V,MATCH(Calculations!S$250&amp;Calculations!$X372,Dataset!$V:$V,0),MATCH(Calculations!$A$1,Dataset!$A$1:$V$1,0)),"")</f>
        <v>0.3971933414603101</v>
      </c>
      <c r="T372" s="869">
        <f>IFERROR(INDEX(Dataset!$A:$V,MATCH(Calculations!T$250&amp;Calculations!$X372,Dataset!$V:$V,0),MATCH(Calculations!$A$1,Dataset!$A$1:$V$1,0)),"")</f>
        <v>0.16476167406358741</v>
      </c>
      <c r="X372" t="s">
        <v>1167</v>
      </c>
    </row>
    <row r="373" spans="1:24">
      <c r="A373" s="869" t="s">
        <v>1084</v>
      </c>
      <c r="B373" s="869"/>
      <c r="C373" s="869"/>
      <c r="D373" s="869"/>
      <c r="E373" s="869"/>
      <c r="F373" s="869"/>
      <c r="G373" s="869"/>
      <c r="H373" s="869"/>
      <c r="I373" s="869"/>
      <c r="J373" s="869"/>
      <c r="K373" s="869"/>
      <c r="L373" s="869"/>
      <c r="M373" s="869">
        <f>IFERROR(INDEX(Dataset!$A:$V,MATCH(Calculations!M$250&amp;Calculations!$X373,Dataset!$V:$V,0),MATCH(Calculations!$A$1,Dataset!$A$1:$V$1,0)),"")</f>
        <v>0.64862313738036415</v>
      </c>
      <c r="N373" s="869">
        <f>IFERROR(INDEX(Dataset!$A:$V,MATCH(Calculations!N$250&amp;Calculations!$X373,Dataset!$V:$V,0),MATCH(Calculations!$A$1,Dataset!$A$1:$V$1,0)),"")</f>
        <v>1.5689881943605846</v>
      </c>
      <c r="O373" s="869">
        <f>IFERROR(INDEX(Dataset!$A:$V,MATCH(Calculations!O$250&amp;Calculations!$X373,Dataset!$V:$V,0),MATCH(Calculations!$A$1,Dataset!$A$1:$V$1,0)),"")</f>
        <v>1.0947372124492558</v>
      </c>
      <c r="P373" s="869">
        <f>IFERROR(INDEX(Dataset!$A:$V,MATCH(Calculations!P$250&amp;Calculations!$X373,Dataset!$V:$V,0),MATCH(Calculations!$A$1,Dataset!$A$1:$V$1,0)),"")</f>
        <v>0.87172301735213975</v>
      </c>
      <c r="Q373" s="869">
        <f>IFERROR(INDEX(Dataset!$A:$V,MATCH(Calculations!Q$250&amp;Calculations!$X373,Dataset!$V:$V,0),MATCH(Calculations!$A$1,Dataset!$A$1:$V$1,0)),"")</f>
        <v>0.395047178315591</v>
      </c>
      <c r="R373" s="869">
        <f>IFERROR(INDEX(Dataset!$A:$V,MATCH(Calculations!R$250&amp;Calculations!$X373,Dataset!$V:$V,0),MATCH(Calculations!$A$1,Dataset!$A$1:$V$1,0)),"")</f>
        <v>1.057759707921011E-3</v>
      </c>
      <c r="S373" s="869">
        <f>IFERROR(INDEX(Dataset!$A:$V,MATCH(Calculations!S$250&amp;Calculations!$X373,Dataset!$V:$V,0),MATCH(Calculations!$A$1,Dataset!$A$1:$V$1,0)),"")</f>
        <v>8.8200000000000001E-2</v>
      </c>
      <c r="T373" s="869" t="str">
        <f>IFERROR(INDEX(Dataset!$A:$V,MATCH(Calculations!T$250&amp;Calculations!$X373,Dataset!$V:$V,0),MATCH(Calculations!$A$1,Dataset!$A$1:$V$1,0)),"")</f>
        <v/>
      </c>
      <c r="X373" t="s">
        <v>1168</v>
      </c>
    </row>
    <row r="374" spans="1:24">
      <c r="A374" s="869" t="s">
        <v>1086</v>
      </c>
      <c r="B374" s="869"/>
      <c r="C374" s="869"/>
      <c r="D374" s="869"/>
      <c r="E374" s="869"/>
      <c r="F374" s="869"/>
      <c r="G374" s="869"/>
      <c r="H374" s="869"/>
      <c r="I374" s="869"/>
      <c r="J374" s="869"/>
      <c r="K374" s="869"/>
      <c r="L374" s="869"/>
      <c r="M374" s="869">
        <f>IFERROR(INDEX(Dataset!$A:$V,MATCH(Calculations!M$250&amp;Calculations!$X374,Dataset!$V:$V,0),MATCH(Calculations!$A$1,Dataset!$A$1:$V$1,0)),"")</f>
        <v>0.35551787718496741</v>
      </c>
      <c r="N374" s="869">
        <f>IFERROR(INDEX(Dataset!$A:$V,MATCH(Calculations!N$250&amp;Calculations!$X374,Dataset!$V:$V,0),MATCH(Calculations!$A$1,Dataset!$A$1:$V$1,0)),"")</f>
        <v>0.94873119681994056</v>
      </c>
      <c r="O374" s="869">
        <f>IFERROR(INDEX(Dataset!$A:$V,MATCH(Calculations!O$250&amp;Calculations!$X374,Dataset!$V:$V,0),MATCH(Calculations!$A$1,Dataset!$A$1:$V$1,0)),"")</f>
        <v>0.15032248831401329</v>
      </c>
      <c r="P374" s="869">
        <f>IFERROR(INDEX(Dataset!$A:$V,MATCH(Calculations!P$250&amp;Calculations!$X374,Dataset!$V:$V,0),MATCH(Calculations!$A$1,Dataset!$A$1:$V$1,0)),"")</f>
        <v>-0.17255503067181444</v>
      </c>
      <c r="Q374" s="869">
        <f>IFERROR(INDEX(Dataset!$A:$V,MATCH(Calculations!Q$250&amp;Calculations!$X374,Dataset!$V:$V,0),MATCH(Calculations!$A$1,Dataset!$A$1:$V$1,0)),"")</f>
        <v>-0.32585315756864353</v>
      </c>
      <c r="R374" s="869">
        <f>IFERROR(INDEX(Dataset!$A:$V,MATCH(Calculations!R$250&amp;Calculations!$X374,Dataset!$V:$V,0),MATCH(Calculations!$A$1,Dataset!$A$1:$V$1,0)),"")</f>
        <v>-0.39405601263917917</v>
      </c>
      <c r="S374" s="869">
        <f>IFERROR(INDEX(Dataset!$A:$V,MATCH(Calculations!S$250&amp;Calculations!$X374,Dataset!$V:$V,0),MATCH(Calculations!$A$1,Dataset!$A$1:$V$1,0)),"")</f>
        <v>-0.3089933414603101</v>
      </c>
      <c r="T374" s="869" t="str">
        <f>IFERROR(INDEX(Dataset!$A:$V,MATCH(Calculations!T$250&amp;Calculations!$X374,Dataset!$V:$V,0),MATCH(Calculations!$A$1,Dataset!$A$1:$V$1,0)),"")</f>
        <v/>
      </c>
      <c r="X374" t="s">
        <v>1169</v>
      </c>
    </row>
    <row r="375" spans="1:24">
      <c r="A375" s="869" t="s">
        <v>1088</v>
      </c>
      <c r="B375" s="869"/>
      <c r="C375" s="869"/>
      <c r="D375" s="869"/>
      <c r="E375" s="869"/>
      <c r="F375" s="869"/>
      <c r="G375" s="869"/>
      <c r="H375" s="869"/>
      <c r="I375" s="869"/>
      <c r="J375" s="869"/>
      <c r="K375" s="869"/>
      <c r="L375" s="869"/>
      <c r="M375" s="871">
        <f>IFERROR(INDEX(Dataset!$A:$V,MATCH(Calculations!M$250&amp;Calculations!$X375,Dataset!$V:$V,0),MATCH(Calculations!$A$1,Dataset!$A$1:$V$1,0)),"")</f>
        <v>1.212935847510767</v>
      </c>
      <c r="N375" s="871">
        <f>IFERROR(INDEX(Dataset!$A:$V,MATCH(Calculations!N$250&amp;Calculations!$X375,Dataset!$V:$V,0),MATCH(Calculations!$A$1,Dataset!$A$1:$V$1,0)),"")</f>
        <v>1.5295775792642667</v>
      </c>
      <c r="O375" s="871">
        <f>IFERROR(INDEX(Dataset!$A:$V,MATCH(Calculations!O$250&amp;Calculations!$X375,Dataset!$V:$V,0),MATCH(Calculations!$A$1,Dataset!$A$1:$V$1,0)),"")</f>
        <v>0.15916999647761393</v>
      </c>
      <c r="P375" s="871">
        <f>IFERROR(INDEX(Dataset!$A:$V,MATCH(Calculations!P$250&amp;Calculations!$X375,Dataset!$V:$V,0),MATCH(Calculations!$A$1,Dataset!$A$1:$V$1,0)),"")</f>
        <v>-0.16523858851417345</v>
      </c>
      <c r="Q375" s="871">
        <f>IFERROR(INDEX(Dataset!$A:$V,MATCH(Calculations!Q$250&amp;Calculations!$X375,Dataset!$V:$V,0),MATCH(Calculations!$A$1,Dataset!$A$1:$V$1,0)),"")</f>
        <v>-0.45200860833136097</v>
      </c>
      <c r="R375" s="871">
        <f>IFERROR(INDEX(Dataset!$A:$V,MATCH(Calculations!R$250&amp;Calculations!$X375,Dataset!$V:$V,0),MATCH(Calculations!$A$1,Dataset!$A$1:$V$1,0)),"")</f>
        <v>-0.99732289841065891</v>
      </c>
      <c r="S375" s="871">
        <f>IFERROR(INDEX(Dataset!$A:$V,MATCH(Calculations!S$250&amp;Calculations!$X375,Dataset!$V:$V,0),MATCH(Calculations!$A$1,Dataset!$A$1:$V$1,0)),"")</f>
        <v>-0.77794189682101333</v>
      </c>
      <c r="T375" s="871" t="str">
        <f>IFERROR(INDEX(Dataset!$A:$V,MATCH(Calculations!T$250&amp;Calculations!$X375,Dataset!$V:$V,0),MATCH(Calculations!$A$1,Dataset!$A$1:$V$1,0)),"")</f>
        <v/>
      </c>
      <c r="X375" t="s">
        <v>1170</v>
      </c>
    </row>
    <row r="377" spans="1:24">
      <c r="A377" s="828" t="s">
        <v>77</v>
      </c>
    </row>
    <row r="378" spans="1:24">
      <c r="A378" s="869" t="s">
        <v>1080</v>
      </c>
      <c r="B378" s="869"/>
      <c r="C378" s="869"/>
      <c r="D378" s="869"/>
      <c r="E378" s="869"/>
      <c r="F378" s="869"/>
      <c r="G378" s="869"/>
      <c r="H378" s="869"/>
      <c r="I378" s="869"/>
      <c r="J378" s="869"/>
      <c r="K378" s="869"/>
      <c r="L378" s="869"/>
      <c r="M378" s="869">
        <f>IFERROR(INDEX(Dataset!$A:$V,MATCH(Calculations!M$250&amp;Calculations!$X378,Dataset!$V:$V,0),MATCH(Calculations!$A$1,Dataset!$A$1:$V$1,0)),"")</f>
        <v>3.894361020357942</v>
      </c>
      <c r="N378" s="869">
        <f>IFERROR(INDEX(Dataset!$A:$V,MATCH(Calculations!N$250&amp;Calculations!$X378,Dataset!$V:$V,0),MATCH(Calculations!$A$1,Dataset!$A$1:$V$1,0)),"")</f>
        <v>3.8999737718230119</v>
      </c>
      <c r="O378" s="869">
        <f>IFERROR(INDEX(Dataset!$A:$V,MATCH(Calculations!O$250&amp;Calculations!$X378,Dataset!$V:$V,0),MATCH(Calculations!$A$1,Dataset!$A$1:$V$1,0)),"")</f>
        <v>0</v>
      </c>
      <c r="P378" s="869">
        <f>IFERROR(INDEX(Dataset!$A:$V,MATCH(Calculations!P$250&amp;Calculations!$X378,Dataset!$V:$V,0),MATCH(Calculations!$A$1,Dataset!$A$1:$V$1,0)),"")</f>
        <v>0</v>
      </c>
      <c r="Q378" s="869">
        <f>IFERROR(INDEX(Dataset!$A:$V,MATCH(Calculations!Q$250&amp;Calculations!$X378,Dataset!$V:$V,0),MATCH(Calculations!$A$1,Dataset!$A$1:$V$1,0)),"")</f>
        <v>0</v>
      </c>
      <c r="R378" s="869">
        <f>IFERROR(INDEX(Dataset!$A:$V,MATCH(Calculations!R$250&amp;Calculations!$X378,Dataset!$V:$V,0),MATCH(Calculations!$A$1,Dataset!$A$1:$V$1,0)),"")</f>
        <v>0</v>
      </c>
      <c r="S378" s="869">
        <f>IFERROR(INDEX(Dataset!$A:$V,MATCH(Calculations!S$250&amp;Calculations!$X378,Dataset!$V:$V,0),MATCH(Calculations!$A$1,Dataset!$A$1:$V$1,0)),"")</f>
        <v>0</v>
      </c>
      <c r="T378" s="869">
        <f>IFERROR(INDEX(Dataset!$A:$V,MATCH(Calculations!T$250&amp;Calculations!$X378,Dataset!$V:$V,0),MATCH(Calculations!$A$1,Dataset!$A$1:$V$1,0)),"")</f>
        <v>0</v>
      </c>
      <c r="X378" t="s">
        <v>1171</v>
      </c>
    </row>
    <row r="379" spans="1:24">
      <c r="A379" s="869" t="s">
        <v>1082</v>
      </c>
      <c r="B379" s="869"/>
      <c r="C379" s="869"/>
      <c r="D379" s="869"/>
      <c r="E379" s="869"/>
      <c r="F379" s="869"/>
      <c r="G379" s="869"/>
      <c r="H379" s="869"/>
      <c r="I379" s="869"/>
      <c r="J379" s="869"/>
      <c r="K379" s="869"/>
      <c r="L379" s="869"/>
      <c r="M379" s="869">
        <f>IFERROR(INDEX(Dataset!$A:$V,MATCH(Calculations!M$250&amp;Calculations!$X379,Dataset!$V:$V,0),MATCH(Calculations!$A$1,Dataset!$A$1:$V$1,0)),"")</f>
        <v>3.894361020357942</v>
      </c>
      <c r="N379" s="869">
        <f>IFERROR(INDEX(Dataset!$A:$V,MATCH(Calculations!N$250&amp;Calculations!$X379,Dataset!$V:$V,0),MATCH(Calculations!$A$1,Dataset!$A$1:$V$1,0)),"")</f>
        <v>3.8999737718230119</v>
      </c>
      <c r="O379" s="869">
        <f>IFERROR(INDEX(Dataset!$A:$V,MATCH(Calculations!O$250&amp;Calculations!$X379,Dataset!$V:$V,0),MATCH(Calculations!$A$1,Dataset!$A$1:$V$1,0)),"")</f>
        <v>0</v>
      </c>
      <c r="P379" s="869">
        <f>IFERROR(INDEX(Dataset!$A:$V,MATCH(Calculations!P$250&amp;Calculations!$X379,Dataset!$V:$V,0),MATCH(Calculations!$A$1,Dataset!$A$1:$V$1,0)),"")</f>
        <v>0</v>
      </c>
      <c r="Q379" s="869">
        <f>IFERROR(INDEX(Dataset!$A:$V,MATCH(Calculations!Q$250&amp;Calculations!$X379,Dataset!$V:$V,0),MATCH(Calculations!$A$1,Dataset!$A$1:$V$1,0)),"")</f>
        <v>0</v>
      </c>
      <c r="R379" s="869">
        <f>IFERROR(INDEX(Dataset!$A:$V,MATCH(Calculations!R$250&amp;Calculations!$X379,Dataset!$V:$V,0),MATCH(Calculations!$A$1,Dataset!$A$1:$V$1,0)),"")</f>
        <v>0</v>
      </c>
      <c r="S379" s="869">
        <f>IFERROR(INDEX(Dataset!$A:$V,MATCH(Calculations!S$250&amp;Calculations!$X379,Dataset!$V:$V,0),MATCH(Calculations!$A$1,Dataset!$A$1:$V$1,0)),"")</f>
        <v>0</v>
      </c>
      <c r="T379" s="869">
        <f>IFERROR(INDEX(Dataset!$A:$V,MATCH(Calculations!T$250&amp;Calculations!$X379,Dataset!$V:$V,0),MATCH(Calculations!$A$1,Dataset!$A$1:$V$1,0)),"")</f>
        <v>0</v>
      </c>
      <c r="X379" t="s">
        <v>1172</v>
      </c>
    </row>
    <row r="380" spans="1:24">
      <c r="A380" s="869" t="s">
        <v>1084</v>
      </c>
      <c r="B380" s="869"/>
      <c r="C380" s="869"/>
      <c r="D380" s="869"/>
      <c r="E380" s="869"/>
      <c r="F380" s="869"/>
      <c r="G380" s="869"/>
      <c r="H380" s="869"/>
      <c r="I380" s="869"/>
      <c r="J380" s="869"/>
      <c r="K380" s="869"/>
      <c r="L380" s="869"/>
      <c r="M380" s="869">
        <f>IFERROR(INDEX(Dataset!$A:$V,MATCH(Calculations!M$250&amp;Calculations!$X380,Dataset!$V:$V,0),MATCH(Calculations!$A$1,Dataset!$A$1:$V$1,0)),"")</f>
        <v>0.70895180566851557</v>
      </c>
      <c r="N380" s="869">
        <f>IFERROR(INDEX(Dataset!$A:$V,MATCH(Calculations!N$250&amp;Calculations!$X380,Dataset!$V:$V,0),MATCH(Calculations!$A$1,Dataset!$A$1:$V$1,0)),"")</f>
        <v>2.8457138819285115</v>
      </c>
      <c r="O380" s="869">
        <f>IFERROR(INDEX(Dataset!$A:$V,MATCH(Calculations!O$250&amp;Calculations!$X380,Dataset!$V:$V,0),MATCH(Calculations!$A$1,Dataset!$A$1:$V$1,0)),"")</f>
        <v>1.252066071558485</v>
      </c>
      <c r="P380" s="869">
        <f>IFERROR(INDEX(Dataset!$A:$V,MATCH(Calculations!P$250&amp;Calculations!$X380,Dataset!$V:$V,0),MATCH(Calculations!$A$1,Dataset!$A$1:$V$1,0)),"")</f>
        <v>0.12169196210484702</v>
      </c>
      <c r="Q380" s="869">
        <f>IFERROR(INDEX(Dataset!$A:$V,MATCH(Calculations!Q$250&amp;Calculations!$X380,Dataset!$V:$V,0),MATCH(Calculations!$A$1,Dataset!$A$1:$V$1,0)),"")</f>
        <v>0</v>
      </c>
      <c r="R380" s="869">
        <f>IFERROR(INDEX(Dataset!$A:$V,MATCH(Calculations!R$250&amp;Calculations!$X380,Dataset!$V:$V,0),MATCH(Calculations!$A$1,Dataset!$A$1:$V$1,0)),"")</f>
        <v>0</v>
      </c>
      <c r="S380" s="869">
        <f>IFERROR(INDEX(Dataset!$A:$V,MATCH(Calculations!S$250&amp;Calculations!$X380,Dataset!$V:$V,0),MATCH(Calculations!$A$1,Dataset!$A$1:$V$1,0)),"")</f>
        <v>0</v>
      </c>
      <c r="T380" s="869" t="str">
        <f>IFERROR(INDEX(Dataset!$A:$V,MATCH(Calculations!T$250&amp;Calculations!$X380,Dataset!$V:$V,0),MATCH(Calculations!$A$1,Dataset!$A$1:$V$1,0)),"")</f>
        <v/>
      </c>
      <c r="X380" t="s">
        <v>1173</v>
      </c>
    </row>
    <row r="381" spans="1:24">
      <c r="A381" s="869" t="s">
        <v>1086</v>
      </c>
      <c r="B381" s="869"/>
      <c r="C381" s="869"/>
      <c r="D381" s="869"/>
      <c r="E381" s="869"/>
      <c r="F381" s="869"/>
      <c r="G381" s="869"/>
      <c r="H381" s="869"/>
      <c r="I381" s="869"/>
      <c r="J381" s="869"/>
      <c r="K381" s="869"/>
      <c r="L381" s="869"/>
      <c r="M381" s="869">
        <f>IFERROR(INDEX(Dataset!$A:$V,MATCH(Calculations!M$250&amp;Calculations!$X381,Dataset!$V:$V,0),MATCH(Calculations!$A$1,Dataset!$A$1:$V$1,0)),"")</f>
        <v>-3.1854092146894262</v>
      </c>
      <c r="N381" s="869">
        <f>IFERROR(INDEX(Dataset!$A:$V,MATCH(Calculations!N$250&amp;Calculations!$X381,Dataset!$V:$V,0),MATCH(Calculations!$A$1,Dataset!$A$1:$V$1,0)),"")</f>
        <v>-1.0542598898945004</v>
      </c>
      <c r="O381" s="869">
        <f>IFERROR(INDEX(Dataset!$A:$V,MATCH(Calculations!O$250&amp;Calculations!$X381,Dataset!$V:$V,0),MATCH(Calculations!$A$1,Dataset!$A$1:$V$1,0)),"")</f>
        <v>1.252066071558485</v>
      </c>
      <c r="P381" s="869">
        <f>IFERROR(INDEX(Dataset!$A:$V,MATCH(Calculations!P$250&amp;Calculations!$X381,Dataset!$V:$V,0),MATCH(Calculations!$A$1,Dataset!$A$1:$V$1,0)),"")</f>
        <v>0.12169196210484702</v>
      </c>
      <c r="Q381" s="869">
        <f>IFERROR(INDEX(Dataset!$A:$V,MATCH(Calculations!Q$250&amp;Calculations!$X381,Dataset!$V:$V,0),MATCH(Calculations!$A$1,Dataset!$A$1:$V$1,0)),"")</f>
        <v>0</v>
      </c>
      <c r="R381" s="869">
        <f>IFERROR(INDEX(Dataset!$A:$V,MATCH(Calculations!R$250&amp;Calculations!$X381,Dataset!$V:$V,0),MATCH(Calculations!$A$1,Dataset!$A$1:$V$1,0)),"")</f>
        <v>0</v>
      </c>
      <c r="S381" s="869">
        <f>IFERROR(INDEX(Dataset!$A:$V,MATCH(Calculations!S$250&amp;Calculations!$X381,Dataset!$V:$V,0),MATCH(Calculations!$A$1,Dataset!$A$1:$V$1,0)),"")</f>
        <v>0</v>
      </c>
      <c r="T381" s="869" t="str">
        <f>IFERROR(INDEX(Dataset!$A:$V,MATCH(Calculations!T$250&amp;Calculations!$X381,Dataset!$V:$V,0),MATCH(Calculations!$A$1,Dataset!$A$1:$V$1,0)),"")</f>
        <v/>
      </c>
      <c r="X381" t="s">
        <v>1174</v>
      </c>
    </row>
    <row r="382" spans="1:24">
      <c r="A382" s="869" t="s">
        <v>1088</v>
      </c>
      <c r="B382" s="869"/>
      <c r="C382" s="869"/>
      <c r="D382" s="869"/>
      <c r="E382" s="869"/>
      <c r="F382" s="869"/>
      <c r="G382" s="869"/>
      <c r="H382" s="869"/>
      <c r="I382" s="869"/>
      <c r="J382" s="869"/>
      <c r="K382" s="869"/>
      <c r="L382" s="869"/>
      <c r="M382" s="871">
        <f>IFERROR(INDEX(Dataset!$A:$V,MATCH(Calculations!M$250&amp;Calculations!$X382,Dataset!$V:$V,0),MATCH(Calculations!$A$1,Dataset!$A$1:$V$1,0)),"")</f>
        <v>-0.81795426721805209</v>
      </c>
      <c r="N382" s="871">
        <f>IFERROR(INDEX(Dataset!$A:$V,MATCH(Calculations!N$250&amp;Calculations!$X382,Dataset!$V:$V,0),MATCH(Calculations!$A$1,Dataset!$A$1:$V$1,0)),"")</f>
        <v>-0.27032486667255068</v>
      </c>
      <c r="O382" s="871" t="str">
        <f>IFERROR(INDEX(Dataset!$A:$V,MATCH(Calculations!O$250&amp;Calculations!$X382,Dataset!$V:$V,0),MATCH(Calculations!$A$1,Dataset!$A$1:$V$1,0)),"")</f>
        <v/>
      </c>
      <c r="P382" s="871" t="str">
        <f>IFERROR(INDEX(Dataset!$A:$V,MATCH(Calculations!P$250&amp;Calculations!$X382,Dataset!$V:$V,0),MATCH(Calculations!$A$1,Dataset!$A$1:$V$1,0)),"")</f>
        <v/>
      </c>
      <c r="Q382" s="869" t="str">
        <f>IFERROR(INDEX(Dataset!$A:$V,MATCH(Calculations!Q$250&amp;Calculations!$X382,Dataset!$V:$V,0),MATCH(Calculations!$A$1,Dataset!$A$1:$V$1,0)),"")</f>
        <v/>
      </c>
      <c r="R382" s="869" t="str">
        <f>IFERROR(INDEX(Dataset!$A:$V,MATCH(Calculations!R$250&amp;Calculations!$X382,Dataset!$V:$V,0),MATCH(Calculations!$A$1,Dataset!$A$1:$V$1,0)),"")</f>
        <v/>
      </c>
      <c r="S382" s="869" t="str">
        <f>IFERROR(INDEX(Dataset!$A:$V,MATCH(Calculations!S$250&amp;Calculations!$X382,Dataset!$V:$V,0),MATCH(Calculations!$A$1,Dataset!$A$1:$V$1,0)),"")</f>
        <v/>
      </c>
      <c r="T382" s="869" t="str">
        <f>IFERROR(INDEX(Dataset!$A:$V,MATCH(Calculations!T$250&amp;Calculations!$X382,Dataset!$V:$V,0),MATCH(Calculations!$A$1,Dataset!$A$1:$V$1,0)),"")</f>
        <v/>
      </c>
      <c r="X382" t="s">
        <v>1175</v>
      </c>
    </row>
    <row r="384" spans="1:24">
      <c r="A384" s="828" t="s">
        <v>1176</v>
      </c>
    </row>
    <row r="385" spans="1:24">
      <c r="A385" s="869" t="s">
        <v>1080</v>
      </c>
      <c r="B385" s="869"/>
      <c r="C385" s="869"/>
      <c r="D385" s="869"/>
      <c r="E385" s="869"/>
      <c r="F385" s="869"/>
      <c r="G385" s="869"/>
      <c r="H385" s="869"/>
      <c r="I385" s="869"/>
      <c r="J385" s="869"/>
      <c r="K385" s="869"/>
      <c r="L385" s="869"/>
      <c r="M385" s="869">
        <f>IFERROR(INDEX(Dataset!$A:$V,MATCH(Calculations!M$250&amp;Calculations!$X385,Dataset!$V:$V,0),MATCH(Calculations!$A$1,Dataset!$A$1:$V$1,0)),"")</f>
        <v>4.3345834128226874</v>
      </c>
      <c r="N385" s="869">
        <f>IFERROR(INDEX(Dataset!$A:$V,MATCH(Calculations!N$250&amp;Calculations!$X385,Dataset!$V:$V,0),MATCH(Calculations!$A$1,Dataset!$A$1:$V$1,0)),"")</f>
        <v>4.2730284841232855</v>
      </c>
      <c r="O385" s="869">
        <f>IFERROR(INDEX(Dataset!$A:$V,MATCH(Calculations!O$250&amp;Calculations!$X385,Dataset!$V:$V,0),MATCH(Calculations!$A$1,Dataset!$A$1:$V$1,0)),"")</f>
        <v>4.2620733425552473</v>
      </c>
      <c r="P385" s="869">
        <f>IFERROR(INDEX(Dataset!$A:$V,MATCH(Calculations!P$250&amp;Calculations!$X385,Dataset!$V:$V,0),MATCH(Calculations!$A$1,Dataset!$A$1:$V$1,0)),"")</f>
        <v>4.2603840726890541</v>
      </c>
      <c r="Q385" s="869">
        <f>IFERROR(INDEX(Dataset!$A:$V,MATCH(Calculations!Q$250&amp;Calculations!$X385,Dataset!$V:$V,0),MATCH(Calculations!$A$1,Dataset!$A$1:$V$1,0)),"")</f>
        <v>4.2681572697887642</v>
      </c>
      <c r="R385" s="869">
        <f>IFERROR(INDEX(Dataset!$A:$V,MATCH(Calculations!R$250&amp;Calculations!$X385,Dataset!$V:$V,0),MATCH(Calculations!$A$1,Dataset!$A$1:$V$1,0)),"")</f>
        <v>4.2811396338255552</v>
      </c>
      <c r="S385" s="869">
        <f>IFERROR(INDEX(Dataset!$A:$V,MATCH(Calculations!S$250&amp;Calculations!$X385,Dataset!$V:$V,0),MATCH(Calculations!$A$1,Dataset!$A$1:$V$1,0)),"")</f>
        <v>4.2883941151291989</v>
      </c>
      <c r="T385" s="869">
        <f>IFERROR(INDEX(Dataset!$A:$V,MATCH(Calculations!T$250&amp;Calculations!$X385,Dataset!$V:$V,0),MATCH(Calculations!$A$1,Dataset!$A$1:$V$1,0)),"")</f>
        <v>4.2972011012259177</v>
      </c>
      <c r="X385" t="s">
        <v>1177</v>
      </c>
    </row>
    <row r="386" spans="1:24">
      <c r="A386" s="869" t="s">
        <v>1082</v>
      </c>
      <c r="B386" s="869"/>
      <c r="C386" s="869"/>
      <c r="D386" s="869"/>
      <c r="E386" s="869"/>
      <c r="F386" s="869"/>
      <c r="G386" s="869"/>
      <c r="H386" s="869"/>
      <c r="I386" s="869"/>
      <c r="J386" s="869"/>
      <c r="K386" s="869"/>
      <c r="L386" s="869"/>
      <c r="M386" s="869">
        <f>IFERROR(INDEX(Dataset!$A:$V,MATCH(Calculations!M$250&amp;Calculations!$X386,Dataset!$V:$V,0),MATCH(Calculations!$A$1,Dataset!$A$1:$V$1,0)),"")</f>
        <v>1.7218286899265871</v>
      </c>
      <c r="N386" s="869">
        <f>IFERROR(INDEX(Dataset!$A:$V,MATCH(Calculations!N$250&amp;Calculations!$X386,Dataset!$V:$V,0),MATCH(Calculations!$A$1,Dataset!$A$1:$V$1,0)),"")</f>
        <v>1.6616394361292404</v>
      </c>
      <c r="O386" s="869">
        <f>IFERROR(INDEX(Dataset!$A:$V,MATCH(Calculations!O$250&amp;Calculations!$X386,Dataset!$V:$V,0),MATCH(Calculations!$A$1,Dataset!$A$1:$V$1,0)),"")</f>
        <v>1.6559051831779326</v>
      </c>
      <c r="P386" s="869">
        <f>IFERROR(INDEX(Dataset!$A:$V,MATCH(Calculations!P$250&amp;Calculations!$X386,Dataset!$V:$V,0),MATCH(Calculations!$A$1,Dataset!$A$1:$V$1,0)),"")</f>
        <v>1.6481079912854579</v>
      </c>
      <c r="Q386" s="869">
        <f>IFERROR(INDEX(Dataset!$A:$V,MATCH(Calculations!Q$250&amp;Calculations!$X386,Dataset!$V:$V,0),MATCH(Calculations!$A$1,Dataset!$A$1:$V$1,0)),"")</f>
        <v>1.65204929422364</v>
      </c>
      <c r="R386" s="869">
        <f>IFERROR(INDEX(Dataset!$A:$V,MATCH(Calculations!R$250&amp;Calculations!$X386,Dataset!$V:$V,0),MATCH(Calculations!$A$1,Dataset!$A$1:$V$1,0)),"")</f>
        <v>1.6566410867463524</v>
      </c>
      <c r="S386" s="869">
        <f>IFERROR(INDEX(Dataset!$A:$V,MATCH(Calculations!S$250&amp;Calculations!$X386,Dataset!$V:$V,0),MATCH(Calculations!$A$1,Dataset!$A$1:$V$1,0)),"")</f>
        <v>1.6603833083901822</v>
      </c>
      <c r="T386" s="869">
        <f>IFERROR(INDEX(Dataset!$A:$V,MATCH(Calculations!T$250&amp;Calculations!$X386,Dataset!$V:$V,0),MATCH(Calculations!$A$1,Dataset!$A$1:$V$1,0)),"")</f>
        <v>1.6627482586434674</v>
      </c>
      <c r="X386" t="s">
        <v>1178</v>
      </c>
    </row>
    <row r="387" spans="1:24">
      <c r="A387" s="869" t="s">
        <v>1084</v>
      </c>
      <c r="B387" s="869"/>
      <c r="C387" s="869"/>
      <c r="D387" s="869"/>
      <c r="E387" s="869"/>
      <c r="F387" s="869"/>
      <c r="G387" s="869"/>
      <c r="H387" s="869"/>
      <c r="I387" s="869"/>
      <c r="J387" s="869"/>
      <c r="K387" s="869"/>
      <c r="L387" s="869"/>
      <c r="M387" s="869">
        <f>IFERROR(INDEX(Dataset!$A:$V,MATCH(Calculations!M$250&amp;Calculations!$X387,Dataset!$V:$V,0),MATCH(Calculations!$A$1,Dataset!$A$1:$V$1,0)),"")</f>
        <v>2.080919273955125</v>
      </c>
      <c r="N387" s="869">
        <f>IFERROR(INDEX(Dataset!$A:$V,MATCH(Calculations!N$250&amp;Calculations!$X387,Dataset!$V:$V,0),MATCH(Calculations!$A$1,Dataset!$A$1:$V$1,0)),"")</f>
        <v>2.8803532710421442</v>
      </c>
      <c r="O387" s="869">
        <f>IFERROR(INDEX(Dataset!$A:$V,MATCH(Calculations!O$250&amp;Calculations!$X387,Dataset!$V:$V,0),MATCH(Calculations!$A$1,Dataset!$A$1:$V$1,0)),"")</f>
        <v>0.81041340375689308</v>
      </c>
      <c r="P387" s="869">
        <f>IFERROR(INDEX(Dataset!$A:$V,MATCH(Calculations!P$250&amp;Calculations!$X387,Dataset!$V:$V,0),MATCH(Calculations!$A$1,Dataset!$A$1:$V$1,0)),"")</f>
        <v>1.3520108786197356</v>
      </c>
      <c r="Q387" s="869">
        <f>IFERROR(INDEX(Dataset!$A:$V,MATCH(Calculations!Q$250&amp;Calculations!$X387,Dataset!$V:$V,0),MATCH(Calculations!$A$1,Dataset!$A$1:$V$1,0)),"")</f>
        <v>2.8798832240350674</v>
      </c>
      <c r="R387" s="869">
        <f>IFERROR(INDEX(Dataset!$A:$V,MATCH(Calculations!R$250&amp;Calculations!$X387,Dataset!$V:$V,0),MATCH(Calculations!$A$1,Dataset!$A$1:$V$1,0)),"")</f>
        <v>2.5587207334609259</v>
      </c>
      <c r="S387" s="869">
        <f>IFERROR(INDEX(Dataset!$A:$V,MATCH(Calculations!S$250&amp;Calculations!$X387,Dataset!$V:$V,0),MATCH(Calculations!$A$1,Dataset!$A$1:$V$1,0)),"")</f>
        <v>1.3634999999999997</v>
      </c>
      <c r="T387" s="869" t="str">
        <f>IFERROR(INDEX(Dataset!$A:$V,MATCH(Calculations!T$250&amp;Calculations!$X387,Dataset!$V:$V,0),MATCH(Calculations!$A$1,Dataset!$A$1:$V$1,0)),"")</f>
        <v/>
      </c>
      <c r="X387" t="s">
        <v>1179</v>
      </c>
    </row>
    <row r="388" spans="1:24">
      <c r="A388" s="869" t="s">
        <v>1086</v>
      </c>
      <c r="B388" s="869"/>
      <c r="C388" s="869"/>
      <c r="D388" s="869"/>
      <c r="E388" s="869"/>
      <c r="F388" s="869"/>
      <c r="G388" s="869"/>
      <c r="H388" s="869"/>
      <c r="I388" s="869"/>
      <c r="J388" s="869"/>
      <c r="K388" s="869"/>
      <c r="L388" s="869"/>
      <c r="M388" s="869">
        <f>IFERROR(INDEX(Dataset!$A:$V,MATCH(Calculations!M$250&amp;Calculations!$X388,Dataset!$V:$V,0),MATCH(Calculations!$A$1,Dataset!$A$1:$V$1,0)),"")</f>
        <v>0.35909058402853788</v>
      </c>
      <c r="N388" s="869">
        <f>IFERROR(INDEX(Dataset!$A:$V,MATCH(Calculations!N$250&amp;Calculations!$X388,Dataset!$V:$V,0),MATCH(Calculations!$A$1,Dataset!$A$1:$V$1,0)),"")</f>
        <v>1.2187138349129039</v>
      </c>
      <c r="O388" s="869">
        <f>IFERROR(INDEX(Dataset!$A:$V,MATCH(Calculations!O$250&amp;Calculations!$X388,Dataset!$V:$V,0),MATCH(Calculations!$A$1,Dataset!$A$1:$V$1,0)),"")</f>
        <v>-0.84549177942103948</v>
      </c>
      <c r="P388" s="869">
        <f>IFERROR(INDEX(Dataset!$A:$V,MATCH(Calculations!P$250&amp;Calculations!$X388,Dataset!$V:$V,0),MATCH(Calculations!$A$1,Dataset!$A$1:$V$1,0)),"")</f>
        <v>-0.29609711266572236</v>
      </c>
      <c r="Q388" s="869">
        <f>IFERROR(INDEX(Dataset!$A:$V,MATCH(Calculations!Q$250&amp;Calculations!$X388,Dataset!$V:$V,0),MATCH(Calculations!$A$1,Dataset!$A$1:$V$1,0)),"")</f>
        <v>1.2278339298114274</v>
      </c>
      <c r="R388" s="869">
        <f>IFERROR(INDEX(Dataset!$A:$V,MATCH(Calculations!R$250&amp;Calculations!$X388,Dataset!$V:$V,0),MATCH(Calculations!$A$1,Dataset!$A$1:$V$1,0)),"")</f>
        <v>0.90207964671457352</v>
      </c>
      <c r="S388" s="869">
        <f>IFERROR(INDEX(Dataset!$A:$V,MATCH(Calculations!S$250&amp;Calculations!$X388,Dataset!$V:$V,0),MATCH(Calculations!$A$1,Dataset!$A$1:$V$1,0)),"")</f>
        <v>-0.29688330839018251</v>
      </c>
      <c r="T388" s="869" t="str">
        <f>IFERROR(INDEX(Dataset!$A:$V,MATCH(Calculations!T$250&amp;Calculations!$X388,Dataset!$V:$V,0),MATCH(Calculations!$A$1,Dataset!$A$1:$V$1,0)),"")</f>
        <v/>
      </c>
      <c r="X388" t="s">
        <v>1180</v>
      </c>
    </row>
    <row r="389" spans="1:24">
      <c r="A389" s="869" t="s">
        <v>1088</v>
      </c>
      <c r="B389" s="869"/>
      <c r="C389" s="869"/>
      <c r="D389" s="869"/>
      <c r="E389" s="869"/>
      <c r="F389" s="869"/>
      <c r="G389" s="869"/>
      <c r="H389" s="869"/>
      <c r="I389" s="869"/>
      <c r="J389" s="869"/>
      <c r="K389" s="869"/>
      <c r="L389" s="869"/>
      <c r="M389" s="871">
        <f>IFERROR(INDEX(Dataset!$A:$V,MATCH(Calculations!M$250&amp;Calculations!$X389,Dataset!$V:$V,0),MATCH(Calculations!$A$1,Dataset!$A$1:$V$1,0)),"")</f>
        <v>0.20855186472926543</v>
      </c>
      <c r="N389" s="871">
        <f>IFERROR(INDEX(Dataset!$A:$V,MATCH(Calculations!N$250&amp;Calculations!$X389,Dataset!$V:$V,0),MATCH(Calculations!$A$1,Dataset!$A$1:$V$1,0)),"")</f>
        <v>0.73344060595472871</v>
      </c>
      <c r="O389" s="871">
        <f>IFERROR(INDEX(Dataset!$A:$V,MATCH(Calculations!O$250&amp;Calculations!$X389,Dataset!$V:$V,0),MATCH(Calculations!$A$1,Dataset!$A$1:$V$1,0)),"")</f>
        <v>-0.5105919034557358</v>
      </c>
      <c r="P389" s="871">
        <f>IFERROR(INDEX(Dataset!$A:$V,MATCH(Calculations!P$250&amp;Calculations!$X389,Dataset!$V:$V,0),MATCH(Calculations!$A$1,Dataset!$A$1:$V$1,0)),"")</f>
        <v>-0.17965880526723163</v>
      </c>
      <c r="Q389" s="871">
        <f>IFERROR(INDEX(Dataset!$A:$V,MATCH(Calculations!Q$250&amp;Calculations!$X389,Dataset!$V:$V,0),MATCH(Calculations!$A$1,Dataset!$A$1:$V$1,0)),"")</f>
        <v>0.74321870061899853</v>
      </c>
      <c r="R389" s="871">
        <f>IFERROR(INDEX(Dataset!$A:$V,MATCH(Calculations!R$250&amp;Calculations!$X389,Dataset!$V:$V,0),MATCH(Calculations!$A$1,Dataset!$A$1:$V$1,0)),"")</f>
        <v>0.54452328505642733</v>
      </c>
      <c r="S389" s="871">
        <f>IFERROR(INDEX(Dataset!$A:$V,MATCH(Calculations!S$250&amp;Calculations!$X389,Dataset!$V:$V,0),MATCH(Calculations!$A$1,Dataset!$A$1:$V$1,0)),"")</f>
        <v>-0.17880407908823445</v>
      </c>
      <c r="T389" s="871" t="str">
        <f>IFERROR(INDEX(Dataset!$A:$V,MATCH(Calculations!T$250&amp;Calculations!$X389,Dataset!$V:$V,0),MATCH(Calculations!$A$1,Dataset!$A$1:$V$1,0)),"")</f>
        <v/>
      </c>
      <c r="X389" t="s">
        <v>1181</v>
      </c>
    </row>
    <row r="391" spans="1:24">
      <c r="A391" s="828" t="s">
        <v>1182</v>
      </c>
    </row>
    <row r="392" spans="1:24">
      <c r="A392" s="869" t="s">
        <v>1080</v>
      </c>
      <c r="B392" s="869"/>
      <c r="C392" s="869"/>
      <c r="D392" s="869"/>
      <c r="E392" s="869"/>
      <c r="F392" s="869"/>
      <c r="G392" s="869"/>
      <c r="H392" s="869"/>
      <c r="I392" s="869"/>
      <c r="J392" s="869"/>
      <c r="K392" s="869"/>
      <c r="L392" s="869"/>
      <c r="M392" s="869">
        <f>IFERROR(INDEX(Dataset!$A:$V,MATCH(Calculations!M$250&amp;Calculations!$X392,Dataset!$V:$V,0),MATCH(Calculations!$A$1,Dataset!$A$1:$V$1,0)),"")</f>
        <v>3.4959439981092184</v>
      </c>
      <c r="N392" s="869">
        <f>IFERROR(INDEX(Dataset!$A:$V,MATCH(Calculations!N$250&amp;Calculations!$X392,Dataset!$V:$V,0),MATCH(Calculations!$A$1,Dataset!$A$1:$V$1,0)),"")</f>
        <v>3.4993603741845289</v>
      </c>
      <c r="O392" s="869">
        <f>IFERROR(INDEX(Dataset!$A:$V,MATCH(Calculations!O$250&amp;Calculations!$X392,Dataset!$V:$V,0),MATCH(Calculations!$A$1,Dataset!$A$1:$V$1,0)),"")</f>
        <v>3.494561277581373</v>
      </c>
      <c r="P392" s="869">
        <f>IFERROR(INDEX(Dataset!$A:$V,MATCH(Calculations!P$250&amp;Calculations!$X392,Dataset!$V:$V,0),MATCH(Calculations!$A$1,Dataset!$A$1:$V$1,0)),"")</f>
        <v>3.5025558866408617</v>
      </c>
      <c r="Q392" s="869">
        <f>IFERROR(INDEX(Dataset!$A:$V,MATCH(Calculations!Q$250&amp;Calculations!$X392,Dataset!$V:$V,0),MATCH(Calculations!$A$1,Dataset!$A$1:$V$1,0)),"")</f>
        <v>3.5109654086368005</v>
      </c>
      <c r="R392" s="869">
        <f>IFERROR(INDEX(Dataset!$A:$V,MATCH(Calculations!R$250&amp;Calculations!$X392,Dataset!$V:$V,0),MATCH(Calculations!$A$1,Dataset!$A$1:$V$1,0)),"")</f>
        <v>3.523259773234261</v>
      </c>
      <c r="S392" s="869">
        <f>IFERROR(INDEX(Dataset!$A:$V,MATCH(Calculations!S$250&amp;Calculations!$X392,Dataset!$V:$V,0),MATCH(Calculations!$A$1,Dataset!$A$1:$V$1,0)),"")</f>
        <v>0</v>
      </c>
      <c r="T392" s="869">
        <f>IFERROR(INDEX(Dataset!$A:$V,MATCH(Calculations!T$250&amp;Calculations!$X392,Dataset!$V:$V,0),MATCH(Calculations!$A$1,Dataset!$A$1:$V$1,0)),"")</f>
        <v>0</v>
      </c>
      <c r="X392" t="s">
        <v>1183</v>
      </c>
    </row>
    <row r="393" spans="1:24">
      <c r="A393" s="869" t="s">
        <v>1082</v>
      </c>
      <c r="B393" s="869"/>
      <c r="C393" s="869"/>
      <c r="D393" s="869"/>
      <c r="E393" s="869"/>
      <c r="F393" s="869"/>
      <c r="G393" s="869"/>
      <c r="H393" s="869"/>
      <c r="I393" s="869"/>
      <c r="J393" s="869"/>
      <c r="K393" s="869"/>
      <c r="L393" s="869"/>
      <c r="M393" s="869">
        <f>IFERROR(INDEX(Dataset!$A:$V,MATCH(Calculations!M$250&amp;Calculations!$X393,Dataset!$V:$V,0),MATCH(Calculations!$A$1,Dataset!$A$1:$V$1,0)),"")</f>
        <v>3.4959439981092184</v>
      </c>
      <c r="N393" s="869">
        <f>IFERROR(INDEX(Dataset!$A:$V,MATCH(Calculations!N$250&amp;Calculations!$X393,Dataset!$V:$V,0),MATCH(Calculations!$A$1,Dataset!$A$1:$V$1,0)),"")</f>
        <v>3.4993603741845289</v>
      </c>
      <c r="O393" s="869">
        <f>IFERROR(INDEX(Dataset!$A:$V,MATCH(Calculations!O$250&amp;Calculations!$X393,Dataset!$V:$V,0),MATCH(Calculations!$A$1,Dataset!$A$1:$V$1,0)),"")</f>
        <v>3.494561277581373</v>
      </c>
      <c r="P393" s="869">
        <f>IFERROR(INDEX(Dataset!$A:$V,MATCH(Calculations!P$250&amp;Calculations!$X393,Dataset!$V:$V,0),MATCH(Calculations!$A$1,Dataset!$A$1:$V$1,0)),"")</f>
        <v>3.5025558866408617</v>
      </c>
      <c r="Q393" s="869">
        <f>IFERROR(INDEX(Dataset!$A:$V,MATCH(Calculations!Q$250&amp;Calculations!$X393,Dataset!$V:$V,0),MATCH(Calculations!$A$1,Dataset!$A$1:$V$1,0)),"")</f>
        <v>3.5109654086368005</v>
      </c>
      <c r="R393" s="869">
        <f>IFERROR(INDEX(Dataset!$A:$V,MATCH(Calculations!R$250&amp;Calculations!$X393,Dataset!$V:$V,0),MATCH(Calculations!$A$1,Dataset!$A$1:$V$1,0)),"")</f>
        <v>3.523259773234261</v>
      </c>
      <c r="S393" s="869">
        <f>IFERROR(INDEX(Dataset!$A:$V,MATCH(Calculations!S$250&amp;Calculations!$X393,Dataset!$V:$V,0),MATCH(Calculations!$A$1,Dataset!$A$1:$V$1,0)),"")</f>
        <v>0</v>
      </c>
      <c r="T393" s="869">
        <f>IFERROR(INDEX(Dataset!$A:$V,MATCH(Calculations!T$250&amp;Calculations!$X393,Dataset!$V:$V,0),MATCH(Calculations!$A$1,Dataset!$A$1:$V$1,0)),"")</f>
        <v>0</v>
      </c>
      <c r="X393" t="s">
        <v>1184</v>
      </c>
    </row>
    <row r="394" spans="1:24">
      <c r="A394" s="869" t="s">
        <v>1084</v>
      </c>
      <c r="B394" s="869"/>
      <c r="C394" s="869"/>
      <c r="D394" s="869"/>
      <c r="E394" s="869"/>
      <c r="F394" s="869"/>
      <c r="G394" s="869"/>
      <c r="H394" s="869"/>
      <c r="I394" s="869"/>
      <c r="J394" s="869"/>
      <c r="K394" s="869"/>
      <c r="L394" s="869"/>
      <c r="M394" s="869">
        <f>IFERROR(INDEX(Dataset!$A:$V,MATCH(Calculations!M$250&amp;Calculations!$X394,Dataset!$V:$V,0),MATCH(Calculations!$A$1,Dataset!$A$1:$V$1,0)),"")</f>
        <v>7.1278981239857693</v>
      </c>
      <c r="N394" s="869">
        <f>IFERROR(INDEX(Dataset!$A:$V,MATCH(Calculations!N$250&amp;Calculations!$X394,Dataset!$V:$V,0),MATCH(Calculations!$A$1,Dataset!$A$1:$V$1,0)),"")</f>
        <v>3.7023048771283658</v>
      </c>
      <c r="O394" s="869">
        <f>IFERROR(INDEX(Dataset!$A:$V,MATCH(Calculations!O$250&amp;Calculations!$X394,Dataset!$V:$V,0),MATCH(Calculations!$A$1,Dataset!$A$1:$V$1,0)),"")</f>
        <v>2.2082633390079587</v>
      </c>
      <c r="P394" s="869">
        <f>IFERROR(INDEX(Dataset!$A:$V,MATCH(Calculations!P$250&amp;Calculations!$X394,Dataset!$V:$V,0),MATCH(Calculations!$A$1,Dataset!$A$1:$V$1,0)),"")</f>
        <v>1.2784245838451436</v>
      </c>
      <c r="Q394" s="869">
        <f>IFERROR(INDEX(Dataset!$A:$V,MATCH(Calculations!Q$250&amp;Calculations!$X394,Dataset!$V:$V,0),MATCH(Calculations!$A$1,Dataset!$A$1:$V$1,0)),"")</f>
        <v>0.98280029727293383</v>
      </c>
      <c r="R394" s="869">
        <f>IFERROR(INDEX(Dataset!$A:$V,MATCH(Calculations!R$250&amp;Calculations!$X394,Dataset!$V:$V,0),MATCH(Calculations!$A$1,Dataset!$A$1:$V$1,0)),"")</f>
        <v>0.70235244605955138</v>
      </c>
      <c r="S394" s="869">
        <f>IFERROR(INDEX(Dataset!$A:$V,MATCH(Calculations!S$250&amp;Calculations!$X394,Dataset!$V:$V,0),MATCH(Calculations!$A$1,Dataset!$A$1:$V$1,0)),"")</f>
        <v>0.75729999999999997</v>
      </c>
      <c r="T394" s="869" t="str">
        <f>IFERROR(INDEX(Dataset!$A:$V,MATCH(Calculations!T$250&amp;Calculations!$X394,Dataset!$V:$V,0),MATCH(Calculations!$A$1,Dataset!$A$1:$V$1,0)),"")</f>
        <v/>
      </c>
      <c r="X394" t="s">
        <v>1185</v>
      </c>
    </row>
    <row r="395" spans="1:24">
      <c r="A395" s="869" t="s">
        <v>1086</v>
      </c>
      <c r="B395" s="869"/>
      <c r="C395" s="869"/>
      <c r="D395" s="869"/>
      <c r="E395" s="869"/>
      <c r="F395" s="869"/>
      <c r="G395" s="869"/>
      <c r="H395" s="869"/>
      <c r="I395" s="869"/>
      <c r="J395" s="869"/>
      <c r="K395" s="869"/>
      <c r="L395" s="869"/>
      <c r="M395" s="869">
        <f>IFERROR(INDEX(Dataset!$A:$V,MATCH(Calculations!M$250&amp;Calculations!$X395,Dataset!$V:$V,0),MATCH(Calculations!$A$1,Dataset!$A$1:$V$1,0)),"")</f>
        <v>3.6319541258765509</v>
      </c>
      <c r="N395" s="869">
        <f>IFERROR(INDEX(Dataset!$A:$V,MATCH(Calculations!N$250&amp;Calculations!$X395,Dataset!$V:$V,0),MATCH(Calculations!$A$1,Dataset!$A$1:$V$1,0)),"")</f>
        <v>0.20294450294383681</v>
      </c>
      <c r="O395" s="869">
        <f>IFERROR(INDEX(Dataset!$A:$V,MATCH(Calculations!O$250&amp;Calculations!$X395,Dataset!$V:$V,0),MATCH(Calculations!$A$1,Dataset!$A$1:$V$1,0)),"")</f>
        <v>-1.2862979385734143</v>
      </c>
      <c r="P395" s="869">
        <f>IFERROR(INDEX(Dataset!$A:$V,MATCH(Calculations!P$250&amp;Calculations!$X395,Dataset!$V:$V,0),MATCH(Calculations!$A$1,Dataset!$A$1:$V$1,0)),"")</f>
        <v>-2.2241313027957181</v>
      </c>
      <c r="Q395" s="869">
        <f>IFERROR(INDEX(Dataset!$A:$V,MATCH(Calculations!Q$250&amp;Calculations!$X395,Dataset!$V:$V,0),MATCH(Calculations!$A$1,Dataset!$A$1:$V$1,0)),"")</f>
        <v>-2.5281651113638666</v>
      </c>
      <c r="R395" s="869">
        <f>IFERROR(INDEX(Dataset!$A:$V,MATCH(Calculations!R$250&amp;Calculations!$X395,Dataset!$V:$V,0),MATCH(Calculations!$A$1,Dataset!$A$1:$V$1,0)),"")</f>
        <v>-2.8209073271747096</v>
      </c>
      <c r="S395" s="869">
        <f>IFERROR(INDEX(Dataset!$A:$V,MATCH(Calculations!S$250&amp;Calculations!$X395,Dataset!$V:$V,0),MATCH(Calculations!$A$1,Dataset!$A$1:$V$1,0)),"")</f>
        <v>0.75729999999999997</v>
      </c>
      <c r="T395" s="869" t="str">
        <f>IFERROR(INDEX(Dataset!$A:$V,MATCH(Calculations!T$250&amp;Calculations!$X395,Dataset!$V:$V,0),MATCH(Calculations!$A$1,Dataset!$A$1:$V$1,0)),"")</f>
        <v/>
      </c>
      <c r="X395" t="s">
        <v>1186</v>
      </c>
    </row>
    <row r="396" spans="1:24">
      <c r="A396" s="869" t="s">
        <v>1088</v>
      </c>
      <c r="B396" s="869"/>
      <c r="C396" s="869"/>
      <c r="D396" s="869"/>
      <c r="E396" s="869"/>
      <c r="F396" s="869"/>
      <c r="G396" s="869"/>
      <c r="H396" s="869"/>
      <c r="I396" s="869"/>
      <c r="J396" s="869"/>
      <c r="K396" s="869"/>
      <c r="L396" s="869"/>
      <c r="M396" s="871">
        <f>IFERROR(INDEX(Dataset!$A:$V,MATCH(Calculations!M$250&amp;Calculations!$X396,Dataset!$V:$V,0),MATCH(Calculations!$A$1,Dataset!$A$1:$V$1,0)),"")</f>
        <v>1.0389051220044982</v>
      </c>
      <c r="N396" s="871">
        <f>IFERROR(INDEX(Dataset!$A:$V,MATCH(Calculations!N$250&amp;Calculations!$X396,Dataset!$V:$V,0),MATCH(Calculations!$A$1,Dataset!$A$1:$V$1,0)),"")</f>
        <v>5.7994742250897735E-2</v>
      </c>
      <c r="O396" s="871">
        <f>IFERROR(INDEX(Dataset!$A:$V,MATCH(Calculations!O$250&amp;Calculations!$X396,Dataset!$V:$V,0),MATCH(Calculations!$A$1,Dataset!$A$1:$V$1,0)),"")</f>
        <v>-0.36808567267810977</v>
      </c>
      <c r="P396" s="871">
        <f>IFERROR(INDEX(Dataset!$A:$V,MATCH(Calculations!P$250&amp;Calculations!$X396,Dataset!$V:$V,0),MATCH(Calculations!$A$1,Dataset!$A$1:$V$1,0)),"")</f>
        <v>-0.63500237391751624</v>
      </c>
      <c r="Q396" s="869">
        <f>IFERROR(INDEX(Dataset!$A:$V,MATCH(Calculations!Q$250&amp;Calculations!$X396,Dataset!$V:$V,0),MATCH(Calculations!$A$1,Dataset!$A$1:$V$1,0)),"")</f>
        <v>-0.72007690680879566</v>
      </c>
      <c r="R396" s="869">
        <f>IFERROR(INDEX(Dataset!$A:$V,MATCH(Calculations!R$250&amp;Calculations!$X396,Dataset!$V:$V,0),MATCH(Calculations!$A$1,Dataset!$A$1:$V$1,0)),"")</f>
        <v>-0.80065266507021993</v>
      </c>
      <c r="S396" s="869" t="str">
        <f>IFERROR(INDEX(Dataset!$A:$V,MATCH(Calculations!S$250&amp;Calculations!$X396,Dataset!$V:$V,0),MATCH(Calculations!$A$1,Dataset!$A$1:$V$1,0)),"")</f>
        <v/>
      </c>
      <c r="T396" s="869" t="str">
        <f>IFERROR(INDEX(Dataset!$A:$V,MATCH(Calculations!T$250&amp;Calculations!$X396,Dataset!$V:$V,0),MATCH(Calculations!$A$1,Dataset!$A$1:$V$1,0)),"")</f>
        <v/>
      </c>
      <c r="X396" t="s">
        <v>1187</v>
      </c>
    </row>
    <row r="398" spans="1:24">
      <c r="A398" s="1" t="s">
        <v>82</v>
      </c>
    </row>
    <row r="399" spans="1:24">
      <c r="A399" s="869" t="s">
        <v>1080</v>
      </c>
      <c r="B399" s="869"/>
      <c r="C399" s="869"/>
      <c r="D399" s="869"/>
      <c r="E399" s="869"/>
      <c r="F399" s="869"/>
      <c r="G399" s="869"/>
      <c r="H399" s="869"/>
      <c r="I399" s="869"/>
      <c r="J399" s="869"/>
      <c r="K399" s="869"/>
      <c r="L399" s="869"/>
      <c r="M399" s="869">
        <f>IFERROR(INDEX(Dataset!$A:$V,MATCH(Calculations!M$250&amp;Calculations!$X399,Dataset!$V:$V,0),MATCH(Calculations!$A$1,Dataset!$A$1:$V$1,0)),"")</f>
        <v>3.7929730235013406E-2</v>
      </c>
      <c r="N399" s="869">
        <f>IFERROR(INDEX(Dataset!$A:$V,MATCH(Calculations!N$250&amp;Calculations!$X399,Dataset!$V:$V,0),MATCH(Calculations!$A$1,Dataset!$A$1:$V$1,0)),"")</f>
        <v>7.8028065788695103E-2</v>
      </c>
      <c r="O399" s="869">
        <f>IFERROR(INDEX(Dataset!$A:$V,MATCH(Calculations!O$250&amp;Calculations!$X399,Dataset!$V:$V,0),MATCH(Calculations!$A$1,Dataset!$A$1:$V$1,0)),"")</f>
        <v>0.22546417344096054</v>
      </c>
      <c r="P399" s="869">
        <f>IFERROR(INDEX(Dataset!$A:$V,MATCH(Calculations!P$250&amp;Calculations!$X399,Dataset!$V:$V,0),MATCH(Calculations!$A$1,Dataset!$A$1:$V$1,0)),"")</f>
        <v>0.11625619693211658</v>
      </c>
      <c r="Q399" s="869">
        <f>IFERROR(INDEX(Dataset!$A:$V,MATCH(Calculations!Q$250&amp;Calculations!$X399,Dataset!$V:$V,0),MATCH(Calculations!$A$1,Dataset!$A$1:$V$1,0)),"")</f>
        <v>0.22733559224312863</v>
      </c>
      <c r="R399" s="869">
        <f>IFERROR(INDEX(Dataset!$A:$V,MATCH(Calculations!R$250&amp;Calculations!$X399,Dataset!$V:$V,0),MATCH(Calculations!$A$1,Dataset!$A$1:$V$1,0)),"")</f>
        <v>0.5483834858647384</v>
      </c>
      <c r="S399" s="869">
        <f>IFERROR(INDEX(Dataset!$A:$V,MATCH(Calculations!S$250&amp;Calculations!$X399,Dataset!$V:$V,0),MATCH(Calculations!$A$1,Dataset!$A$1:$V$1,0)),"")</f>
        <v>0.18987642031565818</v>
      </c>
      <c r="T399" s="869">
        <f>IFERROR(INDEX(Dataset!$A:$V,MATCH(Calculations!T$250&amp;Calculations!$X399,Dataset!$V:$V,0),MATCH(Calculations!$A$1,Dataset!$A$1:$V$1,0)),"")</f>
        <v>0.11829774175845807</v>
      </c>
      <c r="X399" t="s">
        <v>1188</v>
      </c>
    </row>
    <row r="400" spans="1:24">
      <c r="A400" s="869" t="s">
        <v>1082</v>
      </c>
      <c r="B400" s="869"/>
      <c r="C400" s="869"/>
      <c r="D400" s="869"/>
      <c r="E400" s="869"/>
      <c r="F400" s="869"/>
      <c r="G400" s="869"/>
      <c r="H400" s="869"/>
      <c r="I400" s="869"/>
      <c r="J400" s="869"/>
      <c r="K400" s="869"/>
      <c r="L400" s="869"/>
      <c r="M400" s="869">
        <f>IFERROR(INDEX(Dataset!$A:$V,MATCH(Calculations!M$250&amp;Calculations!$X400,Dataset!$V:$V,0),MATCH(Calculations!$A$1,Dataset!$A$1:$V$1,0)),"")</f>
        <v>3.7929730235013406E-2</v>
      </c>
      <c r="N400" s="869">
        <f>IFERROR(INDEX(Dataset!$A:$V,MATCH(Calculations!N$250&amp;Calculations!$X400,Dataset!$V:$V,0),MATCH(Calculations!$A$1,Dataset!$A$1:$V$1,0)),"")</f>
        <v>7.8028065788695103E-2</v>
      </c>
      <c r="O400" s="869">
        <f>IFERROR(INDEX(Dataset!$A:$V,MATCH(Calculations!O$250&amp;Calculations!$X400,Dataset!$V:$V,0),MATCH(Calculations!$A$1,Dataset!$A$1:$V$1,0)),"")</f>
        <v>0.22546417344096054</v>
      </c>
      <c r="P400" s="869">
        <f>IFERROR(INDEX(Dataset!$A:$V,MATCH(Calculations!P$250&amp;Calculations!$X400,Dataset!$V:$V,0),MATCH(Calculations!$A$1,Dataset!$A$1:$V$1,0)),"")</f>
        <v>0.11625619693211658</v>
      </c>
      <c r="Q400" s="869">
        <f>IFERROR(INDEX(Dataset!$A:$V,MATCH(Calculations!Q$250&amp;Calculations!$X400,Dataset!$V:$V,0),MATCH(Calculations!$A$1,Dataset!$A$1:$V$1,0)),"")</f>
        <v>0.22733559224312863</v>
      </c>
      <c r="R400" s="869">
        <f>IFERROR(INDEX(Dataset!$A:$V,MATCH(Calculations!R$250&amp;Calculations!$X400,Dataset!$V:$V,0),MATCH(Calculations!$A$1,Dataset!$A$1:$V$1,0)),"")</f>
        <v>0.5483834858647384</v>
      </c>
      <c r="S400" s="869">
        <f>IFERROR(INDEX(Dataset!$A:$V,MATCH(Calculations!S$250&amp;Calculations!$X400,Dataset!$V:$V,0),MATCH(Calculations!$A$1,Dataset!$A$1:$V$1,0)),"")</f>
        <v>0.18987642031565818</v>
      </c>
      <c r="T400" s="869">
        <f>IFERROR(INDEX(Dataset!$A:$V,MATCH(Calculations!T$250&amp;Calculations!$X400,Dataset!$V:$V,0),MATCH(Calculations!$A$1,Dataset!$A$1:$V$1,0)),"")</f>
        <v>0.11829774175845807</v>
      </c>
      <c r="X400" t="s">
        <v>1189</v>
      </c>
    </row>
    <row r="401" spans="1:24">
      <c r="A401" s="869" t="s">
        <v>1084</v>
      </c>
      <c r="B401" s="869"/>
      <c r="C401" s="869"/>
      <c r="D401" s="869"/>
      <c r="E401" s="869"/>
      <c r="F401" s="869"/>
      <c r="G401" s="869"/>
      <c r="H401" s="869"/>
      <c r="I401" s="869"/>
      <c r="J401" s="869"/>
      <c r="K401" s="869"/>
      <c r="L401" s="869"/>
      <c r="M401" s="869">
        <f>IFERROR(INDEX(Dataset!$A:$V,MATCH(Calculations!M$250&amp;Calculations!$X401,Dataset!$V:$V,0),MATCH(Calculations!$A$1,Dataset!$A$1:$V$1,0)),"")</f>
        <v>0.15232089209930891</v>
      </c>
      <c r="N401" s="869">
        <f>IFERROR(INDEX(Dataset!$A:$V,MATCH(Calculations!N$250&amp;Calculations!$X401,Dataset!$V:$V,0),MATCH(Calculations!$A$1,Dataset!$A$1:$V$1,0)),"")</f>
        <v>4.8142879785050122E-2</v>
      </c>
      <c r="O401" s="869">
        <f>IFERROR(INDEX(Dataset!$A:$V,MATCH(Calculations!O$250&amp;Calculations!$X401,Dataset!$V:$V,0),MATCH(Calculations!$A$1,Dataset!$A$1:$V$1,0)),"")</f>
        <v>0.18336169191147583</v>
      </c>
      <c r="P401" s="869">
        <f>IFERROR(INDEX(Dataset!$A:$V,MATCH(Calculations!P$250&amp;Calculations!$X401,Dataset!$V:$V,0),MATCH(Calculations!$A$1,Dataset!$A$1:$V$1,0)),"")</f>
        <v>0.32180275177545287</v>
      </c>
      <c r="Q401" s="869">
        <f>IFERROR(INDEX(Dataset!$A:$V,MATCH(Calculations!Q$250&amp;Calculations!$X401,Dataset!$V:$V,0),MATCH(Calculations!$A$1,Dataset!$A$1:$V$1,0)),"")</f>
        <v>0.12525886141713863</v>
      </c>
      <c r="R401" s="1024">
        <f>IFERROR(INDEX(Dataset!$A:$V,MATCH(Calculations!R$250&amp;Calculations!$X401,Dataset!$V:$V,0),MATCH(Calculations!$A$1,Dataset!$A$1:$V$1,0)),"")</f>
        <v>0</v>
      </c>
      <c r="S401" s="869">
        <f>IFERROR(INDEX(Dataset!$A:$V,MATCH(Calculations!S$250&amp;Calculations!$X401,Dataset!$V:$V,0),MATCH(Calculations!$A$1,Dataset!$A$1:$V$1,0)),"")</f>
        <v>7.0599999999999996E-2</v>
      </c>
      <c r="T401" s="869" t="str">
        <f>IFERROR(INDEX(Dataset!$A:$V,MATCH(Calculations!T$250&amp;Calculations!$X401,Dataset!$V:$V,0),MATCH(Calculations!$A$1,Dataset!$A$1:$V$1,0)),"")</f>
        <v/>
      </c>
      <c r="X401" t="s">
        <v>1190</v>
      </c>
    </row>
    <row r="402" spans="1:24">
      <c r="A402" s="869" t="s">
        <v>1086</v>
      </c>
      <c r="B402" s="869"/>
      <c r="C402" s="869"/>
      <c r="D402" s="869"/>
      <c r="E402" s="869"/>
      <c r="F402" s="869"/>
      <c r="G402" s="869"/>
      <c r="H402" s="869"/>
      <c r="I402" s="869"/>
      <c r="J402" s="869"/>
      <c r="K402" s="869"/>
      <c r="L402" s="869"/>
      <c r="M402" s="869">
        <f>IFERROR(INDEX(Dataset!$A:$V,MATCH(Calculations!M$250&amp;Calculations!$X402,Dataset!$V:$V,0),MATCH(Calculations!$A$1,Dataset!$A$1:$V$1,0)),"")</f>
        <v>0.1143911618642955</v>
      </c>
      <c r="N402" s="869">
        <f>IFERROR(INDEX(Dataset!$A:$V,MATCH(Calculations!N$250&amp;Calculations!$X402,Dataset!$V:$V,0),MATCH(Calculations!$A$1,Dataset!$A$1:$V$1,0)),"")</f>
        <v>-2.9885186003644981E-2</v>
      </c>
      <c r="O402" s="869">
        <f>IFERROR(INDEX(Dataset!$A:$V,MATCH(Calculations!O$250&amp;Calculations!$X402,Dataset!$V:$V,0),MATCH(Calculations!$A$1,Dataset!$A$1:$V$1,0)),"")</f>
        <v>-4.2102481529484703E-2</v>
      </c>
      <c r="P402" s="869">
        <f>IFERROR(INDEX(Dataset!$A:$V,MATCH(Calculations!P$250&amp;Calculations!$X402,Dataset!$V:$V,0),MATCH(Calculations!$A$1,Dataset!$A$1:$V$1,0)),"")</f>
        <v>0.20554655484333628</v>
      </c>
      <c r="Q402" s="869">
        <f>IFERROR(INDEX(Dataset!$A:$V,MATCH(Calculations!Q$250&amp;Calculations!$X402,Dataset!$V:$V,0),MATCH(Calculations!$A$1,Dataset!$A$1:$V$1,0)),"")</f>
        <v>-0.10207673082599</v>
      </c>
      <c r="R402" s="869">
        <f>IFERROR(INDEX(Dataset!$A:$V,MATCH(Calculations!R$250&amp;Calculations!$X402,Dataset!$V:$V,0),MATCH(Calculations!$A$1,Dataset!$A$1:$V$1,0)),"")</f>
        <v>-0.5483834858647384</v>
      </c>
      <c r="S402" s="869">
        <f>IFERROR(INDEX(Dataset!$A:$V,MATCH(Calculations!S$250&amp;Calculations!$X402,Dataset!$V:$V,0),MATCH(Calculations!$A$1,Dataset!$A$1:$V$1,0)),"")</f>
        <v>-0.11927642031565819</v>
      </c>
      <c r="T402" s="869" t="str">
        <f>IFERROR(INDEX(Dataset!$A:$V,MATCH(Calculations!T$250&amp;Calculations!$X402,Dataset!$V:$V,0),MATCH(Calculations!$A$1,Dataset!$A$1:$V$1,0)),"")</f>
        <v/>
      </c>
      <c r="X402" t="s">
        <v>1191</v>
      </c>
    </row>
    <row r="403" spans="1:24">
      <c r="A403" s="869" t="s">
        <v>1088</v>
      </c>
      <c r="B403" s="869"/>
      <c r="C403" s="869"/>
      <c r="D403" s="869"/>
      <c r="E403" s="869"/>
      <c r="F403" s="869"/>
      <c r="G403" s="869"/>
      <c r="H403" s="869"/>
      <c r="I403" s="869"/>
      <c r="J403" s="869"/>
      <c r="K403" s="869"/>
      <c r="L403" s="869"/>
      <c r="M403" s="871">
        <f>IFERROR(INDEX(Dataset!$A:$V,MATCH(Calculations!M$250&amp;Calculations!$X403,Dataset!$V:$V,0),MATCH(Calculations!$A$1,Dataset!$A$1:$V$1,0)),"")</f>
        <v>3.0158706944532812</v>
      </c>
      <c r="N403" s="871">
        <f>IFERROR(INDEX(Dataset!$A:$V,MATCH(Calculations!N$250&amp;Calculations!$X403,Dataset!$V:$V,0),MATCH(Calculations!$A$1,Dataset!$A$1:$V$1,0)),"")</f>
        <v>-0.3830055980700065</v>
      </c>
      <c r="O403" s="871">
        <f>IFERROR(INDEX(Dataset!$A:$V,MATCH(Calculations!O$250&amp;Calculations!$X403,Dataset!$V:$V,0),MATCH(Calculations!$A$1,Dataset!$A$1:$V$1,0)),"")</f>
        <v>-0.18673690319366659</v>
      </c>
      <c r="P403" s="871">
        <f>IFERROR(INDEX(Dataset!$A:$V,MATCH(Calculations!P$250&amp;Calculations!$X403,Dataset!$V:$V,0),MATCH(Calculations!$A$1,Dataset!$A$1:$V$1,0)),"")</f>
        <v>1.7680481580122342</v>
      </c>
      <c r="Q403" s="871">
        <f>IFERROR(INDEX(Dataset!$A:$V,MATCH(Calculations!Q$250&amp;Calculations!$X403,Dataset!$V:$V,0),MATCH(Calculations!$A$1,Dataset!$A$1:$V$1,0)),"")</f>
        <v>-0.44901341588791777</v>
      </c>
      <c r="R403" s="871">
        <f>IFERROR(INDEX(Dataset!$A:$V,MATCH(Calculations!R$250&amp;Calculations!$X403,Dataset!$V:$V,0),MATCH(Calculations!$A$1,Dataset!$A$1:$V$1,0)),"")</f>
        <v>-1</v>
      </c>
      <c r="S403" s="871">
        <f>IFERROR(INDEX(Dataset!$A:$V,MATCH(Calculations!S$250&amp;Calculations!$X403,Dataset!$V:$V,0),MATCH(Calculations!$A$1,Dataset!$A$1:$V$1,0)),"")</f>
        <v>-0.62817921318175407</v>
      </c>
      <c r="T403" s="871" t="str">
        <f>IFERROR(INDEX(Dataset!$A:$V,MATCH(Calculations!T$250&amp;Calculations!$X403,Dataset!$V:$V,0),MATCH(Calculations!$A$1,Dataset!$A$1:$V$1,0)),"")</f>
        <v/>
      </c>
      <c r="X403" t="s">
        <v>1192</v>
      </c>
    </row>
    <row r="405" spans="1:24">
      <c r="A405" s="1" t="s">
        <v>84</v>
      </c>
    </row>
    <row r="406" spans="1:24">
      <c r="A406" s="869" t="s">
        <v>1080</v>
      </c>
      <c r="B406" s="869"/>
      <c r="C406" s="869"/>
      <c r="D406" s="869"/>
      <c r="E406" s="869"/>
      <c r="F406" s="869"/>
      <c r="G406" s="869"/>
      <c r="H406" s="869"/>
      <c r="I406" s="869"/>
      <c r="J406" s="869"/>
      <c r="K406" s="869"/>
      <c r="L406" s="869"/>
      <c r="M406" s="869">
        <f>IFERROR(INDEX(Dataset!$A:$V,MATCH(Calculations!M$250&amp;Calculations!$X406,Dataset!$V:$V,0),MATCH(Calculations!$A$1,Dataset!$A$1:$V$1,0)),"")</f>
        <v>0</v>
      </c>
      <c r="N406" s="869">
        <f>IFERROR(INDEX(Dataset!$A:$V,MATCH(Calculations!N$250&amp;Calculations!$X406,Dataset!$V:$V,0),MATCH(Calculations!$A$1,Dataset!$A$1:$V$1,0)),"")</f>
        <v>0</v>
      </c>
      <c r="O406" s="869">
        <f>IFERROR(INDEX(Dataset!$A:$V,MATCH(Calculations!O$250&amp;Calculations!$X406,Dataset!$V:$V,0),MATCH(Calculations!$A$1,Dataset!$A$1:$V$1,0)),"")</f>
        <v>0</v>
      </c>
      <c r="P406" s="869">
        <f>IFERROR(INDEX(Dataset!$A:$V,MATCH(Calculations!P$250&amp;Calculations!$X406,Dataset!$V:$V,0),MATCH(Calculations!$A$1,Dataset!$A$1:$V$1,0)),"")</f>
        <v>0</v>
      </c>
      <c r="Q406" s="869">
        <f>IFERROR(INDEX(Dataset!$A:$V,MATCH(Calculations!Q$250&amp;Calculations!$X406,Dataset!$V:$V,0),MATCH(Calculations!$A$1,Dataset!$A$1:$V$1,0)),"")</f>
        <v>0</v>
      </c>
      <c r="R406" s="869">
        <f>IFERROR(INDEX(Dataset!$A:$V,MATCH(Calculations!R$250&amp;Calculations!$X406,Dataset!$V:$V,0),MATCH(Calculations!$A$1,Dataset!$A$1:$V$1,0)),"")</f>
        <v>0</v>
      </c>
      <c r="S406" s="869">
        <f>IFERROR(INDEX(Dataset!$A:$V,MATCH(Calculations!S$250&amp;Calculations!$X406,Dataset!$V:$V,0),MATCH(Calculations!$A$1,Dataset!$A$1:$V$1,0)),"")</f>
        <v>0</v>
      </c>
      <c r="T406" s="869">
        <f>IFERROR(INDEX(Dataset!$A:$V,MATCH(Calculations!T$250&amp;Calculations!$X406,Dataset!$V:$V,0),MATCH(Calculations!$A$1,Dataset!$A$1:$V$1,0)),"")</f>
        <v>0</v>
      </c>
      <c r="X406" t="s">
        <v>1193</v>
      </c>
    </row>
    <row r="407" spans="1:24">
      <c r="A407" s="869" t="s">
        <v>1082</v>
      </c>
      <c r="B407" s="869"/>
      <c r="C407" s="869"/>
      <c r="D407" s="869"/>
      <c r="E407" s="869"/>
      <c r="F407" s="869"/>
      <c r="G407" s="869"/>
      <c r="H407" s="869"/>
      <c r="I407" s="869"/>
      <c r="J407" s="869"/>
      <c r="K407" s="869"/>
      <c r="L407" s="869"/>
      <c r="M407" s="869">
        <f>IFERROR(INDEX(Dataset!$A:$V,MATCH(Calculations!M$250&amp;Calculations!$X407,Dataset!$V:$V,0),MATCH(Calculations!$A$1,Dataset!$A$1:$V$1,0)),"")</f>
        <v>0</v>
      </c>
      <c r="N407" s="869">
        <f>IFERROR(INDEX(Dataset!$A:$V,MATCH(Calculations!N$250&amp;Calculations!$X407,Dataset!$V:$V,0),MATCH(Calculations!$A$1,Dataset!$A$1:$V$1,0)),"")</f>
        <v>0</v>
      </c>
      <c r="O407" s="869">
        <f>IFERROR(INDEX(Dataset!$A:$V,MATCH(Calculations!O$250&amp;Calculations!$X407,Dataset!$V:$V,0),MATCH(Calculations!$A$1,Dataset!$A$1:$V$1,0)),"")</f>
        <v>0</v>
      </c>
      <c r="P407" s="869">
        <f>IFERROR(INDEX(Dataset!$A:$V,MATCH(Calculations!P$250&amp;Calculations!$X407,Dataset!$V:$V,0),MATCH(Calculations!$A$1,Dataset!$A$1:$V$1,0)),"")</f>
        <v>0</v>
      </c>
      <c r="Q407" s="869">
        <f>IFERROR(INDEX(Dataset!$A:$V,MATCH(Calculations!Q$250&amp;Calculations!$X407,Dataset!$V:$V,0),MATCH(Calculations!$A$1,Dataset!$A$1:$V$1,0)),"")</f>
        <v>0</v>
      </c>
      <c r="R407" s="869">
        <f>IFERROR(INDEX(Dataset!$A:$V,MATCH(Calculations!R$250&amp;Calculations!$X407,Dataset!$V:$V,0),MATCH(Calculations!$A$1,Dataset!$A$1:$V$1,0)),"")</f>
        <v>0</v>
      </c>
      <c r="S407" s="869">
        <f>IFERROR(INDEX(Dataset!$A:$V,MATCH(Calculations!S$250&amp;Calculations!$X407,Dataset!$V:$V,0),MATCH(Calculations!$A$1,Dataset!$A$1:$V$1,0)),"")</f>
        <v>0</v>
      </c>
      <c r="T407" s="869">
        <f>IFERROR(INDEX(Dataset!$A:$V,MATCH(Calculations!T$250&amp;Calculations!$X407,Dataset!$V:$V,0),MATCH(Calculations!$A$1,Dataset!$A$1:$V$1,0)),"")</f>
        <v>0</v>
      </c>
      <c r="X407" t="s">
        <v>1194</v>
      </c>
    </row>
    <row r="408" spans="1:24">
      <c r="A408" s="869" t="s">
        <v>1084</v>
      </c>
      <c r="B408" s="869"/>
      <c r="C408" s="869"/>
      <c r="D408" s="869"/>
      <c r="E408" s="869"/>
      <c r="F408" s="869"/>
      <c r="G408" s="869"/>
      <c r="H408" s="869"/>
      <c r="I408" s="869"/>
      <c r="J408" s="869"/>
      <c r="K408" s="869"/>
      <c r="L408" s="869"/>
      <c r="M408" s="869">
        <f>IFERROR(INDEX(Dataset!$A:$V,MATCH(Calculations!M$250&amp;Calculations!$X408,Dataset!$V:$V,0),MATCH(Calculations!$A$1,Dataset!$A$1:$V$1,0)),"")</f>
        <v>0</v>
      </c>
      <c r="N408" s="869">
        <f>IFERROR(INDEX(Dataset!$A:$V,MATCH(Calculations!N$250&amp;Calculations!$X408,Dataset!$V:$V,0),MATCH(Calculations!$A$1,Dataset!$A$1:$V$1,0)),"")</f>
        <v>0</v>
      </c>
      <c r="O408" s="869">
        <f>IFERROR(INDEX(Dataset!$A:$V,MATCH(Calculations!O$250&amp;Calculations!$X408,Dataset!$V:$V,0),MATCH(Calculations!$A$1,Dataset!$A$1:$V$1,0)),"")</f>
        <v>0</v>
      </c>
      <c r="P408" s="869">
        <f>IFERROR(INDEX(Dataset!$A:$V,MATCH(Calculations!P$250&amp;Calculations!$X408,Dataset!$V:$V,0),MATCH(Calculations!$A$1,Dataset!$A$1:$V$1,0)),"")</f>
        <v>0</v>
      </c>
      <c r="Q408" s="869">
        <f>IFERROR(INDEX(Dataset!$A:$V,MATCH(Calculations!Q$250&amp;Calculations!$X408,Dataset!$V:$V,0),MATCH(Calculations!$A$1,Dataset!$A$1:$V$1,0)),"")</f>
        <v>0</v>
      </c>
      <c r="R408" s="869">
        <f>IFERROR(INDEX(Dataset!$A:$V,MATCH(Calculations!R$250&amp;Calculations!$X408,Dataset!$V:$V,0),MATCH(Calculations!$A$1,Dataset!$A$1:$V$1,0)),"")</f>
        <v>0</v>
      </c>
      <c r="S408" s="869">
        <f>IFERROR(INDEX(Dataset!$A:$V,MATCH(Calculations!S$250&amp;Calculations!$X408,Dataset!$V:$V,0),MATCH(Calculations!$A$1,Dataset!$A$1:$V$1,0)),"")</f>
        <v>0</v>
      </c>
      <c r="T408" s="869" t="str">
        <f>IFERROR(INDEX(Dataset!$A:$V,MATCH(Calculations!T$250&amp;Calculations!$X408,Dataset!$V:$V,0),MATCH(Calculations!$A$1,Dataset!$A$1:$V$1,0)),"")</f>
        <v/>
      </c>
      <c r="X408" t="s">
        <v>1195</v>
      </c>
    </row>
    <row r="409" spans="1:24">
      <c r="A409" s="869" t="s">
        <v>1086</v>
      </c>
      <c r="B409" s="869"/>
      <c r="C409" s="869"/>
      <c r="D409" s="869"/>
      <c r="E409" s="869"/>
      <c r="F409" s="869"/>
      <c r="G409" s="869"/>
      <c r="H409" s="869"/>
      <c r="I409" s="869"/>
      <c r="J409" s="869"/>
      <c r="K409" s="869"/>
      <c r="L409" s="869"/>
      <c r="M409" s="869">
        <f>IFERROR(INDEX(Dataset!$A:$V,MATCH(Calculations!M$250&amp;Calculations!$X409,Dataset!$V:$V,0),MATCH(Calculations!$A$1,Dataset!$A$1:$V$1,0)),"")</f>
        <v>0</v>
      </c>
      <c r="N409" s="869">
        <f>IFERROR(INDEX(Dataset!$A:$V,MATCH(Calculations!N$250&amp;Calculations!$X409,Dataset!$V:$V,0),MATCH(Calculations!$A$1,Dataset!$A$1:$V$1,0)),"")</f>
        <v>0</v>
      </c>
      <c r="O409" s="869">
        <f>IFERROR(INDEX(Dataset!$A:$V,MATCH(Calculations!O$250&amp;Calculations!$X409,Dataset!$V:$V,0),MATCH(Calculations!$A$1,Dataset!$A$1:$V$1,0)),"")</f>
        <v>0</v>
      </c>
      <c r="P409" s="869">
        <f>IFERROR(INDEX(Dataset!$A:$V,MATCH(Calculations!P$250&amp;Calculations!$X409,Dataset!$V:$V,0),MATCH(Calculations!$A$1,Dataset!$A$1:$V$1,0)),"")</f>
        <v>0</v>
      </c>
      <c r="Q409" s="869">
        <f>IFERROR(INDEX(Dataset!$A:$V,MATCH(Calculations!Q$250&amp;Calculations!$X409,Dataset!$V:$V,0),MATCH(Calculations!$A$1,Dataset!$A$1:$V$1,0)),"")</f>
        <v>0</v>
      </c>
      <c r="R409" s="869">
        <f>IFERROR(INDEX(Dataset!$A:$V,MATCH(Calculations!R$250&amp;Calculations!$X409,Dataset!$V:$V,0),MATCH(Calculations!$A$1,Dataset!$A$1:$V$1,0)),"")</f>
        <v>0</v>
      </c>
      <c r="S409" s="869">
        <f>IFERROR(INDEX(Dataset!$A:$V,MATCH(Calculations!S$250&amp;Calculations!$X409,Dataset!$V:$V,0),MATCH(Calculations!$A$1,Dataset!$A$1:$V$1,0)),"")</f>
        <v>0</v>
      </c>
      <c r="T409" s="869" t="str">
        <f>IFERROR(INDEX(Dataset!$A:$V,MATCH(Calculations!T$250&amp;Calculations!$X409,Dataset!$V:$V,0),MATCH(Calculations!$A$1,Dataset!$A$1:$V$1,0)),"")</f>
        <v/>
      </c>
      <c r="X409" t="s">
        <v>1196</v>
      </c>
    </row>
    <row r="410" spans="1:24">
      <c r="A410" s="869" t="s">
        <v>1088</v>
      </c>
      <c r="B410" s="869"/>
      <c r="C410" s="869"/>
      <c r="D410" s="869"/>
      <c r="E410" s="869"/>
      <c r="F410" s="869"/>
      <c r="G410" s="869"/>
      <c r="H410" s="869"/>
      <c r="I410" s="869"/>
      <c r="J410" s="869"/>
      <c r="K410" s="869"/>
      <c r="L410" s="869"/>
      <c r="M410" s="871" t="str">
        <f>IFERROR(INDEX(Dataset!$A:$V,MATCH(Calculations!M$250&amp;Calculations!$X410,Dataset!$V:$V,0),MATCH(Calculations!$A$1,Dataset!$A$1:$V$1,0)),"")</f>
        <v/>
      </c>
      <c r="N410" s="871" t="str">
        <f>IFERROR(INDEX(Dataset!$A:$V,MATCH(Calculations!N$250&amp;Calculations!$X410,Dataset!$V:$V,0),MATCH(Calculations!$A$1,Dataset!$A$1:$V$1,0)),"")</f>
        <v/>
      </c>
      <c r="O410" s="871" t="str">
        <f>IFERROR(INDEX(Dataset!$A:$V,MATCH(Calculations!O$250&amp;Calculations!$X410,Dataset!$V:$V,0),MATCH(Calculations!$A$1,Dataset!$A$1:$V$1,0)),"")</f>
        <v/>
      </c>
      <c r="P410" s="871" t="str">
        <f>IFERROR(INDEX(Dataset!$A:$V,MATCH(Calculations!P$250&amp;Calculations!$X410,Dataset!$V:$V,0),MATCH(Calculations!$A$1,Dataset!$A$1:$V$1,0)),"")</f>
        <v/>
      </c>
      <c r="Q410" s="871" t="str">
        <f>IFERROR(INDEX(Dataset!$A:$V,MATCH(Calculations!Q$250&amp;Calculations!$X410,Dataset!$V:$V,0),MATCH(Calculations!$A$1,Dataset!$A$1:$V$1,0)),"")</f>
        <v/>
      </c>
      <c r="R410" s="871" t="str">
        <f>IFERROR(INDEX(Dataset!$A:$V,MATCH(Calculations!R$250&amp;Calculations!$X410,Dataset!$V:$V,0),MATCH(Calculations!$A$1,Dataset!$A$1:$V$1,0)),"")</f>
        <v/>
      </c>
      <c r="S410" s="871" t="str">
        <f>IFERROR(INDEX(Dataset!$A:$V,MATCH(Calculations!S$250&amp;Calculations!$X410,Dataset!$V:$V,0),MATCH(Calculations!$A$1,Dataset!$A$1:$V$1,0)),"")</f>
        <v/>
      </c>
      <c r="T410" s="871" t="str">
        <f>IFERROR(INDEX(Dataset!$A:$V,MATCH(Calculations!T$250&amp;Calculations!$X410,Dataset!$V:$V,0),MATCH(Calculations!$A$1,Dataset!$A$1:$V$1,0)),"")</f>
        <v/>
      </c>
      <c r="X410" t="s">
        <v>1197</v>
      </c>
    </row>
    <row r="412" spans="1:24">
      <c r="A412" s="1" t="s">
        <v>86</v>
      </c>
    </row>
    <row r="413" spans="1:24">
      <c r="A413" s="869" t="s">
        <v>1080</v>
      </c>
      <c r="B413" s="869"/>
      <c r="C413" s="869"/>
      <c r="D413" s="869"/>
      <c r="E413" s="869"/>
      <c r="F413" s="869"/>
      <c r="G413" s="869"/>
      <c r="H413" s="869"/>
      <c r="I413" s="869"/>
      <c r="J413" s="869"/>
      <c r="K413" s="869"/>
      <c r="L413" s="869"/>
      <c r="M413" s="869">
        <f>IFERROR(INDEX(Dataset!$A:$V,MATCH(Calculations!M$250&amp;Calculations!$X413,Dataset!$V:$V,0),MATCH(Calculations!$A$1,Dataset!$A$1:$V$1,0)),"")</f>
        <v>0</v>
      </c>
      <c r="N413" s="869">
        <f>IFERROR(INDEX(Dataset!$A:$V,MATCH(Calculations!N$250&amp;Calculations!$X413,Dataset!$V:$V,0),MATCH(Calculations!$A$1,Dataset!$A$1:$V$1,0)),"")</f>
        <v>0</v>
      </c>
      <c r="O413" s="869">
        <f>IFERROR(INDEX(Dataset!$A:$V,MATCH(Calculations!O$250&amp;Calculations!$X413,Dataset!$V:$V,0),MATCH(Calculations!$A$1,Dataset!$A$1:$V$1,0)),"")</f>
        <v>0</v>
      </c>
      <c r="P413" s="869">
        <f>IFERROR(INDEX(Dataset!$A:$V,MATCH(Calculations!P$250&amp;Calculations!$X413,Dataset!$V:$V,0),MATCH(Calculations!$A$1,Dataset!$A$1:$V$1,0)),"")</f>
        <v>0</v>
      </c>
      <c r="Q413" s="869">
        <f>IFERROR(INDEX(Dataset!$A:$V,MATCH(Calculations!Q$250&amp;Calculations!$X413,Dataset!$V:$V,0),MATCH(Calculations!$A$1,Dataset!$A$1:$V$1,0)),"")</f>
        <v>0</v>
      </c>
      <c r="R413" s="869">
        <f>IFERROR(INDEX(Dataset!$A:$V,MATCH(Calculations!R$250&amp;Calculations!$X413,Dataset!$V:$V,0),MATCH(Calculations!$A$1,Dataset!$A$1:$V$1,0)),"")</f>
        <v>0</v>
      </c>
      <c r="S413" s="869">
        <f>IFERROR(INDEX(Dataset!$A:$V,MATCH(Calculations!S$250&amp;Calculations!$X413,Dataset!$V:$V,0),MATCH(Calculations!$A$1,Dataset!$A$1:$V$1,0)),"")</f>
        <v>0</v>
      </c>
      <c r="T413" s="869">
        <f>IFERROR(INDEX(Dataset!$A:$V,MATCH(Calculations!T$250&amp;Calculations!$X413,Dataset!$V:$V,0),MATCH(Calculations!$A$1,Dataset!$A$1:$V$1,0)),"")</f>
        <v>0</v>
      </c>
      <c r="X413" t="s">
        <v>1198</v>
      </c>
    </row>
    <row r="414" spans="1:24">
      <c r="A414" s="869" t="s">
        <v>1082</v>
      </c>
      <c r="B414" s="869"/>
      <c r="C414" s="869"/>
      <c r="D414" s="869"/>
      <c r="E414" s="869"/>
      <c r="F414" s="869"/>
      <c r="G414" s="869"/>
      <c r="H414" s="869"/>
      <c r="I414" s="869"/>
      <c r="J414" s="869"/>
      <c r="K414" s="869"/>
      <c r="L414" s="869"/>
      <c r="M414" s="869">
        <f>IFERROR(INDEX(Dataset!$A:$V,MATCH(Calculations!M$250&amp;Calculations!$X414,Dataset!$V:$V,0),MATCH(Calculations!$A$1,Dataset!$A$1:$V$1,0)),"")</f>
        <v>0</v>
      </c>
      <c r="N414" s="869">
        <f>IFERROR(INDEX(Dataset!$A:$V,MATCH(Calculations!N$250&amp;Calculations!$X414,Dataset!$V:$V,0),MATCH(Calculations!$A$1,Dataset!$A$1:$V$1,0)),"")</f>
        <v>0</v>
      </c>
      <c r="O414" s="869">
        <f>IFERROR(INDEX(Dataset!$A:$V,MATCH(Calculations!O$250&amp;Calculations!$X414,Dataset!$V:$V,0),MATCH(Calculations!$A$1,Dataset!$A$1:$V$1,0)),"")</f>
        <v>0</v>
      </c>
      <c r="P414" s="869">
        <f>IFERROR(INDEX(Dataset!$A:$V,MATCH(Calculations!P$250&amp;Calculations!$X414,Dataset!$V:$V,0),MATCH(Calculations!$A$1,Dataset!$A$1:$V$1,0)),"")</f>
        <v>0</v>
      </c>
      <c r="Q414" s="869">
        <f>IFERROR(INDEX(Dataset!$A:$V,MATCH(Calculations!Q$250&amp;Calculations!$X414,Dataset!$V:$V,0),MATCH(Calculations!$A$1,Dataset!$A$1:$V$1,0)),"")</f>
        <v>0</v>
      </c>
      <c r="R414" s="869">
        <f>IFERROR(INDEX(Dataset!$A:$V,MATCH(Calculations!R$250&amp;Calculations!$X414,Dataset!$V:$V,0),MATCH(Calculations!$A$1,Dataset!$A$1:$V$1,0)),"")</f>
        <v>0</v>
      </c>
      <c r="S414" s="869">
        <f>IFERROR(INDEX(Dataset!$A:$V,MATCH(Calculations!S$250&amp;Calculations!$X414,Dataset!$V:$V,0),MATCH(Calculations!$A$1,Dataset!$A$1:$V$1,0)),"")</f>
        <v>0</v>
      </c>
      <c r="T414" s="869">
        <f>IFERROR(INDEX(Dataset!$A:$V,MATCH(Calculations!T$250&amp;Calculations!$X414,Dataset!$V:$V,0),MATCH(Calculations!$A$1,Dataset!$A$1:$V$1,0)),"")</f>
        <v>0</v>
      </c>
      <c r="X414" t="s">
        <v>1199</v>
      </c>
    </row>
    <row r="415" spans="1:24">
      <c r="A415" s="869" t="s">
        <v>1084</v>
      </c>
      <c r="B415" s="869"/>
      <c r="C415" s="869"/>
      <c r="D415" s="869"/>
      <c r="E415" s="869"/>
      <c r="F415" s="869"/>
      <c r="G415" s="869"/>
      <c r="H415" s="869"/>
      <c r="I415" s="869"/>
      <c r="J415" s="869"/>
      <c r="K415" s="869"/>
      <c r="L415" s="869"/>
      <c r="M415" s="869">
        <f>IFERROR(INDEX(Dataset!$A:$V,MATCH(Calculations!M$250&amp;Calculations!$X415,Dataset!$V:$V,0),MATCH(Calculations!$A$1,Dataset!$A$1:$V$1,0)),"")</f>
        <v>0</v>
      </c>
      <c r="N415" s="869">
        <f>IFERROR(INDEX(Dataset!$A:$V,MATCH(Calculations!N$250&amp;Calculations!$X415,Dataset!$V:$V,0),MATCH(Calculations!$A$1,Dataset!$A$1:$V$1,0)),"")</f>
        <v>0</v>
      </c>
      <c r="O415" s="869">
        <f>IFERROR(INDEX(Dataset!$A:$V,MATCH(Calculations!O$250&amp;Calculations!$X415,Dataset!$V:$V,0),MATCH(Calculations!$A$1,Dataset!$A$1:$V$1,0)),"")</f>
        <v>0</v>
      </c>
      <c r="P415" s="869">
        <f>IFERROR(INDEX(Dataset!$A:$V,MATCH(Calculations!P$250&amp;Calculations!$X415,Dataset!$V:$V,0),MATCH(Calculations!$A$1,Dataset!$A$1:$V$1,0)),"")</f>
        <v>0</v>
      </c>
      <c r="Q415" s="869">
        <f>IFERROR(INDEX(Dataset!$A:$V,MATCH(Calculations!Q$250&amp;Calculations!$X415,Dataset!$V:$V,0),MATCH(Calculations!$A$1,Dataset!$A$1:$V$1,0)),"")</f>
        <v>0</v>
      </c>
      <c r="R415" s="869">
        <f>IFERROR(INDEX(Dataset!$A:$V,MATCH(Calculations!R$250&amp;Calculations!$X415,Dataset!$V:$V,0),MATCH(Calculations!$A$1,Dataset!$A$1:$V$1,0)),"")</f>
        <v>0</v>
      </c>
      <c r="S415" s="869">
        <f>IFERROR(INDEX(Dataset!$A:$V,MATCH(Calculations!S$250&amp;Calculations!$X415,Dataset!$V:$V,0),MATCH(Calculations!$A$1,Dataset!$A$1:$V$1,0)),"")</f>
        <v>0</v>
      </c>
      <c r="T415" s="869" t="str">
        <f>IFERROR(INDEX(Dataset!$A:$V,MATCH(Calculations!T$250&amp;Calculations!$X415,Dataset!$V:$V,0),MATCH(Calculations!$A$1,Dataset!$A$1:$V$1,0)),"")</f>
        <v/>
      </c>
      <c r="X415" t="s">
        <v>1200</v>
      </c>
    </row>
    <row r="416" spans="1:24">
      <c r="A416" s="869" t="s">
        <v>1086</v>
      </c>
      <c r="B416" s="869"/>
      <c r="C416" s="869"/>
      <c r="D416" s="869"/>
      <c r="E416" s="869"/>
      <c r="F416" s="869"/>
      <c r="G416" s="869"/>
      <c r="H416" s="869"/>
      <c r="I416" s="869"/>
      <c r="J416" s="869"/>
      <c r="K416" s="869"/>
      <c r="L416" s="869"/>
      <c r="M416" s="869">
        <f>IFERROR(INDEX(Dataset!$A:$V,MATCH(Calculations!M$250&amp;Calculations!$X416,Dataset!$V:$V,0),MATCH(Calculations!$A$1,Dataset!$A$1:$V$1,0)),"")</f>
        <v>0</v>
      </c>
      <c r="N416" s="869">
        <f>IFERROR(INDEX(Dataset!$A:$V,MATCH(Calculations!N$250&amp;Calculations!$X416,Dataset!$V:$V,0),MATCH(Calculations!$A$1,Dataset!$A$1:$V$1,0)),"")</f>
        <v>0</v>
      </c>
      <c r="O416" s="869">
        <f>IFERROR(INDEX(Dataset!$A:$V,MATCH(Calculations!O$250&amp;Calculations!$X416,Dataset!$V:$V,0),MATCH(Calculations!$A$1,Dataset!$A$1:$V$1,0)),"")</f>
        <v>0</v>
      </c>
      <c r="P416" s="869">
        <f>IFERROR(INDEX(Dataset!$A:$V,MATCH(Calculations!P$250&amp;Calculations!$X416,Dataset!$V:$V,0),MATCH(Calculations!$A$1,Dataset!$A$1:$V$1,0)),"")</f>
        <v>0</v>
      </c>
      <c r="Q416" s="871">
        <f>IFERROR(INDEX(Dataset!$A:$V,MATCH(Calculations!Q$250&amp;Calculations!$X416,Dataset!$V:$V,0),MATCH(Calculations!$A$1,Dataset!$A$1:$V$1,0)),"")</f>
        <v>0</v>
      </c>
      <c r="R416" s="871">
        <f>IFERROR(INDEX(Dataset!$A:$V,MATCH(Calculations!R$250&amp;Calculations!$X416,Dataset!$V:$V,0),MATCH(Calculations!$A$1,Dataset!$A$1:$V$1,0)),"")</f>
        <v>0</v>
      </c>
      <c r="S416" s="871">
        <f>IFERROR(INDEX(Dataset!$A:$V,MATCH(Calculations!S$250&amp;Calculations!$X416,Dataset!$V:$V,0),MATCH(Calculations!$A$1,Dataset!$A$1:$V$1,0)),"")</f>
        <v>0</v>
      </c>
      <c r="T416" s="871" t="str">
        <f>IFERROR(INDEX(Dataset!$A:$V,MATCH(Calculations!T$250&amp;Calculations!$X416,Dataset!$V:$V,0),MATCH(Calculations!$A$1,Dataset!$A$1:$V$1,0)),"")</f>
        <v/>
      </c>
      <c r="X416" t="s">
        <v>1201</v>
      </c>
    </row>
    <row r="417" spans="1:24">
      <c r="A417" t="s">
        <v>1088</v>
      </c>
      <c r="M417" s="829" t="str">
        <f>IFERROR(INDEX(Dataset!$A:$V,MATCH(Calculations!M$250&amp;Calculations!$X417,Dataset!$V:$V,0),MATCH(Calculations!$A$1,Dataset!$A$1:$V$1,0)),"")</f>
        <v/>
      </c>
      <c r="N417" s="829" t="str">
        <f>IFERROR(INDEX(Dataset!$A:$V,MATCH(Calculations!N$250&amp;Calculations!$X417,Dataset!$V:$V,0),MATCH(Calculations!$A$1,Dataset!$A$1:$V$1,0)),"")</f>
        <v/>
      </c>
      <c r="O417" s="829" t="str">
        <f>IFERROR(INDEX(Dataset!$A:$V,MATCH(Calculations!O$250&amp;Calculations!$X417,Dataset!$V:$V,0),MATCH(Calculations!$A$1,Dataset!$A$1:$V$1,0)),"")</f>
        <v/>
      </c>
      <c r="P417" s="829" t="str">
        <f>IFERROR(INDEX(Dataset!$A:$V,MATCH(Calculations!P$250&amp;Calculations!$X417,Dataset!$V:$V,0),MATCH(Calculations!$A$1,Dataset!$A$1:$V$1,0)),"")</f>
        <v/>
      </c>
      <c r="Q417" s="829" t="str">
        <f>IFERROR(INDEX(Dataset!$A:$V,MATCH(Calculations!Q$250&amp;Calculations!$X417,Dataset!$V:$V,0),MATCH(Calculations!$A$1,Dataset!$A$1:$V$1,0)),"")</f>
        <v/>
      </c>
      <c r="R417" s="829" t="str">
        <f>IFERROR(INDEX(Dataset!$A:$V,MATCH(Calculations!R$250&amp;Calculations!$X417,Dataset!$V:$V,0),MATCH(Calculations!$A$1,Dataset!$A$1:$V$1,0)),"")</f>
        <v/>
      </c>
      <c r="S417" s="829" t="str">
        <f>IFERROR(INDEX(Dataset!$A:$V,MATCH(Calculations!S$250&amp;Calculations!$X417,Dataset!$V:$V,0),MATCH(Calculations!$A$1,Dataset!$A$1:$V$1,0)),"")</f>
        <v/>
      </c>
      <c r="T417" s="829" t="str">
        <f>IFERROR(INDEX(Dataset!$A:$V,MATCH(Calculations!T$250&amp;Calculations!$X417,Dataset!$V:$V,0),MATCH(Calculations!$A$1,Dataset!$A$1:$V$1,0)),"")</f>
        <v/>
      </c>
      <c r="X417" t="s">
        <v>1202</v>
      </c>
    </row>
    <row r="419" spans="1:24">
      <c r="A419" s="1" t="s">
        <v>88</v>
      </c>
    </row>
    <row r="420" spans="1:24">
      <c r="A420" s="869" t="s">
        <v>1080</v>
      </c>
      <c r="B420" s="869"/>
      <c r="C420" s="869"/>
      <c r="D420" s="869"/>
      <c r="E420" s="869"/>
      <c r="F420" s="869"/>
      <c r="G420" s="869"/>
      <c r="H420" s="869"/>
      <c r="I420" s="869"/>
      <c r="J420" s="869"/>
      <c r="K420" s="869"/>
      <c r="L420" s="869"/>
      <c r="M420" s="869">
        <f>IFERROR(INDEX(Dataset!$A:$V,MATCH(Calculations!M$250&amp;Calculations!$X420,Dataset!$V:$V,0),MATCH(Calculations!$A$1,Dataset!$A$1:$V$1,0)),"")</f>
        <v>0</v>
      </c>
      <c r="N420" s="869">
        <f>IFERROR(INDEX(Dataset!$A:$V,MATCH(Calculations!N$250&amp;Calculations!$X420,Dataset!$V:$V,0),MATCH(Calculations!$A$1,Dataset!$A$1:$V$1,0)),"")</f>
        <v>0</v>
      </c>
      <c r="O420" s="869">
        <f>IFERROR(INDEX(Dataset!$A:$V,MATCH(Calculations!O$250&amp;Calculations!$X420,Dataset!$V:$V,0),MATCH(Calculations!$A$1,Dataset!$A$1:$V$1,0)),"")</f>
        <v>0</v>
      </c>
      <c r="P420" s="869">
        <f>IFERROR(INDEX(Dataset!$A:$V,MATCH(Calculations!P$250&amp;Calculations!$X420,Dataset!$V:$V,0),MATCH(Calculations!$A$1,Dataset!$A$1:$V$1,0)),"")</f>
        <v>0</v>
      </c>
      <c r="Q420" s="869">
        <f>IFERROR(INDEX(Dataset!$A:$V,MATCH(Calculations!Q$250&amp;Calculations!$X420,Dataset!$V:$V,0),MATCH(Calculations!$A$1,Dataset!$A$1:$V$1,0)),"")</f>
        <v>0</v>
      </c>
      <c r="R420" s="869">
        <f>IFERROR(INDEX(Dataset!$A:$V,MATCH(Calculations!R$250&amp;Calculations!$X420,Dataset!$V:$V,0),MATCH(Calculations!$A$1,Dataset!$A$1:$V$1,0)),"")</f>
        <v>0</v>
      </c>
      <c r="S420" s="869">
        <f>IFERROR(INDEX(Dataset!$A:$V,MATCH(Calculations!S$250&amp;Calculations!$X420,Dataset!$V:$V,0),MATCH(Calculations!$A$1,Dataset!$A$1:$V$1,0)),"")</f>
        <v>0</v>
      </c>
      <c r="T420" s="869">
        <f>IFERROR(INDEX(Dataset!$A:$V,MATCH(Calculations!T$250&amp;Calculations!$X420,Dataset!$V:$V,0),MATCH(Calculations!$A$1,Dataset!$A$1:$V$1,0)),"")</f>
        <v>0</v>
      </c>
      <c r="X420" t="s">
        <v>1203</v>
      </c>
    </row>
    <row r="421" spans="1:24">
      <c r="A421" s="869" t="s">
        <v>1082</v>
      </c>
      <c r="B421" s="869"/>
      <c r="C421" s="869"/>
      <c r="D421" s="869"/>
      <c r="E421" s="869"/>
      <c r="F421" s="869"/>
      <c r="G421" s="869"/>
      <c r="H421" s="869"/>
      <c r="I421" s="869"/>
      <c r="J421" s="869"/>
      <c r="K421" s="869"/>
      <c r="L421" s="869"/>
      <c r="M421" s="869">
        <f>IFERROR(INDEX(Dataset!$A:$V,MATCH(Calculations!M$250&amp;Calculations!$X421,Dataset!$V:$V,0),MATCH(Calculations!$A$1,Dataset!$A$1:$V$1,0)),"")</f>
        <v>2.3760617670110808</v>
      </c>
      <c r="N421" s="869">
        <f>IFERROR(INDEX(Dataset!$A:$V,MATCH(Calculations!N$250&amp;Calculations!$X421,Dataset!$V:$V,0),MATCH(Calculations!$A$1,Dataset!$A$1:$V$1,0)),"")</f>
        <v>2.3780573419998601</v>
      </c>
      <c r="O421" s="869">
        <f>IFERROR(INDEX(Dataset!$A:$V,MATCH(Calculations!O$250&amp;Calculations!$X421,Dataset!$V:$V,0),MATCH(Calculations!$A$1,Dataset!$A$1:$V$1,0)),"")</f>
        <v>2.3734346665429462</v>
      </c>
      <c r="P421" s="869">
        <f>IFERROR(INDEX(Dataset!$A:$V,MATCH(Calculations!P$250&amp;Calculations!$X421,Dataset!$V:$V,0),MATCH(Calculations!$A$1,Dataset!$A$1:$V$1,0)),"")</f>
        <v>2.3796348323305856</v>
      </c>
      <c r="Q421" s="869">
        <f>IFERROR(INDEX(Dataset!$A:$V,MATCH(Calculations!Q$250&amp;Calculations!$X421,Dataset!$V:$V,0),MATCH(Calculations!$A$1,Dataset!$A$1:$V$1,0)),"")</f>
        <v>2.3830422656332528</v>
      </c>
      <c r="R421" s="869">
        <f>IFERROR(INDEX(Dataset!$A:$V,MATCH(Calculations!R$250&amp;Calculations!$X421,Dataset!$V:$V,0),MATCH(Calculations!$A$1,Dataset!$A$1:$V$1,0)),"")</f>
        <v>2.3907239260881634</v>
      </c>
      <c r="S421" s="869">
        <f>IFERROR(INDEX(Dataset!$A:$V,MATCH(Calculations!S$250&amp;Calculations!$X421,Dataset!$V:$V,0),MATCH(Calculations!$A$1,Dataset!$A$1:$V$1,0)),"")</f>
        <v>2.3938400497275927</v>
      </c>
      <c r="T421" s="869">
        <f>IFERROR(INDEX(Dataset!$A:$V,MATCH(Calculations!T$250&amp;Calculations!$X421,Dataset!$V:$V,0),MATCH(Calculations!$A$1,Dataset!$A$1:$V$1,0)),"")</f>
        <v>2.3998011739416643</v>
      </c>
      <c r="X421" t="s">
        <v>1204</v>
      </c>
    </row>
    <row r="422" spans="1:24">
      <c r="A422" s="869" t="s">
        <v>1084</v>
      </c>
      <c r="B422" s="869"/>
      <c r="C422" s="869"/>
      <c r="D422" s="869"/>
      <c r="E422" s="869"/>
      <c r="F422" s="869"/>
      <c r="G422" s="869"/>
      <c r="H422" s="869"/>
      <c r="I422" s="869"/>
      <c r="J422" s="869"/>
      <c r="K422" s="869"/>
      <c r="L422" s="869"/>
      <c r="M422" s="869">
        <f>IFERROR(INDEX(Dataset!$A:$V,MATCH(Calculations!M$250&amp;Calculations!$X422,Dataset!$V:$V,0),MATCH(Calculations!$A$1,Dataset!$A$1:$V$1,0)),"")</f>
        <v>5.9920880073082454</v>
      </c>
      <c r="N422" s="869">
        <f>IFERROR(INDEX(Dataset!$A:$V,MATCH(Calculations!N$250&amp;Calculations!$X422,Dataset!$V:$V,0),MATCH(Calculations!$A$1,Dataset!$A$1:$V$1,0)),"")</f>
        <v>5.026821179507305</v>
      </c>
      <c r="O422" s="869">
        <f>IFERROR(INDEX(Dataset!$A:$V,MATCH(Calculations!O$250&amp;Calculations!$X422,Dataset!$V:$V,0),MATCH(Calculations!$A$1,Dataset!$A$1:$V$1,0)),"")</f>
        <v>2.8477655361066243</v>
      </c>
      <c r="P422" s="869">
        <f>IFERROR(INDEX(Dataset!$A:$V,MATCH(Calculations!P$250&amp;Calculations!$X422,Dataset!$V:$V,0),MATCH(Calculations!$A$1,Dataset!$A$1:$V$1,0)),"")</f>
        <v>2.3262055572027616</v>
      </c>
      <c r="Q422" s="869">
        <f>IFERROR(INDEX(Dataset!$A:$V,MATCH(Calculations!Q$250&amp;Calculations!$X422,Dataset!$V:$V,0),MATCH(Calculations!$A$1,Dataset!$A$1:$V$1,0)),"")</f>
        <v>2.5030360512245307</v>
      </c>
      <c r="R422" s="869">
        <f>IFERROR(INDEX(Dataset!$A:$V,MATCH(Calculations!R$250&amp;Calculations!$X422,Dataset!$V:$V,0),MATCH(Calculations!$A$1,Dataset!$A$1:$V$1,0)),"")</f>
        <v>2.4201542117232733</v>
      </c>
      <c r="S422" s="869">
        <f>IFERROR(INDEX(Dataset!$A:$V,MATCH(Calculations!S$250&amp;Calculations!$X422,Dataset!$V:$V,0),MATCH(Calculations!$A$1,Dataset!$A$1:$V$1,0)),"")</f>
        <v>1.5210999999999999</v>
      </c>
      <c r="T422" s="869" t="str">
        <f>IFERROR(INDEX(Dataset!$A:$V,MATCH(Calculations!T$250&amp;Calculations!$X422,Dataset!$V:$V,0),MATCH(Calculations!$A$1,Dataset!$A$1:$V$1,0)),"")</f>
        <v/>
      </c>
      <c r="X422" t="s">
        <v>1205</v>
      </c>
    </row>
    <row r="423" spans="1:24">
      <c r="A423" s="869" t="s">
        <v>1086</v>
      </c>
      <c r="B423" s="869"/>
      <c r="C423" s="869"/>
      <c r="D423" s="869"/>
      <c r="E423" s="869"/>
      <c r="F423" s="869"/>
      <c r="G423" s="869"/>
      <c r="H423" s="869"/>
      <c r="I423" s="869"/>
      <c r="J423" s="869"/>
      <c r="K423" s="869"/>
      <c r="L423" s="869"/>
      <c r="M423" s="869">
        <f>IFERROR(INDEX(Dataset!$A:$V,MATCH(Calculations!M$250&amp;Calculations!$X423,Dataset!$V:$V,0),MATCH(Calculations!$A$1,Dataset!$A$1:$V$1,0)),"")</f>
        <v>3.6160262402971646</v>
      </c>
      <c r="N423" s="869">
        <f>IFERROR(INDEX(Dataset!$A:$V,MATCH(Calculations!N$250&amp;Calculations!$X423,Dataset!$V:$V,0),MATCH(Calculations!$A$1,Dataset!$A$1:$V$1,0)),"")</f>
        <v>2.6487638375074449</v>
      </c>
      <c r="O423" s="869">
        <f>IFERROR(INDEX(Dataset!$A:$V,MATCH(Calculations!O$250&amp;Calculations!$X423,Dataset!$V:$V,0),MATCH(Calculations!$A$1,Dataset!$A$1:$V$1,0)),"")</f>
        <v>0.47433086956367809</v>
      </c>
      <c r="P423" s="869">
        <f>IFERROR(INDEX(Dataset!$A:$V,MATCH(Calculations!P$250&amp;Calculations!$X423,Dataset!$V:$V,0),MATCH(Calculations!$A$1,Dataset!$A$1:$V$1,0)),"")</f>
        <v>-5.3429275127824027E-2</v>
      </c>
      <c r="Q423" s="869">
        <f>IFERROR(INDEX(Dataset!$A:$V,MATCH(Calculations!Q$250&amp;Calculations!$X423,Dataset!$V:$V,0),MATCH(Calculations!$A$1,Dataset!$A$1:$V$1,0)),"")</f>
        <v>0.11999378559127782</v>
      </c>
      <c r="R423" s="869">
        <f>IFERROR(INDEX(Dataset!$A:$V,MATCH(Calculations!R$250&amp;Calculations!$X423,Dataset!$V:$V,0),MATCH(Calculations!$A$1,Dataset!$A$1:$V$1,0)),"")</f>
        <v>2.9430285635109854E-2</v>
      </c>
      <c r="S423" s="869">
        <f>IFERROR(INDEX(Dataset!$A:$V,MATCH(Calculations!S$250&amp;Calculations!$X423,Dataset!$V:$V,0),MATCH(Calculations!$A$1,Dataset!$A$1:$V$1,0)),"")</f>
        <v>-0.87274004972759278</v>
      </c>
      <c r="T423" s="869" t="str">
        <f>IFERROR(INDEX(Dataset!$A:$V,MATCH(Calculations!T$250&amp;Calculations!$X423,Dataset!$V:$V,0),MATCH(Calculations!$A$1,Dataset!$A$1:$V$1,0)),"")</f>
        <v/>
      </c>
      <c r="X423" t="s">
        <v>1206</v>
      </c>
    </row>
    <row r="424" spans="1:24">
      <c r="A424" s="869" t="s">
        <v>1088</v>
      </c>
      <c r="B424" s="869"/>
      <c r="C424" s="869"/>
      <c r="D424" s="869"/>
      <c r="E424" s="869"/>
      <c r="F424" s="869"/>
      <c r="G424" s="869"/>
      <c r="H424" s="869"/>
      <c r="I424" s="869"/>
      <c r="J424" s="869"/>
      <c r="K424" s="869"/>
      <c r="L424" s="869"/>
      <c r="M424" s="871">
        <f>IFERROR(INDEX(Dataset!$A:$V,MATCH(Calculations!M$250&amp;Calculations!$X424,Dataset!$V:$V,0),MATCH(Calculations!$A$1,Dataset!$A$1:$V$1,0)),"")</f>
        <v>1.5218570032570626</v>
      </c>
      <c r="N424" s="871">
        <f>IFERROR(INDEX(Dataset!$A:$V,MATCH(Calculations!N$250&amp;Calculations!$X424,Dataset!$V:$V,0),MATCH(Calculations!$A$1,Dataset!$A$1:$V$1,0)),"")</f>
        <v>1.1138351421248449</v>
      </c>
      <c r="O424" s="871">
        <f>IFERROR(INDEX(Dataset!$A:$V,MATCH(Calculations!O$250&amp;Calculations!$X424,Dataset!$V:$V,0),MATCH(Calculations!$A$1,Dataset!$A$1:$V$1,0)),"")</f>
        <v>0.19984997954654898</v>
      </c>
      <c r="P424" s="871">
        <f>IFERROR(INDEX(Dataset!$A:$V,MATCH(Calculations!P$250&amp;Calculations!$X424,Dataset!$V:$V,0),MATCH(Calculations!$A$1,Dataset!$A$1:$V$1,0)),"")</f>
        <v>-2.2452720224933016E-2</v>
      </c>
      <c r="Q424" s="869">
        <f>IFERROR(INDEX(Dataset!$A:$V,MATCH(Calculations!Q$250&amp;Calculations!$X424,Dataset!$V:$V,0),MATCH(Calculations!$A$1,Dataset!$A$1:$V$1,0)),"")</f>
        <v>5.0353192354895777E-2</v>
      </c>
      <c r="R424" s="869">
        <f>IFERROR(INDEX(Dataset!$A:$V,MATCH(Calculations!R$250&amp;Calculations!$X424,Dataset!$V:$V,0),MATCH(Calculations!$A$1,Dataset!$A$1:$V$1,0)),"")</f>
        <v>1.2310198310210305E-2</v>
      </c>
      <c r="S424" s="869">
        <f>IFERROR(INDEX(Dataset!$A:$V,MATCH(Calculations!S$250&amp;Calculations!$X424,Dataset!$V:$V,0),MATCH(Calculations!$A$1,Dataset!$A$1:$V$1,0)),"")</f>
        <v>-0.36457742856583353</v>
      </c>
      <c r="T424" s="869" t="str">
        <f>IFERROR(INDEX(Dataset!$A:$V,MATCH(Calculations!T$250&amp;Calculations!$X424,Dataset!$V:$V,0),MATCH(Calculations!$A$1,Dataset!$A$1:$V$1,0)),"")</f>
        <v/>
      </c>
      <c r="X424" t="s">
        <v>1207</v>
      </c>
    </row>
    <row r="426" spans="1:24">
      <c r="A426" s="1" t="s">
        <v>90</v>
      </c>
    </row>
    <row r="427" spans="1:24">
      <c r="A427" s="869" t="s">
        <v>1080</v>
      </c>
      <c r="B427" s="869"/>
      <c r="C427" s="869"/>
      <c r="D427" s="869"/>
      <c r="E427" s="869"/>
      <c r="F427" s="869"/>
      <c r="G427" s="869"/>
      <c r="H427" s="869"/>
      <c r="I427" s="869"/>
      <c r="J427" s="869"/>
      <c r="K427" s="869"/>
      <c r="L427" s="869"/>
      <c r="M427" s="869">
        <f>IFERROR(INDEX(Dataset!$A:$V,MATCH(Calculations!M$250&amp;Calculations!$X427,Dataset!$V:$V,0),MATCH(Calculations!$A$1,Dataset!$A$1:$V$1,0)),"")</f>
        <v>0.71177100668601012</v>
      </c>
      <c r="N427" s="869">
        <f>IFERROR(INDEX(Dataset!$A:$V,MATCH(Calculations!N$250&amp;Calculations!$X427,Dataset!$V:$V,0),MATCH(Calculations!$A$1,Dataset!$A$1:$V$1,0)),"")</f>
        <v>0.712832668815367</v>
      </c>
      <c r="O427" s="869">
        <f>IFERROR(INDEX(Dataset!$A:$V,MATCH(Calculations!O$250&amp;Calculations!$X427,Dataset!$V:$V,0),MATCH(Calculations!$A$1,Dataset!$A$1:$V$1,0)),"")</f>
        <v>0.71094590548336034</v>
      </c>
      <c r="P427" s="869">
        <f>IFERROR(INDEX(Dataset!$A:$V,MATCH(Calculations!P$250&amp;Calculations!$X427,Dataset!$V:$V,0),MATCH(Calculations!$A$1,Dataset!$A$1:$V$1,0)),"")</f>
        <v>0.71186643377270464</v>
      </c>
      <c r="Q427" s="869">
        <f>IFERROR(INDEX(Dataset!$A:$V,MATCH(Calculations!Q$250&amp;Calculations!$X427,Dataset!$V:$V,0),MATCH(Calculations!$A$1,Dataset!$A$1:$V$1,0)),"")</f>
        <v>0.71405287828654995</v>
      </c>
      <c r="R427" s="869">
        <f>IFERROR(INDEX(Dataset!$A:$V,MATCH(Calculations!R$250&amp;Calculations!$X427,Dataset!$V:$V,0),MATCH(Calculations!$A$1,Dataset!$A$1:$V$1,0)),"")</f>
        <v>0.71539749434455624</v>
      </c>
      <c r="S427" s="869">
        <f>IFERROR(INDEX(Dataset!$A:$V,MATCH(Calculations!S$250&amp;Calculations!$X427,Dataset!$V:$V,0),MATCH(Calculations!$A$1,Dataset!$A$1:$V$1,0)),"")</f>
        <v>0.71731092119248641</v>
      </c>
      <c r="T427" s="869">
        <f>IFERROR(INDEX(Dataset!$A:$V,MATCH(Calculations!T$250&amp;Calculations!$X427,Dataset!$V:$V,0),MATCH(Calculations!$A$1,Dataset!$A$1:$V$1,0)),"")</f>
        <v>0.72061853292863154</v>
      </c>
      <c r="X427" t="s">
        <v>1208</v>
      </c>
    </row>
    <row r="428" spans="1:24">
      <c r="A428" s="869" t="s">
        <v>1082</v>
      </c>
      <c r="B428" s="869"/>
      <c r="C428" s="869"/>
      <c r="D428" s="869"/>
      <c r="E428" s="869"/>
      <c r="F428" s="869"/>
      <c r="G428" s="869"/>
      <c r="H428" s="869"/>
      <c r="I428" s="869"/>
      <c r="J428" s="869"/>
      <c r="K428" s="869"/>
      <c r="L428" s="869"/>
      <c r="M428" s="869">
        <f>IFERROR(INDEX(Dataset!$A:$V,MATCH(Calculations!M$250&amp;Calculations!$X428,Dataset!$V:$V,0),MATCH(Calculations!$A$1,Dataset!$A$1:$V$1,0)),"")</f>
        <v>0.71177100668601012</v>
      </c>
      <c r="N428" s="869">
        <f>IFERROR(INDEX(Dataset!$A:$V,MATCH(Calculations!N$250&amp;Calculations!$X428,Dataset!$V:$V,0),MATCH(Calculations!$A$1,Dataset!$A$1:$V$1,0)),"")</f>
        <v>0.712832668815367</v>
      </c>
      <c r="O428" s="869">
        <f>IFERROR(INDEX(Dataset!$A:$V,MATCH(Calculations!O$250&amp;Calculations!$X428,Dataset!$V:$V,0),MATCH(Calculations!$A$1,Dataset!$A$1:$V$1,0)),"")</f>
        <v>0.71094590548336034</v>
      </c>
      <c r="P428" s="869">
        <f>IFERROR(INDEX(Dataset!$A:$V,MATCH(Calculations!P$250&amp;Calculations!$X428,Dataset!$V:$V,0),MATCH(Calculations!$A$1,Dataset!$A$1:$V$1,0)),"")</f>
        <v>0.71186643377270464</v>
      </c>
      <c r="Q428" s="869">
        <f>IFERROR(INDEX(Dataset!$A:$V,MATCH(Calculations!Q$250&amp;Calculations!$X428,Dataset!$V:$V,0),MATCH(Calculations!$A$1,Dataset!$A$1:$V$1,0)),"")</f>
        <v>0.71405287828654995</v>
      </c>
      <c r="R428" s="869">
        <f>IFERROR(INDEX(Dataset!$A:$V,MATCH(Calculations!R$250&amp;Calculations!$X428,Dataset!$V:$V,0),MATCH(Calculations!$A$1,Dataset!$A$1:$V$1,0)),"")</f>
        <v>0.71539749434455624</v>
      </c>
      <c r="S428" s="869">
        <f>IFERROR(INDEX(Dataset!$A:$V,MATCH(Calculations!S$250&amp;Calculations!$X428,Dataset!$V:$V,0),MATCH(Calculations!$A$1,Dataset!$A$1:$V$1,0)),"")</f>
        <v>0.71731092119248641</v>
      </c>
      <c r="T428" s="869">
        <f>IFERROR(INDEX(Dataset!$A:$V,MATCH(Calculations!T$250&amp;Calculations!$X428,Dataset!$V:$V,0),MATCH(Calculations!$A$1,Dataset!$A$1:$V$1,0)),"")</f>
        <v>0.72061853292863154</v>
      </c>
      <c r="X428" t="s">
        <v>1209</v>
      </c>
    </row>
    <row r="429" spans="1:24">
      <c r="A429" s="869" t="s">
        <v>1084</v>
      </c>
      <c r="B429" s="869"/>
      <c r="C429" s="869"/>
      <c r="D429" s="869"/>
      <c r="E429" s="869"/>
      <c r="F429" s="869"/>
      <c r="G429" s="869"/>
      <c r="H429" s="869"/>
      <c r="I429" s="869"/>
      <c r="J429" s="869"/>
      <c r="K429" s="869"/>
      <c r="L429" s="869"/>
      <c r="M429" s="869">
        <f>IFERROR(INDEX(Dataset!$A:$V,MATCH(Calculations!M$250&amp;Calculations!$X429,Dataset!$V:$V,0),MATCH(Calculations!$A$1,Dataset!$A$1:$V$1,0)),"")</f>
        <v>0.77479760863113034</v>
      </c>
      <c r="N429" s="869">
        <f>IFERROR(INDEX(Dataset!$A:$V,MATCH(Calculations!N$250&amp;Calculations!$X429,Dataset!$V:$V,0),MATCH(Calculations!$A$1,Dataset!$A$1:$V$1,0)),"")</f>
        <v>1.9644643385460692</v>
      </c>
      <c r="O429" s="869">
        <f>IFERROR(INDEX(Dataset!$A:$V,MATCH(Calculations!O$250&amp;Calculations!$X429,Dataset!$V:$V,0),MATCH(Calculations!$A$1,Dataset!$A$1:$V$1,0)),"")</f>
        <v>0.78324870865889673</v>
      </c>
      <c r="P429" s="869">
        <f>IFERROR(INDEX(Dataset!$A:$V,MATCH(Calculations!P$250&amp;Calculations!$X429,Dataset!$V:$V,0),MATCH(Calculations!$A$1,Dataset!$A$1:$V$1,0)),"")</f>
        <v>1.5343291611955894</v>
      </c>
      <c r="Q429" s="869">
        <f>IFERROR(INDEX(Dataset!$A:$V,MATCH(Calculations!Q$250&amp;Calculations!$X429,Dataset!$V:$V,0),MATCH(Calculations!$A$1,Dataset!$A$1:$V$1,0)),"")</f>
        <v>0.97316500024084618</v>
      </c>
      <c r="R429" s="869">
        <f>IFERROR(INDEX(Dataset!$A:$V,MATCH(Calculations!R$250&amp;Calculations!$X429,Dataset!$V:$V,0),MATCH(Calculations!$A$1,Dataset!$A$1:$V$1,0)),"")</f>
        <v>1.532693816777545</v>
      </c>
      <c r="S429" s="869">
        <f>IFERROR(INDEX(Dataset!$A:$V,MATCH(Calculations!S$250&amp;Calculations!$X429,Dataset!$V:$V,0),MATCH(Calculations!$A$1,Dataset!$A$1:$V$1,0)),"")</f>
        <v>1.7099</v>
      </c>
      <c r="T429" s="869" t="str">
        <f>IFERROR(INDEX(Dataset!$A:$V,MATCH(Calculations!T$250&amp;Calculations!$X429,Dataset!$V:$V,0),MATCH(Calculations!$A$1,Dataset!$A$1:$V$1,0)),"")</f>
        <v/>
      </c>
      <c r="X429" t="s">
        <v>1210</v>
      </c>
    </row>
    <row r="430" spans="1:24">
      <c r="A430" s="869" t="s">
        <v>1086</v>
      </c>
      <c r="B430" s="869"/>
      <c r="C430" s="869"/>
      <c r="D430" s="869"/>
      <c r="E430" s="869"/>
      <c r="F430" s="869"/>
      <c r="G430" s="869"/>
      <c r="H430" s="869"/>
      <c r="I430" s="869"/>
      <c r="J430" s="869"/>
      <c r="K430" s="869"/>
      <c r="L430" s="869"/>
      <c r="M430" s="869">
        <f>IFERROR(INDEX(Dataset!$A:$V,MATCH(Calculations!M$250&amp;Calculations!$X430,Dataset!$V:$V,0),MATCH(Calculations!$A$1,Dataset!$A$1:$V$1,0)),"")</f>
        <v>6.302660194512022E-2</v>
      </c>
      <c r="N430" s="869">
        <f>IFERROR(INDEX(Dataset!$A:$V,MATCH(Calculations!N$250&amp;Calculations!$X430,Dataset!$V:$V,0),MATCH(Calculations!$A$1,Dataset!$A$1:$V$1,0)),"")</f>
        <v>1.2516316697307022</v>
      </c>
      <c r="O430" s="869">
        <f>IFERROR(INDEX(Dataset!$A:$V,MATCH(Calculations!O$250&amp;Calculations!$X430,Dataset!$V:$V,0),MATCH(Calculations!$A$1,Dataset!$A$1:$V$1,0)),"")</f>
        <v>7.230280317553639E-2</v>
      </c>
      <c r="P430" s="869">
        <f>IFERROR(INDEX(Dataset!$A:$V,MATCH(Calculations!P$250&amp;Calculations!$X430,Dataset!$V:$V,0),MATCH(Calculations!$A$1,Dataset!$A$1:$V$1,0)),"")</f>
        <v>0.82246272742288473</v>
      </c>
      <c r="Q430" s="869">
        <f>IFERROR(INDEX(Dataset!$A:$V,MATCH(Calculations!Q$250&amp;Calculations!$X430,Dataset!$V:$V,0),MATCH(Calculations!$A$1,Dataset!$A$1:$V$1,0)),"")</f>
        <v>0.25911212195429623</v>
      </c>
      <c r="R430" s="869">
        <f>IFERROR(INDEX(Dataset!$A:$V,MATCH(Calculations!R$250&amp;Calculations!$X430,Dataset!$V:$V,0),MATCH(Calculations!$A$1,Dataset!$A$1:$V$1,0)),"")</f>
        <v>0.81729632243298878</v>
      </c>
      <c r="S430" s="869">
        <f>IFERROR(INDEX(Dataset!$A:$V,MATCH(Calculations!S$250&amp;Calculations!$X430,Dataset!$V:$V,0),MATCH(Calculations!$A$1,Dataset!$A$1:$V$1,0)),"")</f>
        <v>0.99258907880751357</v>
      </c>
      <c r="T430" s="869" t="str">
        <f>IFERROR(INDEX(Dataset!$A:$V,MATCH(Calculations!T$250&amp;Calculations!$X430,Dataset!$V:$V,0),MATCH(Calculations!$A$1,Dataset!$A$1:$V$1,0)),"")</f>
        <v/>
      </c>
      <c r="X430" t="s">
        <v>1211</v>
      </c>
    </row>
    <row r="431" spans="1:24">
      <c r="A431" s="869" t="s">
        <v>1088</v>
      </c>
      <c r="B431" s="869"/>
      <c r="C431" s="869"/>
      <c r="D431" s="869"/>
      <c r="E431" s="869"/>
      <c r="F431" s="869"/>
      <c r="G431" s="869"/>
      <c r="H431" s="869"/>
      <c r="I431" s="869"/>
      <c r="J431" s="869"/>
      <c r="K431" s="869"/>
      <c r="L431" s="869"/>
      <c r="M431" s="871">
        <f>IFERROR(INDEX(Dataset!$A:$V,MATCH(Calculations!M$250&amp;Calculations!$X431,Dataset!$V:$V,0),MATCH(Calculations!$A$1,Dataset!$A$1:$V$1,0)),"")</f>
        <v>8.8548987459563244E-2</v>
      </c>
      <c r="N431" s="871">
        <f>IFERROR(INDEX(Dataset!$A:$V,MATCH(Calculations!N$250&amp;Calculations!$X431,Dataset!$V:$V,0),MATCH(Calculations!$A$1,Dataset!$A$1:$V$1,0)),"")</f>
        <v>1.7558562121047951</v>
      </c>
      <c r="O431" s="871">
        <f>IFERROR(INDEX(Dataset!$A:$V,MATCH(Calculations!O$250&amp;Calculations!$X431,Dataset!$V:$V,0),MATCH(Calculations!$A$1,Dataset!$A$1:$V$1,0)),"")</f>
        <v>0.10169944382249295</v>
      </c>
      <c r="P431" s="871">
        <f>IFERROR(INDEX(Dataset!$A:$V,MATCH(Calculations!P$250&amp;Calculations!$X431,Dataset!$V:$V,0),MATCH(Calculations!$A$1,Dataset!$A$1:$V$1,0)),"")</f>
        <v>1.1553610177460523</v>
      </c>
      <c r="Q431" s="871">
        <f>IFERROR(INDEX(Dataset!$A:$V,MATCH(Calculations!Q$250&amp;Calculations!$X431,Dataset!$V:$V,0),MATCH(Calculations!$A$1,Dataset!$A$1:$V$1,0)),"")</f>
        <v>0.36287525732837161</v>
      </c>
      <c r="R431" s="871">
        <f>IFERROR(INDEX(Dataset!$A:$V,MATCH(Calculations!R$250&amp;Calculations!$X431,Dataset!$V:$V,0),MATCH(Calculations!$A$1,Dataset!$A$1:$V$1,0)),"")</f>
        <v>1.1424366577937091</v>
      </c>
      <c r="S431" s="871">
        <f>IFERROR(INDEX(Dataset!$A:$V,MATCH(Calculations!S$250&amp;Calculations!$X431,Dataset!$V:$V,0),MATCH(Calculations!$A$1,Dataset!$A$1:$V$1,0)),"")</f>
        <v>1.3837640686655011</v>
      </c>
      <c r="T431" s="871" t="str">
        <f>IFERROR(INDEX(Dataset!$A:$V,MATCH(Calculations!T$250&amp;Calculations!$X431,Dataset!$V:$V,0),MATCH(Calculations!$A$1,Dataset!$A$1:$V$1,0)),"")</f>
        <v/>
      </c>
      <c r="X431" t="s">
        <v>1212</v>
      </c>
    </row>
    <row r="433" spans="1:24">
      <c r="A433" s="1" t="s">
        <v>92</v>
      </c>
    </row>
    <row r="434" spans="1:24">
      <c r="A434" s="869" t="s">
        <v>1080</v>
      </c>
      <c r="B434" s="869"/>
      <c r="C434" s="869"/>
      <c r="D434" s="869"/>
      <c r="E434" s="869"/>
      <c r="F434" s="869"/>
      <c r="G434" s="869"/>
      <c r="H434" s="869"/>
      <c r="I434" s="869"/>
      <c r="J434" s="869"/>
      <c r="K434" s="869"/>
      <c r="L434" s="869"/>
      <c r="M434" s="869">
        <f>IFERROR(INDEX(Dataset!$A:$V,MATCH(Calculations!M$250&amp;Calculations!$X434,Dataset!$V:$V,0),MATCH(Calculations!$A$1,Dataset!$A$1:$V$1,0)),"")</f>
        <v>29.992407913365064</v>
      </c>
      <c r="N434" s="869">
        <f>IFERROR(INDEX(Dataset!$A:$V,MATCH(Calculations!N$250&amp;Calculations!$X434,Dataset!$V:$V,0),MATCH(Calculations!$A$1,Dataset!$A$1:$V$1,0)),"")</f>
        <v>29.955808035286672</v>
      </c>
      <c r="O434" s="869">
        <f>IFERROR(INDEX(Dataset!$A:$V,MATCH(Calculations!O$250&amp;Calculations!$X434,Dataset!$V:$V,0),MATCH(Calculations!$A$1,Dataset!$A$1:$V$1,0)),"")</f>
        <v>29.843044109639361</v>
      </c>
      <c r="P434" s="869">
        <f>IFERROR(INDEX(Dataset!$A:$V,MATCH(Calculations!P$250&amp;Calculations!$X434,Dataset!$V:$V,0),MATCH(Calculations!$A$1,Dataset!$A$1:$V$1,0)),"")</f>
        <v>29.880975499256319</v>
      </c>
      <c r="Q434" s="869">
        <f>IFERROR(INDEX(Dataset!$A:$V,MATCH(Calculations!Q$250&amp;Calculations!$X434,Dataset!$V:$V,0),MATCH(Calculations!$A$1,Dataset!$A$1:$V$1,0)),"")</f>
        <v>29.915376681530972</v>
      </c>
      <c r="R434" s="869">
        <f>IFERROR(INDEX(Dataset!$A:$V,MATCH(Calculations!R$250&amp;Calculations!$X434,Dataset!$V:$V,0),MATCH(Calculations!$A$1,Dataset!$A$1:$V$1,0)),"")</f>
        <v>29.963449087984149</v>
      </c>
      <c r="S434" s="869">
        <f>IFERROR(INDEX(Dataset!$A:$V,MATCH(Calculations!S$250&amp;Calculations!$X434,Dataset!$V:$V,0),MATCH(Calculations!$A$1,Dataset!$A$1:$V$1,0)),"")</f>
        <v>29.996250976910179</v>
      </c>
      <c r="T434" s="869">
        <f>IFERROR(INDEX(Dataset!$A:$V,MATCH(Calculations!T$250&amp;Calculations!$X434,Dataset!$V:$V,0),MATCH(Calculations!$A$1,Dataset!$A$1:$V$1,0)),"")</f>
        <v>30.017792547535915</v>
      </c>
      <c r="X434" t="s">
        <v>1213</v>
      </c>
    </row>
    <row r="435" spans="1:24">
      <c r="A435" s="869" t="s">
        <v>1082</v>
      </c>
      <c r="B435" s="869"/>
      <c r="C435" s="869"/>
      <c r="D435" s="869"/>
      <c r="E435" s="869"/>
      <c r="F435" s="869"/>
      <c r="G435" s="869"/>
      <c r="H435" s="869"/>
      <c r="I435" s="869"/>
      <c r="J435" s="869"/>
      <c r="K435" s="869"/>
      <c r="L435" s="869"/>
      <c r="M435" s="869">
        <f>IFERROR(INDEX(Dataset!$A:$V,MATCH(Calculations!M$250&amp;Calculations!$X435,Dataset!$V:$V,0),MATCH(Calculations!$A$1,Dataset!$A$1:$V$1,0)),"")</f>
        <v>29.992407913365064</v>
      </c>
      <c r="N435" s="869">
        <f>IFERROR(INDEX(Dataset!$A:$V,MATCH(Calculations!N$250&amp;Calculations!$X435,Dataset!$V:$V,0),MATCH(Calculations!$A$1,Dataset!$A$1:$V$1,0)),"")</f>
        <v>29.955808035286672</v>
      </c>
      <c r="O435" s="869">
        <f>IFERROR(INDEX(Dataset!$A:$V,MATCH(Calculations!O$250&amp;Calculations!$X435,Dataset!$V:$V,0),MATCH(Calculations!$A$1,Dataset!$A$1:$V$1,0)),"")</f>
        <v>29.843044109639361</v>
      </c>
      <c r="P435" s="869">
        <f>IFERROR(INDEX(Dataset!$A:$V,MATCH(Calculations!P$250&amp;Calculations!$X435,Dataset!$V:$V,0),MATCH(Calculations!$A$1,Dataset!$A$1:$V$1,0)),"")</f>
        <v>29.880975499256319</v>
      </c>
      <c r="Q435" s="869">
        <f>IFERROR(INDEX(Dataset!$A:$V,MATCH(Calculations!Q$250&amp;Calculations!$X435,Dataset!$V:$V,0),MATCH(Calculations!$A$1,Dataset!$A$1:$V$1,0)),"")</f>
        <v>29.915376681530972</v>
      </c>
      <c r="R435" s="869">
        <f>IFERROR(INDEX(Dataset!$A:$V,MATCH(Calculations!R$250&amp;Calculations!$X435,Dataset!$V:$V,0),MATCH(Calculations!$A$1,Dataset!$A$1:$V$1,0)),"")</f>
        <v>29.963449087984149</v>
      </c>
      <c r="S435" s="869">
        <f>IFERROR(INDEX(Dataset!$A:$V,MATCH(Calculations!S$250&amp;Calculations!$X435,Dataset!$V:$V,0),MATCH(Calculations!$A$1,Dataset!$A$1:$V$1,0)),"")</f>
        <v>29.996250976910179</v>
      </c>
      <c r="T435" s="869">
        <f>IFERROR(INDEX(Dataset!$A:$V,MATCH(Calculations!T$250&amp;Calculations!$X435,Dataset!$V:$V,0),MATCH(Calculations!$A$1,Dataset!$A$1:$V$1,0)),"")</f>
        <v>30.017792547535915</v>
      </c>
      <c r="X435" t="s">
        <v>1214</v>
      </c>
    </row>
    <row r="436" spans="1:24">
      <c r="A436" s="869" t="s">
        <v>1084</v>
      </c>
      <c r="B436" s="869"/>
      <c r="C436" s="869"/>
      <c r="D436" s="869"/>
      <c r="E436" s="869"/>
      <c r="F436" s="869"/>
      <c r="G436" s="869"/>
      <c r="H436" s="869"/>
      <c r="I436" s="869"/>
      <c r="J436" s="869"/>
      <c r="K436" s="869"/>
      <c r="L436" s="869"/>
      <c r="M436" s="869">
        <f>IFERROR(INDEX(Dataset!$A:$V,MATCH(Calculations!M$250&amp;Calculations!$X436,Dataset!$V:$V,0),MATCH(Calculations!$A$1,Dataset!$A$1:$V$1,0)),"")</f>
        <v>47.706423654662281</v>
      </c>
      <c r="N436" s="869">
        <f>IFERROR(INDEX(Dataset!$A:$V,MATCH(Calculations!N$250&amp;Calculations!$X436,Dataset!$V:$V,0),MATCH(Calculations!$A$1,Dataset!$A$1:$V$1,0)),"")</f>
        <v>39.184781495290423</v>
      </c>
      <c r="O436" s="869">
        <f>IFERROR(INDEX(Dataset!$A:$V,MATCH(Calculations!O$250&amp;Calculations!$X436,Dataset!$V:$V,0),MATCH(Calculations!$A$1,Dataset!$A$1:$V$1,0)),"")</f>
        <v>33.85400126587804</v>
      </c>
      <c r="P436" s="869">
        <f>IFERROR(INDEX(Dataset!$A:$V,MATCH(Calculations!P$250&amp;Calculations!$X436,Dataset!$V:$V,0),MATCH(Calculations!$A$1,Dataset!$A$1:$V$1,0)),"")</f>
        <v>31.378514055374364</v>
      </c>
      <c r="Q436" s="869">
        <f>IFERROR(INDEX(Dataset!$A:$V,MATCH(Calculations!Q$250&amp;Calculations!$X436,Dataset!$V:$V,0),MATCH(Calculations!$A$1,Dataset!$A$1:$V$1,0)),"")</f>
        <v>31.794339028770793</v>
      </c>
      <c r="R436" s="869">
        <f>IFERROR(INDEX(Dataset!$A:$V,MATCH(Calculations!R$250&amp;Calculations!$X436,Dataset!$V:$V,0),MATCH(Calculations!$A$1,Dataset!$A$1:$V$1,0)),"")</f>
        <v>31.729617958506573</v>
      </c>
      <c r="S436" s="869">
        <f>IFERROR(INDEX(Dataset!$A:$V,MATCH(Calculations!S$250&amp;Calculations!$X436,Dataset!$V:$V,0),MATCH(Calculations!$A$1,Dataset!$A$1:$V$1,0)),"")</f>
        <v>32.742699999999999</v>
      </c>
      <c r="T436" s="869" t="str">
        <f>IFERROR(INDEX(Dataset!$A:$V,MATCH(Calculations!T$250&amp;Calculations!$X436,Dataset!$V:$V,0),MATCH(Calculations!$A$1,Dataset!$A$1:$V$1,0)),"")</f>
        <v/>
      </c>
      <c r="X436" t="s">
        <v>1215</v>
      </c>
    </row>
    <row r="437" spans="1:24">
      <c r="A437" s="869" t="s">
        <v>1086</v>
      </c>
      <c r="B437" s="869"/>
      <c r="C437" s="869"/>
      <c r="D437" s="869"/>
      <c r="E437" s="869"/>
      <c r="F437" s="869"/>
      <c r="G437" s="869"/>
      <c r="H437" s="869"/>
      <c r="I437" s="869"/>
      <c r="J437" s="869"/>
      <c r="K437" s="869"/>
      <c r="L437" s="869"/>
      <c r="M437" s="869">
        <f>IFERROR(INDEX(Dataset!$A:$V,MATCH(Calculations!M$250&amp;Calculations!$X437,Dataset!$V:$V,0),MATCH(Calculations!$A$1,Dataset!$A$1:$V$1,0)),"")</f>
        <v>17.714015741297217</v>
      </c>
      <c r="N437" s="869">
        <f>IFERROR(INDEX(Dataset!$A:$V,MATCH(Calculations!N$250&amp;Calculations!$X437,Dataset!$V:$V,0),MATCH(Calculations!$A$1,Dataset!$A$1:$V$1,0)),"")</f>
        <v>9.2289734600037505</v>
      </c>
      <c r="O437" s="869">
        <f>IFERROR(INDEX(Dataset!$A:$V,MATCH(Calculations!O$250&amp;Calculations!$X437,Dataset!$V:$V,0),MATCH(Calculations!$A$1,Dataset!$A$1:$V$1,0)),"")</f>
        <v>4.0109571562386783</v>
      </c>
      <c r="P437" s="869">
        <f>IFERROR(INDEX(Dataset!$A:$V,MATCH(Calculations!P$250&amp;Calculations!$X437,Dataset!$V:$V,0),MATCH(Calculations!$A$1,Dataset!$A$1:$V$1,0)),"")</f>
        <v>1.4975385561180445</v>
      </c>
      <c r="Q437" s="869">
        <f>IFERROR(INDEX(Dataset!$A:$V,MATCH(Calculations!Q$250&amp;Calculations!$X437,Dataset!$V:$V,0),MATCH(Calculations!$A$1,Dataset!$A$1:$V$1,0)),"")</f>
        <v>1.8789623472398205</v>
      </c>
      <c r="R437" s="869">
        <f>IFERROR(INDEX(Dataset!$A:$V,MATCH(Calculations!R$250&amp;Calculations!$X437,Dataset!$V:$V,0),MATCH(Calculations!$A$1,Dataset!$A$1:$V$1,0)),"")</f>
        <v>1.7661688705224243</v>
      </c>
      <c r="S437" s="869">
        <f>IFERROR(INDEX(Dataset!$A:$V,MATCH(Calculations!S$250&amp;Calculations!$X437,Dataset!$V:$V,0),MATCH(Calculations!$A$1,Dataset!$A$1:$V$1,0)),"")</f>
        <v>2.74644902308982</v>
      </c>
      <c r="T437" s="869" t="str">
        <f>IFERROR(INDEX(Dataset!$A:$V,MATCH(Calculations!T$250&amp;Calculations!$X437,Dataset!$V:$V,0),MATCH(Calculations!$A$1,Dataset!$A$1:$V$1,0)),"")</f>
        <v/>
      </c>
      <c r="X437" t="s">
        <v>1216</v>
      </c>
    </row>
    <row r="438" spans="1:24">
      <c r="A438" s="869" t="s">
        <v>1088</v>
      </c>
      <c r="B438" s="869"/>
      <c r="C438" s="869"/>
      <c r="D438" s="869"/>
      <c r="E438" s="869"/>
      <c r="F438" s="869"/>
      <c r="G438" s="869"/>
      <c r="H438" s="869"/>
      <c r="I438" s="869"/>
      <c r="J438" s="869"/>
      <c r="K438" s="869"/>
      <c r="L438" s="869"/>
      <c r="M438" s="871">
        <f>IFERROR(INDEX(Dataset!$A:$V,MATCH(Calculations!M$250&amp;Calculations!$X438,Dataset!$V:$V,0),MATCH(Calculations!$A$1,Dataset!$A$1:$V$1,0)),"")</f>
        <v>0.59061665847121225</v>
      </c>
      <c r="N438" s="871">
        <f>IFERROR(INDEX(Dataset!$A:$V,MATCH(Calculations!N$250&amp;Calculations!$X438,Dataset!$V:$V,0),MATCH(Calculations!$A$1,Dataset!$A$1:$V$1,0)),"")</f>
        <v>0.30808627993384158</v>
      </c>
      <c r="O438" s="871">
        <f>IFERROR(INDEX(Dataset!$A:$V,MATCH(Calculations!O$250&amp;Calculations!$X438,Dataset!$V:$V,0),MATCH(Calculations!$A$1,Dataset!$A$1:$V$1,0)),"")</f>
        <v>0.1344017433845876</v>
      </c>
      <c r="P438" s="871">
        <f>IFERROR(INDEX(Dataset!$A:$V,MATCH(Calculations!P$250&amp;Calculations!$X438,Dataset!$V:$V,0),MATCH(Calculations!$A$1,Dataset!$A$1:$V$1,0)),"")</f>
        <v>5.011678939850258E-2</v>
      </c>
      <c r="Q438" s="871">
        <f>IFERROR(INDEX(Dataset!$A:$V,MATCH(Calculations!Q$250&amp;Calculations!$X438,Dataset!$V:$V,0),MATCH(Calculations!$A$1,Dataset!$A$1:$V$1,0)),"")</f>
        <v>6.2809249144432339E-2</v>
      </c>
      <c r="R438" s="871">
        <f>IFERROR(INDEX(Dataset!$A:$V,MATCH(Calculations!R$250&amp;Calculations!$X438,Dataset!$V:$V,0),MATCH(Calculations!$A$1,Dataset!$A$1:$V$1,0)),"")</f>
        <v>5.8944111051310442E-2</v>
      </c>
      <c r="S438" s="871">
        <f>IFERROR(INDEX(Dataset!$A:$V,MATCH(Calculations!S$250&amp;Calculations!$X438,Dataset!$V:$V,0),MATCH(Calculations!$A$1,Dataset!$A$1:$V$1,0)),"")</f>
        <v>9.1559742755983678E-2</v>
      </c>
      <c r="T438" s="871" t="str">
        <f>IFERROR(INDEX(Dataset!$A:$V,MATCH(Calculations!T$250&amp;Calculations!$X438,Dataset!$V:$V,0),MATCH(Calculations!$A$1,Dataset!$A$1:$V$1,0)),"")</f>
        <v/>
      </c>
      <c r="X438" t="s">
        <v>1217</v>
      </c>
    </row>
    <row r="440" spans="1:24">
      <c r="A440" s="1" t="s">
        <v>93</v>
      </c>
    </row>
    <row r="441" spans="1:24">
      <c r="A441" s="869" t="s">
        <v>1080</v>
      </c>
      <c r="B441" s="869"/>
      <c r="C441" s="869"/>
      <c r="D441" s="869"/>
      <c r="E441" s="869"/>
      <c r="F441" s="869"/>
      <c r="G441" s="869"/>
      <c r="H441" s="869"/>
      <c r="I441" s="869"/>
      <c r="J441" s="869"/>
      <c r="K441" s="869"/>
      <c r="L441" s="869"/>
      <c r="M441" s="869">
        <f>IFERROR(INDEX(Dataset!$A:$V,MATCH(Calculations!M$250&amp;Calculations!$X441,Dataset!$V:$V,0),MATCH(Calculations!$A$1,Dataset!$A$1:$V$1,0)),"")</f>
        <v>2.0627457205624826</v>
      </c>
      <c r="N441" s="869">
        <f>IFERROR(INDEX(Dataset!$A:$V,MATCH(Calculations!N$250&amp;Calculations!$X441,Dataset!$V:$V,0),MATCH(Calculations!$A$1,Dataset!$A$1:$V$1,0)),"")</f>
        <v>2.0885083675390046</v>
      </c>
      <c r="O441" s="869">
        <f>IFERROR(INDEX(Dataset!$A:$V,MATCH(Calculations!O$250&amp;Calculations!$X441,Dataset!$V:$V,0),MATCH(Calculations!$A$1,Dataset!$A$1:$V$1,0)),"")</f>
        <v>2.108970731831084</v>
      </c>
      <c r="P441" s="869">
        <f>IFERROR(INDEX(Dataset!$A:$V,MATCH(Calculations!P$250&amp;Calculations!$X441,Dataset!$V:$V,0),MATCH(Calculations!$A$1,Dataset!$A$1:$V$1,0)),"")</f>
        <v>2.1416115553781969</v>
      </c>
      <c r="Q441" s="869">
        <f>IFERROR(INDEX(Dataset!$A:$V,MATCH(Calculations!Q$250&amp;Calculations!$X441,Dataset!$V:$V,0),MATCH(Calculations!$A$1,Dataset!$A$1:$V$1,0)),"")</f>
        <v>2.174814964122032</v>
      </c>
      <c r="R441" s="869">
        <f>IFERROR(INDEX(Dataset!$A:$V,MATCH(Calculations!R$250&amp;Calculations!$X441,Dataset!$V:$V,0),MATCH(Calculations!$A$1,Dataset!$A$1:$V$1,0)),"")</f>
        <v>2.2086084781434665</v>
      </c>
      <c r="S441" s="869">
        <f>IFERROR(INDEX(Dataset!$A:$V,MATCH(Calculations!S$250&amp;Calculations!$X441,Dataset!$V:$V,0),MATCH(Calculations!$A$1,Dataset!$A$1:$V$1,0)),"")</f>
        <v>2.2430856655543563</v>
      </c>
      <c r="T441" s="869">
        <f>IFERROR(INDEX(Dataset!$A:$V,MATCH(Calculations!T$250&amp;Calculations!$X441,Dataset!$V:$V,0),MATCH(Calculations!$A$1,Dataset!$A$1:$V$1,0)),"")</f>
        <v>2.2783258626676997</v>
      </c>
      <c r="X441" t="s">
        <v>1218</v>
      </c>
    </row>
    <row r="442" spans="1:24">
      <c r="A442" s="869" t="s">
        <v>1082</v>
      </c>
      <c r="B442" s="869"/>
      <c r="C442" s="869"/>
      <c r="D442" s="869"/>
      <c r="E442" s="869"/>
      <c r="F442" s="869"/>
      <c r="G442" s="869"/>
      <c r="H442" s="869"/>
      <c r="I442" s="869"/>
      <c r="J442" s="869"/>
      <c r="K442" s="869"/>
      <c r="L442" s="869"/>
      <c r="M442" s="869">
        <f>IFERROR(INDEX(Dataset!$A:$V,MATCH(Calculations!M$250&amp;Calculations!$X442,Dataset!$V:$V,0),MATCH(Calculations!$A$1,Dataset!$A$1:$V$1,0)),"")</f>
        <v>2.0627457205624826</v>
      </c>
      <c r="N442" s="869">
        <f>IFERROR(INDEX(Dataset!$A:$V,MATCH(Calculations!N$250&amp;Calculations!$X442,Dataset!$V:$V,0),MATCH(Calculations!$A$1,Dataset!$A$1:$V$1,0)),"")</f>
        <v>2.0885083675390046</v>
      </c>
      <c r="O442" s="869">
        <f>IFERROR(INDEX(Dataset!$A:$V,MATCH(Calculations!O$250&amp;Calculations!$X442,Dataset!$V:$V,0),MATCH(Calculations!$A$1,Dataset!$A$1:$V$1,0)),"")</f>
        <v>2.108970731831084</v>
      </c>
      <c r="P442" s="869">
        <f>IFERROR(INDEX(Dataset!$A:$V,MATCH(Calculations!P$250&amp;Calculations!$X442,Dataset!$V:$V,0),MATCH(Calculations!$A$1,Dataset!$A$1:$V$1,0)),"")</f>
        <v>2.1416115553781969</v>
      </c>
      <c r="Q442" s="869">
        <f>IFERROR(INDEX(Dataset!$A:$V,MATCH(Calculations!Q$250&amp;Calculations!$X442,Dataset!$V:$V,0),MATCH(Calculations!$A$1,Dataset!$A$1:$V$1,0)),"")</f>
        <v>2.174814964122032</v>
      </c>
      <c r="R442" s="869">
        <f>IFERROR(INDEX(Dataset!$A:$V,MATCH(Calculations!R$250&amp;Calculations!$X442,Dataset!$V:$V,0),MATCH(Calculations!$A$1,Dataset!$A$1:$V$1,0)),"")</f>
        <v>2.2086084781434665</v>
      </c>
      <c r="S442" s="869">
        <f>IFERROR(INDEX(Dataset!$A:$V,MATCH(Calculations!S$250&amp;Calculations!$X442,Dataset!$V:$V,0),MATCH(Calculations!$A$1,Dataset!$A$1:$V$1,0)),"")</f>
        <v>2.2430856655543563</v>
      </c>
      <c r="T442" s="869">
        <f>IFERROR(INDEX(Dataset!$A:$V,MATCH(Calculations!T$250&amp;Calculations!$X442,Dataset!$V:$V,0),MATCH(Calculations!$A$1,Dataset!$A$1:$V$1,0)),"")</f>
        <v>2.2783258626676997</v>
      </c>
      <c r="X442" t="s">
        <v>1219</v>
      </c>
    </row>
    <row r="443" spans="1:24">
      <c r="A443" s="869" t="s">
        <v>1084</v>
      </c>
      <c r="B443" s="869"/>
      <c r="C443" s="869"/>
      <c r="D443" s="869"/>
      <c r="E443" s="869"/>
      <c r="F443" s="869"/>
      <c r="G443" s="869"/>
      <c r="H443" s="869"/>
      <c r="I443" s="869"/>
      <c r="J443" s="869"/>
      <c r="K443" s="869"/>
      <c r="L443" s="869"/>
      <c r="M443" s="869">
        <f>IFERROR(INDEX(Dataset!$A:$V,MATCH(Calculations!M$250&amp;Calculations!$X443,Dataset!$V:$V,0),MATCH(Calculations!$A$1,Dataset!$A$1:$V$1,0)),"")</f>
        <v>0</v>
      </c>
      <c r="N443" s="869">
        <f>IFERROR(INDEX(Dataset!$A:$V,MATCH(Calculations!N$250&amp;Calculations!$X443,Dataset!$V:$V,0),MATCH(Calculations!$A$1,Dataset!$A$1:$V$1,0)),"")</f>
        <v>0</v>
      </c>
      <c r="O443" s="869" t="str">
        <f>IFERROR(INDEX(Dataset!$A:$V,MATCH(Calculations!O$250&amp;Calculations!$X443,Dataset!$V:$V,0),MATCH(Calculations!$A$1,Dataset!$A$1:$V$1,0)),"")</f>
        <v/>
      </c>
      <c r="P443" s="869" t="str">
        <f>IFERROR(INDEX(Dataset!$A:$V,MATCH(Calculations!P$250&amp;Calculations!$X443,Dataset!$V:$V,0),MATCH(Calculations!$A$1,Dataset!$A$1:$V$1,0)),"")</f>
        <v/>
      </c>
      <c r="Q443" s="869" t="str">
        <f>IFERROR(INDEX(Dataset!$A:$V,MATCH(Calculations!Q$250&amp;Calculations!$X443,Dataset!$V:$V,0),MATCH(Calculations!$A$1,Dataset!$A$1:$V$1,0)),"")</f>
        <v/>
      </c>
      <c r="R443" s="869" t="str">
        <f>IFERROR(INDEX(Dataset!$A:$V,MATCH(Calculations!R$250&amp;Calculations!$X443,Dataset!$V:$V,0),MATCH(Calculations!$A$1,Dataset!$A$1:$V$1,0)),"")</f>
        <v/>
      </c>
      <c r="S443" s="869" t="str">
        <f>IFERROR(INDEX(Dataset!$A:$V,MATCH(Calculations!S$250&amp;Calculations!$X443,Dataset!$V:$V,0),MATCH(Calculations!$A$1,Dataset!$A$1:$V$1,0)),"")</f>
        <v/>
      </c>
      <c r="T443" s="869" t="str">
        <f>IFERROR(INDEX(Dataset!$A:$V,MATCH(Calculations!T$250&amp;Calculations!$X443,Dataset!$V:$V,0),MATCH(Calculations!$A$1,Dataset!$A$1:$V$1,0)),"")</f>
        <v/>
      </c>
      <c r="X443" t="s">
        <v>1220</v>
      </c>
    </row>
    <row r="444" spans="1:24">
      <c r="A444" s="869" t="s">
        <v>1086</v>
      </c>
      <c r="B444" s="869"/>
      <c r="C444" s="869"/>
      <c r="D444" s="869"/>
      <c r="E444" s="869"/>
      <c r="F444" s="869"/>
      <c r="G444" s="869"/>
      <c r="H444" s="869"/>
      <c r="I444" s="869"/>
      <c r="J444" s="869"/>
      <c r="K444" s="869"/>
      <c r="L444" s="869"/>
      <c r="M444" s="869">
        <f>IFERROR(INDEX(Dataset!$A:$V,MATCH(Calculations!M$250&amp;Calculations!$X444,Dataset!$V:$V,0),MATCH(Calculations!$A$1,Dataset!$A$1:$V$1,0)),"")</f>
        <v>-2.0627457205624826</v>
      </c>
      <c r="N444" s="869">
        <f>IFERROR(INDEX(Dataset!$A:$V,MATCH(Calculations!N$250&amp;Calculations!$X444,Dataset!$V:$V,0),MATCH(Calculations!$A$1,Dataset!$A$1:$V$1,0)),"")</f>
        <v>-2.0885083675390046</v>
      </c>
      <c r="O444" s="869">
        <f>IFERROR(INDEX(Dataset!$A:$V,MATCH(Calculations!O$250&amp;Calculations!$X444,Dataset!$V:$V,0),MATCH(Calculations!$A$1,Dataset!$A$1:$V$1,0)),"")</f>
        <v>-2.108970731831084</v>
      </c>
      <c r="P444" s="869">
        <f>IFERROR(INDEX(Dataset!$A:$V,MATCH(Calculations!P$250&amp;Calculations!$X444,Dataset!$V:$V,0),MATCH(Calculations!$A$1,Dataset!$A$1:$V$1,0)),"")</f>
        <v>-2.1416115553781969</v>
      </c>
      <c r="Q444" s="869">
        <f>IFERROR(INDEX(Dataset!$A:$V,MATCH(Calculations!Q$250&amp;Calculations!$X444,Dataset!$V:$V,0),MATCH(Calculations!$A$1,Dataset!$A$1:$V$1,0)),"")</f>
        <v>-2.174814964122032</v>
      </c>
      <c r="R444" s="869">
        <f>IFERROR(INDEX(Dataset!$A:$V,MATCH(Calculations!R$250&amp;Calculations!$X444,Dataset!$V:$V,0),MATCH(Calculations!$A$1,Dataset!$A$1:$V$1,0)),"")</f>
        <v>-2.2086084781434665</v>
      </c>
      <c r="S444" s="869">
        <f>IFERROR(INDEX(Dataset!$A:$V,MATCH(Calculations!S$250&amp;Calculations!$X444,Dataset!$V:$V,0),MATCH(Calculations!$A$1,Dataset!$A$1:$V$1,0)),"")</f>
        <v>-2.2430856655543563</v>
      </c>
      <c r="T444" s="869" t="str">
        <f>IFERROR(INDEX(Dataset!$A:$V,MATCH(Calculations!T$250&amp;Calculations!$X444,Dataset!$V:$V,0),MATCH(Calculations!$A$1,Dataset!$A$1:$V$1,0)),"")</f>
        <v/>
      </c>
      <c r="X444" t="s">
        <v>1221</v>
      </c>
    </row>
    <row r="445" spans="1:24">
      <c r="A445" s="869" t="s">
        <v>1088</v>
      </c>
      <c r="B445" s="869"/>
      <c r="C445" s="869"/>
      <c r="D445" s="869"/>
      <c r="E445" s="869"/>
      <c r="F445" s="869"/>
      <c r="G445" s="869"/>
      <c r="H445" s="869"/>
      <c r="I445" s="869"/>
      <c r="J445" s="869"/>
      <c r="K445" s="869"/>
      <c r="L445" s="869"/>
      <c r="M445" s="871">
        <f>IFERROR(INDEX(Dataset!$A:$V,MATCH(Calculations!M$250&amp;Calculations!$X445,Dataset!$V:$V,0),MATCH(Calculations!$A$1,Dataset!$A$1:$V$1,0)),"")</f>
        <v>-1</v>
      </c>
      <c r="N445" s="871">
        <f>IFERROR(INDEX(Dataset!$A:$V,MATCH(Calculations!N$250&amp;Calculations!$X445,Dataset!$V:$V,0),MATCH(Calculations!$A$1,Dataset!$A$1:$V$1,0)),"")</f>
        <v>-1</v>
      </c>
      <c r="O445" s="871">
        <f>IFERROR(INDEX(Dataset!$A:$V,MATCH(Calculations!O$250&amp;Calculations!$X445,Dataset!$V:$V,0),MATCH(Calculations!$A$1,Dataset!$A$1:$V$1,0)),"")</f>
        <v>-1</v>
      </c>
      <c r="P445" s="871">
        <f>IFERROR(INDEX(Dataset!$A:$V,MATCH(Calculations!P$250&amp;Calculations!$X445,Dataset!$V:$V,0),MATCH(Calculations!$A$1,Dataset!$A$1:$V$1,0)),"")</f>
        <v>-1</v>
      </c>
      <c r="Q445" s="871">
        <f>IFERROR(INDEX(Dataset!$A:$V,MATCH(Calculations!Q$250&amp;Calculations!$X445,Dataset!$V:$V,0),MATCH(Calculations!$A$1,Dataset!$A$1:$V$1,0)),"")</f>
        <v>-1</v>
      </c>
      <c r="R445" s="871">
        <f>IFERROR(INDEX(Dataset!$A:$V,MATCH(Calculations!R$250&amp;Calculations!$X445,Dataset!$V:$V,0),MATCH(Calculations!$A$1,Dataset!$A$1:$V$1,0)),"")</f>
        <v>-1</v>
      </c>
      <c r="S445" s="871">
        <f>IFERROR(INDEX(Dataset!$A:$V,MATCH(Calculations!S$250&amp;Calculations!$X445,Dataset!$V:$V,0),MATCH(Calculations!$A$1,Dataset!$A$1:$V$1,0)),"")</f>
        <v>-1</v>
      </c>
      <c r="T445" s="871" t="str">
        <f>IFERROR(INDEX(Dataset!$A:$V,MATCH(Calculations!T$250&amp;Calculations!$X445,Dataset!$V:$V,0),MATCH(Calculations!$A$1,Dataset!$A$1:$V$1,0)),"")</f>
        <v/>
      </c>
      <c r="X445" t="s">
        <v>1222</v>
      </c>
    </row>
    <row r="447" spans="1:24">
      <c r="A447" s="1" t="s">
        <v>94</v>
      </c>
    </row>
    <row r="448" spans="1:24">
      <c r="A448" s="869" t="s">
        <v>1080</v>
      </c>
      <c r="B448" s="869"/>
      <c r="C448" s="869"/>
      <c r="D448" s="869"/>
      <c r="E448" s="869"/>
      <c r="F448" s="869"/>
      <c r="G448" s="869"/>
      <c r="H448" s="869"/>
      <c r="I448" s="869"/>
      <c r="J448" s="869"/>
      <c r="K448" s="869"/>
      <c r="L448" s="869"/>
      <c r="M448" s="869">
        <f>IFERROR(INDEX(Dataset!$A:$V,MATCH(Calculations!M$250&amp;Calculations!$X448,Dataset!$V:$V,0),MATCH(Calculations!$A$1,Dataset!$A$1:$V$1,0)),"")</f>
        <v>5.7316864997862442</v>
      </c>
      <c r="N448" s="869">
        <f>IFERROR(INDEX(Dataset!$A:$V,MATCH(Calculations!N$250&amp;Calculations!$X448,Dataset!$V:$V,0),MATCH(Calculations!$A$1,Dataset!$A$1:$V$1,0)),"")</f>
        <v>5.637604568752935</v>
      </c>
      <c r="O448" s="869">
        <f>IFERROR(INDEX(Dataset!$A:$V,MATCH(Calculations!O$250&amp;Calculations!$X448,Dataset!$V:$V,0),MATCH(Calculations!$A$1,Dataset!$A$1:$V$1,0)),"")</f>
        <v>5.484227355333787</v>
      </c>
      <c r="P448" s="869">
        <f>IFERROR(INDEX(Dataset!$A:$V,MATCH(Calculations!P$250&amp;Calculations!$X448,Dataset!$V:$V,0),MATCH(Calculations!$A$1,Dataset!$A$1:$V$1,0)),"")</f>
        <v>5.3309222481608458</v>
      </c>
      <c r="Q448" s="869">
        <f>IFERROR(INDEX(Dataset!$A:$V,MATCH(Calculations!Q$250&amp;Calculations!$X448,Dataset!$V:$V,0),MATCH(Calculations!$A$1,Dataset!$A$1:$V$1,0)),"")</f>
        <v>5.1780379240451317</v>
      </c>
      <c r="R448" s="869">
        <f>IFERROR(INDEX(Dataset!$A:$V,MATCH(Calculations!R$250&amp;Calculations!$X448,Dataset!$V:$V,0),MATCH(Calculations!$A$1,Dataset!$A$1:$V$1,0)),"")</f>
        <v>5.1610268802263972</v>
      </c>
      <c r="S448" s="869">
        <f>IFERROR(INDEX(Dataset!$A:$V,MATCH(Calculations!S$250&amp;Calculations!$X448,Dataset!$V:$V,0),MATCH(Calculations!$A$1,Dataset!$A$1:$V$1,0)),"")</f>
        <v>5.2229603052351621</v>
      </c>
      <c r="T448" s="869">
        <f>IFERROR(INDEX(Dataset!$A:$V,MATCH(Calculations!T$250&amp;Calculations!$X448,Dataset!$V:$V,0),MATCH(Calculations!$A$1,Dataset!$A$1:$V$1,0)),"")</f>
        <v>5.2821907371880963</v>
      </c>
      <c r="X448" t="s">
        <v>1223</v>
      </c>
    </row>
    <row r="449" spans="1:24">
      <c r="A449" s="869" t="s">
        <v>1082</v>
      </c>
      <c r="B449" s="869"/>
      <c r="C449" s="869"/>
      <c r="D449" s="869"/>
      <c r="E449" s="869"/>
      <c r="F449" s="869"/>
      <c r="G449" s="869"/>
      <c r="H449" s="869"/>
      <c r="I449" s="869"/>
      <c r="J449" s="869"/>
      <c r="K449" s="869"/>
      <c r="L449" s="869"/>
      <c r="M449" s="869">
        <f>IFERROR(INDEX(Dataset!$A:$V,MATCH(Calculations!M$250&amp;Calculations!$X449,Dataset!$V:$V,0),MATCH(Calculations!$A$1,Dataset!$A$1:$V$1,0)),"")</f>
        <v>5.7316864997862442</v>
      </c>
      <c r="N449" s="869">
        <f>IFERROR(INDEX(Dataset!$A:$V,MATCH(Calculations!N$250&amp;Calculations!$X449,Dataset!$V:$V,0),MATCH(Calculations!$A$1,Dataset!$A$1:$V$1,0)),"")</f>
        <v>5.637604568752935</v>
      </c>
      <c r="O449" s="869">
        <f>IFERROR(INDEX(Dataset!$A:$V,MATCH(Calculations!O$250&amp;Calculations!$X449,Dataset!$V:$V,0),MATCH(Calculations!$A$1,Dataset!$A$1:$V$1,0)),"")</f>
        <v>5.484227355333787</v>
      </c>
      <c r="P449" s="869">
        <f>IFERROR(INDEX(Dataset!$A:$V,MATCH(Calculations!P$250&amp;Calculations!$X449,Dataset!$V:$V,0),MATCH(Calculations!$A$1,Dataset!$A$1:$V$1,0)),"")</f>
        <v>5.3309222481608458</v>
      </c>
      <c r="Q449" s="869">
        <f>IFERROR(INDEX(Dataset!$A:$V,MATCH(Calculations!Q$250&amp;Calculations!$X449,Dataset!$V:$V,0),MATCH(Calculations!$A$1,Dataset!$A$1:$V$1,0)),"")</f>
        <v>5.1780379240451317</v>
      </c>
      <c r="R449" s="869">
        <f>IFERROR(INDEX(Dataset!$A:$V,MATCH(Calculations!R$250&amp;Calculations!$X449,Dataset!$V:$V,0),MATCH(Calculations!$A$1,Dataset!$A$1:$V$1,0)),"")</f>
        <v>5.1610268802263972</v>
      </c>
      <c r="S449" s="869">
        <f>IFERROR(INDEX(Dataset!$A:$V,MATCH(Calculations!S$250&amp;Calculations!$X449,Dataset!$V:$V,0),MATCH(Calculations!$A$1,Dataset!$A$1:$V$1,0)),"")</f>
        <v>5.2229603052351621</v>
      </c>
      <c r="T449" s="869">
        <f>IFERROR(INDEX(Dataset!$A:$V,MATCH(Calculations!T$250&amp;Calculations!$X449,Dataset!$V:$V,0),MATCH(Calculations!$A$1,Dataset!$A$1:$V$1,0)),"")</f>
        <v>5.2821907371880963</v>
      </c>
      <c r="X449" t="s">
        <v>1224</v>
      </c>
    </row>
    <row r="450" spans="1:24">
      <c r="A450" s="869" t="s">
        <v>1084</v>
      </c>
      <c r="B450" s="869"/>
      <c r="C450" s="869"/>
      <c r="D450" s="869"/>
      <c r="E450" s="869"/>
      <c r="F450" s="869"/>
      <c r="G450" s="869"/>
      <c r="H450" s="869"/>
      <c r="I450" s="869"/>
      <c r="J450" s="869"/>
      <c r="K450" s="869"/>
      <c r="L450" s="869"/>
      <c r="M450" s="869">
        <f>IFERROR(INDEX(Dataset!$A:$V,MATCH(Calculations!M$250&amp;Calculations!$X450,Dataset!$V:$V,0),MATCH(Calculations!$A$1,Dataset!$A$1:$V$1,0)),"")</f>
        <v>8.314082078995348</v>
      </c>
      <c r="N450" s="869">
        <f>IFERROR(INDEX(Dataset!$A:$V,MATCH(Calculations!N$250&amp;Calculations!$X450,Dataset!$V:$V,0),MATCH(Calculations!$A$1,Dataset!$A$1:$V$1,0)),"")</f>
        <v>8.9381366078975972</v>
      </c>
      <c r="O450" s="869">
        <f>IFERROR(INDEX(Dataset!$A:$V,MATCH(Calculations!O$250&amp;Calculations!$X450,Dataset!$V:$V,0),MATCH(Calculations!$A$1,Dataset!$A$1:$V$1,0)),"")</f>
        <v>9.1861943923057883</v>
      </c>
      <c r="P450" s="869">
        <f>IFERROR(INDEX(Dataset!$A:$V,MATCH(Calculations!P$250&amp;Calculations!$X450,Dataset!$V:$V,0),MATCH(Calculations!$A$1,Dataset!$A$1:$V$1,0)),"")</f>
        <v>8.52392886187471</v>
      </c>
      <c r="Q450" s="869">
        <f>IFERROR(INDEX(Dataset!$A:$V,MATCH(Calculations!Q$250&amp;Calculations!$X450,Dataset!$V:$V,0),MATCH(Calculations!$A$1,Dataset!$A$1:$V$1,0)),"")</f>
        <v>9.387991074930671</v>
      </c>
      <c r="R450" s="869">
        <f>IFERROR(INDEX(Dataset!$A:$V,MATCH(Calculations!R$250&amp;Calculations!$X450,Dataset!$V:$V,0),MATCH(Calculations!$A$1,Dataset!$A$1:$V$1,0)),"")</f>
        <v>8.8471021970513366</v>
      </c>
      <c r="S450" s="869">
        <f>IFERROR(INDEX(Dataset!$A:$V,MATCH(Calculations!S$250&amp;Calculations!$X450,Dataset!$V:$V,0),MATCH(Calculations!$A$1,Dataset!$A$1:$V$1,0)),"")</f>
        <v>9.3211999999999993</v>
      </c>
      <c r="T450" s="869" t="str">
        <f>IFERROR(INDEX(Dataset!$A:$V,MATCH(Calculations!T$250&amp;Calculations!$X450,Dataset!$V:$V,0),MATCH(Calculations!$A$1,Dataset!$A$1:$V$1,0)),"")</f>
        <v/>
      </c>
      <c r="X450" t="s">
        <v>1225</v>
      </c>
    </row>
    <row r="451" spans="1:24">
      <c r="A451" s="869" t="s">
        <v>1086</v>
      </c>
      <c r="B451" s="869"/>
      <c r="C451" s="869"/>
      <c r="D451" s="869"/>
      <c r="E451" s="869"/>
      <c r="F451" s="869"/>
      <c r="G451" s="869"/>
      <c r="H451" s="869"/>
      <c r="I451" s="869"/>
      <c r="J451" s="869"/>
      <c r="K451" s="869"/>
      <c r="L451" s="869"/>
      <c r="M451" s="869">
        <f>IFERROR(INDEX(Dataset!$A:$V,MATCH(Calculations!M$250&amp;Calculations!$X451,Dataset!$V:$V,0),MATCH(Calculations!$A$1,Dataset!$A$1:$V$1,0)),"")</f>
        <v>2.5823955792091038</v>
      </c>
      <c r="N451" s="869">
        <f>IFERROR(INDEX(Dataset!$A:$V,MATCH(Calculations!N$250&amp;Calculations!$X451,Dataset!$V:$V,0),MATCH(Calculations!$A$1,Dataset!$A$1:$V$1,0)),"")</f>
        <v>3.3005320391446622</v>
      </c>
      <c r="O451" s="869">
        <f>IFERROR(INDEX(Dataset!$A:$V,MATCH(Calculations!O$250&amp;Calculations!$X451,Dataset!$V:$V,0),MATCH(Calculations!$A$1,Dataset!$A$1:$V$1,0)),"")</f>
        <v>3.7019670369720012</v>
      </c>
      <c r="P451" s="869">
        <f>IFERROR(INDEX(Dataset!$A:$V,MATCH(Calculations!P$250&amp;Calculations!$X451,Dataset!$V:$V,0),MATCH(Calculations!$A$1,Dataset!$A$1:$V$1,0)),"")</f>
        <v>3.1930066137138642</v>
      </c>
      <c r="Q451" s="869">
        <f>IFERROR(INDEX(Dataset!$A:$V,MATCH(Calculations!Q$250&amp;Calculations!$X451,Dataset!$V:$V,0),MATCH(Calculations!$A$1,Dataset!$A$1:$V$1,0)),"")</f>
        <v>4.2099531508855392</v>
      </c>
      <c r="R451" s="869">
        <f>IFERROR(INDEX(Dataset!$A:$V,MATCH(Calculations!R$250&amp;Calculations!$X451,Dataset!$V:$V,0),MATCH(Calculations!$A$1,Dataset!$A$1:$V$1,0)),"")</f>
        <v>3.6860753168249394</v>
      </c>
      <c r="S451" s="869">
        <f>IFERROR(INDEX(Dataset!$A:$V,MATCH(Calculations!S$250&amp;Calculations!$X451,Dataset!$V:$V,0),MATCH(Calculations!$A$1,Dataset!$A$1:$V$1,0)),"")</f>
        <v>4.0982396947648372</v>
      </c>
      <c r="T451" s="869" t="str">
        <f>IFERROR(INDEX(Dataset!$A:$V,MATCH(Calculations!T$250&amp;Calculations!$X451,Dataset!$V:$V,0),MATCH(Calculations!$A$1,Dataset!$A$1:$V$1,0)),"")</f>
        <v/>
      </c>
      <c r="X451" t="s">
        <v>1226</v>
      </c>
    </row>
    <row r="452" spans="1:24">
      <c r="A452" s="869" t="s">
        <v>1088</v>
      </c>
      <c r="B452" s="869"/>
      <c r="C452" s="869"/>
      <c r="D452" s="869"/>
      <c r="E452" s="869"/>
      <c r="F452" s="869"/>
      <c r="G452" s="869"/>
      <c r="H452" s="869"/>
      <c r="I452" s="869"/>
      <c r="J452" s="869"/>
      <c r="K452" s="869"/>
      <c r="L452" s="869"/>
      <c r="M452" s="871">
        <f>IFERROR(INDEX(Dataset!$A:$V,MATCH(Calculations!M$250&amp;Calculations!$X452,Dataset!$V:$V,0),MATCH(Calculations!$A$1,Dataset!$A$1:$V$1,0)),"")</f>
        <v>0.45054724805786411</v>
      </c>
      <c r="N452" s="871">
        <f>IFERROR(INDEX(Dataset!$A:$V,MATCH(Calculations!N$250&amp;Calculations!$X452,Dataset!$V:$V,0),MATCH(Calculations!$A$1,Dataset!$A$1:$V$1,0)),"")</f>
        <v>0.58544936930096814</v>
      </c>
      <c r="O452" s="871">
        <f>IFERROR(INDEX(Dataset!$A:$V,MATCH(Calculations!O$250&amp;Calculations!$X452,Dataset!$V:$V,0),MATCH(Calculations!$A$1,Dataset!$A$1:$V$1,0)),"")</f>
        <v>0.67502070886459231</v>
      </c>
      <c r="P452" s="871">
        <f>IFERROR(INDEX(Dataset!$A:$V,MATCH(Calculations!P$250&amp;Calculations!$X452,Dataset!$V:$V,0),MATCH(Calculations!$A$1,Dataset!$A$1:$V$1,0)),"")</f>
        <v>0.59895951677318926</v>
      </c>
      <c r="Q452" s="871">
        <f>IFERROR(INDEX(Dataset!$A:$V,MATCH(Calculations!Q$250&amp;Calculations!$X452,Dataset!$V:$V,0),MATCH(Calculations!$A$1,Dataset!$A$1:$V$1,0)),"")</f>
        <v>0.81304023119179558</v>
      </c>
      <c r="R452" s="871">
        <f>IFERROR(INDEX(Dataset!$A:$V,MATCH(Calculations!R$250&amp;Calculations!$X452,Dataset!$V:$V,0),MATCH(Calculations!$A$1,Dataset!$A$1:$V$1,0)),"")</f>
        <v>0.71421354749139443</v>
      </c>
      <c r="S452" s="871">
        <f>IFERROR(INDEX(Dataset!$A:$V,MATCH(Calculations!S$250&amp;Calculations!$X452,Dataset!$V:$V,0),MATCH(Calculations!$A$1,Dataset!$A$1:$V$1,0)),"")</f>
        <v>0.78465840352204541</v>
      </c>
      <c r="T452" s="871" t="str">
        <f>IFERROR(INDEX(Dataset!$A:$V,MATCH(Calculations!T$250&amp;Calculations!$X452,Dataset!$V:$V,0),MATCH(Calculations!$A$1,Dataset!$A$1:$V$1,0)),"")</f>
        <v/>
      </c>
      <c r="X452" t="s">
        <v>1227</v>
      </c>
    </row>
    <row r="454" spans="1:24">
      <c r="A454" s="1" t="s">
        <v>95</v>
      </c>
    </row>
    <row r="455" spans="1:24">
      <c r="A455" s="869" t="s">
        <v>1080</v>
      </c>
      <c r="B455" s="869"/>
      <c r="C455" s="869"/>
      <c r="D455" s="869"/>
      <c r="E455" s="869"/>
      <c r="F455" s="869"/>
      <c r="G455" s="869"/>
      <c r="H455" s="869"/>
      <c r="I455" s="869"/>
      <c r="J455" s="869"/>
      <c r="K455" s="869"/>
      <c r="L455" s="869"/>
      <c r="M455" s="869">
        <f>IFERROR(INDEX(Dataset!$A:$V,MATCH(Calculations!M$250&amp;Calculations!$X455,Dataset!$V:$V,0),MATCH(Calculations!$A$1,Dataset!$A$1:$V$1,0)),"")</f>
        <v>10.406321738142125</v>
      </c>
      <c r="N455" s="869">
        <f>IFERROR(INDEX(Dataset!$A:$V,MATCH(Calculations!N$250&amp;Calculations!$X455,Dataset!$V:$V,0),MATCH(Calculations!$A$1,Dataset!$A$1:$V$1,0)),"")</f>
        <v>10.439080019721876</v>
      </c>
      <c r="O455" s="869">
        <f>IFERROR(INDEX(Dataset!$A:$V,MATCH(Calculations!O$250&amp;Calculations!$X455,Dataset!$V:$V,0),MATCH(Calculations!$A$1,Dataset!$A$1:$V$1,0)),"")</f>
        <v>10.446895700787653</v>
      </c>
      <c r="P455" s="869">
        <f>IFERROR(INDEX(Dataset!$A:$V,MATCH(Calculations!P$250&amp;Calculations!$X455,Dataset!$V:$V,0),MATCH(Calculations!$A$1,Dataset!$A$1:$V$1,0)),"")</f>
        <v>10.518640219415012</v>
      </c>
      <c r="Q455" s="869">
        <f>IFERROR(INDEX(Dataset!$A:$V,MATCH(Calculations!Q$250&amp;Calculations!$X455,Dataset!$V:$V,0),MATCH(Calculations!$A$1,Dataset!$A$1:$V$1,0)),"")</f>
        <v>10.591105369497823</v>
      </c>
      <c r="R455" s="869">
        <f>IFERROR(INDEX(Dataset!$A:$V,MATCH(Calculations!R$250&amp;Calculations!$X455,Dataset!$V:$V,0),MATCH(Calculations!$A$1,Dataset!$A$1:$V$1,0)),"")</f>
        <v>10.664811603256121</v>
      </c>
      <c r="S455" s="869">
        <f>IFERROR(INDEX(Dataset!$A:$V,MATCH(Calculations!S$250&amp;Calculations!$X455,Dataset!$V:$V,0),MATCH(Calculations!$A$1,Dataset!$A$1:$V$1,0)),"")</f>
        <v>10.736003540222338</v>
      </c>
      <c r="T455" s="869">
        <f>IFERROR(INDEX(Dataset!$A:$V,MATCH(Calculations!T$250&amp;Calculations!$X455,Dataset!$V:$V,0),MATCH(Calculations!$A$1,Dataset!$A$1:$V$1,0)),"")</f>
        <v>10.812173198238026</v>
      </c>
      <c r="X455" t="s">
        <v>1228</v>
      </c>
    </row>
    <row r="456" spans="1:24">
      <c r="A456" s="869" t="s">
        <v>1082</v>
      </c>
      <c r="B456" s="869"/>
      <c r="C456" s="869"/>
      <c r="D456" s="869"/>
      <c r="E456" s="869"/>
      <c r="F456" s="869"/>
      <c r="G456" s="869"/>
      <c r="H456" s="869"/>
      <c r="I456" s="869"/>
      <c r="J456" s="869"/>
      <c r="K456" s="869"/>
      <c r="L456" s="869"/>
      <c r="M456" s="869">
        <f>IFERROR(INDEX(Dataset!$A:$V,MATCH(Calculations!M$250&amp;Calculations!$X456,Dataset!$V:$V,0),MATCH(Calculations!$A$1,Dataset!$A$1:$V$1,0)),"")</f>
        <v>10.406321738142125</v>
      </c>
      <c r="N456" s="869">
        <f>IFERROR(INDEX(Dataset!$A:$V,MATCH(Calculations!N$250&amp;Calculations!$X456,Dataset!$V:$V,0),MATCH(Calculations!$A$1,Dataset!$A$1:$V$1,0)),"")</f>
        <v>10.439080019721876</v>
      </c>
      <c r="O456" s="869">
        <f>IFERROR(INDEX(Dataset!$A:$V,MATCH(Calculations!O$250&amp;Calculations!$X456,Dataset!$V:$V,0),MATCH(Calculations!$A$1,Dataset!$A$1:$V$1,0)),"")</f>
        <v>10.446895700787653</v>
      </c>
      <c r="P456" s="869">
        <f>IFERROR(INDEX(Dataset!$A:$V,MATCH(Calculations!P$250&amp;Calculations!$X456,Dataset!$V:$V,0),MATCH(Calculations!$A$1,Dataset!$A$1:$V$1,0)),"")</f>
        <v>10.518640219415012</v>
      </c>
      <c r="Q456" s="869">
        <f>IFERROR(INDEX(Dataset!$A:$V,MATCH(Calculations!Q$250&amp;Calculations!$X456,Dataset!$V:$V,0),MATCH(Calculations!$A$1,Dataset!$A$1:$V$1,0)),"")</f>
        <v>10.591105369497823</v>
      </c>
      <c r="R456" s="869">
        <f>IFERROR(INDEX(Dataset!$A:$V,MATCH(Calculations!R$250&amp;Calculations!$X456,Dataset!$V:$V,0),MATCH(Calculations!$A$1,Dataset!$A$1:$V$1,0)),"")</f>
        <v>10.664811603256121</v>
      </c>
      <c r="S456" s="869">
        <f>IFERROR(INDEX(Dataset!$A:$V,MATCH(Calculations!S$250&amp;Calculations!$X456,Dataset!$V:$V,0),MATCH(Calculations!$A$1,Dataset!$A$1:$V$1,0)),"")</f>
        <v>10.736003540222338</v>
      </c>
      <c r="T456" s="869">
        <f>IFERROR(INDEX(Dataset!$A:$V,MATCH(Calculations!T$250&amp;Calculations!$X456,Dataset!$V:$V,0),MATCH(Calculations!$A$1,Dataset!$A$1:$V$1,0)),"")</f>
        <v>10.812173198238026</v>
      </c>
      <c r="X456" t="s">
        <v>1229</v>
      </c>
    </row>
    <row r="457" spans="1:24">
      <c r="A457" s="869" t="s">
        <v>1084</v>
      </c>
      <c r="B457" s="869"/>
      <c r="C457" s="869"/>
      <c r="D457" s="869"/>
      <c r="E457" s="869"/>
      <c r="F457" s="869"/>
      <c r="G457" s="869"/>
      <c r="H457" s="869"/>
      <c r="I457" s="869"/>
      <c r="J457" s="869"/>
      <c r="K457" s="869"/>
      <c r="L457" s="869"/>
      <c r="M457" s="869">
        <f>IFERROR(INDEX(Dataset!$A:$V,MATCH(Calculations!M$250&amp;Calculations!$X457,Dataset!$V:$V,0),MATCH(Calculations!$A$1,Dataset!$A$1:$V$1,0)),"")</f>
        <v>18.029036614463077</v>
      </c>
      <c r="N457" s="869">
        <f>IFERROR(INDEX(Dataset!$A:$V,MATCH(Calculations!N$250&amp;Calculations!$X457,Dataset!$V:$V,0),MATCH(Calculations!$A$1,Dataset!$A$1:$V$1,0)),"")</f>
        <v>21.643160004830332</v>
      </c>
      <c r="O457" s="869">
        <f>IFERROR(INDEX(Dataset!$A:$V,MATCH(Calculations!O$250&amp;Calculations!$X457,Dataset!$V:$V,0),MATCH(Calculations!$A$1,Dataset!$A$1:$V$1,0)),"")</f>
        <v>18.851166535713766</v>
      </c>
      <c r="P457" s="869">
        <f>IFERROR(INDEX(Dataset!$A:$V,MATCH(Calculations!P$250&amp;Calculations!$X457,Dataset!$V:$V,0),MATCH(Calculations!$A$1,Dataset!$A$1:$V$1,0)),"")</f>
        <v>15.917704032360541</v>
      </c>
      <c r="Q457" s="869">
        <f>IFERROR(INDEX(Dataset!$A:$V,MATCH(Calculations!Q$250&amp;Calculations!$X457,Dataset!$V:$V,0),MATCH(Calculations!$A$1,Dataset!$A$1:$V$1,0)),"")</f>
        <v>14.011863061773592</v>
      </c>
      <c r="R457" s="869">
        <f>IFERROR(INDEX(Dataset!$A:$V,MATCH(Calculations!R$250&amp;Calculations!$X457,Dataset!$V:$V,0),MATCH(Calculations!$A$1,Dataset!$A$1:$V$1,0)),"")</f>
        <v>14.337932840869307</v>
      </c>
      <c r="S457" s="869">
        <f>IFERROR(INDEX(Dataset!$A:$V,MATCH(Calculations!S$250&amp;Calculations!$X457,Dataset!$V:$V,0),MATCH(Calculations!$A$1,Dataset!$A$1:$V$1,0)),"")</f>
        <v>13.915299999999998</v>
      </c>
      <c r="T457" s="869" t="str">
        <f>IFERROR(INDEX(Dataset!$A:$V,MATCH(Calculations!T$250&amp;Calculations!$X457,Dataset!$V:$V,0),MATCH(Calculations!$A$1,Dataset!$A$1:$V$1,0)),"")</f>
        <v/>
      </c>
      <c r="X457" t="s">
        <v>1230</v>
      </c>
    </row>
    <row r="458" spans="1:24">
      <c r="A458" s="869" t="s">
        <v>1086</v>
      </c>
      <c r="B458" s="869"/>
      <c r="C458" s="869"/>
      <c r="D458" s="869"/>
      <c r="E458" s="869"/>
      <c r="F458" s="869"/>
      <c r="G458" s="869"/>
      <c r="H458" s="869"/>
      <c r="I458" s="869"/>
      <c r="J458" s="869"/>
      <c r="K458" s="869"/>
      <c r="L458" s="869"/>
      <c r="M458" s="869">
        <f>IFERROR(INDEX(Dataset!$A:$V,MATCH(Calculations!M$250&amp;Calculations!$X458,Dataset!$V:$V,0),MATCH(Calculations!$A$1,Dataset!$A$1:$V$1,0)),"")</f>
        <v>7.622714876320952</v>
      </c>
      <c r="N458" s="869">
        <f>IFERROR(INDEX(Dataset!$A:$V,MATCH(Calculations!N$250&amp;Calculations!$X458,Dataset!$V:$V,0),MATCH(Calculations!$A$1,Dataset!$A$1:$V$1,0)),"")</f>
        <v>11.204079985108455</v>
      </c>
      <c r="O458" s="869">
        <f>IFERROR(INDEX(Dataset!$A:$V,MATCH(Calculations!O$250&amp;Calculations!$X458,Dataset!$V:$V,0),MATCH(Calculations!$A$1,Dataset!$A$1:$V$1,0)),"")</f>
        <v>8.4042708349261126</v>
      </c>
      <c r="P458" s="869">
        <f>IFERROR(INDEX(Dataset!$A:$V,MATCH(Calculations!P$250&amp;Calculations!$X458,Dataset!$V:$V,0),MATCH(Calculations!$A$1,Dataset!$A$1:$V$1,0)),"")</f>
        <v>5.3990638129455295</v>
      </c>
      <c r="Q458" s="869">
        <f>IFERROR(INDEX(Dataset!$A:$V,MATCH(Calculations!Q$250&amp;Calculations!$X458,Dataset!$V:$V,0),MATCH(Calculations!$A$1,Dataset!$A$1:$V$1,0)),"")</f>
        <v>3.4207576922757692</v>
      </c>
      <c r="R458" s="869">
        <f>IFERROR(INDEX(Dataset!$A:$V,MATCH(Calculations!R$250&amp;Calculations!$X458,Dataset!$V:$V,0),MATCH(Calculations!$A$1,Dataset!$A$1:$V$1,0)),"")</f>
        <v>3.6731212376131861</v>
      </c>
      <c r="S458" s="869">
        <f>IFERROR(INDEX(Dataset!$A:$V,MATCH(Calculations!S$250&amp;Calculations!$X458,Dataset!$V:$V,0),MATCH(Calculations!$A$1,Dataset!$A$1:$V$1,0)),"")</f>
        <v>3.1792964597776603</v>
      </c>
      <c r="T458" s="869" t="str">
        <f>IFERROR(INDEX(Dataset!$A:$V,MATCH(Calculations!T$250&amp;Calculations!$X458,Dataset!$V:$V,0),MATCH(Calculations!$A$1,Dataset!$A$1:$V$1,0)),"")</f>
        <v/>
      </c>
      <c r="X458" t="s">
        <v>1231</v>
      </c>
    </row>
    <row r="459" spans="1:24">
      <c r="A459" s="869" t="s">
        <v>1088</v>
      </c>
      <c r="B459" s="869"/>
      <c r="C459" s="869"/>
      <c r="D459" s="869"/>
      <c r="E459" s="869"/>
      <c r="F459" s="869"/>
      <c r="G459" s="869"/>
      <c r="H459" s="869"/>
      <c r="I459" s="869"/>
      <c r="J459" s="869"/>
      <c r="K459" s="869"/>
      <c r="L459" s="869"/>
      <c r="M459" s="871">
        <f>IFERROR(INDEX(Dataset!$A:$V,MATCH(Calculations!M$250&amp;Calculations!$X459,Dataset!$V:$V,0),MATCH(Calculations!$A$1,Dataset!$A$1:$V$1,0)),"")</f>
        <v>0.73250809153646834</v>
      </c>
      <c r="N459" s="871">
        <f>IFERROR(INDEX(Dataset!$A:$V,MATCH(Calculations!N$250&amp;Calculations!$X459,Dataset!$V:$V,0),MATCH(Calculations!$A$1,Dataset!$A$1:$V$1,0)),"")</f>
        <v>1.0732823164437206</v>
      </c>
      <c r="O459" s="871">
        <f>IFERROR(INDEX(Dataset!$A:$V,MATCH(Calculations!O$250&amp;Calculations!$X459,Dataset!$V:$V,0),MATCH(Calculations!$A$1,Dataset!$A$1:$V$1,0)),"")</f>
        <v>0.80447542271264993</v>
      </c>
      <c r="P459" s="871">
        <f>IFERROR(INDEX(Dataset!$A:$V,MATCH(Calculations!P$250&amp;Calculations!$X459,Dataset!$V:$V,0),MATCH(Calculations!$A$1,Dataset!$A$1:$V$1,0)),"")</f>
        <v>0.51328533920003161</v>
      </c>
      <c r="Q459" s="871">
        <f>IFERROR(INDEX(Dataset!$A:$V,MATCH(Calculations!Q$250&amp;Calculations!$X459,Dataset!$V:$V,0),MATCH(Calculations!$A$1,Dataset!$A$1:$V$1,0)),"")</f>
        <v>0.3229840109161301</v>
      </c>
      <c r="R459" s="871">
        <f>IFERROR(INDEX(Dataset!$A:$V,MATCH(Calculations!R$250&amp;Calculations!$X459,Dataset!$V:$V,0),MATCH(Calculations!$A$1,Dataset!$A$1:$V$1,0)),"")</f>
        <v>0.34441501399722141</v>
      </c>
      <c r="S459" s="871">
        <f>IFERROR(INDEX(Dataset!$A:$V,MATCH(Calculations!S$250&amp;Calculations!$X459,Dataset!$V:$V,0),MATCH(Calculations!$A$1,Dataset!$A$1:$V$1,0)),"")</f>
        <v>0.29613407334176589</v>
      </c>
      <c r="T459" s="871" t="str">
        <f>IFERROR(INDEX(Dataset!$A:$V,MATCH(Calculations!T$250&amp;Calculations!$X459,Dataset!$V:$V,0),MATCH(Calculations!$A$1,Dataset!$A$1:$V$1,0)),"")</f>
        <v/>
      </c>
      <c r="X459" t="s">
        <v>1232</v>
      </c>
    </row>
    <row r="461" spans="1:24">
      <c r="A461" s="1" t="s">
        <v>97</v>
      </c>
    </row>
    <row r="462" spans="1:24">
      <c r="A462" s="869" t="s">
        <v>1080</v>
      </c>
      <c r="B462" s="869"/>
      <c r="C462" s="869"/>
      <c r="D462" s="869"/>
      <c r="E462" s="869"/>
      <c r="F462" s="869"/>
      <c r="G462" s="869"/>
      <c r="H462" s="869"/>
      <c r="I462" s="869"/>
      <c r="J462" s="869"/>
      <c r="K462" s="869"/>
      <c r="L462" s="869"/>
      <c r="M462" s="869">
        <f>IFERROR(INDEX(Dataset!$A:$V,MATCH(Calculations!M$250&amp;Calculations!$X462,Dataset!$V:$V,0),MATCH(Calculations!$A$1,Dataset!$A$1:$V$1,0)),"")</f>
        <v>11.842205718317333</v>
      </c>
      <c r="N462" s="869">
        <f>IFERROR(INDEX(Dataset!$A:$V,MATCH(Calculations!N$250&amp;Calculations!$X462,Dataset!$V:$V,0),MATCH(Calculations!$A$1,Dataset!$A$1:$V$1,0)),"")</f>
        <v>11.836796911818686</v>
      </c>
      <c r="O462" s="869">
        <f>IFERROR(INDEX(Dataset!$A:$V,MATCH(Calculations!O$250&amp;Calculations!$X462,Dataset!$V:$V,0),MATCH(Calculations!$A$1,Dataset!$A$1:$V$1,0)),"")</f>
        <v>11.811762388677518</v>
      </c>
      <c r="P462" s="869">
        <f>IFERROR(INDEX(Dataset!$A:$V,MATCH(Calculations!P$250&amp;Calculations!$X462,Dataset!$V:$V,0),MATCH(Calculations!$A$1,Dataset!$A$1:$V$1,0)),"")</f>
        <v>11.829790800146682</v>
      </c>
      <c r="Q462" s="869">
        <f>IFERROR(INDEX(Dataset!$A:$V,MATCH(Calculations!Q$250&amp;Calculations!$X462,Dataset!$V:$V,0),MATCH(Calculations!$A$1,Dataset!$A$1:$V$1,0)),"")</f>
        <v>11.848422492231879</v>
      </c>
      <c r="R462" s="869">
        <f>IFERROR(INDEX(Dataset!$A:$V,MATCH(Calculations!R$250&amp;Calculations!$X462,Dataset!$V:$V,0),MATCH(Calculations!$A$1,Dataset!$A$1:$V$1,0)),"")</f>
        <v>12.196707889009677</v>
      </c>
      <c r="S462" s="869">
        <f>IFERROR(INDEX(Dataset!$A:$V,MATCH(Calculations!S$250&amp;Calculations!$X462,Dataset!$V:$V,0),MATCH(Calculations!$A$1,Dataset!$A$1:$V$1,0)),"")</f>
        <v>12.211359144488144</v>
      </c>
      <c r="T462" s="869">
        <f>IFERROR(INDEX(Dataset!$A:$V,MATCH(Calculations!T$250&amp;Calculations!$X462,Dataset!$V:$V,0),MATCH(Calculations!$A$1,Dataset!$A$1:$V$1,0)),"")</f>
        <v>12.221672998596651</v>
      </c>
      <c r="X462" t="s">
        <v>1233</v>
      </c>
    </row>
    <row r="463" spans="1:24">
      <c r="A463" s="869" t="s">
        <v>1082</v>
      </c>
      <c r="B463" s="869"/>
      <c r="C463" s="869"/>
      <c r="D463" s="869"/>
      <c r="E463" s="869"/>
      <c r="F463" s="869"/>
      <c r="G463" s="869"/>
      <c r="H463" s="869"/>
      <c r="I463" s="869"/>
      <c r="J463" s="869"/>
      <c r="K463" s="869"/>
      <c r="L463" s="869"/>
      <c r="M463" s="869">
        <f>IFERROR(INDEX(Dataset!$A:$V,MATCH(Calculations!M$250&amp;Calculations!$X463,Dataset!$V:$V,0),MATCH(Calculations!$A$1,Dataset!$A$1:$V$1,0)),"")</f>
        <v>11.842205718317333</v>
      </c>
      <c r="N463" s="869">
        <f>IFERROR(INDEX(Dataset!$A:$V,MATCH(Calculations!N$250&amp;Calculations!$X463,Dataset!$V:$V,0),MATCH(Calculations!$A$1,Dataset!$A$1:$V$1,0)),"")</f>
        <v>11.836796911818686</v>
      </c>
      <c r="O463" s="869">
        <f>IFERROR(INDEX(Dataset!$A:$V,MATCH(Calculations!O$250&amp;Calculations!$X463,Dataset!$V:$V,0),MATCH(Calculations!$A$1,Dataset!$A$1:$V$1,0)),"")</f>
        <v>11.811762388677518</v>
      </c>
      <c r="P463" s="869">
        <f>IFERROR(INDEX(Dataset!$A:$V,MATCH(Calculations!P$250&amp;Calculations!$X463,Dataset!$V:$V,0),MATCH(Calculations!$A$1,Dataset!$A$1:$V$1,0)),"")</f>
        <v>11.829790800146682</v>
      </c>
      <c r="Q463" s="869">
        <f>IFERROR(INDEX(Dataset!$A:$V,MATCH(Calculations!Q$250&amp;Calculations!$X463,Dataset!$V:$V,0),MATCH(Calculations!$A$1,Dataset!$A$1:$V$1,0)),"")</f>
        <v>11.848422492231879</v>
      </c>
      <c r="R463" s="869">
        <f>IFERROR(INDEX(Dataset!$A:$V,MATCH(Calculations!R$250&amp;Calculations!$X463,Dataset!$V:$V,0),MATCH(Calculations!$A$1,Dataset!$A$1:$V$1,0)),"")</f>
        <v>12.196707889009677</v>
      </c>
      <c r="S463" s="869">
        <f>IFERROR(INDEX(Dataset!$A:$V,MATCH(Calculations!S$250&amp;Calculations!$X463,Dataset!$V:$V,0),MATCH(Calculations!$A$1,Dataset!$A$1:$V$1,0)),"")</f>
        <v>12.211359144488144</v>
      </c>
      <c r="T463" s="869">
        <f>IFERROR(INDEX(Dataset!$A:$V,MATCH(Calculations!T$250&amp;Calculations!$X463,Dataset!$V:$V,0),MATCH(Calculations!$A$1,Dataset!$A$1:$V$1,0)),"")</f>
        <v>12.221672998596651</v>
      </c>
      <c r="X463" t="s">
        <v>1234</v>
      </c>
    </row>
    <row r="464" spans="1:24">
      <c r="A464" s="869" t="s">
        <v>1084</v>
      </c>
      <c r="B464" s="869"/>
      <c r="C464" s="869"/>
      <c r="D464" s="869"/>
      <c r="E464" s="869"/>
      <c r="F464" s="869"/>
      <c r="G464" s="869"/>
      <c r="H464" s="869"/>
      <c r="I464" s="869"/>
      <c r="J464" s="869"/>
      <c r="K464" s="869"/>
      <c r="L464" s="869"/>
      <c r="M464" s="869">
        <f>IFERROR(INDEX(Dataset!$A:$V,MATCH(Calculations!M$250&amp;Calculations!$X464,Dataset!$V:$V,0),MATCH(Calculations!$A$1,Dataset!$A$1:$V$1,0)),"")</f>
        <v>18.12618615981776</v>
      </c>
      <c r="N464" s="869">
        <f>IFERROR(INDEX(Dataset!$A:$V,MATCH(Calculations!N$250&amp;Calculations!$X464,Dataset!$V:$V,0),MATCH(Calculations!$A$1,Dataset!$A$1:$V$1,0)),"")</f>
        <v>15.897718278287645</v>
      </c>
      <c r="O464" s="869">
        <f>IFERROR(INDEX(Dataset!$A:$V,MATCH(Calculations!O$250&amp;Calculations!$X464,Dataset!$V:$V,0),MATCH(Calculations!$A$1,Dataset!$A$1:$V$1,0)),"")</f>
        <v>13.413700066931479</v>
      </c>
      <c r="P464" s="869">
        <f>IFERROR(INDEX(Dataset!$A:$V,MATCH(Calculations!P$250&amp;Calculations!$X464,Dataset!$V:$V,0),MATCH(Calculations!$A$1,Dataset!$A$1:$V$1,0)),"")</f>
        <v>14.056080604854083</v>
      </c>
      <c r="Q464" s="869">
        <f>IFERROR(INDEX(Dataset!$A:$V,MATCH(Calculations!Q$250&amp;Calculations!$X464,Dataset!$V:$V,0),MATCH(Calculations!$A$1,Dataset!$A$1:$V$1,0)),"")</f>
        <v>12.660780300163086</v>
      </c>
      <c r="R464" s="869">
        <f>IFERROR(INDEX(Dataset!$A:$V,MATCH(Calculations!R$250&amp;Calculations!$X464,Dataset!$V:$V,0),MATCH(Calculations!$A$1,Dataset!$A$1:$V$1,0)),"")</f>
        <v>12.652921626151134</v>
      </c>
      <c r="S464" s="869">
        <f>IFERROR(INDEX(Dataset!$A:$V,MATCH(Calculations!S$250&amp;Calculations!$X464,Dataset!$V:$V,0),MATCH(Calculations!$A$1,Dataset!$A$1:$V$1,0)),"")</f>
        <v>12.798499999999999</v>
      </c>
      <c r="T464" s="869" t="str">
        <f>IFERROR(INDEX(Dataset!$A:$V,MATCH(Calculations!T$250&amp;Calculations!$X464,Dataset!$V:$V,0),MATCH(Calculations!$A$1,Dataset!$A$1:$V$1,0)),"")</f>
        <v/>
      </c>
      <c r="X464" t="s">
        <v>1235</v>
      </c>
    </row>
    <row r="465" spans="1:24">
      <c r="A465" s="869" t="s">
        <v>1086</v>
      </c>
      <c r="B465" s="869"/>
      <c r="C465" s="869"/>
      <c r="D465" s="869"/>
      <c r="E465" s="869"/>
      <c r="F465" s="869"/>
      <c r="G465" s="869"/>
      <c r="H465" s="869"/>
      <c r="I465" s="869"/>
      <c r="J465" s="869"/>
      <c r="K465" s="869"/>
      <c r="L465" s="869"/>
      <c r="M465" s="869">
        <f>IFERROR(INDEX(Dataset!$A:$V,MATCH(Calculations!M$250&amp;Calculations!$X465,Dataset!$V:$V,0),MATCH(Calculations!$A$1,Dataset!$A$1:$V$1,0)),"")</f>
        <v>6.283980441500427</v>
      </c>
      <c r="N465" s="869">
        <f>IFERROR(INDEX(Dataset!$A:$V,MATCH(Calculations!N$250&amp;Calculations!$X465,Dataset!$V:$V,0),MATCH(Calculations!$A$1,Dataset!$A$1:$V$1,0)),"")</f>
        <v>4.0609213664689587</v>
      </c>
      <c r="O465" s="869">
        <f>IFERROR(INDEX(Dataset!$A:$V,MATCH(Calculations!O$250&amp;Calculations!$X465,Dataset!$V:$V,0),MATCH(Calculations!$A$1,Dataset!$A$1:$V$1,0)),"")</f>
        <v>1.6019376782539609</v>
      </c>
      <c r="P465" s="869">
        <f>IFERROR(INDEX(Dataset!$A:$V,MATCH(Calculations!P$250&amp;Calculations!$X465,Dataset!$V:$V,0),MATCH(Calculations!$A$1,Dataset!$A$1:$V$1,0)),"")</f>
        <v>2.2262898047074007</v>
      </c>
      <c r="Q465" s="869">
        <f>IFERROR(INDEX(Dataset!$A:$V,MATCH(Calculations!Q$250&amp;Calculations!$X465,Dataset!$V:$V,0),MATCH(Calculations!$A$1,Dataset!$A$1:$V$1,0)),"")</f>
        <v>0.81235780793120682</v>
      </c>
      <c r="R465" s="869">
        <f>IFERROR(INDEX(Dataset!$A:$V,MATCH(Calculations!R$250&amp;Calculations!$X465,Dataset!$V:$V,0),MATCH(Calculations!$A$1,Dataset!$A$1:$V$1,0)),"")</f>
        <v>0.45621373714145719</v>
      </c>
      <c r="S465" s="869">
        <f>IFERROR(INDEX(Dataset!$A:$V,MATCH(Calculations!S$250&amp;Calculations!$X465,Dataset!$V:$V,0),MATCH(Calculations!$A$1,Dataset!$A$1:$V$1,0)),"")</f>
        <v>0.58714085551185491</v>
      </c>
      <c r="T465" s="869" t="str">
        <f>IFERROR(INDEX(Dataset!$A:$V,MATCH(Calculations!T$250&amp;Calculations!$X465,Dataset!$V:$V,0),MATCH(Calculations!$A$1,Dataset!$A$1:$V$1,0)),"")</f>
        <v/>
      </c>
      <c r="X465" t="s">
        <v>1236</v>
      </c>
    </row>
    <row r="466" spans="1:24">
      <c r="A466" s="869" t="s">
        <v>1088</v>
      </c>
      <c r="B466" s="869"/>
      <c r="C466" s="869"/>
      <c r="D466" s="869"/>
      <c r="E466" s="869"/>
      <c r="F466" s="869"/>
      <c r="G466" s="869"/>
      <c r="H466" s="869"/>
      <c r="I466" s="869"/>
      <c r="J466" s="869"/>
      <c r="K466" s="869"/>
      <c r="L466" s="869"/>
      <c r="M466" s="871">
        <f>IFERROR(INDEX(Dataset!$A:$V,MATCH(Calculations!M$250&amp;Calculations!$X466,Dataset!$V:$V,0),MATCH(Calculations!$A$1,Dataset!$A$1:$V$1,0)),"")</f>
        <v>0.53064273590353761</v>
      </c>
      <c r="N466" s="871">
        <f>IFERROR(INDEX(Dataset!$A:$V,MATCH(Calculations!N$250&amp;Calculations!$X466,Dataset!$V:$V,0),MATCH(Calculations!$A$1,Dataset!$A$1:$V$1,0)),"")</f>
        <v>0.3430760362555727</v>
      </c>
      <c r="O466" s="871">
        <f>IFERROR(INDEX(Dataset!$A:$V,MATCH(Calculations!O$250&amp;Calculations!$X466,Dataset!$V:$V,0),MATCH(Calculations!$A$1,Dataset!$A$1:$V$1,0)),"")</f>
        <v>0.13562224040246029</v>
      </c>
      <c r="P466" s="871">
        <f>IFERROR(INDEX(Dataset!$A:$V,MATCH(Calculations!P$250&amp;Calculations!$X466,Dataset!$V:$V,0),MATCH(Calculations!$A$1,Dataset!$A$1:$V$1,0)),"")</f>
        <v>0.18819350589697631</v>
      </c>
      <c r="Q466" s="871">
        <f>IFERROR(INDEX(Dataset!$A:$V,MATCH(Calculations!Q$250&amp;Calculations!$X466,Dataset!$V:$V,0),MATCH(Calculations!$A$1,Dataset!$A$1:$V$1,0)),"")</f>
        <v>6.856252876396067E-2</v>
      </c>
      <c r="R466" s="871">
        <f>IFERROR(INDEX(Dataset!$A:$V,MATCH(Calculations!R$250&amp;Calculations!$X466,Dataset!$V:$V,0),MATCH(Calculations!$A$1,Dataset!$A$1:$V$1,0)),"")</f>
        <v>3.7404662085294881E-2</v>
      </c>
      <c r="S466" s="871">
        <f>IFERROR(INDEX(Dataset!$A:$V,MATCH(Calculations!S$250&amp;Calculations!$X466,Dataset!$V:$V,0),MATCH(Calculations!$A$1,Dataset!$A$1:$V$1,0)),"")</f>
        <v>4.8081532003493105E-2</v>
      </c>
      <c r="T466" s="871" t="str">
        <f>IFERROR(INDEX(Dataset!$A:$V,MATCH(Calculations!T$250&amp;Calculations!$X466,Dataset!$V:$V,0),MATCH(Calculations!$A$1,Dataset!$A$1:$V$1,0)),"")</f>
        <v/>
      </c>
      <c r="X466" t="s">
        <v>1237</v>
      </c>
    </row>
    <row r="468" spans="1:24">
      <c r="A468" s="1" t="s">
        <v>99</v>
      </c>
    </row>
    <row r="469" spans="1:24">
      <c r="A469" s="869" t="s">
        <v>1080</v>
      </c>
      <c r="B469" s="869"/>
      <c r="C469" s="869"/>
      <c r="D469" s="869"/>
      <c r="E469" s="869"/>
      <c r="F469" s="869"/>
      <c r="G469" s="869"/>
      <c r="H469" s="869"/>
      <c r="I469" s="869"/>
      <c r="J469" s="869"/>
      <c r="K469" s="869"/>
      <c r="L469" s="869"/>
      <c r="M469" s="869">
        <f>IFERROR(INDEX(Dataset!$A:$V,MATCH(Calculations!M$250&amp;Calculations!$X469,Dataset!$V:$V,0),MATCH(Calculations!$A$1,Dataset!$A$1:$V$1,0)),"")</f>
        <v>3.3637344928751478</v>
      </c>
      <c r="N469" s="869">
        <f>IFERROR(INDEX(Dataset!$A:$V,MATCH(Calculations!N$250&amp;Calculations!$X469,Dataset!$V:$V,0),MATCH(Calculations!$A$1,Dataset!$A$1:$V$1,0)),"")</f>
        <v>3.3652443646425159</v>
      </c>
      <c r="O469" s="869">
        <f>IFERROR(INDEX(Dataset!$A:$V,MATCH(Calculations!O$250&amp;Calculations!$X469,Dataset!$V:$V,0),MATCH(Calculations!$A$1,Dataset!$A$1:$V$1,0)),"")</f>
        <v>3.3611749426693107</v>
      </c>
      <c r="P469" s="869">
        <f>IFERROR(INDEX(Dataset!$A:$V,MATCH(Calculations!P$250&amp;Calculations!$X469,Dataset!$V:$V,0),MATCH(Calculations!$A$1,Dataset!$A$1:$V$1,0)),"")</f>
        <v>3.3720126812638833</v>
      </c>
      <c r="Q469" s="869">
        <f>IFERROR(INDEX(Dataset!$A:$V,MATCH(Calculations!Q$250&amp;Calculations!$X469,Dataset!$V:$V,0),MATCH(Calculations!$A$1,Dataset!$A$1:$V$1,0)),"")</f>
        <v>3.3838883933056958</v>
      </c>
      <c r="R469" s="869">
        <f>IFERROR(INDEX(Dataset!$A:$V,MATCH(Calculations!R$250&amp;Calculations!$X469,Dataset!$V:$V,0),MATCH(Calculations!$A$1,Dataset!$A$1:$V$1,0)),"")</f>
        <v>3.397183464244256</v>
      </c>
      <c r="S469" s="869">
        <f>IFERROR(INDEX(Dataset!$A:$V,MATCH(Calculations!S$250&amp;Calculations!$X469,Dataset!$V:$V,0),MATCH(Calculations!$A$1,Dataset!$A$1:$V$1,0)),"")</f>
        <v>3.4084321072389807</v>
      </c>
      <c r="T469" s="869">
        <f>IFERROR(INDEX(Dataset!$A:$V,MATCH(Calculations!T$250&amp;Calculations!$X469,Dataset!$V:$V,0),MATCH(Calculations!$A$1,Dataset!$A$1:$V$1,0)),"")</f>
        <v>3.4221009370285551</v>
      </c>
      <c r="X469" t="s">
        <v>1238</v>
      </c>
    </row>
    <row r="470" spans="1:24">
      <c r="A470" s="869" t="s">
        <v>1082</v>
      </c>
      <c r="B470" s="869"/>
      <c r="C470" s="869"/>
      <c r="D470" s="869"/>
      <c r="E470" s="869"/>
      <c r="F470" s="869"/>
      <c r="G470" s="869"/>
      <c r="H470" s="869"/>
      <c r="I470" s="869"/>
      <c r="J470" s="869"/>
      <c r="K470" s="869"/>
      <c r="L470" s="869"/>
      <c r="M470" s="869">
        <f>IFERROR(INDEX(Dataset!$A:$V,MATCH(Calculations!M$250&amp;Calculations!$X470,Dataset!$V:$V,0),MATCH(Calculations!$A$1,Dataset!$A$1:$V$1,0)),"")</f>
        <v>3.3637344928751478</v>
      </c>
      <c r="N470" s="869">
        <f>IFERROR(INDEX(Dataset!$A:$V,MATCH(Calculations!N$250&amp;Calculations!$X470,Dataset!$V:$V,0),MATCH(Calculations!$A$1,Dataset!$A$1:$V$1,0)),"")</f>
        <v>3.3652443646425159</v>
      </c>
      <c r="O470" s="869">
        <f>IFERROR(INDEX(Dataset!$A:$V,MATCH(Calculations!O$250&amp;Calculations!$X470,Dataset!$V:$V,0),MATCH(Calculations!$A$1,Dataset!$A$1:$V$1,0)),"")</f>
        <v>3.3611749426693107</v>
      </c>
      <c r="P470" s="869">
        <f>IFERROR(INDEX(Dataset!$A:$V,MATCH(Calculations!P$250&amp;Calculations!$X470,Dataset!$V:$V,0),MATCH(Calculations!$A$1,Dataset!$A$1:$V$1,0)),"")</f>
        <v>3.3720126812638833</v>
      </c>
      <c r="Q470" s="869">
        <f>IFERROR(INDEX(Dataset!$A:$V,MATCH(Calculations!Q$250&amp;Calculations!$X470,Dataset!$V:$V,0),MATCH(Calculations!$A$1,Dataset!$A$1:$V$1,0)),"")</f>
        <v>3.3838883933056958</v>
      </c>
      <c r="R470" s="869">
        <f>IFERROR(INDEX(Dataset!$A:$V,MATCH(Calculations!R$250&amp;Calculations!$X470,Dataset!$V:$V,0),MATCH(Calculations!$A$1,Dataset!$A$1:$V$1,0)),"")</f>
        <v>3.397183464244256</v>
      </c>
      <c r="S470" s="869">
        <f>IFERROR(INDEX(Dataset!$A:$V,MATCH(Calculations!S$250&amp;Calculations!$X470,Dataset!$V:$V,0),MATCH(Calculations!$A$1,Dataset!$A$1:$V$1,0)),"")</f>
        <v>3.4084321072389807</v>
      </c>
      <c r="T470" s="869">
        <f>IFERROR(INDEX(Dataset!$A:$V,MATCH(Calculations!T$250&amp;Calculations!$X470,Dataset!$V:$V,0),MATCH(Calculations!$A$1,Dataset!$A$1:$V$1,0)),"")</f>
        <v>3.4221009370285551</v>
      </c>
      <c r="X470" t="s">
        <v>1239</v>
      </c>
    </row>
    <row r="471" spans="1:24">
      <c r="A471" s="869" t="s">
        <v>1084</v>
      </c>
      <c r="B471" s="869"/>
      <c r="C471" s="869"/>
      <c r="D471" s="869"/>
      <c r="E471" s="869"/>
      <c r="F471" s="869"/>
      <c r="G471" s="869"/>
      <c r="H471" s="869"/>
      <c r="I471" s="869"/>
      <c r="J471" s="869"/>
      <c r="K471" s="869"/>
      <c r="L471" s="869"/>
      <c r="M471" s="869">
        <f>IFERROR(INDEX(Dataset!$A:$V,MATCH(Calculations!M$250&amp;Calculations!$X471,Dataset!$V:$V,0),MATCH(Calculations!$A$1,Dataset!$A$1:$V$1,0)),"")</f>
        <v>2.4299380109700772</v>
      </c>
      <c r="N471" s="869">
        <f>IFERROR(INDEX(Dataset!$A:$V,MATCH(Calculations!N$250&amp;Calculations!$X471,Dataset!$V:$V,0),MATCH(Calculations!$A$1,Dataset!$A$1:$V$1,0)),"")</f>
        <v>1.901056643219418</v>
      </c>
      <c r="O471" s="869">
        <f>IFERROR(INDEX(Dataset!$A:$V,MATCH(Calculations!O$250&amp;Calculations!$X471,Dataset!$V:$V,0),MATCH(Calculations!$A$1,Dataset!$A$1:$V$1,0)),"")</f>
        <v>2.1041320077989729</v>
      </c>
      <c r="P471" s="869">
        <f>IFERROR(INDEX(Dataset!$A:$V,MATCH(Calculations!P$250&amp;Calculations!$X471,Dataset!$V:$V,0),MATCH(Calculations!$A$1,Dataset!$A$1:$V$1,0)),"")</f>
        <v>2.1812295734677454</v>
      </c>
      <c r="Q471" s="869">
        <f>IFERROR(INDEX(Dataset!$A:$V,MATCH(Calculations!Q$250&amp;Calculations!$X471,Dataset!$V:$V,0),MATCH(Calculations!$A$1,Dataset!$A$1:$V$1,0)),"")</f>
        <v>2.1615183008649814</v>
      </c>
      <c r="R471" s="869">
        <f>IFERROR(INDEX(Dataset!$A:$V,MATCH(Calculations!R$250&amp;Calculations!$X471,Dataset!$V:$V,0),MATCH(Calculations!$A$1,Dataset!$A$1:$V$1,0)),"")</f>
        <v>2.0784978260647868</v>
      </c>
      <c r="S471" s="869">
        <f>IFERROR(INDEX(Dataset!$A:$V,MATCH(Calculations!S$250&amp;Calculations!$X471,Dataset!$V:$V,0),MATCH(Calculations!$A$1,Dataset!$A$1:$V$1,0)),"")</f>
        <v>2.5834999999999999</v>
      </c>
      <c r="T471" s="869" t="str">
        <f>IFERROR(INDEX(Dataset!$A:$V,MATCH(Calculations!T$250&amp;Calculations!$X471,Dataset!$V:$V,0),MATCH(Calculations!$A$1,Dataset!$A$1:$V$1,0)),"")</f>
        <v/>
      </c>
      <c r="X471" t="s">
        <v>1240</v>
      </c>
    </row>
    <row r="472" spans="1:24">
      <c r="A472" s="869" t="s">
        <v>1086</v>
      </c>
      <c r="B472" s="869"/>
      <c r="C472" s="869"/>
      <c r="D472" s="869"/>
      <c r="E472" s="869"/>
      <c r="F472" s="869"/>
      <c r="G472" s="869"/>
      <c r="H472" s="869"/>
      <c r="I472" s="869"/>
      <c r="J472" s="869"/>
      <c r="K472" s="869"/>
      <c r="L472" s="869"/>
      <c r="M472" s="869">
        <f>IFERROR(INDEX(Dataset!$A:$V,MATCH(Calculations!M$250&amp;Calculations!$X472,Dataset!$V:$V,0),MATCH(Calculations!$A$1,Dataset!$A$1:$V$1,0)),"")</f>
        <v>-0.93379648190507059</v>
      </c>
      <c r="N472" s="869">
        <f>IFERROR(INDEX(Dataset!$A:$V,MATCH(Calculations!N$250&amp;Calculations!$X472,Dataset!$V:$V,0),MATCH(Calculations!$A$1,Dataset!$A$1:$V$1,0)),"")</f>
        <v>-1.4641877214230978</v>
      </c>
      <c r="O472" s="869">
        <f>IFERROR(INDEX(Dataset!$A:$V,MATCH(Calculations!O$250&amp;Calculations!$X472,Dataset!$V:$V,0),MATCH(Calculations!$A$1,Dataset!$A$1:$V$1,0)),"")</f>
        <v>-1.2570429348703378</v>
      </c>
      <c r="P472" s="869">
        <f>IFERROR(INDEX(Dataset!$A:$V,MATCH(Calculations!P$250&amp;Calculations!$X472,Dataset!$V:$V,0),MATCH(Calculations!$A$1,Dataset!$A$1:$V$1,0)),"")</f>
        <v>-1.1907831077961379</v>
      </c>
      <c r="Q472" s="869">
        <f>IFERROR(INDEX(Dataset!$A:$V,MATCH(Calculations!Q$250&amp;Calculations!$X472,Dataset!$V:$V,0),MATCH(Calculations!$A$1,Dataset!$A$1:$V$1,0)),"")</f>
        <v>-1.2223700924407144</v>
      </c>
      <c r="R472" s="869">
        <f>IFERROR(INDEX(Dataset!$A:$V,MATCH(Calculations!R$250&amp;Calculations!$X472,Dataset!$V:$V,0),MATCH(Calculations!$A$1,Dataset!$A$1:$V$1,0)),"")</f>
        <v>-1.3186856381794692</v>
      </c>
      <c r="S472" s="869">
        <f>IFERROR(INDEX(Dataset!$A:$V,MATCH(Calculations!S$250&amp;Calculations!$X472,Dataset!$V:$V,0),MATCH(Calculations!$A$1,Dataset!$A$1:$V$1,0)),"")</f>
        <v>-0.82493210723898081</v>
      </c>
      <c r="T472" s="869" t="str">
        <f>IFERROR(INDEX(Dataset!$A:$V,MATCH(Calculations!T$250&amp;Calculations!$X472,Dataset!$V:$V,0),MATCH(Calculations!$A$1,Dataset!$A$1:$V$1,0)),"")</f>
        <v/>
      </c>
      <c r="X472" t="s">
        <v>1241</v>
      </c>
    </row>
    <row r="473" spans="1:24">
      <c r="A473" s="869" t="s">
        <v>1088</v>
      </c>
      <c r="B473" s="869"/>
      <c r="C473" s="869"/>
      <c r="D473" s="869"/>
      <c r="E473" s="869"/>
      <c r="F473" s="869"/>
      <c r="G473" s="869"/>
      <c r="H473" s="869"/>
      <c r="I473" s="869"/>
      <c r="J473" s="869"/>
      <c r="K473" s="869"/>
      <c r="L473" s="869"/>
      <c r="M473" s="871">
        <f>IFERROR(INDEX(Dataset!$A:$V,MATCH(Calculations!M$250&amp;Calculations!$X473,Dataset!$V:$V,0),MATCH(Calculations!$A$1,Dataset!$A$1:$V$1,0)),"")</f>
        <v>-0.2776070715102455</v>
      </c>
      <c r="N473" s="871">
        <f>IFERROR(INDEX(Dataset!$A:$V,MATCH(Calculations!N$250&amp;Calculations!$X473,Dataset!$V:$V,0),MATCH(Calculations!$A$1,Dataset!$A$1:$V$1,0)),"")</f>
        <v>-0.43509105514203456</v>
      </c>
      <c r="O473" s="871">
        <f>IFERROR(INDEX(Dataset!$A:$V,MATCH(Calculations!O$250&amp;Calculations!$X473,Dataset!$V:$V,0),MATCH(Calculations!$A$1,Dataset!$A$1:$V$1,0)),"")</f>
        <v>-0.37398914258001836</v>
      </c>
      <c r="P473" s="871">
        <f>IFERROR(INDEX(Dataset!$A:$V,MATCH(Calculations!P$250&amp;Calculations!$X473,Dataset!$V:$V,0),MATCH(Calculations!$A$1,Dataset!$A$1:$V$1,0)),"")</f>
        <v>-0.3531371973814208</v>
      </c>
      <c r="Q473" s="871">
        <f>IFERROR(INDEX(Dataset!$A:$V,MATCH(Calculations!Q$250&amp;Calculations!$X473,Dataset!$V:$V,0),MATCH(Calculations!$A$1,Dataset!$A$1:$V$1,0)),"")</f>
        <v>-0.3612323901872514</v>
      </c>
      <c r="R473" s="871">
        <f>IFERROR(INDEX(Dataset!$A:$V,MATCH(Calculations!R$250&amp;Calculations!$X473,Dataset!$V:$V,0),MATCH(Calculations!$A$1,Dataset!$A$1:$V$1,0)),"")</f>
        <v>-0.38817027459917491</v>
      </c>
      <c r="S473" s="871">
        <f>IFERROR(INDEX(Dataset!$A:$V,MATCH(Calculations!S$250&amp;Calculations!$X473,Dataset!$V:$V,0),MATCH(Calculations!$A$1,Dataset!$A$1:$V$1,0)),"")</f>
        <v>-0.24202685612747077</v>
      </c>
      <c r="T473" s="871" t="str">
        <f>IFERROR(INDEX(Dataset!$A:$V,MATCH(Calculations!T$250&amp;Calculations!$X473,Dataset!$V:$V,0),MATCH(Calculations!$A$1,Dataset!$A$1:$V$1,0)),"")</f>
        <v/>
      </c>
      <c r="X473" t="s">
        <v>1242</v>
      </c>
    </row>
    <row r="475" spans="1:24">
      <c r="A475" s="1" t="s">
        <v>101</v>
      </c>
    </row>
    <row r="476" spans="1:24">
      <c r="A476" s="869" t="s">
        <v>1080</v>
      </c>
      <c r="B476" s="869"/>
      <c r="C476" s="869"/>
      <c r="D476" s="869"/>
      <c r="E476" s="869"/>
      <c r="F476" s="869"/>
      <c r="G476" s="869"/>
      <c r="H476" s="869"/>
      <c r="I476" s="869"/>
      <c r="J476" s="869"/>
      <c r="K476" s="869"/>
      <c r="L476" s="869"/>
      <c r="M476" s="869">
        <f>IFERROR(INDEX(Dataset!$A:$V,MATCH(Calculations!M$250&amp;Calculations!$X476,Dataset!$V:$V,0),MATCH(Calculations!$A$1,Dataset!$A$1:$V$1,0)),"")</f>
        <v>16.211960636704077</v>
      </c>
      <c r="N476" s="869">
        <f>IFERROR(INDEX(Dataset!$A:$V,MATCH(Calculations!N$250&amp;Calculations!$X476,Dataset!$V:$V,0),MATCH(Calculations!$A$1,Dataset!$A$1:$V$1,0)),"")</f>
        <v>16.425475588709197</v>
      </c>
      <c r="O476" s="869">
        <f>IFERROR(INDEX(Dataset!$A:$V,MATCH(Calculations!O$250&amp;Calculations!$X476,Dataset!$V:$V,0),MATCH(Calculations!$A$1,Dataset!$A$1:$V$1,0)),"")</f>
        <v>8.9941291830202044</v>
      </c>
      <c r="P476" s="869">
        <f>IFERROR(INDEX(Dataset!$A:$V,MATCH(Calculations!P$250&amp;Calculations!$X476,Dataset!$V:$V,0),MATCH(Calculations!$A$1,Dataset!$A$1:$V$1,0)),"")</f>
        <v>13.296125940374699</v>
      </c>
      <c r="Q476" s="869">
        <f>IFERROR(INDEX(Dataset!$A:$V,MATCH(Calculations!Q$250&amp;Calculations!$X476,Dataset!$V:$V,0),MATCH(Calculations!$A$1,Dataset!$A$1:$V$1,0)),"")</f>
        <v>17.622717310992112</v>
      </c>
      <c r="R476" s="869">
        <f>IFERROR(INDEX(Dataset!$A:$V,MATCH(Calculations!R$250&amp;Calculations!$X476,Dataset!$V:$V,0),MATCH(Calculations!$A$1,Dataset!$A$1:$V$1,0)),"")</f>
        <v>19.777824973764275</v>
      </c>
      <c r="S476" s="869">
        <f>IFERROR(INDEX(Dataset!$A:$V,MATCH(Calculations!S$250&amp;Calculations!$X476,Dataset!$V:$V,0),MATCH(Calculations!$A$1,Dataset!$A$1:$V$1,0)),"")</f>
        <v>18.273473268934566</v>
      </c>
      <c r="T476" s="869">
        <f>IFERROR(INDEX(Dataset!$A:$V,MATCH(Calculations!T$250&amp;Calculations!$X476,Dataset!$V:$V,0),MATCH(Calculations!$A$1,Dataset!$A$1:$V$1,0)),"")</f>
        <v>12.986251897442296</v>
      </c>
      <c r="X476" t="s">
        <v>1243</v>
      </c>
    </row>
    <row r="477" spans="1:24">
      <c r="A477" s="869" t="s">
        <v>1082</v>
      </c>
      <c r="B477" s="869"/>
      <c r="C477" s="869"/>
      <c r="D477" s="869"/>
      <c r="E477" s="869"/>
      <c r="F477" s="869"/>
      <c r="G477" s="869"/>
      <c r="H477" s="869"/>
      <c r="I477" s="869"/>
      <c r="J477" s="869"/>
      <c r="K477" s="869"/>
      <c r="L477" s="869"/>
      <c r="M477" s="869">
        <f>IFERROR(INDEX(Dataset!$A:$V,MATCH(Calculations!M$250&amp;Calculations!$X477,Dataset!$V:$V,0),MATCH(Calculations!$A$1,Dataset!$A$1:$V$1,0)),"")</f>
        <v>16.211960636704077</v>
      </c>
      <c r="N477" s="869">
        <f>IFERROR(INDEX(Dataset!$A:$V,MATCH(Calculations!N$250&amp;Calculations!$X477,Dataset!$V:$V,0),MATCH(Calculations!$A$1,Dataset!$A$1:$V$1,0)),"")</f>
        <v>16.425475588709197</v>
      </c>
      <c r="O477" s="869">
        <f>IFERROR(INDEX(Dataset!$A:$V,MATCH(Calculations!O$250&amp;Calculations!$X477,Dataset!$V:$V,0),MATCH(Calculations!$A$1,Dataset!$A$1:$V$1,0)),"")</f>
        <v>8.9941291830202044</v>
      </c>
      <c r="P477" s="869">
        <f>IFERROR(INDEX(Dataset!$A:$V,MATCH(Calculations!P$250&amp;Calculations!$X477,Dataset!$V:$V,0),MATCH(Calculations!$A$1,Dataset!$A$1:$V$1,0)),"")</f>
        <v>13.296125940374699</v>
      </c>
      <c r="Q477" s="869">
        <f>IFERROR(INDEX(Dataset!$A:$V,MATCH(Calculations!Q$250&amp;Calculations!$X477,Dataset!$V:$V,0),MATCH(Calculations!$A$1,Dataset!$A$1:$V$1,0)),"")</f>
        <v>17.622717310992112</v>
      </c>
      <c r="R477" s="869">
        <f>IFERROR(INDEX(Dataset!$A:$V,MATCH(Calculations!R$250&amp;Calculations!$X477,Dataset!$V:$V,0),MATCH(Calculations!$A$1,Dataset!$A$1:$V$1,0)),"")</f>
        <v>19.777824973764275</v>
      </c>
      <c r="S477" s="869">
        <f>IFERROR(INDEX(Dataset!$A:$V,MATCH(Calculations!S$250&amp;Calculations!$X477,Dataset!$V:$V,0),MATCH(Calculations!$A$1,Dataset!$A$1:$V$1,0)),"")</f>
        <v>18.273473268934566</v>
      </c>
      <c r="T477" s="869">
        <f>IFERROR(INDEX(Dataset!$A:$V,MATCH(Calculations!T$250&amp;Calculations!$X477,Dataset!$V:$V,0),MATCH(Calculations!$A$1,Dataset!$A$1:$V$1,0)),"")</f>
        <v>12.986251897442296</v>
      </c>
      <c r="X477" t="s">
        <v>1244</v>
      </c>
    </row>
    <row r="478" spans="1:24">
      <c r="A478" s="869" t="s">
        <v>1084</v>
      </c>
      <c r="B478" s="869"/>
      <c r="C478" s="869"/>
      <c r="D478" s="869"/>
      <c r="E478" s="869"/>
      <c r="F478" s="869"/>
      <c r="G478" s="869"/>
      <c r="H478" s="869"/>
      <c r="I478" s="869"/>
      <c r="J478" s="869"/>
      <c r="K478" s="869"/>
      <c r="L478" s="869"/>
      <c r="M478" s="869">
        <f>IFERROR(INDEX(Dataset!$A:$V,MATCH(Calculations!M$250&amp;Calculations!$X478,Dataset!$V:$V,0),MATCH(Calculations!$A$1,Dataset!$A$1:$V$1,0)),"")</f>
        <v>11.943157317688962</v>
      </c>
      <c r="N478" s="869">
        <f>IFERROR(INDEX(Dataset!$A:$V,MATCH(Calculations!N$250&amp;Calculations!$X478,Dataset!$V:$V,0),MATCH(Calculations!$A$1,Dataset!$A$1:$V$1,0)),"")</f>
        <v>10.733044072273879</v>
      </c>
      <c r="O478" s="869">
        <f>IFERROR(INDEX(Dataset!$A:$V,MATCH(Calculations!O$250&amp;Calculations!$X478,Dataset!$V:$V,0),MATCH(Calculations!$A$1,Dataset!$A$1:$V$1,0)),"")</f>
        <v>16.856146053225078</v>
      </c>
      <c r="P478" s="869">
        <f>IFERROR(INDEX(Dataset!$A:$V,MATCH(Calculations!P$250&amp;Calculations!$X478,Dataset!$V:$V,0),MATCH(Calculations!$A$1,Dataset!$A$1:$V$1,0)),"")</f>
        <v>10.986763300718653</v>
      </c>
      <c r="Q478" s="869">
        <f>IFERROR(INDEX(Dataset!$A:$V,MATCH(Calculations!Q$250&amp;Calculations!$X478,Dataset!$V:$V,0),MATCH(Calculations!$A$1,Dataset!$A$1:$V$1,0)),"")</f>
        <v>10.13472659491746</v>
      </c>
      <c r="R478" s="869">
        <f>IFERROR(INDEX(Dataset!$A:$V,MATCH(Calculations!R$250&amp;Calculations!$X478,Dataset!$V:$V,0),MATCH(Calculations!$A$1,Dataset!$A$1:$V$1,0)),"")</f>
        <v>15.502843607202715</v>
      </c>
      <c r="S478" s="869">
        <f>IFERROR(INDEX(Dataset!$A:$V,MATCH(Calculations!S$250&amp;Calculations!$X478,Dataset!$V:$V,0),MATCH(Calculations!$A$1,Dataset!$A$1:$V$1,0)),"")</f>
        <v>16.193399999999997</v>
      </c>
      <c r="T478" s="869" t="str">
        <f>IFERROR(INDEX(Dataset!$A:$V,MATCH(Calculations!T$250&amp;Calculations!$X478,Dataset!$V:$V,0),MATCH(Calculations!$A$1,Dataset!$A$1:$V$1,0)),"")</f>
        <v/>
      </c>
      <c r="X478" t="s">
        <v>1245</v>
      </c>
    </row>
    <row r="479" spans="1:24">
      <c r="A479" s="869" t="s">
        <v>1086</v>
      </c>
      <c r="B479" s="869"/>
      <c r="C479" s="869"/>
      <c r="D479" s="869"/>
      <c r="E479" s="869"/>
      <c r="F479" s="869"/>
      <c r="G479" s="869"/>
      <c r="H479" s="869"/>
      <c r="I479" s="869"/>
      <c r="J479" s="869"/>
      <c r="K479" s="869"/>
      <c r="L479" s="869"/>
      <c r="M479" s="869">
        <f>IFERROR(INDEX(Dataset!$A:$V,MATCH(Calculations!M$250&amp;Calculations!$X479,Dataset!$V:$V,0),MATCH(Calculations!$A$1,Dataset!$A$1:$V$1,0)),"")</f>
        <v>-4.2688033190151149</v>
      </c>
      <c r="N479" s="869">
        <f>IFERROR(INDEX(Dataset!$A:$V,MATCH(Calculations!N$250&amp;Calculations!$X479,Dataset!$V:$V,0),MATCH(Calculations!$A$1,Dataset!$A$1:$V$1,0)),"")</f>
        <v>-5.6924315164353185</v>
      </c>
      <c r="O479" s="869">
        <f>IFERROR(INDEX(Dataset!$A:$V,MATCH(Calculations!O$250&amp;Calculations!$X479,Dataset!$V:$V,0),MATCH(Calculations!$A$1,Dataset!$A$1:$V$1,0)),"")</f>
        <v>7.8620168702048741</v>
      </c>
      <c r="P479" s="869">
        <f>IFERROR(INDEX(Dataset!$A:$V,MATCH(Calculations!P$250&amp;Calculations!$X479,Dataset!$V:$V,0),MATCH(Calculations!$A$1,Dataset!$A$1:$V$1,0)),"")</f>
        <v>-2.3093626396560456</v>
      </c>
      <c r="Q479" s="869">
        <f>IFERROR(INDEX(Dataset!$A:$V,MATCH(Calculations!Q$250&amp;Calculations!$X479,Dataset!$V:$V,0),MATCH(Calculations!$A$1,Dataset!$A$1:$V$1,0)),"")</f>
        <v>-7.4879907160746519</v>
      </c>
      <c r="R479" s="869">
        <f>IFERROR(INDEX(Dataset!$A:$V,MATCH(Calculations!R$250&amp;Calculations!$X479,Dataset!$V:$V,0),MATCH(Calculations!$A$1,Dataset!$A$1:$V$1,0)),"")</f>
        <v>-4.2749813665615601</v>
      </c>
      <c r="S479" s="869">
        <f>IFERROR(INDEX(Dataset!$A:$V,MATCH(Calculations!S$250&amp;Calculations!$X479,Dataset!$V:$V,0),MATCH(Calculations!$A$1,Dataset!$A$1:$V$1,0)),"")</f>
        <v>-2.0800732689345693</v>
      </c>
      <c r="T479" s="869" t="str">
        <f>IFERROR(INDEX(Dataset!$A:$V,MATCH(Calculations!T$250&amp;Calculations!$X479,Dataset!$V:$V,0),MATCH(Calculations!$A$1,Dataset!$A$1:$V$1,0)),"")</f>
        <v/>
      </c>
      <c r="X479" t="s">
        <v>1246</v>
      </c>
    </row>
    <row r="480" spans="1:24">
      <c r="A480" s="869" t="s">
        <v>1088</v>
      </c>
      <c r="B480" s="869"/>
      <c r="C480" s="869"/>
      <c r="D480" s="869"/>
      <c r="E480" s="869"/>
      <c r="F480" s="869"/>
      <c r="G480" s="869"/>
      <c r="H480" s="869"/>
      <c r="I480" s="869"/>
      <c r="J480" s="869"/>
      <c r="K480" s="869"/>
      <c r="L480" s="869"/>
      <c r="M480" s="871">
        <f>IFERROR(INDEX(Dataset!$A:$V,MATCH(Calculations!M$250&amp;Calculations!$X480,Dataset!$V:$V,0),MATCH(Calculations!$A$1,Dataset!$A$1:$V$1,0)),"")</f>
        <v>-0.26331197161622094</v>
      </c>
      <c r="N480" s="871">
        <f>IFERROR(INDEX(Dataset!$A:$V,MATCH(Calculations!N$250&amp;Calculations!$X480,Dataset!$V:$V,0),MATCH(Calculations!$A$1,Dataset!$A$1:$V$1,0)),"")</f>
        <v>-0.34656113825698126</v>
      </c>
      <c r="O480" s="871">
        <f>IFERROR(INDEX(Dataset!$A:$V,MATCH(Calculations!O$250&amp;Calculations!$X480,Dataset!$V:$V,0),MATCH(Calculations!$A$1,Dataset!$A$1:$V$1,0)),"")</f>
        <v>0.87412763484066724</v>
      </c>
      <c r="P480" s="871">
        <f>IFERROR(INDEX(Dataset!$A:$V,MATCH(Calculations!P$250&amp;Calculations!$X480,Dataset!$V:$V,0),MATCH(Calculations!$A$1,Dataset!$A$1:$V$1,0)),"")</f>
        <v>-0.17368688067578317</v>
      </c>
      <c r="Q480" s="871">
        <f>IFERROR(INDEX(Dataset!$A:$V,MATCH(Calculations!Q$250&amp;Calculations!$X480,Dataset!$V:$V,0),MATCH(Calculations!$A$1,Dataset!$A$1:$V$1,0)),"")</f>
        <v>-0.42490556841674143</v>
      </c>
      <c r="R480" s="871">
        <f>IFERROR(INDEX(Dataset!$A:$V,MATCH(Calculations!R$250&amp;Calculations!$X480,Dataset!$V:$V,0),MATCH(Calculations!$A$1,Dataset!$A$1:$V$1,0)),"")</f>
        <v>-0.21615022745081514</v>
      </c>
      <c r="S480" s="871">
        <f>IFERROR(INDEX(Dataset!$A:$V,MATCH(Calculations!S$250&amp;Calculations!$X480,Dataset!$V:$V,0),MATCH(Calculations!$A$1,Dataset!$A$1:$V$1,0)),"")</f>
        <v>-0.1138302083200983</v>
      </c>
      <c r="T480" s="871" t="str">
        <f>IFERROR(INDEX(Dataset!$A:$V,MATCH(Calculations!T$250&amp;Calculations!$X480,Dataset!$V:$V,0),MATCH(Calculations!$A$1,Dataset!$A$1:$V$1,0)),"")</f>
        <v/>
      </c>
      <c r="X480" t="s">
        <v>1247</v>
      </c>
    </row>
    <row r="482" spans="1:24">
      <c r="A482" s="1" t="s">
        <v>103</v>
      </c>
    </row>
    <row r="483" spans="1:24">
      <c r="A483" s="869" t="s">
        <v>1080</v>
      </c>
      <c r="B483" s="869"/>
      <c r="C483" s="869"/>
      <c r="D483" s="869"/>
      <c r="E483" s="869"/>
      <c r="F483" s="869"/>
      <c r="G483" s="869"/>
      <c r="H483" s="869"/>
      <c r="I483" s="869"/>
      <c r="J483" s="869"/>
      <c r="K483" s="869"/>
      <c r="L483" s="869"/>
      <c r="M483" s="869">
        <f>IFERROR(INDEX(Dataset!$A:$V,MATCH(Calculations!M$250&amp;Calculations!$X483,Dataset!$V:$V,0),MATCH(Calculations!$A$1,Dataset!$A$1:$V$1,0)),"")</f>
        <v>0.99402031474597807</v>
      </c>
      <c r="N483" s="869">
        <f>IFERROR(INDEX(Dataset!$A:$V,MATCH(Calculations!N$250&amp;Calculations!$X483,Dataset!$V:$V,0),MATCH(Calculations!$A$1,Dataset!$A$1:$V$1,0)),"")</f>
        <v>1.6409522285897911</v>
      </c>
      <c r="O483" s="869">
        <f>IFERROR(INDEX(Dataset!$A:$V,MATCH(Calculations!O$250&amp;Calculations!$X483,Dataset!$V:$V,0),MATCH(Calculations!$A$1,Dataset!$A$1:$V$1,0)),"")</f>
        <v>2.4421930498505184</v>
      </c>
      <c r="P483" s="869">
        <f>IFERROR(INDEX(Dataset!$A:$V,MATCH(Calculations!P$250&amp;Calculations!$X483,Dataset!$V:$V,0),MATCH(Calculations!$A$1,Dataset!$A$1:$V$1,0)),"")</f>
        <v>2.8569771003115489</v>
      </c>
      <c r="Q483" s="869">
        <f>IFERROR(INDEX(Dataset!$A:$V,MATCH(Calculations!Q$250&amp;Calculations!$X483,Dataset!$V:$V,0),MATCH(Calculations!$A$1,Dataset!$A$1:$V$1,0)),"")</f>
        <v>2.8690142760608648</v>
      </c>
      <c r="R483" s="869">
        <f>IFERROR(INDEX(Dataset!$A:$V,MATCH(Calculations!R$250&amp;Calculations!$X483,Dataset!$V:$V,0),MATCH(Calculations!$A$1,Dataset!$A$1:$V$1,0)),"")</f>
        <v>2.0274632817596885</v>
      </c>
      <c r="S483" s="869">
        <f>IFERROR(INDEX(Dataset!$A:$V,MATCH(Calculations!S$250&amp;Calculations!$X483,Dataset!$V:$V,0),MATCH(Calculations!$A$1,Dataset!$A$1:$V$1,0)),"")</f>
        <v>0</v>
      </c>
      <c r="T483" s="869">
        <f>IFERROR(INDEX(Dataset!$A:$V,MATCH(Calculations!T$250&amp;Calculations!$X483,Dataset!$V:$V,0),MATCH(Calculations!$A$1,Dataset!$A$1:$V$1,0)),"")</f>
        <v>0</v>
      </c>
      <c r="X483" t="s">
        <v>1248</v>
      </c>
    </row>
    <row r="484" spans="1:24">
      <c r="A484" s="869" t="s">
        <v>1082</v>
      </c>
      <c r="B484" s="869"/>
      <c r="C484" s="869"/>
      <c r="D484" s="869"/>
      <c r="E484" s="869"/>
      <c r="F484" s="869"/>
      <c r="G484" s="869"/>
      <c r="H484" s="869"/>
      <c r="I484" s="869"/>
      <c r="J484" s="869"/>
      <c r="K484" s="869"/>
      <c r="L484" s="869"/>
      <c r="M484" s="869">
        <f>IFERROR(INDEX(Dataset!$A:$V,MATCH(Calculations!M$250&amp;Calculations!$X484,Dataset!$V:$V,0),MATCH(Calculations!$A$1,Dataset!$A$1:$V$1,0)),"")</f>
        <v>0.25809715745376521</v>
      </c>
      <c r="N484" s="869">
        <f>IFERROR(INDEX(Dataset!$A:$V,MATCH(Calculations!N$250&amp;Calculations!$X484,Dataset!$V:$V,0),MATCH(Calculations!$A$1,Dataset!$A$1:$V$1,0)),"")</f>
        <v>1.9005336139777258</v>
      </c>
      <c r="O484" s="869">
        <f>IFERROR(INDEX(Dataset!$A:$V,MATCH(Calculations!O$250&amp;Calculations!$X484,Dataset!$V:$V,0),MATCH(Calculations!$A$1,Dataset!$A$1:$V$1,0)),"")</f>
        <v>2.169790182895678</v>
      </c>
      <c r="P484" s="869">
        <f>IFERROR(INDEX(Dataset!$A:$V,MATCH(Calculations!P$250&amp;Calculations!$X484,Dataset!$V:$V,0),MATCH(Calculations!$A$1,Dataset!$A$1:$V$1,0)),"")</f>
        <v>2.7826993971594973</v>
      </c>
      <c r="Q484" s="869">
        <f>IFERROR(INDEX(Dataset!$A:$V,MATCH(Calculations!Q$250&amp;Calculations!$X484,Dataset!$V:$V,0),MATCH(Calculations!$A$1,Dataset!$A$1:$V$1,0)),"")</f>
        <v>1.4847740022478799</v>
      </c>
      <c r="R484" s="869">
        <f>IFERROR(INDEX(Dataset!$A:$V,MATCH(Calculations!R$250&amp;Calculations!$X484,Dataset!$V:$V,0),MATCH(Calculations!$A$1,Dataset!$A$1:$V$1,0)),"")</f>
        <v>1.0386836824358843</v>
      </c>
      <c r="S484" s="869">
        <f>IFERROR(INDEX(Dataset!$A:$V,MATCH(Calculations!S$250&amp;Calculations!$X484,Dataset!$V:$V,0),MATCH(Calculations!$A$1,Dataset!$A$1:$V$1,0)),"")</f>
        <v>0</v>
      </c>
      <c r="T484" s="869">
        <f>IFERROR(INDEX(Dataset!$A:$V,MATCH(Calculations!T$250&amp;Calculations!$X484,Dataset!$V:$V,0),MATCH(Calculations!$A$1,Dataset!$A$1:$V$1,0)),"")</f>
        <v>0</v>
      </c>
      <c r="X484" t="s">
        <v>1249</v>
      </c>
    </row>
    <row r="485" spans="1:24">
      <c r="A485" s="869" t="s">
        <v>1084</v>
      </c>
      <c r="B485" s="869"/>
      <c r="C485" s="869"/>
      <c r="D485" s="869"/>
      <c r="E485" s="869"/>
      <c r="F485" s="869"/>
      <c r="G485" s="869"/>
      <c r="H485" s="869"/>
      <c r="I485" s="869"/>
      <c r="J485" s="869"/>
      <c r="K485" s="869"/>
      <c r="L485" s="869"/>
      <c r="M485" s="869">
        <f>IFERROR(INDEX(Dataset!$A:$V,MATCH(Calculations!M$250&amp;Calculations!$X485,Dataset!$V:$V,0),MATCH(Calculations!$A$1,Dataset!$A$1:$V$1,0)),"")</f>
        <v>0.28185361923887869</v>
      </c>
      <c r="N485" s="869">
        <f>IFERROR(INDEX(Dataset!$A:$V,MATCH(Calculations!N$250&amp;Calculations!$X485,Dataset!$V:$V,0),MATCH(Calculations!$A$1,Dataset!$A$1:$V$1,0)),"")</f>
        <v>2.5914959923318439</v>
      </c>
      <c r="O485" s="869">
        <f>IFERROR(INDEX(Dataset!$A:$V,MATCH(Calculations!O$250&amp;Calculations!$X485,Dataset!$V:$V,0),MATCH(Calculations!$A$1,Dataset!$A$1:$V$1,0)),"")</f>
        <v>2.7809856606573828</v>
      </c>
      <c r="P485" s="869">
        <f>IFERROR(INDEX(Dataset!$A:$V,MATCH(Calculations!P$250&amp;Calculations!$X485,Dataset!$V:$V,0),MATCH(Calculations!$A$1,Dataset!$A$1:$V$1,0)),"")</f>
        <v>4.2065001341296391</v>
      </c>
      <c r="Q485" s="869">
        <f>IFERROR(INDEX(Dataset!$A:$V,MATCH(Calculations!Q$250&amp;Calculations!$X485,Dataset!$V:$V,0),MATCH(Calculations!$A$1,Dataset!$A$1:$V$1,0)),"")</f>
        <v>2.5180242910522224</v>
      </c>
      <c r="R485" s="869">
        <f>IFERROR(INDEX(Dataset!$A:$V,MATCH(Calculations!R$250&amp;Calculations!$X485,Dataset!$V:$V,0),MATCH(Calculations!$A$1,Dataset!$A$1:$V$1,0)),"")</f>
        <v>1.7897294258023508</v>
      </c>
      <c r="S485" s="869">
        <f>IFERROR(INDEX(Dataset!$A:$V,MATCH(Calculations!S$250&amp;Calculations!$X485,Dataset!$V:$V,0),MATCH(Calculations!$A$1,Dataset!$A$1:$V$1,0)),"")</f>
        <v>2.1987999999999999</v>
      </c>
      <c r="T485" s="869" t="str">
        <f>IFERROR(INDEX(Dataset!$A:$V,MATCH(Calculations!T$250&amp;Calculations!$X485,Dataset!$V:$V,0),MATCH(Calculations!$A$1,Dataset!$A$1:$V$1,0)),"")</f>
        <v/>
      </c>
      <c r="X485" t="s">
        <v>1250</v>
      </c>
    </row>
    <row r="486" spans="1:24">
      <c r="A486" s="869" t="s">
        <v>1086</v>
      </c>
      <c r="B486" s="869"/>
      <c r="C486" s="869"/>
      <c r="D486" s="869"/>
      <c r="E486" s="869"/>
      <c r="F486" s="869"/>
      <c r="G486" s="869"/>
      <c r="H486" s="869"/>
      <c r="I486" s="869"/>
      <c r="J486" s="869"/>
      <c r="K486" s="869"/>
      <c r="L486" s="869"/>
      <c r="M486" s="869">
        <f>IFERROR(INDEX(Dataset!$A:$V,MATCH(Calculations!M$250&amp;Calculations!$X486,Dataset!$V:$V,0),MATCH(Calculations!$A$1,Dataset!$A$1:$V$1,0)),"")</f>
        <v>2.3756461785113481E-2</v>
      </c>
      <c r="N486" s="869">
        <f>IFERROR(INDEX(Dataset!$A:$V,MATCH(Calculations!N$250&amp;Calculations!$X486,Dataset!$V:$V,0),MATCH(Calculations!$A$1,Dataset!$A$1:$V$1,0)),"")</f>
        <v>0.69096237835411811</v>
      </c>
      <c r="O486" s="869">
        <f>IFERROR(INDEX(Dataset!$A:$V,MATCH(Calculations!O$250&amp;Calculations!$X486,Dataset!$V:$V,0),MATCH(Calculations!$A$1,Dataset!$A$1:$V$1,0)),"")</f>
        <v>0.6111954777617048</v>
      </c>
      <c r="P486" s="869">
        <f>IFERROR(INDEX(Dataset!$A:$V,MATCH(Calculations!P$250&amp;Calculations!$X486,Dataset!$V:$V,0),MATCH(Calculations!$A$1,Dataset!$A$1:$V$1,0)),"")</f>
        <v>1.4238007369701418</v>
      </c>
      <c r="Q486" s="869">
        <f>IFERROR(INDEX(Dataset!$A:$V,MATCH(Calculations!Q$250&amp;Calculations!$X486,Dataset!$V:$V,0),MATCH(Calculations!$A$1,Dataset!$A$1:$V$1,0)),"")</f>
        <v>1.0332502888043424</v>
      </c>
      <c r="R486" s="869">
        <f>IFERROR(INDEX(Dataset!$A:$V,MATCH(Calculations!R$250&amp;Calculations!$X486,Dataset!$V:$V,0),MATCH(Calculations!$A$1,Dataset!$A$1:$V$1,0)),"")</f>
        <v>0.75104574336646657</v>
      </c>
      <c r="S486" s="869">
        <f>IFERROR(INDEX(Dataset!$A:$V,MATCH(Calculations!S$250&amp;Calculations!$X486,Dataset!$V:$V,0),MATCH(Calculations!$A$1,Dataset!$A$1:$V$1,0)),"")</f>
        <v>2.1987999999999999</v>
      </c>
      <c r="T486" s="869" t="str">
        <f>IFERROR(INDEX(Dataset!$A:$V,MATCH(Calculations!T$250&amp;Calculations!$X486,Dataset!$V:$V,0),MATCH(Calculations!$A$1,Dataset!$A$1:$V$1,0)),"")</f>
        <v/>
      </c>
      <c r="X486" t="s">
        <v>1251</v>
      </c>
    </row>
    <row r="487" spans="1:24">
      <c r="A487" s="869" t="s">
        <v>1088</v>
      </c>
      <c r="B487" s="869"/>
      <c r="C487" s="869"/>
      <c r="D487" s="869"/>
      <c r="E487" s="869"/>
      <c r="F487" s="869"/>
      <c r="G487" s="869"/>
      <c r="H487" s="869"/>
      <c r="I487" s="869"/>
      <c r="J487" s="869"/>
      <c r="K487" s="869"/>
      <c r="L487" s="869"/>
      <c r="M487" s="871">
        <f>IFERROR(INDEX(Dataset!$A:$V,MATCH(Calculations!M$250&amp;Calculations!$X487,Dataset!$V:$V,0),MATCH(Calculations!$A$1,Dataset!$A$1:$V$1,0)),"")</f>
        <v>9.2044647137848254E-2</v>
      </c>
      <c r="N487" s="871">
        <f>IFERROR(INDEX(Dataset!$A:$V,MATCH(Calculations!N$250&amp;Calculations!$X487,Dataset!$V:$V,0),MATCH(Calculations!$A$1,Dataset!$A$1:$V$1,0)),"")</f>
        <v>0.36356230338276785</v>
      </c>
      <c r="O487" s="871">
        <f>IFERROR(INDEX(Dataset!$A:$V,MATCH(Calculations!O$250&amp;Calculations!$X487,Dataset!$V:$V,0),MATCH(Calculations!$A$1,Dataset!$A$1:$V$1,0)),"")</f>
        <v>0.28168413820825672</v>
      </c>
      <c r="P487" s="871">
        <f>IFERROR(INDEX(Dataset!$A:$V,MATCH(Calculations!P$250&amp;Calculations!$X487,Dataset!$V:$V,0),MATCH(Calculations!$A$1,Dataset!$A$1:$V$1,0)),"")</f>
        <v>0.51166171179809006</v>
      </c>
      <c r="Q487" s="871">
        <f>IFERROR(INDEX(Dataset!$A:$V,MATCH(Calculations!Q$250&amp;Calculations!$X487,Dataset!$V:$V,0),MATCH(Calculations!$A$1,Dataset!$A$1:$V$1,0)),"")</f>
        <v>0.69589734682857374</v>
      </c>
      <c r="R487" s="871">
        <f>IFERROR(INDEX(Dataset!$A:$V,MATCH(Calculations!R$250&amp;Calculations!$X487,Dataset!$V:$V,0),MATCH(Calculations!$A$1,Dataset!$A$1:$V$1,0)),"")</f>
        <v>0.72307455683249078</v>
      </c>
      <c r="S487" s="871" t="str">
        <f>IFERROR(INDEX(Dataset!$A:$V,MATCH(Calculations!S$250&amp;Calculations!$X487,Dataset!$V:$V,0),MATCH(Calculations!$A$1,Dataset!$A$1:$V$1,0)),"")</f>
        <v/>
      </c>
      <c r="T487" s="871" t="str">
        <f>IFERROR(INDEX(Dataset!$A:$V,MATCH(Calculations!T$250&amp;Calculations!$X487,Dataset!$V:$V,0),MATCH(Calculations!$A$1,Dataset!$A$1:$V$1,0)),"")</f>
        <v/>
      </c>
      <c r="X487" t="s">
        <v>1252</v>
      </c>
    </row>
    <row r="489" spans="1:24">
      <c r="A489" s="1" t="s">
        <v>105</v>
      </c>
    </row>
    <row r="490" spans="1:24">
      <c r="A490" s="869" t="s">
        <v>1080</v>
      </c>
      <c r="B490" s="869"/>
      <c r="C490" s="869"/>
      <c r="D490" s="869"/>
      <c r="E490" s="869"/>
      <c r="F490" s="869"/>
      <c r="G490" s="869"/>
      <c r="H490" s="869"/>
      <c r="I490" s="869"/>
      <c r="J490" s="869"/>
      <c r="K490" s="869"/>
      <c r="L490" s="869"/>
      <c r="M490" s="869">
        <f>IFERROR(INDEX(Dataset!$A:$V,MATCH(Calculations!M$250&amp;Calculations!$X490,Dataset!$V:$V,0),MATCH(Calculations!$A$1,Dataset!$A$1:$V$1,0)),"")</f>
        <v>67.84005104149054</v>
      </c>
      <c r="N490" s="869">
        <f>IFERROR(INDEX(Dataset!$A:$V,MATCH(Calculations!N$250&amp;Calculations!$X490,Dataset!$V:$V,0),MATCH(Calculations!$A$1,Dataset!$A$1:$V$1,0)),"")</f>
        <v>67.401078247069989</v>
      </c>
      <c r="O490" s="869">
        <f>IFERROR(INDEX(Dataset!$A:$V,MATCH(Calculations!O$250&amp;Calculations!$X490,Dataset!$V:$V,0),MATCH(Calculations!$A$1,Dataset!$A$1:$V$1,0)),"")</f>
        <v>67.044400484970822</v>
      </c>
      <c r="P490" s="869">
        <f>IFERROR(INDEX(Dataset!$A:$V,MATCH(Calculations!P$250&amp;Calculations!$X490,Dataset!$V:$V,0),MATCH(Calculations!$A$1,Dataset!$A$1:$V$1,0)),"")</f>
        <v>67.323772361112376</v>
      </c>
      <c r="Q490" s="869">
        <f>IFERROR(INDEX(Dataset!$A:$V,MATCH(Calculations!Q$250&amp;Calculations!$X490,Dataset!$V:$V,0),MATCH(Calculations!$A$1,Dataset!$A$1:$V$1,0)),"")</f>
        <v>68.203228603306442</v>
      </c>
      <c r="R490" s="869">
        <f>IFERROR(INDEX(Dataset!$A:$V,MATCH(Calculations!R$250&amp;Calculations!$X490,Dataset!$V:$V,0),MATCH(Calculations!$A$1,Dataset!$A$1:$V$1,0)),"")</f>
        <v>68.832658749280256</v>
      </c>
      <c r="S490" s="869">
        <f>IFERROR(INDEX(Dataset!$A:$V,MATCH(Calculations!S$250&amp;Calculations!$X490,Dataset!$V:$V,0),MATCH(Calculations!$A$1,Dataset!$A$1:$V$1,0)),"")</f>
        <v>69.292793895842266</v>
      </c>
      <c r="T490" s="869">
        <f>IFERROR(INDEX(Dataset!$A:$V,MATCH(Calculations!T$250&amp;Calculations!$X490,Dataset!$V:$V,0),MATCH(Calculations!$A$1,Dataset!$A$1:$V$1,0)),"")</f>
        <v>69.83794744138622</v>
      </c>
      <c r="X490" t="s">
        <v>1253</v>
      </c>
    </row>
    <row r="491" spans="1:24">
      <c r="A491" s="869" t="s">
        <v>1082</v>
      </c>
      <c r="B491" s="869"/>
      <c r="C491" s="869"/>
      <c r="D491" s="869"/>
      <c r="E491" s="869"/>
      <c r="F491" s="869"/>
      <c r="G491" s="869"/>
      <c r="H491" s="869"/>
      <c r="I491" s="869"/>
      <c r="J491" s="869"/>
      <c r="K491" s="869"/>
      <c r="L491" s="869"/>
      <c r="M491" s="869">
        <f>IFERROR(INDEX(Dataset!$A:$V,MATCH(Calculations!M$250&amp;Calculations!$X491,Dataset!$V:$V,0),MATCH(Calculations!$A$1,Dataset!$A$1:$V$1,0)),"")</f>
        <v>67.84005104149054</v>
      </c>
      <c r="N491" s="869">
        <f>IFERROR(INDEX(Dataset!$A:$V,MATCH(Calculations!N$250&amp;Calculations!$X491,Dataset!$V:$V,0),MATCH(Calculations!$A$1,Dataset!$A$1:$V$1,0)),"")</f>
        <v>67.401078247069989</v>
      </c>
      <c r="O491" s="869">
        <f>IFERROR(INDEX(Dataset!$A:$V,MATCH(Calculations!O$250&amp;Calculations!$X491,Dataset!$V:$V,0),MATCH(Calculations!$A$1,Dataset!$A$1:$V$1,0)),"")</f>
        <v>67.044400484970822</v>
      </c>
      <c r="P491" s="869">
        <f>IFERROR(INDEX(Dataset!$A:$V,MATCH(Calculations!P$250&amp;Calculations!$X491,Dataset!$V:$V,0),MATCH(Calculations!$A$1,Dataset!$A$1:$V$1,0)),"")</f>
        <v>67.323772361112376</v>
      </c>
      <c r="Q491" s="869">
        <f>IFERROR(INDEX(Dataset!$A:$V,MATCH(Calculations!Q$250&amp;Calculations!$X491,Dataset!$V:$V,0),MATCH(Calculations!$A$1,Dataset!$A$1:$V$1,0)),"")</f>
        <v>68.203228603306442</v>
      </c>
      <c r="R491" s="869">
        <f>IFERROR(INDEX(Dataset!$A:$V,MATCH(Calculations!R$250&amp;Calculations!$X491,Dataset!$V:$V,0),MATCH(Calculations!$A$1,Dataset!$A$1:$V$1,0)),"")</f>
        <v>68.832658749280256</v>
      </c>
      <c r="S491" s="869">
        <f>IFERROR(INDEX(Dataset!$A:$V,MATCH(Calculations!S$250&amp;Calculations!$X491,Dataset!$V:$V,0),MATCH(Calculations!$A$1,Dataset!$A$1:$V$1,0)),"")</f>
        <v>69.292793895842266</v>
      </c>
      <c r="T491" s="869">
        <f>IFERROR(INDEX(Dataset!$A:$V,MATCH(Calculations!T$250&amp;Calculations!$X491,Dataset!$V:$V,0),MATCH(Calculations!$A$1,Dataset!$A$1:$V$1,0)),"")</f>
        <v>69.83794744138622</v>
      </c>
      <c r="X491" t="s">
        <v>1254</v>
      </c>
    </row>
    <row r="492" spans="1:24">
      <c r="A492" s="869" t="s">
        <v>1084</v>
      </c>
      <c r="B492" s="869"/>
      <c r="C492" s="869"/>
      <c r="D492" s="869"/>
      <c r="E492" s="869"/>
      <c r="F492" s="869"/>
      <c r="G492" s="869"/>
      <c r="H492" s="869"/>
      <c r="I492" s="869"/>
      <c r="J492" s="869"/>
      <c r="K492" s="869"/>
      <c r="L492" s="869"/>
      <c r="M492" s="869">
        <f>IFERROR(INDEX(Dataset!$A:$V,MATCH(Calculations!M$250&amp;Calculations!$X492,Dataset!$V:$V,0),MATCH(Calculations!$A$1,Dataset!$A$1:$V$1,0)),"")</f>
        <v>82.401884556706364</v>
      </c>
      <c r="N492" s="869">
        <f>IFERROR(INDEX(Dataset!$A:$V,MATCH(Calculations!N$250&amp;Calculations!$X492,Dataset!$V:$V,0),MATCH(Calculations!$A$1,Dataset!$A$1:$V$1,0)),"")</f>
        <v>81.207292199764524</v>
      </c>
      <c r="O492" s="869">
        <f>IFERROR(INDEX(Dataset!$A:$V,MATCH(Calculations!O$250&amp;Calculations!$X492,Dataset!$V:$V,0),MATCH(Calculations!$A$1,Dataset!$A$1:$V$1,0)),"")</f>
        <v>79.619155401079624</v>
      </c>
      <c r="P492" s="869">
        <f>IFERROR(INDEX(Dataset!$A:$V,MATCH(Calculations!P$250&amp;Calculations!$X492,Dataset!$V:$V,0),MATCH(Calculations!$A$1,Dataset!$A$1:$V$1,0)),"")</f>
        <v>78.394115750349428</v>
      </c>
      <c r="Q492" s="869">
        <f>IFERROR(INDEX(Dataset!$A:$V,MATCH(Calculations!Q$250&amp;Calculations!$X492,Dataset!$V:$V,0),MATCH(Calculations!$A$1,Dataset!$A$1:$V$1,0)),"")</f>
        <v>73.08394210609616</v>
      </c>
      <c r="R492" s="869">
        <f>IFERROR(INDEX(Dataset!$A:$V,MATCH(Calculations!R$250&amp;Calculations!$X492,Dataset!$V:$V,0),MATCH(Calculations!$A$1,Dataset!$A$1:$V$1,0)),"")</f>
        <v>70.07869616918282</v>
      </c>
      <c r="S492" s="869">
        <f>IFERROR(INDEX(Dataset!$A:$V,MATCH(Calculations!S$250&amp;Calculations!$X492,Dataset!$V:$V,0),MATCH(Calculations!$A$1,Dataset!$A$1:$V$1,0)),"")</f>
        <v>69.809899999999985</v>
      </c>
      <c r="T492" s="869" t="str">
        <f>IFERROR(INDEX(Dataset!$A:$V,MATCH(Calculations!T$250&amp;Calculations!$X492,Dataset!$V:$V,0),MATCH(Calculations!$A$1,Dataset!$A$1:$V$1,0)),"")</f>
        <v/>
      </c>
      <c r="X492" t="s">
        <v>1255</v>
      </c>
    </row>
    <row r="493" spans="1:24">
      <c r="A493" s="869" t="s">
        <v>1086</v>
      </c>
      <c r="B493" s="869"/>
      <c r="C493" s="869"/>
      <c r="D493" s="869"/>
      <c r="E493" s="869"/>
      <c r="F493" s="869"/>
      <c r="G493" s="869"/>
      <c r="H493" s="869"/>
      <c r="I493" s="869"/>
      <c r="J493" s="869"/>
      <c r="K493" s="869"/>
      <c r="L493" s="869"/>
      <c r="M493" s="869">
        <f>IFERROR(INDEX(Dataset!$A:$V,MATCH(Calculations!M$250&amp;Calculations!$X493,Dataset!$V:$V,0),MATCH(Calculations!$A$1,Dataset!$A$1:$V$1,0)),"")</f>
        <v>14.561833515215824</v>
      </c>
      <c r="N493" s="869">
        <f>IFERROR(INDEX(Dataset!$A:$V,MATCH(Calculations!N$250&amp;Calculations!$X493,Dataset!$V:$V,0),MATCH(Calculations!$A$1,Dataset!$A$1:$V$1,0)),"")</f>
        <v>13.806213952694534</v>
      </c>
      <c r="O493" s="869">
        <f>IFERROR(INDEX(Dataset!$A:$V,MATCH(Calculations!O$250&amp;Calculations!$X493,Dataset!$V:$V,0),MATCH(Calculations!$A$1,Dataset!$A$1:$V$1,0)),"")</f>
        <v>12.574754916108802</v>
      </c>
      <c r="P493" s="869">
        <f>IFERROR(INDEX(Dataset!$A:$V,MATCH(Calculations!P$250&amp;Calculations!$X493,Dataset!$V:$V,0),MATCH(Calculations!$A$1,Dataset!$A$1:$V$1,0)),"")</f>
        <v>11.070343389237053</v>
      </c>
      <c r="Q493" s="869">
        <f>IFERROR(INDEX(Dataset!$A:$V,MATCH(Calculations!Q$250&amp;Calculations!$X493,Dataset!$V:$V,0),MATCH(Calculations!$A$1,Dataset!$A$1:$V$1,0)),"")</f>
        <v>4.8807135027897175</v>
      </c>
      <c r="R493" s="869">
        <f>IFERROR(INDEX(Dataset!$A:$V,MATCH(Calculations!R$250&amp;Calculations!$X493,Dataset!$V:$V,0),MATCH(Calculations!$A$1,Dataset!$A$1:$V$1,0)),"")</f>
        <v>1.2460374199025637</v>
      </c>
      <c r="S493" s="869">
        <f>IFERROR(INDEX(Dataset!$A:$V,MATCH(Calculations!S$250&amp;Calculations!$X493,Dataset!$V:$V,0),MATCH(Calculations!$A$1,Dataset!$A$1:$V$1,0)),"")</f>
        <v>0.51710610415771896</v>
      </c>
      <c r="T493" s="869" t="str">
        <f>IFERROR(INDEX(Dataset!$A:$V,MATCH(Calculations!T$250&amp;Calculations!$X493,Dataset!$V:$V,0),MATCH(Calculations!$A$1,Dataset!$A$1:$V$1,0)),"")</f>
        <v/>
      </c>
      <c r="X493" t="s">
        <v>1256</v>
      </c>
    </row>
    <row r="494" spans="1:24">
      <c r="A494" s="869" t="s">
        <v>1088</v>
      </c>
      <c r="B494" s="869"/>
      <c r="C494" s="869"/>
      <c r="D494" s="869"/>
      <c r="E494" s="869"/>
      <c r="F494" s="869"/>
      <c r="G494" s="869"/>
      <c r="H494" s="869"/>
      <c r="I494" s="869"/>
      <c r="J494" s="869"/>
      <c r="K494" s="869"/>
      <c r="L494" s="869"/>
      <c r="M494" s="871">
        <f>IFERROR(INDEX(Dataset!$A:$V,MATCH(Calculations!M$250&amp;Calculations!$X494,Dataset!$V:$V,0),MATCH(Calculations!$A$1,Dataset!$A$1:$V$1,0)),"")</f>
        <v>0.21464950706345873</v>
      </c>
      <c r="N494" s="871">
        <f>IFERROR(INDEX(Dataset!$A:$V,MATCH(Calculations!N$250&amp;Calculations!$X494,Dataset!$V:$V,0),MATCH(Calculations!$A$1,Dataset!$A$1:$V$1,0)),"")</f>
        <v>0.20483669270223742</v>
      </c>
      <c r="O494" s="871">
        <f>IFERROR(INDEX(Dataset!$A:$V,MATCH(Calculations!O$250&amp;Calculations!$X494,Dataset!$V:$V,0),MATCH(Calculations!$A$1,Dataset!$A$1:$V$1,0)),"")</f>
        <v>0.18755861526314421</v>
      </c>
      <c r="P494" s="871">
        <f>IFERROR(INDEX(Dataset!$A:$V,MATCH(Calculations!P$250&amp;Calculations!$X494,Dataset!$V:$V,0),MATCH(Calculations!$A$1,Dataset!$A$1:$V$1,0)),"")</f>
        <v>0.16443438923561443</v>
      </c>
      <c r="Q494" s="871">
        <f>IFERROR(INDEX(Dataset!$A:$V,MATCH(Calculations!Q$250&amp;Calculations!$X494,Dataset!$V:$V,0),MATCH(Calculations!$A$1,Dataset!$A$1:$V$1,0)),"")</f>
        <v>7.1561326387899235E-2</v>
      </c>
      <c r="R494" s="871">
        <f>IFERROR(INDEX(Dataset!$A:$V,MATCH(Calculations!R$250&amp;Calculations!$X494,Dataset!$V:$V,0),MATCH(Calculations!$A$1,Dataset!$A$1:$V$1,0)),"")</f>
        <v>1.8102415954048743E-2</v>
      </c>
      <c r="S494" s="871">
        <f>IFERROR(INDEX(Dataset!$A:$V,MATCH(Calculations!S$250&amp;Calculations!$X494,Dataset!$V:$V,0),MATCH(Calculations!$A$1,Dataset!$A$1:$V$1,0)),"")</f>
        <v>7.4626245397899386E-3</v>
      </c>
      <c r="T494" s="871" t="str">
        <f>IFERROR(INDEX(Dataset!$A:$V,MATCH(Calculations!T$250&amp;Calculations!$X494,Dataset!$V:$V,0),MATCH(Calculations!$A$1,Dataset!$A$1:$V$1,0)),"")</f>
        <v/>
      </c>
      <c r="X494" t="s">
        <v>1257</v>
      </c>
    </row>
    <row r="496" spans="1:24">
      <c r="A496" s="1" t="s">
        <v>107</v>
      </c>
    </row>
    <row r="497" spans="1:24">
      <c r="A497" s="869" t="s">
        <v>1080</v>
      </c>
      <c r="B497" s="869"/>
      <c r="C497" s="869"/>
      <c r="D497" s="869"/>
      <c r="E497" s="869"/>
      <c r="F497" s="869"/>
      <c r="G497" s="869"/>
      <c r="H497" s="869"/>
      <c r="I497" s="869"/>
      <c r="J497" s="869"/>
      <c r="K497" s="869"/>
      <c r="L497" s="869"/>
      <c r="M497" s="869">
        <f>IFERROR(INDEX(Dataset!$A:$V,MATCH(Calculations!M$250&amp;Calculations!$X497,Dataset!$V:$V,0),MATCH(Calculations!$A$1,Dataset!$A$1:$V$1,0)),"")</f>
        <v>34.850200593562079</v>
      </c>
      <c r="N497" s="869">
        <f>IFERROR(INDEX(Dataset!$A:$V,MATCH(Calculations!N$250&amp;Calculations!$X497,Dataset!$V:$V,0),MATCH(Calculations!$A$1,Dataset!$A$1:$V$1,0)),"")</f>
        <v>34.901899374659294</v>
      </c>
      <c r="O497" s="869">
        <f>IFERROR(INDEX(Dataset!$A:$V,MATCH(Calculations!O$250&amp;Calculations!$X497,Dataset!$V:$V,0),MATCH(Calculations!$A$1,Dataset!$A$1:$V$1,0)),"")</f>
        <v>34.788031101529995</v>
      </c>
      <c r="P497" s="869">
        <f>IFERROR(INDEX(Dataset!$A:$V,MATCH(Calculations!P$250&amp;Calculations!$X497,Dataset!$V:$V,0),MATCH(Calculations!$A$1,Dataset!$A$1:$V$1,0)),"")</f>
        <v>34.878162260666123</v>
      </c>
      <c r="Q497" s="869">
        <f>IFERROR(INDEX(Dataset!$A:$V,MATCH(Calculations!Q$250&amp;Calculations!$X497,Dataset!$V:$V,0),MATCH(Calculations!$A$1,Dataset!$A$1:$V$1,0)),"")</f>
        <v>35.157462389632755</v>
      </c>
      <c r="R497" s="869">
        <f>IFERROR(INDEX(Dataset!$A:$V,MATCH(Calculations!R$250&amp;Calculations!$X497,Dataset!$V:$V,0),MATCH(Calculations!$A$1,Dataset!$A$1:$V$1,0)),"")</f>
        <v>35.353250335379499</v>
      </c>
      <c r="S497" s="869">
        <f>IFERROR(INDEX(Dataset!$A:$V,MATCH(Calculations!S$250&amp;Calculations!$X497,Dataset!$V:$V,0),MATCH(Calculations!$A$1,Dataset!$A$1:$V$1,0)),"")</f>
        <v>35.590784908488686</v>
      </c>
      <c r="T497" s="869">
        <f>IFERROR(INDEX(Dataset!$A:$V,MATCH(Calculations!T$250&amp;Calculations!$X497,Dataset!$V:$V,0),MATCH(Calculations!$A$1,Dataset!$A$1:$V$1,0)),"")</f>
        <v>35.64718883262055</v>
      </c>
      <c r="X497" t="s">
        <v>1105</v>
      </c>
    </row>
    <row r="498" spans="1:24">
      <c r="A498" s="869" t="s">
        <v>1082</v>
      </c>
      <c r="B498" s="869"/>
      <c r="C498" s="869"/>
      <c r="D498" s="869"/>
      <c r="E498" s="869"/>
      <c r="F498" s="869"/>
      <c r="G498" s="869"/>
      <c r="H498" s="869"/>
      <c r="I498" s="869"/>
      <c r="J498" s="869"/>
      <c r="K498" s="869"/>
      <c r="L498" s="869"/>
      <c r="M498" s="869">
        <f>IFERROR(INDEX(Dataset!$A:$V,MATCH(Calculations!M$250&amp;Calculations!$X498,Dataset!$V:$V,0),MATCH(Calculations!$A$1,Dataset!$A$1:$V$1,0)),"")</f>
        <v>34.850200593562079</v>
      </c>
      <c r="N498" s="869">
        <f>IFERROR(INDEX(Dataset!$A:$V,MATCH(Calculations!N$250&amp;Calculations!$X498,Dataset!$V:$V,0),MATCH(Calculations!$A$1,Dataset!$A$1:$V$1,0)),"")</f>
        <v>34.901899374659294</v>
      </c>
      <c r="O498" s="869">
        <f>IFERROR(INDEX(Dataset!$A:$V,MATCH(Calculations!O$250&amp;Calculations!$X498,Dataset!$V:$V,0),MATCH(Calculations!$A$1,Dataset!$A$1:$V$1,0)),"")</f>
        <v>34.788031101529995</v>
      </c>
      <c r="P498" s="869">
        <f>IFERROR(INDEX(Dataset!$A:$V,MATCH(Calculations!P$250&amp;Calculations!$X498,Dataset!$V:$V,0),MATCH(Calculations!$A$1,Dataset!$A$1:$V$1,0)),"")</f>
        <v>34.878162260666123</v>
      </c>
      <c r="Q498" s="869">
        <f>IFERROR(INDEX(Dataset!$A:$V,MATCH(Calculations!Q$250&amp;Calculations!$X498,Dataset!$V:$V,0),MATCH(Calculations!$A$1,Dataset!$A$1:$V$1,0)),"")</f>
        <v>35.157462389632755</v>
      </c>
      <c r="R498" s="869">
        <f>IFERROR(INDEX(Dataset!$A:$V,MATCH(Calculations!R$250&amp;Calculations!$X498,Dataset!$V:$V,0),MATCH(Calculations!$A$1,Dataset!$A$1:$V$1,0)),"")</f>
        <v>35.353250335379499</v>
      </c>
      <c r="S498" s="869">
        <f>IFERROR(INDEX(Dataset!$A:$V,MATCH(Calculations!S$250&amp;Calculations!$X498,Dataset!$V:$V,0),MATCH(Calculations!$A$1,Dataset!$A$1:$V$1,0)),"")</f>
        <v>35.590784908488686</v>
      </c>
      <c r="T498" s="869">
        <f>IFERROR(INDEX(Dataset!$A:$V,MATCH(Calculations!T$250&amp;Calculations!$X498,Dataset!$V:$V,0),MATCH(Calculations!$A$1,Dataset!$A$1:$V$1,0)),"")</f>
        <v>35.64718883262055</v>
      </c>
      <c r="X498" t="s">
        <v>1106</v>
      </c>
    </row>
    <row r="499" spans="1:24">
      <c r="A499" s="869" t="s">
        <v>1084</v>
      </c>
      <c r="B499" s="869"/>
      <c r="C499" s="869"/>
      <c r="D499" s="869"/>
      <c r="E499" s="869"/>
      <c r="F499" s="869"/>
      <c r="G499" s="869"/>
      <c r="H499" s="869"/>
      <c r="I499" s="869"/>
      <c r="J499" s="869"/>
      <c r="K499" s="869"/>
      <c r="L499" s="869"/>
      <c r="M499" s="869">
        <f>IFERROR(INDEX(Dataset!$A:$V,MATCH(Calculations!M$250&amp;Calculations!$X499,Dataset!$V:$V,0),MATCH(Calculations!$A$1,Dataset!$A$1:$V$1,0)),"")</f>
        <v>31.813957411740219</v>
      </c>
      <c r="N499" s="869">
        <f>IFERROR(INDEX(Dataset!$A:$V,MATCH(Calculations!N$250&amp;Calculations!$X499,Dataset!$V:$V,0),MATCH(Calculations!$A$1,Dataset!$A$1:$V$1,0)),"")</f>
        <v>30.55969102765366</v>
      </c>
      <c r="O499" s="869">
        <f>IFERROR(INDEX(Dataset!$A:$V,MATCH(Calculations!O$250&amp;Calculations!$X499,Dataset!$V:$V,0),MATCH(Calculations!$A$1,Dataset!$A$1:$V$1,0)),"")</f>
        <v>29.138776128013735</v>
      </c>
      <c r="P499" s="869">
        <f>IFERROR(INDEX(Dataset!$A:$V,MATCH(Calculations!P$250&amp;Calculations!$X499,Dataset!$V:$V,0),MATCH(Calculations!$A$1,Dataset!$A$1:$V$1,0)),"")</f>
        <v>28.382892876304233</v>
      </c>
      <c r="Q499" s="869">
        <f>IFERROR(INDEX(Dataset!$A:$V,MATCH(Calculations!Q$250&amp;Calculations!$X499,Dataset!$V:$V,0),MATCH(Calculations!$A$1,Dataset!$A$1:$V$1,0)),"")</f>
        <v>28.898182858637089</v>
      </c>
      <c r="R499" s="869">
        <f>IFERROR(INDEX(Dataset!$A:$V,MATCH(Calculations!R$250&amp;Calculations!$X499,Dataset!$V:$V,0),MATCH(Calculations!$A$1,Dataset!$A$1:$V$1,0)),"")</f>
        <v>29.886577443425001</v>
      </c>
      <c r="S499" s="869">
        <f>IFERROR(INDEX(Dataset!$A:$V,MATCH(Calculations!S$250&amp;Calculations!$X499,Dataset!$V:$V,0),MATCH(Calculations!$A$1,Dataset!$A$1:$V$1,0)),"")</f>
        <v>35.716099999999997</v>
      </c>
      <c r="T499" s="869" t="str">
        <f>IFERROR(INDEX(Dataset!$A:$V,MATCH(Calculations!T$250&amp;Calculations!$X499,Dataset!$V:$V,0),MATCH(Calculations!$A$1,Dataset!$A$1:$V$1,0)),"")</f>
        <v/>
      </c>
      <c r="X499" t="s">
        <v>1107</v>
      </c>
    </row>
    <row r="500" spans="1:24">
      <c r="A500" s="869" t="s">
        <v>1086</v>
      </c>
      <c r="B500" s="869"/>
      <c r="C500" s="869"/>
      <c r="D500" s="869"/>
      <c r="E500" s="869"/>
      <c r="F500" s="869"/>
      <c r="G500" s="869"/>
      <c r="H500" s="869"/>
      <c r="I500" s="869"/>
      <c r="J500" s="869"/>
      <c r="K500" s="869"/>
      <c r="L500" s="869"/>
      <c r="M500" s="869">
        <f>IFERROR(INDEX(Dataset!$A:$V,MATCH(Calculations!M$250&amp;Calculations!$X500,Dataset!$V:$V,0),MATCH(Calculations!$A$1,Dataset!$A$1:$V$1,0)),"")</f>
        <v>-3.0362431818218596</v>
      </c>
      <c r="N500" s="869">
        <f>IFERROR(INDEX(Dataset!$A:$V,MATCH(Calculations!N$250&amp;Calculations!$X500,Dataset!$V:$V,0),MATCH(Calculations!$A$1,Dataset!$A$1:$V$1,0)),"")</f>
        <v>-4.3422083470056343</v>
      </c>
      <c r="O500" s="869">
        <f>IFERROR(INDEX(Dataset!$A:$V,MATCH(Calculations!O$250&amp;Calculations!$X500,Dataset!$V:$V,0),MATCH(Calculations!$A$1,Dataset!$A$1:$V$1,0)),"")</f>
        <v>-5.6492549735162605</v>
      </c>
      <c r="P500" s="869">
        <f>IFERROR(INDEX(Dataset!$A:$V,MATCH(Calculations!P$250&amp;Calculations!$X500,Dataset!$V:$V,0),MATCH(Calculations!$A$1,Dataset!$A$1:$V$1,0)),"")</f>
        <v>-6.4952693843618903</v>
      </c>
      <c r="Q500" s="869">
        <f>IFERROR(INDEX(Dataset!$A:$V,MATCH(Calculations!Q$250&amp;Calculations!$X500,Dataset!$V:$V,0),MATCH(Calculations!$A$1,Dataset!$A$1:$V$1,0)),"")</f>
        <v>-6.2592795309956664</v>
      </c>
      <c r="R500" s="869">
        <f>IFERROR(INDEX(Dataset!$A:$V,MATCH(Calculations!R$250&amp;Calculations!$X500,Dataset!$V:$V,0),MATCH(Calculations!$A$1,Dataset!$A$1:$V$1,0)),"")</f>
        <v>-5.4666728919544987</v>
      </c>
      <c r="S500" s="869">
        <f>IFERROR(INDEX(Dataset!$A:$V,MATCH(Calculations!S$250&amp;Calculations!$X500,Dataset!$V:$V,0),MATCH(Calculations!$A$1,Dataset!$A$1:$V$1,0)),"")</f>
        <v>0.12531509151131104</v>
      </c>
      <c r="T500" s="869" t="str">
        <f>IFERROR(INDEX(Dataset!$A:$V,MATCH(Calculations!T$250&amp;Calculations!$X500,Dataset!$V:$V,0),MATCH(Calculations!$A$1,Dataset!$A$1:$V$1,0)),"")</f>
        <v/>
      </c>
      <c r="X500" t="s">
        <v>1108</v>
      </c>
    </row>
    <row r="501" spans="1:24">
      <c r="A501" s="869" t="s">
        <v>1088</v>
      </c>
      <c r="B501" s="869"/>
      <c r="C501" s="869"/>
      <c r="D501" s="869"/>
      <c r="E501" s="869"/>
      <c r="F501" s="869"/>
      <c r="G501" s="869"/>
      <c r="H501" s="869"/>
      <c r="I501" s="869"/>
      <c r="J501" s="869"/>
      <c r="K501" s="869"/>
      <c r="L501" s="869"/>
      <c r="M501" s="871">
        <f>IFERROR(INDEX(Dataset!$A:$V,MATCH(Calculations!M$250&amp;Calculations!$X501,Dataset!$V:$V,0),MATCH(Calculations!$A$1,Dataset!$A$1:$V$1,0)),"")</f>
        <v>-8.7122688825577332E-2</v>
      </c>
      <c r="N501" s="871">
        <f>IFERROR(INDEX(Dataset!$A:$V,MATCH(Calculations!N$250&amp;Calculations!$X501,Dataset!$V:$V,0),MATCH(Calculations!$A$1,Dataset!$A$1:$V$1,0)),"")</f>
        <v>-0.12441180637172765</v>
      </c>
      <c r="O501" s="871">
        <f>IFERROR(INDEX(Dataset!$A:$V,MATCH(Calculations!O$250&amp;Calculations!$X501,Dataset!$V:$V,0),MATCH(Calculations!$A$1,Dataset!$A$1:$V$1,0)),"")</f>
        <v>-0.16239076471527597</v>
      </c>
      <c r="P501" s="871">
        <f>IFERROR(INDEX(Dataset!$A:$V,MATCH(Calculations!P$250&amp;Calculations!$X501,Dataset!$V:$V,0),MATCH(Calculations!$A$1,Dataset!$A$1:$V$1,0)),"")</f>
        <v>-0.18622739741327873</v>
      </c>
      <c r="Q501" s="871">
        <f>IFERROR(INDEX(Dataset!$A:$V,MATCH(Calculations!Q$250&amp;Calculations!$X501,Dataset!$V:$V,0),MATCH(Calculations!$A$1,Dataset!$A$1:$V$1,0)),"")</f>
        <v>-0.17803558919091397</v>
      </c>
      <c r="R501" s="871">
        <f>IFERROR(INDEX(Dataset!$A:$V,MATCH(Calculations!R$250&amp;Calculations!$X501,Dataset!$V:$V,0),MATCH(Calculations!$A$1,Dataset!$A$1:$V$1,0)),"")</f>
        <v>-0.15462999413334752</v>
      </c>
      <c r="S501" s="871">
        <f>IFERROR(INDEX(Dataset!$A:$V,MATCH(Calculations!S$250&amp;Calculations!$X501,Dataset!$V:$V,0),MATCH(Calculations!$A$1,Dataset!$A$1:$V$1,0)),"")</f>
        <v>3.5209982537199509E-3</v>
      </c>
      <c r="T501" s="871" t="str">
        <f>IFERROR(INDEX(Dataset!$A:$V,MATCH(Calculations!T$250&amp;Calculations!$X501,Dataset!$V:$V,0),MATCH(Calculations!$A$1,Dataset!$A$1:$V$1,0)),"")</f>
        <v/>
      </c>
      <c r="X501" t="s">
        <v>1109</v>
      </c>
    </row>
    <row r="503" spans="1:24">
      <c r="A503" s="64" t="s">
        <v>109</v>
      </c>
    </row>
    <row r="504" spans="1:24">
      <c r="A504" s="869" t="s">
        <v>1080</v>
      </c>
      <c r="B504" s="869"/>
      <c r="C504" s="869"/>
      <c r="D504" s="869"/>
      <c r="E504" s="869"/>
      <c r="F504" s="869"/>
      <c r="G504" s="869"/>
      <c r="H504" s="869"/>
      <c r="I504" s="869"/>
      <c r="J504" s="869"/>
      <c r="K504" s="869"/>
      <c r="L504" s="869"/>
      <c r="M504" s="869">
        <f>IFERROR(INDEX(Dataset!$A:$V,MATCH(Calculations!M$250&amp;Calculations!$X504,Dataset!$V:$V,0),MATCH(Calculations!$A$1,Dataset!$A$1:$V$1,0)),"")</f>
        <v>0</v>
      </c>
      <c r="N504" s="869">
        <f>IFERROR(INDEX(Dataset!$A:$V,MATCH(Calculations!N$250&amp;Calculations!$X504,Dataset!$V:$V,0),MATCH(Calculations!$A$1,Dataset!$A$1:$V$1,0)),"")</f>
        <v>0</v>
      </c>
      <c r="O504" s="869">
        <f>IFERROR(INDEX(Dataset!$A:$V,MATCH(Calculations!O$250&amp;Calculations!$X504,Dataset!$V:$V,0),MATCH(Calculations!$A$1,Dataset!$A$1:$V$1,0)),"")</f>
        <v>0</v>
      </c>
      <c r="P504" s="869">
        <f>IFERROR(INDEX(Dataset!$A:$V,MATCH(Calculations!P$250&amp;Calculations!$X504,Dataset!$V:$V,0),MATCH(Calculations!$A$1,Dataset!$A$1:$V$1,0)),"")</f>
        <v>0</v>
      </c>
      <c r="Q504" s="869">
        <f>IFERROR(INDEX(Dataset!$A:$V,MATCH(Calculations!Q$250&amp;Calculations!$X504,Dataset!$V:$V,0),MATCH(Calculations!$A$1,Dataset!$A$1:$V$1,0)),"")</f>
        <v>0</v>
      </c>
      <c r="R504" s="869">
        <f>IFERROR(INDEX(Dataset!$A:$V,MATCH(Calculations!R$250&amp;Calculations!$X504,Dataset!$V:$V,0),MATCH(Calculations!$A$1,Dataset!$A$1:$V$1,0)),"")</f>
        <v>0</v>
      </c>
      <c r="S504" s="869">
        <f>IFERROR(INDEX(Dataset!$A:$V,MATCH(Calculations!S$250&amp;Calculations!$X504,Dataset!$V:$V,0),MATCH(Calculations!$A$1,Dataset!$A$1:$V$1,0)),"")</f>
        <v>0</v>
      </c>
      <c r="T504" s="869">
        <f>IFERROR(INDEX(Dataset!$A:$V,MATCH(Calculations!T$250&amp;Calculations!$X504,Dataset!$V:$V,0),MATCH(Calculations!$A$1,Dataset!$A$1:$V$1,0)),"")</f>
        <v>0</v>
      </c>
      <c r="X504" t="s">
        <v>1258</v>
      </c>
    </row>
    <row r="505" spans="1:24">
      <c r="A505" s="869" t="s">
        <v>1082</v>
      </c>
      <c r="B505" s="869"/>
      <c r="C505" s="869"/>
      <c r="D505" s="869"/>
      <c r="E505" s="869"/>
      <c r="F505" s="869"/>
      <c r="G505" s="869"/>
      <c r="H505" s="869"/>
      <c r="I505" s="869"/>
      <c r="J505" s="869"/>
      <c r="K505" s="869"/>
      <c r="L505" s="869"/>
      <c r="M505" s="869">
        <f>IFERROR(INDEX(Dataset!$A:$V,MATCH(Calculations!M$250&amp;Calculations!$X505,Dataset!$V:$V,0),MATCH(Calculations!$A$1,Dataset!$A$1:$V$1,0)),"")</f>
        <v>0</v>
      </c>
      <c r="N505" s="869">
        <f>IFERROR(INDEX(Dataset!$A:$V,MATCH(Calculations!N$250&amp;Calculations!$X505,Dataset!$V:$V,0),MATCH(Calculations!$A$1,Dataset!$A$1:$V$1,0)),"")</f>
        <v>0</v>
      </c>
      <c r="O505" s="869">
        <f>IFERROR(INDEX(Dataset!$A:$V,MATCH(Calculations!O$250&amp;Calculations!$X505,Dataset!$V:$V,0),MATCH(Calculations!$A$1,Dataset!$A$1:$V$1,0)),"")</f>
        <v>0</v>
      </c>
      <c r="P505" s="869">
        <f>IFERROR(INDEX(Dataset!$A:$V,MATCH(Calculations!P$250&amp;Calculations!$X505,Dataset!$V:$V,0),MATCH(Calculations!$A$1,Dataset!$A$1:$V$1,0)),"")</f>
        <v>0</v>
      </c>
      <c r="Q505" s="869">
        <f>IFERROR(INDEX(Dataset!$A:$V,MATCH(Calculations!Q$250&amp;Calculations!$X505,Dataset!$V:$V,0),MATCH(Calculations!$A$1,Dataset!$A$1:$V$1,0)),"")</f>
        <v>0</v>
      </c>
      <c r="R505" s="869">
        <f>IFERROR(INDEX(Dataset!$A:$V,MATCH(Calculations!R$250&amp;Calculations!$X505,Dataset!$V:$V,0),MATCH(Calculations!$A$1,Dataset!$A$1:$V$1,0)),"")</f>
        <v>0</v>
      </c>
      <c r="S505" s="869">
        <f>IFERROR(INDEX(Dataset!$A:$V,MATCH(Calculations!S$250&amp;Calculations!$X505,Dataset!$V:$V,0),MATCH(Calculations!$A$1,Dataset!$A$1:$V$1,0)),"")</f>
        <v>0</v>
      </c>
      <c r="T505" s="869">
        <f>IFERROR(INDEX(Dataset!$A:$V,MATCH(Calculations!T$250&amp;Calculations!$X505,Dataset!$V:$V,0),MATCH(Calculations!$A$1,Dataset!$A$1:$V$1,0)),"")</f>
        <v>0</v>
      </c>
      <c r="X505" t="s">
        <v>1259</v>
      </c>
    </row>
    <row r="506" spans="1:24">
      <c r="A506" s="869" t="s">
        <v>1084</v>
      </c>
      <c r="B506" s="869"/>
      <c r="C506" s="869"/>
      <c r="D506" s="869"/>
      <c r="E506" s="869"/>
      <c r="F506" s="869"/>
      <c r="G506" s="869"/>
      <c r="H506" s="869"/>
      <c r="I506" s="869"/>
      <c r="J506" s="869"/>
      <c r="K506" s="869"/>
      <c r="L506" s="869"/>
      <c r="M506" s="869">
        <f>IFERROR(INDEX(Dataset!$A:$V,MATCH(Calculations!M$250&amp;Calculations!$X506,Dataset!$V:$V,0),MATCH(Calculations!$A$1,Dataset!$A$1:$V$1,0)),"")</f>
        <v>0</v>
      </c>
      <c r="N506" s="869">
        <f>IFERROR(INDEX(Dataset!$A:$V,MATCH(Calculations!N$250&amp;Calculations!$X506,Dataset!$V:$V,0),MATCH(Calculations!$A$1,Dataset!$A$1:$V$1,0)),"")</f>
        <v>0</v>
      </c>
      <c r="O506" s="869">
        <f>IFERROR(INDEX(Dataset!$A:$V,MATCH(Calculations!O$250&amp;Calculations!$X506,Dataset!$V:$V,0),MATCH(Calculations!$A$1,Dataset!$A$1:$V$1,0)),"")</f>
        <v>0</v>
      </c>
      <c r="P506" s="869">
        <f>IFERROR(INDEX(Dataset!$A:$V,MATCH(Calculations!P$250&amp;Calculations!$X506,Dataset!$V:$V,0),MATCH(Calculations!$A$1,Dataset!$A$1:$V$1,0)),"")</f>
        <v>0</v>
      </c>
      <c r="Q506" s="869">
        <f>IFERROR(INDEX(Dataset!$A:$V,MATCH(Calculations!Q$250&amp;Calculations!$X506,Dataset!$V:$V,0),MATCH(Calculations!$A$1,Dataset!$A$1:$V$1,0)),"")</f>
        <v>0</v>
      </c>
      <c r="R506" s="869">
        <f>IFERROR(INDEX(Dataset!$A:$V,MATCH(Calculations!R$250&amp;Calculations!$X506,Dataset!$V:$V,0),MATCH(Calculations!$A$1,Dataset!$A$1:$V$1,0)),"")</f>
        <v>0</v>
      </c>
      <c r="S506" s="869">
        <f>IFERROR(INDEX(Dataset!$A:$V,MATCH(Calculations!S$250&amp;Calculations!$X506,Dataset!$V:$V,0),MATCH(Calculations!$A$1,Dataset!$A$1:$V$1,0)),"")</f>
        <v>0</v>
      </c>
      <c r="T506" s="869" t="str">
        <f>IFERROR(INDEX(Dataset!$A:$V,MATCH(Calculations!T$250&amp;Calculations!$X506,Dataset!$V:$V,0),MATCH(Calculations!$A$1,Dataset!$A$1:$V$1,0)),"")</f>
        <v/>
      </c>
      <c r="X506" t="s">
        <v>1260</v>
      </c>
    </row>
    <row r="507" spans="1:24">
      <c r="A507" s="869" t="s">
        <v>1086</v>
      </c>
      <c r="B507" s="869"/>
      <c r="C507" s="869"/>
      <c r="D507" s="869"/>
      <c r="E507" s="869"/>
      <c r="F507" s="869"/>
      <c r="G507" s="869"/>
      <c r="H507" s="869"/>
      <c r="I507" s="869"/>
      <c r="J507" s="869"/>
      <c r="K507" s="869"/>
      <c r="L507" s="869"/>
      <c r="M507" s="869">
        <f>IFERROR(INDEX(Dataset!$A:$V,MATCH(Calculations!M$250&amp;Calculations!$X507,Dataset!$V:$V,0),MATCH(Calculations!$A$1,Dataset!$A$1:$V$1,0)),"")</f>
        <v>0</v>
      </c>
      <c r="N507" s="869">
        <f>IFERROR(INDEX(Dataset!$A:$V,MATCH(Calculations!N$250&amp;Calculations!$X507,Dataset!$V:$V,0),MATCH(Calculations!$A$1,Dataset!$A$1:$V$1,0)),"")</f>
        <v>0</v>
      </c>
      <c r="O507" s="869">
        <f>IFERROR(INDEX(Dataset!$A:$V,MATCH(Calculations!O$250&amp;Calculations!$X507,Dataset!$V:$V,0),MATCH(Calculations!$A$1,Dataset!$A$1:$V$1,0)),"")</f>
        <v>0</v>
      </c>
      <c r="P507" s="869">
        <f>IFERROR(INDEX(Dataset!$A:$V,MATCH(Calculations!P$250&amp;Calculations!$X507,Dataset!$V:$V,0),MATCH(Calculations!$A$1,Dataset!$A$1:$V$1,0)),"")</f>
        <v>0</v>
      </c>
      <c r="Q507" s="869">
        <f>IFERROR(INDEX(Dataset!$A:$V,MATCH(Calculations!Q$250&amp;Calculations!$X507,Dataset!$V:$V,0),MATCH(Calculations!$A$1,Dataset!$A$1:$V$1,0)),"")</f>
        <v>0</v>
      </c>
      <c r="R507" s="869">
        <f>IFERROR(INDEX(Dataset!$A:$V,MATCH(Calculations!R$250&amp;Calculations!$X507,Dataset!$V:$V,0),MATCH(Calculations!$A$1,Dataset!$A$1:$V$1,0)),"")</f>
        <v>0</v>
      </c>
      <c r="S507" s="869">
        <f>IFERROR(INDEX(Dataset!$A:$V,MATCH(Calculations!S$250&amp;Calculations!$X507,Dataset!$V:$V,0),MATCH(Calculations!$A$1,Dataset!$A$1:$V$1,0)),"")</f>
        <v>0</v>
      </c>
      <c r="T507" s="869" t="str">
        <f>IFERROR(INDEX(Dataset!$A:$V,MATCH(Calculations!T$250&amp;Calculations!$X507,Dataset!$V:$V,0),MATCH(Calculations!$A$1,Dataset!$A$1:$V$1,0)),"")</f>
        <v/>
      </c>
      <c r="X507" t="s">
        <v>1261</v>
      </c>
    </row>
    <row r="508" spans="1:24">
      <c r="A508" s="869" t="s">
        <v>1088</v>
      </c>
      <c r="B508" s="869"/>
      <c r="C508" s="869"/>
      <c r="D508" s="869"/>
      <c r="E508" s="869"/>
      <c r="F508" s="869"/>
      <c r="G508" s="869"/>
      <c r="H508" s="869"/>
      <c r="I508" s="869"/>
      <c r="J508" s="869"/>
      <c r="K508" s="869"/>
      <c r="L508" s="869"/>
      <c r="M508" s="871" t="str">
        <f>IFERROR(INDEX(Dataset!$A:$V,MATCH(Calculations!M$250&amp;Calculations!$X508,Dataset!$V:$V,0),MATCH(Calculations!$A$1,Dataset!$A$1:$V$1,0)),"")</f>
        <v/>
      </c>
      <c r="N508" s="871" t="str">
        <f>IFERROR(INDEX(Dataset!$A:$V,MATCH(Calculations!N$250&amp;Calculations!$X508,Dataset!$V:$V,0),MATCH(Calculations!$A$1,Dataset!$A$1:$V$1,0)),"")</f>
        <v/>
      </c>
      <c r="O508" s="871" t="str">
        <f>IFERROR(INDEX(Dataset!$A:$V,MATCH(Calculations!O$250&amp;Calculations!$X508,Dataset!$V:$V,0),MATCH(Calculations!$A$1,Dataset!$A$1:$V$1,0)),"")</f>
        <v/>
      </c>
      <c r="P508" s="871" t="str">
        <f>IFERROR(INDEX(Dataset!$A:$V,MATCH(Calculations!P$250&amp;Calculations!$X508,Dataset!$V:$V,0),MATCH(Calculations!$A$1,Dataset!$A$1:$V$1,0)),"")</f>
        <v/>
      </c>
      <c r="Q508" s="871" t="str">
        <f>IFERROR(INDEX(Dataset!$A:$V,MATCH(Calculations!Q$250&amp;Calculations!$X508,Dataset!$V:$V,0),MATCH(Calculations!$A$1,Dataset!$A$1:$V$1,0)),"")</f>
        <v/>
      </c>
      <c r="R508" s="871" t="str">
        <f>IFERROR(INDEX(Dataset!$A:$V,MATCH(Calculations!R$250&amp;Calculations!$X508,Dataset!$V:$V,0),MATCH(Calculations!$A$1,Dataset!$A$1:$V$1,0)),"")</f>
        <v/>
      </c>
      <c r="S508" s="871" t="str">
        <f>IFERROR(INDEX(Dataset!$A:$V,MATCH(Calculations!S$250&amp;Calculations!$X508,Dataset!$V:$V,0),MATCH(Calculations!$A$1,Dataset!$A$1:$V$1,0)),"")</f>
        <v/>
      </c>
      <c r="T508" s="871" t="str">
        <f>IFERROR(INDEX(Dataset!$A:$V,MATCH(Calculations!T$250&amp;Calculations!$X508,Dataset!$V:$V,0),MATCH(Calculations!$A$1,Dataset!$A$1:$V$1,0)),"")</f>
        <v/>
      </c>
      <c r="X508" t="s">
        <v>1262</v>
      </c>
    </row>
    <row r="510" spans="1:24">
      <c r="A510" s="873" t="s">
        <v>110</v>
      </c>
      <c r="B510" s="869"/>
      <c r="C510" s="869"/>
      <c r="D510" s="869"/>
      <c r="E510" s="869"/>
      <c r="F510" s="869"/>
      <c r="G510" s="869"/>
      <c r="H510" s="869"/>
      <c r="I510" s="869"/>
      <c r="J510" s="869"/>
      <c r="K510" s="869"/>
      <c r="L510" s="869"/>
      <c r="M510" s="869"/>
      <c r="N510" s="869"/>
      <c r="O510" s="869"/>
      <c r="P510" s="869"/>
      <c r="Q510" s="869"/>
      <c r="R510" s="869"/>
      <c r="S510" s="869"/>
      <c r="T510" s="869"/>
    </row>
    <row r="511" spans="1:24">
      <c r="A511" s="869" t="s">
        <v>1080</v>
      </c>
      <c r="B511" s="869"/>
      <c r="C511" s="869"/>
      <c r="D511" s="869"/>
      <c r="E511" s="869"/>
      <c r="F511" s="869"/>
      <c r="G511" s="869"/>
      <c r="H511" s="869"/>
      <c r="I511" s="869"/>
      <c r="J511" s="869"/>
      <c r="K511" s="869"/>
      <c r="L511" s="869"/>
      <c r="M511" s="869">
        <f>IFERROR(INDEX(Dataset!$A:$V,MATCH(Calculations!M$250&amp;Calculations!$X511,Dataset!$V:$V,0),MATCH(Calculations!$A$1,Dataset!$A$1:$V$1,0)),"")</f>
        <v>0</v>
      </c>
      <c r="N511" s="869">
        <f>IFERROR(INDEX(Dataset!$A:$V,MATCH(Calculations!N$250&amp;Calculations!$X511,Dataset!$V:$V,0),MATCH(Calculations!$A$1,Dataset!$A$1:$V$1,0)),"")</f>
        <v>0</v>
      </c>
      <c r="O511" s="869">
        <f>IFERROR(INDEX(Dataset!$A:$V,MATCH(Calculations!O$250&amp;Calculations!$X511,Dataset!$V:$V,0),MATCH(Calculations!$A$1,Dataset!$A$1:$V$1,0)),"")</f>
        <v>0</v>
      </c>
      <c r="P511" s="869">
        <f>IFERROR(INDEX(Dataset!$A:$V,MATCH(Calculations!P$250&amp;Calculations!$X511,Dataset!$V:$V,0),MATCH(Calculations!$A$1,Dataset!$A$1:$V$1,0)),"")</f>
        <v>0</v>
      </c>
      <c r="Q511" s="869">
        <f>IFERROR(INDEX(Dataset!$A:$V,MATCH(Calculations!Q$250&amp;Calculations!$X511,Dataset!$V:$V,0),MATCH(Calculations!$A$1,Dataset!$A$1:$V$1,0)),"")</f>
        <v>0</v>
      </c>
      <c r="R511" s="869">
        <f>IFERROR(INDEX(Dataset!$A:$V,MATCH(Calculations!R$250&amp;Calculations!$X511,Dataset!$V:$V,0),MATCH(Calculations!$A$1,Dataset!$A$1:$V$1,0)),"")</f>
        <v>0</v>
      </c>
      <c r="S511" s="869">
        <f>IFERROR(INDEX(Dataset!$A:$V,MATCH(Calculations!S$250&amp;Calculations!$X511,Dataset!$V:$V,0),MATCH(Calculations!$A$1,Dataset!$A$1:$V$1,0)),"")</f>
        <v>0</v>
      </c>
      <c r="T511" s="869">
        <f>IFERROR(INDEX(Dataset!$A:$V,MATCH(Calculations!T$250&amp;Calculations!$X511,Dataset!$V:$V,0),MATCH(Calculations!$A$1,Dataset!$A$1:$V$1,0)),"")</f>
        <v>0</v>
      </c>
      <c r="X511" t="s">
        <v>1263</v>
      </c>
    </row>
    <row r="512" spans="1:24">
      <c r="A512" s="869" t="s">
        <v>1082</v>
      </c>
      <c r="B512" s="869"/>
      <c r="C512" s="869"/>
      <c r="D512" s="869"/>
      <c r="E512" s="869"/>
      <c r="F512" s="869"/>
      <c r="G512" s="869"/>
      <c r="H512" s="869"/>
      <c r="I512" s="869"/>
      <c r="J512" s="869"/>
      <c r="K512" s="869"/>
      <c r="L512" s="869"/>
      <c r="M512" s="869">
        <f>IFERROR(INDEX(Dataset!$A:$V,MATCH(Calculations!M$250&amp;Calculations!$X512,Dataset!$V:$V,0),MATCH(Calculations!$A$1,Dataset!$A$1:$V$1,0)),"")</f>
        <v>0</v>
      </c>
      <c r="N512" s="869">
        <f>IFERROR(INDEX(Dataset!$A:$V,MATCH(Calculations!N$250&amp;Calculations!$X512,Dataset!$V:$V,0),MATCH(Calculations!$A$1,Dataset!$A$1:$V$1,0)),"")</f>
        <v>0</v>
      </c>
      <c r="O512" s="869">
        <f>IFERROR(INDEX(Dataset!$A:$V,MATCH(Calculations!O$250&amp;Calculations!$X512,Dataset!$V:$V,0),MATCH(Calculations!$A$1,Dataset!$A$1:$V$1,0)),"")</f>
        <v>0</v>
      </c>
      <c r="P512" s="869">
        <f>IFERROR(INDEX(Dataset!$A:$V,MATCH(Calculations!P$250&amp;Calculations!$X512,Dataset!$V:$V,0),MATCH(Calculations!$A$1,Dataset!$A$1:$V$1,0)),"")</f>
        <v>0</v>
      </c>
      <c r="Q512" s="869">
        <f>IFERROR(INDEX(Dataset!$A:$V,MATCH(Calculations!Q$250&amp;Calculations!$X512,Dataset!$V:$V,0),MATCH(Calculations!$A$1,Dataset!$A$1:$V$1,0)),"")</f>
        <v>0</v>
      </c>
      <c r="R512" s="869">
        <f>IFERROR(INDEX(Dataset!$A:$V,MATCH(Calculations!R$250&amp;Calculations!$X512,Dataset!$V:$V,0),MATCH(Calculations!$A$1,Dataset!$A$1:$V$1,0)),"")</f>
        <v>0</v>
      </c>
      <c r="S512" s="869">
        <f>IFERROR(INDEX(Dataset!$A:$V,MATCH(Calculations!S$250&amp;Calculations!$X512,Dataset!$V:$V,0),MATCH(Calculations!$A$1,Dataset!$A$1:$V$1,0)),"")</f>
        <v>0</v>
      </c>
      <c r="T512" s="869">
        <f>IFERROR(INDEX(Dataset!$A:$V,MATCH(Calculations!T$250&amp;Calculations!$X512,Dataset!$V:$V,0),MATCH(Calculations!$A$1,Dataset!$A$1:$V$1,0)),"")</f>
        <v>0</v>
      </c>
      <c r="X512" t="s">
        <v>1263</v>
      </c>
    </row>
    <row r="513" spans="1:24">
      <c r="A513" s="869" t="s">
        <v>1084</v>
      </c>
      <c r="B513" s="869"/>
      <c r="C513" s="869"/>
      <c r="D513" s="869"/>
      <c r="E513" s="869"/>
      <c r="F513" s="869"/>
      <c r="G513" s="869"/>
      <c r="H513" s="869"/>
      <c r="I513" s="869"/>
      <c r="J513" s="869"/>
      <c r="K513" s="869"/>
      <c r="L513" s="869"/>
      <c r="M513" s="869">
        <f>IFERROR(INDEX(Dataset!$A:$V,MATCH(Calculations!M$250&amp;Calculations!$X513,Dataset!$V:$V,0),MATCH(Calculations!$A$1,Dataset!$A$1:$V$1,0)),"")</f>
        <v>0</v>
      </c>
      <c r="N513" s="869">
        <f>IFERROR(INDEX(Dataset!$A:$V,MATCH(Calculations!N$250&amp;Calculations!$X513,Dataset!$V:$V,0),MATCH(Calculations!$A$1,Dataset!$A$1:$V$1,0)),"")</f>
        <v>0</v>
      </c>
      <c r="O513" s="869">
        <f>IFERROR(INDEX(Dataset!$A:$V,MATCH(Calculations!O$250&amp;Calculations!$X513,Dataset!$V:$V,0),MATCH(Calculations!$A$1,Dataset!$A$1:$V$1,0)),"")</f>
        <v>0</v>
      </c>
      <c r="P513" s="869">
        <f>IFERROR(INDEX(Dataset!$A:$V,MATCH(Calculations!P$250&amp;Calculations!$X513,Dataset!$V:$V,0),MATCH(Calculations!$A$1,Dataset!$A$1:$V$1,0)),"")</f>
        <v>0</v>
      </c>
      <c r="Q513" s="869">
        <f>IFERROR(INDEX(Dataset!$A:$V,MATCH(Calculations!Q$250&amp;Calculations!$X513,Dataset!$V:$V,0),MATCH(Calculations!$A$1,Dataset!$A$1:$V$1,0)),"")</f>
        <v>0</v>
      </c>
      <c r="R513" s="869">
        <f>IFERROR(INDEX(Dataset!$A:$V,MATCH(Calculations!R$250&amp;Calculations!$X513,Dataset!$V:$V,0),MATCH(Calculations!$A$1,Dataset!$A$1:$V$1,0)),"")</f>
        <v>0</v>
      </c>
      <c r="S513" s="869">
        <f>IFERROR(INDEX(Dataset!$A:$V,MATCH(Calculations!S$250&amp;Calculations!$X513,Dataset!$V:$V,0),MATCH(Calculations!$A$1,Dataset!$A$1:$V$1,0)),"")</f>
        <v>0</v>
      </c>
      <c r="T513" s="869" t="str">
        <f>IFERROR(INDEX(Dataset!$A:$V,MATCH(Calculations!T$250&amp;Calculations!$X513,Dataset!$V:$V,0),MATCH(Calculations!$A$1,Dataset!$A$1:$V$1,0)),"")</f>
        <v/>
      </c>
      <c r="X513" t="s">
        <v>1264</v>
      </c>
    </row>
    <row r="514" spans="1:24">
      <c r="A514" s="869" t="s">
        <v>1086</v>
      </c>
      <c r="B514" s="869"/>
      <c r="C514" s="869"/>
      <c r="D514" s="869"/>
      <c r="E514" s="869"/>
      <c r="F514" s="869"/>
      <c r="G514" s="869"/>
      <c r="H514" s="869"/>
      <c r="I514" s="869"/>
      <c r="J514" s="869"/>
      <c r="K514" s="869"/>
      <c r="L514" s="869"/>
      <c r="M514" s="871">
        <f>IFERROR(INDEX(Dataset!$A:$V,MATCH(Calculations!M$250&amp;Calculations!$X514,Dataset!$V:$V,0),MATCH(Calculations!$A$1,Dataset!$A$1:$V$1,0)),"")</f>
        <v>0</v>
      </c>
      <c r="N514" s="871">
        <f>IFERROR(INDEX(Dataset!$A:$V,MATCH(Calculations!N$250&amp;Calculations!$X514,Dataset!$V:$V,0),MATCH(Calculations!$A$1,Dataset!$A$1:$V$1,0)),"")</f>
        <v>0</v>
      </c>
      <c r="O514" s="871">
        <f>IFERROR(INDEX(Dataset!$A:$V,MATCH(Calculations!O$250&amp;Calculations!$X514,Dataset!$V:$V,0),MATCH(Calculations!$A$1,Dataset!$A$1:$V$1,0)),"")</f>
        <v>0</v>
      </c>
      <c r="P514" s="871">
        <f>IFERROR(INDEX(Dataset!$A:$V,MATCH(Calculations!P$250&amp;Calculations!$X514,Dataset!$V:$V,0),MATCH(Calculations!$A$1,Dataset!$A$1:$V$1,0)),"")</f>
        <v>0</v>
      </c>
      <c r="Q514" s="871">
        <f>IFERROR(INDEX(Dataset!$A:$V,MATCH(Calculations!Q$250&amp;Calculations!$X514,Dataset!$V:$V,0),MATCH(Calculations!$A$1,Dataset!$A$1:$V$1,0)),"")</f>
        <v>0</v>
      </c>
      <c r="R514" s="871">
        <f>IFERROR(INDEX(Dataset!$A:$V,MATCH(Calculations!R$250&amp;Calculations!$X514,Dataset!$V:$V,0),MATCH(Calculations!$A$1,Dataset!$A$1:$V$1,0)),"")</f>
        <v>0</v>
      </c>
      <c r="S514" s="871">
        <f>IFERROR(INDEX(Dataset!$A:$V,MATCH(Calculations!S$250&amp;Calculations!$X514,Dataset!$V:$V,0),MATCH(Calculations!$A$1,Dataset!$A$1:$V$1,0)),"")</f>
        <v>0</v>
      </c>
      <c r="T514" s="871" t="str">
        <f>IFERROR(INDEX(Dataset!$A:$V,MATCH(Calculations!T$250&amp;Calculations!$X514,Dataset!$V:$V,0),MATCH(Calculations!$A$1,Dataset!$A$1:$V$1,0)),"")</f>
        <v/>
      </c>
      <c r="X514" t="s">
        <v>1265</v>
      </c>
    </row>
    <row r="515" spans="1:24">
      <c r="A515" s="869" t="s">
        <v>1088</v>
      </c>
      <c r="B515" s="869"/>
      <c r="C515" s="869"/>
      <c r="D515" s="869"/>
      <c r="E515" s="869"/>
      <c r="F515" s="869"/>
      <c r="G515" s="869"/>
      <c r="H515" s="869"/>
      <c r="I515" s="869"/>
      <c r="J515" s="869"/>
      <c r="K515" s="869"/>
      <c r="L515" s="869"/>
      <c r="M515" s="869" t="str">
        <f>IFERROR(INDEX(Dataset!$A:$V,MATCH(Calculations!M$250&amp;Calculations!$X515,Dataset!$V:$V,0),MATCH(Calculations!$A$1,Dataset!$A$1:$V$1,0)),"")</f>
        <v/>
      </c>
      <c r="N515" s="869" t="str">
        <f>IFERROR(INDEX(Dataset!$A:$V,MATCH(Calculations!N$250&amp;Calculations!$X515,Dataset!$V:$V,0),MATCH(Calculations!$A$1,Dataset!$A$1:$V$1,0)),"")</f>
        <v/>
      </c>
      <c r="O515" s="869" t="str">
        <f>IFERROR(INDEX(Dataset!$A:$V,MATCH(Calculations!O$250&amp;Calculations!$X515,Dataset!$V:$V,0),MATCH(Calculations!$A$1,Dataset!$A$1:$V$1,0)),"")</f>
        <v/>
      </c>
      <c r="P515" s="869" t="str">
        <f>IFERROR(INDEX(Dataset!$A:$V,MATCH(Calculations!P$250&amp;Calculations!$X515,Dataset!$V:$V,0),MATCH(Calculations!$A$1,Dataset!$A$1:$V$1,0)),"")</f>
        <v/>
      </c>
      <c r="Q515" s="869" t="str">
        <f>IFERROR(INDEX(Dataset!$A:$V,MATCH(Calculations!Q$250&amp;Calculations!$X515,Dataset!$V:$V,0),MATCH(Calculations!$A$1,Dataset!$A$1:$V$1,0)),"")</f>
        <v/>
      </c>
      <c r="R515" s="869" t="str">
        <f>IFERROR(INDEX(Dataset!$A:$V,MATCH(Calculations!R$250&amp;Calculations!$X515,Dataset!$V:$V,0),MATCH(Calculations!$A$1,Dataset!$A$1:$V$1,0)),"")</f>
        <v/>
      </c>
      <c r="S515" s="869" t="str">
        <f>IFERROR(INDEX(Dataset!$A:$V,MATCH(Calculations!S$250&amp;Calculations!$X515,Dataset!$V:$V,0),MATCH(Calculations!$A$1,Dataset!$A$1:$V$1,0)),"")</f>
        <v/>
      </c>
      <c r="T515" s="869" t="str">
        <f>IFERROR(INDEX(Dataset!$A:$V,MATCH(Calculations!T$250&amp;Calculations!$X515,Dataset!$V:$V,0),MATCH(Calculations!$A$1,Dataset!$A$1:$V$1,0)),"")</f>
        <v/>
      </c>
      <c r="X515" t="s">
        <v>1266</v>
      </c>
    </row>
    <row r="517" spans="1:24">
      <c r="A517" s="64" t="s">
        <v>111</v>
      </c>
    </row>
    <row r="518" spans="1:24">
      <c r="A518" s="869" t="s">
        <v>1080</v>
      </c>
      <c r="B518" s="869"/>
      <c r="C518" s="869"/>
      <c r="D518" s="869"/>
      <c r="E518" s="869"/>
      <c r="F518" s="869"/>
      <c r="G518" s="869"/>
      <c r="H518" s="869"/>
      <c r="I518" s="869"/>
      <c r="J518" s="869"/>
      <c r="K518" s="869"/>
      <c r="L518" s="869"/>
      <c r="M518" s="869">
        <f>IFERROR(INDEX(Dataset!$A:$V,MATCH(Calculations!M$250&amp;Calculations!$X518,Dataset!$V:$V,0),MATCH(Calculations!$A$1,Dataset!$A$1:$V$1,0)),"")</f>
        <v>331.05059075768975</v>
      </c>
      <c r="N518" s="869">
        <f>IFERROR(INDEX(Dataset!$A:$V,MATCH(Calculations!N$250&amp;Calculations!$X518,Dataset!$V:$V,0),MATCH(Calculations!$A$1,Dataset!$A$1:$V$1,0)),"")</f>
        <v>331.49239253619163</v>
      </c>
      <c r="O518" s="869">
        <f>IFERROR(INDEX(Dataset!$A:$V,MATCH(Calculations!O$250&amp;Calculations!$X518,Dataset!$V:$V,0),MATCH(Calculations!$A$1,Dataset!$A$1:$V$1,0)),"")</f>
        <v>321.95882596040809</v>
      </c>
      <c r="P518" s="869">
        <f>IFERROR(INDEX(Dataset!$A:$V,MATCH(Calculations!P$250&amp;Calculations!$X518,Dataset!$V:$V,0),MATCH(Calculations!$A$1,Dataset!$A$1:$V$1,0)),"")</f>
        <v>327.6235327593655</v>
      </c>
      <c r="Q518" s="869">
        <f>IFERROR(INDEX(Dataset!$A:$V,MATCH(Calculations!Q$250&amp;Calculations!$X518,Dataset!$V:$V,0),MATCH(Calculations!$A$1,Dataset!$A$1:$V$1,0)),"")</f>
        <v>337.58757385366272</v>
      </c>
      <c r="R518" s="869">
        <f>IFERROR(INDEX(Dataset!$A:$V,MATCH(Calculations!R$250&amp;Calculations!$X518,Dataset!$V:$V,0),MATCH(Calculations!$A$1,Dataset!$A$1:$V$1,0)),"")</f>
        <v>344.02076217542447</v>
      </c>
      <c r="S518" s="869">
        <f>IFERROR(INDEX(Dataset!$A:$V,MATCH(Calculations!S$250&amp;Calculations!$X518,Dataset!$V:$V,0),MATCH(Calculations!$A$1,Dataset!$A$1:$V$1,0)),"")</f>
        <v>340.9481767641816</v>
      </c>
      <c r="T518" s="869">
        <f>IFERROR(INDEX(Dataset!$A:$V,MATCH(Calculations!T$250&amp;Calculations!$X518,Dataset!$V:$V,0),MATCH(Calculations!$A$1,Dataset!$A$1:$V$1,0)),"")</f>
        <v>344.43963692539518</v>
      </c>
      <c r="X518" t="s">
        <v>1267</v>
      </c>
    </row>
    <row r="519" spans="1:24">
      <c r="A519" s="869" t="s">
        <v>1082</v>
      </c>
      <c r="B519" s="869"/>
      <c r="C519" s="869"/>
      <c r="D519" s="869"/>
      <c r="E519" s="869"/>
      <c r="F519" s="869"/>
      <c r="G519" s="869"/>
      <c r="H519" s="869"/>
      <c r="I519" s="869"/>
      <c r="J519" s="869"/>
      <c r="K519" s="869"/>
      <c r="L519" s="869"/>
      <c r="M519" s="869">
        <f>IFERROR(INDEX(Dataset!$A:$V,MATCH(Calculations!M$250&amp;Calculations!$X519,Dataset!$V:$V,0),MATCH(Calculations!$A$1,Dataset!$A$1:$V$1,0)),"")</f>
        <v>330.04112907680457</v>
      </c>
      <c r="N519" s="869">
        <f>IFERROR(INDEX(Dataset!$A:$V,MATCH(Calculations!N$250&amp;Calculations!$X519,Dataset!$V:$V,0),MATCH(Calculations!$A$1,Dataset!$A$1:$V$1,0)),"")</f>
        <v>331.50850301053373</v>
      </c>
      <c r="O519" s="869">
        <f>IFERROR(INDEX(Dataset!$A:$V,MATCH(Calculations!O$250&amp;Calculations!$X519,Dataset!$V:$V,0),MATCH(Calculations!$A$1,Dataset!$A$1:$V$1,0)),"")</f>
        <v>321.44359260806658</v>
      </c>
      <c r="P519" s="869">
        <f>IFERROR(INDEX(Dataset!$A:$V,MATCH(Calculations!P$250&amp;Calculations!$X519,Dataset!$V:$V,0),MATCH(Calculations!$A$1,Dataset!$A$1:$V$1,0)),"")</f>
        <v>327.30652304094292</v>
      </c>
      <c r="Q519" s="869">
        <f>IFERROR(INDEX(Dataset!$A:$V,MATCH(Calculations!Q$250&amp;Calculations!$X519,Dataset!$V:$V,0),MATCH(Calculations!$A$1,Dataset!$A$1:$V$1,0)),"")</f>
        <v>335.883019662327</v>
      </c>
      <c r="R519" s="869">
        <f>IFERROR(INDEX(Dataset!$A:$V,MATCH(Calculations!R$250&amp;Calculations!$X519,Dataset!$V:$V,0),MATCH(Calculations!$A$1,Dataset!$A$1:$V$1,0)),"")</f>
        <v>334.61594980481254</v>
      </c>
      <c r="S519" s="869">
        <f>IFERROR(INDEX(Dataset!$A:$V,MATCH(Calculations!S$250&amp;Calculations!$X519,Dataset!$V:$V,0),MATCH(Calculations!$A$1,Dataset!$A$1:$V$1,0)),"")</f>
        <v>332.5309037568511</v>
      </c>
      <c r="T519" s="869">
        <f>IFERROR(INDEX(Dataset!$A:$V,MATCH(Calculations!T$250&amp;Calculations!$X519,Dataset!$V:$V,0),MATCH(Calculations!$A$1,Dataset!$A$1:$V$1,0)),"")</f>
        <v>336.01372895514709</v>
      </c>
      <c r="X519" t="s">
        <v>1268</v>
      </c>
    </row>
    <row r="520" spans="1:24">
      <c r="A520" s="869" t="s">
        <v>1084</v>
      </c>
      <c r="B520" s="869"/>
      <c r="C520" s="869"/>
      <c r="D520" s="869"/>
      <c r="E520" s="869"/>
      <c r="F520" s="869"/>
      <c r="G520" s="869"/>
      <c r="H520" s="869"/>
      <c r="I520" s="869"/>
      <c r="J520" s="869"/>
      <c r="K520" s="869"/>
      <c r="L520" s="869"/>
      <c r="M520" s="869">
        <f>IFERROR(INDEX(Dataset!$A:$V,MATCH(Calculations!M$250&amp;Calculations!$X520,Dataset!$V:$V,0),MATCH(Calculations!$A$1,Dataset!$A$1:$V$1,0)),"")</f>
        <v>377.01063941210253</v>
      </c>
      <c r="N520" s="869">
        <f>IFERROR(INDEX(Dataset!$A:$V,MATCH(Calculations!N$250&amp;Calculations!$X520,Dataset!$V:$V,0),MATCH(Calculations!$A$1,Dataset!$A$1:$V$1,0)),"")</f>
        <v>357.77028847285953</v>
      </c>
      <c r="O520" s="869">
        <f>IFERROR(INDEX(Dataset!$A:$V,MATCH(Calculations!O$250&amp;Calculations!$X520,Dataset!$V:$V,0),MATCH(Calculations!$A$1,Dataset!$A$1:$V$1,0)),"")</f>
        <v>329.7070724889781</v>
      </c>
      <c r="P520" s="869">
        <f>IFERROR(INDEX(Dataset!$A:$V,MATCH(Calculations!P$250&amp;Calculations!$X520,Dataset!$V:$V,0),MATCH(Calculations!$A$1,Dataset!$A$1:$V$1,0)),"")</f>
        <v>286.85376479944085</v>
      </c>
      <c r="Q520" s="869">
        <f>IFERROR(INDEX(Dataset!$A:$V,MATCH(Calculations!Q$250&amp;Calculations!$X520,Dataset!$V:$V,0),MATCH(Calculations!$A$1,Dataset!$A$1:$V$1,0)),"")</f>
        <v>285.40702632861047</v>
      </c>
      <c r="R520" s="869">
        <f>IFERROR(INDEX(Dataset!$A:$V,MATCH(Calculations!R$250&amp;Calculations!$X520,Dataset!$V:$V,0),MATCH(Calculations!$A$1,Dataset!$A$1:$V$1,0)),"")</f>
        <v>327.22694182875034</v>
      </c>
      <c r="S520" s="869">
        <f>IFERROR(INDEX(Dataset!$A:$V,MATCH(Calculations!S$250&amp;Calculations!$X520,Dataset!$V:$V,0),MATCH(Calculations!$A$1,Dataset!$A$1:$V$1,0)),"")</f>
        <v>356.92390000000006</v>
      </c>
      <c r="T520" s="869" t="str">
        <f>IFERROR(INDEX(Dataset!$A:$V,MATCH(Calculations!T$250&amp;Calculations!$X520,Dataset!$V:$V,0),MATCH(Calculations!$A$1,Dataset!$A$1:$V$1,0)),"")</f>
        <v/>
      </c>
      <c r="X520" t="s">
        <v>1269</v>
      </c>
    </row>
    <row r="521" spans="1:24">
      <c r="A521" s="869" t="s">
        <v>1086</v>
      </c>
      <c r="B521" s="869"/>
      <c r="C521" s="869"/>
      <c r="D521" s="869"/>
      <c r="E521" s="869"/>
      <c r="F521" s="869"/>
      <c r="G521" s="869"/>
      <c r="H521" s="869"/>
      <c r="I521" s="869"/>
      <c r="J521" s="869"/>
      <c r="K521" s="869"/>
      <c r="L521" s="869"/>
      <c r="M521" s="869">
        <f>IFERROR(INDEX(Dataset!$A:$V,MATCH(Calculations!M$250&amp;Calculations!$X521,Dataset!$V:$V,0),MATCH(Calculations!$A$1,Dataset!$A$1:$V$1,0)),"")</f>
        <v>46.969510335297969</v>
      </c>
      <c r="N521" s="869">
        <f>IFERROR(INDEX(Dataset!$A:$V,MATCH(Calculations!N$250&amp;Calculations!$X521,Dataset!$V:$V,0),MATCH(Calculations!$A$1,Dataset!$A$1:$V$1,0)),"")</f>
        <v>26.261785462325804</v>
      </c>
      <c r="O521" s="869">
        <f>IFERROR(INDEX(Dataset!$A:$V,MATCH(Calculations!O$250&amp;Calculations!$X521,Dataset!$V:$V,0),MATCH(Calculations!$A$1,Dataset!$A$1:$V$1,0)),"")</f>
        <v>8.2634798809115182</v>
      </c>
      <c r="P521" s="869">
        <f>IFERROR(INDEX(Dataset!$A:$V,MATCH(Calculations!P$250&amp;Calculations!$X521,Dataset!$V:$V,0),MATCH(Calculations!$A$1,Dataset!$A$1:$V$1,0)),"")</f>
        <v>-40.452758241502067</v>
      </c>
      <c r="Q521" s="869">
        <f>IFERROR(INDEX(Dataset!$A:$V,MATCH(Calculations!Q$250&amp;Calculations!$X521,Dataset!$V:$V,0),MATCH(Calculations!$A$1,Dataset!$A$1:$V$1,0)),"")</f>
        <v>-50.475993333716531</v>
      </c>
      <c r="R521" s="869">
        <f>IFERROR(INDEX(Dataset!$A:$V,MATCH(Calculations!R$250&amp;Calculations!$X521,Dataset!$V:$V,0),MATCH(Calculations!$A$1,Dataset!$A$1:$V$1,0)),"")</f>
        <v>-7.3890079760622029</v>
      </c>
      <c r="S521" s="869">
        <f>IFERROR(INDEX(Dataset!$A:$V,MATCH(Calculations!S$250&amp;Calculations!$X521,Dataset!$V:$V,0),MATCH(Calculations!$A$1,Dataset!$A$1:$V$1,0)),"")</f>
        <v>24.392996243148957</v>
      </c>
      <c r="T521" s="869" t="str">
        <f>IFERROR(INDEX(Dataset!$A:$V,MATCH(Calculations!T$250&amp;Calculations!$X521,Dataset!$V:$V,0),MATCH(Calculations!$A$1,Dataset!$A$1:$V$1,0)),"")</f>
        <v/>
      </c>
      <c r="X521" t="s">
        <v>1270</v>
      </c>
    </row>
    <row r="522" spans="1:24">
      <c r="A522" s="869" t="s">
        <v>1088</v>
      </c>
      <c r="B522" s="869"/>
      <c r="C522" s="869"/>
      <c r="D522" s="869"/>
      <c r="E522" s="869"/>
      <c r="F522" s="869"/>
      <c r="G522" s="869"/>
      <c r="H522" s="869"/>
      <c r="I522" s="869"/>
      <c r="J522" s="869"/>
      <c r="K522" s="869"/>
      <c r="L522" s="869"/>
      <c r="M522" s="871">
        <f>IFERROR(INDEX(Dataset!$A:$V,MATCH(Calculations!M$250&amp;Calculations!$X522,Dataset!$V:$V,0),MATCH(Calculations!$A$1,Dataset!$A$1:$V$1,0)),"")</f>
        <v>0.14231411238557359</v>
      </c>
      <c r="N522" s="871">
        <f>IFERROR(INDEX(Dataset!$A:$V,MATCH(Calculations!N$250&amp;Calculations!$X522,Dataset!$V:$V,0),MATCH(Calculations!$A$1,Dataset!$A$1:$V$1,0)),"")</f>
        <v>7.9219040307666952E-2</v>
      </c>
      <c r="O522" s="871">
        <f>IFERROR(INDEX(Dataset!$A:$V,MATCH(Calculations!O$250&amp;Calculations!$X522,Dataset!$V:$V,0),MATCH(Calculations!$A$1,Dataset!$A$1:$V$1,0)),"")</f>
        <v>2.5707402701248144E-2</v>
      </c>
      <c r="P522" s="871">
        <f>IFERROR(INDEX(Dataset!$A:$V,MATCH(Calculations!P$250&amp;Calculations!$X522,Dataset!$V:$V,0),MATCH(Calculations!$A$1,Dataset!$A$1:$V$1,0)),"")</f>
        <v>-0.12359288738172143</v>
      </c>
      <c r="Q522" s="871">
        <f>IFERROR(INDEX(Dataset!$A:$V,MATCH(Calculations!Q$250&amp;Calculations!$X522,Dataset!$V:$V,0),MATCH(Calculations!$A$1,Dataset!$A$1:$V$1,0)),"")</f>
        <v>-0.15027849095932722</v>
      </c>
      <c r="R522" s="871">
        <f>IFERROR(INDEX(Dataset!$A:$V,MATCH(Calculations!R$250&amp;Calculations!$X522,Dataset!$V:$V,0),MATCH(Calculations!$A$1,Dataset!$A$1:$V$1,0)),"")</f>
        <v>-2.2082055503846554E-2</v>
      </c>
      <c r="S522" s="871">
        <f>IFERROR(INDEX(Dataset!$A:$V,MATCH(Calculations!S$250&amp;Calculations!$X522,Dataset!$V:$V,0),MATCH(Calculations!$A$1,Dataset!$A$1:$V$1,0)),"")</f>
        <v>7.3355576782677873E-2</v>
      </c>
      <c r="T522" s="871" t="str">
        <f>IFERROR(INDEX(Dataset!$A:$V,MATCH(Calculations!T$250&amp;Calculations!$X522,Dataset!$V:$V,0),MATCH(Calculations!$A$1,Dataset!$A$1:$V$1,0)),"")</f>
        <v/>
      </c>
      <c r="X522" t="s">
        <v>1271</v>
      </c>
    </row>
    <row r="524" spans="1:24">
      <c r="A524" s="64" t="s">
        <v>113</v>
      </c>
    </row>
    <row r="525" spans="1:24">
      <c r="A525" s="869" t="s">
        <v>1080</v>
      </c>
      <c r="B525" s="869"/>
      <c r="C525" s="869"/>
      <c r="D525" s="869"/>
      <c r="E525" s="869"/>
      <c r="F525" s="869"/>
      <c r="G525" s="869"/>
      <c r="H525" s="869"/>
      <c r="I525" s="869"/>
      <c r="J525" s="869"/>
      <c r="K525" s="869"/>
      <c r="L525" s="869"/>
      <c r="M525" s="869">
        <f>IFERROR(INDEX(Dataset!$A:$V,MATCH(Calculations!M$250&amp;Calculations!$X525,Dataset!$V:$V,0),MATCH(Calculations!$A$1,Dataset!$A$1:$V$1,0)),"")</f>
        <v>0</v>
      </c>
      <c r="N525" s="869">
        <f>IFERROR(INDEX(Dataset!$A:$V,MATCH(Calculations!N$250&amp;Calculations!$X525,Dataset!$V:$V,0),MATCH(Calculations!$A$1,Dataset!$A$1:$V$1,0)),"")</f>
        <v>0</v>
      </c>
      <c r="O525" s="869">
        <f>IFERROR(INDEX(Dataset!$A:$V,MATCH(Calculations!O$250&amp;Calculations!$X525,Dataset!$V:$V,0),MATCH(Calculations!$A$1,Dataset!$A$1:$V$1,0)),"")</f>
        <v>0</v>
      </c>
      <c r="P525" s="869">
        <f>IFERROR(INDEX(Dataset!$A:$V,MATCH(Calculations!P$250&amp;Calculations!$X525,Dataset!$V:$V,0),MATCH(Calculations!$A$1,Dataset!$A$1:$V$1,0)),"")</f>
        <v>0</v>
      </c>
      <c r="Q525" s="869">
        <f>IFERROR(INDEX(Dataset!$A:$V,MATCH(Calculations!Q$250&amp;Calculations!$X525,Dataset!$V:$V,0),MATCH(Calculations!$A$1,Dataset!$A$1:$V$1,0)),"")</f>
        <v>0</v>
      </c>
      <c r="R525" s="869">
        <f>IFERROR(INDEX(Dataset!$A:$V,MATCH(Calculations!R$250&amp;Calculations!$X525,Dataset!$V:$V,0),MATCH(Calculations!$A$1,Dataset!$A$1:$V$1,0)),"")</f>
        <v>0</v>
      </c>
      <c r="S525" s="869">
        <f>IFERROR(INDEX(Dataset!$A:$V,MATCH(Calculations!S$250&amp;Calculations!$X525,Dataset!$V:$V,0),MATCH(Calculations!$A$1,Dataset!$A$1:$V$1,0)),"")</f>
        <v>0</v>
      </c>
      <c r="T525" s="869">
        <f>IFERROR(INDEX(Dataset!$A:$V,MATCH(Calculations!T$250&amp;Calculations!$X525,Dataset!$V:$V,0),MATCH(Calculations!$A$1,Dataset!$A$1:$V$1,0)),"")</f>
        <v>0</v>
      </c>
      <c r="X525" t="s">
        <v>1272</v>
      </c>
    </row>
    <row r="526" spans="1:24">
      <c r="A526" s="869" t="s">
        <v>1082</v>
      </c>
      <c r="B526" s="869"/>
      <c r="C526" s="869"/>
      <c r="D526" s="869"/>
      <c r="E526" s="869"/>
      <c r="F526" s="869"/>
      <c r="G526" s="869"/>
      <c r="H526" s="869"/>
      <c r="I526" s="869"/>
      <c r="J526" s="869"/>
      <c r="K526" s="869"/>
      <c r="L526" s="869"/>
      <c r="M526" s="869">
        <f>IFERROR(INDEX(Dataset!$A:$V,MATCH(Calculations!M$250&amp;Calculations!$X526,Dataset!$V:$V,0),MATCH(Calculations!$A$1,Dataset!$A$1:$V$1,0)),"")</f>
        <v>0.89630027020463887</v>
      </c>
      <c r="N526" s="869">
        <f>IFERROR(INDEX(Dataset!$A:$V,MATCH(Calculations!N$250&amp;Calculations!$X526,Dataset!$V:$V,0),MATCH(Calculations!$A$1,Dataset!$A$1:$V$1,0)),"")</f>
        <v>0.61199149847132439</v>
      </c>
      <c r="O526" s="869">
        <f>IFERROR(INDEX(Dataset!$A:$V,MATCH(Calculations!O$250&amp;Calculations!$X526,Dataset!$V:$V,0),MATCH(Calculations!$A$1,Dataset!$A$1:$V$1,0)),"")</f>
        <v>9.0096817844515245E-2</v>
      </c>
      <c r="P526" s="869">
        <f>IFERROR(INDEX(Dataset!$A:$V,MATCH(Calculations!P$250&amp;Calculations!$X526,Dataset!$V:$V,0),MATCH(Calculations!$A$1,Dataset!$A$1:$V$1,0)),"")</f>
        <v>1.9000762421110599E-2</v>
      </c>
      <c r="Q526" s="869">
        <f>IFERROR(INDEX(Dataset!$A:$V,MATCH(Calculations!Q$250&amp;Calculations!$X526,Dataset!$V:$V,0),MATCH(Calculations!$A$1,Dataset!$A$1:$V$1,0)),"")</f>
        <v>0.57940625236545318</v>
      </c>
      <c r="R526" s="869">
        <f>IFERROR(INDEX(Dataset!$A:$V,MATCH(Calculations!R$250&amp;Calculations!$X526,Dataset!$V:$V,0),MATCH(Calculations!$A$1,Dataset!$A$1:$V$1,0)),"")</f>
        <v>0.16543468166041742</v>
      </c>
      <c r="S526" s="869">
        <f>IFERROR(INDEX(Dataset!$A:$V,MATCH(Calculations!S$250&amp;Calculations!$X526,Dataset!$V:$V,0),MATCH(Calculations!$A$1,Dataset!$A$1:$V$1,0)),"")</f>
        <v>0.1988982282619802</v>
      </c>
      <c r="T526" s="869">
        <f>IFERROR(INDEX(Dataset!$A:$V,MATCH(Calculations!T$250&amp;Calculations!$X526,Dataset!$V:$V,0),MATCH(Calculations!$A$1,Dataset!$A$1:$V$1,0)),"")</f>
        <v>0</v>
      </c>
      <c r="X526" t="s">
        <v>1273</v>
      </c>
    </row>
    <row r="527" spans="1:24">
      <c r="A527" s="869" t="s">
        <v>1084</v>
      </c>
      <c r="B527" s="869"/>
      <c r="C527" s="869"/>
      <c r="D527" s="869"/>
      <c r="E527" s="869"/>
      <c r="F527" s="869"/>
      <c r="G527" s="869"/>
      <c r="H527" s="869"/>
      <c r="I527" s="869"/>
      <c r="J527" s="869"/>
      <c r="K527" s="869"/>
      <c r="L527" s="869"/>
      <c r="M527" s="869">
        <f>IFERROR(INDEX(Dataset!$A:$V,MATCH(Calculations!M$250&amp;Calculations!$X527,Dataset!$V:$V,0),MATCH(Calculations!$A$1,Dataset!$A$1:$V$1,0)),"")</f>
        <v>-3.5648115390100727</v>
      </c>
      <c r="N527" s="869">
        <f>IFERROR(INDEX(Dataset!$A:$V,MATCH(Calculations!N$250&amp;Calculations!$X527,Dataset!$V:$V,0),MATCH(Calculations!$A$1,Dataset!$A$1:$V$1,0)),"")</f>
        <v>18.512920900113642</v>
      </c>
      <c r="O527" s="869">
        <f>IFERROR(INDEX(Dataset!$A:$V,MATCH(Calculations!O$250&amp;Calculations!$X527,Dataset!$V:$V,0),MATCH(Calculations!$A$1,Dataset!$A$1:$V$1,0)),"")</f>
        <v>-11.795325985420577</v>
      </c>
      <c r="P527" s="869">
        <f>IFERROR(INDEX(Dataset!$A:$V,MATCH(Calculations!P$250&amp;Calculations!$X527,Dataset!$V:$V,0),MATCH(Calculations!$A$1,Dataset!$A$1:$V$1,0)),"")</f>
        <v>0.61435271672243652</v>
      </c>
      <c r="Q527" s="869">
        <f>IFERROR(INDEX(Dataset!$A:$V,MATCH(Calculations!Q$250&amp;Calculations!$X527,Dataset!$V:$V,0),MATCH(Calculations!$A$1,Dataset!$A$1:$V$1,0)),"")</f>
        <v>2.1403439095575512</v>
      </c>
      <c r="R527" s="869">
        <f>IFERROR(INDEX(Dataset!$A:$V,MATCH(Calculations!R$250&amp;Calculations!$X527,Dataset!$V:$V,0),MATCH(Calculations!$A$1,Dataset!$A$1:$V$1,0)),"")</f>
        <v>7.0156617361670186</v>
      </c>
      <c r="S527" s="869">
        <f>IFERROR(INDEX(Dataset!$A:$V,MATCH(Calculations!S$250&amp;Calculations!$X527,Dataset!$V:$V,0),MATCH(Calculations!$A$1,Dataset!$A$1:$V$1,0)),"")</f>
        <v>-4.0681469467060261</v>
      </c>
      <c r="T527" s="869" t="str">
        <f>IFERROR(INDEX(Dataset!$A:$V,MATCH(Calculations!T$250&amp;Calculations!$X527,Dataset!$V:$V,0),MATCH(Calculations!$A$1,Dataset!$A$1:$V$1,0)),"")</f>
        <v/>
      </c>
      <c r="X527" t="s">
        <v>1274</v>
      </c>
    </row>
    <row r="528" spans="1:24">
      <c r="A528" s="869" t="s">
        <v>1086</v>
      </c>
      <c r="B528" s="869"/>
      <c r="C528" s="869"/>
      <c r="D528" s="869"/>
      <c r="E528" s="869"/>
      <c r="F528" s="869"/>
      <c r="G528" s="869"/>
      <c r="H528" s="869"/>
      <c r="I528" s="869"/>
      <c r="J528" s="869"/>
      <c r="K528" s="869"/>
      <c r="L528" s="869"/>
      <c r="M528" s="869">
        <f>IFERROR(INDEX(Dataset!$A:$V,MATCH(Calculations!M$250&amp;Calculations!$X528,Dataset!$V:$V,0),MATCH(Calculations!$A$1,Dataset!$A$1:$V$1,0)),"")</f>
        <v>-4.461111809214712</v>
      </c>
      <c r="N528" s="869">
        <f>IFERROR(INDEX(Dataset!$A:$V,MATCH(Calculations!N$250&amp;Calculations!$X528,Dataset!$V:$V,0),MATCH(Calculations!$A$1,Dataset!$A$1:$V$1,0)),"")</f>
        <v>17.900929401642315</v>
      </c>
      <c r="O528" s="869">
        <f>IFERROR(INDEX(Dataset!$A:$V,MATCH(Calculations!O$250&amp;Calculations!$X528,Dataset!$V:$V,0),MATCH(Calculations!$A$1,Dataset!$A$1:$V$1,0)),"")</f>
        <v>-11.885422803265092</v>
      </c>
      <c r="P528" s="869">
        <f>IFERROR(INDEX(Dataset!$A:$V,MATCH(Calculations!P$250&amp;Calculations!$X528,Dataset!$V:$V,0),MATCH(Calculations!$A$1,Dataset!$A$1:$V$1,0)),"")</f>
        <v>0.59535195430132593</v>
      </c>
      <c r="Q528" s="869">
        <f>IFERROR(INDEX(Dataset!$A:$V,MATCH(Calculations!Q$250&amp;Calculations!$X528,Dataset!$V:$V,0),MATCH(Calculations!$A$1,Dataset!$A$1:$V$1,0)),"")</f>
        <v>1.5609376571920981</v>
      </c>
      <c r="R528" s="869">
        <f>IFERROR(INDEX(Dataset!$A:$V,MATCH(Calculations!R$250&amp;Calculations!$X528,Dataset!$V:$V,0),MATCH(Calculations!$A$1,Dataset!$A$1:$V$1,0)),"")</f>
        <v>6.8502270545066013</v>
      </c>
      <c r="S528" s="869">
        <f>IFERROR(INDEX(Dataset!$A:$V,MATCH(Calculations!S$250&amp;Calculations!$X528,Dataset!$V:$V,0),MATCH(Calculations!$A$1,Dataset!$A$1:$V$1,0)),"")</f>
        <v>-4.2670451749680058</v>
      </c>
      <c r="T528" s="869" t="str">
        <f>IFERROR(INDEX(Dataset!$A:$V,MATCH(Calculations!T$250&amp;Calculations!$X528,Dataset!$V:$V,0),MATCH(Calculations!$A$1,Dataset!$A$1:$V$1,0)),"")</f>
        <v/>
      </c>
      <c r="X528" t="s">
        <v>1275</v>
      </c>
    </row>
    <row r="529" spans="1:24">
      <c r="A529" s="869" t="s">
        <v>1088</v>
      </c>
      <c r="B529" s="869"/>
      <c r="C529" s="869"/>
      <c r="D529" s="869"/>
      <c r="E529" s="869"/>
      <c r="F529" s="869"/>
      <c r="G529" s="869"/>
      <c r="H529" s="869"/>
      <c r="I529" s="869"/>
      <c r="J529" s="869"/>
      <c r="K529" s="869"/>
      <c r="L529" s="869"/>
      <c r="M529" s="871">
        <f>IFERROR(INDEX(Dataset!$A:$V,MATCH(Calculations!M$250&amp;Calculations!$X529,Dataset!$V:$V,0),MATCH(Calculations!$A$1,Dataset!$A$1:$V$1,0)),"")</f>
        <v>-4.9772514385119768</v>
      </c>
      <c r="N529" s="871">
        <f>IFERROR(INDEX(Dataset!$A:$V,MATCH(Calculations!N$250&amp;Calculations!$X529,Dataset!$V:$V,0),MATCH(Calculations!$A$1,Dataset!$A$1:$V$1,0)),"")</f>
        <v>29.250290970310083</v>
      </c>
      <c r="O529" s="871">
        <f>IFERROR(INDEX(Dataset!$A:$V,MATCH(Calculations!O$250&amp;Calculations!$X529,Dataset!$V:$V,0),MATCH(Calculations!$A$1,Dataset!$A$1:$V$1,0)),"")</f>
        <v>-131.91834170854273</v>
      </c>
      <c r="P529" s="871">
        <f>IFERROR(INDEX(Dataset!$A:$V,MATCH(Calculations!P$250&amp;Calculations!$X529,Dataset!$V:$V,0),MATCH(Calculations!$A$1,Dataset!$A$1:$V$1,0)),"")</f>
        <v>31.333056069364162</v>
      </c>
      <c r="Q529" s="871">
        <f>IFERROR(INDEX(Dataset!$A:$V,MATCH(Calculations!Q$250&amp;Calculations!$X529,Dataset!$V:$V,0),MATCH(Calculations!$A$1,Dataset!$A$1:$V$1,0)),"")</f>
        <v>2.6940297085499112</v>
      </c>
      <c r="R529" s="871">
        <f>IFERROR(INDEX(Dataset!$A:$V,MATCH(Calculations!R$250&amp;Calculations!$X529,Dataset!$V:$V,0),MATCH(Calculations!$A$1,Dataset!$A$1:$V$1,0)),"")</f>
        <v>41.4074424162634</v>
      </c>
      <c r="S529" s="871">
        <f>IFERROR(INDEX(Dataset!$A:$V,MATCH(Calculations!S$250&amp;Calculations!$X529,Dataset!$V:$V,0),MATCH(Calculations!$A$1,Dataset!$A$1:$V$1,0)),"")</f>
        <v>-21.453409677172374</v>
      </c>
      <c r="T529" s="871" t="str">
        <f>IFERROR(INDEX(Dataset!$A:$V,MATCH(Calculations!T$250&amp;Calculations!$X529,Dataset!$V:$V,0),MATCH(Calculations!$A$1,Dataset!$A$1:$V$1,0)),"")</f>
        <v/>
      </c>
      <c r="X529" t="s">
        <v>1276</v>
      </c>
    </row>
  </sheetData>
  <phoneticPr fontId="254"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C7" evalError="1"/>
  </ignoredError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5" tint="-0.249977111117893"/>
  </sheetPr>
  <dimension ref="A1:AJ3048"/>
  <sheetViews>
    <sheetView zoomScale="10" zoomScaleNormal="10" workbookViewId="0">
      <selection activeCell="V1" sqref="V1"/>
    </sheetView>
  </sheetViews>
  <sheetFormatPr defaultColWidth="14.81640625" defaultRowHeight="14.5"/>
  <cols>
    <col min="1" max="1" width="31.81640625" customWidth="1"/>
    <col min="2" max="2" width="65.1796875" customWidth="1"/>
    <col min="3" max="3" width="31.81640625" customWidth="1"/>
    <col min="4" max="4" width="53.81640625" customWidth="1"/>
    <col min="5" max="5" width="61.453125" customWidth="1"/>
    <col min="6" max="21" width="31.81640625" customWidth="1"/>
    <col min="22" max="22" width="31.81640625" style="831" customWidth="1"/>
  </cols>
  <sheetData>
    <row r="1" spans="1:22">
      <c r="A1" s="826" t="s">
        <v>1277</v>
      </c>
      <c r="B1" s="827" t="s">
        <v>1278</v>
      </c>
      <c r="C1" s="827" t="s">
        <v>1283</v>
      </c>
      <c r="D1" s="827" t="s">
        <v>1279</v>
      </c>
      <c r="E1" s="827" t="s">
        <v>1280</v>
      </c>
      <c r="F1" s="827" t="s">
        <v>1281</v>
      </c>
      <c r="G1" s="827" t="s">
        <v>161</v>
      </c>
      <c r="H1" s="827" t="s">
        <v>162</v>
      </c>
      <c r="I1" s="827" t="s">
        <v>264</v>
      </c>
      <c r="J1" s="827" t="s">
        <v>164</v>
      </c>
      <c r="K1" s="827" t="s">
        <v>165</v>
      </c>
      <c r="L1" s="827" t="s">
        <v>166</v>
      </c>
      <c r="M1" s="827" t="s">
        <v>167</v>
      </c>
      <c r="N1" s="827" t="s">
        <v>168</v>
      </c>
      <c r="O1" s="827" t="s">
        <v>169</v>
      </c>
      <c r="P1" s="827" t="s">
        <v>170</v>
      </c>
      <c r="Q1" s="827" t="s">
        <v>171</v>
      </c>
      <c r="R1" s="827" t="s">
        <v>172</v>
      </c>
      <c r="S1" s="827" t="s">
        <v>28</v>
      </c>
      <c r="T1" s="827" t="s">
        <v>173</v>
      </c>
      <c r="U1" s="948" t="s">
        <v>350</v>
      </c>
      <c r="V1" s="830" t="s">
        <v>1282</v>
      </c>
    </row>
    <row r="2" spans="1:22">
      <c r="A2">
        <v>2011</v>
      </c>
      <c r="C2" t="s">
        <v>1283</v>
      </c>
      <c r="D2" t="s">
        <v>144</v>
      </c>
      <c r="E2" t="s">
        <v>33</v>
      </c>
      <c r="F2" t="s">
        <v>1284</v>
      </c>
      <c r="G2" cm="1">
        <f t="array" ref="G2:T13">TRANSPOSE('Guide &amp; drivers'!C42:N55)</f>
        <v>2359391</v>
      </c>
      <c r="H2">
        <v>1575686</v>
      </c>
      <c r="I2">
        <v>2258404</v>
      </c>
      <c r="J2">
        <v>2446951</v>
      </c>
      <c r="K2">
        <v>2614165</v>
      </c>
      <c r="L2">
        <v>1099333</v>
      </c>
      <c r="M2">
        <v>1541188</v>
      </c>
      <c r="N2">
        <v>2251892</v>
      </c>
      <c r="O2">
        <v>2233288</v>
      </c>
      <c r="P2">
        <v>3516859</v>
      </c>
      <c r="Q2">
        <v>1992998</v>
      </c>
      <c r="R2">
        <v>1485153</v>
      </c>
      <c r="S2">
        <v>740768</v>
      </c>
      <c r="T2">
        <v>3026488</v>
      </c>
      <c r="U2">
        <f>AVERAGE(G2:T2)</f>
        <v>2081611.7142857143</v>
      </c>
      <c r="V2" t="str">
        <f>CONCATENATE(A2,B2,C2,D2,E2)</f>
        <v>2011Cover guide and driversDriversCustomer numbers</v>
      </c>
    </row>
    <row r="3" spans="1:22">
      <c r="A3">
        <v>2012</v>
      </c>
      <c r="C3" s="900" t="s">
        <v>1283</v>
      </c>
      <c r="D3" t="s">
        <v>144</v>
      </c>
      <c r="E3" t="s">
        <v>33</v>
      </c>
      <c r="F3" t="s">
        <v>1284</v>
      </c>
      <c r="G3">
        <v>2364446</v>
      </c>
      <c r="H3">
        <v>1581420</v>
      </c>
      <c r="I3">
        <v>2266464</v>
      </c>
      <c r="J3">
        <v>2462123</v>
      </c>
      <c r="K3">
        <v>2623103</v>
      </c>
      <c r="L3">
        <v>1103465</v>
      </c>
      <c r="M3">
        <v>1551046</v>
      </c>
      <c r="N3">
        <v>2267440</v>
      </c>
      <c r="O3">
        <v>2247823</v>
      </c>
      <c r="P3">
        <v>3537357</v>
      </c>
      <c r="Q3">
        <v>1994241</v>
      </c>
      <c r="R3">
        <v>1487412</v>
      </c>
      <c r="S3">
        <v>745907</v>
      </c>
      <c r="T3">
        <v>3040102</v>
      </c>
      <c r="U3">
        <f t="shared" ref="U3:U55" si="0">AVERAGE(G3:T3)</f>
        <v>2090882.0714285714</v>
      </c>
      <c r="V3" t="str">
        <f t="shared" ref="V3:V104" si="1">CONCATENATE(A3,B3,C3,D3,E3)</f>
        <v>2012Cover guide and driversDriversCustomer numbers</v>
      </c>
    </row>
    <row r="4" spans="1:22">
      <c r="A4">
        <v>2013</v>
      </c>
      <c r="C4" s="900" t="s">
        <v>1283</v>
      </c>
      <c r="D4" t="s">
        <v>144</v>
      </c>
      <c r="E4" t="s">
        <v>33</v>
      </c>
      <c r="F4" t="s">
        <v>1284</v>
      </c>
      <c r="G4">
        <v>2368572</v>
      </c>
      <c r="H4">
        <v>1583627</v>
      </c>
      <c r="I4">
        <v>2272386</v>
      </c>
      <c r="J4">
        <v>2469953</v>
      </c>
      <c r="K4">
        <v>2619183</v>
      </c>
      <c r="L4">
        <v>1108168</v>
      </c>
      <c r="M4">
        <v>1561137</v>
      </c>
      <c r="N4">
        <v>2279053</v>
      </c>
      <c r="O4">
        <v>2257968</v>
      </c>
      <c r="P4">
        <v>3556281</v>
      </c>
      <c r="Q4">
        <v>1996169</v>
      </c>
      <c r="R4">
        <v>1490883</v>
      </c>
      <c r="S4">
        <v>750446</v>
      </c>
      <c r="T4">
        <v>3054120</v>
      </c>
      <c r="U4">
        <f t="shared" si="0"/>
        <v>2097710.4285714286</v>
      </c>
      <c r="V4" t="str">
        <f t="shared" si="1"/>
        <v>2013Cover guide and driversDriversCustomer numbers</v>
      </c>
    </row>
    <row r="5" spans="1:22">
      <c r="A5">
        <v>2014</v>
      </c>
      <c r="C5" s="900" t="s">
        <v>1283</v>
      </c>
      <c r="D5" t="s">
        <v>144</v>
      </c>
      <c r="E5" t="s">
        <v>33</v>
      </c>
      <c r="F5" t="s">
        <v>1284</v>
      </c>
      <c r="G5">
        <v>2371790</v>
      </c>
      <c r="H5">
        <v>1586437</v>
      </c>
      <c r="I5">
        <v>2277373</v>
      </c>
      <c r="J5">
        <v>2448930</v>
      </c>
      <c r="K5">
        <v>2604846</v>
      </c>
      <c r="L5">
        <v>1113015</v>
      </c>
      <c r="M5">
        <v>1570645</v>
      </c>
      <c r="N5">
        <v>2286322</v>
      </c>
      <c r="O5">
        <v>2262882</v>
      </c>
      <c r="P5">
        <v>3565115</v>
      </c>
      <c r="Q5">
        <v>1996758</v>
      </c>
      <c r="R5">
        <v>1494271</v>
      </c>
      <c r="S5">
        <v>754258</v>
      </c>
      <c r="T5">
        <v>3067274</v>
      </c>
      <c r="U5">
        <f t="shared" si="0"/>
        <v>2099994</v>
      </c>
      <c r="V5" t="str">
        <f t="shared" si="1"/>
        <v>2014Cover guide and driversDriversCustomer numbers</v>
      </c>
    </row>
    <row r="6" spans="1:22">
      <c r="A6">
        <v>2015</v>
      </c>
      <c r="C6" s="900" t="s">
        <v>1283</v>
      </c>
      <c r="D6" t="s">
        <v>144</v>
      </c>
      <c r="E6" t="s">
        <v>33</v>
      </c>
      <c r="F6" t="s">
        <v>1284</v>
      </c>
      <c r="G6">
        <v>2375305</v>
      </c>
      <c r="H6">
        <v>1590615</v>
      </c>
      <c r="I6">
        <v>2284044</v>
      </c>
      <c r="J6">
        <v>2455914</v>
      </c>
      <c r="K6">
        <v>2613507</v>
      </c>
      <c r="L6">
        <v>1117685</v>
      </c>
      <c r="M6">
        <v>1579687</v>
      </c>
      <c r="N6">
        <v>2298560</v>
      </c>
      <c r="O6">
        <v>2271189</v>
      </c>
      <c r="P6">
        <v>3581606</v>
      </c>
      <c r="Q6">
        <v>1998881</v>
      </c>
      <c r="R6">
        <v>1499500</v>
      </c>
      <c r="S6">
        <v>757906</v>
      </c>
      <c r="T6">
        <v>3082913</v>
      </c>
      <c r="U6">
        <f t="shared" si="0"/>
        <v>2107665.1428571427</v>
      </c>
      <c r="V6" t="str">
        <f t="shared" si="1"/>
        <v>2015Cover guide and driversDriversCustomer numbers</v>
      </c>
    </row>
    <row r="7" spans="1:22">
      <c r="A7">
        <v>2016</v>
      </c>
      <c r="C7" s="900" t="s">
        <v>1283</v>
      </c>
      <c r="D7" t="s">
        <v>144</v>
      </c>
      <c r="E7" t="s">
        <v>33</v>
      </c>
      <c r="F7" t="s">
        <v>1284</v>
      </c>
      <c r="G7">
        <v>2381080</v>
      </c>
      <c r="H7">
        <v>1596374</v>
      </c>
      <c r="I7">
        <v>2291522</v>
      </c>
      <c r="J7">
        <v>2463217</v>
      </c>
      <c r="K7">
        <v>2622449</v>
      </c>
      <c r="L7">
        <v>1122920</v>
      </c>
      <c r="M7">
        <v>1590050</v>
      </c>
      <c r="N7">
        <v>2311906</v>
      </c>
      <c r="O7">
        <v>2281009</v>
      </c>
      <c r="P7">
        <v>3599594</v>
      </c>
      <c r="Q7">
        <v>2002257</v>
      </c>
      <c r="R7">
        <v>1503914</v>
      </c>
      <c r="S7">
        <v>758000</v>
      </c>
      <c r="T7">
        <v>3098577</v>
      </c>
      <c r="U7">
        <f t="shared" si="0"/>
        <v>2115919.2142857141</v>
      </c>
      <c r="V7" t="str">
        <f t="shared" si="1"/>
        <v>2016Cover guide and driversDriversCustomer numbers</v>
      </c>
    </row>
    <row r="8" spans="1:22">
      <c r="A8">
        <v>2017</v>
      </c>
      <c r="C8" s="900" t="s">
        <v>1283</v>
      </c>
      <c r="D8" t="s">
        <v>144</v>
      </c>
      <c r="E8" t="s">
        <v>33</v>
      </c>
      <c r="F8" t="s">
        <v>1284</v>
      </c>
      <c r="G8">
        <v>2383214</v>
      </c>
      <c r="H8">
        <v>1600885</v>
      </c>
      <c r="I8">
        <v>2298672</v>
      </c>
      <c r="J8">
        <v>2470151</v>
      </c>
      <c r="K8">
        <v>2631017</v>
      </c>
      <c r="L8">
        <v>1128284</v>
      </c>
      <c r="M8">
        <v>1600520</v>
      </c>
      <c r="N8">
        <v>2330356</v>
      </c>
      <c r="O8">
        <v>2288599</v>
      </c>
      <c r="P8">
        <v>3614431</v>
      </c>
      <c r="Q8">
        <v>2004462</v>
      </c>
      <c r="R8">
        <v>1508672</v>
      </c>
      <c r="S8">
        <v>767082</v>
      </c>
      <c r="T8">
        <v>3032766</v>
      </c>
      <c r="U8">
        <f t="shared" si="0"/>
        <v>2118507.9285714286</v>
      </c>
      <c r="V8" t="str">
        <f t="shared" si="1"/>
        <v>2017Cover guide and driversDriversCustomer numbers</v>
      </c>
    </row>
    <row r="9" spans="1:22">
      <c r="A9">
        <v>2018</v>
      </c>
      <c r="C9" s="900" t="s">
        <v>1283</v>
      </c>
      <c r="D9" t="s">
        <v>144</v>
      </c>
      <c r="E9" t="s">
        <v>33</v>
      </c>
      <c r="F9" t="s">
        <v>1284</v>
      </c>
      <c r="G9">
        <v>2383887</v>
      </c>
      <c r="H9">
        <v>1602128</v>
      </c>
      <c r="I9">
        <v>2298786</v>
      </c>
      <c r="J9">
        <v>2481944</v>
      </c>
      <c r="K9">
        <v>2647059</v>
      </c>
      <c r="L9">
        <v>1133101</v>
      </c>
      <c r="M9">
        <v>1613218</v>
      </c>
      <c r="N9">
        <v>2345807</v>
      </c>
      <c r="O9">
        <v>2296864</v>
      </c>
      <c r="P9">
        <v>3627858</v>
      </c>
      <c r="Q9">
        <v>2007341</v>
      </c>
      <c r="R9">
        <v>1512961</v>
      </c>
      <c r="S9">
        <v>772984</v>
      </c>
      <c r="T9">
        <v>3049924</v>
      </c>
      <c r="U9">
        <f t="shared" si="0"/>
        <v>2126704.4285714286</v>
      </c>
      <c r="V9" t="str">
        <f t="shared" si="1"/>
        <v>2018Cover guide and driversDriversCustomer numbers</v>
      </c>
    </row>
    <row r="10" spans="1:22">
      <c r="A10">
        <v>2019</v>
      </c>
      <c r="C10" s="900" t="s">
        <v>1283</v>
      </c>
      <c r="D10" t="s">
        <v>144</v>
      </c>
      <c r="E10" t="s">
        <v>33</v>
      </c>
      <c r="F10" t="s">
        <v>1284</v>
      </c>
      <c r="G10">
        <v>2393226</v>
      </c>
      <c r="H10">
        <v>1606300</v>
      </c>
      <c r="I10">
        <v>2306293</v>
      </c>
      <c r="J10">
        <v>2491212</v>
      </c>
      <c r="K10">
        <v>2658397</v>
      </c>
      <c r="L10">
        <v>1137812</v>
      </c>
      <c r="M10">
        <v>1624131</v>
      </c>
      <c r="N10">
        <v>2357951</v>
      </c>
      <c r="O10">
        <v>2304887</v>
      </c>
      <c r="P10">
        <v>3638189</v>
      </c>
      <c r="Q10">
        <v>2002889</v>
      </c>
      <c r="R10">
        <v>1512275</v>
      </c>
      <c r="S10">
        <v>778304</v>
      </c>
      <c r="T10">
        <v>3067988</v>
      </c>
      <c r="U10">
        <f t="shared" si="0"/>
        <v>2134275.2857142859</v>
      </c>
      <c r="V10" t="str">
        <f t="shared" si="1"/>
        <v>2019Cover guide and driversDriversCustomer numbers</v>
      </c>
    </row>
    <row r="11" spans="1:22">
      <c r="A11">
        <v>2020</v>
      </c>
      <c r="C11" s="900" t="s">
        <v>1283</v>
      </c>
      <c r="D11" t="s">
        <v>144</v>
      </c>
      <c r="E11" t="s">
        <v>33</v>
      </c>
      <c r="F11" t="s">
        <v>1284</v>
      </c>
      <c r="G11">
        <v>2399715</v>
      </c>
      <c r="H11">
        <v>1610820</v>
      </c>
      <c r="I11">
        <v>2312147</v>
      </c>
      <c r="J11">
        <v>2498337</v>
      </c>
      <c r="K11">
        <v>2665558</v>
      </c>
      <c r="L11">
        <v>1142731</v>
      </c>
      <c r="M11">
        <v>1628987</v>
      </c>
      <c r="N11">
        <v>2369157</v>
      </c>
      <c r="O11">
        <v>2311511</v>
      </c>
      <c r="P11">
        <v>3653242</v>
      </c>
      <c r="Q11">
        <v>2008433</v>
      </c>
      <c r="R11">
        <v>1519557</v>
      </c>
      <c r="S11">
        <v>782536</v>
      </c>
      <c r="T11">
        <v>3092275</v>
      </c>
      <c r="U11">
        <f>AVERAGE(G11:T11)</f>
        <v>2142500.4285714286</v>
      </c>
      <c r="V11" t="str">
        <f t="shared" si="1"/>
        <v>2020Cover guide and driversDriversCustomer numbers</v>
      </c>
    </row>
    <row r="12" spans="1:22">
      <c r="A12">
        <v>2021</v>
      </c>
      <c r="C12" s="900" t="s">
        <v>1283</v>
      </c>
      <c r="D12" t="s">
        <v>144</v>
      </c>
      <c r="E12" t="s">
        <v>33</v>
      </c>
      <c r="F12" t="s">
        <v>1284</v>
      </c>
      <c r="G12">
        <v>2405770</v>
      </c>
      <c r="H12">
        <v>1614053</v>
      </c>
      <c r="I12">
        <v>2318718</v>
      </c>
      <c r="J12">
        <v>2505140</v>
      </c>
      <c r="K12">
        <v>2674911</v>
      </c>
      <c r="L12">
        <v>1147345</v>
      </c>
      <c r="M12">
        <v>1636981</v>
      </c>
      <c r="N12">
        <v>2375701</v>
      </c>
      <c r="O12">
        <v>2319494</v>
      </c>
      <c r="P12">
        <v>3664189</v>
      </c>
      <c r="Q12">
        <v>2010896</v>
      </c>
      <c r="R12">
        <v>1523255</v>
      </c>
      <c r="S12">
        <v>785183</v>
      </c>
      <c r="T12">
        <v>3110203</v>
      </c>
      <c r="U12">
        <f>AVERAGE(G12:T12)</f>
        <v>2149417.0714285714</v>
      </c>
      <c r="V12" t="str">
        <f t="shared" si="1"/>
        <v>2021Cover guide and driversDriversCustomer numbers</v>
      </c>
    </row>
    <row r="13" spans="1:22">
      <c r="A13">
        <v>2022</v>
      </c>
      <c r="C13" s="900" t="s">
        <v>1283</v>
      </c>
      <c r="D13" t="s">
        <v>144</v>
      </c>
      <c r="E13" t="s">
        <v>33</v>
      </c>
      <c r="F13" t="s">
        <v>1284</v>
      </c>
      <c r="G13">
        <v>2412196</v>
      </c>
      <c r="H13">
        <v>1616140</v>
      </c>
      <c r="I13">
        <v>2322737</v>
      </c>
      <c r="J13">
        <v>2515482</v>
      </c>
      <c r="K13">
        <v>2686722</v>
      </c>
      <c r="L13">
        <v>1151120</v>
      </c>
      <c r="M13">
        <v>1646359</v>
      </c>
      <c r="N13">
        <v>2384532</v>
      </c>
      <c r="O13">
        <v>2327062</v>
      </c>
      <c r="P13">
        <v>3678637</v>
      </c>
      <c r="Q13">
        <v>2016358</v>
      </c>
      <c r="R13">
        <v>1527950</v>
      </c>
      <c r="S13">
        <v>788261</v>
      </c>
      <c r="T13">
        <v>3127424</v>
      </c>
      <c r="U13">
        <f>AVERAGE(G13:T13)</f>
        <v>2157212.8571428573</v>
      </c>
      <c r="V13" t="str">
        <f>CONCATENATE(A13,B13,C13,D13,E13)</f>
        <v>2022Cover guide and driversDriversCustomer numbers</v>
      </c>
    </row>
    <row r="14" spans="1:22">
      <c r="A14">
        <v>2011</v>
      </c>
      <c r="C14" s="900" t="s">
        <v>1283</v>
      </c>
      <c r="D14" t="s">
        <v>144</v>
      </c>
      <c r="E14" t="s">
        <v>35</v>
      </c>
      <c r="F14" t="s">
        <v>1285</v>
      </c>
      <c r="G14" cm="1">
        <f t="array" ref="G14:T25">TRANSPOSE('Guide &amp; drivers'!C61:N74)</f>
        <v>56952.256500000003</v>
      </c>
      <c r="H14" s="901">
        <v>40159.667000000016</v>
      </c>
      <c r="I14" s="901">
        <v>52782.961926666656</v>
      </c>
      <c r="J14" s="901">
        <v>63459.140749999999</v>
      </c>
      <c r="K14" s="901">
        <v>71700.131859999994</v>
      </c>
      <c r="L14" s="901">
        <v>35162.267790000005</v>
      </c>
      <c r="M14" s="901">
        <v>50183.206113000007</v>
      </c>
      <c r="N14" s="901">
        <v>36627.93</v>
      </c>
      <c r="O14" s="901">
        <v>52200</v>
      </c>
      <c r="P14" s="901">
        <v>96266</v>
      </c>
      <c r="Q14" s="901">
        <v>63848.455602927686</v>
      </c>
      <c r="R14" s="901">
        <v>49669.097599999994</v>
      </c>
      <c r="S14" s="901">
        <v>47024.219469999996</v>
      </c>
      <c r="T14" s="901">
        <v>76219.639999999985</v>
      </c>
      <c r="U14">
        <f t="shared" si="0"/>
        <v>56589.641043756747</v>
      </c>
      <c r="V14" t="str">
        <f t="shared" si="1"/>
        <v>2011Cover guide and driversDriversNetwork length</v>
      </c>
    </row>
    <row r="15" spans="1:22">
      <c r="A15">
        <v>2012</v>
      </c>
      <c r="C15" s="900" t="s">
        <v>1283</v>
      </c>
      <c r="D15" t="s">
        <v>144</v>
      </c>
      <c r="E15" t="s">
        <v>35</v>
      </c>
      <c r="F15" t="s">
        <v>1285</v>
      </c>
      <c r="G15" s="901">
        <v>57115.771616693863</v>
      </c>
      <c r="H15" s="901">
        <v>40351.758999999991</v>
      </c>
      <c r="I15" s="901">
        <v>52946.188226666665</v>
      </c>
      <c r="J15" s="901">
        <v>64111.492048000007</v>
      </c>
      <c r="K15" s="901">
        <v>71919.771657000005</v>
      </c>
      <c r="L15" s="901">
        <v>35298.91906800001</v>
      </c>
      <c r="M15" s="901">
        <v>50440.857657000008</v>
      </c>
      <c r="N15" s="901">
        <v>36703.93</v>
      </c>
      <c r="O15" s="901">
        <v>52315.753337957998</v>
      </c>
      <c r="P15" s="901">
        <v>96408.800000005009</v>
      </c>
      <c r="Q15" s="901">
        <v>63943.000602927699</v>
      </c>
      <c r="R15" s="901">
        <v>49619.097599999986</v>
      </c>
      <c r="S15" s="901">
        <v>47477.557989999994</v>
      </c>
      <c r="T15" s="901">
        <v>76727.234299999996</v>
      </c>
      <c r="U15">
        <f t="shared" si="0"/>
        <v>56812.866650303658</v>
      </c>
      <c r="V15" t="str">
        <f t="shared" si="1"/>
        <v>2012Cover guide and driversDriversNetwork length</v>
      </c>
    </row>
    <row r="16" spans="1:22">
      <c r="A16">
        <v>2013</v>
      </c>
      <c r="C16" s="900" t="s">
        <v>1283</v>
      </c>
      <c r="D16" t="s">
        <v>144</v>
      </c>
      <c r="E16" t="s">
        <v>35</v>
      </c>
      <c r="F16" t="s">
        <v>1285</v>
      </c>
      <c r="G16" s="901">
        <v>57296.447430266184</v>
      </c>
      <c r="H16" s="901">
        <v>40668.071000000011</v>
      </c>
      <c r="I16" s="901">
        <v>53163.735402583865</v>
      </c>
      <c r="J16" s="901">
        <v>64147.940481999991</v>
      </c>
      <c r="K16" s="901">
        <v>72058.562583000021</v>
      </c>
      <c r="L16" s="901">
        <v>35362.008417000012</v>
      </c>
      <c r="M16" s="901">
        <v>50584.057823000003</v>
      </c>
      <c r="N16" s="901">
        <v>36732.209999999992</v>
      </c>
      <c r="O16" s="901">
        <v>52449.362337958002</v>
      </c>
      <c r="P16" s="901">
        <v>96541.527000005008</v>
      </c>
      <c r="Q16" s="901">
        <v>57811.997736846046</v>
      </c>
      <c r="R16" s="901">
        <v>48454.395167842078</v>
      </c>
      <c r="S16" s="901">
        <v>47676.322899523802</v>
      </c>
      <c r="T16" s="901">
        <v>76965.986551000038</v>
      </c>
      <c r="U16">
        <f t="shared" si="0"/>
        <v>56422.330345073227</v>
      </c>
      <c r="V16" t="str">
        <f t="shared" si="1"/>
        <v>2013Cover guide and driversDriversNetwork length</v>
      </c>
    </row>
    <row r="17" spans="1:22">
      <c r="A17">
        <v>2014</v>
      </c>
      <c r="C17" s="900" t="s">
        <v>1283</v>
      </c>
      <c r="D17" t="s">
        <v>144</v>
      </c>
      <c r="E17" t="s">
        <v>35</v>
      </c>
      <c r="F17" t="s">
        <v>1285</v>
      </c>
      <c r="G17" s="901">
        <v>57547.744975918351</v>
      </c>
      <c r="H17" s="901">
        <v>40787.159999000003</v>
      </c>
      <c r="I17" s="901">
        <v>53299.514327041921</v>
      </c>
      <c r="J17" s="901">
        <v>64280.343775000001</v>
      </c>
      <c r="K17" s="901">
        <v>72381.28257700002</v>
      </c>
      <c r="L17" s="901">
        <v>35458.700528000008</v>
      </c>
      <c r="M17" s="901">
        <v>50761.223685000012</v>
      </c>
      <c r="N17" s="901">
        <v>36822.660885999983</v>
      </c>
      <c r="O17" s="901">
        <v>52686.697737957998</v>
      </c>
      <c r="P17" s="901">
        <v>96767.731470005019</v>
      </c>
      <c r="Q17" s="901">
        <v>57324</v>
      </c>
      <c r="R17" s="901">
        <v>46437.905000000006</v>
      </c>
      <c r="S17" s="901">
        <v>48053.172696063913</v>
      </c>
      <c r="T17" s="901">
        <v>76667.084951000012</v>
      </c>
      <c r="U17">
        <f t="shared" si="0"/>
        <v>56376.801614856238</v>
      </c>
      <c r="V17" t="str">
        <f t="shared" si="1"/>
        <v>2014Cover guide and driversDriversNetwork length</v>
      </c>
    </row>
    <row r="18" spans="1:22">
      <c r="A18">
        <v>2015</v>
      </c>
      <c r="C18" s="900" t="s">
        <v>1283</v>
      </c>
      <c r="D18" t="s">
        <v>144</v>
      </c>
      <c r="E18" t="s">
        <v>35</v>
      </c>
      <c r="F18" t="s">
        <v>1285</v>
      </c>
      <c r="G18" s="901">
        <v>57722.148822761133</v>
      </c>
      <c r="H18" s="901">
        <v>41012.91717905632</v>
      </c>
      <c r="I18" s="901">
        <v>53567.082693163422</v>
      </c>
      <c r="J18" s="901">
        <v>64590.589907000001</v>
      </c>
      <c r="K18" s="901">
        <v>72761.459731000024</v>
      </c>
      <c r="L18" s="901">
        <v>35632.419608000011</v>
      </c>
      <c r="M18" s="901">
        <v>51050.234705000003</v>
      </c>
      <c r="N18" s="901">
        <v>36845.690535999987</v>
      </c>
      <c r="O18" s="901">
        <v>52805.846732958002</v>
      </c>
      <c r="P18" s="901">
        <v>96913.083139004986</v>
      </c>
      <c r="Q18" s="901">
        <v>57628.899999999994</v>
      </c>
      <c r="R18" s="901">
        <v>46589.903712130515</v>
      </c>
      <c r="S18" s="901">
        <v>48407.807730349625</v>
      </c>
      <c r="T18" s="901">
        <v>77077.071101000009</v>
      </c>
      <c r="U18">
        <f t="shared" si="0"/>
        <v>56614.653971244581</v>
      </c>
      <c r="V18" t="str">
        <f t="shared" si="1"/>
        <v>2015Cover guide and driversDriversNetwork length</v>
      </c>
    </row>
    <row r="19" spans="1:22">
      <c r="A19">
        <v>2016</v>
      </c>
      <c r="C19" s="900" t="s">
        <v>1283</v>
      </c>
      <c r="D19" t="s">
        <v>144</v>
      </c>
      <c r="E19" t="s">
        <v>35</v>
      </c>
      <c r="F19" t="s">
        <v>1285</v>
      </c>
      <c r="G19" s="901">
        <v>57946.367779226537</v>
      </c>
      <c r="H19" s="901">
        <v>41243.508564524876</v>
      </c>
      <c r="I19" s="901">
        <v>53873.210402267505</v>
      </c>
      <c r="J19" s="901">
        <v>64268.963857000002</v>
      </c>
      <c r="K19" s="901">
        <v>72976.368962000022</v>
      </c>
      <c r="L19" s="901">
        <v>35612.300174999989</v>
      </c>
      <c r="M19" s="901">
        <v>50247.791925000012</v>
      </c>
      <c r="N19" s="901">
        <v>36932.862785999983</v>
      </c>
      <c r="O19" s="901">
        <v>52841.054692958009</v>
      </c>
      <c r="P19" s="901">
        <v>97261.385480004988</v>
      </c>
      <c r="Q19" s="901">
        <v>57984.400000000009</v>
      </c>
      <c r="R19" s="901">
        <v>46844.009730224265</v>
      </c>
      <c r="S19" s="901">
        <v>48346.868000000009</v>
      </c>
      <c r="T19" s="901">
        <v>77958.945150999978</v>
      </c>
      <c r="U19">
        <f t="shared" si="0"/>
        <v>56738.431250371861</v>
      </c>
      <c r="V19" t="str">
        <f t="shared" si="1"/>
        <v>2016Cover guide and driversDriversNetwork length</v>
      </c>
    </row>
    <row r="20" spans="1:22">
      <c r="A20">
        <v>2017</v>
      </c>
      <c r="C20" s="900" t="s">
        <v>1283</v>
      </c>
      <c r="D20" t="s">
        <v>144</v>
      </c>
      <c r="E20" t="s">
        <v>35</v>
      </c>
      <c r="F20" t="s">
        <v>1285</v>
      </c>
      <c r="G20" s="901">
        <v>57090.455839754562</v>
      </c>
      <c r="H20" s="901">
        <v>41503.335225747483</v>
      </c>
      <c r="I20" s="901">
        <v>54094.265093800197</v>
      </c>
      <c r="J20" s="901">
        <v>64575.202520999999</v>
      </c>
      <c r="K20" s="901">
        <v>73379.486562999999</v>
      </c>
      <c r="L20" s="901">
        <v>35789.687909999986</v>
      </c>
      <c r="M20" s="901">
        <v>50450.120552000008</v>
      </c>
      <c r="N20" s="901">
        <v>37041.845405999986</v>
      </c>
      <c r="O20" s="901">
        <v>52924.032794999999</v>
      </c>
      <c r="P20" s="901">
        <v>97631.965539001991</v>
      </c>
      <c r="Q20" s="901">
        <v>58303.899999999987</v>
      </c>
      <c r="R20" s="901">
        <v>46947.000000000007</v>
      </c>
      <c r="S20" s="901">
        <v>49026.469458</v>
      </c>
      <c r="T20" s="901">
        <v>77378.554823170562</v>
      </c>
      <c r="U20">
        <f t="shared" si="0"/>
        <v>56866.880123319628</v>
      </c>
      <c r="V20" t="str">
        <f t="shared" si="1"/>
        <v>2017Cover guide and driversDriversNetwork length</v>
      </c>
    </row>
    <row r="21" spans="1:22">
      <c r="A21">
        <v>2018</v>
      </c>
      <c r="C21" s="900" t="s">
        <v>1283</v>
      </c>
      <c r="D21" t="s">
        <v>144</v>
      </c>
      <c r="E21" t="s">
        <v>35</v>
      </c>
      <c r="F21" t="s">
        <v>1285</v>
      </c>
      <c r="G21" s="901">
        <v>57324.150313118742</v>
      </c>
      <c r="H21" s="901">
        <v>41704.939999999995</v>
      </c>
      <c r="I21" s="901">
        <v>54318.595839984468</v>
      </c>
      <c r="J21" s="901">
        <v>64878.788410999994</v>
      </c>
      <c r="K21" s="901">
        <v>73745.456160000002</v>
      </c>
      <c r="L21" s="901">
        <v>35678.696512000002</v>
      </c>
      <c r="M21" s="901">
        <v>50609.999136000013</v>
      </c>
      <c r="N21" s="901">
        <v>37159.641665999996</v>
      </c>
      <c r="O21" s="901">
        <v>53014.554055000015</v>
      </c>
      <c r="P21" s="901">
        <v>97817.459049001991</v>
      </c>
      <c r="Q21" s="901">
        <v>58515.3</v>
      </c>
      <c r="R21" s="901">
        <v>47051.391123952562</v>
      </c>
      <c r="S21" s="901">
        <v>49153.939138000002</v>
      </c>
      <c r="T21" s="901">
        <v>77486.957672170567</v>
      </c>
      <c r="U21">
        <f t="shared" si="0"/>
        <v>57032.847791159176</v>
      </c>
      <c r="V21" t="str">
        <f t="shared" si="1"/>
        <v>2018Cover guide and driversDriversNetwork length</v>
      </c>
    </row>
    <row r="22" spans="1:22">
      <c r="A22">
        <v>2019</v>
      </c>
      <c r="C22" s="900" t="s">
        <v>1283</v>
      </c>
      <c r="D22" t="s">
        <v>144</v>
      </c>
      <c r="E22" t="s">
        <v>35</v>
      </c>
      <c r="F22" t="s">
        <v>1285</v>
      </c>
      <c r="G22" s="901">
        <v>57348.877268724129</v>
      </c>
      <c r="H22" s="901">
        <v>41839.145999999986</v>
      </c>
      <c r="I22" s="901">
        <v>54653.815429421331</v>
      </c>
      <c r="J22" s="901">
        <v>65153.472103457003</v>
      </c>
      <c r="K22" s="901">
        <v>74111.285952555991</v>
      </c>
      <c r="L22" s="901">
        <v>35758.722171539986</v>
      </c>
      <c r="M22" s="901">
        <v>50798.960359924014</v>
      </c>
      <c r="N22" s="901">
        <v>37270.953296</v>
      </c>
      <c r="O22" s="901">
        <v>53134.233155000002</v>
      </c>
      <c r="P22" s="901">
        <v>98070.964289002004</v>
      </c>
      <c r="Q22" s="901">
        <v>58578.599999999991</v>
      </c>
      <c r="R22" s="901">
        <v>47151.000000000007</v>
      </c>
      <c r="S22" s="901">
        <v>49356.677138000014</v>
      </c>
      <c r="T22" s="901">
        <v>77710.035672170532</v>
      </c>
      <c r="U22">
        <f t="shared" si="0"/>
        <v>57209.767345413929</v>
      </c>
      <c r="V22" t="str">
        <f t="shared" si="1"/>
        <v>2019Cover guide and driversDriversNetwork length</v>
      </c>
    </row>
    <row r="23" spans="1:22">
      <c r="A23">
        <v>2020</v>
      </c>
      <c r="C23" s="900" t="s">
        <v>1283</v>
      </c>
      <c r="D23" t="s">
        <v>144</v>
      </c>
      <c r="E23" t="s">
        <v>35</v>
      </c>
      <c r="F23" t="s">
        <v>1285</v>
      </c>
      <c r="G23" s="901">
        <v>57432.086819622629</v>
      </c>
      <c r="H23" s="901">
        <v>41922.931551430702</v>
      </c>
      <c r="I23" s="901">
        <v>54890.935429421334</v>
      </c>
      <c r="J23" s="901">
        <v>65363.597202456986</v>
      </c>
      <c r="K23" s="901">
        <v>74399.808828556008</v>
      </c>
      <c r="L23" s="901">
        <v>35832.16687453998</v>
      </c>
      <c r="M23" s="901">
        <v>50935.804368924022</v>
      </c>
      <c r="N23" s="901">
        <v>37456.535815999996</v>
      </c>
      <c r="O23" s="901">
        <v>53252.597175000003</v>
      </c>
      <c r="P23" s="901">
        <v>98393.938522182012</v>
      </c>
      <c r="Q23" s="901">
        <v>58696.800000000003</v>
      </c>
      <c r="R23" s="901">
        <v>47253.2</v>
      </c>
      <c r="S23" s="901">
        <v>49390.110138000011</v>
      </c>
      <c r="T23" s="901">
        <v>77998.048672170553</v>
      </c>
      <c r="U23">
        <f>AVERAGE(G23:T23)</f>
        <v>57372.754385593165</v>
      </c>
      <c r="V23" t="str">
        <f>CONCATENATE(A23,B23,C23,D23,E23)</f>
        <v>2020Cover guide and driversDriversNetwork length</v>
      </c>
    </row>
    <row r="24" spans="1:22">
      <c r="A24">
        <v>2021</v>
      </c>
      <c r="C24" s="900" t="s">
        <v>1283</v>
      </c>
      <c r="D24" t="s">
        <v>144</v>
      </c>
      <c r="E24" t="s">
        <v>35</v>
      </c>
      <c r="F24" t="s">
        <v>1285</v>
      </c>
      <c r="G24" s="901">
        <v>57415.293031994966</v>
      </c>
      <c r="H24" s="901">
        <v>42001.703496105823</v>
      </c>
      <c r="I24" s="901">
        <v>55119.956429421327</v>
      </c>
      <c r="J24" s="901">
        <v>65570.050743457003</v>
      </c>
      <c r="K24" s="901">
        <v>74750.619726556004</v>
      </c>
      <c r="L24" s="901">
        <v>35927.355572539986</v>
      </c>
      <c r="M24" s="901">
        <v>51090.624071924016</v>
      </c>
      <c r="N24" s="901">
        <v>37511.147456000006</v>
      </c>
      <c r="O24" s="901">
        <v>53396.968755000009</v>
      </c>
      <c r="P24" s="901">
        <v>98594.66180996201</v>
      </c>
      <c r="Q24" s="901">
        <v>58816.80000000001</v>
      </c>
      <c r="R24" s="901">
        <v>47374.299999999996</v>
      </c>
      <c r="S24" s="901">
        <v>49348.797138000009</v>
      </c>
      <c r="T24" s="901">
        <v>78149.136672170556</v>
      </c>
      <c r="U24">
        <f>AVERAGE(G24:T24)</f>
        <v>57504.815350223704</v>
      </c>
      <c r="V24" t="str">
        <f>CONCATENATE(A24,B24,C24,D24,E24)</f>
        <v>2021Cover guide and driversDriversNetwork length</v>
      </c>
    </row>
    <row r="25" spans="1:22">
      <c r="A25">
        <v>2022</v>
      </c>
      <c r="C25" s="900" t="s">
        <v>1283</v>
      </c>
      <c r="D25" t="s">
        <v>144</v>
      </c>
      <c r="E25" t="s">
        <v>35</v>
      </c>
      <c r="F25" t="s">
        <v>1285</v>
      </c>
      <c r="G25" s="901">
        <v>57694.514275629117</v>
      </c>
      <c r="H25" s="901">
        <v>42100.80948048248</v>
      </c>
      <c r="I25" s="901">
        <v>55091.783255567432</v>
      </c>
      <c r="J25" s="901">
        <v>65765.192433456978</v>
      </c>
      <c r="K25" s="901">
        <v>75070.712237556014</v>
      </c>
      <c r="L25" s="901">
        <v>36052.248051539988</v>
      </c>
      <c r="M25" s="901">
        <v>51234.261611924005</v>
      </c>
      <c r="N25" s="901">
        <v>37580.334276000001</v>
      </c>
      <c r="O25" s="901">
        <v>53449.035165000008</v>
      </c>
      <c r="P25" s="901">
        <v>98792.588760002007</v>
      </c>
      <c r="Q25" s="901">
        <v>58997.3</v>
      </c>
      <c r="R25" s="901">
        <v>47500.9</v>
      </c>
      <c r="S25" s="901">
        <v>49471.432138000004</v>
      </c>
      <c r="T25" s="901">
        <v>78702.575672170569</v>
      </c>
      <c r="U25">
        <f>AVERAGE(G25:T25)</f>
        <v>57678.834811237764</v>
      </c>
      <c r="V25" t="str">
        <f>CONCATENATE(A25,B25,C25,D25,E25)</f>
        <v>2022Cover guide and driversDriversNetwork length</v>
      </c>
    </row>
    <row r="26" spans="1:22">
      <c r="A26">
        <v>2011</v>
      </c>
      <c r="C26" s="900" t="s">
        <v>1283</v>
      </c>
      <c r="D26" t="s">
        <v>144</v>
      </c>
      <c r="E26" t="s">
        <v>37</v>
      </c>
      <c r="F26" t="s">
        <v>1286</v>
      </c>
      <c r="G26" cm="1">
        <f t="array" ref="G26:T37">TRANSPOSE('Guide &amp; drivers'!C80:N93)</f>
        <v>23835.240000000005</v>
      </c>
      <c r="H26" s="901">
        <v>15795.568039</v>
      </c>
      <c r="I26" s="901">
        <v>23063.327530999999</v>
      </c>
      <c r="J26" s="901">
        <v>24932.160369199999</v>
      </c>
      <c r="K26" s="901">
        <v>27882.570168300001</v>
      </c>
      <c r="L26" s="901">
        <v>12110.703833149997</v>
      </c>
      <c r="M26" s="901">
        <v>14625.006989700001</v>
      </c>
      <c r="N26" s="901">
        <v>29355</v>
      </c>
      <c r="O26" s="901">
        <v>21694</v>
      </c>
      <c r="P26" s="901">
        <v>34525</v>
      </c>
      <c r="Q26" s="901">
        <v>20023</v>
      </c>
      <c r="R26" s="901">
        <v>16195</v>
      </c>
      <c r="S26" s="901">
        <v>8521</v>
      </c>
      <c r="T26" s="901">
        <v>33646.1</v>
      </c>
      <c r="U26">
        <f t="shared" si="0"/>
        <v>21871.691209310717</v>
      </c>
      <c r="V26" t="str">
        <f t="shared" si="1"/>
        <v>2011Cover guide and driversDriversTotal units distributed</v>
      </c>
    </row>
    <row r="27" spans="1:22">
      <c r="A27">
        <v>2012</v>
      </c>
      <c r="C27" s="900" t="s">
        <v>1283</v>
      </c>
      <c r="D27" t="s">
        <v>144</v>
      </c>
      <c r="E27" t="s">
        <v>37</v>
      </c>
      <c r="F27" t="s">
        <v>1286</v>
      </c>
      <c r="G27" s="901">
        <v>23367.42</v>
      </c>
      <c r="H27" s="901">
        <v>15271.776647000001</v>
      </c>
      <c r="I27" s="901">
        <v>22570.844872999998</v>
      </c>
      <c r="J27" s="901">
        <v>24247.7224594</v>
      </c>
      <c r="K27" s="901">
        <v>27073.079007699998</v>
      </c>
      <c r="L27" s="901">
        <v>11776.006430799998</v>
      </c>
      <c r="M27" s="901">
        <v>14078.274136499997</v>
      </c>
      <c r="N27" s="901">
        <v>28492.363018</v>
      </c>
      <c r="O27" s="901">
        <v>20813</v>
      </c>
      <c r="P27" s="901">
        <v>34093</v>
      </c>
      <c r="Q27" s="901">
        <v>19341</v>
      </c>
      <c r="R27" s="901">
        <v>15787</v>
      </c>
      <c r="S27" s="901">
        <v>8117.4</v>
      </c>
      <c r="T27" s="901">
        <v>32536.799999999999</v>
      </c>
      <c r="U27">
        <f t="shared" si="0"/>
        <v>21254.69189802857</v>
      </c>
      <c r="V27" t="str">
        <f t="shared" si="1"/>
        <v>2012Cover guide and driversDriversTotal units distributed</v>
      </c>
    </row>
    <row r="28" spans="1:22">
      <c r="A28">
        <v>2013</v>
      </c>
      <c r="C28" s="900" t="s">
        <v>1283</v>
      </c>
      <c r="D28" t="s">
        <v>144</v>
      </c>
      <c r="E28" t="s">
        <v>37</v>
      </c>
      <c r="F28" t="s">
        <v>1286</v>
      </c>
      <c r="G28" s="901">
        <v>23484.006879054108</v>
      </c>
      <c r="H28" s="901">
        <v>15489.97147</v>
      </c>
      <c r="I28" s="901">
        <v>22692.940408999999</v>
      </c>
      <c r="J28" s="901">
        <v>24682.022656299996</v>
      </c>
      <c r="K28" s="901">
        <v>27597.265513400002</v>
      </c>
      <c r="L28" s="901">
        <v>11769.627844999999</v>
      </c>
      <c r="M28" s="901">
        <v>14412.4513085</v>
      </c>
      <c r="N28" s="901">
        <v>28722.3</v>
      </c>
      <c r="O28" s="901">
        <v>20994</v>
      </c>
      <c r="P28" s="901">
        <v>35108</v>
      </c>
      <c r="Q28" s="901">
        <v>19537</v>
      </c>
      <c r="R28" s="901">
        <v>16065</v>
      </c>
      <c r="S28" s="901">
        <v>8333.7999999999993</v>
      </c>
      <c r="T28" s="901">
        <v>33207.300000000003</v>
      </c>
      <c r="U28">
        <f t="shared" si="0"/>
        <v>21578.263291518149</v>
      </c>
      <c r="V28" t="str">
        <f t="shared" si="1"/>
        <v>2013Cover guide and driversDriversTotal units distributed</v>
      </c>
    </row>
    <row r="29" spans="1:22">
      <c r="A29">
        <v>2014</v>
      </c>
      <c r="C29" s="900" t="s">
        <v>1283</v>
      </c>
      <c r="D29" t="s">
        <v>144</v>
      </c>
      <c r="E29" t="s">
        <v>37</v>
      </c>
      <c r="F29" t="s">
        <v>1286</v>
      </c>
      <c r="G29" s="901">
        <v>22820</v>
      </c>
      <c r="H29" s="901">
        <v>15131.456553</v>
      </c>
      <c r="I29" s="901">
        <v>22438.351294</v>
      </c>
      <c r="J29" s="901">
        <v>24427.327903599999</v>
      </c>
      <c r="K29" s="901">
        <v>26794.973706999997</v>
      </c>
      <c r="L29" s="901">
        <v>11640.559190899998</v>
      </c>
      <c r="M29" s="901">
        <v>13932.8079879</v>
      </c>
      <c r="N29" s="901">
        <v>28006</v>
      </c>
      <c r="O29" s="901">
        <v>20508.407999999999</v>
      </c>
      <c r="P29" s="901">
        <v>33794</v>
      </c>
      <c r="Q29" s="901">
        <v>18943</v>
      </c>
      <c r="R29" s="901">
        <v>15997</v>
      </c>
      <c r="S29" s="901">
        <v>8075.6</v>
      </c>
      <c r="T29" s="901">
        <v>32359.1</v>
      </c>
      <c r="U29">
        <f t="shared" si="0"/>
        <v>21062.041759742853</v>
      </c>
      <c r="V29" t="str">
        <f t="shared" si="1"/>
        <v>2014Cover guide and driversDriversTotal units distributed</v>
      </c>
    </row>
    <row r="30" spans="1:22">
      <c r="A30">
        <v>2015</v>
      </c>
      <c r="C30" s="900" t="s">
        <v>1283</v>
      </c>
      <c r="D30" t="s">
        <v>144</v>
      </c>
      <c r="E30" t="s">
        <v>37</v>
      </c>
      <c r="F30" t="s">
        <v>1286</v>
      </c>
      <c r="G30" s="901">
        <v>22393</v>
      </c>
      <c r="H30" s="901">
        <v>14984.0183284</v>
      </c>
      <c r="I30" s="901">
        <v>22263.328870499998</v>
      </c>
      <c r="J30" s="901">
        <v>24212.9227039</v>
      </c>
      <c r="K30" s="901">
        <v>26626.623978</v>
      </c>
      <c r="L30" s="901">
        <v>11490.9520601</v>
      </c>
      <c r="M30" s="901">
        <v>13767.548067000002</v>
      </c>
      <c r="N30" s="901">
        <v>27632</v>
      </c>
      <c r="O30" s="901">
        <v>19713</v>
      </c>
      <c r="P30" s="901">
        <v>32882</v>
      </c>
      <c r="Q30" s="901">
        <v>18589</v>
      </c>
      <c r="R30" s="901">
        <v>15742</v>
      </c>
      <c r="S30" s="901">
        <v>7818.5</v>
      </c>
      <c r="T30" s="901">
        <v>31840.1</v>
      </c>
      <c r="U30">
        <f t="shared" si="0"/>
        <v>20711.071000564287</v>
      </c>
      <c r="V30" t="str">
        <f t="shared" si="1"/>
        <v>2015Cover guide and driversDriversTotal units distributed</v>
      </c>
    </row>
    <row r="31" spans="1:22">
      <c r="A31">
        <v>2016</v>
      </c>
      <c r="C31" s="900" t="s">
        <v>1283</v>
      </c>
      <c r="D31" t="s">
        <v>144</v>
      </c>
      <c r="E31" t="s">
        <v>37</v>
      </c>
      <c r="F31" t="s">
        <v>1286</v>
      </c>
      <c r="G31" s="901">
        <v>22223.982317900001</v>
      </c>
      <c r="H31" s="901">
        <v>14861.889987800001</v>
      </c>
      <c r="I31" s="901">
        <v>22012.4342435</v>
      </c>
      <c r="J31" s="901">
        <v>23941.294863080002</v>
      </c>
      <c r="K31" s="901">
        <v>26424.308137400003</v>
      </c>
      <c r="L31" s="901">
        <v>11333.0047997</v>
      </c>
      <c r="M31" s="901">
        <v>13561.178091400001</v>
      </c>
      <c r="N31" s="901">
        <v>27442.399999999998</v>
      </c>
      <c r="O31" s="901">
        <v>19413.399999999998</v>
      </c>
      <c r="P31" s="901">
        <v>32721</v>
      </c>
      <c r="Q31" s="901">
        <v>18348</v>
      </c>
      <c r="R31" s="901">
        <v>15449</v>
      </c>
      <c r="S31" s="901">
        <v>7859.7</v>
      </c>
      <c r="T31" s="901">
        <v>31425.5</v>
      </c>
      <c r="U31">
        <f t="shared" si="0"/>
        <v>20501.220888627144</v>
      </c>
      <c r="V31" t="str">
        <f t="shared" si="1"/>
        <v>2016Cover guide and driversDriversTotal units distributed</v>
      </c>
    </row>
    <row r="32" spans="1:22">
      <c r="A32">
        <v>2017</v>
      </c>
      <c r="C32" s="900" t="s">
        <v>1283</v>
      </c>
      <c r="D32" t="s">
        <v>144</v>
      </c>
      <c r="E32" t="s">
        <v>37</v>
      </c>
      <c r="F32" t="s">
        <v>1286</v>
      </c>
      <c r="G32" s="901">
        <v>22059.599999999999</v>
      </c>
      <c r="H32" s="901">
        <v>14494.548007900001</v>
      </c>
      <c r="I32" s="901">
        <v>21674.853999999999</v>
      </c>
      <c r="J32" s="901">
        <v>23896.440088999996</v>
      </c>
      <c r="K32" s="901">
        <v>26354.810654299996</v>
      </c>
      <c r="L32" s="901">
        <v>11177.171309700001</v>
      </c>
      <c r="M32" s="901">
        <v>13531.176227000004</v>
      </c>
      <c r="N32" s="901">
        <v>27266</v>
      </c>
      <c r="O32" s="901">
        <v>19468</v>
      </c>
      <c r="P32" s="901">
        <v>33295</v>
      </c>
      <c r="Q32" s="901">
        <v>17961</v>
      </c>
      <c r="R32" s="901">
        <v>15211</v>
      </c>
      <c r="S32" s="901">
        <v>7427.8</v>
      </c>
      <c r="T32" s="901">
        <v>30984.1</v>
      </c>
      <c r="U32">
        <f t="shared" si="0"/>
        <v>20342.964306278569</v>
      </c>
      <c r="V32" t="str">
        <f t="shared" si="1"/>
        <v>2017Cover guide and driversDriversTotal units distributed</v>
      </c>
    </row>
    <row r="33" spans="1:22">
      <c r="A33">
        <v>2018</v>
      </c>
      <c r="C33" s="900" t="s">
        <v>1283</v>
      </c>
      <c r="D33" t="s">
        <v>144</v>
      </c>
      <c r="E33" t="s">
        <v>37</v>
      </c>
      <c r="F33" t="s">
        <v>1286</v>
      </c>
      <c r="G33" s="901">
        <v>21855.5</v>
      </c>
      <c r="H33" s="901">
        <v>14414.141211400001</v>
      </c>
      <c r="I33" s="901">
        <v>21614.843346000001</v>
      </c>
      <c r="J33" s="901">
        <v>23772.670099600004</v>
      </c>
      <c r="K33" s="901">
        <v>26187.577036800001</v>
      </c>
      <c r="L33" s="901">
        <v>11072.482304000001</v>
      </c>
      <c r="M33" s="901">
        <v>13505.562269199996</v>
      </c>
      <c r="N33" s="901">
        <v>27012</v>
      </c>
      <c r="O33" s="901">
        <v>19373</v>
      </c>
      <c r="P33" s="901">
        <v>33106</v>
      </c>
      <c r="Q33" s="901">
        <v>17833</v>
      </c>
      <c r="R33" s="901">
        <v>15118</v>
      </c>
      <c r="S33" s="901">
        <v>7662.7</v>
      </c>
      <c r="T33" s="901">
        <v>31527.7</v>
      </c>
      <c r="U33">
        <f t="shared" si="0"/>
        <v>20289.655447642861</v>
      </c>
      <c r="V33" t="str">
        <f t="shared" si="1"/>
        <v>2018Cover guide and driversDriversTotal units distributed</v>
      </c>
    </row>
    <row r="34" spans="1:22">
      <c r="A34">
        <v>2019</v>
      </c>
      <c r="C34" s="900" t="s">
        <v>1283</v>
      </c>
      <c r="D34" t="s">
        <v>144</v>
      </c>
      <c r="E34" t="s">
        <v>37</v>
      </c>
      <c r="F34" t="s">
        <v>1286</v>
      </c>
      <c r="G34" s="901">
        <v>21712.400000000001</v>
      </c>
      <c r="H34" s="901">
        <v>14092.211493300001</v>
      </c>
      <c r="I34" s="901">
        <v>21387.845752199999</v>
      </c>
      <c r="J34" s="901">
        <v>23198.030306199998</v>
      </c>
      <c r="K34" s="901">
        <v>25592.137966899998</v>
      </c>
      <c r="L34" s="901">
        <v>10939.202383600001</v>
      </c>
      <c r="M34" s="901">
        <v>13189.6522002</v>
      </c>
      <c r="N34" s="901">
        <v>26864</v>
      </c>
      <c r="O34" s="901">
        <v>19379</v>
      </c>
      <c r="P34" s="901">
        <v>32994</v>
      </c>
      <c r="Q34" s="901">
        <v>17266</v>
      </c>
      <c r="R34" s="901">
        <v>14655</v>
      </c>
      <c r="S34" s="901">
        <v>7461.9</v>
      </c>
      <c r="T34" s="901">
        <v>30870.799999999999</v>
      </c>
      <c r="U34">
        <f t="shared" si="0"/>
        <v>19971.584293028573</v>
      </c>
      <c r="V34" t="str">
        <f t="shared" si="1"/>
        <v>2019Cover guide and driversDriversTotal units distributed</v>
      </c>
    </row>
    <row r="35" spans="1:22">
      <c r="A35">
        <v>2020</v>
      </c>
      <c r="C35" s="900" t="s">
        <v>1283</v>
      </c>
      <c r="D35" t="s">
        <v>144</v>
      </c>
      <c r="E35" t="s">
        <v>37</v>
      </c>
      <c r="F35" t="s">
        <v>1286</v>
      </c>
      <c r="G35" s="901">
        <v>21372.053551450004</v>
      </c>
      <c r="H35" s="901">
        <v>13849.7709323</v>
      </c>
      <c r="I35" s="901">
        <v>21059.512806399998</v>
      </c>
      <c r="J35" s="901">
        <v>22877.671561799998</v>
      </c>
      <c r="K35" s="901">
        <v>25292.019644300002</v>
      </c>
      <c r="L35" s="901">
        <v>10741.003705099998</v>
      </c>
      <c r="M35" s="901">
        <v>13023.926612399999</v>
      </c>
      <c r="N35" s="901">
        <v>25779</v>
      </c>
      <c r="O35" s="901">
        <v>18763</v>
      </c>
      <c r="P35" s="901">
        <v>31973</v>
      </c>
      <c r="Q35" s="901">
        <v>16920.727711282107</v>
      </c>
      <c r="R35" s="901">
        <v>14377.938880265283</v>
      </c>
      <c r="S35" s="901">
        <v>6996.6839146713137</v>
      </c>
      <c r="T35" s="901">
        <v>30641.734107094002</v>
      </c>
      <c r="U35">
        <f>AVERAGE(G35:T35)</f>
        <v>19547.717387647335</v>
      </c>
      <c r="V35" t="str">
        <f>CONCATENATE(A35,B35,C35,D35,E35)</f>
        <v>2020Cover guide and driversDriversTotal units distributed</v>
      </c>
    </row>
    <row r="36" spans="1:22">
      <c r="A36">
        <v>2021</v>
      </c>
      <c r="C36" s="900" t="s">
        <v>1283</v>
      </c>
      <c r="D36" t="s">
        <v>144</v>
      </c>
      <c r="E36" t="s">
        <v>37</v>
      </c>
      <c r="F36" t="s">
        <v>1286</v>
      </c>
      <c r="G36" s="901">
        <v>20115</v>
      </c>
      <c r="H36" s="901">
        <v>13156.822790499999</v>
      </c>
      <c r="I36" s="901">
        <v>19987.069329400001</v>
      </c>
      <c r="J36" s="901">
        <v>21453.790872399997</v>
      </c>
      <c r="K36" s="901">
        <v>24074.744432099997</v>
      </c>
      <c r="L36" s="901">
        <v>9986.8112594999984</v>
      </c>
      <c r="M36" s="901">
        <v>12410.774084000001</v>
      </c>
      <c r="N36" s="901">
        <v>22309.190724456006</v>
      </c>
      <c r="O36" s="901">
        <v>17921.516003710152</v>
      </c>
      <c r="P36" s="901">
        <v>30657.391503724553</v>
      </c>
      <c r="Q36" s="901">
        <v>15782.066436617952</v>
      </c>
      <c r="R36" s="901">
        <v>13476.788615507783</v>
      </c>
      <c r="S36" s="901">
        <v>6868.6</v>
      </c>
      <c r="T36" s="901">
        <v>29279.9</v>
      </c>
      <c r="U36">
        <f>AVERAGE(G36:T36)</f>
        <v>18391.461860851174</v>
      </c>
      <c r="V36" t="str">
        <f>CONCATENATE(A36,B36,C36,D36,E36)</f>
        <v>2021Cover guide and driversDriversTotal units distributed</v>
      </c>
    </row>
    <row r="37" spans="1:22">
      <c r="A37">
        <v>2022</v>
      </c>
      <c r="C37" s="900" t="s">
        <v>1283</v>
      </c>
      <c r="D37" t="s">
        <v>144</v>
      </c>
      <c r="E37" t="s">
        <v>37</v>
      </c>
      <c r="F37" t="s">
        <v>1286</v>
      </c>
      <c r="G37" s="901">
        <v>20962.4528937</v>
      </c>
      <c r="H37" s="901">
        <v>13524.249918900001</v>
      </c>
      <c r="I37" s="901">
        <v>20458.413751200002</v>
      </c>
      <c r="J37" s="901">
        <v>22019.0479977</v>
      </c>
      <c r="K37" s="901">
        <v>24926.202297800006</v>
      </c>
      <c r="L37" s="901">
        <v>10433.2947196</v>
      </c>
      <c r="M37" s="901">
        <v>12789.628254399999</v>
      </c>
      <c r="N37" s="901">
        <v>23801.839473113774</v>
      </c>
      <c r="O37" s="901">
        <v>18377.682340366831</v>
      </c>
      <c r="P37" s="901">
        <v>31566.647740828295</v>
      </c>
      <c r="Q37" s="901">
        <v>16169.728876640684</v>
      </c>
      <c r="R37" s="901">
        <v>13607.93520661356</v>
      </c>
      <c r="S37" s="901">
        <v>7178.2</v>
      </c>
      <c r="T37" s="901">
        <v>30452.3</v>
      </c>
      <c r="U37">
        <f>AVERAGE(G37:T37)</f>
        <v>19019.115962204512</v>
      </c>
      <c r="V37" t="str">
        <f>CONCATENATE(A37,B37,C37,D37,E37)</f>
        <v>2022Cover guide and driversDriversTotal units distributed</v>
      </c>
    </row>
    <row r="38" spans="1:22">
      <c r="A38">
        <v>2011</v>
      </c>
      <c r="C38" s="900" t="s">
        <v>1283</v>
      </c>
      <c r="D38" t="s">
        <v>144</v>
      </c>
      <c r="E38" t="s">
        <v>1287</v>
      </c>
      <c r="F38" t="s">
        <v>1288</v>
      </c>
      <c r="G38" cm="1">
        <f t="array" ref="G38:T49">TRANSPOSE('Guide &amp; drivers'!C99:N112)</f>
        <v>4388.66</v>
      </c>
      <c r="H38" s="901">
        <v>2997</v>
      </c>
      <c r="I38" s="901">
        <v>4285</v>
      </c>
      <c r="J38" s="901">
        <v>4662.2315439340582</v>
      </c>
      <c r="K38" s="901">
        <v>5042.4508478319822</v>
      </c>
      <c r="L38" s="901">
        <v>2152.6526031715616</v>
      </c>
      <c r="M38" s="901">
        <v>2903.6347285714287</v>
      </c>
      <c r="N38" s="901">
        <v>5203</v>
      </c>
      <c r="O38" s="901">
        <v>3976</v>
      </c>
      <c r="P38" s="901">
        <v>6966</v>
      </c>
      <c r="Q38" s="901">
        <v>4024</v>
      </c>
      <c r="R38" s="901">
        <v>3320</v>
      </c>
      <c r="S38" s="901">
        <v>1633</v>
      </c>
      <c r="T38" s="901">
        <v>6692.8</v>
      </c>
      <c r="U38">
        <f t="shared" si="0"/>
        <v>4160.4592659649306</v>
      </c>
      <c r="V38" t="str">
        <f t="shared" si="1"/>
        <v>2011Cover guide and driversDriversNetwork-wide Peak load</v>
      </c>
    </row>
    <row r="39" spans="1:22">
      <c r="A39">
        <v>2012</v>
      </c>
      <c r="C39" s="900" t="s">
        <v>1283</v>
      </c>
      <c r="D39" t="s">
        <v>144</v>
      </c>
      <c r="E39" t="s">
        <v>1287</v>
      </c>
      <c r="F39" t="s">
        <v>1288</v>
      </c>
      <c r="G39" s="901">
        <v>4280.41</v>
      </c>
      <c r="H39" s="901">
        <v>2852</v>
      </c>
      <c r="I39" s="901">
        <v>4195</v>
      </c>
      <c r="J39" s="901">
        <v>4792.1384571428571</v>
      </c>
      <c r="K39" s="901">
        <v>5292.3975</v>
      </c>
      <c r="L39" s="901">
        <v>2117.6</v>
      </c>
      <c r="M39" s="901">
        <v>2854.9</v>
      </c>
      <c r="N39" s="901">
        <v>5125</v>
      </c>
      <c r="O39" s="901">
        <v>4108</v>
      </c>
      <c r="P39" s="901">
        <v>6407</v>
      </c>
      <c r="Q39" s="901">
        <v>3611</v>
      </c>
      <c r="R39" s="901">
        <v>3197</v>
      </c>
      <c r="S39" s="901">
        <v>1559</v>
      </c>
      <c r="T39" s="901">
        <v>6395.7</v>
      </c>
      <c r="U39">
        <f t="shared" si="0"/>
        <v>4056.22471122449</v>
      </c>
      <c r="V39" t="str">
        <f t="shared" si="1"/>
        <v>2012Cover guide and driversDriversNetwork-wide Peak load</v>
      </c>
    </row>
    <row r="40" spans="1:22">
      <c r="A40">
        <v>2013</v>
      </c>
      <c r="C40" s="900" t="s">
        <v>1283</v>
      </c>
      <c r="D40" t="s">
        <v>144</v>
      </c>
      <c r="E40" t="s">
        <v>1287</v>
      </c>
      <c r="F40" t="s">
        <v>1288</v>
      </c>
      <c r="G40" s="901">
        <v>4250.3999999999996</v>
      </c>
      <c r="H40" s="901">
        <v>2777</v>
      </c>
      <c r="I40" s="901">
        <v>4041</v>
      </c>
      <c r="J40" s="901">
        <v>4782.4592000000002</v>
      </c>
      <c r="K40" s="901">
        <v>5293.0717999999997</v>
      </c>
      <c r="L40" s="901">
        <v>1999.5121999999999</v>
      </c>
      <c r="M40" s="901">
        <v>2754.5462000000002</v>
      </c>
      <c r="N40" s="901">
        <v>5167</v>
      </c>
      <c r="O40" s="901">
        <v>4107</v>
      </c>
      <c r="P40" s="901">
        <v>6408</v>
      </c>
      <c r="Q40" s="901">
        <v>3673</v>
      </c>
      <c r="R40" s="901">
        <v>3245</v>
      </c>
      <c r="S40" s="901">
        <v>1518</v>
      </c>
      <c r="T40" s="901">
        <v>6387.1</v>
      </c>
      <c r="U40">
        <f t="shared" si="0"/>
        <v>4028.7920999999997</v>
      </c>
      <c r="V40" t="str">
        <f t="shared" si="1"/>
        <v>2013Cover guide and driversDriversNetwork-wide Peak load</v>
      </c>
    </row>
    <row r="41" spans="1:22">
      <c r="A41">
        <v>2014</v>
      </c>
      <c r="C41" s="900" t="s">
        <v>1283</v>
      </c>
      <c r="D41" t="s">
        <v>144</v>
      </c>
      <c r="E41" t="s">
        <v>1287</v>
      </c>
      <c r="F41" t="s">
        <v>1288</v>
      </c>
      <c r="G41" s="901">
        <v>4062.3505154639179</v>
      </c>
      <c r="H41" s="901">
        <v>2604</v>
      </c>
      <c r="I41" s="901">
        <v>4086</v>
      </c>
      <c r="J41" s="901">
        <v>4492</v>
      </c>
      <c r="K41" s="901">
        <v>5056</v>
      </c>
      <c r="L41" s="901">
        <v>1992</v>
      </c>
      <c r="M41" s="901">
        <v>2594</v>
      </c>
      <c r="N41" s="901">
        <v>4820</v>
      </c>
      <c r="O41" s="901">
        <v>3672</v>
      </c>
      <c r="P41" s="901">
        <v>6096</v>
      </c>
      <c r="Q41" s="901">
        <v>3426</v>
      </c>
      <c r="R41" s="901">
        <v>3023</v>
      </c>
      <c r="S41" s="901">
        <v>1518</v>
      </c>
      <c r="T41" s="901">
        <v>5916.3</v>
      </c>
      <c r="U41">
        <f t="shared" si="0"/>
        <v>3811.2607511045653</v>
      </c>
      <c r="V41" t="str">
        <f t="shared" si="1"/>
        <v>2014Cover guide and driversDriversNetwork-wide Peak load</v>
      </c>
    </row>
    <row r="42" spans="1:22">
      <c r="A42">
        <v>2015</v>
      </c>
      <c r="C42" s="900" t="s">
        <v>1283</v>
      </c>
      <c r="D42" t="s">
        <v>144</v>
      </c>
      <c r="E42" t="s">
        <v>1287</v>
      </c>
      <c r="F42" t="s">
        <v>1288</v>
      </c>
      <c r="G42" s="901">
        <v>4267</v>
      </c>
      <c r="H42" s="901">
        <v>2593</v>
      </c>
      <c r="I42" s="901">
        <v>3763</v>
      </c>
      <c r="J42" s="901">
        <v>4597.6000000000004</v>
      </c>
      <c r="K42" s="901">
        <v>5012.2</v>
      </c>
      <c r="L42" s="901">
        <v>2012</v>
      </c>
      <c r="M42" s="901">
        <v>2583.8000000000002</v>
      </c>
      <c r="N42" s="901">
        <v>4952</v>
      </c>
      <c r="O42" s="901">
        <v>3795</v>
      </c>
      <c r="P42" s="901">
        <v>6267</v>
      </c>
      <c r="Q42" s="901">
        <v>3414</v>
      </c>
      <c r="R42" s="901">
        <v>3127</v>
      </c>
      <c r="S42" s="901">
        <v>1514</v>
      </c>
      <c r="T42" s="901">
        <v>6005.4</v>
      </c>
      <c r="U42">
        <f t="shared" si="0"/>
        <v>3850.2142857142858</v>
      </c>
      <c r="V42" t="str">
        <f t="shared" si="1"/>
        <v>2015Cover guide and driversDriversNetwork-wide Peak load</v>
      </c>
    </row>
    <row r="43" spans="1:22">
      <c r="A43">
        <v>2016</v>
      </c>
      <c r="C43" s="900" t="s">
        <v>1283</v>
      </c>
      <c r="D43" t="s">
        <v>144</v>
      </c>
      <c r="E43" t="s">
        <v>1287</v>
      </c>
      <c r="F43" t="s">
        <v>1288</v>
      </c>
      <c r="G43" s="901">
        <v>4233</v>
      </c>
      <c r="H43" s="901">
        <v>2775</v>
      </c>
      <c r="I43" s="901">
        <v>4059.8029999999999</v>
      </c>
      <c r="J43" s="901">
        <v>4487.2</v>
      </c>
      <c r="K43" s="901">
        <v>4968.3999999999996</v>
      </c>
      <c r="L43" s="901">
        <v>1970.4</v>
      </c>
      <c r="M43" s="901">
        <v>2536.8000000000002</v>
      </c>
      <c r="N43" s="901">
        <v>4833</v>
      </c>
      <c r="O43" s="901">
        <v>3809</v>
      </c>
      <c r="P43" s="901">
        <v>6236</v>
      </c>
      <c r="Q43" s="901">
        <v>3626</v>
      </c>
      <c r="R43" s="901">
        <v>3014</v>
      </c>
      <c r="S43" s="901">
        <v>1417</v>
      </c>
      <c r="T43" s="901">
        <v>5971.2</v>
      </c>
      <c r="U43">
        <f t="shared" si="0"/>
        <v>3852.6287857142856</v>
      </c>
      <c r="V43" t="str">
        <f t="shared" si="1"/>
        <v>2016Cover guide and driversDriversNetwork-wide Peak load</v>
      </c>
    </row>
    <row r="44" spans="1:22">
      <c r="A44">
        <v>2017</v>
      </c>
      <c r="C44" s="900" t="s">
        <v>1283</v>
      </c>
      <c r="D44" t="s">
        <v>144</v>
      </c>
      <c r="E44" t="s">
        <v>1287</v>
      </c>
      <c r="F44" t="s">
        <v>1288</v>
      </c>
      <c r="G44" s="901">
        <v>4262</v>
      </c>
      <c r="H44" s="901">
        <v>2781.3392000000003</v>
      </c>
      <c r="I44" s="901">
        <v>3961.26</v>
      </c>
      <c r="J44" s="901">
        <v>4469.6000000000004</v>
      </c>
      <c r="K44" s="901">
        <v>4961.6000000000004</v>
      </c>
      <c r="L44" s="901">
        <v>1946.4</v>
      </c>
      <c r="M44" s="901">
        <v>2590.8000000000002</v>
      </c>
      <c r="N44" s="901">
        <v>4915</v>
      </c>
      <c r="O44" s="901">
        <v>3923</v>
      </c>
      <c r="P44" s="901">
        <v>6441</v>
      </c>
      <c r="Q44" s="901">
        <v>3563</v>
      </c>
      <c r="R44" s="901">
        <v>3022</v>
      </c>
      <c r="S44" s="901">
        <v>1497.2</v>
      </c>
      <c r="T44" s="901">
        <v>6079.3</v>
      </c>
      <c r="U44">
        <f t="shared" si="0"/>
        <v>3886.6785142857148</v>
      </c>
      <c r="V44" t="str">
        <f t="shared" si="1"/>
        <v>2017Cover guide and driversDriversNetwork-wide Peak load</v>
      </c>
    </row>
    <row r="45" spans="1:22">
      <c r="A45">
        <v>2018</v>
      </c>
      <c r="C45" s="900" t="s">
        <v>1283</v>
      </c>
      <c r="D45" t="s">
        <v>144</v>
      </c>
      <c r="E45" t="s">
        <v>1287</v>
      </c>
      <c r="F45" t="s">
        <v>1288</v>
      </c>
      <c r="G45" s="901">
        <v>4305</v>
      </c>
      <c r="H45" s="901">
        <v>2723.6719999999996</v>
      </c>
      <c r="I45" s="901">
        <v>3786.4519999999998</v>
      </c>
      <c r="J45" s="901">
        <v>4440</v>
      </c>
      <c r="K45" s="901">
        <v>4801.8</v>
      </c>
      <c r="L45" s="901">
        <v>1914</v>
      </c>
      <c r="M45" s="901">
        <v>2565.8000000000002</v>
      </c>
      <c r="N45" s="901">
        <v>5189</v>
      </c>
      <c r="O45" s="901">
        <v>4022</v>
      </c>
      <c r="P45" s="901">
        <v>6573</v>
      </c>
      <c r="Q45" s="901">
        <v>3575</v>
      </c>
      <c r="R45" s="901">
        <v>3039</v>
      </c>
      <c r="S45" s="901">
        <v>1564.5</v>
      </c>
      <c r="T45" s="901">
        <v>6293</v>
      </c>
      <c r="U45">
        <f t="shared" si="0"/>
        <v>3913.7302857142859</v>
      </c>
      <c r="V45" t="str">
        <f t="shared" si="1"/>
        <v>2018Cover guide and driversDriversNetwork-wide Peak load</v>
      </c>
    </row>
    <row r="46" spans="1:22">
      <c r="A46">
        <v>2019</v>
      </c>
      <c r="C46" s="900" t="s">
        <v>1283</v>
      </c>
      <c r="D46" t="s">
        <v>144</v>
      </c>
      <c r="E46" t="s">
        <v>1287</v>
      </c>
      <c r="F46" t="s">
        <v>1288</v>
      </c>
      <c r="G46" s="901">
        <v>4160</v>
      </c>
      <c r="H46" s="901">
        <v>2459.0740000000001</v>
      </c>
      <c r="I46" s="901">
        <v>3994.02</v>
      </c>
      <c r="J46" s="901">
        <v>4323.8</v>
      </c>
      <c r="K46" s="901">
        <v>4769</v>
      </c>
      <c r="L46" s="901">
        <v>1897.6</v>
      </c>
      <c r="M46" s="901">
        <v>2486.8000000000002</v>
      </c>
      <c r="N46" s="901">
        <v>4780</v>
      </c>
      <c r="O46" s="901">
        <v>3672</v>
      </c>
      <c r="P46" s="901">
        <v>5926</v>
      </c>
      <c r="Q46" s="901">
        <v>3437</v>
      </c>
      <c r="R46" s="901">
        <v>2967</v>
      </c>
      <c r="S46" s="901">
        <v>1429.5</v>
      </c>
      <c r="T46" s="901">
        <v>5883.7</v>
      </c>
      <c r="U46">
        <f t="shared" si="0"/>
        <v>3727.5352857142852</v>
      </c>
      <c r="V46" t="str">
        <f t="shared" si="1"/>
        <v>2019Cover guide and driversDriversNetwork-wide Peak load</v>
      </c>
    </row>
    <row r="47" spans="1:22">
      <c r="A47">
        <v>2020</v>
      </c>
      <c r="C47" s="900" t="s">
        <v>1283</v>
      </c>
      <c r="D47" t="s">
        <v>144</v>
      </c>
      <c r="E47" t="s">
        <v>1287</v>
      </c>
      <c r="F47" t="s">
        <v>1288</v>
      </c>
      <c r="G47" s="901">
        <v>4140</v>
      </c>
      <c r="H47" s="901">
        <v>2410.7035999999998</v>
      </c>
      <c r="I47" s="901">
        <v>3696.7076000000002</v>
      </c>
      <c r="J47" s="901">
        <v>4251</v>
      </c>
      <c r="K47" s="901">
        <v>4699</v>
      </c>
      <c r="L47" s="901">
        <v>1824.2</v>
      </c>
      <c r="M47" s="901">
        <v>2462.6</v>
      </c>
      <c r="N47" s="901">
        <v>4389</v>
      </c>
      <c r="O47" s="901">
        <v>3526</v>
      </c>
      <c r="P47" s="901">
        <v>5401</v>
      </c>
      <c r="Q47" s="901">
        <v>3384</v>
      </c>
      <c r="R47" s="901">
        <v>2929</v>
      </c>
      <c r="S47" s="901">
        <v>1416.0001999999999</v>
      </c>
      <c r="T47" s="901">
        <v>5584.9832000000006</v>
      </c>
      <c r="U47">
        <f>AVERAGE(G47:T47)</f>
        <v>3579.5853285714293</v>
      </c>
      <c r="V47" t="str">
        <f t="shared" ref="V47:V63" si="2">CONCATENATE(A47,B47,C47,D47,E47)</f>
        <v>2020Cover guide and driversDriversNetwork-wide Peak load</v>
      </c>
    </row>
    <row r="48" spans="1:22">
      <c r="A48">
        <v>2021</v>
      </c>
      <c r="C48" s="900" t="s">
        <v>1283</v>
      </c>
      <c r="D48" t="s">
        <v>144</v>
      </c>
      <c r="E48" t="s">
        <v>1287</v>
      </c>
      <c r="F48" t="s">
        <v>1288</v>
      </c>
      <c r="G48" s="901">
        <v>4049</v>
      </c>
      <c r="H48" s="901">
        <v>2531.6999999999998</v>
      </c>
      <c r="I48" s="901">
        <v>3474.7</v>
      </c>
      <c r="J48" s="901">
        <v>4162</v>
      </c>
      <c r="K48" s="901">
        <v>4692.3999999999996</v>
      </c>
      <c r="L48" s="901">
        <v>1761.4</v>
      </c>
      <c r="M48" s="901">
        <v>2446.4</v>
      </c>
      <c r="N48" s="901">
        <v>4448</v>
      </c>
      <c r="O48" s="901">
        <v>3592</v>
      </c>
      <c r="P48" s="901">
        <v>6129</v>
      </c>
      <c r="Q48" s="901">
        <v>3132</v>
      </c>
      <c r="R48" s="901">
        <v>2674</v>
      </c>
      <c r="S48" s="901">
        <v>1400</v>
      </c>
      <c r="T48" s="901">
        <v>5699</v>
      </c>
      <c r="U48">
        <f>AVERAGE(G48:T48)</f>
        <v>3585.1142857142863</v>
      </c>
      <c r="V48" t="str">
        <f t="shared" si="2"/>
        <v>2021Cover guide and driversDriversNetwork-wide Peak load</v>
      </c>
    </row>
    <row r="49" spans="1:22">
      <c r="A49">
        <v>2022</v>
      </c>
      <c r="C49" s="900" t="s">
        <v>1283</v>
      </c>
      <c r="D49" t="s">
        <v>144</v>
      </c>
      <c r="E49" t="s">
        <v>1287</v>
      </c>
      <c r="F49" t="s">
        <v>1288</v>
      </c>
      <c r="G49" s="901">
        <v>4223</v>
      </c>
      <c r="H49" s="901">
        <v>2305.6896000000002</v>
      </c>
      <c r="I49" s="901">
        <v>3704.4480000000003</v>
      </c>
      <c r="J49" s="901">
        <v>4220.2</v>
      </c>
      <c r="K49" s="901">
        <v>4769.2</v>
      </c>
      <c r="L49" s="901">
        <v>1801.4</v>
      </c>
      <c r="M49" s="901">
        <v>2459.8000000000002</v>
      </c>
      <c r="N49" s="901">
        <v>4313</v>
      </c>
      <c r="O49" s="901">
        <v>3567</v>
      </c>
      <c r="P49" s="901">
        <v>5270</v>
      </c>
      <c r="Q49" s="901">
        <v>3203</v>
      </c>
      <c r="R49" s="901">
        <v>2690</v>
      </c>
      <c r="S49" s="901">
        <v>1377.1</v>
      </c>
      <c r="T49" s="901">
        <v>5709.5</v>
      </c>
      <c r="U49">
        <f>AVERAGE(G49:T49)</f>
        <v>3543.8098285714286</v>
      </c>
      <c r="V49" t="str">
        <f t="shared" si="2"/>
        <v>2022Cover guide and driversDriversNetwork-wide Peak load</v>
      </c>
    </row>
    <row r="50" spans="1:22">
      <c r="A50" s="900" t="s">
        <v>142</v>
      </c>
      <c r="B50" s="900"/>
      <c r="C50" s="900" t="s">
        <v>179</v>
      </c>
      <c r="D50" t="s">
        <v>179</v>
      </c>
      <c r="E50" t="s">
        <v>180</v>
      </c>
      <c r="F50" t="s">
        <v>1289</v>
      </c>
      <c r="G50">
        <f t="array" ref="G50:T55">TRANSPOSE('Ch2 - Incentive payments'!D7:I20)</f>
        <v>16.70850378221057</v>
      </c>
      <c r="H50">
        <v>5.8542786035456542</v>
      </c>
      <c r="I50">
        <v>10.723938276286889</v>
      </c>
      <c r="J50">
        <v>22.50958209870236</v>
      </c>
      <c r="K50">
        <v>20.431770052321049</v>
      </c>
      <c r="L50">
        <v>6.0322311437764906</v>
      </c>
      <c r="M50">
        <v>5.8244205750214784</v>
      </c>
      <c r="N50">
        <v>16.708338988862778</v>
      </c>
      <c r="O50">
        <v>13.967149676059405</v>
      </c>
      <c r="P50">
        <v>25.643565284387456</v>
      </c>
      <c r="Q50">
        <v>11.793906259653655</v>
      </c>
      <c r="R50">
        <v>3.4335364797836698</v>
      </c>
      <c r="S50">
        <v>4.2421533449555788</v>
      </c>
      <c r="T50">
        <v>10.15084437359852</v>
      </c>
      <c r="U50">
        <f t="shared" si="0"/>
        <v>12.430301352797539</v>
      </c>
      <c r="V50" t="str">
        <f t="shared" si="2"/>
        <v>2021/22Incentive paymentsIncentive paymentsInterruptions Incentive Scheme (IIS)</v>
      </c>
    </row>
    <row r="51" spans="1:22">
      <c r="A51" s="900" t="s">
        <v>142</v>
      </c>
      <c r="B51" s="900"/>
      <c r="C51" s="900" t="s">
        <v>179</v>
      </c>
      <c r="D51" t="s">
        <v>179</v>
      </c>
      <c r="E51" t="s">
        <v>1290</v>
      </c>
      <c r="F51" t="s">
        <v>1289</v>
      </c>
      <c r="G51">
        <v>0</v>
      </c>
      <c r="H51">
        <v>0</v>
      </c>
      <c r="I51">
        <v>0</v>
      </c>
      <c r="J51">
        <v>0</v>
      </c>
      <c r="K51">
        <v>0</v>
      </c>
      <c r="L51">
        <v>0</v>
      </c>
      <c r="M51">
        <v>0</v>
      </c>
      <c r="N51">
        <v>0</v>
      </c>
      <c r="O51">
        <v>0</v>
      </c>
      <c r="P51">
        <v>0</v>
      </c>
      <c r="Q51">
        <v>0</v>
      </c>
      <c r="R51">
        <v>0</v>
      </c>
      <c r="S51">
        <v>0</v>
      </c>
      <c r="T51">
        <v>0</v>
      </c>
      <c r="U51">
        <f t="shared" si="0"/>
        <v>0</v>
      </c>
      <c r="V51" t="str">
        <f t="shared" si="2"/>
        <v>2021/22Incentive paymentsIncentive paymentsIncentive on Connections Engagement (ICE)</v>
      </c>
    </row>
    <row r="52" spans="1:22">
      <c r="A52" s="900" t="s">
        <v>142</v>
      </c>
      <c r="B52" s="900"/>
      <c r="C52" s="900" t="s">
        <v>179</v>
      </c>
      <c r="D52" t="s">
        <v>179</v>
      </c>
      <c r="E52" t="s">
        <v>182</v>
      </c>
      <c r="F52" t="s">
        <v>1289</v>
      </c>
      <c r="G52">
        <v>1.5161046805104819</v>
      </c>
      <c r="H52">
        <v>0</v>
      </c>
      <c r="I52">
        <v>0</v>
      </c>
      <c r="J52">
        <v>2.0347535846871696</v>
      </c>
      <c r="K52">
        <v>2.0347535846871696</v>
      </c>
      <c r="L52">
        <v>1.0173767923435848</v>
      </c>
      <c r="M52">
        <v>1.5260651885153773</v>
      </c>
      <c r="N52">
        <v>1.0653712731446381</v>
      </c>
      <c r="O52">
        <v>0.86225049688471622</v>
      </c>
      <c r="P52">
        <v>2.0423290827203804</v>
      </c>
      <c r="Q52">
        <v>0.71020359451225812</v>
      </c>
      <c r="R52">
        <v>0.12286767961265573</v>
      </c>
      <c r="S52">
        <v>0.92043344103941205</v>
      </c>
      <c r="T52">
        <v>0.29764537824837067</v>
      </c>
      <c r="U52">
        <f t="shared" si="0"/>
        <v>1.0107253412075867</v>
      </c>
      <c r="V52" t="str">
        <f t="shared" si="2"/>
        <v>2021/22Incentive paymentsIncentive paymentsTime to Connect Incentive (TTC)</v>
      </c>
    </row>
    <row r="53" spans="1:22">
      <c r="A53" s="900" t="s">
        <v>142</v>
      </c>
      <c r="B53" s="900"/>
      <c r="C53" s="900" t="s">
        <v>179</v>
      </c>
      <c r="D53" t="s">
        <v>179</v>
      </c>
      <c r="E53" t="s">
        <v>762</v>
      </c>
      <c r="F53" t="s">
        <v>1289</v>
      </c>
      <c r="G53">
        <v>3.1822059995033793</v>
      </c>
      <c r="H53">
        <v>0.87419077813426005</v>
      </c>
      <c r="I53">
        <v>1.1961760061191802</v>
      </c>
      <c r="J53">
        <v>5.1422404366287298</v>
      </c>
      <c r="K53">
        <v>5.3670052225905653</v>
      </c>
      <c r="L53">
        <v>2.6028386983292213</v>
      </c>
      <c r="M53">
        <v>3.2495910283548723</v>
      </c>
      <c r="N53">
        <v>5.5463228772861957</v>
      </c>
      <c r="O53">
        <v>5.7889049555532859</v>
      </c>
      <c r="P53">
        <v>8.5043617451721669</v>
      </c>
      <c r="Q53">
        <v>4.310911241909209</v>
      </c>
      <c r="R53">
        <v>4.3434782362613875</v>
      </c>
      <c r="S53">
        <v>2.6446139770349451</v>
      </c>
      <c r="T53">
        <v>1.1444080190157193</v>
      </c>
      <c r="U53">
        <f t="shared" si="0"/>
        <v>3.8498035158495085</v>
      </c>
      <c r="V53" t="str">
        <f t="shared" si="2"/>
        <v>2021/22Incentive paymentsIncentive paymentsBroad Measure of Customer Service (BMCS)</v>
      </c>
    </row>
    <row r="54" spans="1:22">
      <c r="A54" s="900" t="s">
        <v>142</v>
      </c>
      <c r="B54" s="900"/>
      <c r="C54" s="900" t="s">
        <v>179</v>
      </c>
      <c r="D54" t="s">
        <v>179</v>
      </c>
      <c r="E54" t="s">
        <v>1291</v>
      </c>
      <c r="F54" t="s">
        <v>1289</v>
      </c>
      <c r="G54">
        <v>0</v>
      </c>
      <c r="H54">
        <v>0</v>
      </c>
      <c r="I54">
        <v>0</v>
      </c>
      <c r="J54">
        <v>0</v>
      </c>
      <c r="K54">
        <v>0</v>
      </c>
      <c r="L54">
        <v>0</v>
      </c>
      <c r="M54">
        <v>0</v>
      </c>
      <c r="N54">
        <v>0</v>
      </c>
      <c r="O54">
        <v>0</v>
      </c>
      <c r="P54">
        <v>0</v>
      </c>
      <c r="Q54">
        <v>0</v>
      </c>
      <c r="R54">
        <v>0</v>
      </c>
      <c r="S54">
        <v>0</v>
      </c>
      <c r="T54">
        <v>0</v>
      </c>
      <c r="U54">
        <f t="shared" si="0"/>
        <v>0</v>
      </c>
      <c r="V54" t="str">
        <f t="shared" si="2"/>
        <v>2021/22Incentive paymentsIncentive paymentsLosses Discretionary Reward Scheme (LDR)</v>
      </c>
    </row>
    <row r="55" spans="1:22">
      <c r="A55" s="900" t="s">
        <v>142</v>
      </c>
      <c r="B55" s="900"/>
      <c r="C55" s="900" t="s">
        <v>179</v>
      </c>
      <c r="D55" t="s">
        <v>179</v>
      </c>
      <c r="E55" t="s">
        <v>1292</v>
      </c>
      <c r="F55" t="s">
        <v>1289</v>
      </c>
      <c r="G55">
        <v>21.406814462224432</v>
      </c>
      <c r="H55">
        <v>6.7284693816799139</v>
      </c>
      <c r="I55">
        <v>11.920114282406068</v>
      </c>
      <c r="J55">
        <v>29.686576120018259</v>
      </c>
      <c r="K55">
        <v>27.833528859598786</v>
      </c>
      <c r="L55">
        <v>9.6524466344492978</v>
      </c>
      <c r="M55">
        <v>10.600076791891729</v>
      </c>
      <c r="N55">
        <v>23.320033139293614</v>
      </c>
      <c r="O55">
        <v>20.618305128497408</v>
      </c>
      <c r="P55">
        <v>36.190256112280004</v>
      </c>
      <c r="Q55">
        <v>16.815021096075121</v>
      </c>
      <c r="R55">
        <v>7.8998823956577127</v>
      </c>
      <c r="S55">
        <v>7.807200763029936</v>
      </c>
      <c r="T55">
        <v>11.59289777086261</v>
      </c>
      <c r="U55">
        <f t="shared" si="0"/>
        <v>17.290830209854636</v>
      </c>
      <c r="V55" t="str">
        <f t="shared" si="2"/>
        <v>2021/22Incentive paymentsIncentive paymentsTotal Incentive payments</v>
      </c>
    </row>
    <row r="56" spans="1:22">
      <c r="A56" s="900" t="s">
        <v>136</v>
      </c>
      <c r="B56" s="900"/>
      <c r="C56" s="900" t="s">
        <v>1293</v>
      </c>
      <c r="D56" t="s">
        <v>224</v>
      </c>
      <c r="E56" t="s">
        <v>225</v>
      </c>
      <c r="F56" s="900" t="s">
        <v>1294</v>
      </c>
      <c r="G56" cm="1">
        <f t="array" ref="G56:T63">TRANSPOSE('Ch2 outputs - reliability'!E14:L27)</f>
        <v>36.640073590549427</v>
      </c>
      <c r="H56">
        <v>65.263593012765512</v>
      </c>
      <c r="I56">
        <v>60.91975461068175</v>
      </c>
      <c r="J56">
        <v>70.240264927843555</v>
      </c>
      <c r="K56">
        <v>45.955205017625758</v>
      </c>
      <c r="L56">
        <v>56.484474605993647</v>
      </c>
      <c r="M56">
        <v>51.61839022540542</v>
      </c>
      <c r="N56">
        <v>20.880552693860501</v>
      </c>
      <c r="O56">
        <v>50.094377878723435</v>
      </c>
      <c r="P56">
        <v>52.795156547090876</v>
      </c>
      <c r="Q56">
        <v>46.588266134902469</v>
      </c>
      <c r="R56">
        <v>32.777425808602871</v>
      </c>
      <c r="S56">
        <v>73.521650442139261</v>
      </c>
      <c r="T56">
        <v>59.845926312091294</v>
      </c>
      <c r="U56">
        <f t="shared" ref="U56:U63" si="3">AVERAGE(G56:T56)</f>
        <v>51.687507986305413</v>
      </c>
      <c r="V56" t="str">
        <f t="shared" si="2"/>
        <v>2014/15Outputs - reliabilityInterruption Incentive Scheme (IIS)CI performance</v>
      </c>
    </row>
    <row r="57" spans="1:22">
      <c r="A57" s="900" t="s">
        <v>137</v>
      </c>
      <c r="B57" s="900"/>
      <c r="C57" s="900" t="s">
        <v>1293</v>
      </c>
      <c r="D57" t="s">
        <v>224</v>
      </c>
      <c r="E57" t="s">
        <v>225</v>
      </c>
      <c r="F57" s="900" t="s">
        <v>1294</v>
      </c>
      <c r="G57">
        <v>36.657504157777147</v>
      </c>
      <c r="H57">
        <v>59.458497820686127</v>
      </c>
      <c r="I57">
        <v>52.534647278097268</v>
      </c>
      <c r="J57">
        <v>65.226896034738303</v>
      </c>
      <c r="K57">
        <v>42.650724570811484</v>
      </c>
      <c r="L57">
        <v>52.066843586364122</v>
      </c>
      <c r="M57">
        <v>51.998805069022978</v>
      </c>
      <c r="N57">
        <v>18.956803001506117</v>
      </c>
      <c r="O57">
        <v>48.737098319208734</v>
      </c>
      <c r="P57">
        <v>45.755706282430737</v>
      </c>
      <c r="Q57">
        <v>48.465331872981338</v>
      </c>
      <c r="R57">
        <v>30.148432689635179</v>
      </c>
      <c r="S57">
        <v>66.720400630641748</v>
      </c>
      <c r="T57">
        <v>47.509987567343558</v>
      </c>
      <c r="U57">
        <f t="shared" si="3"/>
        <v>47.634834205803209</v>
      </c>
      <c r="V57" t="str">
        <f t="shared" si="2"/>
        <v>2015/16Outputs - reliabilityInterruption Incentive Scheme (IIS)CI performance</v>
      </c>
    </row>
    <row r="58" spans="1:22">
      <c r="A58" s="900" t="s">
        <v>138</v>
      </c>
      <c r="B58" s="900"/>
      <c r="C58" s="900" t="s">
        <v>1293</v>
      </c>
      <c r="D58" t="s">
        <v>224</v>
      </c>
      <c r="E58" t="s">
        <v>225</v>
      </c>
      <c r="F58" s="900" t="s">
        <v>1294</v>
      </c>
      <c r="G58">
        <v>32.898724159894996</v>
      </c>
      <c r="H58">
        <v>53.289053617217974</v>
      </c>
      <c r="I58">
        <v>48.536328802021337</v>
      </c>
      <c r="J58">
        <v>58.959998801692691</v>
      </c>
      <c r="K58">
        <v>44.125718742980375</v>
      </c>
      <c r="L58">
        <v>41.640402593673222</v>
      </c>
      <c r="M58">
        <v>52.45442106315447</v>
      </c>
      <c r="N58">
        <v>17.221403081760897</v>
      </c>
      <c r="O58">
        <v>47.72406612080141</v>
      </c>
      <c r="P58">
        <v>49.371118164933847</v>
      </c>
      <c r="Q58">
        <v>42.890137104120711</v>
      </c>
      <c r="R58">
        <v>38.163762567344001</v>
      </c>
      <c r="S58">
        <v>68.106799533817764</v>
      </c>
      <c r="T58">
        <v>47.816860911788119</v>
      </c>
      <c r="U58">
        <f t="shared" si="3"/>
        <v>45.942771090371558</v>
      </c>
      <c r="V58" t="str">
        <f t="shared" si="2"/>
        <v>2016/17Outputs - reliabilityInterruption Incentive Scheme (IIS)CI performance</v>
      </c>
    </row>
    <row r="59" spans="1:22">
      <c r="A59" s="900" t="s">
        <v>139</v>
      </c>
      <c r="B59" s="900"/>
      <c r="C59" s="900" t="s">
        <v>1293</v>
      </c>
      <c r="D59" t="s">
        <v>224</v>
      </c>
      <c r="E59" t="s">
        <v>225</v>
      </c>
      <c r="F59" s="900" t="s">
        <v>1294</v>
      </c>
      <c r="G59">
        <v>33.231134789526514</v>
      </c>
      <c r="H59">
        <v>51.815191338328248</v>
      </c>
      <c r="I59">
        <v>48.134521699714547</v>
      </c>
      <c r="J59">
        <v>55.644204704054559</v>
      </c>
      <c r="K59">
        <v>46.941721378329682</v>
      </c>
      <c r="L59">
        <v>48.466862177334583</v>
      </c>
      <c r="M59">
        <v>62.036996859692863</v>
      </c>
      <c r="N59">
        <v>14.216237738228251</v>
      </c>
      <c r="O59">
        <v>46.686816912102771</v>
      </c>
      <c r="P59">
        <v>48.521799998787159</v>
      </c>
      <c r="Q59">
        <v>41.305014942652988</v>
      </c>
      <c r="R59">
        <v>30.498968578833164</v>
      </c>
      <c r="S59">
        <v>57.346400442958711</v>
      </c>
      <c r="T59">
        <v>55.132800030426985</v>
      </c>
      <c r="U59">
        <f t="shared" si="3"/>
        <v>45.712762256497932</v>
      </c>
      <c r="V59" t="str">
        <f t="shared" si="2"/>
        <v>2017/18Outputs - reliabilityInterruption Incentive Scheme (IIS)CI performance</v>
      </c>
    </row>
    <row r="60" spans="1:22">
      <c r="A60" s="900" t="s">
        <v>140</v>
      </c>
      <c r="B60" s="900"/>
      <c r="C60" s="900" t="s">
        <v>1293</v>
      </c>
      <c r="D60" t="s">
        <v>224</v>
      </c>
      <c r="E60" t="s">
        <v>225</v>
      </c>
      <c r="F60" s="900" t="s">
        <v>1294</v>
      </c>
      <c r="G60">
        <v>33.599835535799798</v>
      </c>
      <c r="H60">
        <v>54.284162360704727</v>
      </c>
      <c r="I60">
        <v>49.30312410435274</v>
      </c>
      <c r="J60">
        <v>55.370759293066989</v>
      </c>
      <c r="K60">
        <v>39.771354692320223</v>
      </c>
      <c r="L60">
        <v>41.291048081756919</v>
      </c>
      <c r="M60">
        <v>51.464783321049843</v>
      </c>
      <c r="N60">
        <v>14.094928181289603</v>
      </c>
      <c r="O60">
        <v>44.356534615362925</v>
      </c>
      <c r="P60">
        <v>41.42250443833457</v>
      </c>
      <c r="Q60">
        <v>49.334735973885728</v>
      </c>
      <c r="R60">
        <v>36.143988361905073</v>
      </c>
      <c r="S60">
        <v>69.36756074747143</v>
      </c>
      <c r="T60">
        <v>52.101690071799496</v>
      </c>
      <c r="U60">
        <f t="shared" si="3"/>
        <v>45.136214984221439</v>
      </c>
      <c r="V60" t="str">
        <f t="shared" si="2"/>
        <v>2018/19Outputs - reliabilityInterruption Incentive Scheme (IIS)CI performance</v>
      </c>
    </row>
    <row r="61" spans="1:22">
      <c r="A61" s="900" t="s">
        <v>141</v>
      </c>
      <c r="B61" s="900"/>
      <c r="C61" s="900" t="s">
        <v>1293</v>
      </c>
      <c r="D61" t="s">
        <v>224</v>
      </c>
      <c r="E61" t="s">
        <v>225</v>
      </c>
      <c r="F61" s="900" t="s">
        <v>1294</v>
      </c>
      <c r="G61">
        <v>27.953173606032383</v>
      </c>
      <c r="H61">
        <v>46.970484349585917</v>
      </c>
      <c r="I61">
        <v>50.787731056892142</v>
      </c>
      <c r="J61">
        <v>48.484079757854929</v>
      </c>
      <c r="K61">
        <v>37.902795587265402</v>
      </c>
      <c r="L61">
        <v>45.387934693291768</v>
      </c>
      <c r="M61">
        <v>46.09622421787283</v>
      </c>
      <c r="N61">
        <v>13.199990545160157</v>
      </c>
      <c r="O61">
        <v>45.038202284133625</v>
      </c>
      <c r="P61">
        <v>43.78245405040235</v>
      </c>
      <c r="Q61">
        <v>44.528470703279616</v>
      </c>
      <c r="R61">
        <v>32.221792272353056</v>
      </c>
      <c r="S61">
        <v>63.173131970925297</v>
      </c>
      <c r="T61">
        <v>47.643223840053032</v>
      </c>
      <c r="U61">
        <f t="shared" si="3"/>
        <v>42.369263495364464</v>
      </c>
      <c r="V61" t="str">
        <f t="shared" si="2"/>
        <v>2019/20Outputs - reliabilityInterruption Incentive Scheme (IIS)CI performance</v>
      </c>
    </row>
    <row r="62" spans="1:22">
      <c r="A62" s="900" t="s">
        <v>126</v>
      </c>
      <c r="B62" s="900"/>
      <c r="C62" s="900" t="s">
        <v>1293</v>
      </c>
      <c r="D62" t="s">
        <v>224</v>
      </c>
      <c r="E62" t="s">
        <v>225</v>
      </c>
      <c r="F62" s="900" t="s">
        <v>1294</v>
      </c>
      <c r="G62">
        <v>30.730265154191798</v>
      </c>
      <c r="H62">
        <v>45.263786257328604</v>
      </c>
      <c r="I62">
        <v>52.42256712545467</v>
      </c>
      <c r="J62">
        <v>44.448154594154417</v>
      </c>
      <c r="K62">
        <v>39.573933487880531</v>
      </c>
      <c r="L62">
        <v>38.893053092138807</v>
      </c>
      <c r="M62">
        <v>60.230906772894741</v>
      </c>
      <c r="N62">
        <v>13.020556879843046</v>
      </c>
      <c r="O62">
        <v>44.295221285332062</v>
      </c>
      <c r="P62">
        <v>43.914915415116411</v>
      </c>
      <c r="Q62">
        <v>40.459252989712049</v>
      </c>
      <c r="R62">
        <v>31.925613242694098</v>
      </c>
      <c r="S62">
        <v>63.991706392013072</v>
      </c>
      <c r="T62">
        <v>48.417852468150798</v>
      </c>
      <c r="U62">
        <f t="shared" si="3"/>
        <v>42.684841796921795</v>
      </c>
      <c r="V62" t="str">
        <f t="shared" si="2"/>
        <v>2020/21Outputs - reliabilityInterruption Incentive Scheme (IIS)CI performance</v>
      </c>
    </row>
    <row r="63" spans="1:22">
      <c r="A63" s="900" t="s">
        <v>142</v>
      </c>
      <c r="B63" s="900"/>
      <c r="C63" s="900" t="s">
        <v>1293</v>
      </c>
      <c r="D63" t="s">
        <v>224</v>
      </c>
      <c r="E63" t="s">
        <v>225</v>
      </c>
      <c r="F63" s="900" t="s">
        <v>1294</v>
      </c>
      <c r="G63">
        <v>25.76832479616084</v>
      </c>
      <c r="H63">
        <v>49.834667788681678</v>
      </c>
      <c r="I63">
        <v>51.070977902362607</v>
      </c>
      <c r="J63">
        <v>46.759905258713836</v>
      </c>
      <c r="K63">
        <v>37.154737259753702</v>
      </c>
      <c r="L63">
        <v>38.78909236222114</v>
      </c>
      <c r="M63">
        <v>50.479877110642327</v>
      </c>
      <c r="N63">
        <v>15.044398649294704</v>
      </c>
      <c r="O63">
        <v>39.100311895428653</v>
      </c>
      <c r="P63">
        <v>38.886167865978621</v>
      </c>
      <c r="Q63">
        <v>37.175045304454862</v>
      </c>
      <c r="R63">
        <v>30.33201740894663</v>
      </c>
      <c r="S63">
        <v>55.521711717311895</v>
      </c>
      <c r="T63">
        <v>42.459081339786358</v>
      </c>
      <c r="U63">
        <f t="shared" si="3"/>
        <v>39.884022618552706</v>
      </c>
      <c r="V63" t="str">
        <f t="shared" si="2"/>
        <v>2021/22Outputs - reliabilityInterruption Incentive Scheme (IIS)CI performance</v>
      </c>
    </row>
    <row r="64" spans="1:22">
      <c r="A64" s="900" t="s">
        <v>142</v>
      </c>
      <c r="B64" s="900"/>
      <c r="C64" s="900" t="s">
        <v>1293</v>
      </c>
      <c r="D64" t="s">
        <v>224</v>
      </c>
      <c r="E64" t="s">
        <v>1295</v>
      </c>
      <c r="F64" s="900" t="s">
        <v>1296</v>
      </c>
      <c r="G64" t="str">
        <f t="array" ref="G64:T64">TRANSPOSE('Ch2 outputs - reliability'!N14:N27)</f>
        <v>Green</v>
      </c>
      <c r="H64" t="str">
        <v>Green</v>
      </c>
      <c r="I64" t="str">
        <v>Green</v>
      </c>
      <c r="J64" t="str">
        <v>Green</v>
      </c>
      <c r="K64" t="str">
        <v>Green</v>
      </c>
      <c r="L64" t="str">
        <v>Green</v>
      </c>
      <c r="M64" t="str">
        <v>Green</v>
      </c>
      <c r="N64" t="str">
        <v>Green</v>
      </c>
      <c r="O64" t="str">
        <v>Green</v>
      </c>
      <c r="P64" t="str">
        <v>Green</v>
      </c>
      <c r="Q64" t="str">
        <v>Green</v>
      </c>
      <c r="R64" t="str">
        <v>Green</v>
      </c>
      <c r="S64" t="str">
        <v>Green</v>
      </c>
      <c r="T64" t="str">
        <v>Green</v>
      </c>
      <c r="U64" t="s">
        <v>1297</v>
      </c>
      <c r="V64" t="str">
        <f t="shared" si="1"/>
        <v>2021/22Outputs - reliabilityInterruption Incentive Scheme (IIS)CI RAG rating</v>
      </c>
    </row>
    <row r="65" spans="1:22">
      <c r="A65" s="900" t="s">
        <v>136</v>
      </c>
      <c r="B65" s="900"/>
      <c r="C65" s="900" t="s">
        <v>1293</v>
      </c>
      <c r="D65" t="s">
        <v>224</v>
      </c>
      <c r="E65" t="s">
        <v>227</v>
      </c>
      <c r="F65" s="900" t="s">
        <v>1294</v>
      </c>
      <c r="G65" cm="1">
        <f t="array" ref="G65:U72">TRANSPOSE('Ch2 outputs - reliability'!E32:L46)</f>
        <v>34.762432361317821</v>
      </c>
      <c r="H65">
        <v>56.065170182602337</v>
      </c>
      <c r="I65">
        <v>50.434043754556967</v>
      </c>
      <c r="J65">
        <v>34.247486068323248</v>
      </c>
      <c r="K65">
        <v>22.852627523094448</v>
      </c>
      <c r="L65">
        <v>30.398290931702583</v>
      </c>
      <c r="M65">
        <v>38.955929244211042</v>
      </c>
      <c r="N65">
        <v>24.030067350100875</v>
      </c>
      <c r="O65">
        <v>35.035208043811807</v>
      </c>
      <c r="P65">
        <v>40.20514835393606</v>
      </c>
      <c r="Q65">
        <v>34.031264442455544</v>
      </c>
      <c r="R65">
        <v>36.136810936978982</v>
      </c>
      <c r="S65">
        <v>71.563501542407678</v>
      </c>
      <c r="T65">
        <v>56.921646907167251</v>
      </c>
      <c r="U65" s="229">
        <v>39.161800096626017</v>
      </c>
      <c r="V65" t="str">
        <f t="shared" si="1"/>
        <v>2014/15Outputs - reliabilityInterruption Incentive Scheme (IIS)CML performance</v>
      </c>
    </row>
    <row r="66" spans="1:22">
      <c r="A66" s="900" t="s">
        <v>137</v>
      </c>
      <c r="B66" s="900"/>
      <c r="C66" s="900" t="s">
        <v>1293</v>
      </c>
      <c r="D66" t="s">
        <v>224</v>
      </c>
      <c r="E66" t="s">
        <v>227</v>
      </c>
      <c r="F66" t="s">
        <v>1294</v>
      </c>
      <c r="G66">
        <v>32.496292018747788</v>
      </c>
      <c r="H66">
        <v>50.108964075495294</v>
      </c>
      <c r="I66">
        <v>41.837670883591372</v>
      </c>
      <c r="J66">
        <v>32.151251136217397</v>
      </c>
      <c r="K66">
        <v>21.554967894513869</v>
      </c>
      <c r="L66">
        <v>26.340853400064116</v>
      </c>
      <c r="M66">
        <v>37.510456274959907</v>
      </c>
      <c r="N66">
        <v>19.286846217790387</v>
      </c>
      <c r="O66">
        <v>36.340490049449443</v>
      </c>
      <c r="P66">
        <v>34.765160246669737</v>
      </c>
      <c r="Q66">
        <v>34.814633286378573</v>
      </c>
      <c r="R66">
        <v>33.564675240720675</v>
      </c>
      <c r="S66">
        <v>55.20969992035667</v>
      </c>
      <c r="T66">
        <v>41.195106352089248</v>
      </c>
      <c r="U66" s="229">
        <v>34.43367633415852</v>
      </c>
      <c r="V66" t="str">
        <f t="shared" si="1"/>
        <v>2015/16Outputs - reliabilityInterruption Incentive Scheme (IIS)CML performance</v>
      </c>
    </row>
    <row r="67" spans="1:22">
      <c r="A67" s="900" t="s">
        <v>138</v>
      </c>
      <c r="B67" s="900"/>
      <c r="C67" s="900" t="s">
        <v>1293</v>
      </c>
      <c r="D67" t="s">
        <v>224</v>
      </c>
      <c r="E67" t="s">
        <v>227</v>
      </c>
      <c r="F67" t="s">
        <v>1294</v>
      </c>
      <c r="G67">
        <v>33.713556147286816</v>
      </c>
      <c r="H67">
        <v>45.00430018937346</v>
      </c>
      <c r="I67">
        <v>38.005177500222928</v>
      </c>
      <c r="J67">
        <v>31.973613961251758</v>
      </c>
      <c r="K67">
        <v>21.962121681463863</v>
      </c>
      <c r="L67">
        <v>25.726091480513773</v>
      </c>
      <c r="M67">
        <v>39.698705108339787</v>
      </c>
      <c r="N67">
        <v>19.781274012751851</v>
      </c>
      <c r="O67">
        <v>35.062635830949816</v>
      </c>
      <c r="P67">
        <v>39.203816746386252</v>
      </c>
      <c r="Q67">
        <v>29.328367262586021</v>
      </c>
      <c r="R67">
        <v>37.337440278800038</v>
      </c>
      <c r="S67">
        <v>59.886095619392719</v>
      </c>
      <c r="T67">
        <v>43.298003555401777</v>
      </c>
      <c r="U67" s="229">
        <v>34.710786384799718</v>
      </c>
      <c r="V67" t="str">
        <f t="shared" si="1"/>
        <v>2016/17Outputs - reliabilityInterruption Incentive Scheme (IIS)CML performance</v>
      </c>
    </row>
    <row r="68" spans="1:22">
      <c r="A68" s="900" t="s">
        <v>139</v>
      </c>
      <c r="B68" s="900"/>
      <c r="C68" s="900" t="s">
        <v>1293</v>
      </c>
      <c r="D68" t="s">
        <v>224</v>
      </c>
      <c r="E68" t="s">
        <v>227</v>
      </c>
      <c r="F68" t="s">
        <v>1294</v>
      </c>
      <c r="G68">
        <v>34.631126341139492</v>
      </c>
      <c r="H68">
        <v>44.625165761481163</v>
      </c>
      <c r="I68">
        <v>36.395747081287112</v>
      </c>
      <c r="J68">
        <v>31.024045063063472</v>
      </c>
      <c r="K68">
        <v>24.071771917437427</v>
      </c>
      <c r="L68">
        <v>28.414608671248192</v>
      </c>
      <c r="M68">
        <v>42.78232644317135</v>
      </c>
      <c r="N68">
        <v>16.740641305301818</v>
      </c>
      <c r="O68">
        <v>37.569211836251647</v>
      </c>
      <c r="P68">
        <v>41.791288183416661</v>
      </c>
      <c r="Q68">
        <v>31.192845958830656</v>
      </c>
      <c r="R68">
        <v>32.987271317741815</v>
      </c>
      <c r="S68">
        <v>55.240269009477565</v>
      </c>
      <c r="T68">
        <v>47.563722287852045</v>
      </c>
      <c r="U68" s="229">
        <v>35.504779179679069</v>
      </c>
      <c r="V68" t="str">
        <f t="shared" si="1"/>
        <v>2017/18Outputs - reliabilityInterruption Incentive Scheme (IIS)CML performance</v>
      </c>
    </row>
    <row r="69" spans="1:22">
      <c r="A69" s="900" t="s">
        <v>140</v>
      </c>
      <c r="B69" s="900"/>
      <c r="C69" s="900" t="s">
        <v>1293</v>
      </c>
      <c r="D69" t="s">
        <v>224</v>
      </c>
      <c r="E69" t="s">
        <v>227</v>
      </c>
      <c r="F69" t="s">
        <v>1294</v>
      </c>
      <c r="G69">
        <v>32.963004262865269</v>
      </c>
      <c r="H69">
        <v>47.631652047266982</v>
      </c>
      <c r="I69">
        <v>38.772144906018596</v>
      </c>
      <c r="J69">
        <v>32.297354821669131</v>
      </c>
      <c r="K69">
        <v>22.917163802095772</v>
      </c>
      <c r="L69">
        <v>24.870222585101931</v>
      </c>
      <c r="M69">
        <v>40.224965350701389</v>
      </c>
      <c r="N69">
        <v>15.916793386900578</v>
      </c>
      <c r="O69">
        <v>36.68784516693875</v>
      </c>
      <c r="P69">
        <v>34.811176174018939</v>
      </c>
      <c r="Q69">
        <v>35.01017159039543</v>
      </c>
      <c r="R69">
        <v>35.601054976676217</v>
      </c>
      <c r="S69">
        <v>59.068469004505616</v>
      </c>
      <c r="T69">
        <v>49.946476708280159</v>
      </c>
      <c r="U69" s="229">
        <v>35.198959826915448</v>
      </c>
      <c r="V69" t="str">
        <f t="shared" si="1"/>
        <v>2018/19Outputs - reliabilityInterruption Incentive Scheme (IIS)CML performance</v>
      </c>
    </row>
    <row r="70" spans="1:22">
      <c r="A70" s="900" t="s">
        <v>141</v>
      </c>
      <c r="B70" s="900"/>
      <c r="C70" s="900" t="s">
        <v>1293</v>
      </c>
      <c r="D70" t="s">
        <v>224</v>
      </c>
      <c r="E70" t="s">
        <v>227</v>
      </c>
      <c r="F70" t="s">
        <v>1294</v>
      </c>
      <c r="G70">
        <v>27.146092223603635</v>
      </c>
      <c r="H70">
        <v>44.103978913845097</v>
      </c>
      <c r="I70">
        <v>42.102470273948818</v>
      </c>
      <c r="J70">
        <v>29.002556020264681</v>
      </c>
      <c r="K70">
        <v>22.558232310082918</v>
      </c>
      <c r="L70">
        <v>23.419974604696989</v>
      </c>
      <c r="M70">
        <v>38.217138749419121</v>
      </c>
      <c r="N70">
        <v>14.386536692165203</v>
      </c>
      <c r="O70">
        <v>32.851096721798044</v>
      </c>
      <c r="P70">
        <v>33.766320403630559</v>
      </c>
      <c r="Q70">
        <v>33.717851076436204</v>
      </c>
      <c r="R70">
        <v>33.842976371402983</v>
      </c>
      <c r="S70">
        <v>55.593027413435287</v>
      </c>
      <c r="T70">
        <v>45.912781948565382</v>
      </c>
      <c r="U70" s="229">
        <v>33.110211410404958</v>
      </c>
      <c r="V70" t="str">
        <f>CONCATENATE(A70,B70,C70,D70,E70)</f>
        <v>2019/20Outputs - reliabilityInterruption Incentive Scheme (IIS)CML performance</v>
      </c>
    </row>
    <row r="71" spans="1:22">
      <c r="A71" s="900" t="s">
        <v>126</v>
      </c>
      <c r="B71" s="900"/>
      <c r="C71" s="900" t="s">
        <v>1293</v>
      </c>
      <c r="D71" t="s">
        <v>224</v>
      </c>
      <c r="E71" t="s">
        <v>227</v>
      </c>
      <c r="F71" t="s">
        <v>1294</v>
      </c>
      <c r="G71">
        <v>28.150278704946857</v>
      </c>
      <c r="H71">
        <v>36.818875437175876</v>
      </c>
      <c r="I71">
        <v>40.004385287473504</v>
      </c>
      <c r="J71">
        <v>28.24247962932213</v>
      </c>
      <c r="K71">
        <v>23.098359364105939</v>
      </c>
      <c r="L71">
        <v>24.51110016934749</v>
      </c>
      <c r="M71">
        <v>41.540246236822583</v>
      </c>
      <c r="N71">
        <v>11.37808417515504</v>
      </c>
      <c r="O71">
        <v>31.916474966048586</v>
      </c>
      <c r="P71">
        <v>32.272961680879497</v>
      </c>
      <c r="Q71">
        <v>29.895215892815937</v>
      </c>
      <c r="R71">
        <v>34.806486133313207</v>
      </c>
      <c r="S71">
        <v>57.389803396150953</v>
      </c>
      <c r="T71">
        <v>44.302698409074907</v>
      </c>
      <c r="U71" s="229">
        <v>32.031034744430215</v>
      </c>
      <c r="V71" t="str">
        <f>CONCATENATE(A71,B71,C71,D71,E71)</f>
        <v>2020/21Outputs - reliabilityInterruption Incentive Scheme (IIS)CML performance</v>
      </c>
    </row>
    <row r="72" spans="1:22">
      <c r="A72" s="900" t="s">
        <v>142</v>
      </c>
      <c r="B72" s="900"/>
      <c r="C72" s="900" t="s">
        <v>1293</v>
      </c>
      <c r="D72" t="s">
        <v>224</v>
      </c>
      <c r="E72" t="s">
        <v>227</v>
      </c>
      <c r="F72" t="s">
        <v>1294</v>
      </c>
      <c r="G72">
        <v>27.414672356641006</v>
      </c>
      <c r="H72">
        <v>46.328372377207671</v>
      </c>
      <c r="I72">
        <v>43.643595878052501</v>
      </c>
      <c r="J72">
        <v>29.520587586832292</v>
      </c>
      <c r="K72">
        <v>22.150576613434495</v>
      </c>
      <c r="L72">
        <v>24.636385935176182</v>
      </c>
      <c r="M72">
        <v>36.72083554315919</v>
      </c>
      <c r="N72">
        <v>13.907960234544982</v>
      </c>
      <c r="O72">
        <v>31.692079794393209</v>
      </c>
      <c r="P72">
        <v>29.644060297088313</v>
      </c>
      <c r="Q72">
        <v>27.122873536842182</v>
      </c>
      <c r="R72">
        <v>30.870489883176816</v>
      </c>
      <c r="S72">
        <v>57.06708285707407</v>
      </c>
      <c r="T72">
        <v>42.329782754113296</v>
      </c>
      <c r="U72" s="229">
        <v>31.791995715970181</v>
      </c>
      <c r="V72" t="str">
        <f>CONCATENATE(A72,B72,C72,D72,E72)</f>
        <v>2021/22Outputs - reliabilityInterruption Incentive Scheme (IIS)CML performance</v>
      </c>
    </row>
    <row r="73" spans="1:22">
      <c r="A73" s="900" t="s">
        <v>142</v>
      </c>
      <c r="B73" s="900"/>
      <c r="C73" s="900" t="s">
        <v>1293</v>
      </c>
      <c r="D73" t="s">
        <v>224</v>
      </c>
      <c r="E73" t="s">
        <v>1298</v>
      </c>
      <c r="F73" t="s">
        <v>1296</v>
      </c>
      <c r="G73" t="str">
        <f t="array" ref="G73:T73">TRANSPOSE('Ch2 outputs - reliability'!N32:N45)</f>
        <v>Green</v>
      </c>
      <c r="H73" t="str">
        <v>Green</v>
      </c>
      <c r="I73" t="str">
        <v>Green</v>
      </c>
      <c r="J73" t="str">
        <v>Green</v>
      </c>
      <c r="K73" t="str">
        <v>Green</v>
      </c>
      <c r="L73" t="str">
        <v>Green</v>
      </c>
      <c r="M73" t="str">
        <v>Green</v>
      </c>
      <c r="N73" t="str">
        <v>Green</v>
      </c>
      <c r="O73" t="str">
        <v>Green</v>
      </c>
      <c r="P73" t="str">
        <v>Green</v>
      </c>
      <c r="Q73" t="str">
        <v>Green</v>
      </c>
      <c r="R73" t="str">
        <v>Green</v>
      </c>
      <c r="S73" t="str">
        <v>Amber</v>
      </c>
      <c r="T73" t="str">
        <v>Green</v>
      </c>
      <c r="U73" t="s">
        <v>1297</v>
      </c>
      <c r="V73" t="str">
        <f t="shared" si="1"/>
        <v>2021/22Outputs - reliabilityInterruption Incentive Scheme (IIS)CMLRAG rating</v>
      </c>
    </row>
    <row r="74" spans="1:22">
      <c r="A74" s="900" t="s">
        <v>137</v>
      </c>
      <c r="B74" s="900"/>
      <c r="C74" s="900" t="s">
        <v>1293</v>
      </c>
      <c r="D74" t="s">
        <v>224</v>
      </c>
      <c r="E74" t="s">
        <v>774</v>
      </c>
      <c r="F74" t="s">
        <v>1294</v>
      </c>
      <c r="G74">
        <f t="array" ref="G74:T85">TRANSPOSE('Ch2 outputs - reliability'!J53:U66)</f>
        <v>1.6241159473852202</v>
      </c>
      <c r="H74">
        <v>2.9652825716279518</v>
      </c>
      <c r="I74">
        <v>1.542511920025206</v>
      </c>
      <c r="J74">
        <v>2.0841647325428494</v>
      </c>
      <c r="K74">
        <v>0.97479493404828843</v>
      </c>
      <c r="L74">
        <v>3.5707797527873759</v>
      </c>
      <c r="M74">
        <v>3.4969340586774003</v>
      </c>
      <c r="N74">
        <v>0.28502456414750427</v>
      </c>
      <c r="O74">
        <v>1.1215869819014304</v>
      </c>
      <c r="P74">
        <v>1.4342311938513066</v>
      </c>
      <c r="Q74">
        <v>1.5521733723493039</v>
      </c>
      <c r="R74">
        <v>2.1911824745297936</v>
      </c>
      <c r="S74">
        <v>3.0958895485035374</v>
      </c>
      <c r="T74">
        <v>1.3035391628677995</v>
      </c>
      <c r="U74">
        <f>AVERAGE(G74:T74)</f>
        <v>1.945872229660355</v>
      </c>
      <c r="V74" t="str">
        <f t="shared" si="1"/>
        <v>2015/16Outputs - reliabilityInterruption Incentive Scheme (IIS)CI performance planned</v>
      </c>
    </row>
    <row r="75" spans="1:22">
      <c r="A75" s="900" t="s">
        <v>137</v>
      </c>
      <c r="B75" s="900"/>
      <c r="C75" s="900" t="s">
        <v>1293</v>
      </c>
      <c r="D75" t="s">
        <v>224</v>
      </c>
      <c r="E75" t="s">
        <v>776</v>
      </c>
      <c r="F75" t="s">
        <v>1294</v>
      </c>
      <c r="G75">
        <v>2.3719535603527144</v>
      </c>
      <c r="H75">
        <v>3.9517295387111617</v>
      </c>
      <c r="I75">
        <v>1.8935709920287138</v>
      </c>
      <c r="J75">
        <v>2.3768442257207596</v>
      </c>
      <c r="K75">
        <v>1.3207620670378104</v>
      </c>
      <c r="L75">
        <v>4.960373370237364</v>
      </c>
      <c r="M75">
        <v>3.4796245764819855</v>
      </c>
      <c r="N75">
        <v>0.80442323062760146</v>
      </c>
      <c r="O75">
        <v>1.926009815706254</v>
      </c>
      <c r="P75">
        <v>2.6862600724907897</v>
      </c>
      <c r="Q75">
        <v>1.6734787553355979</v>
      </c>
      <c r="R75">
        <v>3.073663372097764</v>
      </c>
      <c r="S75">
        <v>5.0005399809069893</v>
      </c>
      <c r="T75">
        <v>2.2343598681705301</v>
      </c>
      <c r="U75">
        <f t="shared" ref="U75:U138" si="4">AVERAGE(G75:T75)</f>
        <v>2.6966852447075738</v>
      </c>
      <c r="V75" t="str">
        <f t="shared" si="1"/>
        <v>2015/16Outputs - reliabilityInterruption Incentive Scheme (IIS)CI target planned</v>
      </c>
    </row>
    <row r="76" spans="1:22">
      <c r="A76" s="900" t="s">
        <v>137</v>
      </c>
      <c r="B76" s="900"/>
      <c r="C76" s="900" t="s">
        <v>1293</v>
      </c>
      <c r="D76" t="s">
        <v>224</v>
      </c>
      <c r="E76" t="s">
        <v>778</v>
      </c>
      <c r="F76" t="s">
        <v>1289</v>
      </c>
      <c r="G76">
        <v>0.25560190295810326</v>
      </c>
      <c r="H76">
        <v>0.21015250543891079</v>
      </c>
      <c r="I76">
        <v>0.10906812150133273</v>
      </c>
      <c r="J76">
        <v>0.12375937566090452</v>
      </c>
      <c r="K76">
        <v>0.15399160758294422</v>
      </c>
      <c r="L76">
        <v>0.26286874451150943</v>
      </c>
      <c r="M76">
        <v>-4.6227194473661042E-3</v>
      </c>
      <c r="N76">
        <v>0.15397041119991767</v>
      </c>
      <c r="O76">
        <v>0.23846290430219613</v>
      </c>
      <c r="P76">
        <v>0.58323748786314167</v>
      </c>
      <c r="Q76">
        <v>3.1981566187682782E-2</v>
      </c>
      <c r="R76">
        <v>0.1726199991648926</v>
      </c>
      <c r="S76">
        <v>0.20517218912044413</v>
      </c>
      <c r="T76">
        <v>0.38436676938541858</v>
      </c>
      <c r="U76">
        <f t="shared" si="4"/>
        <v>0.20575934753071665</v>
      </c>
      <c r="V76" t="str">
        <f t="shared" si="1"/>
        <v>2015/16Outputs - reliabilityInterruption Incentive Scheme (IIS)CI reward/penalty planned</v>
      </c>
    </row>
    <row r="77" spans="1:22">
      <c r="A77" s="900" t="s">
        <v>137</v>
      </c>
      <c r="B77" s="900"/>
      <c r="C77" s="900" t="s">
        <v>1293</v>
      </c>
      <c r="D77" t="s">
        <v>224</v>
      </c>
      <c r="E77" t="s">
        <v>780</v>
      </c>
      <c r="F77" t="s">
        <v>1294</v>
      </c>
      <c r="G77">
        <v>4.058171082030003</v>
      </c>
      <c r="H77">
        <v>6.8021231031550951</v>
      </c>
      <c r="I77">
        <v>3.9894415116583026</v>
      </c>
      <c r="J77">
        <v>3.7597353379746892</v>
      </c>
      <c r="K77">
        <v>1.6581107964349355</v>
      </c>
      <c r="L77">
        <v>5.6257137641149857</v>
      </c>
      <c r="M77">
        <v>8.5231351215370594</v>
      </c>
      <c r="N77">
        <v>0.55028223105280394</v>
      </c>
      <c r="O77">
        <v>2.4337978280638133</v>
      </c>
      <c r="P77">
        <v>3.7664392012006913</v>
      </c>
      <c r="Q77">
        <v>3.7862219984796832</v>
      </c>
      <c r="R77">
        <v>7.1722359124277197</v>
      </c>
      <c r="S77">
        <v>5.6338218358487593</v>
      </c>
      <c r="T77">
        <v>3.0763547451299154</v>
      </c>
      <c r="U77">
        <f t="shared" si="4"/>
        <v>4.3453988906506043</v>
      </c>
      <c r="V77" t="str">
        <f t="shared" si="1"/>
        <v>2015/16Outputs - reliabilityInterruption Incentive Scheme (IIS)CML performance planned</v>
      </c>
    </row>
    <row r="78" spans="1:22">
      <c r="A78" s="900" t="s">
        <v>137</v>
      </c>
      <c r="B78" s="900"/>
      <c r="C78" s="900" t="s">
        <v>1293</v>
      </c>
      <c r="D78" t="s">
        <v>224</v>
      </c>
      <c r="E78" t="s">
        <v>782</v>
      </c>
      <c r="F78" t="s">
        <v>1294</v>
      </c>
      <c r="G78">
        <v>6.773539428722021</v>
      </c>
      <c r="H78">
        <v>11.062232456384244</v>
      </c>
      <c r="I78">
        <v>5.6196670398052406</v>
      </c>
      <c r="J78">
        <v>4.5560001649728177</v>
      </c>
      <c r="K78">
        <v>2.4335743284649838</v>
      </c>
      <c r="L78">
        <v>7.9421489145882065</v>
      </c>
      <c r="M78">
        <v>8.1173430179575217</v>
      </c>
      <c r="N78">
        <v>1.641548249896104</v>
      </c>
      <c r="O78">
        <v>4.6747364727521248</v>
      </c>
      <c r="P78">
        <v>7.7003845983317802</v>
      </c>
      <c r="Q78">
        <v>4.0304040265744101</v>
      </c>
      <c r="R78">
        <v>10.519619441771569</v>
      </c>
      <c r="S78">
        <v>10.653818535239971</v>
      </c>
      <c r="T78">
        <v>6.0229747623288956</v>
      </c>
      <c r="U78">
        <f t="shared" si="4"/>
        <v>6.5534279598421366</v>
      </c>
      <c r="V78" t="str">
        <f t="shared" si="1"/>
        <v>2015/16Outputs - reliabilityInterruption Incentive Scheme (IIS)CML target planned</v>
      </c>
    </row>
    <row r="79" spans="1:22">
      <c r="A79" s="900" t="s">
        <v>137</v>
      </c>
      <c r="B79" s="900"/>
      <c r="C79" s="900" t="s">
        <v>1293</v>
      </c>
      <c r="D79" t="s">
        <v>224</v>
      </c>
      <c r="E79" t="s">
        <v>784</v>
      </c>
      <c r="F79" t="s">
        <v>1289</v>
      </c>
      <c r="G79">
        <v>2.2324092430665639</v>
      </c>
      <c r="H79">
        <v>2.2689325526339328</v>
      </c>
      <c r="I79">
        <v>1.2445023736630854</v>
      </c>
      <c r="J79">
        <v>0.82402938634539813</v>
      </c>
      <c r="K79">
        <v>0.85427715444029617</v>
      </c>
      <c r="L79">
        <v>1.0826090561859953</v>
      </c>
      <c r="M79">
        <v>-0.26641447789042144</v>
      </c>
      <c r="N79">
        <v>0.79487251098100986</v>
      </c>
      <c r="O79">
        <v>1.6133079976312898</v>
      </c>
      <c r="P79">
        <v>4.4647949779663136</v>
      </c>
      <c r="Q79">
        <v>0.15575174488918736</v>
      </c>
      <c r="R79">
        <v>1.5942317817185729</v>
      </c>
      <c r="S79">
        <v>1.2617793905349544</v>
      </c>
      <c r="T79">
        <v>2.9625393258846691</v>
      </c>
      <c r="U79">
        <f t="shared" si="4"/>
        <v>1.5062587870036321</v>
      </c>
      <c r="V79" t="str">
        <f t="shared" si="1"/>
        <v>2015/16Outputs - reliabilityInterruption Incentive Scheme (IIS)CML reward/penalty planned</v>
      </c>
    </row>
    <row r="80" spans="1:22">
      <c r="A80" s="900" t="s">
        <v>137</v>
      </c>
      <c r="B80" s="900"/>
      <c r="C80" s="900" t="s">
        <v>1293</v>
      </c>
      <c r="D80" t="s">
        <v>224</v>
      </c>
      <c r="E80" t="s">
        <v>786</v>
      </c>
      <c r="F80" t="s">
        <v>1294</v>
      </c>
      <c r="G80">
        <v>35.033388210391927</v>
      </c>
      <c r="H80">
        <v>55.381991262699088</v>
      </c>
      <c r="I80">
        <v>50.992135358072062</v>
      </c>
      <c r="J80">
        <v>63.14273130219545</v>
      </c>
      <c r="K80">
        <v>41.675929636763193</v>
      </c>
      <c r="L80">
        <v>44.960638335767463</v>
      </c>
      <c r="M80">
        <v>48.501871010345582</v>
      </c>
      <c r="N80">
        <v>18.671778437358611</v>
      </c>
      <c r="O80">
        <v>47.615511337307304</v>
      </c>
      <c r="P80">
        <v>44.321475088579433</v>
      </c>
      <c r="Q80">
        <v>46.913158500632036</v>
      </c>
      <c r="R80">
        <v>27.957250215105386</v>
      </c>
      <c r="S80">
        <v>63.624511082138206</v>
      </c>
      <c r="T80">
        <v>46.206448404475758</v>
      </c>
      <c r="U80">
        <f t="shared" si="4"/>
        <v>45.357058441559388</v>
      </c>
      <c r="V80" t="str">
        <f t="shared" si="1"/>
        <v>2015/16Outputs - reliabilityInterruption Incentive Scheme (IIS)CI performance unplanned</v>
      </c>
    </row>
    <row r="81" spans="1:22">
      <c r="A81" s="900" t="s">
        <v>137</v>
      </c>
      <c r="B81" s="900"/>
      <c r="C81" s="900" t="s">
        <v>1293</v>
      </c>
      <c r="D81" t="s">
        <v>224</v>
      </c>
      <c r="E81" t="s">
        <v>788</v>
      </c>
      <c r="F81" t="s">
        <v>1294</v>
      </c>
      <c r="G81">
        <v>46</v>
      </c>
      <c r="H81">
        <v>59.8</v>
      </c>
      <c r="I81">
        <v>66.7</v>
      </c>
      <c r="J81">
        <v>86.7</v>
      </c>
      <c r="K81">
        <v>51.9</v>
      </c>
      <c r="L81">
        <v>50.1</v>
      </c>
      <c r="M81">
        <v>55.7</v>
      </c>
      <c r="N81">
        <v>27</v>
      </c>
      <c r="O81">
        <v>63.4</v>
      </c>
      <c r="P81">
        <v>67.099999999999994</v>
      </c>
      <c r="Q81">
        <v>50.4</v>
      </c>
      <c r="R81">
        <v>35.200000000000003</v>
      </c>
      <c r="S81">
        <v>66.900000000000006</v>
      </c>
      <c r="T81">
        <v>60.3</v>
      </c>
      <c r="U81">
        <f t="shared" si="4"/>
        <v>56.228571428571421</v>
      </c>
      <c r="V81" t="str">
        <f t="shared" si="1"/>
        <v>2015/16Outputs - reliabilityInterruption Incentive Scheme (IIS)CI target unplanned</v>
      </c>
    </row>
    <row r="82" spans="1:22">
      <c r="A82" s="900" t="s">
        <v>137</v>
      </c>
      <c r="B82" s="900"/>
      <c r="C82" s="900" t="s">
        <v>1293</v>
      </c>
      <c r="D82" t="s">
        <v>224</v>
      </c>
      <c r="E82" t="s">
        <v>790</v>
      </c>
      <c r="F82" t="s">
        <v>1289</v>
      </c>
      <c r="G82">
        <v>3.7482560302144554</v>
      </c>
      <c r="H82">
        <v>0.94121188079689888</v>
      </c>
      <c r="I82">
        <v>4.8801681139155013</v>
      </c>
      <c r="J82">
        <v>9.9611791542370387</v>
      </c>
      <c r="K82">
        <v>4.5507820863540109</v>
      </c>
      <c r="L82">
        <v>0.97221053069208652</v>
      </c>
      <c r="M82">
        <v>1.9223527595724232</v>
      </c>
      <c r="N82">
        <v>2.468815923717917</v>
      </c>
      <c r="O82">
        <v>4.679149883932868</v>
      </c>
      <c r="P82">
        <v>10.611008957717795</v>
      </c>
      <c r="Q82">
        <v>0.91928857114770679</v>
      </c>
      <c r="R82">
        <v>1.4167371387477976</v>
      </c>
      <c r="S82">
        <v>0.35284124597573696</v>
      </c>
      <c r="T82">
        <v>5.8196953130480304</v>
      </c>
      <c r="U82">
        <f t="shared" si="4"/>
        <v>3.8031212564335903</v>
      </c>
      <c r="V82" t="str">
        <f t="shared" si="1"/>
        <v>2015/16Outputs - reliabilityInterruption Incentive Scheme (IIS)CI reward/penalty unplanned</v>
      </c>
    </row>
    <row r="83" spans="1:22">
      <c r="A83" s="900" t="s">
        <v>137</v>
      </c>
      <c r="B83" s="900"/>
      <c r="C83" s="900" t="s">
        <v>1293</v>
      </c>
      <c r="D83" t="s">
        <v>224</v>
      </c>
      <c r="E83" t="s">
        <v>792</v>
      </c>
      <c r="F83" t="s">
        <v>1294</v>
      </c>
      <c r="G83">
        <v>28.438120936717787</v>
      </c>
      <c r="H83">
        <v>43.306840972340197</v>
      </c>
      <c r="I83">
        <v>37.848229371933066</v>
      </c>
      <c r="J83">
        <v>28.391515798242708</v>
      </c>
      <c r="K83">
        <v>19.896857098078932</v>
      </c>
      <c r="L83">
        <v>20.715139635949132</v>
      </c>
      <c r="M83">
        <v>28.987321153422847</v>
      </c>
      <c r="N83">
        <v>18.736563986737583</v>
      </c>
      <c r="O83">
        <v>33.906692221385626</v>
      </c>
      <c r="P83">
        <v>30.998721045469047</v>
      </c>
      <c r="Q83">
        <v>31.028411287898891</v>
      </c>
      <c r="R83">
        <v>26.392439328292959</v>
      </c>
      <c r="S83">
        <v>49.575878084507913</v>
      </c>
      <c r="T83">
        <v>38.118751606959329</v>
      </c>
      <c r="U83">
        <f t="shared" si="4"/>
        <v>31.16724875199543</v>
      </c>
      <c r="V83" t="str">
        <f t="shared" si="1"/>
        <v>2015/16Outputs - reliabilityInterruption Incentive Scheme (IIS)CML performance unplanned</v>
      </c>
    </row>
    <row r="84" spans="1:22">
      <c r="A84" s="900" t="s">
        <v>137</v>
      </c>
      <c r="B84" s="900"/>
      <c r="C84" s="900" t="s">
        <v>1293</v>
      </c>
      <c r="D84" t="s">
        <v>224</v>
      </c>
      <c r="E84" t="s">
        <v>794</v>
      </c>
      <c r="F84" t="s">
        <v>1294</v>
      </c>
      <c r="G84">
        <v>40.6</v>
      </c>
      <c r="H84">
        <v>54.8</v>
      </c>
      <c r="I84">
        <v>57.5</v>
      </c>
      <c r="J84">
        <v>51.1</v>
      </c>
      <c r="K84">
        <v>37.799999999999997</v>
      </c>
      <c r="L84">
        <v>27.5</v>
      </c>
      <c r="M84">
        <v>35.799999999999997</v>
      </c>
      <c r="N84">
        <v>38.799999999999997</v>
      </c>
      <c r="O84">
        <v>45.5</v>
      </c>
      <c r="P84">
        <v>48</v>
      </c>
      <c r="Q84">
        <v>42.2</v>
      </c>
      <c r="R84">
        <v>35.1</v>
      </c>
      <c r="S84">
        <v>53.9</v>
      </c>
      <c r="T84">
        <v>48.1</v>
      </c>
      <c r="U84">
        <f t="shared" si="4"/>
        <v>44.050000000000004</v>
      </c>
      <c r="V84" t="str">
        <f t="shared" si="1"/>
        <v>2015/16Outputs - reliabilityInterruption Incentive Scheme (IIS)CML target unplanned</v>
      </c>
    </row>
    <row r="85" spans="1:22">
      <c r="A85" s="900" t="s">
        <v>137</v>
      </c>
      <c r="B85" s="900"/>
      <c r="C85" s="900" t="s">
        <v>1293</v>
      </c>
      <c r="D85" t="s">
        <v>224</v>
      </c>
      <c r="E85" t="s">
        <v>796</v>
      </c>
      <c r="F85" t="s">
        <v>1289</v>
      </c>
      <c r="G85">
        <v>9.9987507282408394</v>
      </c>
      <c r="H85">
        <v>6.1212519417346511</v>
      </c>
      <c r="I85">
        <v>15.002019518803312</v>
      </c>
      <c r="J85">
        <v>23.500294961103702</v>
      </c>
      <c r="K85">
        <v>19.722714663000399</v>
      </c>
      <c r="L85">
        <v>3.1709721179020738</v>
      </c>
      <c r="M85">
        <v>4.4727244860993691</v>
      </c>
      <c r="N85">
        <v>14.614102782814449</v>
      </c>
      <c r="O85">
        <v>8.3463133640774281</v>
      </c>
      <c r="P85">
        <v>19.295444453944658</v>
      </c>
      <c r="Q85">
        <v>7.1258087610734888</v>
      </c>
      <c r="R85">
        <v>4.1470807997908743</v>
      </c>
      <c r="S85">
        <v>1.0868708172238672</v>
      </c>
      <c r="T85">
        <v>10.035172744775849</v>
      </c>
      <c r="U85">
        <f t="shared" si="4"/>
        <v>10.474251581470353</v>
      </c>
      <c r="V85" t="str">
        <f t="shared" si="1"/>
        <v>2015/16Outputs - reliabilityInterruption Incentive Scheme (IIS)CML reward/penalty unplanned</v>
      </c>
    </row>
    <row r="86" spans="1:22">
      <c r="A86" s="900" t="s">
        <v>137</v>
      </c>
      <c r="B86" s="900"/>
      <c r="C86" s="900" t="s">
        <v>1293</v>
      </c>
      <c r="D86" t="s">
        <v>224</v>
      </c>
      <c r="E86" t="s">
        <v>798</v>
      </c>
      <c r="F86" t="s">
        <v>1289</v>
      </c>
      <c r="G86">
        <f t="array" ref="G86:T88">TRANSPOSE('Ch2 outputs - reliability'!E53:G66)</f>
        <v>16.23501790447996</v>
      </c>
      <c r="H86">
        <v>9.4991850840579541</v>
      </c>
      <c r="I86">
        <v>16.643111921038113</v>
      </c>
      <c r="J86">
        <v>22.50958209870236</v>
      </c>
      <c r="K86">
        <v>21.746545417390418</v>
      </c>
      <c r="L86">
        <v>5.4886604492916655</v>
      </c>
      <c r="M86">
        <v>6.1240400483340052</v>
      </c>
      <c r="N86">
        <v>16.552002289142742</v>
      </c>
      <c r="O86">
        <v>14.482487805380584</v>
      </c>
      <c r="P86">
        <v>25.569567570994014</v>
      </c>
      <c r="Q86">
        <v>8.2328306432980654</v>
      </c>
      <c r="R86">
        <v>7.3306697194221364</v>
      </c>
      <c r="S86">
        <v>2.8284066008196493</v>
      </c>
      <c r="T86">
        <v>19.171245055474675</v>
      </c>
      <c r="U86">
        <f t="shared" si="4"/>
        <v>13.743810900559026</v>
      </c>
      <c r="V86" t="str">
        <f t="shared" si="1"/>
        <v>2015/16Outputs - reliabilityInterruption Incentive Scheme (IIS)IIS total reward</v>
      </c>
    </row>
    <row r="87" spans="1:22">
      <c r="A87" s="900" t="s">
        <v>137</v>
      </c>
      <c r="B87" s="900"/>
      <c r="C87" s="900" t="s">
        <v>1293</v>
      </c>
      <c r="D87" t="s">
        <v>224</v>
      </c>
      <c r="E87" t="s">
        <v>237</v>
      </c>
      <c r="F87" t="s">
        <v>1289</v>
      </c>
      <c r="G87">
        <v>0</v>
      </c>
      <c r="H87">
        <v>0</v>
      </c>
      <c r="I87">
        <v>-0.52521340848063769</v>
      </c>
      <c r="J87">
        <v>0</v>
      </c>
      <c r="K87">
        <v>0</v>
      </c>
      <c r="L87">
        <v>0</v>
      </c>
      <c r="M87">
        <v>0</v>
      </c>
      <c r="N87">
        <v>0</v>
      </c>
      <c r="O87">
        <v>-0.10169752888525596</v>
      </c>
      <c r="P87">
        <v>-2.33489224481455E-3</v>
      </c>
      <c r="Q87">
        <v>0</v>
      </c>
      <c r="R87">
        <v>0</v>
      </c>
      <c r="S87">
        <v>-2.9911037907428221E-3</v>
      </c>
      <c r="T87">
        <v>-1.0682513538367222E-4</v>
      </c>
      <c r="U87">
        <f t="shared" si="4"/>
        <v>-4.5167411324059617E-2</v>
      </c>
      <c r="V87" t="str">
        <f t="shared" si="1"/>
        <v>2015/16Outputs - reliabilityInterruption Incentive Scheme (IIS)Regulation 7 Severe Weather Conditions Adjustment</v>
      </c>
    </row>
    <row r="88" spans="1:22">
      <c r="A88" s="900" t="s">
        <v>137</v>
      </c>
      <c r="B88" s="900"/>
      <c r="C88" s="900" t="s">
        <v>1293</v>
      </c>
      <c r="D88" t="s">
        <v>224</v>
      </c>
      <c r="E88" t="s">
        <v>238</v>
      </c>
      <c r="F88" t="s">
        <v>1289</v>
      </c>
      <c r="G88">
        <v>0</v>
      </c>
      <c r="H88">
        <v>-4.2363796546439167E-2</v>
      </c>
      <c r="I88">
        <v>0</v>
      </c>
      <c r="J88">
        <v>0</v>
      </c>
      <c r="K88">
        <v>0</v>
      </c>
      <c r="L88">
        <v>0</v>
      </c>
      <c r="M88">
        <v>0</v>
      </c>
      <c r="N88">
        <v>-0.23480469972003681</v>
      </c>
      <c r="O88">
        <v>-0.29304881567794011</v>
      </c>
      <c r="P88">
        <v>-0.24417192114862568</v>
      </c>
      <c r="Q88">
        <v>0</v>
      </c>
      <c r="R88">
        <v>0</v>
      </c>
      <c r="S88">
        <v>-7.5265938244610198E-2</v>
      </c>
      <c r="T88">
        <v>-3.0422272483907217E-2</v>
      </c>
      <c r="U88">
        <f t="shared" si="4"/>
        <v>-6.5719817415825652E-2</v>
      </c>
      <c r="V88" t="str">
        <f t="shared" si="1"/>
        <v>2015/16Outputs - reliabilityInterruption Incentive Scheme (IIS)Normal weather conditions adjustment</v>
      </c>
    </row>
    <row r="89" spans="1:22">
      <c r="A89" s="900" t="s">
        <v>138</v>
      </c>
      <c r="B89" s="900"/>
      <c r="C89" s="900" t="s">
        <v>1293</v>
      </c>
      <c r="D89" t="s">
        <v>224</v>
      </c>
      <c r="E89" t="s">
        <v>774</v>
      </c>
      <c r="F89" t="s">
        <v>1294</v>
      </c>
      <c r="G89">
        <f t="array" ref="G89:T100">TRANSPOSE('Ch2 outputs - reliability'!J74:U87)</f>
        <v>1.7803688632242005</v>
      </c>
      <c r="H89">
        <v>2.9682644287378546</v>
      </c>
      <c r="I89">
        <v>1.1784630430091809</v>
      </c>
      <c r="J89">
        <v>2.881645696963465</v>
      </c>
      <c r="K89">
        <v>0.91152964804104264</v>
      </c>
      <c r="L89">
        <v>3.6630848261607891</v>
      </c>
      <c r="M89">
        <v>4.1443093494614249</v>
      </c>
      <c r="N89">
        <v>0.18430660379787467</v>
      </c>
      <c r="O89">
        <v>1.1903133751260051</v>
      </c>
      <c r="P89">
        <v>1.5589175723647788</v>
      </c>
      <c r="Q89">
        <v>1.1078034904128888</v>
      </c>
      <c r="R89">
        <v>1.8298211937385993</v>
      </c>
      <c r="S89">
        <v>5.5210525080760595</v>
      </c>
      <c r="T89">
        <v>1.713139094806523</v>
      </c>
      <c r="U89">
        <f t="shared" si="4"/>
        <v>2.1880728352800491</v>
      </c>
      <c r="V89" t="str">
        <f t="shared" si="1"/>
        <v>2016/17Outputs - reliabilityInterruption Incentive Scheme (IIS)CI performance planned</v>
      </c>
    </row>
    <row r="90" spans="1:22">
      <c r="A90" s="900" t="s">
        <v>138</v>
      </c>
      <c r="B90" s="900"/>
      <c r="C90" s="900" t="s">
        <v>1293</v>
      </c>
      <c r="D90" t="s">
        <v>224</v>
      </c>
      <c r="E90" t="s">
        <v>776</v>
      </c>
      <c r="F90" t="s">
        <v>1294</v>
      </c>
      <c r="G90">
        <v>2.2282533417168793</v>
      </c>
      <c r="H90">
        <v>3.8086849513557373</v>
      </c>
      <c r="I90">
        <v>1.8537211362493704</v>
      </c>
      <c r="J90">
        <v>2.054564851484221</v>
      </c>
      <c r="K90">
        <v>1.0396262251598796</v>
      </c>
      <c r="L90">
        <v>3.851807435757479</v>
      </c>
      <c r="M90">
        <v>3.4608394242291971</v>
      </c>
      <c r="N90">
        <v>0.78332947255496732</v>
      </c>
      <c r="O90">
        <v>1.6690745167847021</v>
      </c>
      <c r="P90">
        <v>2.5997437220242046</v>
      </c>
      <c r="Q90">
        <v>1.8016034151920268</v>
      </c>
      <c r="R90">
        <v>2.9644496974892998</v>
      </c>
      <c r="S90">
        <v>4.5888624510320106</v>
      </c>
      <c r="T90">
        <v>2.1778077170682573</v>
      </c>
      <c r="U90">
        <f t="shared" si="4"/>
        <v>2.4915977398641589</v>
      </c>
      <c r="V90" t="str">
        <f t="shared" si="1"/>
        <v>2016/17Outputs - reliabilityInterruption Incentive Scheme (IIS)CI target planned</v>
      </c>
    </row>
    <row r="91" spans="1:22">
      <c r="A91" s="900" t="s">
        <v>138</v>
      </c>
      <c r="B91" s="900"/>
      <c r="C91" s="900" t="s">
        <v>1293</v>
      </c>
      <c r="D91" t="s">
        <v>224</v>
      </c>
      <c r="E91" t="s">
        <v>778</v>
      </c>
      <c r="F91" t="s">
        <v>1289</v>
      </c>
      <c r="G91">
        <v>0.15308152869425465</v>
      </c>
      <c r="H91">
        <v>0.17904305486655592</v>
      </c>
      <c r="I91">
        <v>0.20979127910855797</v>
      </c>
      <c r="J91">
        <v>-0.34973071719576754</v>
      </c>
      <c r="K91">
        <v>5.7016392470436508E-2</v>
      </c>
      <c r="L91">
        <v>3.5700563691890341E-2</v>
      </c>
      <c r="M91">
        <v>-0.18252941823400268</v>
      </c>
      <c r="N91">
        <v>0.17757418987177567</v>
      </c>
      <c r="O91">
        <v>0.14192383347321569</v>
      </c>
      <c r="P91">
        <v>0.48485209821140807</v>
      </c>
      <c r="Q91">
        <v>0.18291692972801049</v>
      </c>
      <c r="R91">
        <v>0.2219419954694529</v>
      </c>
      <c r="S91">
        <v>-0.10041710091583132</v>
      </c>
      <c r="T91">
        <v>0.19187709959183719</v>
      </c>
      <c r="U91">
        <f t="shared" si="4"/>
        <v>0.10021726634512815</v>
      </c>
      <c r="V91" t="str">
        <f t="shared" si="1"/>
        <v>2016/17Outputs - reliabilityInterruption Incentive Scheme (IIS)CI reward/penalty planned</v>
      </c>
    </row>
    <row r="92" spans="1:22">
      <c r="A92" s="900" t="s">
        <v>138</v>
      </c>
      <c r="B92" s="900"/>
      <c r="C92" s="900" t="s">
        <v>1293</v>
      </c>
      <c r="D92" t="s">
        <v>224</v>
      </c>
      <c r="E92" t="s">
        <v>780</v>
      </c>
      <c r="F92" t="s">
        <v>1294</v>
      </c>
      <c r="G92">
        <v>4.37061883657951</v>
      </c>
      <c r="H92">
        <v>7.3789079738214438</v>
      </c>
      <c r="I92">
        <v>2.9743182694169579</v>
      </c>
      <c r="J92">
        <v>4.8940222682742878</v>
      </c>
      <c r="K92">
        <v>1.5199592020880139</v>
      </c>
      <c r="L92">
        <v>6.2704509680186904</v>
      </c>
      <c r="M92">
        <v>9.551975295528953</v>
      </c>
      <c r="N92">
        <v>0.45573312975905733</v>
      </c>
      <c r="O92">
        <v>2.7099206108195015</v>
      </c>
      <c r="P92">
        <v>4.2451393179193362</v>
      </c>
      <c r="Q92">
        <v>2.8471619816214129</v>
      </c>
      <c r="R92">
        <v>5.7558866340705412</v>
      </c>
      <c r="S92">
        <v>11.765127457057242</v>
      </c>
      <c r="T92">
        <v>4.1021074491056622</v>
      </c>
      <c r="U92">
        <f t="shared" si="4"/>
        <v>4.9172378138629016</v>
      </c>
      <c r="V92" t="str">
        <f t="shared" si="1"/>
        <v>2016/17Outputs - reliabilityInterruption Incentive Scheme (IIS)CML performance planned</v>
      </c>
    </row>
    <row r="93" spans="1:22">
      <c r="A93" s="900" t="s">
        <v>138</v>
      </c>
      <c r="B93" s="900"/>
      <c r="C93" s="900" t="s">
        <v>1293</v>
      </c>
      <c r="D93" t="s">
        <v>224</v>
      </c>
      <c r="E93" t="s">
        <v>782</v>
      </c>
      <c r="F93" t="s">
        <v>1294</v>
      </c>
      <c r="G93">
        <v>6.027288219857561</v>
      </c>
      <c r="H93">
        <v>10.397604060321923</v>
      </c>
      <c r="I93">
        <v>5.3161897613111515</v>
      </c>
      <c r="J93">
        <v>3.3016225182860128</v>
      </c>
      <c r="K93">
        <v>1.5058826642316177</v>
      </c>
      <c r="L93">
        <v>6.0682074902367917</v>
      </c>
      <c r="M93">
        <v>8.032985626514261</v>
      </c>
      <c r="N93">
        <v>1.6188237084847872</v>
      </c>
      <c r="O93">
        <v>3.8649051867097377</v>
      </c>
      <c r="P93">
        <v>7.2226852440513989</v>
      </c>
      <c r="Q93">
        <v>4.3815758831589955</v>
      </c>
      <c r="R93">
        <v>9.9397944538044793</v>
      </c>
      <c r="S93">
        <v>9.4332132134157849</v>
      </c>
      <c r="T93">
        <v>5.8281898577413207</v>
      </c>
      <c r="U93">
        <f t="shared" si="4"/>
        <v>5.9242119920089875</v>
      </c>
      <c r="V93" t="str">
        <f t="shared" si="1"/>
        <v>2016/17Outputs - reliabilityInterruption Incentive Scheme (IIS)CML target planned</v>
      </c>
    </row>
    <row r="94" spans="1:22">
      <c r="A94" s="900" t="s">
        <v>138</v>
      </c>
      <c r="B94" s="900"/>
      <c r="C94" s="900" t="s">
        <v>1293</v>
      </c>
      <c r="D94" t="s">
        <v>224</v>
      </c>
      <c r="E94" t="s">
        <v>784</v>
      </c>
      <c r="F94" t="s">
        <v>1289</v>
      </c>
      <c r="G94">
        <v>1.3620119157832922</v>
      </c>
      <c r="H94">
        <v>1.6077563389254106</v>
      </c>
      <c r="I94">
        <v>1.7877677536979066</v>
      </c>
      <c r="J94">
        <v>-1.647924339125038</v>
      </c>
      <c r="K94">
        <v>-1.5507195641880116E-2</v>
      </c>
      <c r="L94">
        <v>-9.4520505163507629E-2</v>
      </c>
      <c r="M94">
        <v>-0.99726149430153554</v>
      </c>
      <c r="N94">
        <v>0.84718914805944423</v>
      </c>
      <c r="O94">
        <v>0.83150239648068147</v>
      </c>
      <c r="P94">
        <v>3.3793382356942501</v>
      </c>
      <c r="Q94">
        <v>0.97872740435259387</v>
      </c>
      <c r="R94">
        <v>1.9926365651049778</v>
      </c>
      <c r="S94">
        <v>-0.58612814097637245</v>
      </c>
      <c r="T94">
        <v>1.7354076825154336</v>
      </c>
      <c r="U94">
        <f t="shared" si="4"/>
        <v>0.79864255467183243</v>
      </c>
      <c r="V94" t="str">
        <f t="shared" si="1"/>
        <v>2016/17Outputs - reliabilityInterruption Incentive Scheme (IIS)CML reward/penalty planned</v>
      </c>
    </row>
    <row r="95" spans="1:22">
      <c r="A95" s="900" t="s">
        <v>138</v>
      </c>
      <c r="B95" s="900"/>
      <c r="C95" s="900" t="s">
        <v>1293</v>
      </c>
      <c r="D95" t="s">
        <v>224</v>
      </c>
      <c r="E95" t="s">
        <v>786</v>
      </c>
      <c r="F95" t="s">
        <v>1294</v>
      </c>
      <c r="G95">
        <v>31.118355296670796</v>
      </c>
      <c r="H95">
        <v>50.32078918848012</v>
      </c>
      <c r="I95">
        <v>47.357865759012157</v>
      </c>
      <c r="J95">
        <v>56.078353104729224</v>
      </c>
      <c r="K95">
        <v>43.214189094939336</v>
      </c>
      <c r="L95">
        <v>37.977317767512432</v>
      </c>
      <c r="M95">
        <v>48.310111713693047</v>
      </c>
      <c r="N95">
        <v>17.037096477963022</v>
      </c>
      <c r="O95">
        <v>46.533752745675407</v>
      </c>
      <c r="P95">
        <v>47.81220059256907</v>
      </c>
      <c r="Q95">
        <v>41.78233361370782</v>
      </c>
      <c r="R95">
        <v>36.333941373605398</v>
      </c>
      <c r="S95">
        <v>62.585747025741703</v>
      </c>
      <c r="T95">
        <v>46.103721816981597</v>
      </c>
      <c r="U95">
        <f t="shared" si="4"/>
        <v>43.754698255091512</v>
      </c>
      <c r="V95" t="str">
        <f t="shared" si="1"/>
        <v>2016/17Outputs - reliabilityInterruption Incentive Scheme (IIS)CI performance unplanned</v>
      </c>
    </row>
    <row r="96" spans="1:22">
      <c r="A96" s="900" t="s">
        <v>138</v>
      </c>
      <c r="B96" s="900"/>
      <c r="C96" s="900" t="s">
        <v>1293</v>
      </c>
      <c r="D96" t="s">
        <v>224</v>
      </c>
      <c r="E96" t="s">
        <v>788</v>
      </c>
      <c r="F96" t="s">
        <v>1294</v>
      </c>
      <c r="G96">
        <v>45.8</v>
      </c>
      <c r="H96">
        <v>58.9</v>
      </c>
      <c r="I96">
        <v>65.7</v>
      </c>
      <c r="J96">
        <v>85</v>
      </c>
      <c r="K96">
        <v>51.1</v>
      </c>
      <c r="L96">
        <v>49.9</v>
      </c>
      <c r="M96">
        <v>55.4</v>
      </c>
      <c r="N96">
        <v>26.9</v>
      </c>
      <c r="O96">
        <v>63</v>
      </c>
      <c r="P96">
        <v>66.099999999999994</v>
      </c>
      <c r="Q96">
        <v>50.1</v>
      </c>
      <c r="R96">
        <v>35.1</v>
      </c>
      <c r="S96">
        <v>66.599999999999994</v>
      </c>
      <c r="T96">
        <v>59.4</v>
      </c>
      <c r="U96">
        <f t="shared" si="4"/>
        <v>55.642857142857146</v>
      </c>
      <c r="V96" t="str">
        <f t="shared" si="1"/>
        <v>2016/17Outputs - reliabilityInterruption Incentive Scheme (IIS)CI target unplanned</v>
      </c>
    </row>
    <row r="97" spans="1:22">
      <c r="A97" s="900" t="s">
        <v>138</v>
      </c>
      <c r="B97" s="900"/>
      <c r="C97" s="900" t="s">
        <v>1293</v>
      </c>
      <c r="D97" t="s">
        <v>224</v>
      </c>
      <c r="E97" t="s">
        <v>790</v>
      </c>
      <c r="F97" t="s">
        <v>1289</v>
      </c>
      <c r="G97">
        <v>5.0180096048322396</v>
      </c>
      <c r="H97">
        <v>1.8277137108146329</v>
      </c>
      <c r="I97">
        <v>5.6985911646511402</v>
      </c>
      <c r="J97">
        <v>12.229503761878169</v>
      </c>
      <c r="K97">
        <v>3.5100117397631014</v>
      </c>
      <c r="L97">
        <v>2.2554079626639365</v>
      </c>
      <c r="M97">
        <v>1.8934456900996295</v>
      </c>
      <c r="N97">
        <v>2.9237566611491115</v>
      </c>
      <c r="O97">
        <v>4.8812502308667822</v>
      </c>
      <c r="P97">
        <v>8.5190768095744023</v>
      </c>
      <c r="Q97">
        <v>2.1929117365741608</v>
      </c>
      <c r="R97">
        <v>-0.24136835082584224</v>
      </c>
      <c r="S97">
        <v>0.43242216860367472</v>
      </c>
      <c r="T97">
        <v>5.4904746541864595</v>
      </c>
      <c r="U97">
        <f t="shared" si="4"/>
        <v>4.0450862532022569</v>
      </c>
      <c r="V97" t="str">
        <f t="shared" si="1"/>
        <v>2016/17Outputs - reliabilityInterruption Incentive Scheme (IIS)CI reward/penalty unplanned</v>
      </c>
    </row>
    <row r="98" spans="1:22">
      <c r="A98" s="900" t="s">
        <v>138</v>
      </c>
      <c r="B98" s="900"/>
      <c r="C98" s="900" t="s">
        <v>1293</v>
      </c>
      <c r="D98" t="s">
        <v>224</v>
      </c>
      <c r="E98" t="s">
        <v>792</v>
      </c>
      <c r="F98" t="s">
        <v>1294</v>
      </c>
      <c r="G98">
        <v>29.342937310707303</v>
      </c>
      <c r="H98">
        <v>37.625392215552019</v>
      </c>
      <c r="I98">
        <v>35.030859230805973</v>
      </c>
      <c r="J98">
        <v>27.07959169297747</v>
      </c>
      <c r="K98">
        <v>20.442162479375849</v>
      </c>
      <c r="L98">
        <v>19.455640512495084</v>
      </c>
      <c r="M98">
        <v>30.146729812810836</v>
      </c>
      <c r="N98">
        <v>19.325540882992794</v>
      </c>
      <c r="O98">
        <v>32.352715220130314</v>
      </c>
      <c r="P98">
        <v>34.958677428466913</v>
      </c>
      <c r="Q98">
        <v>26.481205280964609</v>
      </c>
      <c r="R98">
        <v>31.581553644729496</v>
      </c>
      <c r="S98">
        <v>48.12096816233548</v>
      </c>
      <c r="T98">
        <v>39.195896106296118</v>
      </c>
      <c r="U98">
        <f t="shared" si="4"/>
        <v>30.795704998617158</v>
      </c>
      <c r="V98" t="str">
        <f t="shared" si="1"/>
        <v>2016/17Outputs - reliabilityInterruption Incentive Scheme (IIS)CML performance unplanned</v>
      </c>
    </row>
    <row r="99" spans="1:22">
      <c r="A99" s="900" t="s">
        <v>138</v>
      </c>
      <c r="B99" s="900"/>
      <c r="C99" s="900" t="s">
        <v>1293</v>
      </c>
      <c r="D99" t="s">
        <v>224</v>
      </c>
      <c r="E99" t="s">
        <v>794</v>
      </c>
      <c r="F99" t="s">
        <v>1294</v>
      </c>
      <c r="G99">
        <v>39.799999999999997</v>
      </c>
      <c r="H99">
        <v>53.7</v>
      </c>
      <c r="I99">
        <v>56.3</v>
      </c>
      <c r="J99">
        <v>50.3</v>
      </c>
      <c r="K99">
        <v>37.6</v>
      </c>
      <c r="L99">
        <v>27.5</v>
      </c>
      <c r="M99">
        <v>35.6</v>
      </c>
      <c r="N99">
        <v>38.1</v>
      </c>
      <c r="O99">
        <v>44.5</v>
      </c>
      <c r="P99">
        <v>47</v>
      </c>
      <c r="Q99">
        <v>41.3</v>
      </c>
      <c r="R99">
        <v>34.299999999999997</v>
      </c>
      <c r="S99">
        <v>52.8</v>
      </c>
      <c r="T99">
        <v>47.1</v>
      </c>
      <c r="U99">
        <f t="shared" si="4"/>
        <v>43.278571428571432</v>
      </c>
      <c r="V99" t="str">
        <f t="shared" si="1"/>
        <v>2016/17Outputs - reliabilityInterruption Incentive Scheme (IIS)CML target unplanned</v>
      </c>
    </row>
    <row r="100" spans="1:22">
      <c r="A100" s="900" t="s">
        <v>138</v>
      </c>
      <c r="B100" s="900"/>
      <c r="C100" s="900" t="s">
        <v>1293</v>
      </c>
      <c r="D100" t="s">
        <v>224</v>
      </c>
      <c r="E100" t="s">
        <v>796</v>
      </c>
      <c r="F100" t="s">
        <v>1289</v>
      </c>
      <c r="G100">
        <v>8.5971553109333207</v>
      </c>
      <c r="H100">
        <v>8.5613297333109628</v>
      </c>
      <c r="I100">
        <v>16.23670818302293</v>
      </c>
      <c r="J100">
        <v>24.030069091536461</v>
      </c>
      <c r="K100">
        <v>18.901660759077171</v>
      </c>
      <c r="L100">
        <v>3.7596115870584277</v>
      </c>
      <c r="M100">
        <v>3.5802326287274311</v>
      </c>
      <c r="N100">
        <v>13.675218693663677</v>
      </c>
      <c r="O100">
        <v>8.745135316988728</v>
      </c>
      <c r="P100">
        <v>13.666187788132602</v>
      </c>
      <c r="Q100">
        <v>9.4521826714825234</v>
      </c>
      <c r="R100">
        <v>1.2946928663769712</v>
      </c>
      <c r="S100">
        <v>1.1760776538235502</v>
      </c>
      <c r="T100">
        <v>7.9468063354958982</v>
      </c>
      <c r="U100">
        <f t="shared" si="4"/>
        <v>9.9730763299736189</v>
      </c>
      <c r="V100" t="str">
        <f t="shared" si="1"/>
        <v>2016/17Outputs - reliabilityInterruption Incentive Scheme (IIS)CML reward/penalty unplanned</v>
      </c>
    </row>
    <row r="101" spans="1:22">
      <c r="A101" s="900" t="s">
        <v>138</v>
      </c>
      <c r="B101" s="900"/>
      <c r="C101" s="900" t="s">
        <v>1293</v>
      </c>
      <c r="D101" t="s">
        <v>224</v>
      </c>
      <c r="E101" t="s">
        <v>798</v>
      </c>
      <c r="F101" t="s">
        <v>1289</v>
      </c>
      <c r="G101">
        <f t="array" ref="G101:T103">TRANSPOSE('Ch2 outputs - reliability'!E74:G87)</f>
        <v>15.016054660151148</v>
      </c>
      <c r="H101">
        <v>12.175842837917562</v>
      </c>
      <c r="I101">
        <v>17.168325329518751</v>
      </c>
      <c r="J101">
        <v>22.50958209870236</v>
      </c>
      <c r="K101">
        <v>21.746545417390418</v>
      </c>
      <c r="L101">
        <v>5.9561996082507473</v>
      </c>
      <c r="M101">
        <v>4.293887406291522</v>
      </c>
      <c r="N101">
        <v>16.616486519080414</v>
      </c>
      <c r="O101">
        <v>14.323001908783148</v>
      </c>
      <c r="P101">
        <v>25.360065350755086</v>
      </c>
      <c r="Q101">
        <v>12.80673874213729</v>
      </c>
      <c r="R101">
        <v>3.2679030761255596</v>
      </c>
      <c r="S101">
        <v>0.92195458053502122</v>
      </c>
      <c r="T101">
        <v>15.358064699264849</v>
      </c>
      <c r="U101">
        <f t="shared" si="4"/>
        <v>13.394332302493131</v>
      </c>
      <c r="V101" t="str">
        <f t="shared" si="1"/>
        <v>2016/17Outputs - reliabilityInterruption Incentive Scheme (IIS)IIS total reward</v>
      </c>
    </row>
    <row r="102" spans="1:22">
      <c r="A102" s="900" t="s">
        <v>138</v>
      </c>
      <c r="B102" s="900"/>
      <c r="C102" s="900" t="s">
        <v>1293</v>
      </c>
      <c r="D102" t="s">
        <v>224</v>
      </c>
      <c r="E102" t="s">
        <v>237</v>
      </c>
      <c r="F102" t="s">
        <v>1289</v>
      </c>
      <c r="G102">
        <v>0</v>
      </c>
      <c r="H102">
        <v>0</v>
      </c>
      <c r="I102">
        <v>0</v>
      </c>
      <c r="J102">
        <v>0</v>
      </c>
      <c r="K102">
        <v>0</v>
      </c>
      <c r="L102">
        <v>0</v>
      </c>
      <c r="M102">
        <v>0</v>
      </c>
      <c r="N102">
        <v>0</v>
      </c>
      <c r="O102">
        <v>-6.0814023500561981E-3</v>
      </c>
      <c r="P102">
        <v>-1.527599435986513E-2</v>
      </c>
      <c r="Q102">
        <v>0</v>
      </c>
      <c r="R102">
        <v>0</v>
      </c>
      <c r="S102">
        <v>0</v>
      </c>
      <c r="T102">
        <v>-3.8151834065597252E-4</v>
      </c>
      <c r="U102">
        <f t="shared" si="4"/>
        <v>-1.5527796464698072E-3</v>
      </c>
      <c r="V102" t="str">
        <f t="shared" si="1"/>
        <v>2016/17Outputs - reliabilityInterruption Incentive Scheme (IIS)Regulation 7 Severe Weather Conditions Adjustment</v>
      </c>
    </row>
    <row r="103" spans="1:22">
      <c r="A103" s="900" t="s">
        <v>138</v>
      </c>
      <c r="B103" s="900"/>
      <c r="C103" s="900" t="s">
        <v>1293</v>
      </c>
      <c r="D103" t="s">
        <v>224</v>
      </c>
      <c r="E103" t="s">
        <v>238</v>
      </c>
      <c r="F103" t="s">
        <v>1289</v>
      </c>
      <c r="G103">
        <v>-0.11420370009195874</v>
      </c>
      <c r="H103">
        <v>0</v>
      </c>
      <c r="I103">
        <v>0</v>
      </c>
      <c r="J103">
        <v>0</v>
      </c>
      <c r="K103">
        <v>0</v>
      </c>
      <c r="L103">
        <v>0</v>
      </c>
      <c r="M103">
        <v>0</v>
      </c>
      <c r="N103">
        <v>-0.17032046978236437</v>
      </c>
      <c r="O103">
        <v>-0.27072846667620315</v>
      </c>
      <c r="P103">
        <v>-0.44073303927250435</v>
      </c>
      <c r="Q103">
        <v>0</v>
      </c>
      <c r="R103">
        <v>0</v>
      </c>
      <c r="S103">
        <v>0</v>
      </c>
      <c r="T103">
        <v>-6.1195541841218152E-3</v>
      </c>
      <c r="U103">
        <f t="shared" si="4"/>
        <v>-7.1578945000510888E-2</v>
      </c>
      <c r="V103" t="str">
        <f t="shared" si="1"/>
        <v>2016/17Outputs - reliabilityInterruption Incentive Scheme (IIS)Normal weather conditions adjustment</v>
      </c>
    </row>
    <row r="104" spans="1:22">
      <c r="A104" s="900" t="s">
        <v>139</v>
      </c>
      <c r="B104" s="900"/>
      <c r="C104" s="900" t="s">
        <v>1293</v>
      </c>
      <c r="D104" t="s">
        <v>224</v>
      </c>
      <c r="E104" t="s">
        <v>774</v>
      </c>
      <c r="F104" t="s">
        <v>1294</v>
      </c>
      <c r="G104">
        <f t="array" ref="G104:T115">TRANSPOSE('Ch2 outputs - reliability'!J93:U106)</f>
        <v>1.8922667055946862</v>
      </c>
      <c r="H104">
        <v>2.109038728491107</v>
      </c>
      <c r="I104">
        <v>1.3007735387287029</v>
      </c>
      <c r="J104">
        <v>2.3658470940520817</v>
      </c>
      <c r="K104">
        <v>0.8762177193632632</v>
      </c>
      <c r="L104">
        <v>3.6223161042131284</v>
      </c>
      <c r="M104">
        <v>3.8352535119246127</v>
      </c>
      <c r="N104">
        <v>0.12351826045365198</v>
      </c>
      <c r="O104">
        <v>0.99054624043913786</v>
      </c>
      <c r="P104">
        <v>1.6635987406342807</v>
      </c>
      <c r="Q104">
        <v>1.0279020853955556</v>
      </c>
      <c r="R104">
        <v>1.7004734424747234</v>
      </c>
      <c r="S104">
        <v>5.4397633068731048</v>
      </c>
      <c r="T104">
        <v>1.6581560720857307</v>
      </c>
      <c r="U104">
        <f t="shared" si="4"/>
        <v>2.043262253623126</v>
      </c>
      <c r="V104" t="str">
        <f t="shared" si="1"/>
        <v>2017/18Outputs - reliabilityInterruption Incentive Scheme (IIS)CI performance planned</v>
      </c>
    </row>
    <row r="105" spans="1:22">
      <c r="A105" s="900" t="s">
        <v>139</v>
      </c>
      <c r="B105" s="900"/>
      <c r="C105" s="900" t="s">
        <v>1293</v>
      </c>
      <c r="D105" t="s">
        <v>224</v>
      </c>
      <c r="E105" t="s">
        <v>776</v>
      </c>
      <c r="F105" t="s">
        <v>1294</v>
      </c>
      <c r="G105">
        <v>1.9508900974963259</v>
      </c>
      <c r="H105">
        <v>3.5649515349766401</v>
      </c>
      <c r="I105">
        <v>1.7752767891913142</v>
      </c>
      <c r="J105">
        <v>2.0947732999362638</v>
      </c>
      <c r="K105">
        <v>1.0233064185312983</v>
      </c>
      <c r="L105">
        <v>3.7131924294548484</v>
      </c>
      <c r="M105">
        <v>3.4370839062021568</v>
      </c>
      <c r="N105">
        <v>0.6385158281734431</v>
      </c>
      <c r="O105">
        <v>1.3933114581924944</v>
      </c>
      <c r="P105">
        <v>2.2410524510307819</v>
      </c>
      <c r="Q105">
        <v>1.7419725870923248</v>
      </c>
      <c r="R105">
        <v>2.6979178728758328</v>
      </c>
      <c r="S105">
        <v>3.9510630304724526</v>
      </c>
      <c r="T105">
        <v>1.7936865395944348</v>
      </c>
      <c r="U105">
        <f t="shared" si="4"/>
        <v>2.2869281602300435</v>
      </c>
      <c r="V105" t="str">
        <f t="shared" ref="V105:V163" si="5">CONCATENATE(A105,B105,C105,D105,E105)</f>
        <v>2017/18Outputs - reliabilityInterruption Incentive Scheme (IIS)CI target planned</v>
      </c>
    </row>
    <row r="106" spans="1:22">
      <c r="A106" s="900" t="s">
        <v>139</v>
      </c>
      <c r="B106" s="900"/>
      <c r="C106" s="900" t="s">
        <v>1293</v>
      </c>
      <c r="D106" t="s">
        <v>224</v>
      </c>
      <c r="E106" t="s">
        <v>778</v>
      </c>
      <c r="F106" t="s">
        <v>1289</v>
      </c>
      <c r="G106">
        <v>1.9789402838317507E-2</v>
      </c>
      <c r="H106">
        <v>0.30633820584530003</v>
      </c>
      <c r="I106">
        <v>0.14560014004741301</v>
      </c>
      <c r="J106">
        <v>-0.11320831282970591</v>
      </c>
      <c r="K106">
        <v>6.4661605769685548E-2</v>
      </c>
      <c r="L106">
        <v>1.6978795030966581E-2</v>
      </c>
      <c r="M106">
        <v>-0.10502351120238208</v>
      </c>
      <c r="N106">
        <v>0.15078098822780428</v>
      </c>
      <c r="O106">
        <v>0.1179216007281816</v>
      </c>
      <c r="P106">
        <v>0.26567655356508368</v>
      </c>
      <c r="Q106">
        <v>0.18593695545502556</v>
      </c>
      <c r="R106">
        <v>0.19269900607872181</v>
      </c>
      <c r="S106">
        <v>-0.15838551086547958</v>
      </c>
      <c r="T106">
        <v>5.5274102910804659E-2</v>
      </c>
      <c r="U106">
        <f t="shared" si="4"/>
        <v>8.1788572971409748E-2</v>
      </c>
      <c r="V106" t="str">
        <f t="shared" si="5"/>
        <v>2017/18Outputs - reliabilityInterruption Incentive Scheme (IIS)CI reward/penalty planned</v>
      </c>
    </row>
    <row r="107" spans="1:22">
      <c r="A107" s="900" t="s">
        <v>139</v>
      </c>
      <c r="B107" s="900"/>
      <c r="C107" s="900" t="s">
        <v>1293</v>
      </c>
      <c r="D107" t="s">
        <v>224</v>
      </c>
      <c r="E107" t="s">
        <v>780</v>
      </c>
      <c r="F107" t="s">
        <v>1294</v>
      </c>
      <c r="G107">
        <v>5.0302384299255793</v>
      </c>
      <c r="H107">
        <v>4.7520853878879494</v>
      </c>
      <c r="I107">
        <v>3.2778014931922392</v>
      </c>
      <c r="J107">
        <v>4.4407684057335706</v>
      </c>
      <c r="K107">
        <v>1.4330532489075611</v>
      </c>
      <c r="L107">
        <v>5.675784859425594</v>
      </c>
      <c r="M107">
        <v>8.6940577776841064</v>
      </c>
      <c r="N107">
        <v>0.33793944187966191</v>
      </c>
      <c r="O107">
        <v>2.1619992411372864</v>
      </c>
      <c r="P107">
        <v>4.4995077995512309</v>
      </c>
      <c r="Q107">
        <v>2.9104491962228121</v>
      </c>
      <c r="R107">
        <v>5.5157000081235203</v>
      </c>
      <c r="S107">
        <v>12.256454855475848</v>
      </c>
      <c r="T107">
        <v>3.2894504912255127</v>
      </c>
      <c r="U107">
        <f t="shared" si="4"/>
        <v>4.5910921883123192</v>
      </c>
      <c r="V107" t="str">
        <f t="shared" si="5"/>
        <v>2017/18Outputs - reliabilityInterruption Incentive Scheme (IIS)CML performance planned</v>
      </c>
    </row>
    <row r="108" spans="1:22">
      <c r="A108" s="900" t="s">
        <v>139</v>
      </c>
      <c r="B108" s="900"/>
      <c r="C108" s="900" t="s">
        <v>1293</v>
      </c>
      <c r="D108" t="s">
        <v>224</v>
      </c>
      <c r="E108" t="s">
        <v>782</v>
      </c>
      <c r="F108" t="s">
        <v>1294</v>
      </c>
      <c r="G108">
        <v>5.1255741485529898</v>
      </c>
      <c r="H108">
        <v>9.1716427709254535</v>
      </c>
      <c r="I108">
        <v>4.9785361582847409</v>
      </c>
      <c r="J108">
        <v>3.4933607250773426</v>
      </c>
      <c r="K108">
        <v>1.5270810188507031</v>
      </c>
      <c r="L108">
        <v>5.956295448786932</v>
      </c>
      <c r="M108">
        <v>8.1019952851222712</v>
      </c>
      <c r="N108">
        <v>1.3503032020674393</v>
      </c>
      <c r="O108">
        <v>3.0417047320761643</v>
      </c>
      <c r="P108">
        <v>6.1043981683629598</v>
      </c>
      <c r="Q108">
        <v>4.2505443890776311</v>
      </c>
      <c r="R108">
        <v>8.9189118837269188</v>
      </c>
      <c r="S108">
        <v>7.850335858446452</v>
      </c>
      <c r="T108">
        <v>4.6273804112641592</v>
      </c>
      <c r="U108">
        <f t="shared" si="4"/>
        <v>5.3212903000444394</v>
      </c>
      <c r="V108" t="str">
        <f t="shared" si="5"/>
        <v>2017/18Outputs - reliabilityInterruption Incentive Scheme (IIS)CML target planned</v>
      </c>
    </row>
    <row r="109" spans="1:22">
      <c r="A109" s="900" t="s">
        <v>139</v>
      </c>
      <c r="B109" s="900"/>
      <c r="C109" s="900" t="s">
        <v>1293</v>
      </c>
      <c r="D109" t="s">
        <v>224</v>
      </c>
      <c r="E109" t="s">
        <v>784</v>
      </c>
      <c r="F109" t="s">
        <v>1289</v>
      </c>
      <c r="G109">
        <v>7.7411534000762144E-2</v>
      </c>
      <c r="H109">
        <v>2.324794577874179</v>
      </c>
      <c r="I109">
        <v>1.2822997912894134</v>
      </c>
      <c r="J109">
        <v>-0.96833813772796473</v>
      </c>
      <c r="K109">
        <v>0.10230539055000945</v>
      </c>
      <c r="L109">
        <v>0.12948090851577176</v>
      </c>
      <c r="M109">
        <v>-0.3839076336921024</v>
      </c>
      <c r="N109">
        <v>0.72829680474783598</v>
      </c>
      <c r="O109">
        <v>0.62550328028820268</v>
      </c>
      <c r="P109">
        <v>1.7989683896772568</v>
      </c>
      <c r="Q109">
        <v>0.84422817422831298</v>
      </c>
      <c r="R109">
        <v>1.6008105728609052</v>
      </c>
      <c r="S109">
        <v>-1.0938082333495089</v>
      </c>
      <c r="T109">
        <v>1.3285512834942241</v>
      </c>
      <c r="U109">
        <f t="shared" si="4"/>
        <v>0.59975690733980691</v>
      </c>
      <c r="V109" t="str">
        <f t="shared" si="5"/>
        <v>2017/18Outputs - reliabilityInterruption Incentive Scheme (IIS)CML reward/penalty planned</v>
      </c>
    </row>
    <row r="110" spans="1:22">
      <c r="A110" s="900" t="s">
        <v>139</v>
      </c>
      <c r="B110" s="900"/>
      <c r="C110" s="900" t="s">
        <v>1293</v>
      </c>
      <c r="D110" t="s">
        <v>224</v>
      </c>
      <c r="E110" t="s">
        <v>786</v>
      </c>
      <c r="F110" t="s">
        <v>1294</v>
      </c>
      <c r="G110">
        <v>31.338868083931828</v>
      </c>
      <c r="H110">
        <v>49.70615260983714</v>
      </c>
      <c r="I110">
        <v>46.833748160985841</v>
      </c>
      <c r="J110">
        <v>53.27835761000248</v>
      </c>
      <c r="K110">
        <v>46.065503658966421</v>
      </c>
      <c r="L110">
        <v>44.844546073121457</v>
      </c>
      <c r="M110">
        <v>58.20174334776825</v>
      </c>
      <c r="N110">
        <v>14.092719477774599</v>
      </c>
      <c r="O110">
        <v>45.696270671663633</v>
      </c>
      <c r="P110">
        <v>46.858201258152882</v>
      </c>
      <c r="Q110">
        <v>40.277112857257436</v>
      </c>
      <c r="R110">
        <v>28.79849513635844</v>
      </c>
      <c r="S110">
        <v>51.906637136085607</v>
      </c>
      <c r="T110">
        <v>53.474643958341254</v>
      </c>
      <c r="U110">
        <f t="shared" si="4"/>
        <v>43.669500002874813</v>
      </c>
      <c r="V110" t="str">
        <f t="shared" si="5"/>
        <v>2017/18Outputs - reliabilityInterruption Incentive Scheme (IIS)CI performance unplanned</v>
      </c>
    </row>
    <row r="111" spans="1:22">
      <c r="A111" s="900" t="s">
        <v>139</v>
      </c>
      <c r="B111" s="900"/>
      <c r="C111" s="900" t="s">
        <v>1293</v>
      </c>
      <c r="D111" t="s">
        <v>224</v>
      </c>
      <c r="E111" t="s">
        <v>788</v>
      </c>
      <c r="F111" t="s">
        <v>1294</v>
      </c>
      <c r="G111">
        <v>45.5</v>
      </c>
      <c r="H111">
        <v>58.6</v>
      </c>
      <c r="I111">
        <v>64.7</v>
      </c>
      <c r="J111">
        <v>83.3</v>
      </c>
      <c r="K111">
        <v>50.4</v>
      </c>
      <c r="L111">
        <v>49.6</v>
      </c>
      <c r="M111">
        <v>55.1</v>
      </c>
      <c r="N111">
        <v>26.7</v>
      </c>
      <c r="O111">
        <v>62.7</v>
      </c>
      <c r="P111">
        <v>65.7</v>
      </c>
      <c r="Q111">
        <v>49.9</v>
      </c>
      <c r="R111">
        <v>34.9</v>
      </c>
      <c r="S111">
        <v>66.2</v>
      </c>
      <c r="T111">
        <v>58.6</v>
      </c>
      <c r="U111">
        <f t="shared" si="4"/>
        <v>55.135714285714293</v>
      </c>
      <c r="V111" t="str">
        <f t="shared" si="5"/>
        <v>2017/18Outputs - reliabilityInterruption Incentive Scheme (IIS)CI target unplanned</v>
      </c>
    </row>
    <row r="112" spans="1:22">
      <c r="A112" s="900" t="s">
        <v>139</v>
      </c>
      <c r="B112" s="900"/>
      <c r="C112" s="900" t="s">
        <v>1293</v>
      </c>
      <c r="D112" t="s">
        <v>224</v>
      </c>
      <c r="E112" t="s">
        <v>790</v>
      </c>
      <c r="F112" t="s">
        <v>1289</v>
      </c>
      <c r="G112">
        <v>4.7803502158971778</v>
      </c>
      <c r="H112">
        <v>1.8713519384043329</v>
      </c>
      <c r="I112">
        <v>5.4822148580577226</v>
      </c>
      <c r="J112">
        <v>12.537912395531249</v>
      </c>
      <c r="K112">
        <v>1.9054862487693158</v>
      </c>
      <c r="L112">
        <v>0.88848088089953436</v>
      </c>
      <c r="M112">
        <v>-0.81813371123641432</v>
      </c>
      <c r="N112">
        <v>3.6911595998849265</v>
      </c>
      <c r="O112">
        <v>4.9783518843328496</v>
      </c>
      <c r="P112">
        <v>8.6687886190283354</v>
      </c>
      <c r="Q112">
        <v>2.505705436308121</v>
      </c>
      <c r="R112">
        <v>1.1787663422366306</v>
      </c>
      <c r="S112">
        <v>1.5206966876235641</v>
      </c>
      <c r="T112">
        <v>2.0903008932878193</v>
      </c>
      <c r="U112">
        <f t="shared" si="4"/>
        <v>3.6629594492160829</v>
      </c>
      <c r="V112" t="str">
        <f t="shared" si="5"/>
        <v>2017/18Outputs - reliabilityInterruption Incentive Scheme (IIS)CI reward/penalty unplanned</v>
      </c>
    </row>
    <row r="113" spans="1:22">
      <c r="A113" s="900" t="s">
        <v>139</v>
      </c>
      <c r="B113" s="900"/>
      <c r="C113" s="900" t="s">
        <v>1293</v>
      </c>
      <c r="D113" t="s">
        <v>224</v>
      </c>
      <c r="E113" t="s">
        <v>792</v>
      </c>
      <c r="F113" t="s">
        <v>1294</v>
      </c>
      <c r="G113">
        <v>29.600887911213913</v>
      </c>
      <c r="H113">
        <v>39.873080373593211</v>
      </c>
      <c r="I113">
        <v>33.117945588094877</v>
      </c>
      <c r="J113">
        <v>26.5832766573299</v>
      </c>
      <c r="K113">
        <v>22.638718668529865</v>
      </c>
      <c r="L113">
        <v>22.738823811822598</v>
      </c>
      <c r="M113">
        <v>34.088268665487242</v>
      </c>
      <c r="N113">
        <v>16.402701863422156</v>
      </c>
      <c r="O113">
        <v>35.407212595114359</v>
      </c>
      <c r="P113">
        <v>37.291780383865429</v>
      </c>
      <c r="Q113">
        <v>28.282396762607846</v>
      </c>
      <c r="R113">
        <v>27.471571309618295</v>
      </c>
      <c r="S113">
        <v>42.983814154001713</v>
      </c>
      <c r="T113">
        <v>44.274271796626529</v>
      </c>
      <c r="U113">
        <f t="shared" si="4"/>
        <v>31.482482181523427</v>
      </c>
      <c r="V113" t="str">
        <f t="shared" si="5"/>
        <v>2017/18Outputs - reliabilityInterruption Incentive Scheme (IIS)CML performance unplanned</v>
      </c>
    </row>
    <row r="114" spans="1:22">
      <c r="A114" s="900" t="s">
        <v>139</v>
      </c>
      <c r="B114" s="900"/>
      <c r="C114" s="900" t="s">
        <v>1293</v>
      </c>
      <c r="D114" t="s">
        <v>224</v>
      </c>
      <c r="E114" t="s">
        <v>794</v>
      </c>
      <c r="F114" t="s">
        <v>1294</v>
      </c>
      <c r="G114">
        <v>39.1</v>
      </c>
      <c r="H114">
        <v>52.7</v>
      </c>
      <c r="I114">
        <v>55.2</v>
      </c>
      <c r="J114">
        <v>49.5</v>
      </c>
      <c r="K114">
        <v>37.299999999999997</v>
      </c>
      <c r="L114">
        <v>27.4</v>
      </c>
      <c r="M114">
        <v>35.4</v>
      </c>
      <c r="N114">
        <v>37.5</v>
      </c>
      <c r="O114">
        <v>43.5</v>
      </c>
      <c r="P114">
        <v>45.9</v>
      </c>
      <c r="Q114">
        <v>40.5</v>
      </c>
      <c r="R114">
        <v>33.5</v>
      </c>
      <c r="S114">
        <v>51.6</v>
      </c>
      <c r="T114">
        <v>46.2</v>
      </c>
      <c r="U114">
        <f t="shared" si="4"/>
        <v>42.521428571428565</v>
      </c>
      <c r="V114" t="str">
        <f t="shared" si="5"/>
        <v>2017/18Outputs - reliabilityInterruption Incentive Scheme (IIS)CML target unplanned</v>
      </c>
    </row>
    <row r="115" spans="1:22">
      <c r="A115" s="900" t="s">
        <v>139</v>
      </c>
      <c r="B115" s="900"/>
      <c r="C115" s="900" t="s">
        <v>1293</v>
      </c>
      <c r="D115" t="s">
        <v>224</v>
      </c>
      <c r="E115" t="s">
        <v>796</v>
      </c>
      <c r="F115" t="s">
        <v>1289</v>
      </c>
      <c r="G115">
        <v>7.7131724502121051</v>
      </c>
      <c r="H115">
        <v>6.7472714151758639</v>
      </c>
      <c r="I115">
        <v>16.649166001498145</v>
      </c>
      <c r="J115">
        <v>23.423007494616581</v>
      </c>
      <c r="K115">
        <v>15.951969439311508</v>
      </c>
      <c r="L115">
        <v>2.1515527416323454</v>
      </c>
      <c r="M115">
        <v>0.85055830929871268</v>
      </c>
      <c r="N115">
        <v>15.177444537161362</v>
      </c>
      <c r="O115">
        <v>5.7542724475079252</v>
      </c>
      <c r="P115">
        <v>9.6492042582894015</v>
      </c>
      <c r="Q115">
        <v>7.6968001449035359</v>
      </c>
      <c r="R115">
        <v>2.8356660525551374</v>
      </c>
      <c r="S115">
        <v>2.138947001834584</v>
      </c>
      <c r="T115">
        <v>1.9122292116607671</v>
      </c>
      <c r="U115">
        <f t="shared" si="4"/>
        <v>8.4750901075469987</v>
      </c>
      <c r="V115" t="str">
        <f t="shared" si="5"/>
        <v>2017/18Outputs - reliabilityInterruption Incentive Scheme (IIS)CML reward/penalty unplanned</v>
      </c>
    </row>
    <row r="116" spans="1:22">
      <c r="A116" s="900" t="s">
        <v>139</v>
      </c>
      <c r="B116" s="900"/>
      <c r="C116" s="900" t="s">
        <v>1293</v>
      </c>
      <c r="D116" t="s">
        <v>224</v>
      </c>
      <c r="E116" t="s">
        <v>798</v>
      </c>
      <c r="F116" t="s">
        <v>1289</v>
      </c>
      <c r="G116">
        <f t="array" ref="G116:T118">TRANSPOSE('Ch2 outputs - reliability'!E93:G106)</f>
        <v>12.300821550544153</v>
      </c>
      <c r="H116">
        <v>11.249756137299677</v>
      </c>
      <c r="I116">
        <v>17.097393439623993</v>
      </c>
      <c r="J116">
        <v>22.50958209870236</v>
      </c>
      <c r="K116">
        <v>18.02442268440052</v>
      </c>
      <c r="L116">
        <v>3.1864933260786179</v>
      </c>
      <c r="M116">
        <v>-0.45650654683218617</v>
      </c>
      <c r="N116">
        <v>16.720642552152857</v>
      </c>
      <c r="O116">
        <v>11.069393391772048</v>
      </c>
      <c r="P116">
        <v>19.869425453003114</v>
      </c>
      <c r="Q116">
        <v>11.232670710894995</v>
      </c>
      <c r="R116">
        <v>5.8079419737313955</v>
      </c>
      <c r="S116">
        <v>2.4074499452431595</v>
      </c>
      <c r="T116">
        <v>5.3863554913536156</v>
      </c>
      <c r="U116">
        <f t="shared" si="4"/>
        <v>11.171845871997741</v>
      </c>
      <c r="V116" t="str">
        <f t="shared" si="5"/>
        <v>2017/18Outputs - reliabilityInterruption Incentive Scheme (IIS)IIS total reward</v>
      </c>
    </row>
    <row r="117" spans="1:22">
      <c r="A117" s="900" t="s">
        <v>139</v>
      </c>
      <c r="B117" s="900"/>
      <c r="C117" s="900" t="s">
        <v>1293</v>
      </c>
      <c r="D117" t="s">
        <v>224</v>
      </c>
      <c r="E117" t="s">
        <v>237</v>
      </c>
      <c r="F117" t="s">
        <v>1289</v>
      </c>
      <c r="G117">
        <v>-3.4184043322775114E-3</v>
      </c>
      <c r="H117">
        <v>0</v>
      </c>
      <c r="I117">
        <v>0</v>
      </c>
      <c r="J117">
        <v>0</v>
      </c>
      <c r="K117">
        <v>0</v>
      </c>
      <c r="L117">
        <v>0</v>
      </c>
      <c r="M117">
        <v>0</v>
      </c>
      <c r="N117">
        <v>0</v>
      </c>
      <c r="O117">
        <v>-2.6706283845918054E-3</v>
      </c>
      <c r="P117">
        <v>0</v>
      </c>
      <c r="Q117">
        <v>0</v>
      </c>
      <c r="R117">
        <v>0</v>
      </c>
      <c r="S117">
        <v>0</v>
      </c>
      <c r="T117">
        <v>0</v>
      </c>
      <c r="U117">
        <f t="shared" si="4"/>
        <v>-4.3493090834780836E-4</v>
      </c>
      <c r="V117" t="str">
        <f t="shared" si="5"/>
        <v>2017/18Outputs - reliabilityInterruption Incentive Scheme (IIS)Regulation 7 Severe Weather Conditions Adjustment</v>
      </c>
    </row>
    <row r="118" spans="1:22">
      <c r="A118" s="900" t="s">
        <v>139</v>
      </c>
      <c r="B118" s="900"/>
      <c r="C118" s="900" t="s">
        <v>1293</v>
      </c>
      <c r="D118" t="s">
        <v>224</v>
      </c>
      <c r="E118" t="s">
        <v>238</v>
      </c>
      <c r="F118" t="s">
        <v>1289</v>
      </c>
      <c r="G118">
        <v>-0.28648364807193216</v>
      </c>
      <c r="H118">
        <v>0</v>
      </c>
      <c r="I118">
        <v>-7.0931889894758363E-2</v>
      </c>
      <c r="J118">
        <v>0</v>
      </c>
      <c r="K118">
        <v>0</v>
      </c>
      <c r="L118">
        <v>0</v>
      </c>
      <c r="M118">
        <v>0</v>
      </c>
      <c r="N118">
        <v>-6.6164436709921337E-2</v>
      </c>
      <c r="O118">
        <v>-0.40398519270052113</v>
      </c>
      <c r="P118">
        <v>-0.5132123675569632</v>
      </c>
      <c r="Q118">
        <v>0</v>
      </c>
      <c r="R118">
        <v>0</v>
      </c>
      <c r="S118">
        <v>0</v>
      </c>
      <c r="T118">
        <v>0</v>
      </c>
      <c r="U118">
        <f t="shared" si="4"/>
        <v>-9.5769823923864017E-2</v>
      </c>
      <c r="V118" t="str">
        <f t="shared" si="5"/>
        <v>2017/18Outputs - reliabilityInterruption Incentive Scheme (IIS)Normal weather conditions adjustment</v>
      </c>
    </row>
    <row r="119" spans="1:22">
      <c r="A119" s="900" t="s">
        <v>140</v>
      </c>
      <c r="B119" s="900"/>
      <c r="C119" s="900" t="s">
        <v>1293</v>
      </c>
      <c r="D119" t="s">
        <v>224</v>
      </c>
      <c r="E119" t="s">
        <v>774</v>
      </c>
      <c r="F119" t="s">
        <v>1294</v>
      </c>
      <c r="G119">
        <f t="array" ref="G119:T130">TRANSPOSE('Ch2 outputs - reliability'!J112:U125)</f>
        <v>0.93697795360739022</v>
      </c>
      <c r="H119">
        <v>1.8907115731806015</v>
      </c>
      <c r="I119">
        <v>1.0563488680753053</v>
      </c>
      <c r="J119">
        <v>2.566582049219416</v>
      </c>
      <c r="K119">
        <v>0.88021089400868269</v>
      </c>
      <c r="L119">
        <v>3.3815340319841942</v>
      </c>
      <c r="M119">
        <v>3.4440879461077953</v>
      </c>
      <c r="N119">
        <v>0.11864114224595847</v>
      </c>
      <c r="O119">
        <v>1.1694282626436785</v>
      </c>
      <c r="P119">
        <v>1.9280746547251943</v>
      </c>
      <c r="Q119">
        <v>1.0657105810656506</v>
      </c>
      <c r="R119">
        <v>1.6360450314922881</v>
      </c>
      <c r="S119">
        <v>4.2977422703725026</v>
      </c>
      <c r="T119">
        <v>1.4603218787035672</v>
      </c>
      <c r="U119">
        <f t="shared" si="4"/>
        <v>1.8451726526737304</v>
      </c>
      <c r="V119" t="str">
        <f t="shared" si="5"/>
        <v>2018/19Outputs - reliabilityInterruption Incentive Scheme (IIS)CI performance planned</v>
      </c>
    </row>
    <row r="120" spans="1:22">
      <c r="A120" s="900" t="s">
        <v>140</v>
      </c>
      <c r="B120" s="900"/>
      <c r="C120" s="900" t="s">
        <v>1293</v>
      </c>
      <c r="D120" t="s">
        <v>224</v>
      </c>
      <c r="E120" t="s">
        <v>776</v>
      </c>
      <c r="F120" t="s">
        <v>1294</v>
      </c>
      <c r="G120">
        <v>1.8704460820911575</v>
      </c>
      <c r="H120">
        <v>3.0820800679793372</v>
      </c>
      <c r="I120">
        <v>1.4854764967266993</v>
      </c>
      <c r="J120">
        <v>2.3788767786888538</v>
      </c>
      <c r="K120">
        <v>0.9515548137123212</v>
      </c>
      <c r="L120">
        <v>3.694929230782579</v>
      </c>
      <c r="M120">
        <v>3.680367983377423</v>
      </c>
      <c r="N120">
        <v>0.43425533803664473</v>
      </c>
      <c r="O120">
        <v>1.2258316265636076</v>
      </c>
      <c r="P120">
        <v>1.7884509146615726</v>
      </c>
      <c r="Q120">
        <v>1.4950749463349666</v>
      </c>
      <c r="R120">
        <v>2.3258074915123834</v>
      </c>
      <c r="S120">
        <v>4.3804245233287569</v>
      </c>
      <c r="T120">
        <v>1.6907916714012323</v>
      </c>
      <c r="U120">
        <f t="shared" si="4"/>
        <v>2.177454854656967</v>
      </c>
      <c r="V120" t="str">
        <f t="shared" si="5"/>
        <v>2018/19Outputs - reliabilityInterruption Incentive Scheme (IIS)CI target planned</v>
      </c>
    </row>
    <row r="121" spans="1:22">
      <c r="A121" s="900" t="s">
        <v>140</v>
      </c>
      <c r="B121" s="900"/>
      <c r="C121" s="900" t="s">
        <v>1293</v>
      </c>
      <c r="D121" t="s">
        <v>224</v>
      </c>
      <c r="E121" t="s">
        <v>778</v>
      </c>
      <c r="F121" t="s">
        <v>1289</v>
      </c>
      <c r="G121">
        <v>0.31510931442332518</v>
      </c>
      <c r="H121">
        <v>0.25067551131599092</v>
      </c>
      <c r="I121">
        <v>0.13167674356064385</v>
      </c>
      <c r="J121">
        <v>-7.8391188847009546E-2</v>
      </c>
      <c r="K121">
        <v>3.1363472761905445E-2</v>
      </c>
      <c r="L121">
        <v>5.8552905060073601E-2</v>
      </c>
      <c r="M121">
        <v>6.2322585110585395E-2</v>
      </c>
      <c r="N121">
        <v>9.2405524458585866E-2</v>
      </c>
      <c r="O121">
        <v>1.6513776926897435E-2</v>
      </c>
      <c r="P121">
        <v>-6.4238489402898627E-2</v>
      </c>
      <c r="Q121">
        <v>0.11180226976097384</v>
      </c>
      <c r="R121">
        <v>0.13325708823982885</v>
      </c>
      <c r="S121">
        <v>8.7967142087509945E-3</v>
      </c>
      <c r="T121">
        <v>9.3993706902725932E-2</v>
      </c>
      <c r="U121">
        <f t="shared" si="4"/>
        <v>8.3131423891455655E-2</v>
      </c>
      <c r="V121" t="str">
        <f t="shared" si="5"/>
        <v>2018/19Outputs - reliabilityInterruption Incentive Scheme (IIS)CI reward/penalty planned</v>
      </c>
    </row>
    <row r="122" spans="1:22">
      <c r="A122" s="900" t="s">
        <v>140</v>
      </c>
      <c r="B122" s="900"/>
      <c r="C122" s="900" t="s">
        <v>1293</v>
      </c>
      <c r="D122" t="s">
        <v>224</v>
      </c>
      <c r="E122" t="s">
        <v>780</v>
      </c>
      <c r="F122" t="s">
        <v>1294</v>
      </c>
      <c r="G122">
        <v>2.3454663287127917</v>
      </c>
      <c r="H122">
        <v>4.2584051235779636</v>
      </c>
      <c r="I122">
        <v>2.3846641811481666</v>
      </c>
      <c r="J122">
        <v>5.2607929393403694</v>
      </c>
      <c r="K122">
        <v>1.6439465211554181</v>
      </c>
      <c r="L122">
        <v>5.4633023733270525</v>
      </c>
      <c r="M122">
        <v>7.8431567404353464</v>
      </c>
      <c r="N122">
        <v>0.28698094235226457</v>
      </c>
      <c r="O122">
        <v>2.5680547535180414</v>
      </c>
      <c r="P122">
        <v>5.2673709914484661</v>
      </c>
      <c r="Q122">
        <v>3.0912312165086853</v>
      </c>
      <c r="R122">
        <v>5.3158777339106429</v>
      </c>
      <c r="S122">
        <v>9.3108207076024243</v>
      </c>
      <c r="T122">
        <v>3.6856219776601633</v>
      </c>
      <c r="U122">
        <f t="shared" si="4"/>
        <v>4.194692323621271</v>
      </c>
      <c r="V122" t="str">
        <f t="shared" si="5"/>
        <v>2018/19Outputs - reliabilityInterruption Incentive Scheme (IIS)CML performance planned</v>
      </c>
    </row>
    <row r="123" spans="1:22">
      <c r="A123" s="900" t="s">
        <v>140</v>
      </c>
      <c r="B123" s="900"/>
      <c r="C123" s="900" t="s">
        <v>1293</v>
      </c>
      <c r="D123" t="s">
        <v>224</v>
      </c>
      <c r="E123" t="s">
        <v>782</v>
      </c>
      <c r="F123" t="s">
        <v>1294</v>
      </c>
      <c r="G123">
        <v>4.7027745682656574</v>
      </c>
      <c r="H123">
        <v>7.4068465369595726</v>
      </c>
      <c r="I123">
        <v>3.851586269606424</v>
      </c>
      <c r="J123">
        <v>4.0833745206867107</v>
      </c>
      <c r="K123">
        <v>1.5119458499798313</v>
      </c>
      <c r="L123">
        <v>6.0447792769980895</v>
      </c>
      <c r="M123">
        <v>8.6273154005411126</v>
      </c>
      <c r="N123">
        <v>0.92425530806976852</v>
      </c>
      <c r="O123">
        <v>2.6795434871563244</v>
      </c>
      <c r="P123">
        <v>4.7110089907425774</v>
      </c>
      <c r="Q123">
        <v>3.7187470062022592</v>
      </c>
      <c r="R123">
        <v>7.5027184080193026</v>
      </c>
      <c r="S123">
        <v>8.8494778432363308</v>
      </c>
      <c r="T123">
        <v>4.2179091685917891</v>
      </c>
      <c r="U123">
        <f t="shared" si="4"/>
        <v>4.9165916167896961</v>
      </c>
      <c r="V123" t="str">
        <f t="shared" si="5"/>
        <v>2018/19Outputs - reliabilityInterruption Incentive Scheme (IIS)CML target planned</v>
      </c>
    </row>
    <row r="124" spans="1:22">
      <c r="A124" s="900" t="s">
        <v>140</v>
      </c>
      <c r="B124" s="900"/>
      <c r="C124" s="900" t="s">
        <v>1293</v>
      </c>
      <c r="D124" t="s">
        <v>224</v>
      </c>
      <c r="E124" t="s">
        <v>784</v>
      </c>
      <c r="F124" t="s">
        <v>1289</v>
      </c>
      <c r="G124">
        <v>1.9141078450313052</v>
      </c>
      <c r="H124">
        <v>1.6561566899609974</v>
      </c>
      <c r="I124">
        <v>1.1060125523845581</v>
      </c>
      <c r="J124">
        <v>-1.2034303522386101</v>
      </c>
      <c r="K124">
        <v>-0.1436211900553187</v>
      </c>
      <c r="L124">
        <v>0.26840397697528351</v>
      </c>
      <c r="M124">
        <v>0.50846743278359785</v>
      </c>
      <c r="N124">
        <v>0.45845663639092943</v>
      </c>
      <c r="O124">
        <v>7.9272630811359837E-2</v>
      </c>
      <c r="P124">
        <v>-0.62364238202049005</v>
      </c>
      <c r="Q124">
        <v>0.39532005805041109</v>
      </c>
      <c r="R124">
        <v>1.0286511096681941</v>
      </c>
      <c r="S124">
        <v>-0.11452723446209555</v>
      </c>
      <c r="T124">
        <v>0.52855595805744415</v>
      </c>
      <c r="U124">
        <f t="shared" si="4"/>
        <v>0.41844169509554041</v>
      </c>
      <c r="V124" t="str">
        <f t="shared" si="5"/>
        <v>2018/19Outputs - reliabilityInterruption Incentive Scheme (IIS)CML reward/penalty planned</v>
      </c>
    </row>
    <row r="125" spans="1:22">
      <c r="A125" s="900" t="s">
        <v>140</v>
      </c>
      <c r="B125" s="900"/>
      <c r="C125" s="900" t="s">
        <v>1293</v>
      </c>
      <c r="D125" t="s">
        <v>224</v>
      </c>
      <c r="E125" t="s">
        <v>786</v>
      </c>
      <c r="F125" t="s">
        <v>1294</v>
      </c>
      <c r="G125">
        <v>32.662857582192409</v>
      </c>
      <c r="H125">
        <v>52.393450787524124</v>
      </c>
      <c r="I125">
        <v>48.246775236277436</v>
      </c>
      <c r="J125">
        <v>52.804177243847576</v>
      </c>
      <c r="K125">
        <v>38.891143798311539</v>
      </c>
      <c r="L125">
        <v>37.909514049772724</v>
      </c>
      <c r="M125">
        <v>48.020695374942051</v>
      </c>
      <c r="N125">
        <v>13.976287039043644</v>
      </c>
      <c r="O125">
        <v>43.187106352719248</v>
      </c>
      <c r="P125">
        <v>39.494429783609377</v>
      </c>
      <c r="Q125">
        <v>48.269025392820076</v>
      </c>
      <c r="R125">
        <v>34.507943330412786</v>
      </c>
      <c r="S125">
        <v>65.06981847709892</v>
      </c>
      <c r="T125">
        <v>50.641368193095929</v>
      </c>
      <c r="U125">
        <f t="shared" si="4"/>
        <v>43.291042331547708</v>
      </c>
      <c r="V125" t="str">
        <f t="shared" si="5"/>
        <v>2018/19Outputs - reliabilityInterruption Incentive Scheme (IIS)CI performance unplanned</v>
      </c>
    </row>
    <row r="126" spans="1:22">
      <c r="A126" s="900" t="s">
        <v>140</v>
      </c>
      <c r="B126" s="900"/>
      <c r="C126" s="900" t="s">
        <v>1293</v>
      </c>
      <c r="D126" t="s">
        <v>224</v>
      </c>
      <c r="E126" t="s">
        <v>788</v>
      </c>
      <c r="F126" t="s">
        <v>1294</v>
      </c>
      <c r="G126">
        <v>45.3</v>
      </c>
      <c r="H126">
        <v>58.3</v>
      </c>
      <c r="I126">
        <v>63.7</v>
      </c>
      <c r="J126">
        <v>81.7</v>
      </c>
      <c r="K126">
        <v>50.1</v>
      </c>
      <c r="L126">
        <v>49.4</v>
      </c>
      <c r="M126">
        <v>54.8</v>
      </c>
      <c r="N126">
        <v>26.6</v>
      </c>
      <c r="O126">
        <v>62.4</v>
      </c>
      <c r="P126">
        <v>65.400000000000006</v>
      </c>
      <c r="Q126">
        <v>49.6</v>
      </c>
      <c r="R126">
        <v>34.700000000000003</v>
      </c>
      <c r="S126">
        <v>65.900000000000006</v>
      </c>
      <c r="T126">
        <v>57.7</v>
      </c>
      <c r="U126">
        <f t="shared" si="4"/>
        <v>54.685714285714297</v>
      </c>
      <c r="V126" t="str">
        <f t="shared" si="5"/>
        <v>2018/19Outputs - reliabilityInterruption Incentive Scheme (IIS)CI target unplanned</v>
      </c>
    </row>
    <row r="127" spans="1:22">
      <c r="A127" s="900" t="s">
        <v>140</v>
      </c>
      <c r="B127" s="900"/>
      <c r="C127" s="900" t="s">
        <v>1293</v>
      </c>
      <c r="D127" t="s">
        <v>224</v>
      </c>
      <c r="E127" t="s">
        <v>790</v>
      </c>
      <c r="F127" t="s">
        <v>1289</v>
      </c>
      <c r="G127">
        <v>4.2658995653267437</v>
      </c>
      <c r="H127">
        <v>1.2427953655099662</v>
      </c>
      <c r="I127">
        <v>4.7417835127336936</v>
      </c>
      <c r="J127">
        <v>12.06773732119815</v>
      </c>
      <c r="K127">
        <v>4.9275209104587807</v>
      </c>
      <c r="L127">
        <v>2.1468144231864819</v>
      </c>
      <c r="M127">
        <v>1.7881484799480747</v>
      </c>
      <c r="N127">
        <v>3.6959706893077686</v>
      </c>
      <c r="O127">
        <v>5.6251510151382158</v>
      </c>
      <c r="P127">
        <v>11.918708788801721</v>
      </c>
      <c r="Q127">
        <v>0.3465727342873427</v>
      </c>
      <c r="R127">
        <v>3.7103951069598344E-2</v>
      </c>
      <c r="S127">
        <v>8.8324511454838273E-2</v>
      </c>
      <c r="T127">
        <v>2.8787589099051676</v>
      </c>
      <c r="U127">
        <f t="shared" si="4"/>
        <v>3.9836635841661812</v>
      </c>
      <c r="V127" t="str">
        <f t="shared" si="5"/>
        <v>2018/19Outputs - reliabilityInterruption Incentive Scheme (IIS)CI reward/penalty unplanned</v>
      </c>
    </row>
    <row r="128" spans="1:22">
      <c r="A128" s="900" t="s">
        <v>140</v>
      </c>
      <c r="B128" s="900"/>
      <c r="C128" s="900" t="s">
        <v>1293</v>
      </c>
      <c r="D128" t="s">
        <v>224</v>
      </c>
      <c r="E128" t="s">
        <v>792</v>
      </c>
      <c r="F128" t="s">
        <v>1294</v>
      </c>
      <c r="G128">
        <v>30.617537934152477</v>
      </c>
      <c r="H128">
        <v>43.373246923689017</v>
      </c>
      <c r="I128">
        <v>36.387480724870429</v>
      </c>
      <c r="J128">
        <v>27.036561882328762</v>
      </c>
      <c r="K128">
        <v>21.273217280940354</v>
      </c>
      <c r="L128">
        <v>19.406920211774878</v>
      </c>
      <c r="M128">
        <v>32.381808610266042</v>
      </c>
      <c r="N128">
        <v>15.629812444548312</v>
      </c>
      <c r="O128">
        <v>34.119790413420709</v>
      </c>
      <c r="P128">
        <v>29.543805182570477</v>
      </c>
      <c r="Q128">
        <v>31.918940373886741</v>
      </c>
      <c r="R128">
        <v>30.285177242765581</v>
      </c>
      <c r="S128">
        <v>49.757648296903191</v>
      </c>
      <c r="T128">
        <v>46.260854730619997</v>
      </c>
      <c r="U128">
        <f t="shared" si="4"/>
        <v>31.999485875195496</v>
      </c>
      <c r="V128" t="str">
        <f t="shared" si="5"/>
        <v>2018/19Outputs - reliabilityInterruption Incentive Scheme (IIS)CML performance unplanned</v>
      </c>
    </row>
    <row r="129" spans="1:22">
      <c r="A129" s="900" t="s">
        <v>140</v>
      </c>
      <c r="B129" s="900"/>
      <c r="C129" s="900" t="s">
        <v>1293</v>
      </c>
      <c r="D129" t="s">
        <v>224</v>
      </c>
      <c r="E129" t="s">
        <v>794</v>
      </c>
      <c r="F129" t="s">
        <v>1294</v>
      </c>
      <c r="G129">
        <v>38.299999999999997</v>
      </c>
      <c r="H129">
        <v>51.7</v>
      </c>
      <c r="I129">
        <v>54.1</v>
      </c>
      <c r="J129">
        <v>48.7</v>
      </c>
      <c r="K129">
        <v>36.5</v>
      </c>
      <c r="L129">
        <v>27.4</v>
      </c>
      <c r="M129">
        <v>35.200000000000003</v>
      </c>
      <c r="N129">
        <v>36.799999999999997</v>
      </c>
      <c r="O129">
        <v>42.6</v>
      </c>
      <c r="P129">
        <v>44.9</v>
      </c>
      <c r="Q129">
        <v>39.700000000000003</v>
      </c>
      <c r="R129">
        <v>32.799999999999997</v>
      </c>
      <c r="S129">
        <v>50.5</v>
      </c>
      <c r="T129">
        <v>45.3</v>
      </c>
      <c r="U129">
        <f t="shared" si="4"/>
        <v>41.75</v>
      </c>
      <c r="V129" t="str">
        <f t="shared" si="5"/>
        <v>2018/19Outputs - reliabilityInterruption Incentive Scheme (IIS)CML target unplanned</v>
      </c>
    </row>
    <row r="130" spans="1:22">
      <c r="A130" s="900" t="s">
        <v>140</v>
      </c>
      <c r="B130" s="900"/>
      <c r="C130" s="900" t="s">
        <v>1293</v>
      </c>
      <c r="D130" t="s">
        <v>224</v>
      </c>
      <c r="E130" t="s">
        <v>796</v>
      </c>
      <c r="F130" t="s">
        <v>1289</v>
      </c>
      <c r="G130">
        <v>6.2380730116920997</v>
      </c>
      <c r="H130">
        <v>4.3800744566417249</v>
      </c>
      <c r="I130">
        <v>13.354675621004665</v>
      </c>
      <c r="J130">
        <v>22.142034260394166</v>
      </c>
      <c r="K130">
        <v>16.567254055217013</v>
      </c>
      <c r="L130">
        <v>3.6895264281280848</v>
      </c>
      <c r="M130">
        <v>1.8273834288045629</v>
      </c>
      <c r="N130">
        <v>15.229881351825586</v>
      </c>
      <c r="O130">
        <v>6.0297440092997672</v>
      </c>
      <c r="P130">
        <v>17.213206334296455</v>
      </c>
      <c r="Q130">
        <v>4.9018829384211502</v>
      </c>
      <c r="R130">
        <v>1.1829280708355221</v>
      </c>
      <c r="S130">
        <v>0.18428698939719126</v>
      </c>
      <c r="T130">
        <v>-0.95411932007606459</v>
      </c>
      <c r="U130">
        <f t="shared" si="4"/>
        <v>7.9990594025629944</v>
      </c>
      <c r="V130" t="str">
        <f t="shared" si="5"/>
        <v>2018/19Outputs - reliabilityInterruption Incentive Scheme (IIS)CML reward/penalty unplanned</v>
      </c>
    </row>
    <row r="131" spans="1:22">
      <c r="A131" s="900" t="s">
        <v>140</v>
      </c>
      <c r="B131" s="900"/>
      <c r="C131" s="900" t="s">
        <v>1293</v>
      </c>
      <c r="D131" t="s">
        <v>224</v>
      </c>
      <c r="E131" t="s">
        <v>798</v>
      </c>
      <c r="F131" t="s">
        <v>1289</v>
      </c>
      <c r="G131">
        <f t="array" ref="G131:T133">TRANSPOSE('Ch2 outputs - reliability'!E112:G125)</f>
        <v>12.73318955777486</v>
      </c>
      <c r="H131">
        <v>7.3611701116273105</v>
      </c>
      <c r="I131">
        <v>17.144205740022482</v>
      </c>
      <c r="J131">
        <v>22.50958209870236</v>
      </c>
      <c r="K131">
        <v>21.382517248382381</v>
      </c>
      <c r="L131">
        <v>6.1632977333499239</v>
      </c>
      <c r="M131">
        <v>4.186321926646821</v>
      </c>
      <c r="N131">
        <v>16.78680698752899</v>
      </c>
      <c r="O131">
        <v>11.750681281064455</v>
      </c>
      <c r="P131">
        <v>25.816074281005143</v>
      </c>
      <c r="Q131">
        <v>5.7555780005198782</v>
      </c>
      <c r="R131">
        <v>2.3819402198131434</v>
      </c>
      <c r="S131">
        <v>0.16688098059868497</v>
      </c>
      <c r="T131">
        <v>2.5471892500584459</v>
      </c>
      <c r="U131">
        <f t="shared" si="4"/>
        <v>11.191816815506774</v>
      </c>
      <c r="V131" t="str">
        <f t="shared" si="5"/>
        <v>2018/19Outputs - reliabilityInterruption Incentive Scheme (IIS)IIS total reward</v>
      </c>
    </row>
    <row r="132" spans="1:22">
      <c r="A132" s="900" t="s">
        <v>140</v>
      </c>
      <c r="B132" s="900"/>
      <c r="C132" s="900" t="s">
        <v>1293</v>
      </c>
      <c r="D132" t="s">
        <v>224</v>
      </c>
      <c r="E132" t="s">
        <v>237</v>
      </c>
      <c r="F132" t="s">
        <v>1289</v>
      </c>
      <c r="G132">
        <v>0</v>
      </c>
      <c r="H132">
        <v>-1.0873272708695206E-2</v>
      </c>
      <c r="I132">
        <v>0</v>
      </c>
      <c r="J132">
        <v>0</v>
      </c>
      <c r="K132">
        <v>0</v>
      </c>
      <c r="L132">
        <v>0</v>
      </c>
      <c r="M132">
        <v>0</v>
      </c>
      <c r="N132">
        <v>0</v>
      </c>
      <c r="O132">
        <v>-4.578220087871682E-11</v>
      </c>
      <c r="P132">
        <v>-1.2819016246040667E-9</v>
      </c>
      <c r="Q132">
        <v>0</v>
      </c>
      <c r="R132">
        <v>0</v>
      </c>
      <c r="S132">
        <v>0</v>
      </c>
      <c r="T132">
        <v>0</v>
      </c>
      <c r="U132">
        <f t="shared" si="4"/>
        <v>-7.7666243116993083E-4</v>
      </c>
      <c r="V132" t="str">
        <f t="shared" si="5"/>
        <v>2018/19Outputs - reliabilityInterruption Incentive Scheme (IIS)Regulation 7 Severe Weather Conditions Adjustment</v>
      </c>
    </row>
    <row r="133" spans="1:22">
      <c r="A133" s="900" t="s">
        <v>140</v>
      </c>
      <c r="B133" s="900"/>
      <c r="C133" s="900" t="s">
        <v>1293</v>
      </c>
      <c r="D133" t="s">
        <v>224</v>
      </c>
      <c r="E133" t="s">
        <v>238</v>
      </c>
      <c r="F133" t="s">
        <v>1289</v>
      </c>
      <c r="G133">
        <v>-1.7869861254316959E-7</v>
      </c>
      <c r="H133">
        <v>-0.15765863909267394</v>
      </c>
      <c r="I133">
        <v>-2.4119589496270542E-2</v>
      </c>
      <c r="J133">
        <v>0</v>
      </c>
      <c r="K133">
        <v>0</v>
      </c>
      <c r="L133">
        <v>0</v>
      </c>
      <c r="M133">
        <v>0</v>
      </c>
      <c r="N133">
        <v>-1.3337881189332765E-9</v>
      </c>
      <c r="O133">
        <v>-1.510660021661387E-7</v>
      </c>
      <c r="P133">
        <v>-1.0210041225298863E-7</v>
      </c>
      <c r="Q133">
        <v>0</v>
      </c>
      <c r="R133">
        <v>0</v>
      </c>
      <c r="S133">
        <v>0</v>
      </c>
      <c r="T133">
        <v>-4.7308274241340878E-9</v>
      </c>
      <c r="U133">
        <f t="shared" si="4"/>
        <v>-1.2984190465613358E-2</v>
      </c>
      <c r="V133" t="str">
        <f t="shared" si="5"/>
        <v>2018/19Outputs - reliabilityInterruption Incentive Scheme (IIS)Normal weather conditions adjustment</v>
      </c>
    </row>
    <row r="134" spans="1:22">
      <c r="A134" s="900" t="s">
        <v>141</v>
      </c>
      <c r="B134" s="900"/>
      <c r="C134" s="900" t="s">
        <v>1293</v>
      </c>
      <c r="D134" t="s">
        <v>224</v>
      </c>
      <c r="E134" t="s">
        <v>774</v>
      </c>
      <c r="F134" t="s">
        <v>1294</v>
      </c>
      <c r="G134">
        <f t="array" ref="G134:T145">TRANSPOSE('Ch2 outputs - reliability'!J131:U144)</f>
        <v>1.2827564940003291</v>
      </c>
      <c r="H134">
        <v>1.4239331520591996</v>
      </c>
      <c r="I134">
        <v>0.98440972827419715</v>
      </c>
      <c r="J134">
        <v>2.2526384551003327</v>
      </c>
      <c r="K134">
        <v>0.68424697568013904</v>
      </c>
      <c r="L134">
        <v>2.8972697861526466</v>
      </c>
      <c r="M134">
        <v>3.4165097695684494</v>
      </c>
      <c r="N134">
        <v>5.0460986756048667E-2</v>
      </c>
      <c r="O134">
        <v>1.0830145303223735</v>
      </c>
      <c r="P134">
        <v>1.6595122907269761</v>
      </c>
      <c r="Q134">
        <v>1.1594860271664527</v>
      </c>
      <c r="R134">
        <v>1.6848002411229062</v>
      </c>
      <c r="S134">
        <v>3.5983648036639848</v>
      </c>
      <c r="T134">
        <v>1.5374602840950433</v>
      </c>
      <c r="U134">
        <f t="shared" si="4"/>
        <v>1.693918823192077</v>
      </c>
      <c r="V134" t="str">
        <f t="shared" si="5"/>
        <v>2019/20Outputs - reliabilityInterruption Incentive Scheme (IIS)CI performance planned</v>
      </c>
    </row>
    <row r="135" spans="1:22">
      <c r="A135" s="900" t="s">
        <v>141</v>
      </c>
      <c r="B135" s="900"/>
      <c r="C135" s="900" t="s">
        <v>1293</v>
      </c>
      <c r="D135" t="s">
        <v>224</v>
      </c>
      <c r="E135" t="s">
        <v>776</v>
      </c>
      <c r="F135" t="s">
        <v>1294</v>
      </c>
      <c r="G135">
        <v>1.7655838387347025</v>
      </c>
      <c r="H135">
        <v>2.680861909618971</v>
      </c>
      <c r="I135">
        <v>1.3405828339210297</v>
      </c>
      <c r="J135">
        <v>2.4438858411861322</v>
      </c>
      <c r="K135">
        <v>0.92084743381753142</v>
      </c>
      <c r="L135">
        <v>3.6187268943870978</v>
      </c>
      <c r="M135">
        <v>3.8254989733544793</v>
      </c>
      <c r="N135">
        <v>0.19761647613301028</v>
      </c>
      <c r="O135">
        <v>1.100815532488858</v>
      </c>
      <c r="P135">
        <v>1.5522491689501223</v>
      </c>
      <c r="Q135">
        <v>1.2292929827192494</v>
      </c>
      <c r="R135">
        <v>1.9071590369143721</v>
      </c>
      <c r="S135">
        <v>4.6855684544842333</v>
      </c>
      <c r="T135">
        <v>1.5582781099200176</v>
      </c>
      <c r="U135">
        <f t="shared" si="4"/>
        <v>2.0590691061878439</v>
      </c>
      <c r="V135" t="str">
        <f t="shared" si="5"/>
        <v>2019/20Outputs - reliabilityInterruption Incentive Scheme (IIS)CI target planned</v>
      </c>
    </row>
    <row r="136" spans="1:22">
      <c r="A136" s="900" t="s">
        <v>141</v>
      </c>
      <c r="B136" s="900"/>
      <c r="C136" s="900" t="s">
        <v>1293</v>
      </c>
      <c r="D136" t="s">
        <v>224</v>
      </c>
      <c r="E136" t="s">
        <v>778</v>
      </c>
      <c r="F136" t="s">
        <v>1289</v>
      </c>
      <c r="G136">
        <v>0.16298723967277756</v>
      </c>
      <c r="H136">
        <v>0.26447002784163537</v>
      </c>
      <c r="I136">
        <v>0.10929082996321243</v>
      </c>
      <c r="J136">
        <v>7.9870479485059709E-2</v>
      </c>
      <c r="K136">
        <v>0.10401183527722557</v>
      </c>
      <c r="L136">
        <v>0.1347927783365416</v>
      </c>
      <c r="M136">
        <v>0.10787735077753813</v>
      </c>
      <c r="N136">
        <v>4.3084184280025563E-2</v>
      </c>
      <c r="O136">
        <v>5.2117774264289433E-3</v>
      </c>
      <c r="P136">
        <v>-4.9349923647973623E-2</v>
      </c>
      <c r="Q136">
        <v>1.8177046600061277E-2</v>
      </c>
      <c r="R136">
        <v>4.295810135973796E-2</v>
      </c>
      <c r="S136">
        <v>0.11566955980307501</v>
      </c>
      <c r="T136">
        <v>8.4902433244756163E-3</v>
      </c>
      <c r="U136">
        <f t="shared" si="4"/>
        <v>8.1967252178558631E-2</v>
      </c>
      <c r="V136" t="str">
        <f t="shared" si="5"/>
        <v>2019/20Outputs - reliabilityInterruption Incentive Scheme (IIS)CI reward/penalty planned</v>
      </c>
    </row>
    <row r="137" spans="1:22">
      <c r="A137" s="900" t="s">
        <v>141</v>
      </c>
      <c r="B137" s="900"/>
      <c r="C137" s="900" t="s">
        <v>1293</v>
      </c>
      <c r="D137" t="s">
        <v>224</v>
      </c>
      <c r="E137" t="s">
        <v>780</v>
      </c>
      <c r="F137" t="s">
        <v>1294</v>
      </c>
      <c r="G137">
        <v>3.2050924798451947</v>
      </c>
      <c r="H137">
        <v>2.8955901503582031</v>
      </c>
      <c r="I137">
        <v>1.8845216162726675</v>
      </c>
      <c r="J137">
        <v>4.8335124524833919</v>
      </c>
      <c r="K137">
        <v>1.2817076199429913</v>
      </c>
      <c r="L137">
        <v>4.4543462109630347</v>
      </c>
      <c r="M137">
        <v>8.1259647867048663</v>
      </c>
      <c r="N137">
        <v>0.12200640438772103</v>
      </c>
      <c r="O137">
        <v>2.4270676096717683</v>
      </c>
      <c r="P137">
        <v>4.2855477879647719</v>
      </c>
      <c r="Q137">
        <v>3.4469559104037826</v>
      </c>
      <c r="R137">
        <v>5.0500362934723739</v>
      </c>
      <c r="S137">
        <v>7.8240068188556178</v>
      </c>
      <c r="T137">
        <v>3.5619414508735479</v>
      </c>
      <c r="U137">
        <f t="shared" si="4"/>
        <v>3.8141641137285665</v>
      </c>
      <c r="V137" t="str">
        <f t="shared" si="5"/>
        <v>2019/20Outputs - reliabilityInterruption Incentive Scheme (IIS)CML performance planned</v>
      </c>
    </row>
    <row r="138" spans="1:22">
      <c r="A138" s="900" t="s">
        <v>141</v>
      </c>
      <c r="B138" s="900"/>
      <c r="C138" s="900" t="s">
        <v>1293</v>
      </c>
      <c r="D138" t="s">
        <v>224</v>
      </c>
      <c r="E138" t="s">
        <v>782</v>
      </c>
      <c r="F138" t="s">
        <v>1294</v>
      </c>
      <c r="G138">
        <v>4.4673304163472345</v>
      </c>
      <c r="H138">
        <v>6.3110388216200874</v>
      </c>
      <c r="I138">
        <v>3.4138537580884525</v>
      </c>
      <c r="J138">
        <v>4.3648420039941831</v>
      </c>
      <c r="K138">
        <v>1.537041082476837</v>
      </c>
      <c r="L138">
        <v>5.857316530519757</v>
      </c>
      <c r="M138">
        <v>8.9230560649167074</v>
      </c>
      <c r="N138">
        <v>0.44798493423050778</v>
      </c>
      <c r="O138">
        <v>2.4352392266735343</v>
      </c>
      <c r="P138">
        <v>4.170362106223755</v>
      </c>
      <c r="Q138">
        <v>3.1812777254396614</v>
      </c>
      <c r="R138">
        <v>6.1479408515428249</v>
      </c>
      <c r="S138">
        <v>9.8851347161155712</v>
      </c>
      <c r="T138">
        <v>3.489304228487804</v>
      </c>
      <c r="U138">
        <f t="shared" si="4"/>
        <v>4.6165516047626367</v>
      </c>
      <c r="V138" t="str">
        <f t="shared" si="5"/>
        <v>2019/20Outputs - reliabilityInterruption Incentive Scheme (IIS)CML target planned</v>
      </c>
    </row>
    <row r="139" spans="1:22">
      <c r="A139" s="900" t="s">
        <v>141</v>
      </c>
      <c r="B139" s="900"/>
      <c r="C139" s="900" t="s">
        <v>1293</v>
      </c>
      <c r="D139" t="s">
        <v>224</v>
      </c>
      <c r="E139" t="s">
        <v>784</v>
      </c>
      <c r="F139" t="s">
        <v>1289</v>
      </c>
      <c r="G139">
        <v>1.0249230440109771</v>
      </c>
      <c r="H139">
        <v>1.7966089958311595</v>
      </c>
      <c r="I139">
        <v>1.1530677456709051</v>
      </c>
      <c r="J139">
        <v>-0.47902447759745964</v>
      </c>
      <c r="K139">
        <v>0.27781143401366526</v>
      </c>
      <c r="L139">
        <v>0.64759719770459567</v>
      </c>
      <c r="M139">
        <v>0.5168532550184497</v>
      </c>
      <c r="N139">
        <v>0.23450970000828855</v>
      </c>
      <c r="O139">
        <v>5.8103232189767604E-3</v>
      </c>
      <c r="P139">
        <v>-0.12911498780376987</v>
      </c>
      <c r="Q139">
        <v>-0.16737095261623786</v>
      </c>
      <c r="R139">
        <v>0.51643485295482572</v>
      </c>
      <c r="S139">
        <v>0.51166994480386629</v>
      </c>
      <c r="T139">
        <v>-7.2128049148678805E-2</v>
      </c>
      <c r="U139">
        <f t="shared" ref="U139:U163" si="6">AVERAGE(G139:T139)</f>
        <v>0.41697485900496883</v>
      </c>
      <c r="V139" t="str">
        <f t="shared" si="5"/>
        <v>2019/20Outputs - reliabilityInterruption Incentive Scheme (IIS)CML reward/penalty planned</v>
      </c>
    </row>
    <row r="140" spans="1:22">
      <c r="A140" s="900" t="s">
        <v>141</v>
      </c>
      <c r="B140" s="900"/>
      <c r="C140" s="900" t="s">
        <v>1293</v>
      </c>
      <c r="D140" t="s">
        <v>224</v>
      </c>
      <c r="E140" t="s">
        <v>786</v>
      </c>
      <c r="F140" t="s">
        <v>1294</v>
      </c>
      <c r="G140">
        <v>26.670417112032055</v>
      </c>
      <c r="H140">
        <v>45.546551197526718</v>
      </c>
      <c r="I140">
        <v>49.803321328617947</v>
      </c>
      <c r="J140">
        <v>46.231441302754597</v>
      </c>
      <c r="K140">
        <v>37.218548611585263</v>
      </c>
      <c r="L140">
        <v>40.624034982861225</v>
      </c>
      <c r="M140">
        <v>42.679714448304381</v>
      </c>
      <c r="N140">
        <v>13.149529558404108</v>
      </c>
      <c r="O140">
        <v>43.955187753811252</v>
      </c>
      <c r="P140">
        <v>42.122941759675378</v>
      </c>
      <c r="Q140">
        <v>43.368984676113165</v>
      </c>
      <c r="R140">
        <v>30.536992031230152</v>
      </c>
      <c r="S140">
        <v>59.574767167261314</v>
      </c>
      <c r="T140">
        <v>45.617356477027428</v>
      </c>
      <c r="U140">
        <f t="shared" si="6"/>
        <v>40.507127743371782</v>
      </c>
      <c r="V140" t="str">
        <f t="shared" si="5"/>
        <v>2019/20Outputs - reliabilityInterruption Incentive Scheme (IIS)CI performance unplanned</v>
      </c>
    </row>
    <row r="141" spans="1:22">
      <c r="A141" s="900" t="s">
        <v>141</v>
      </c>
      <c r="B141" s="900"/>
      <c r="C141" s="900" t="s">
        <v>1293</v>
      </c>
      <c r="D141" t="s">
        <v>224</v>
      </c>
      <c r="E141" t="s">
        <v>788</v>
      </c>
      <c r="F141" t="s">
        <v>1294</v>
      </c>
      <c r="G141">
        <v>45.1</v>
      </c>
      <c r="H141">
        <v>58</v>
      </c>
      <c r="I141">
        <v>62.7</v>
      </c>
      <c r="J141">
        <v>80</v>
      </c>
      <c r="K141">
        <v>49.9</v>
      </c>
      <c r="L141">
        <v>49.1</v>
      </c>
      <c r="M141">
        <v>54.6</v>
      </c>
      <c r="N141">
        <v>26.5</v>
      </c>
      <c r="O141">
        <v>62.1</v>
      </c>
      <c r="P141">
        <v>65.099999999999994</v>
      </c>
      <c r="Q141">
        <v>49.4</v>
      </c>
      <c r="R141">
        <v>34.5</v>
      </c>
      <c r="S141">
        <v>65.3</v>
      </c>
      <c r="T141">
        <v>57.4</v>
      </c>
      <c r="U141">
        <f t="shared" si="6"/>
        <v>54.264285714285712</v>
      </c>
      <c r="V141" t="str">
        <f t="shared" si="5"/>
        <v>2019/20Outputs - reliabilityInterruption Incentive Scheme (IIS)CI target unplanned</v>
      </c>
    </row>
    <row r="142" spans="1:22">
      <c r="A142" s="900" t="s">
        <v>141</v>
      </c>
      <c r="B142" s="900"/>
      <c r="C142" s="900" t="s">
        <v>1293</v>
      </c>
      <c r="D142" t="s">
        <v>224</v>
      </c>
      <c r="E142" t="s">
        <v>790</v>
      </c>
      <c r="F142" t="s">
        <v>1289</v>
      </c>
      <c r="G142">
        <v>6.2212442521934621</v>
      </c>
      <c r="H142">
        <v>2.6203266746069893</v>
      </c>
      <c r="I142">
        <v>3.9573137146458195</v>
      </c>
      <c r="J142">
        <v>14.102733793487594</v>
      </c>
      <c r="K142">
        <v>5.5748879071146593</v>
      </c>
      <c r="L142">
        <v>1.5835991643902294</v>
      </c>
      <c r="M142">
        <v>3.1441632540047313</v>
      </c>
      <c r="N142">
        <v>3.9087507449844621</v>
      </c>
      <c r="O142">
        <v>5.312438141798947</v>
      </c>
      <c r="P142">
        <v>10.57135062854146</v>
      </c>
      <c r="Q142">
        <v>1.5704172416609943</v>
      </c>
      <c r="R142">
        <v>0.76562430285655592</v>
      </c>
      <c r="S142">
        <v>0.60911786033220883</v>
      </c>
      <c r="T142">
        <v>4.8053774374259079</v>
      </c>
      <c r="U142">
        <f t="shared" si="6"/>
        <v>4.6248103655745734</v>
      </c>
      <c r="V142" t="str">
        <f t="shared" si="5"/>
        <v>2019/20Outputs - reliabilityInterruption Incentive Scheme (IIS)CI reward/penalty unplanned</v>
      </c>
    </row>
    <row r="143" spans="1:22">
      <c r="A143" s="900" t="s">
        <v>141</v>
      </c>
      <c r="B143" s="900"/>
      <c r="C143" s="900" t="s">
        <v>1293</v>
      </c>
      <c r="D143" t="s">
        <v>224</v>
      </c>
      <c r="E143" t="s">
        <v>792</v>
      </c>
      <c r="F143" t="s">
        <v>1294</v>
      </c>
      <c r="G143">
        <v>23.940999743758439</v>
      </c>
      <c r="H143">
        <v>41.208388763486894</v>
      </c>
      <c r="I143">
        <v>40.217948657676153</v>
      </c>
      <c r="J143">
        <v>24.169043567781291</v>
      </c>
      <c r="K143">
        <v>21.276524690139926</v>
      </c>
      <c r="L143">
        <v>18.965628393733954</v>
      </c>
      <c r="M143">
        <v>30.091173962714254</v>
      </c>
      <c r="N143">
        <v>14.264530287777482</v>
      </c>
      <c r="O143">
        <v>30.424029112126277</v>
      </c>
      <c r="P143">
        <v>29.480772615665781</v>
      </c>
      <c r="Q143">
        <v>30.270895166032428</v>
      </c>
      <c r="R143">
        <v>28.792940077930606</v>
      </c>
      <c r="S143">
        <v>47.769020594579672</v>
      </c>
      <c r="T143">
        <v>42.350840497691834</v>
      </c>
      <c r="U143">
        <f t="shared" si="6"/>
        <v>30.230195437935354</v>
      </c>
      <c r="V143" t="str">
        <f t="shared" si="5"/>
        <v>2019/20Outputs - reliabilityInterruption Incentive Scheme (IIS)CML performance unplanned</v>
      </c>
    </row>
    <row r="144" spans="1:22">
      <c r="A144" s="900" t="s">
        <v>141</v>
      </c>
      <c r="B144" s="900"/>
      <c r="C144" s="900" t="s">
        <v>1293</v>
      </c>
      <c r="D144" t="s">
        <v>224</v>
      </c>
      <c r="E144" t="s">
        <v>794</v>
      </c>
      <c r="F144" t="s">
        <v>1294</v>
      </c>
      <c r="G144">
        <v>37.6</v>
      </c>
      <c r="H144">
        <v>50.7</v>
      </c>
      <c r="I144">
        <v>53</v>
      </c>
      <c r="J144">
        <v>47.9</v>
      </c>
      <c r="K144">
        <v>35.700000000000003</v>
      </c>
      <c r="L144">
        <v>27.3</v>
      </c>
      <c r="M144">
        <v>35</v>
      </c>
      <c r="N144">
        <v>36.200000000000003</v>
      </c>
      <c r="O144">
        <v>41.6</v>
      </c>
      <c r="P144">
        <v>43.9</v>
      </c>
      <c r="Q144">
        <v>38.9</v>
      </c>
      <c r="R144">
        <v>32.1</v>
      </c>
      <c r="S144">
        <v>49.2</v>
      </c>
      <c r="T144">
        <v>44.4</v>
      </c>
      <c r="U144">
        <f t="shared" si="6"/>
        <v>40.964285714285715</v>
      </c>
      <c r="V144" t="str">
        <f t="shared" si="5"/>
        <v>2019/20Outputs - reliabilityInterruption Incentive Scheme (IIS)CML target unplanned</v>
      </c>
    </row>
    <row r="145" spans="1:22">
      <c r="A145" s="900" t="s">
        <v>141</v>
      </c>
      <c r="B145" s="900"/>
      <c r="C145" s="900" t="s">
        <v>1293</v>
      </c>
      <c r="D145" t="s">
        <v>224</v>
      </c>
      <c r="E145" t="s">
        <v>796</v>
      </c>
      <c r="F145" t="s">
        <v>1289</v>
      </c>
      <c r="G145">
        <v>11.090954974439715</v>
      </c>
      <c r="H145">
        <v>4.9928181547378392</v>
      </c>
      <c r="I145">
        <v>9.6372597706891412</v>
      </c>
      <c r="J145">
        <v>24.255228902262193</v>
      </c>
      <c r="K145">
        <v>15.693228453210571</v>
      </c>
      <c r="L145">
        <v>3.8470633495311279</v>
      </c>
      <c r="M145">
        <v>3.1830014767971964</v>
      </c>
      <c r="N145">
        <v>15.780427085903773</v>
      </c>
      <c r="O145">
        <v>7.946530427256568</v>
      </c>
      <c r="P145">
        <v>16.162932230188332</v>
      </c>
      <c r="Q145">
        <v>5.4361312972744731</v>
      </c>
      <c r="R145">
        <v>1.5555823974064542</v>
      </c>
      <c r="S145">
        <v>0.35523712738072016</v>
      </c>
      <c r="T145">
        <v>2.0347952804562883</v>
      </c>
      <c r="U145">
        <f t="shared" si="6"/>
        <v>8.7122279233953126</v>
      </c>
      <c r="V145" t="str">
        <f t="shared" si="5"/>
        <v>2019/20Outputs - reliabilityInterruption Incentive Scheme (IIS)CML reward/penalty unplanned</v>
      </c>
    </row>
    <row r="146" spans="1:22">
      <c r="A146" s="900" t="s">
        <v>141</v>
      </c>
      <c r="B146" s="900"/>
      <c r="C146" s="900" t="s">
        <v>1293</v>
      </c>
      <c r="D146" t="s">
        <v>224</v>
      </c>
      <c r="E146" t="s">
        <v>798</v>
      </c>
      <c r="F146" t="s">
        <v>1289</v>
      </c>
      <c r="G146">
        <f t="array" ref="G146:T148">TRANSPOSE('Ch2 outputs - reliability'!E131:G144)</f>
        <v>17.231513973239586</v>
      </c>
      <c r="H146">
        <v>9.6430320548604413</v>
      </c>
      <c r="I146">
        <v>14.764325555371125</v>
      </c>
      <c r="J146">
        <v>22.50958209870236</v>
      </c>
      <c r="K146">
        <v>21.649939629616121</v>
      </c>
      <c r="L146">
        <v>6.2130524899624948</v>
      </c>
      <c r="M146">
        <v>6.9518953365979153</v>
      </c>
      <c r="N146">
        <v>16.699312576492922</v>
      </c>
      <c r="O146">
        <v>13.102480114701988</v>
      </c>
      <c r="P146">
        <v>25.448338168804025</v>
      </c>
      <c r="Q146">
        <v>6.8573546329192903</v>
      </c>
      <c r="R146">
        <v>2.8805996545775736</v>
      </c>
      <c r="S146">
        <v>1.5916944923198704</v>
      </c>
      <c r="T146">
        <v>6.7426452133909036</v>
      </c>
      <c r="U146">
        <f t="shared" si="6"/>
        <v>12.306126142254042</v>
      </c>
      <c r="V146" t="str">
        <f t="shared" si="5"/>
        <v>2019/20Outputs - reliabilityInterruption Incentive Scheme (IIS)IIS total reward</v>
      </c>
    </row>
    <row r="147" spans="1:22">
      <c r="A147" s="900" t="s">
        <v>141</v>
      </c>
      <c r="B147" s="900"/>
      <c r="C147" s="900" t="s">
        <v>1293</v>
      </c>
      <c r="D147" t="s">
        <v>224</v>
      </c>
      <c r="E147" t="s">
        <v>237</v>
      </c>
      <c r="F147" t="s">
        <v>1289</v>
      </c>
      <c r="G147">
        <v>-9.4212398758610318E-4</v>
      </c>
      <c r="H147">
        <v>0</v>
      </c>
      <c r="I147">
        <v>-5.9953344664570151E-4</v>
      </c>
      <c r="J147">
        <v>0</v>
      </c>
      <c r="K147">
        <v>0</v>
      </c>
      <c r="L147">
        <v>0</v>
      </c>
      <c r="M147">
        <v>0</v>
      </c>
      <c r="N147">
        <v>0</v>
      </c>
      <c r="O147">
        <v>0</v>
      </c>
      <c r="P147">
        <v>0</v>
      </c>
      <c r="Q147">
        <v>0</v>
      </c>
      <c r="R147">
        <v>0</v>
      </c>
      <c r="S147">
        <v>0</v>
      </c>
      <c r="T147">
        <v>0</v>
      </c>
      <c r="U147">
        <f t="shared" si="6"/>
        <v>-1.1011838815941462E-4</v>
      </c>
      <c r="V147" t="str">
        <f t="shared" si="5"/>
        <v>2019/20Outputs - reliabilityInterruption Incentive Scheme (IIS)Regulation 7 Severe Weather Conditions Adjustment</v>
      </c>
    </row>
    <row r="148" spans="1:22">
      <c r="A148" s="900" t="s">
        <v>141</v>
      </c>
      <c r="B148" s="900"/>
      <c r="C148" s="900" t="s">
        <v>1293</v>
      </c>
      <c r="D148" t="s">
        <v>224</v>
      </c>
      <c r="E148" t="s">
        <v>238</v>
      </c>
      <c r="F148" t="s">
        <v>1289</v>
      </c>
      <c r="G148">
        <v>-6.3042012510235987E-2</v>
      </c>
      <c r="H148">
        <v>-3.1191798157183058E-2</v>
      </c>
      <c r="I148">
        <v>-9.2006972151306418E-2</v>
      </c>
      <c r="J148">
        <v>0</v>
      </c>
      <c r="K148">
        <v>0</v>
      </c>
      <c r="L148">
        <v>0</v>
      </c>
      <c r="M148">
        <v>0</v>
      </c>
      <c r="N148">
        <v>-8.7494412369857069E-2</v>
      </c>
      <c r="O148">
        <v>-0.16751055499893333</v>
      </c>
      <c r="P148">
        <v>-0.36773621558343256</v>
      </c>
      <c r="Q148">
        <v>0</v>
      </c>
      <c r="R148">
        <v>0</v>
      </c>
      <c r="S148">
        <v>0</v>
      </c>
      <c r="T148">
        <v>-3.3889698667088713E-2</v>
      </c>
      <c r="U148">
        <f t="shared" si="6"/>
        <v>-6.0205118888431226E-2</v>
      </c>
      <c r="V148" t="str">
        <f t="shared" si="5"/>
        <v>2019/20Outputs - reliabilityInterruption Incentive Scheme (IIS)Normal weather conditions adjustment</v>
      </c>
    </row>
    <row r="149" spans="1:22">
      <c r="A149" s="900" t="s">
        <v>126</v>
      </c>
      <c r="B149" s="900"/>
      <c r="C149" s="900" t="s">
        <v>1293</v>
      </c>
      <c r="D149" t="s">
        <v>224</v>
      </c>
      <c r="E149" t="s">
        <v>774</v>
      </c>
      <c r="F149" t="s">
        <v>1294</v>
      </c>
      <c r="G149" cm="1">
        <f t="array" ref="G149:T160">TRANSPOSE('Ch2 outputs - reliability'!J150:U163)</f>
        <v>1.3156494594246333</v>
      </c>
      <c r="H149">
        <v>1.1397085473649253</v>
      </c>
      <c r="I149">
        <v>0.74741732284822904</v>
      </c>
      <c r="J149">
        <v>1.8923293708136073</v>
      </c>
      <c r="K149">
        <v>0.61779625565112262</v>
      </c>
      <c r="L149">
        <v>3.0094261098449029</v>
      </c>
      <c r="M149">
        <v>3.2612168375808883</v>
      </c>
      <c r="N149">
        <v>9.3235638659915545E-3</v>
      </c>
      <c r="O149">
        <v>0.20702791212221286</v>
      </c>
      <c r="P149">
        <v>0.88007196135352184</v>
      </c>
      <c r="Q149">
        <v>1.1474735640232017</v>
      </c>
      <c r="R149">
        <v>1.7491162018178177</v>
      </c>
      <c r="S149">
        <v>3.3389668395775254</v>
      </c>
      <c r="T149">
        <v>1.2468478745599563</v>
      </c>
      <c r="U149">
        <f t="shared" si="6"/>
        <v>1.4687408443463241</v>
      </c>
      <c r="V149" t="str">
        <f t="shared" si="5"/>
        <v>2020/21Outputs - reliabilityInterruption Incentive Scheme (IIS)CI performance planned</v>
      </c>
    </row>
    <row r="150" spans="1:22">
      <c r="A150" s="900" t="s">
        <v>126</v>
      </c>
      <c r="B150" s="900"/>
      <c r="C150" s="900" t="s">
        <v>1293</v>
      </c>
      <c r="D150" t="s">
        <v>224</v>
      </c>
      <c r="E150" t="s">
        <v>776</v>
      </c>
      <c r="F150" t="s">
        <v>1294</v>
      </c>
      <c r="G150">
        <v>1.5365378408087593</v>
      </c>
      <c r="H150">
        <v>2.3226715768031876</v>
      </c>
      <c r="I150">
        <v>1.178528483271063</v>
      </c>
      <c r="J150">
        <v>2.6046916134116547</v>
      </c>
      <c r="K150">
        <v>0.88931942047099621</v>
      </c>
      <c r="L150">
        <v>3.5556449874527041</v>
      </c>
      <c r="M150">
        <v>3.8078836024979439</v>
      </c>
      <c r="N150">
        <v>0.14215533549916171</v>
      </c>
      <c r="O150">
        <v>1.1167626260696073</v>
      </c>
      <c r="P150">
        <v>1.7168636559080845</v>
      </c>
      <c r="Q150">
        <v>1.0671387189580317</v>
      </c>
      <c r="R150">
        <v>1.7221132225685369</v>
      </c>
      <c r="S150">
        <v>5.0861860284405553</v>
      </c>
      <c r="T150">
        <v>1.610539015198607</v>
      </c>
      <c r="U150">
        <f t="shared" si="6"/>
        <v>2.0255025805256355</v>
      </c>
      <c r="V150" t="str">
        <f t="shared" si="5"/>
        <v>2020/21Outputs - reliabilityInterruption Incentive Scheme (IIS)CI target planned</v>
      </c>
    </row>
    <row r="151" spans="1:22">
      <c r="A151" s="900" t="s">
        <v>126</v>
      </c>
      <c r="B151" s="900"/>
      <c r="C151" s="900" t="s">
        <v>1293</v>
      </c>
      <c r="D151" t="s">
        <v>224</v>
      </c>
      <c r="E151" t="s">
        <v>778</v>
      </c>
      <c r="F151" t="s">
        <v>1289</v>
      </c>
      <c r="G151">
        <v>7.4564930818889055E-2</v>
      </c>
      <c r="H151">
        <v>0.2489069197036691</v>
      </c>
      <c r="I151">
        <v>0.13228538534218817</v>
      </c>
      <c r="J151">
        <v>0.29750322369286053</v>
      </c>
      <c r="K151">
        <v>0.11936419276414051</v>
      </c>
      <c r="L151">
        <v>0.10205230394472267</v>
      </c>
      <c r="M151">
        <v>0.14419197820251498</v>
      </c>
      <c r="N151">
        <v>3.8890486189241333E-2</v>
      </c>
      <c r="O151">
        <v>0.26635213016920734</v>
      </c>
      <c r="P151">
        <v>0.38499351455979403</v>
      </c>
      <c r="Q151">
        <v>-2.0918405777686069E-2</v>
      </c>
      <c r="R151">
        <v>-5.2167791045845532E-3</v>
      </c>
      <c r="S151">
        <v>0.18588980482432765</v>
      </c>
      <c r="T151">
        <v>0.14832606944351948</v>
      </c>
      <c r="U151">
        <f t="shared" si="6"/>
        <v>0.15122755391234316</v>
      </c>
      <c r="V151" t="str">
        <f t="shared" si="5"/>
        <v>2020/21Outputs - reliabilityInterruption Incentive Scheme (IIS)CI reward/penalty planned</v>
      </c>
    </row>
    <row r="152" spans="1:22">
      <c r="A152" s="900" t="s">
        <v>126</v>
      </c>
      <c r="B152" s="900"/>
      <c r="C152" s="900" t="s">
        <v>1293</v>
      </c>
      <c r="D152" t="s">
        <v>224</v>
      </c>
      <c r="E152" t="s">
        <v>780</v>
      </c>
      <c r="F152" t="s">
        <v>1294</v>
      </c>
      <c r="G152">
        <v>2.6943190745582495</v>
      </c>
      <c r="H152">
        <v>1.8706076560063392</v>
      </c>
      <c r="I152">
        <v>1.2555058295144128</v>
      </c>
      <c r="J152">
        <v>3.9624840072810303</v>
      </c>
      <c r="K152">
        <v>1.1477475706668372</v>
      </c>
      <c r="L152">
        <v>4.9248840693078346</v>
      </c>
      <c r="M152">
        <v>7.077832194753638</v>
      </c>
      <c r="N152">
        <v>1.8034466458531608E-2</v>
      </c>
      <c r="O152">
        <v>0.54865258974586706</v>
      </c>
      <c r="P152">
        <v>1.9005922010300234</v>
      </c>
      <c r="Q152">
        <v>2.9869028532554642</v>
      </c>
      <c r="R152">
        <v>4.6314103679292042</v>
      </c>
      <c r="S152">
        <v>7.0871688510831232</v>
      </c>
      <c r="T152">
        <v>2.5718682992717841</v>
      </c>
      <c r="U152">
        <f t="shared" si="6"/>
        <v>3.0484292879187378</v>
      </c>
      <c r="V152" t="str">
        <f t="shared" si="5"/>
        <v>2020/21Outputs - reliabilityInterruption Incentive Scheme (IIS)CML performance planned</v>
      </c>
    </row>
    <row r="153" spans="1:22">
      <c r="A153" s="900" t="s">
        <v>126</v>
      </c>
      <c r="B153" s="900"/>
      <c r="C153" s="900" t="s">
        <v>1293</v>
      </c>
      <c r="D153" t="s">
        <v>224</v>
      </c>
      <c r="E153" t="s">
        <v>782</v>
      </c>
      <c r="F153" t="s">
        <v>1294</v>
      </c>
      <c r="G153">
        <v>3.9154411984059601</v>
      </c>
      <c r="H153">
        <v>5.4631328284290008</v>
      </c>
      <c r="I153">
        <v>2.8789279812535109</v>
      </c>
      <c r="J153">
        <v>4.8651945377827426</v>
      </c>
      <c r="K153">
        <v>1.5323196573836644</v>
      </c>
      <c r="L153">
        <v>5.803179400257112</v>
      </c>
      <c r="M153">
        <v>8.6963966045494683</v>
      </c>
      <c r="N153">
        <v>0.36021783799699464</v>
      </c>
      <c r="O153">
        <v>2.4799915351582769</v>
      </c>
      <c r="P153">
        <v>4.670672702973012</v>
      </c>
      <c r="Q153">
        <v>2.9496141314506725</v>
      </c>
      <c r="R153">
        <v>5.5291547920268007</v>
      </c>
      <c r="S153">
        <v>11.110801006699175</v>
      </c>
      <c r="T153">
        <v>3.6923933059979333</v>
      </c>
      <c r="U153">
        <f t="shared" si="6"/>
        <v>4.5676741085974522</v>
      </c>
      <c r="V153" t="str">
        <f t="shared" si="5"/>
        <v>2020/21Outputs - reliabilityInterruption Incentive Scheme (IIS)CML target planned</v>
      </c>
    </row>
    <row r="154" spans="1:22">
      <c r="A154" s="900" t="s">
        <v>126</v>
      </c>
      <c r="B154" s="900"/>
      <c r="C154" s="900" t="s">
        <v>1293</v>
      </c>
      <c r="D154" t="s">
        <v>224</v>
      </c>
      <c r="E154" t="s">
        <v>784</v>
      </c>
      <c r="F154" t="s">
        <v>1289</v>
      </c>
      <c r="G154">
        <v>0.9915374653938096</v>
      </c>
      <c r="H154">
        <v>1.8897555383667322</v>
      </c>
      <c r="I154">
        <v>1.2240086176149252</v>
      </c>
      <c r="J154">
        <v>0.92265352272421963</v>
      </c>
      <c r="K154">
        <v>0.41842742362163921</v>
      </c>
      <c r="L154">
        <v>0.40541242188180626</v>
      </c>
      <c r="M154">
        <v>1.0495162932113529</v>
      </c>
      <c r="N154">
        <v>0.24616750019091904</v>
      </c>
      <c r="O154">
        <v>1.3732537288297502</v>
      </c>
      <c r="P154">
        <v>3.1050639699124143</v>
      </c>
      <c r="Q154">
        <v>-2.349100996437738E-2</v>
      </c>
      <c r="R154">
        <v>0.42228307209569549</v>
      </c>
      <c r="S154">
        <v>0.99885681316139618</v>
      </c>
      <c r="T154">
        <v>1.1126703376439915</v>
      </c>
      <c r="U154">
        <f t="shared" si="6"/>
        <v>1.0097225496203051</v>
      </c>
      <c r="V154" t="str">
        <f t="shared" si="5"/>
        <v>2020/21Outputs - reliabilityInterruption Incentive Scheme (IIS)CML reward/penalty planned</v>
      </c>
    </row>
    <row r="155" spans="1:22">
      <c r="A155" s="900" t="s">
        <v>126</v>
      </c>
      <c r="B155" s="900"/>
      <c r="C155" s="900" t="s">
        <v>1293</v>
      </c>
      <c r="D155" t="s">
        <v>224</v>
      </c>
      <c r="E155" t="s">
        <v>786</v>
      </c>
      <c r="F155" t="s">
        <v>1294</v>
      </c>
      <c r="G155">
        <v>29.414615694767164</v>
      </c>
      <c r="H155">
        <v>44.124077709963679</v>
      </c>
      <c r="I155">
        <v>51.675149802606441</v>
      </c>
      <c r="J155">
        <v>42.555825223340811</v>
      </c>
      <c r="K155">
        <v>38.956137232229409</v>
      </c>
      <c r="L155">
        <v>35.883626982293904</v>
      </c>
      <c r="M155">
        <v>55.193474817361967</v>
      </c>
      <c r="N155">
        <v>13.011233315977053</v>
      </c>
      <c r="O155">
        <v>44.088193373209847</v>
      </c>
      <c r="P155">
        <v>43.034843453762889</v>
      </c>
      <c r="Q155">
        <v>39.311779425688847</v>
      </c>
      <c r="R155">
        <v>30.176497040876281</v>
      </c>
      <c r="S155">
        <v>60.652739552435548</v>
      </c>
      <c r="T155">
        <v>47.171004593590844</v>
      </c>
      <c r="U155">
        <f t="shared" si="6"/>
        <v>41.089228444150329</v>
      </c>
      <c r="V155" t="str">
        <f t="shared" si="5"/>
        <v>2020/21Outputs - reliabilityInterruption Incentive Scheme (IIS)CI performance unplanned</v>
      </c>
    </row>
    <row r="156" spans="1:22">
      <c r="A156" s="900" t="s">
        <v>126</v>
      </c>
      <c r="B156" s="900"/>
      <c r="C156" s="900" t="s">
        <v>1293</v>
      </c>
      <c r="D156" t="s">
        <v>224</v>
      </c>
      <c r="E156" t="s">
        <v>788</v>
      </c>
      <c r="F156" t="s">
        <v>1294</v>
      </c>
      <c r="G156">
        <v>44.9</v>
      </c>
      <c r="H156">
        <v>57.7</v>
      </c>
      <c r="I156">
        <v>61.8</v>
      </c>
      <c r="J156">
        <v>78.3</v>
      </c>
      <c r="K156">
        <v>49.6</v>
      </c>
      <c r="L156">
        <v>48.9</v>
      </c>
      <c r="M156">
        <v>54.3</v>
      </c>
      <c r="N156">
        <v>26.3</v>
      </c>
      <c r="O156">
        <v>61.8</v>
      </c>
      <c r="P156">
        <v>64.8</v>
      </c>
      <c r="Q156">
        <v>49.1</v>
      </c>
      <c r="R156">
        <v>34.4</v>
      </c>
      <c r="S156">
        <v>64.099999999999994</v>
      </c>
      <c r="T156">
        <v>57.1</v>
      </c>
      <c r="U156">
        <f t="shared" si="6"/>
        <v>53.792857142857144</v>
      </c>
      <c r="V156" t="str">
        <f t="shared" si="5"/>
        <v>2020/21Outputs - reliabilityInterruption Incentive Scheme (IIS)CI target unplanned</v>
      </c>
    </row>
    <row r="157" spans="1:22">
      <c r="A157" s="900" t="s">
        <v>126</v>
      </c>
      <c r="B157" s="900"/>
      <c r="C157" s="900" t="s">
        <v>1293</v>
      </c>
      <c r="D157" t="s">
        <v>224</v>
      </c>
      <c r="E157" t="s">
        <v>790</v>
      </c>
      <c r="F157" t="s">
        <v>1289</v>
      </c>
      <c r="G157">
        <v>5.2273759361549468</v>
      </c>
      <c r="H157">
        <v>2.8565060067464074</v>
      </c>
      <c r="I157">
        <v>3.1067850541852877</v>
      </c>
      <c r="J157">
        <v>14.92780861814628</v>
      </c>
      <c r="K157">
        <v>4.6791443669642865</v>
      </c>
      <c r="L157">
        <v>2.4319021365179156</v>
      </c>
      <c r="M157">
        <v>-0.2356680699422079</v>
      </c>
      <c r="N157">
        <v>3.8906851188002234</v>
      </c>
      <c r="O157">
        <v>5.1856627562564732</v>
      </c>
      <c r="P157">
        <v>10.013775433252167</v>
      </c>
      <c r="Q157">
        <v>2.5487566403947595</v>
      </c>
      <c r="R157">
        <v>0.81595003950886313</v>
      </c>
      <c r="S157">
        <v>0.36676026445964954</v>
      </c>
      <c r="T157">
        <v>4.0493943832925989</v>
      </c>
      <c r="U157">
        <f t="shared" si="6"/>
        <v>4.2760599060526889</v>
      </c>
      <c r="V157" t="str">
        <f t="shared" si="5"/>
        <v>2020/21Outputs - reliabilityInterruption Incentive Scheme (IIS)CI reward/penalty unplanned</v>
      </c>
    </row>
    <row r="158" spans="1:22">
      <c r="A158" s="900" t="s">
        <v>126</v>
      </c>
      <c r="B158" s="900"/>
      <c r="C158" s="900" t="s">
        <v>1293</v>
      </c>
      <c r="D158" t="s">
        <v>224</v>
      </c>
      <c r="E158" t="s">
        <v>792</v>
      </c>
      <c r="F158" t="s">
        <v>1294</v>
      </c>
      <c r="G158">
        <v>25.455959630388609</v>
      </c>
      <c r="H158">
        <v>34.948267781169534</v>
      </c>
      <c r="I158">
        <v>38.748879457959092</v>
      </c>
      <c r="J158">
        <v>24.279995622041099</v>
      </c>
      <c r="K158">
        <v>21.950611793439101</v>
      </c>
      <c r="L158">
        <v>19.586216100039653</v>
      </c>
      <c r="M158">
        <v>34.462414042068943</v>
      </c>
      <c r="N158">
        <v>11.360049708696508</v>
      </c>
      <c r="O158">
        <v>31.367822376302719</v>
      </c>
      <c r="P158">
        <v>30.372369479849471</v>
      </c>
      <c r="Q158">
        <v>26.908313039560472</v>
      </c>
      <c r="R158">
        <v>30.175075765383998</v>
      </c>
      <c r="S158">
        <v>50.302634545067832</v>
      </c>
      <c r="T158">
        <v>41.730830109803122</v>
      </c>
      <c r="U158">
        <f t="shared" si="6"/>
        <v>30.117817103697877</v>
      </c>
      <c r="V158" t="str">
        <f t="shared" si="5"/>
        <v>2020/21Outputs - reliabilityInterruption Incentive Scheme (IIS)CML performance unplanned</v>
      </c>
    </row>
    <row r="159" spans="1:22">
      <c r="A159" s="900" t="s">
        <v>126</v>
      </c>
      <c r="B159" s="900"/>
      <c r="C159" s="900" t="s">
        <v>1293</v>
      </c>
      <c r="D159" t="s">
        <v>224</v>
      </c>
      <c r="E159" t="s">
        <v>794</v>
      </c>
      <c r="F159" t="s">
        <v>1294</v>
      </c>
      <c r="G159">
        <v>36.9</v>
      </c>
      <c r="H159">
        <v>49.7</v>
      </c>
      <c r="I159">
        <v>52</v>
      </c>
      <c r="J159">
        <v>47.1</v>
      </c>
      <c r="K159">
        <v>34.9</v>
      </c>
      <c r="L159">
        <v>27.3</v>
      </c>
      <c r="M159">
        <v>34.799999999999997</v>
      </c>
      <c r="N159">
        <v>35.6</v>
      </c>
      <c r="O159">
        <v>40.700000000000003</v>
      </c>
      <c r="P159">
        <v>43</v>
      </c>
      <c r="Q159">
        <v>38.1</v>
      </c>
      <c r="R159">
        <v>31.3</v>
      </c>
      <c r="S159">
        <v>47.7</v>
      </c>
      <c r="T159">
        <v>43.5</v>
      </c>
      <c r="U159">
        <f t="shared" si="6"/>
        <v>40.18571428571429</v>
      </c>
      <c r="V159" t="str">
        <f t="shared" si="5"/>
        <v>2020/21Outputs - reliabilityInterruption Incentive Scheme (IIS)CML target unplanned</v>
      </c>
    </row>
    <row r="160" spans="1:22">
      <c r="A160" s="900" t="s">
        <v>126</v>
      </c>
      <c r="B160" s="900"/>
      <c r="C160" s="900" t="s">
        <v>1293</v>
      </c>
      <c r="D160" t="s">
        <v>224</v>
      </c>
      <c r="E160" t="s">
        <v>796</v>
      </c>
      <c r="F160" t="s">
        <v>1289</v>
      </c>
      <c r="G160">
        <v>9.2924323950452425</v>
      </c>
      <c r="H160">
        <v>7.7597696113674113</v>
      </c>
      <c r="I160">
        <v>9.9909230135470537</v>
      </c>
      <c r="J160">
        <v>23.324151781195994</v>
      </c>
      <c r="K160">
        <v>14.089371880849587</v>
      </c>
      <c r="L160">
        <v>3.5606062136022136</v>
      </c>
      <c r="M160">
        <v>0.21889889649352684</v>
      </c>
      <c r="N160">
        <v>17.438275685735924</v>
      </c>
      <c r="O160">
        <v>6.6355249296271488</v>
      </c>
      <c r="P160">
        <v>14.154679088201009</v>
      </c>
      <c r="Q160">
        <v>7.0504972329755082</v>
      </c>
      <c r="R160">
        <v>0.52914443010442136</v>
      </c>
      <c r="S160">
        <v>-0.64609764187357288</v>
      </c>
      <c r="T160">
        <v>1.7567683427488521</v>
      </c>
      <c r="U160">
        <f t="shared" si="6"/>
        <v>8.2253532756871657</v>
      </c>
      <c r="V160" t="str">
        <f t="shared" si="5"/>
        <v>2020/21Outputs - reliabilityInterruption Incentive Scheme (IIS)CML reward/penalty unplanned</v>
      </c>
    </row>
    <row r="161" spans="1:22">
      <c r="A161" s="900" t="s">
        <v>126</v>
      </c>
      <c r="B161" s="900"/>
      <c r="C161" s="900" t="s">
        <v>1293</v>
      </c>
      <c r="D161" t="s">
        <v>224</v>
      </c>
      <c r="E161" t="s">
        <v>798</v>
      </c>
      <c r="F161" t="s">
        <v>1289</v>
      </c>
      <c r="G161" cm="1">
        <f t="array" ref="G161:T163">TRANSPOSE('Ch2 outputs - reliability'!E150:G163)</f>
        <v>15.522254339034857</v>
      </c>
      <c r="H161">
        <v>12.717278021865742</v>
      </c>
      <c r="I161">
        <v>14.426637651159052</v>
      </c>
      <c r="J161">
        <v>22.50958209870236</v>
      </c>
      <c r="K161">
        <v>19.306307864199653</v>
      </c>
      <c r="L161">
        <v>6.4999730759466585</v>
      </c>
      <c r="M161">
        <v>1.176939097965187</v>
      </c>
      <c r="N161">
        <v>16.707574988672409</v>
      </c>
      <c r="O161">
        <v>13.267414787646043</v>
      </c>
      <c r="P161">
        <v>25.63083139592716</v>
      </c>
      <c r="Q161">
        <v>9.5548444576282048</v>
      </c>
      <c r="R161">
        <v>1.7621607626043954</v>
      </c>
      <c r="S161">
        <v>0.9054092405718005</v>
      </c>
      <c r="T161">
        <v>7.0447080390225532</v>
      </c>
      <c r="U161">
        <f t="shared" si="6"/>
        <v>11.930851130067577</v>
      </c>
      <c r="V161" t="str">
        <f t="shared" si="5"/>
        <v>2020/21Outputs - reliabilityInterruption Incentive Scheme (IIS)IIS total reward</v>
      </c>
    </row>
    <row r="162" spans="1:22">
      <c r="A162" s="900" t="s">
        <v>126</v>
      </c>
      <c r="B162" s="900"/>
      <c r="C162" s="900" t="s">
        <v>1293</v>
      </c>
      <c r="D162" t="s">
        <v>224</v>
      </c>
      <c r="E162" t="s">
        <v>237</v>
      </c>
      <c r="F162" t="s">
        <v>1289</v>
      </c>
      <c r="G162">
        <v>0</v>
      </c>
      <c r="H162">
        <v>0</v>
      </c>
      <c r="I162">
        <v>0</v>
      </c>
      <c r="J162">
        <v>0</v>
      </c>
      <c r="K162">
        <v>0</v>
      </c>
      <c r="L162">
        <v>0</v>
      </c>
      <c r="M162">
        <v>0</v>
      </c>
      <c r="N162">
        <v>0</v>
      </c>
      <c r="O162">
        <v>-1.1370989947886746E-3</v>
      </c>
      <c r="P162">
        <v>0</v>
      </c>
      <c r="Q162">
        <v>0</v>
      </c>
      <c r="R162">
        <v>0</v>
      </c>
      <c r="S162">
        <v>0</v>
      </c>
      <c r="T162">
        <v>0</v>
      </c>
      <c r="U162">
        <f t="shared" si="6"/>
        <v>-8.1221356770619612E-5</v>
      </c>
      <c r="V162" t="str">
        <f t="shared" si="5"/>
        <v>2020/21Outputs - reliabilityInterruption Incentive Scheme (IIS)Regulation 7 Severe Weather Conditions Adjustment</v>
      </c>
    </row>
    <row r="163" spans="1:22">
      <c r="A163" s="900" t="s">
        <v>126</v>
      </c>
      <c r="B163" s="900"/>
      <c r="C163" s="900" t="s">
        <v>1293</v>
      </c>
      <c r="D163" t="s">
        <v>224</v>
      </c>
      <c r="E163" t="s">
        <v>238</v>
      </c>
      <c r="F163" t="s">
        <v>1289</v>
      </c>
      <c r="G163">
        <v>-6.3656388378030185E-2</v>
      </c>
      <c r="H163">
        <v>0</v>
      </c>
      <c r="I163">
        <v>-2.7364419530402806E-2</v>
      </c>
      <c r="J163">
        <v>0</v>
      </c>
      <c r="K163">
        <v>0</v>
      </c>
      <c r="L163">
        <v>0</v>
      </c>
      <c r="M163">
        <v>0</v>
      </c>
      <c r="N163">
        <v>-7.9232000190368065E-2</v>
      </c>
      <c r="O163">
        <v>-0.19224165824174708</v>
      </c>
      <c r="P163">
        <v>-0.1852429884602963</v>
      </c>
      <c r="Q163">
        <v>0</v>
      </c>
      <c r="R163">
        <v>0</v>
      </c>
      <c r="S163">
        <v>0</v>
      </c>
      <c r="T163">
        <v>-2.2451094106408997E-2</v>
      </c>
      <c r="U163">
        <f t="shared" si="6"/>
        <v>-4.0727753493375249E-2</v>
      </c>
      <c r="V163" t="str">
        <f t="shared" si="5"/>
        <v>2020/21Outputs - reliabilityInterruption Incentive Scheme (IIS)Normal weather conditions adjustment</v>
      </c>
    </row>
    <row r="164" spans="1:22">
      <c r="A164" s="900" t="s">
        <v>142</v>
      </c>
      <c r="B164" s="900"/>
      <c r="C164" s="900" t="s">
        <v>1293</v>
      </c>
      <c r="D164" t="s">
        <v>224</v>
      </c>
      <c r="E164" t="s">
        <v>774</v>
      </c>
      <c r="F164" t="s">
        <v>1294</v>
      </c>
      <c r="G164" cm="1">
        <f t="array" ref="G164:T175">TRANSPOSE('Ch2 outputs - reliability'!J169:U182)</f>
        <v>0.96826708940732842</v>
      </c>
      <c r="H164">
        <v>1.4992513024861707</v>
      </c>
      <c r="I164">
        <v>1.062044475978124</v>
      </c>
      <c r="J164">
        <v>2.2470445028030412</v>
      </c>
      <c r="K164">
        <v>0.65758571225456153</v>
      </c>
      <c r="L164">
        <v>3.7114288692751409</v>
      </c>
      <c r="M164">
        <v>3.1743987793670763</v>
      </c>
      <c r="N164">
        <v>1.1385882009551559E-2</v>
      </c>
      <c r="O164">
        <v>0.88040198327332919</v>
      </c>
      <c r="P164">
        <v>1.113224816691617</v>
      </c>
      <c r="Q164">
        <v>0.67081341706185116</v>
      </c>
      <c r="R164">
        <v>1.6294708596485488</v>
      </c>
      <c r="S164">
        <v>3.8980743687687198</v>
      </c>
      <c r="T164">
        <v>1.3797457588098063</v>
      </c>
      <c r="U164">
        <f t="shared" ref="U164:U178" si="7">AVERAGE(G164:T164)</f>
        <v>1.635938415559633</v>
      </c>
      <c r="V164" t="str">
        <f t="shared" ref="V164:V178" si="8">CONCATENATE(A164,B164,C164,D164,E164)</f>
        <v>2021/22Outputs - reliabilityInterruption Incentive Scheme (IIS)CI performance planned</v>
      </c>
    </row>
    <row r="165" spans="1:22">
      <c r="A165" s="900" t="s">
        <v>142</v>
      </c>
      <c r="B165" s="900"/>
      <c r="C165" s="900" t="s">
        <v>1293</v>
      </c>
      <c r="D165" t="s">
        <v>224</v>
      </c>
      <c r="E165" t="s">
        <v>776</v>
      </c>
      <c r="F165" t="s">
        <v>1294</v>
      </c>
      <c r="G165">
        <v>1.3706670510674688</v>
      </c>
      <c r="H165">
        <v>1.8078944845769691</v>
      </c>
      <c r="I165">
        <v>1.1138440450260683</v>
      </c>
      <c r="J165">
        <v>2.3950225327906103</v>
      </c>
      <c r="K165">
        <v>0.81355852968402831</v>
      </c>
      <c r="L165">
        <v>3.3003733074499895</v>
      </c>
      <c r="M165">
        <v>3.5652837425336195</v>
      </c>
      <c r="N165">
        <v>9.7540129818553034E-2</v>
      </c>
      <c r="O165">
        <v>1.0809963444683965</v>
      </c>
      <c r="P165">
        <v>1.7503952286954838</v>
      </c>
      <c r="Q165">
        <v>1.0843662312092197</v>
      </c>
      <c r="R165">
        <v>1.6737729050299723</v>
      </c>
      <c r="S165">
        <v>4.4452901269698639</v>
      </c>
      <c r="T165">
        <v>1.5519794116281138</v>
      </c>
      <c r="U165">
        <f t="shared" si="7"/>
        <v>1.8607845764963111</v>
      </c>
      <c r="V165" t="str">
        <f t="shared" si="8"/>
        <v>2021/22Outputs - reliabilityInterruption Incentive Scheme (IIS)CI target planned</v>
      </c>
    </row>
    <row r="166" spans="1:22">
      <c r="A166" s="900" t="s">
        <v>142</v>
      </c>
      <c r="B166" s="900"/>
      <c r="C166" s="900" t="s">
        <v>1293</v>
      </c>
      <c r="D166" t="s">
        <v>224</v>
      </c>
      <c r="E166" t="s">
        <v>778</v>
      </c>
      <c r="F166" t="s">
        <v>1289</v>
      </c>
      <c r="G166">
        <v>0.13583749907847464</v>
      </c>
      <c r="H166">
        <v>6.4941525499946862E-2</v>
      </c>
      <c r="I166">
        <v>1.5894568689304691E-2</v>
      </c>
      <c r="J166">
        <v>6.1799935937735022E-2</v>
      </c>
      <c r="K166">
        <v>6.8567149539405667E-2</v>
      </c>
      <c r="L166">
        <v>-7.679918957995012E-2</v>
      </c>
      <c r="M166">
        <v>0.10310207187582149</v>
      </c>
      <c r="N166">
        <v>2.5224240732205635E-2</v>
      </c>
      <c r="O166">
        <v>5.8730017207331821E-2</v>
      </c>
      <c r="P166">
        <v>0.29315118432366982</v>
      </c>
      <c r="Q166">
        <v>0.10768509691928592</v>
      </c>
      <c r="R166">
        <v>8.5588328051736384E-3</v>
      </c>
      <c r="S166">
        <v>5.8219272737612696E-2</v>
      </c>
      <c r="T166">
        <v>7.0242955887181061E-2</v>
      </c>
      <c r="U166">
        <f t="shared" si="7"/>
        <v>7.1082511546657068E-2</v>
      </c>
      <c r="V166" t="str">
        <f t="shared" si="8"/>
        <v>2021/22Outputs - reliabilityInterruption Incentive Scheme (IIS)CI reward/penalty planned</v>
      </c>
    </row>
    <row r="167" spans="1:22">
      <c r="A167" s="900" t="s">
        <v>142</v>
      </c>
      <c r="B167" s="900"/>
      <c r="C167" s="900" t="s">
        <v>1293</v>
      </c>
      <c r="D167" t="s">
        <v>224</v>
      </c>
      <c r="E167" t="s">
        <v>780</v>
      </c>
      <c r="F167" t="s">
        <v>1294</v>
      </c>
      <c r="G167">
        <v>2.0295917081364863</v>
      </c>
      <c r="H167">
        <v>2.9879783935797639</v>
      </c>
      <c r="I167">
        <v>2.0845664967665298</v>
      </c>
      <c r="J167">
        <v>4.5248522313019945</v>
      </c>
      <c r="K167">
        <v>1.3610807204839204</v>
      </c>
      <c r="L167">
        <v>5.2425022291333665</v>
      </c>
      <c r="M167">
        <v>7.3596663473762378</v>
      </c>
      <c r="N167">
        <v>2.0175866794825987E-2</v>
      </c>
      <c r="O167">
        <v>1.6597597311545633</v>
      </c>
      <c r="P167">
        <v>2.4630109067570407</v>
      </c>
      <c r="Q167">
        <v>1.5506065887109333</v>
      </c>
      <c r="R167">
        <v>4.3377800320691122</v>
      </c>
      <c r="S167">
        <v>8.8087080294471001</v>
      </c>
      <c r="T167">
        <v>3.1676208598514304</v>
      </c>
      <c r="U167">
        <f t="shared" si="7"/>
        <v>3.3998500101116647</v>
      </c>
      <c r="V167" t="str">
        <f t="shared" si="8"/>
        <v>2021/22Outputs - reliabilityInterruption Incentive Scheme (IIS)CML performance planned</v>
      </c>
    </row>
    <row r="168" spans="1:22">
      <c r="A168" s="900" t="s">
        <v>142</v>
      </c>
      <c r="B168" s="900"/>
      <c r="C168" s="900" t="s">
        <v>1293</v>
      </c>
      <c r="D168" t="s">
        <v>224</v>
      </c>
      <c r="E168" t="s">
        <v>782</v>
      </c>
      <c r="F168" t="s">
        <v>1294</v>
      </c>
      <c r="G168">
        <v>3.5269324128278545</v>
      </c>
      <c r="H168">
        <v>3.9686935539421868</v>
      </c>
      <c r="I168">
        <v>2.5156624302050106</v>
      </c>
      <c r="J168">
        <v>4.8450245991857779</v>
      </c>
      <c r="K168">
        <v>1.4529024633353236</v>
      </c>
      <c r="L168">
        <v>5.1978111479052274</v>
      </c>
      <c r="M168">
        <v>8.2210597682747721</v>
      </c>
      <c r="N168">
        <v>0.24897559620654922</v>
      </c>
      <c r="O168">
        <v>2.3857072014423659</v>
      </c>
      <c r="P168">
        <v>4.6841421929881566</v>
      </c>
      <c r="Q168">
        <v>3.1495454410455976</v>
      </c>
      <c r="R168">
        <v>5.2938713451599648</v>
      </c>
      <c r="S168">
        <v>9.7970941273048844</v>
      </c>
      <c r="T168">
        <v>3.5123379732532776</v>
      </c>
      <c r="U168">
        <f t="shared" si="7"/>
        <v>4.1999828752197823</v>
      </c>
      <c r="V168" t="str">
        <f t="shared" si="8"/>
        <v>2021/22Outputs - reliabilityInterruption Incentive Scheme (IIS)CML target planned</v>
      </c>
    </row>
    <row r="169" spans="1:22">
      <c r="A169" s="900" t="s">
        <v>142</v>
      </c>
      <c r="B169" s="900"/>
      <c r="C169" s="900" t="s">
        <v>1293</v>
      </c>
      <c r="D169" t="s">
        <v>224</v>
      </c>
      <c r="E169" t="s">
        <v>784</v>
      </c>
      <c r="F169" t="s">
        <v>1289</v>
      </c>
      <c r="G169">
        <v>1.2158238542779995</v>
      </c>
      <c r="H169">
        <v>0.51588000554086688</v>
      </c>
      <c r="I169">
        <v>0.32503260903652637</v>
      </c>
      <c r="J169">
        <v>0.32724572620499315</v>
      </c>
      <c r="K169">
        <v>9.990515854067103E-2</v>
      </c>
      <c r="L169">
        <v>-2.0628960258315177E-2</v>
      </c>
      <c r="M169">
        <v>0.55854831888470546</v>
      </c>
      <c r="N169">
        <v>0.1645990486925564</v>
      </c>
      <c r="O169">
        <v>0.51617561633873299</v>
      </c>
      <c r="P169">
        <v>2.4897307946407832</v>
      </c>
      <c r="Q169">
        <v>1.0072935379564842</v>
      </c>
      <c r="R169">
        <v>0.44972841496826799</v>
      </c>
      <c r="S169">
        <v>0.24536442440476947</v>
      </c>
      <c r="T169">
        <v>0.34230071141485446</v>
      </c>
      <c r="U169">
        <f t="shared" si="7"/>
        <v>0.58835709004599257</v>
      </c>
      <c r="V169" t="str">
        <f t="shared" si="8"/>
        <v>2021/22Outputs - reliabilityInterruption Incentive Scheme (IIS)CML reward/penalty planned</v>
      </c>
    </row>
    <row r="170" spans="1:22">
      <c r="A170" s="900" t="s">
        <v>142</v>
      </c>
      <c r="B170" s="900"/>
      <c r="C170" s="900" t="s">
        <v>1293</v>
      </c>
      <c r="D170" t="s">
        <v>224</v>
      </c>
      <c r="E170" t="s">
        <v>786</v>
      </c>
      <c r="F170" t="s">
        <v>1294</v>
      </c>
      <c r="G170">
        <v>24.800057706753513</v>
      </c>
      <c r="H170">
        <v>48.335416486195506</v>
      </c>
      <c r="I170">
        <v>50.00893342638448</v>
      </c>
      <c r="J170">
        <v>44.512860755910793</v>
      </c>
      <c r="K170">
        <v>36.497151547499143</v>
      </c>
      <c r="L170">
        <v>35.077663492946002</v>
      </c>
      <c r="M170">
        <v>47.305478331275253</v>
      </c>
      <c r="N170">
        <v>15.033012767285152</v>
      </c>
      <c r="O170">
        <v>38.219909912155323</v>
      </c>
      <c r="P170">
        <v>37.772943049287001</v>
      </c>
      <c r="Q170">
        <v>36.504231887393011</v>
      </c>
      <c r="R170">
        <v>28.702546549298081</v>
      </c>
      <c r="S170">
        <v>51.623637348543177</v>
      </c>
      <c r="T170">
        <v>41.079335580976554</v>
      </c>
      <c r="U170">
        <f t="shared" si="7"/>
        <v>38.24808420299307</v>
      </c>
      <c r="V170" t="str">
        <f t="shared" si="8"/>
        <v>2021/22Outputs - reliabilityInterruption Incentive Scheme (IIS)CI performance unplanned</v>
      </c>
    </row>
    <row r="171" spans="1:22">
      <c r="A171" s="900" t="s">
        <v>142</v>
      </c>
      <c r="B171" s="900"/>
      <c r="C171" s="900" t="s">
        <v>1293</v>
      </c>
      <c r="D171" t="s">
        <v>224</v>
      </c>
      <c r="E171" t="s">
        <v>788</v>
      </c>
      <c r="F171" t="s">
        <v>1294</v>
      </c>
      <c r="G171">
        <v>44.6</v>
      </c>
      <c r="H171">
        <v>57.4</v>
      </c>
      <c r="I171">
        <v>60.9</v>
      </c>
      <c r="J171">
        <v>76.7</v>
      </c>
      <c r="K171">
        <v>49.4</v>
      </c>
      <c r="L171">
        <v>48.6</v>
      </c>
      <c r="M171">
        <v>54</v>
      </c>
      <c r="N171">
        <v>26.2</v>
      </c>
      <c r="O171">
        <v>61.5</v>
      </c>
      <c r="P171">
        <v>64.400000000000006</v>
      </c>
      <c r="Q171">
        <v>48.9</v>
      </c>
      <c r="R171">
        <v>34.200000000000003</v>
      </c>
      <c r="S171">
        <v>63.8</v>
      </c>
      <c r="T171">
        <v>56.8</v>
      </c>
      <c r="U171">
        <f t="shared" si="7"/>
        <v>53.385714285714286</v>
      </c>
      <c r="V171" t="str">
        <f t="shared" si="8"/>
        <v>2021/22Outputs - reliabilityInterruption Incentive Scheme (IIS)CI target unplanned</v>
      </c>
    </row>
    <row r="172" spans="1:22">
      <c r="A172" s="900" t="s">
        <v>142</v>
      </c>
      <c r="B172" s="900"/>
      <c r="C172" s="900" t="s">
        <v>1293</v>
      </c>
      <c r="D172" t="s">
        <v>224</v>
      </c>
      <c r="E172" t="s">
        <v>790</v>
      </c>
      <c r="F172" t="s">
        <v>1289</v>
      </c>
      <c r="G172">
        <v>6.6838342427186568</v>
      </c>
      <c r="H172">
        <v>1.9072764783605509</v>
      </c>
      <c r="I172">
        <v>3.3418966399874375</v>
      </c>
      <c r="J172">
        <v>13.44228696294153</v>
      </c>
      <c r="K172">
        <v>5.6722161842527141</v>
      </c>
      <c r="L172">
        <v>2.5264333618501524</v>
      </c>
      <c r="M172">
        <v>1.7657856384949338</v>
      </c>
      <c r="N172">
        <v>3.2694705296009339</v>
      </c>
      <c r="O172">
        <v>6.8159447917769977</v>
      </c>
      <c r="P172">
        <v>12.250652467691721</v>
      </c>
      <c r="Q172">
        <v>3.2277364460622691</v>
      </c>
      <c r="R172">
        <v>1.0620680046188582</v>
      </c>
      <c r="S172">
        <v>1.2954652119076409</v>
      </c>
      <c r="T172">
        <v>6.4114411976592702</v>
      </c>
      <c r="U172">
        <f t="shared" si="7"/>
        <v>4.9766077255659757</v>
      </c>
      <c r="V172" t="str">
        <f t="shared" si="8"/>
        <v>2021/22Outputs - reliabilityInterruption Incentive Scheme (IIS)CI reward/penalty unplanned</v>
      </c>
    </row>
    <row r="173" spans="1:22">
      <c r="A173" s="900" t="s">
        <v>142</v>
      </c>
      <c r="B173" s="900"/>
      <c r="C173" s="900" t="s">
        <v>1293</v>
      </c>
      <c r="D173" t="s">
        <v>224</v>
      </c>
      <c r="E173" t="s">
        <v>792</v>
      </c>
      <c r="F173" t="s">
        <v>1294</v>
      </c>
      <c r="G173">
        <v>25.38508064850452</v>
      </c>
      <c r="H173">
        <v>43.340393983627905</v>
      </c>
      <c r="I173">
        <v>41.559029381285974</v>
      </c>
      <c r="J173">
        <v>24.995735355530297</v>
      </c>
      <c r="K173">
        <v>20.789495892950576</v>
      </c>
      <c r="L173">
        <v>19.393883706042818</v>
      </c>
      <c r="M173">
        <v>29.361169195782949</v>
      </c>
      <c r="N173">
        <v>13.887784367750156</v>
      </c>
      <c r="O173">
        <v>30.032320063238647</v>
      </c>
      <c r="P173">
        <v>27.181049390331271</v>
      </c>
      <c r="Q173">
        <v>25.572266948131247</v>
      </c>
      <c r="R173">
        <v>26.532709851107704</v>
      </c>
      <c r="S173">
        <v>48.258374827626966</v>
      </c>
      <c r="T173">
        <v>39.162161894261864</v>
      </c>
      <c r="U173">
        <f t="shared" si="7"/>
        <v>29.675103964726638</v>
      </c>
      <c r="V173" t="str">
        <f t="shared" si="8"/>
        <v>2021/22Outputs - reliabilityInterruption Incentive Scheme (IIS)CML performance unplanned</v>
      </c>
    </row>
    <row r="174" spans="1:22">
      <c r="A174" s="900" t="s">
        <v>142</v>
      </c>
      <c r="B174" s="900"/>
      <c r="C174" s="900" t="s">
        <v>1293</v>
      </c>
      <c r="D174" t="s">
        <v>224</v>
      </c>
      <c r="E174" t="s">
        <v>794</v>
      </c>
      <c r="F174" t="s">
        <v>1294</v>
      </c>
      <c r="G174">
        <v>36.200000000000003</v>
      </c>
      <c r="H174">
        <v>48.8</v>
      </c>
      <c r="I174">
        <v>50.9</v>
      </c>
      <c r="J174">
        <v>46.4</v>
      </c>
      <c r="K174">
        <v>34.200000000000003</v>
      </c>
      <c r="L174">
        <v>27.2</v>
      </c>
      <c r="M174">
        <v>34.6</v>
      </c>
      <c r="N174">
        <v>35</v>
      </c>
      <c r="O174">
        <v>39.799999999999997</v>
      </c>
      <c r="P174">
        <v>42.1</v>
      </c>
      <c r="Q174">
        <v>37.4</v>
      </c>
      <c r="R174">
        <v>30.6</v>
      </c>
      <c r="S174">
        <v>46.6</v>
      </c>
      <c r="T174">
        <v>42.6</v>
      </c>
      <c r="U174">
        <f t="shared" si="7"/>
        <v>39.457142857142863</v>
      </c>
      <c r="V174" t="str">
        <f t="shared" si="8"/>
        <v>2021/22Outputs - reliabilityInterruption Incentive Scheme (IIS)CML target unplanned</v>
      </c>
    </row>
    <row r="175" spans="1:22">
      <c r="A175" s="900" t="s">
        <v>142</v>
      </c>
      <c r="B175" s="900"/>
      <c r="C175" s="900" t="s">
        <v>1293</v>
      </c>
      <c r="D175" t="s">
        <v>224</v>
      </c>
      <c r="E175" t="s">
        <v>796</v>
      </c>
      <c r="F175" t="s">
        <v>1289</v>
      </c>
      <c r="G175">
        <v>8.7815931861354422</v>
      </c>
      <c r="H175">
        <v>2.8718854319904139</v>
      </c>
      <c r="I175">
        <v>7.0427944585736224</v>
      </c>
      <c r="J175">
        <v>21.877135037480294</v>
      </c>
      <c r="K175">
        <v>14.591081559988258</v>
      </c>
      <c r="L175">
        <v>3.6032259317646038</v>
      </c>
      <c r="M175">
        <v>3.3969845457660179</v>
      </c>
      <c r="N175">
        <v>15.188176217669898</v>
      </c>
      <c r="O175">
        <v>6.9451832507363447</v>
      </c>
      <c r="P175">
        <v>16.723086558131598</v>
      </c>
      <c r="Q175">
        <v>7.4511911787156153</v>
      </c>
      <c r="R175">
        <v>1.9131812273913698</v>
      </c>
      <c r="S175">
        <v>-0.41168748317076931</v>
      </c>
      <c r="T175">
        <v>3.4137395086372124</v>
      </c>
      <c r="U175">
        <f t="shared" si="7"/>
        <v>8.0991121864149953</v>
      </c>
      <c r="V175" t="str">
        <f t="shared" si="8"/>
        <v>2021/22Outputs - reliabilityInterruption Incentive Scheme (IIS)CML reward/penalty unplanned</v>
      </c>
    </row>
    <row r="176" spans="1:22">
      <c r="A176" s="900" t="s">
        <v>142</v>
      </c>
      <c r="B176" s="900"/>
      <c r="C176" s="900" t="s">
        <v>1293</v>
      </c>
      <c r="D176" t="s">
        <v>224</v>
      </c>
      <c r="E176" t="s">
        <v>798</v>
      </c>
      <c r="F176" t="s">
        <v>1289</v>
      </c>
      <c r="G176" cm="1">
        <f t="array" ref="G176:T178">TRANSPOSE('Ch2 outputs - reliability'!E169:G182)</f>
        <v>16.70850378221057</v>
      </c>
      <c r="H176">
        <v>5.8542786035456542</v>
      </c>
      <c r="I176">
        <v>10.723938276286889</v>
      </c>
      <c r="J176">
        <v>22.50958209870236</v>
      </c>
      <c r="K176">
        <v>20.431770052321049</v>
      </c>
      <c r="L176">
        <v>6.0322311437764906</v>
      </c>
      <c r="M176">
        <v>5.8244205750214784</v>
      </c>
      <c r="N176">
        <v>16.708338988862778</v>
      </c>
      <c r="O176">
        <v>13.967149676059405</v>
      </c>
      <c r="P176">
        <v>25.643565284387456</v>
      </c>
      <c r="Q176">
        <v>11.793906259653655</v>
      </c>
      <c r="R176">
        <v>3.4335364797836698</v>
      </c>
      <c r="S176">
        <v>4.2421533449555788</v>
      </c>
      <c r="T176">
        <v>10.15084437359852</v>
      </c>
      <c r="U176">
        <f t="shared" si="7"/>
        <v>12.430301352797539</v>
      </c>
      <c r="V176" t="str">
        <f t="shared" si="8"/>
        <v>2021/22Outputs - reliabilityInterruption Incentive Scheme (IIS)IIS total reward</v>
      </c>
    </row>
    <row r="177" spans="1:22">
      <c r="A177" s="900" t="s">
        <v>142</v>
      </c>
      <c r="B177" s="900"/>
      <c r="C177" s="900" t="s">
        <v>1293</v>
      </c>
      <c r="D177" t="s">
        <v>224</v>
      </c>
      <c r="E177" t="s">
        <v>237</v>
      </c>
      <c r="F177" t="s">
        <v>1289</v>
      </c>
      <c r="G177">
        <v>0</v>
      </c>
      <c r="H177">
        <v>0.49429516215387637</v>
      </c>
      <c r="I177">
        <v>-1.680000000000015E-3</v>
      </c>
      <c r="J177">
        <v>0</v>
      </c>
      <c r="K177">
        <v>0</v>
      </c>
      <c r="L177">
        <v>0</v>
      </c>
      <c r="M177">
        <v>0</v>
      </c>
      <c r="N177">
        <v>0</v>
      </c>
      <c r="O177">
        <v>0</v>
      </c>
      <c r="P177">
        <v>0</v>
      </c>
      <c r="Q177">
        <v>0</v>
      </c>
      <c r="R177">
        <v>0</v>
      </c>
      <c r="S177">
        <v>3.0547919190763255</v>
      </c>
      <c r="T177">
        <v>-1.623999999999981E-2</v>
      </c>
      <c r="U177">
        <f t="shared" si="7"/>
        <v>0.2522262200878716</v>
      </c>
      <c r="V177" t="str">
        <f t="shared" si="8"/>
        <v>2021/22Outputs - reliabilityInterruption Incentive Scheme (IIS)Regulation 7 Severe Weather Conditions Adjustment</v>
      </c>
    </row>
    <row r="178" spans="1:22">
      <c r="A178" s="900" t="s">
        <v>142</v>
      </c>
      <c r="B178" s="900"/>
      <c r="C178" s="900" t="s">
        <v>1293</v>
      </c>
      <c r="D178" t="s">
        <v>224</v>
      </c>
      <c r="E178" t="s">
        <v>238</v>
      </c>
      <c r="F178" t="s">
        <v>1289</v>
      </c>
      <c r="G178">
        <v>-0.10858499999999999</v>
      </c>
      <c r="H178">
        <v>0</v>
      </c>
      <c r="I178">
        <v>0</v>
      </c>
      <c r="J178">
        <v>0</v>
      </c>
      <c r="K178">
        <v>0</v>
      </c>
      <c r="L178">
        <v>0</v>
      </c>
      <c r="M178">
        <v>0</v>
      </c>
      <c r="N178">
        <v>-7.8467999999999996E-2</v>
      </c>
      <c r="O178">
        <v>-0.36888399999999999</v>
      </c>
      <c r="P178">
        <v>-0.17250910000000003</v>
      </c>
      <c r="Q178">
        <v>0</v>
      </c>
      <c r="R178">
        <v>0</v>
      </c>
      <c r="S178">
        <v>0</v>
      </c>
      <c r="T178">
        <v>-7.0640000000000036E-2</v>
      </c>
      <c r="U178">
        <f t="shared" si="7"/>
        <v>-5.7077578571428575E-2</v>
      </c>
      <c r="V178" t="str">
        <f t="shared" si="8"/>
        <v>2021/22Outputs - reliabilityInterruption Incentive Scheme (IIS)Normal weather conditions adjustment</v>
      </c>
    </row>
    <row r="179" spans="1:22" ht="15" customHeight="1">
      <c r="A179" s="900" t="s">
        <v>137</v>
      </c>
      <c r="B179" t="s">
        <v>245</v>
      </c>
      <c r="C179" s="900" t="s">
        <v>1293</v>
      </c>
      <c r="D179" t="s">
        <v>243</v>
      </c>
      <c r="E179" t="s">
        <v>257</v>
      </c>
      <c r="F179" t="s">
        <v>1299</v>
      </c>
      <c r="G179">
        <f t="array" ref="G179:T201">TRANSPOSE('Ch2 outputs - reliability'!E210:AA223)</f>
        <v>256</v>
      </c>
      <c r="H179">
        <v>2426</v>
      </c>
      <c r="I179">
        <v>1455</v>
      </c>
      <c r="J179">
        <v>0</v>
      </c>
      <c r="K179">
        <v>0</v>
      </c>
      <c r="L179">
        <v>0</v>
      </c>
      <c r="M179">
        <v>33</v>
      </c>
      <c r="N179">
        <v>2555</v>
      </c>
      <c r="O179">
        <v>3740</v>
      </c>
      <c r="P179">
        <v>3220</v>
      </c>
      <c r="Q179">
        <v>448</v>
      </c>
      <c r="R179">
        <v>1348</v>
      </c>
      <c r="S179">
        <v>983</v>
      </c>
      <c r="T179">
        <v>838</v>
      </c>
      <c r="U179">
        <f>AVERAGE(G179:T179)</f>
        <v>1235.8571428571429</v>
      </c>
      <c r="V179" t="str">
        <f t="shared" ref="V179:V210" si="9">CONCATENATE(A179,B179,C179,D179,E179)</f>
        <v>2015/16Regulation 5 (Supply Restoration: Normal Conditions)*Outputs - reliabilityGuaranteed Standards of Performance (GSoP)Number of valid payments owed</v>
      </c>
    </row>
    <row r="180" spans="1:22">
      <c r="A180" s="900" t="s">
        <v>137</v>
      </c>
      <c r="B180" t="s">
        <v>245</v>
      </c>
      <c r="C180" s="900" t="s">
        <v>1293</v>
      </c>
      <c r="D180" t="s">
        <v>243</v>
      </c>
      <c r="E180" t="s">
        <v>258</v>
      </c>
      <c r="F180" t="s">
        <v>1300</v>
      </c>
      <c r="G180" s="829">
        <v>1.1015625</v>
      </c>
      <c r="H180" s="829">
        <v>1</v>
      </c>
      <c r="I180" s="829">
        <v>1</v>
      </c>
      <c r="J180" s="829" t="str">
        <v>N/A</v>
      </c>
      <c r="K180" s="829" t="str">
        <v>N/A</v>
      </c>
      <c r="L180" s="829" t="str">
        <v>N/A</v>
      </c>
      <c r="M180" s="829">
        <v>1</v>
      </c>
      <c r="N180" s="829">
        <v>3.2093933463796478E-2</v>
      </c>
      <c r="O180" s="829">
        <v>8.9572192513368981E-2</v>
      </c>
      <c r="P180" s="829">
        <v>9.9378881987577633E-2</v>
      </c>
      <c r="Q180" s="829">
        <v>4.464285714285714E-3</v>
      </c>
      <c r="R180" s="829">
        <v>0</v>
      </c>
      <c r="S180" s="829">
        <v>0.27873855544252291</v>
      </c>
      <c r="T180" s="829">
        <v>1</v>
      </c>
      <c r="U180" s="829">
        <v>0.35039824541152031</v>
      </c>
      <c r="V180" t="str">
        <f t="shared" si="9"/>
        <v>2015/16Regulation 5 (Supply Restoration: Normal Conditions)*Outputs - reliabilityGuaranteed Standards of Performance (GSoP)Mandatory payments vs valid payments owed</v>
      </c>
    </row>
    <row r="181" spans="1:22">
      <c r="A181" s="900" t="s">
        <v>137</v>
      </c>
      <c r="B181" t="s">
        <v>246</v>
      </c>
      <c r="C181" s="900" t="s">
        <v>1293</v>
      </c>
      <c r="D181" t="s">
        <v>243</v>
      </c>
      <c r="E181" t="s">
        <v>257</v>
      </c>
      <c r="F181" t="s">
        <v>1299</v>
      </c>
      <c r="G181">
        <v>0</v>
      </c>
      <c r="H181">
        <v>0</v>
      </c>
      <c r="I181">
        <v>0</v>
      </c>
      <c r="J181">
        <v>0</v>
      </c>
      <c r="K181">
        <v>0</v>
      </c>
      <c r="L181">
        <v>0</v>
      </c>
      <c r="M181">
        <v>0</v>
      </c>
      <c r="N181">
        <v>0</v>
      </c>
      <c r="O181">
        <v>0</v>
      </c>
      <c r="P181">
        <v>0</v>
      </c>
      <c r="Q181">
        <v>0</v>
      </c>
      <c r="R181">
        <v>0</v>
      </c>
      <c r="S181">
        <v>0</v>
      </c>
      <c r="T181">
        <v>0</v>
      </c>
      <c r="U181">
        <v>0</v>
      </c>
      <c r="V181" t="str">
        <f t="shared" si="9"/>
        <v>2015/16Regulation 6 (Supply Restoration: Normal Conditions - 5,000 or more customers' premises interrupted)Outputs - reliabilityGuaranteed Standards of Performance (GSoP)Number of valid payments owed</v>
      </c>
    </row>
    <row r="182" spans="1:22">
      <c r="A182" s="900" t="s">
        <v>137</v>
      </c>
      <c r="B182" t="s">
        <v>246</v>
      </c>
      <c r="C182" s="900" t="s">
        <v>1293</v>
      </c>
      <c r="D182" t="s">
        <v>243</v>
      </c>
      <c r="E182" t="s">
        <v>258</v>
      </c>
      <c r="F182" t="s">
        <v>1300</v>
      </c>
      <c r="G182" t="str">
        <v>N/A</v>
      </c>
      <c r="H182" t="str">
        <v>N/A</v>
      </c>
      <c r="I182" t="str">
        <v>N/A</v>
      </c>
      <c r="J182" t="str">
        <v>N/A</v>
      </c>
      <c r="K182" t="str">
        <v>N/A</v>
      </c>
      <c r="L182" t="str">
        <v>N/A</v>
      </c>
      <c r="M182" t="str">
        <v>N/A</v>
      </c>
      <c r="N182" t="str">
        <v>N/A</v>
      </c>
      <c r="O182" t="str">
        <v>N/A</v>
      </c>
      <c r="P182" t="str">
        <v>N/A</v>
      </c>
      <c r="Q182" t="str">
        <v>N/A</v>
      </c>
      <c r="R182" t="str">
        <v>N/A</v>
      </c>
      <c r="S182" t="str">
        <v>N/A</v>
      </c>
      <c r="T182" t="str">
        <v>N/A</v>
      </c>
      <c r="U182" t="s">
        <v>210</v>
      </c>
      <c r="V182" t="str">
        <f t="shared" si="9"/>
        <v>2015/16Regulation 6 (Supply Restoration: Normal Conditions - 5,000 or more customers' premises interrupted)Outputs - reliabilityGuaranteed Standards of Performance (GSoP)Mandatory payments vs valid payments owed</v>
      </c>
    </row>
    <row r="183" spans="1:22">
      <c r="A183" s="900" t="s">
        <v>137</v>
      </c>
      <c r="B183" t="s">
        <v>247</v>
      </c>
      <c r="C183" s="900" t="s">
        <v>1293</v>
      </c>
      <c r="D183" t="s">
        <v>243</v>
      </c>
      <c r="E183" t="s">
        <v>257</v>
      </c>
      <c r="F183" t="s">
        <v>1299</v>
      </c>
      <c r="G183">
        <v>0</v>
      </c>
      <c r="H183">
        <v>321</v>
      </c>
      <c r="I183">
        <v>1067</v>
      </c>
      <c r="J183">
        <v>0</v>
      </c>
      <c r="K183">
        <v>0</v>
      </c>
      <c r="L183">
        <v>0</v>
      </c>
      <c r="M183">
        <v>0</v>
      </c>
      <c r="N183">
        <v>0</v>
      </c>
      <c r="O183">
        <v>0</v>
      </c>
      <c r="P183">
        <v>22</v>
      </c>
      <c r="Q183">
        <v>0</v>
      </c>
      <c r="R183">
        <v>5</v>
      </c>
      <c r="S183">
        <v>24</v>
      </c>
      <c r="T183">
        <v>0</v>
      </c>
      <c r="U183">
        <f>AVERAGE(G183:T183)</f>
        <v>102.78571428571429</v>
      </c>
      <c r="V183" t="str">
        <f t="shared" si="9"/>
        <v>2015/16Regulation 7(1) - Supply Restoration: Category 1 Severe Weather Conditions*Outputs - reliabilityGuaranteed Standards of Performance (GSoP)Number of valid payments owed</v>
      </c>
    </row>
    <row r="184" spans="1:22">
      <c r="A184" s="900" t="s">
        <v>137</v>
      </c>
      <c r="B184" t="s">
        <v>247</v>
      </c>
      <c r="C184" s="900" t="s">
        <v>1293</v>
      </c>
      <c r="D184" t="s">
        <v>243</v>
      </c>
      <c r="E184" t="s">
        <v>258</v>
      </c>
      <c r="F184" t="s">
        <v>1300</v>
      </c>
      <c r="G184" s="829" t="str">
        <v>N/A</v>
      </c>
      <c r="H184" s="829">
        <v>1</v>
      </c>
      <c r="I184" s="829">
        <v>1</v>
      </c>
      <c r="J184" s="829" t="str">
        <v>N/A</v>
      </c>
      <c r="K184" s="829" t="str">
        <v>N/A</v>
      </c>
      <c r="L184" s="829" t="str">
        <v>N/A</v>
      </c>
      <c r="M184" s="829" t="str">
        <v>N/A</v>
      </c>
      <c r="N184" s="829" t="str">
        <v>N/A</v>
      </c>
      <c r="O184" s="829" t="str">
        <v>N/A</v>
      </c>
      <c r="P184" s="829">
        <v>0</v>
      </c>
      <c r="Q184" s="829" t="str">
        <v>N/A</v>
      </c>
      <c r="R184" s="829">
        <v>0</v>
      </c>
      <c r="S184" s="829">
        <v>0</v>
      </c>
      <c r="T184" s="829" t="str">
        <v>N/A</v>
      </c>
      <c r="U184" s="829">
        <v>0.96455872133425979</v>
      </c>
      <c r="V184" t="str">
        <f t="shared" si="9"/>
        <v>2015/16Regulation 7(1) - Supply Restoration: Category 1 Severe Weather Conditions*Outputs - reliabilityGuaranteed Standards of Performance (GSoP)Mandatory payments vs valid payments owed</v>
      </c>
    </row>
    <row r="185" spans="1:22">
      <c r="A185" s="900" t="s">
        <v>137</v>
      </c>
      <c r="B185" t="s">
        <v>248</v>
      </c>
      <c r="C185" s="900" t="s">
        <v>1293</v>
      </c>
      <c r="D185" t="s">
        <v>243</v>
      </c>
      <c r="E185" t="s">
        <v>257</v>
      </c>
      <c r="F185" t="s">
        <v>1299</v>
      </c>
      <c r="G185">
        <v>3</v>
      </c>
      <c r="H185">
        <v>0</v>
      </c>
      <c r="I185">
        <v>0</v>
      </c>
      <c r="J185">
        <v>0</v>
      </c>
      <c r="K185">
        <v>0</v>
      </c>
      <c r="L185">
        <v>0</v>
      </c>
      <c r="M185">
        <v>0</v>
      </c>
      <c r="N185">
        <v>0</v>
      </c>
      <c r="O185">
        <v>0</v>
      </c>
      <c r="P185">
        <v>0</v>
      </c>
      <c r="Q185">
        <v>0</v>
      </c>
      <c r="R185">
        <v>0</v>
      </c>
      <c r="S185">
        <v>0</v>
      </c>
      <c r="T185">
        <v>0</v>
      </c>
      <c r="U185">
        <f>AVERAGE(G185:T185)</f>
        <v>0.21428571428571427</v>
      </c>
      <c r="V185" t="str">
        <f t="shared" si="9"/>
        <v>2015/16Regulation 7(2) - Supply Restoration: Category 2 Severe Weather Conditions*Outputs - reliabilityGuaranteed Standards of Performance (GSoP)Number of valid payments owed</v>
      </c>
    </row>
    <row r="186" spans="1:22">
      <c r="A186" s="900" t="s">
        <v>137</v>
      </c>
      <c r="B186" t="s">
        <v>248</v>
      </c>
      <c r="C186" s="900" t="s">
        <v>1293</v>
      </c>
      <c r="D186" t="s">
        <v>243</v>
      </c>
      <c r="E186" t="s">
        <v>258</v>
      </c>
      <c r="F186" t="s">
        <v>1300</v>
      </c>
      <c r="G186" s="829">
        <v>1</v>
      </c>
      <c r="H186" s="829" t="str">
        <v>N/A</v>
      </c>
      <c r="I186" s="829" t="str">
        <v>N/A</v>
      </c>
      <c r="J186" s="829" t="str">
        <v>N/A</v>
      </c>
      <c r="K186" s="829" t="str">
        <v>N/A</v>
      </c>
      <c r="L186" s="829" t="str">
        <v>N/A</v>
      </c>
      <c r="M186" s="829" t="str">
        <v>N/A</v>
      </c>
      <c r="N186" s="829" t="str">
        <v>N/A</v>
      </c>
      <c r="O186" s="829" t="str">
        <v>N/A</v>
      </c>
      <c r="P186" s="829" t="str">
        <v>N/A</v>
      </c>
      <c r="Q186" s="829" t="str">
        <v>N/A</v>
      </c>
      <c r="R186" s="829" t="str">
        <v>N/A</v>
      </c>
      <c r="S186" s="829" t="str">
        <v>N/A</v>
      </c>
      <c r="T186" s="829" t="str">
        <v>N/A</v>
      </c>
      <c r="U186" s="829">
        <v>0</v>
      </c>
      <c r="V186" t="str">
        <f t="shared" si="9"/>
        <v>2015/16Regulation 7(2) - Supply Restoration: Category 2 Severe Weather Conditions*Outputs - reliabilityGuaranteed Standards of Performance (GSoP)Mandatory payments vs valid payments owed</v>
      </c>
    </row>
    <row r="187" spans="1:22">
      <c r="A187" s="900" t="s">
        <v>137</v>
      </c>
      <c r="B187" t="s">
        <v>249</v>
      </c>
      <c r="C187" s="900" t="s">
        <v>1293</v>
      </c>
      <c r="D187" t="s">
        <v>243</v>
      </c>
      <c r="E187" t="s">
        <v>257</v>
      </c>
      <c r="F187" t="s">
        <v>1299</v>
      </c>
      <c r="G187">
        <v>0</v>
      </c>
      <c r="H187">
        <v>0</v>
      </c>
      <c r="I187">
        <v>0</v>
      </c>
      <c r="J187">
        <v>0</v>
      </c>
      <c r="K187">
        <v>0</v>
      </c>
      <c r="L187">
        <v>0</v>
      </c>
      <c r="M187">
        <v>0</v>
      </c>
      <c r="N187">
        <v>0</v>
      </c>
      <c r="O187">
        <v>0</v>
      </c>
      <c r="P187">
        <v>0</v>
      </c>
      <c r="Q187">
        <v>0</v>
      </c>
      <c r="R187">
        <v>0</v>
      </c>
      <c r="S187">
        <v>0</v>
      </c>
      <c r="T187">
        <v>0</v>
      </c>
      <c r="U187">
        <v>0</v>
      </c>
      <c r="V187" t="str">
        <f t="shared" si="9"/>
        <v>2015/16Regulation 7(3) - Supply Restoration: Category 3 Severe Weather Conditions*Outputs - reliabilityGuaranteed Standards of Performance (GSoP)Number of valid payments owed</v>
      </c>
    </row>
    <row r="188" spans="1:22">
      <c r="A188" s="900" t="s">
        <v>137</v>
      </c>
      <c r="B188" t="s">
        <v>249</v>
      </c>
      <c r="C188" s="900" t="s">
        <v>1293</v>
      </c>
      <c r="D188" t="s">
        <v>243</v>
      </c>
      <c r="E188" t="s">
        <v>258</v>
      </c>
      <c r="F188" t="s">
        <v>1300</v>
      </c>
      <c r="G188" t="str">
        <v>N/A</v>
      </c>
      <c r="H188" t="str">
        <v>N/A</v>
      </c>
      <c r="I188" t="str">
        <v>N/A</v>
      </c>
      <c r="J188" t="str">
        <v>N/A</v>
      </c>
      <c r="K188" t="str">
        <v>N/A</v>
      </c>
      <c r="L188" t="str">
        <v>N/A</v>
      </c>
      <c r="M188" t="str">
        <v>N/A</v>
      </c>
      <c r="N188" t="str">
        <v>N/A</v>
      </c>
      <c r="O188" t="str">
        <v>N/A</v>
      </c>
      <c r="P188" t="str">
        <v>N/A</v>
      </c>
      <c r="Q188" t="str">
        <v>N/A</v>
      </c>
      <c r="R188" t="str">
        <v>N/A</v>
      </c>
      <c r="S188" t="str">
        <v>N/A</v>
      </c>
      <c r="T188" t="str">
        <v>N/A</v>
      </c>
      <c r="U188" t="s">
        <v>210</v>
      </c>
      <c r="V188" t="str">
        <f t="shared" si="9"/>
        <v>2015/16Regulation 7(3) - Supply Restoration: Category 3 Severe Weather Conditions*Outputs - reliabilityGuaranteed Standards of Performance (GSoP)Mandatory payments vs valid payments owed</v>
      </c>
    </row>
    <row r="189" spans="1:22">
      <c r="A189" s="900" t="s">
        <v>137</v>
      </c>
      <c r="B189" t="s">
        <v>250</v>
      </c>
      <c r="C189" s="900" t="s">
        <v>1293</v>
      </c>
      <c r="D189" t="s">
        <v>243</v>
      </c>
      <c r="E189" t="s">
        <v>257</v>
      </c>
      <c r="F189" t="s">
        <v>1299</v>
      </c>
      <c r="G189">
        <v>0</v>
      </c>
      <c r="H189">
        <v>0</v>
      </c>
      <c r="I189">
        <v>0</v>
      </c>
      <c r="J189">
        <v>0</v>
      </c>
      <c r="K189">
        <v>0</v>
      </c>
      <c r="L189">
        <v>0</v>
      </c>
      <c r="M189">
        <v>0</v>
      </c>
      <c r="N189">
        <v>0</v>
      </c>
      <c r="O189">
        <v>0</v>
      </c>
      <c r="P189">
        <v>0</v>
      </c>
      <c r="Q189">
        <v>0</v>
      </c>
      <c r="R189">
        <v>0</v>
      </c>
      <c r="S189">
        <v>0</v>
      </c>
      <c r="T189">
        <v>0</v>
      </c>
      <c r="U189">
        <v>0</v>
      </c>
      <c r="V189" t="str">
        <f t="shared" si="9"/>
        <v>2015/16Regulation 8 (Supply Restoration: Rota Disconnection)Outputs - reliabilityGuaranteed Standards of Performance (GSoP)Number of valid payments owed</v>
      </c>
    </row>
    <row r="190" spans="1:22">
      <c r="A190" s="900" t="s">
        <v>137</v>
      </c>
      <c r="B190" t="s">
        <v>250</v>
      </c>
      <c r="C190" s="900" t="s">
        <v>1293</v>
      </c>
      <c r="D190" t="s">
        <v>243</v>
      </c>
      <c r="E190" t="s">
        <v>258</v>
      </c>
      <c r="F190" t="s">
        <v>1300</v>
      </c>
      <c r="G190" t="str">
        <v>N/A</v>
      </c>
      <c r="H190" t="str">
        <v>N/A</v>
      </c>
      <c r="I190" t="str">
        <v>N/A</v>
      </c>
      <c r="J190" t="str">
        <v>N/A</v>
      </c>
      <c r="K190" t="str">
        <v>N/A</v>
      </c>
      <c r="L190" t="str">
        <v>N/A</v>
      </c>
      <c r="M190" t="str">
        <v>N/A</v>
      </c>
      <c r="N190" t="str">
        <v>N/A</v>
      </c>
      <c r="O190" t="str">
        <v>N/A</v>
      </c>
      <c r="P190" t="str">
        <v>N/A</v>
      </c>
      <c r="Q190" t="str">
        <v>N/A</v>
      </c>
      <c r="R190" t="str">
        <v>N/A</v>
      </c>
      <c r="S190" t="str">
        <v>N/A</v>
      </c>
      <c r="T190" t="str">
        <v>N/A</v>
      </c>
      <c r="U190" t="s">
        <v>210</v>
      </c>
      <c r="V190" t="str">
        <f t="shared" si="9"/>
        <v>2015/16Regulation 8 (Supply Restoration: Rota Disconnection)Outputs - reliabilityGuaranteed Standards of Performance (GSoP)Mandatory payments vs valid payments owed</v>
      </c>
    </row>
    <row r="191" spans="1:22">
      <c r="A191" s="900" t="s">
        <v>137</v>
      </c>
      <c r="B191" t="s">
        <v>251</v>
      </c>
      <c r="C191" s="900" t="s">
        <v>1293</v>
      </c>
      <c r="D191" t="s">
        <v>243</v>
      </c>
      <c r="E191" t="s">
        <v>257</v>
      </c>
      <c r="F191" t="s">
        <v>1299</v>
      </c>
      <c r="G191">
        <v>21</v>
      </c>
      <c r="H191">
        <v>2</v>
      </c>
      <c r="I191">
        <v>0</v>
      </c>
      <c r="J191">
        <v>0</v>
      </c>
      <c r="K191">
        <v>0</v>
      </c>
      <c r="L191">
        <v>0</v>
      </c>
      <c r="M191">
        <v>0</v>
      </c>
      <c r="N191">
        <v>17</v>
      </c>
      <c r="O191">
        <v>59</v>
      </c>
      <c r="P191">
        <v>26</v>
      </c>
      <c r="Q191">
        <v>0</v>
      </c>
      <c r="R191">
        <v>0</v>
      </c>
      <c r="S191">
        <v>0</v>
      </c>
      <c r="T191">
        <v>2</v>
      </c>
      <c r="U191">
        <f>AVERAGE(G191:T191)</f>
        <v>9.0714285714285712</v>
      </c>
      <c r="V191" t="str">
        <f t="shared" si="9"/>
        <v>2015/16Regulation 10 (Supply Restoration: Multiple interruptions)Outputs - reliabilityGuaranteed Standards of Performance (GSoP)Number of valid payments owed</v>
      </c>
    </row>
    <row r="192" spans="1:22">
      <c r="A192" s="900" t="s">
        <v>137</v>
      </c>
      <c r="B192" t="s">
        <v>251</v>
      </c>
      <c r="C192" s="900" t="s">
        <v>1293</v>
      </c>
      <c r="D192" t="s">
        <v>243</v>
      </c>
      <c r="E192" t="s">
        <v>258</v>
      </c>
      <c r="F192" t="s">
        <v>1300</v>
      </c>
      <c r="G192" s="829">
        <v>1</v>
      </c>
      <c r="H192" s="829">
        <v>1</v>
      </c>
      <c r="I192" s="829" t="str">
        <v>N/A</v>
      </c>
      <c r="J192" s="829" t="str">
        <v>N/A</v>
      </c>
      <c r="K192" s="829" t="str">
        <v>N/A</v>
      </c>
      <c r="L192" s="829" t="str">
        <v>N/A</v>
      </c>
      <c r="M192" s="829" t="str">
        <v>N/A</v>
      </c>
      <c r="N192" s="829">
        <v>1</v>
      </c>
      <c r="O192" s="829">
        <v>1</v>
      </c>
      <c r="P192" s="829">
        <v>1</v>
      </c>
      <c r="Q192" s="829" t="str">
        <v>N/A</v>
      </c>
      <c r="R192" s="829" t="str">
        <v>N/A</v>
      </c>
      <c r="S192" s="829" t="str">
        <v>N/A</v>
      </c>
      <c r="T192" s="829">
        <v>1</v>
      </c>
      <c r="U192" s="829">
        <v>0</v>
      </c>
      <c r="V192" t="str">
        <f t="shared" si="9"/>
        <v>2015/16Regulation 10 (Supply Restoration: Multiple interruptions)Outputs - reliabilityGuaranteed Standards of Performance (GSoP)Mandatory payments vs valid payments owed</v>
      </c>
    </row>
    <row r="193" spans="1:22">
      <c r="A193" s="900" t="s">
        <v>137</v>
      </c>
      <c r="B193" t="s">
        <v>252</v>
      </c>
      <c r="C193" s="900" t="s">
        <v>1293</v>
      </c>
      <c r="D193" t="s">
        <v>243</v>
      </c>
      <c r="E193" t="s">
        <v>257</v>
      </c>
      <c r="F193" t="s">
        <v>1299</v>
      </c>
      <c r="G193">
        <v>0</v>
      </c>
      <c r="H193">
        <v>0</v>
      </c>
      <c r="I193">
        <v>0</v>
      </c>
      <c r="J193">
        <v>0</v>
      </c>
      <c r="K193">
        <v>0</v>
      </c>
      <c r="L193">
        <v>0</v>
      </c>
      <c r="M193">
        <v>2</v>
      </c>
      <c r="N193">
        <v>9</v>
      </c>
      <c r="O193">
        <v>16</v>
      </c>
      <c r="P193">
        <v>11</v>
      </c>
      <c r="Q193">
        <v>0</v>
      </c>
      <c r="R193">
        <v>1</v>
      </c>
      <c r="S193">
        <v>1</v>
      </c>
      <c r="T193">
        <v>3</v>
      </c>
      <c r="U193">
        <f>AVERAGE(G193:T193)</f>
        <v>3.0714285714285716</v>
      </c>
      <c r="V193" t="str">
        <f t="shared" si="9"/>
        <v>2015/16Regulation 11 (Responding to Operation of Distributor's Fuse)Outputs - reliabilityGuaranteed Standards of Performance (GSoP)Number of valid payments owed</v>
      </c>
    </row>
    <row r="194" spans="1:22">
      <c r="A194" s="900" t="s">
        <v>137</v>
      </c>
      <c r="B194" t="s">
        <v>252</v>
      </c>
      <c r="C194" s="900" t="s">
        <v>1293</v>
      </c>
      <c r="D194" t="s">
        <v>243</v>
      </c>
      <c r="E194" t="s">
        <v>258</v>
      </c>
      <c r="F194" t="s">
        <v>1300</v>
      </c>
      <c r="G194" s="829" t="str">
        <v>N/A</v>
      </c>
      <c r="H194" s="829" t="str">
        <v>N/A</v>
      </c>
      <c r="I194" s="829" t="str">
        <v>N/A</v>
      </c>
      <c r="J194" s="829" t="str">
        <v>N/A</v>
      </c>
      <c r="K194" s="829" t="str">
        <v>N/A</v>
      </c>
      <c r="L194" s="829" t="str">
        <v>N/A</v>
      </c>
      <c r="M194" s="829">
        <v>1</v>
      </c>
      <c r="N194" s="829">
        <v>1</v>
      </c>
      <c r="O194" s="829">
        <v>1</v>
      </c>
      <c r="P194" s="829">
        <v>1</v>
      </c>
      <c r="Q194" s="829" t="str">
        <v>N/A</v>
      </c>
      <c r="R194" s="829">
        <v>1</v>
      </c>
      <c r="S194" s="829">
        <v>0</v>
      </c>
      <c r="T194" s="829">
        <v>1</v>
      </c>
      <c r="U194" s="829" t="s">
        <v>210</v>
      </c>
      <c r="V194" t="str">
        <f t="shared" si="9"/>
        <v>2015/16Regulation 11 (Responding to Operation of Distributor's Fuse)Outputs - reliabilityGuaranteed Standards of Performance (GSoP)Mandatory payments vs valid payments owed</v>
      </c>
    </row>
    <row r="195" spans="1:22">
      <c r="A195" s="900" t="s">
        <v>137</v>
      </c>
      <c r="B195" t="s">
        <v>253</v>
      </c>
      <c r="C195" s="900" t="s">
        <v>1293</v>
      </c>
      <c r="D195" t="s">
        <v>243</v>
      </c>
      <c r="E195" t="s">
        <v>257</v>
      </c>
      <c r="F195" t="s">
        <v>1299</v>
      </c>
      <c r="G195">
        <v>383</v>
      </c>
      <c r="H195">
        <v>28</v>
      </c>
      <c r="I195">
        <v>24</v>
      </c>
      <c r="J195">
        <v>0</v>
      </c>
      <c r="K195">
        <v>3</v>
      </c>
      <c r="L195">
        <v>1</v>
      </c>
      <c r="M195">
        <v>5</v>
      </c>
      <c r="N195">
        <v>28</v>
      </c>
      <c r="O195">
        <v>103</v>
      </c>
      <c r="P195">
        <v>236</v>
      </c>
      <c r="Q195">
        <v>0</v>
      </c>
      <c r="R195">
        <v>0</v>
      </c>
      <c r="S195">
        <v>126</v>
      </c>
      <c r="T195">
        <v>53</v>
      </c>
      <c r="U195">
        <f>AVERAGE(G195:T195)</f>
        <v>70.714285714285708</v>
      </c>
      <c r="V195" t="str">
        <f t="shared" si="9"/>
        <v>2015/16Regulation 12 (Notice of Supply Interruption )Outputs - reliabilityGuaranteed Standards of Performance (GSoP)Number of valid payments owed</v>
      </c>
    </row>
    <row r="196" spans="1:22">
      <c r="A196" s="900" t="s">
        <v>137</v>
      </c>
      <c r="B196" t="s">
        <v>253</v>
      </c>
      <c r="C196" s="900" t="s">
        <v>1293</v>
      </c>
      <c r="D196" t="s">
        <v>243</v>
      </c>
      <c r="E196" t="s">
        <v>258</v>
      </c>
      <c r="F196" t="s">
        <v>1300</v>
      </c>
      <c r="G196" s="829">
        <v>1</v>
      </c>
      <c r="H196" s="829">
        <v>1</v>
      </c>
      <c r="I196" s="829">
        <v>1</v>
      </c>
      <c r="J196" s="829" t="str">
        <v>N/A</v>
      </c>
      <c r="K196" s="829">
        <v>1</v>
      </c>
      <c r="L196" s="829">
        <v>1</v>
      </c>
      <c r="M196" s="829">
        <v>1</v>
      </c>
      <c r="N196" s="829">
        <v>1</v>
      </c>
      <c r="O196" s="829">
        <v>1</v>
      </c>
      <c r="P196" s="829">
        <v>1</v>
      </c>
      <c r="Q196" s="829" t="str">
        <v>N/A</v>
      </c>
      <c r="R196" s="829" t="str">
        <v>N/A</v>
      </c>
      <c r="S196" s="829">
        <v>1.0714285714285714</v>
      </c>
      <c r="T196" s="829">
        <v>1</v>
      </c>
      <c r="U196" s="829">
        <v>0</v>
      </c>
      <c r="V196" t="str">
        <f t="shared" si="9"/>
        <v>2015/16Regulation 12 (Notice of Supply Interruption )Outputs - reliabilityGuaranteed Standards of Performance (GSoP)Mandatory payments vs valid payments owed</v>
      </c>
    </row>
    <row r="197" spans="1:22">
      <c r="A197" s="900" t="s">
        <v>137</v>
      </c>
      <c r="B197" t="s">
        <v>254</v>
      </c>
      <c r="C197" s="900" t="s">
        <v>1293</v>
      </c>
      <c r="D197" t="s">
        <v>243</v>
      </c>
      <c r="E197" t="s">
        <v>821</v>
      </c>
      <c r="F197" t="s">
        <v>1299</v>
      </c>
      <c r="G197">
        <v>0</v>
      </c>
      <c r="H197">
        <v>0</v>
      </c>
      <c r="I197">
        <v>0</v>
      </c>
      <c r="J197">
        <v>0</v>
      </c>
      <c r="K197">
        <v>0</v>
      </c>
      <c r="L197">
        <v>0</v>
      </c>
      <c r="M197">
        <v>0</v>
      </c>
      <c r="N197">
        <v>0</v>
      </c>
      <c r="O197">
        <v>0</v>
      </c>
      <c r="P197">
        <v>0</v>
      </c>
      <c r="Q197">
        <v>0</v>
      </c>
      <c r="R197">
        <v>1</v>
      </c>
      <c r="S197">
        <v>0</v>
      </c>
      <c r="T197">
        <v>3</v>
      </c>
      <c r="U197">
        <f>AVERAGE(G197:T197)</f>
        <v>0.2857142857142857</v>
      </c>
      <c r="V197" t="str">
        <f t="shared" si="9"/>
        <v>2015/16Regulation 13 (Investigation of Voltage complaints)Outputs - reliabilityGuaranteed Standards of Performance (GSoP)Total Number of mandatory payments made</v>
      </c>
    </row>
    <row r="198" spans="1:22">
      <c r="A198" s="900" t="s">
        <v>137</v>
      </c>
      <c r="B198" t="s">
        <v>255</v>
      </c>
      <c r="C198" s="900" t="s">
        <v>1293</v>
      </c>
      <c r="D198" t="s">
        <v>243</v>
      </c>
      <c r="E198" t="s">
        <v>257</v>
      </c>
      <c r="F198" t="s">
        <v>1299</v>
      </c>
      <c r="G198">
        <v>1079</v>
      </c>
      <c r="H198">
        <v>18</v>
      </c>
      <c r="I198">
        <v>27</v>
      </c>
      <c r="J198">
        <v>12664</v>
      </c>
      <c r="K198">
        <v>17409</v>
      </c>
      <c r="L198">
        <v>7505</v>
      </c>
      <c r="M198">
        <v>19295</v>
      </c>
      <c r="N198">
        <v>46</v>
      </c>
      <c r="O198">
        <v>209</v>
      </c>
      <c r="P198">
        <v>241</v>
      </c>
      <c r="Q198">
        <v>0</v>
      </c>
      <c r="R198">
        <v>0</v>
      </c>
      <c r="S198">
        <v>1</v>
      </c>
      <c r="T198">
        <v>0</v>
      </c>
      <c r="U198">
        <f>AVERAGE(G198:T198)</f>
        <v>4178.1428571428569</v>
      </c>
      <c r="V198" t="str">
        <f t="shared" si="9"/>
        <v>2015/16Regulation 17 (Making and Keeping Appointments)Outputs - reliabilityGuaranteed Standards of Performance (GSoP)Number of valid payments owed</v>
      </c>
    </row>
    <row r="199" spans="1:22">
      <c r="A199" s="900" t="s">
        <v>137</v>
      </c>
      <c r="B199" t="s">
        <v>255</v>
      </c>
      <c r="C199" s="900" t="s">
        <v>1293</v>
      </c>
      <c r="D199" t="s">
        <v>243</v>
      </c>
      <c r="E199" t="s">
        <v>258</v>
      </c>
      <c r="F199" t="s">
        <v>1300</v>
      </c>
      <c r="G199" s="829">
        <v>1</v>
      </c>
      <c r="H199" s="829">
        <v>0.77272727272727271</v>
      </c>
      <c r="I199" s="829">
        <v>0.69230769230769229</v>
      </c>
      <c r="J199" s="829">
        <v>0</v>
      </c>
      <c r="K199" s="829">
        <v>0</v>
      </c>
      <c r="L199" s="829">
        <v>1.3324450366422385E-4</v>
      </c>
      <c r="M199" s="829">
        <v>0</v>
      </c>
      <c r="N199" s="829">
        <v>1</v>
      </c>
      <c r="O199" s="829">
        <v>1</v>
      </c>
      <c r="P199" s="829">
        <v>1</v>
      </c>
      <c r="Q199" s="829" t="str">
        <v>N/A</v>
      </c>
      <c r="R199" s="829" t="str">
        <v>N/A</v>
      </c>
      <c r="S199" s="829">
        <v>1</v>
      </c>
      <c r="T199" s="829" t="str">
        <v>N/A</v>
      </c>
      <c r="U199" s="829">
        <v>2.7704665869082205E-2</v>
      </c>
      <c r="V199" t="str">
        <f t="shared" si="9"/>
        <v>2015/16Regulation 17 (Making and Keeping Appointments)Outputs - reliabilityGuaranteed Standards of Performance (GSoP)Mandatory payments vs valid payments owed</v>
      </c>
    </row>
    <row r="200" spans="1:22">
      <c r="A200" s="900" t="s">
        <v>137</v>
      </c>
      <c r="B200" t="s">
        <v>256</v>
      </c>
      <c r="C200" s="900" t="s">
        <v>1293</v>
      </c>
      <c r="D200" t="s">
        <v>243</v>
      </c>
      <c r="E200" t="s">
        <v>257</v>
      </c>
      <c r="F200" t="s">
        <v>1299</v>
      </c>
      <c r="G200">
        <v>1042</v>
      </c>
      <c r="H200">
        <v>14</v>
      </c>
      <c r="I200">
        <v>17</v>
      </c>
      <c r="J200">
        <v>0</v>
      </c>
      <c r="K200">
        <v>0</v>
      </c>
      <c r="L200">
        <v>0</v>
      </c>
      <c r="M200">
        <v>0</v>
      </c>
      <c r="N200">
        <v>0</v>
      </c>
      <c r="O200">
        <v>4</v>
      </c>
      <c r="P200">
        <v>125</v>
      </c>
      <c r="Q200">
        <v>2</v>
      </c>
      <c r="R200">
        <v>2</v>
      </c>
      <c r="S200">
        <v>663</v>
      </c>
      <c r="T200">
        <v>4</v>
      </c>
      <c r="U200" s="229">
        <f>AVERAGE(G200:T200)</f>
        <v>133.78571428571428</v>
      </c>
      <c r="V200" t="str">
        <f t="shared" si="9"/>
        <v>2015/16Regulation 19 (Payments owed under the Guaranteed Standards)Outputs - reliabilityGuaranteed Standards of Performance (GSoP)Number of valid payments owed</v>
      </c>
    </row>
    <row r="201" spans="1:22">
      <c r="A201" s="900" t="s">
        <v>137</v>
      </c>
      <c r="B201" t="s">
        <v>256</v>
      </c>
      <c r="C201" s="900" t="s">
        <v>1293</v>
      </c>
      <c r="D201" t="s">
        <v>243</v>
      </c>
      <c r="E201" t="s">
        <v>258</v>
      </c>
      <c r="F201" t="s">
        <v>1300</v>
      </c>
      <c r="G201" s="829">
        <v>1</v>
      </c>
      <c r="H201" s="829">
        <v>1</v>
      </c>
      <c r="I201" s="829">
        <v>1</v>
      </c>
      <c r="J201" s="829" t="str">
        <v>N/A</v>
      </c>
      <c r="K201" s="829" t="str">
        <v>N/A</v>
      </c>
      <c r="L201" s="829" t="str">
        <v>N/A</v>
      </c>
      <c r="M201" s="829" t="str">
        <v>N/A</v>
      </c>
      <c r="N201" s="829" t="str">
        <v>N/A</v>
      </c>
      <c r="O201" s="829">
        <v>1</v>
      </c>
      <c r="P201" s="829">
        <v>1</v>
      </c>
      <c r="Q201" s="829">
        <v>0</v>
      </c>
      <c r="R201" s="829">
        <v>0</v>
      </c>
      <c r="S201" s="829">
        <v>1.5082956259426848E-3</v>
      </c>
      <c r="T201" s="829">
        <v>1</v>
      </c>
      <c r="U201" s="829">
        <v>0.64442071542979174</v>
      </c>
      <c r="V201" t="str">
        <f t="shared" si="9"/>
        <v>2015/16Regulation 19 (Payments owed under the Guaranteed Standards)Outputs - reliabilityGuaranteed Standards of Performance (GSoP)Mandatory payments vs valid payments owed</v>
      </c>
    </row>
    <row r="202" spans="1:22">
      <c r="A202" s="900" t="s">
        <v>137</v>
      </c>
      <c r="C202" s="900" t="s">
        <v>1293</v>
      </c>
      <c r="D202" t="s">
        <v>243</v>
      </c>
      <c r="E202" t="s">
        <v>1301</v>
      </c>
      <c r="F202" t="s">
        <v>1299</v>
      </c>
      <c r="G202" s="901">
        <f>SUM(G179,G181,G183,G185,G187,G189,G191,G193,G195,G198,G200)</f>
        <v>2784</v>
      </c>
      <c r="H202" s="901">
        <f t="shared" ref="H202:T202" si="10">SUM(H179,H181,H183,H185,H187,H189,H191,H193,H195,H198,H200)</f>
        <v>2809</v>
      </c>
      <c r="I202" s="901">
        <f t="shared" si="10"/>
        <v>2590</v>
      </c>
      <c r="J202" s="901">
        <f t="shared" si="10"/>
        <v>12664</v>
      </c>
      <c r="K202" s="901">
        <f t="shared" si="10"/>
        <v>17412</v>
      </c>
      <c r="L202" s="901">
        <f t="shared" si="10"/>
        <v>7506</v>
      </c>
      <c r="M202" s="901">
        <f t="shared" si="10"/>
        <v>19335</v>
      </c>
      <c r="N202" s="901">
        <f t="shared" si="10"/>
        <v>2655</v>
      </c>
      <c r="O202" s="901">
        <f t="shared" si="10"/>
        <v>4131</v>
      </c>
      <c r="P202" s="901">
        <f t="shared" si="10"/>
        <v>3881</v>
      </c>
      <c r="Q202" s="901">
        <f t="shared" si="10"/>
        <v>450</v>
      </c>
      <c r="R202" s="901">
        <f t="shared" si="10"/>
        <v>1356</v>
      </c>
      <c r="S202" s="901">
        <f t="shared" si="10"/>
        <v>1798</v>
      </c>
      <c r="T202" s="901">
        <f t="shared" si="10"/>
        <v>900</v>
      </c>
      <c r="U202" s="1032">
        <f>AVERAGE(G202:T202)</f>
        <v>5733.6428571428569</v>
      </c>
      <c r="V202" t="str">
        <f t="shared" si="9"/>
        <v>2015/16Outputs - reliabilityGuaranteed Standards of Performance (GSoP)Total Payments owed</v>
      </c>
    </row>
    <row r="203" spans="1:22">
      <c r="A203" s="900" t="s">
        <v>137</v>
      </c>
      <c r="C203" s="900" t="s">
        <v>1293</v>
      </c>
      <c r="D203" t="s">
        <v>243</v>
      </c>
      <c r="E203" t="s">
        <v>1302</v>
      </c>
      <c r="F203" t="s">
        <v>1299</v>
      </c>
      <c r="G203" s="901">
        <v>2810</v>
      </c>
      <c r="H203" s="901">
        <v>2814</v>
      </c>
      <c r="I203" s="901">
        <v>2592</v>
      </c>
      <c r="J203" s="901">
        <v>24</v>
      </c>
      <c r="K203" s="901">
        <v>3</v>
      </c>
      <c r="L203" s="901">
        <v>2</v>
      </c>
      <c r="M203" s="901">
        <v>40</v>
      </c>
      <c r="N203" s="901">
        <v>182</v>
      </c>
      <c r="O203" s="901">
        <v>726</v>
      </c>
      <c r="P203" s="901">
        <v>959</v>
      </c>
      <c r="Q203" s="901">
        <v>2</v>
      </c>
      <c r="R203" s="901">
        <v>1</v>
      </c>
      <c r="S203" s="901">
        <v>411</v>
      </c>
      <c r="T203" s="901">
        <v>901</v>
      </c>
      <c r="U203" s="1032">
        <f>AVERAGE(G203:T203)</f>
        <v>819.07142857142856</v>
      </c>
      <c r="V203" t="str">
        <f t="shared" si="9"/>
        <v>2015/16Outputs - reliabilityGuaranteed Standards of Performance (GSoP)Total Payments made</v>
      </c>
    </row>
    <row r="204" spans="1:22">
      <c r="A204" s="900" t="s">
        <v>137</v>
      </c>
      <c r="C204" s="900" t="s">
        <v>1293</v>
      </c>
      <c r="D204" t="s">
        <v>243</v>
      </c>
      <c r="E204" t="s">
        <v>1303</v>
      </c>
      <c r="F204" t="s">
        <v>1300</v>
      </c>
      <c r="G204" s="829">
        <f>IFERROR(G203/G202,"N/A")</f>
        <v>1.0093390804597702</v>
      </c>
      <c r="H204" s="829">
        <f t="shared" ref="H204:U204" si="11">IFERROR(H203/H202,"N/A")</f>
        <v>1.0017799928800284</v>
      </c>
      <c r="I204" s="829">
        <f t="shared" si="11"/>
        <v>1.0007722007722009</v>
      </c>
      <c r="J204" s="829">
        <f t="shared" si="11"/>
        <v>1.8951358180669614E-3</v>
      </c>
      <c r="K204" s="829">
        <f t="shared" si="11"/>
        <v>1.7229496898690558E-4</v>
      </c>
      <c r="L204" s="829">
        <f t="shared" si="11"/>
        <v>2.664535038635758E-4</v>
      </c>
      <c r="M204" s="829">
        <f t="shared" si="11"/>
        <v>2.0687871735195242E-3</v>
      </c>
      <c r="N204" s="829">
        <f t="shared" si="11"/>
        <v>6.8549905838041436E-2</v>
      </c>
      <c r="O204" s="829">
        <f t="shared" si="11"/>
        <v>0.1757443718228032</v>
      </c>
      <c r="P204" s="829">
        <f t="shared" si="11"/>
        <v>0.24710126256119558</v>
      </c>
      <c r="Q204" s="829">
        <f t="shared" si="11"/>
        <v>4.4444444444444444E-3</v>
      </c>
      <c r="R204" s="829">
        <f t="shared" si="11"/>
        <v>7.3746312684365781E-4</v>
      </c>
      <c r="S204" s="829">
        <f t="shared" si="11"/>
        <v>0.22858731924360401</v>
      </c>
      <c r="T204" s="829">
        <f t="shared" si="11"/>
        <v>1.0011111111111111</v>
      </c>
      <c r="U204" s="1033">
        <f t="shared" si="11"/>
        <v>0.14285358348594138</v>
      </c>
      <c r="V204" t="str">
        <f t="shared" si="9"/>
        <v>2015/16Outputs - reliabilityGuaranteed Standards of Performance (GSoP)% of Payments made vs Payments owed</v>
      </c>
    </row>
    <row r="205" spans="1:22">
      <c r="A205" s="900" t="s">
        <v>138</v>
      </c>
      <c r="B205" t="s">
        <v>245</v>
      </c>
      <c r="C205" s="900" t="s">
        <v>1293</v>
      </c>
      <c r="D205" t="s">
        <v>243</v>
      </c>
      <c r="E205" t="s">
        <v>257</v>
      </c>
      <c r="F205" t="s">
        <v>1299</v>
      </c>
      <c r="G205">
        <f t="array" ref="G205:T227">TRANSPOSE('Ch2 outputs - reliability'!E228:AA241)</f>
        <v>1117</v>
      </c>
      <c r="H205">
        <v>2575</v>
      </c>
      <c r="I205">
        <v>1187</v>
      </c>
      <c r="J205">
        <v>11</v>
      </c>
      <c r="K205">
        <v>1</v>
      </c>
      <c r="L205">
        <v>84</v>
      </c>
      <c r="M205">
        <v>23</v>
      </c>
      <c r="N205">
        <v>2257</v>
      </c>
      <c r="O205">
        <v>4358</v>
      </c>
      <c r="P205">
        <v>6601</v>
      </c>
      <c r="Q205">
        <v>155</v>
      </c>
      <c r="R205">
        <v>1662</v>
      </c>
      <c r="S205">
        <v>672</v>
      </c>
      <c r="T205">
        <v>1896</v>
      </c>
      <c r="U205">
        <f>AVERAGE(G205:T205)</f>
        <v>1614.2142857142858</v>
      </c>
      <c r="V205" t="str">
        <f t="shared" si="9"/>
        <v>2016/17Regulation 5 (Supply Restoration: Normal Conditions)*Outputs - reliabilityGuaranteed Standards of Performance (GSoP)Number of valid payments owed</v>
      </c>
    </row>
    <row r="206" spans="1:22">
      <c r="A206" s="900" t="s">
        <v>138</v>
      </c>
      <c r="B206" t="s">
        <v>245</v>
      </c>
      <c r="C206" s="900" t="s">
        <v>1293</v>
      </c>
      <c r="D206" t="s">
        <v>243</v>
      </c>
      <c r="E206" t="s">
        <v>258</v>
      </c>
      <c r="F206" t="s">
        <v>1300</v>
      </c>
      <c r="G206" s="829">
        <v>0.91942703670546111</v>
      </c>
      <c r="H206" s="829">
        <v>1</v>
      </c>
      <c r="I206" s="829">
        <v>1</v>
      </c>
      <c r="J206" s="829">
        <v>1</v>
      </c>
      <c r="K206" s="829">
        <v>1</v>
      </c>
      <c r="L206" s="829">
        <v>0</v>
      </c>
      <c r="M206" s="829">
        <v>1</v>
      </c>
      <c r="N206" s="829">
        <v>8.6397873283119181E-2</v>
      </c>
      <c r="O206" s="829">
        <v>0.1333180357962368</v>
      </c>
      <c r="P206" s="829">
        <v>0.11149825783972125</v>
      </c>
      <c r="Q206" s="829">
        <v>6.4516129032258064E-3</v>
      </c>
      <c r="R206" s="829">
        <v>0</v>
      </c>
      <c r="S206" s="829">
        <v>1</v>
      </c>
      <c r="T206" s="829">
        <v>1</v>
      </c>
      <c r="U206" s="829">
        <v>0.39934526211937749</v>
      </c>
      <c r="V206" t="str">
        <f t="shared" si="9"/>
        <v>2016/17Regulation 5 (Supply Restoration: Normal Conditions)*Outputs - reliabilityGuaranteed Standards of Performance (GSoP)Mandatory payments vs valid payments owed</v>
      </c>
    </row>
    <row r="207" spans="1:22">
      <c r="A207" s="900" t="s">
        <v>138</v>
      </c>
      <c r="B207" t="s">
        <v>246</v>
      </c>
      <c r="C207" s="900" t="s">
        <v>1293</v>
      </c>
      <c r="D207" t="s">
        <v>243</v>
      </c>
      <c r="E207" t="s">
        <v>257</v>
      </c>
      <c r="F207" t="s">
        <v>1299</v>
      </c>
      <c r="G207">
        <v>0</v>
      </c>
      <c r="H207">
        <v>0</v>
      </c>
      <c r="I207">
        <v>0</v>
      </c>
      <c r="J207">
        <v>0</v>
      </c>
      <c r="K207">
        <v>0</v>
      </c>
      <c r="L207">
        <v>0</v>
      </c>
      <c r="M207">
        <v>0</v>
      </c>
      <c r="N207">
        <v>0</v>
      </c>
      <c r="O207">
        <v>0</v>
      </c>
      <c r="P207">
        <v>0</v>
      </c>
      <c r="Q207">
        <v>0</v>
      </c>
      <c r="R207">
        <v>0</v>
      </c>
      <c r="S207">
        <v>0</v>
      </c>
      <c r="T207">
        <v>0</v>
      </c>
      <c r="U207">
        <v>0</v>
      </c>
      <c r="V207" t="str">
        <f t="shared" si="9"/>
        <v>2016/17Regulation 6 (Supply Restoration: Normal Conditions - 5,000 or more customers' premises interrupted)Outputs - reliabilityGuaranteed Standards of Performance (GSoP)Number of valid payments owed</v>
      </c>
    </row>
    <row r="208" spans="1:22">
      <c r="A208" s="900" t="s">
        <v>138</v>
      </c>
      <c r="B208" t="s">
        <v>246</v>
      </c>
      <c r="C208" s="900" t="s">
        <v>1293</v>
      </c>
      <c r="D208" t="s">
        <v>243</v>
      </c>
      <c r="E208" t="s">
        <v>258</v>
      </c>
      <c r="F208" t="s">
        <v>1300</v>
      </c>
      <c r="G208" t="str">
        <v>N/A</v>
      </c>
      <c r="H208" t="str">
        <v>N/A</v>
      </c>
      <c r="I208" t="str">
        <v>N/A</v>
      </c>
      <c r="J208" t="str">
        <v>N/A</v>
      </c>
      <c r="K208" t="str">
        <v>N/A</v>
      </c>
      <c r="L208" t="str">
        <v>N/A</v>
      </c>
      <c r="M208" t="str">
        <v>N/A</v>
      </c>
      <c r="N208" t="str">
        <v>N/A</v>
      </c>
      <c r="O208" t="str">
        <v>N/A</v>
      </c>
      <c r="P208" t="str">
        <v>N/A</v>
      </c>
      <c r="Q208" t="str">
        <v>N/A</v>
      </c>
      <c r="R208" t="str">
        <v>N/A</v>
      </c>
      <c r="S208" t="str">
        <v>N/A</v>
      </c>
      <c r="T208" t="str">
        <v>N/A</v>
      </c>
      <c r="U208" t="s">
        <v>210</v>
      </c>
      <c r="V208" t="str">
        <f t="shared" si="9"/>
        <v>2016/17Regulation 6 (Supply Restoration: Normal Conditions - 5,000 or more customers' premises interrupted)Outputs - reliabilityGuaranteed Standards of Performance (GSoP)Mandatory payments vs valid payments owed</v>
      </c>
    </row>
    <row r="209" spans="1:22">
      <c r="A209" s="900" t="s">
        <v>138</v>
      </c>
      <c r="B209" t="s">
        <v>247</v>
      </c>
      <c r="C209" s="900" t="s">
        <v>1293</v>
      </c>
      <c r="D209" t="s">
        <v>243</v>
      </c>
      <c r="E209" t="s">
        <v>257</v>
      </c>
      <c r="F209" t="s">
        <v>1299</v>
      </c>
      <c r="G209">
        <v>0</v>
      </c>
      <c r="H209">
        <v>34</v>
      </c>
      <c r="I209">
        <v>0</v>
      </c>
      <c r="J209">
        <v>0</v>
      </c>
      <c r="K209">
        <v>0</v>
      </c>
      <c r="L209">
        <v>0</v>
      </c>
      <c r="M209">
        <v>0</v>
      </c>
      <c r="N209">
        <v>0</v>
      </c>
      <c r="O209">
        <v>19</v>
      </c>
      <c r="P209">
        <v>0</v>
      </c>
      <c r="Q209">
        <v>0</v>
      </c>
      <c r="R209">
        <v>0</v>
      </c>
      <c r="S209">
        <v>0</v>
      </c>
      <c r="T209">
        <v>3</v>
      </c>
      <c r="U209">
        <f>AVERAGE(G209:T209)</f>
        <v>4</v>
      </c>
      <c r="V209" t="str">
        <f t="shared" si="9"/>
        <v>2016/17Regulation 7(1) - Supply Restoration: Category 1 Severe Weather Conditions*Outputs - reliabilityGuaranteed Standards of Performance (GSoP)Number of valid payments owed</v>
      </c>
    </row>
    <row r="210" spans="1:22">
      <c r="A210" s="900" t="s">
        <v>138</v>
      </c>
      <c r="B210" t="s">
        <v>247</v>
      </c>
      <c r="C210" s="900" t="s">
        <v>1293</v>
      </c>
      <c r="D210" t="s">
        <v>243</v>
      </c>
      <c r="E210" t="s">
        <v>258</v>
      </c>
      <c r="F210" t="s">
        <v>1300</v>
      </c>
      <c r="G210" s="829" t="str">
        <v>N/A</v>
      </c>
      <c r="H210" s="829">
        <v>0.5</v>
      </c>
      <c r="I210" s="829" t="str">
        <v>N/A</v>
      </c>
      <c r="J210" s="829" t="str">
        <v>N/A</v>
      </c>
      <c r="K210" s="829" t="str">
        <v>N/A</v>
      </c>
      <c r="L210" s="829" t="str">
        <v>N/A</v>
      </c>
      <c r="M210" s="829" t="str">
        <v>N/A</v>
      </c>
      <c r="N210" s="829" t="str">
        <v>N/A</v>
      </c>
      <c r="O210" s="829">
        <v>1</v>
      </c>
      <c r="P210" s="829" t="str">
        <v>N/A</v>
      </c>
      <c r="Q210" s="829" t="str">
        <v>N/A</v>
      </c>
      <c r="R210" s="829" t="str">
        <v>N/A</v>
      </c>
      <c r="S210" s="829" t="str">
        <v>N/A</v>
      </c>
      <c r="T210" s="829">
        <v>8.6666666666666661</v>
      </c>
      <c r="U210" s="829">
        <v>1.463768115942029</v>
      </c>
      <c r="V210" t="str">
        <f t="shared" si="9"/>
        <v>2016/17Regulation 7(1) - Supply Restoration: Category 1 Severe Weather Conditions*Outputs - reliabilityGuaranteed Standards of Performance (GSoP)Mandatory payments vs valid payments owed</v>
      </c>
    </row>
    <row r="211" spans="1:22">
      <c r="A211" s="900" t="s">
        <v>138</v>
      </c>
      <c r="B211" t="s">
        <v>248</v>
      </c>
      <c r="C211" s="900" t="s">
        <v>1293</v>
      </c>
      <c r="D211" t="s">
        <v>243</v>
      </c>
      <c r="E211" t="s">
        <v>257</v>
      </c>
      <c r="F211" t="s">
        <v>1299</v>
      </c>
      <c r="G211">
        <v>0</v>
      </c>
      <c r="H211">
        <v>0</v>
      </c>
      <c r="I211">
        <v>0</v>
      </c>
      <c r="J211">
        <v>0</v>
      </c>
      <c r="K211">
        <v>0</v>
      </c>
      <c r="L211">
        <v>0</v>
      </c>
      <c r="M211">
        <v>0</v>
      </c>
      <c r="N211">
        <v>0</v>
      </c>
      <c r="O211">
        <v>0</v>
      </c>
      <c r="P211">
        <v>22</v>
      </c>
      <c r="Q211">
        <v>0</v>
      </c>
      <c r="R211">
        <v>0</v>
      </c>
      <c r="S211">
        <v>0</v>
      </c>
      <c r="T211">
        <v>0</v>
      </c>
      <c r="U211">
        <f>AVERAGE(G211:T211)</f>
        <v>1.5714285714285714</v>
      </c>
      <c r="V211" t="str">
        <f t="shared" ref="V211:V242" si="12">CONCATENATE(A211,B211,C211,D211,E211)</f>
        <v>2016/17Regulation 7(2) - Supply Restoration: Category 2 Severe Weather Conditions*Outputs - reliabilityGuaranteed Standards of Performance (GSoP)Number of valid payments owed</v>
      </c>
    </row>
    <row r="212" spans="1:22">
      <c r="A212" s="900" t="s">
        <v>138</v>
      </c>
      <c r="B212" t="s">
        <v>248</v>
      </c>
      <c r="C212" s="900" t="s">
        <v>1293</v>
      </c>
      <c r="D212" t="s">
        <v>243</v>
      </c>
      <c r="E212" t="s">
        <v>258</v>
      </c>
      <c r="F212" t="s">
        <v>1300</v>
      </c>
      <c r="G212" s="829" t="str">
        <v>N/A</v>
      </c>
      <c r="H212" s="829" t="str">
        <v>N/A</v>
      </c>
      <c r="I212" s="829" t="str">
        <v>N/A</v>
      </c>
      <c r="J212" s="829" t="str">
        <v>N/A</v>
      </c>
      <c r="K212" s="829" t="str">
        <v>N/A</v>
      </c>
      <c r="L212" s="829" t="str">
        <v>N/A</v>
      </c>
      <c r="M212" s="829" t="str">
        <v>N/A</v>
      </c>
      <c r="N212" s="829" t="str">
        <v>N/A</v>
      </c>
      <c r="O212" s="829" t="str">
        <v>N/A</v>
      </c>
      <c r="P212" s="829">
        <v>0.5</v>
      </c>
      <c r="Q212" s="829" t="str">
        <v>N/A</v>
      </c>
      <c r="R212" s="829" t="str">
        <v>N/A</v>
      </c>
      <c r="S212" s="829" t="str">
        <v>N/A</v>
      </c>
      <c r="T212" s="829" t="str">
        <v>N/A</v>
      </c>
      <c r="U212" s="829">
        <v>0.73809523809523814</v>
      </c>
      <c r="V212" t="str">
        <f t="shared" si="12"/>
        <v>2016/17Regulation 7(2) - Supply Restoration: Category 2 Severe Weather Conditions*Outputs - reliabilityGuaranteed Standards of Performance (GSoP)Mandatory payments vs valid payments owed</v>
      </c>
    </row>
    <row r="213" spans="1:22">
      <c r="A213" s="900" t="s">
        <v>138</v>
      </c>
      <c r="B213" t="s">
        <v>249</v>
      </c>
      <c r="C213" s="900" t="s">
        <v>1293</v>
      </c>
      <c r="D213" t="s">
        <v>243</v>
      </c>
      <c r="E213" t="s">
        <v>257</v>
      </c>
      <c r="F213" t="s">
        <v>1299</v>
      </c>
      <c r="G213">
        <v>0</v>
      </c>
      <c r="H213">
        <v>0</v>
      </c>
      <c r="I213">
        <v>0</v>
      </c>
      <c r="J213">
        <v>0</v>
      </c>
      <c r="K213">
        <v>0</v>
      </c>
      <c r="L213">
        <v>0</v>
      </c>
      <c r="M213">
        <v>0</v>
      </c>
      <c r="N213">
        <v>0</v>
      </c>
      <c r="O213">
        <v>0</v>
      </c>
      <c r="P213">
        <v>0</v>
      </c>
      <c r="Q213">
        <v>0</v>
      </c>
      <c r="R213">
        <v>0</v>
      </c>
      <c r="S213">
        <v>0</v>
      </c>
      <c r="T213">
        <v>0</v>
      </c>
      <c r="U213">
        <f>AVERAGE(G213:T213)</f>
        <v>0</v>
      </c>
      <c r="V213" t="str">
        <f t="shared" si="12"/>
        <v>2016/17Regulation 7(3) - Supply Restoration: Category 3 Severe Weather Conditions*Outputs - reliabilityGuaranteed Standards of Performance (GSoP)Number of valid payments owed</v>
      </c>
    </row>
    <row r="214" spans="1:22">
      <c r="A214" s="900" t="s">
        <v>138</v>
      </c>
      <c r="B214" t="s">
        <v>249</v>
      </c>
      <c r="C214" s="900" t="s">
        <v>1293</v>
      </c>
      <c r="D214" t="s">
        <v>243</v>
      </c>
      <c r="E214" t="s">
        <v>258</v>
      </c>
      <c r="F214" t="s">
        <v>1300</v>
      </c>
      <c r="G214" s="829" t="str">
        <v>N/A</v>
      </c>
      <c r="H214" s="829" t="str">
        <v>N/A</v>
      </c>
      <c r="I214" s="829" t="str">
        <v>N/A</v>
      </c>
      <c r="J214" s="829" t="str">
        <v>N/A</v>
      </c>
      <c r="K214" s="829" t="str">
        <v>N/A</v>
      </c>
      <c r="L214" s="829" t="str">
        <v>N/A</v>
      </c>
      <c r="M214" s="829" t="str">
        <v>N/A</v>
      </c>
      <c r="N214" s="829" t="str">
        <v>N/A</v>
      </c>
      <c r="O214" s="829" t="str">
        <v>N/A</v>
      </c>
      <c r="P214" s="829" t="str">
        <v>N/A</v>
      </c>
      <c r="Q214" s="829" t="str">
        <v>N/A</v>
      </c>
      <c r="R214" s="829" t="str">
        <v>N/A</v>
      </c>
      <c r="S214" s="829" t="str">
        <v>N/A</v>
      </c>
      <c r="T214" s="829" t="str">
        <v>N/A</v>
      </c>
      <c r="U214" s="829">
        <v>1</v>
      </c>
      <c r="V214" t="str">
        <f t="shared" si="12"/>
        <v>2016/17Regulation 7(3) - Supply Restoration: Category 3 Severe Weather Conditions*Outputs - reliabilityGuaranteed Standards of Performance (GSoP)Mandatory payments vs valid payments owed</v>
      </c>
    </row>
    <row r="215" spans="1:22">
      <c r="A215" s="900" t="s">
        <v>138</v>
      </c>
      <c r="B215" s="900" t="s">
        <v>250</v>
      </c>
      <c r="C215" s="900" t="s">
        <v>1293</v>
      </c>
      <c r="D215" t="s">
        <v>243</v>
      </c>
      <c r="E215" t="s">
        <v>257</v>
      </c>
      <c r="F215" t="s">
        <v>1299</v>
      </c>
      <c r="G215">
        <v>0</v>
      </c>
      <c r="H215">
        <v>0</v>
      </c>
      <c r="I215">
        <v>0</v>
      </c>
      <c r="J215">
        <v>0</v>
      </c>
      <c r="K215">
        <v>0</v>
      </c>
      <c r="L215">
        <v>0</v>
      </c>
      <c r="M215">
        <v>0</v>
      </c>
      <c r="N215">
        <v>0</v>
      </c>
      <c r="O215">
        <v>0</v>
      </c>
      <c r="P215">
        <v>0</v>
      </c>
      <c r="Q215">
        <v>0</v>
      </c>
      <c r="R215">
        <v>0</v>
      </c>
      <c r="S215">
        <v>0</v>
      </c>
      <c r="T215">
        <v>0</v>
      </c>
      <c r="U215">
        <v>0</v>
      </c>
      <c r="V215" t="str">
        <f t="shared" si="12"/>
        <v>2016/17Regulation 8 (Supply Restoration: Rota Disconnection)Outputs - reliabilityGuaranteed Standards of Performance (GSoP)Number of valid payments owed</v>
      </c>
    </row>
    <row r="216" spans="1:22">
      <c r="A216" s="900" t="s">
        <v>138</v>
      </c>
      <c r="B216" s="900" t="s">
        <v>250</v>
      </c>
      <c r="C216" s="900" t="s">
        <v>1293</v>
      </c>
      <c r="D216" t="s">
        <v>243</v>
      </c>
      <c r="E216" t="s">
        <v>258</v>
      </c>
      <c r="F216" t="s">
        <v>1300</v>
      </c>
      <c r="G216" t="str">
        <v>N/A</v>
      </c>
      <c r="H216" t="str">
        <v>N/A</v>
      </c>
      <c r="I216" t="str">
        <v>N/A</v>
      </c>
      <c r="J216" t="str">
        <v>N/A</v>
      </c>
      <c r="K216" t="str">
        <v>N/A</v>
      </c>
      <c r="L216" t="str">
        <v>N/A</v>
      </c>
      <c r="M216" t="str">
        <v>N/A</v>
      </c>
      <c r="N216" t="str">
        <v>N/A</v>
      </c>
      <c r="O216" t="str">
        <v>N/A</v>
      </c>
      <c r="P216" t="str">
        <v>N/A</v>
      </c>
      <c r="Q216" t="str">
        <v>N/A</v>
      </c>
      <c r="R216" t="str">
        <v>N/A</v>
      </c>
      <c r="S216" t="str">
        <v>N/A</v>
      </c>
      <c r="T216" t="str">
        <v>N/A</v>
      </c>
      <c r="U216" t="s">
        <v>210</v>
      </c>
      <c r="V216" t="str">
        <f t="shared" si="12"/>
        <v>2016/17Regulation 8 (Supply Restoration: Rota Disconnection)Outputs - reliabilityGuaranteed Standards of Performance (GSoP)Mandatory payments vs valid payments owed</v>
      </c>
    </row>
    <row r="217" spans="1:22">
      <c r="A217" s="900" t="s">
        <v>138</v>
      </c>
      <c r="B217" s="900" t="s">
        <v>251</v>
      </c>
      <c r="C217" s="900" t="s">
        <v>1293</v>
      </c>
      <c r="D217" t="s">
        <v>243</v>
      </c>
      <c r="E217" t="s">
        <v>257</v>
      </c>
      <c r="F217" t="s">
        <v>1299</v>
      </c>
      <c r="G217">
        <v>34</v>
      </c>
      <c r="H217">
        <v>0</v>
      </c>
      <c r="I217">
        <v>6</v>
      </c>
      <c r="J217">
        <v>0</v>
      </c>
      <c r="K217">
        <v>0</v>
      </c>
      <c r="L217">
        <v>0</v>
      </c>
      <c r="M217">
        <v>0</v>
      </c>
      <c r="N217">
        <v>14</v>
      </c>
      <c r="O217">
        <v>37</v>
      </c>
      <c r="P217">
        <v>28</v>
      </c>
      <c r="Q217">
        <v>0</v>
      </c>
      <c r="R217">
        <v>0</v>
      </c>
      <c r="S217">
        <v>5</v>
      </c>
      <c r="T217">
        <v>41</v>
      </c>
      <c r="U217">
        <f>AVERAGE(G217:T217)</f>
        <v>11.785714285714286</v>
      </c>
      <c r="V217" t="str">
        <f t="shared" si="12"/>
        <v>2016/17Regulation 10 (Supply Restoration: Multiple interruptions)Outputs - reliabilityGuaranteed Standards of Performance (GSoP)Number of valid payments owed</v>
      </c>
    </row>
    <row r="218" spans="1:22">
      <c r="A218" s="900" t="s">
        <v>138</v>
      </c>
      <c r="B218" s="900" t="s">
        <v>251</v>
      </c>
      <c r="C218" s="900" t="s">
        <v>1293</v>
      </c>
      <c r="D218" t="s">
        <v>243</v>
      </c>
      <c r="E218" t="s">
        <v>258</v>
      </c>
      <c r="F218" t="s">
        <v>1300</v>
      </c>
      <c r="G218" s="829">
        <v>1</v>
      </c>
      <c r="H218" s="829" t="str">
        <v>N/A</v>
      </c>
      <c r="I218" s="829">
        <v>1</v>
      </c>
      <c r="J218" s="829" t="str">
        <v>N/A</v>
      </c>
      <c r="K218" s="829" t="str">
        <v>N/A</v>
      </c>
      <c r="L218" s="829" t="str">
        <v>N/A</v>
      </c>
      <c r="M218" s="829" t="str">
        <v>N/A</v>
      </c>
      <c r="N218" s="829">
        <v>1</v>
      </c>
      <c r="O218" s="829">
        <v>1</v>
      </c>
      <c r="P218" s="829">
        <v>1</v>
      </c>
      <c r="Q218" s="829" t="str">
        <v>N/A</v>
      </c>
      <c r="R218" s="829" t="str">
        <v>N/A</v>
      </c>
      <c r="S218" s="829">
        <v>1</v>
      </c>
      <c r="T218" s="829">
        <v>1</v>
      </c>
      <c r="U218" s="829">
        <v>1</v>
      </c>
      <c r="V218" t="str">
        <f t="shared" si="12"/>
        <v>2016/17Regulation 10 (Supply Restoration: Multiple interruptions)Outputs - reliabilityGuaranteed Standards of Performance (GSoP)Mandatory payments vs valid payments owed</v>
      </c>
    </row>
    <row r="219" spans="1:22">
      <c r="A219" s="900" t="s">
        <v>138</v>
      </c>
      <c r="B219" s="900" t="s">
        <v>252</v>
      </c>
      <c r="C219" s="900" t="s">
        <v>1293</v>
      </c>
      <c r="D219" t="s">
        <v>243</v>
      </c>
      <c r="E219" t="s">
        <v>257</v>
      </c>
      <c r="F219" t="s">
        <v>1299</v>
      </c>
      <c r="G219">
        <v>0</v>
      </c>
      <c r="H219">
        <v>0</v>
      </c>
      <c r="I219">
        <v>3</v>
      </c>
      <c r="J219">
        <v>0</v>
      </c>
      <c r="K219">
        <v>0</v>
      </c>
      <c r="L219">
        <v>0</v>
      </c>
      <c r="M219">
        <v>0</v>
      </c>
      <c r="N219">
        <v>31</v>
      </c>
      <c r="O219">
        <v>27</v>
      </c>
      <c r="P219">
        <v>41</v>
      </c>
      <c r="Q219">
        <v>0</v>
      </c>
      <c r="R219">
        <v>0</v>
      </c>
      <c r="S219">
        <v>3</v>
      </c>
      <c r="T219">
        <v>4</v>
      </c>
      <c r="U219">
        <f>AVERAGE(G219:T219)</f>
        <v>7.7857142857142856</v>
      </c>
      <c r="V219" t="str">
        <f t="shared" si="12"/>
        <v>2016/17Regulation 11 (Responding to Operation of Distributor's Fuse)Outputs - reliabilityGuaranteed Standards of Performance (GSoP)Number of valid payments owed</v>
      </c>
    </row>
    <row r="220" spans="1:22">
      <c r="A220" s="900" t="s">
        <v>138</v>
      </c>
      <c r="B220" s="900" t="s">
        <v>252</v>
      </c>
      <c r="C220" s="900" t="s">
        <v>1293</v>
      </c>
      <c r="D220" t="s">
        <v>243</v>
      </c>
      <c r="E220" t="s">
        <v>258</v>
      </c>
      <c r="F220" t="s">
        <v>1300</v>
      </c>
      <c r="G220" s="829" t="str">
        <v>N/A</v>
      </c>
      <c r="H220" s="829" t="str">
        <v>N/A</v>
      </c>
      <c r="I220" s="829">
        <v>1</v>
      </c>
      <c r="J220" s="829" t="str">
        <v>N/A</v>
      </c>
      <c r="K220" s="829" t="str">
        <v>N/A</v>
      </c>
      <c r="L220" s="829" t="str">
        <v>N/A</v>
      </c>
      <c r="M220" s="829" t="str">
        <v>N/A</v>
      </c>
      <c r="N220" s="829">
        <v>1</v>
      </c>
      <c r="O220" s="829">
        <v>1</v>
      </c>
      <c r="P220" s="829">
        <v>1</v>
      </c>
      <c r="Q220" s="829" t="str">
        <v>N/A</v>
      </c>
      <c r="R220" s="829" t="str">
        <v>N/A</v>
      </c>
      <c r="S220" s="829">
        <v>1</v>
      </c>
      <c r="T220" s="829">
        <v>1</v>
      </c>
      <c r="U220" s="829">
        <v>1.0686274509803932</v>
      </c>
      <c r="V220" t="str">
        <f t="shared" si="12"/>
        <v>2016/17Regulation 11 (Responding to Operation of Distributor's Fuse)Outputs - reliabilityGuaranteed Standards of Performance (GSoP)Mandatory payments vs valid payments owed</v>
      </c>
    </row>
    <row r="221" spans="1:22">
      <c r="A221" s="900" t="s">
        <v>138</v>
      </c>
      <c r="B221" s="900" t="s">
        <v>253</v>
      </c>
      <c r="C221" s="900" t="s">
        <v>1293</v>
      </c>
      <c r="D221" t="s">
        <v>243</v>
      </c>
      <c r="E221" t="s">
        <v>257</v>
      </c>
      <c r="F221" t="s">
        <v>1299</v>
      </c>
      <c r="G221">
        <v>464</v>
      </c>
      <c r="H221">
        <v>36</v>
      </c>
      <c r="I221">
        <v>9</v>
      </c>
      <c r="J221">
        <v>4</v>
      </c>
      <c r="K221">
        <v>0</v>
      </c>
      <c r="L221">
        <v>0</v>
      </c>
      <c r="M221">
        <v>11</v>
      </c>
      <c r="N221">
        <v>6</v>
      </c>
      <c r="O221">
        <v>61</v>
      </c>
      <c r="P221">
        <v>106</v>
      </c>
      <c r="Q221">
        <v>1</v>
      </c>
      <c r="R221">
        <v>0</v>
      </c>
      <c r="S221">
        <v>82</v>
      </c>
      <c r="T221">
        <v>214</v>
      </c>
      <c r="U221">
        <f>AVERAGE(G221:T221)</f>
        <v>71</v>
      </c>
      <c r="V221" t="str">
        <f t="shared" si="12"/>
        <v>2016/17Regulation 12 (Notice of Supply Interruption )Outputs - reliabilityGuaranteed Standards of Performance (GSoP)Number of valid payments owed</v>
      </c>
    </row>
    <row r="222" spans="1:22">
      <c r="A222" s="900" t="s">
        <v>138</v>
      </c>
      <c r="B222" s="900" t="s">
        <v>253</v>
      </c>
      <c r="C222" s="900" t="s">
        <v>1293</v>
      </c>
      <c r="D222" t="s">
        <v>243</v>
      </c>
      <c r="E222" t="s">
        <v>258</v>
      </c>
      <c r="F222" t="s">
        <v>1300</v>
      </c>
      <c r="G222" s="829">
        <v>1</v>
      </c>
      <c r="H222" s="829">
        <v>0.97222222222222221</v>
      </c>
      <c r="I222" s="829">
        <v>1</v>
      </c>
      <c r="J222" s="829">
        <v>1</v>
      </c>
      <c r="K222" s="829" t="str">
        <v>N/A</v>
      </c>
      <c r="L222" s="829" t="str">
        <v>N/A</v>
      </c>
      <c r="M222" s="829">
        <v>1</v>
      </c>
      <c r="N222" s="829">
        <v>1</v>
      </c>
      <c r="O222" s="829">
        <v>1</v>
      </c>
      <c r="P222" s="829">
        <v>1</v>
      </c>
      <c r="Q222" s="829">
        <v>1</v>
      </c>
      <c r="R222" s="829" t="str">
        <v>N/A</v>
      </c>
      <c r="S222" s="829">
        <v>1</v>
      </c>
      <c r="T222" s="829">
        <v>1</v>
      </c>
      <c r="U222" s="829">
        <v>0.99899396378269623</v>
      </c>
      <c r="V222" t="str">
        <f t="shared" si="12"/>
        <v>2016/17Regulation 12 (Notice of Supply Interruption )Outputs - reliabilityGuaranteed Standards of Performance (GSoP)Mandatory payments vs valid payments owed</v>
      </c>
    </row>
    <row r="223" spans="1:22">
      <c r="A223" s="900" t="s">
        <v>138</v>
      </c>
      <c r="B223" s="900" t="s">
        <v>254</v>
      </c>
      <c r="C223" s="900" t="s">
        <v>1293</v>
      </c>
      <c r="D223" t="s">
        <v>243</v>
      </c>
      <c r="E223" t="s">
        <v>821</v>
      </c>
      <c r="F223" t="s">
        <v>1299</v>
      </c>
      <c r="G223">
        <v>5</v>
      </c>
      <c r="H223">
        <v>0</v>
      </c>
      <c r="I223">
        <v>0</v>
      </c>
      <c r="J223">
        <v>0</v>
      </c>
      <c r="K223">
        <v>0</v>
      </c>
      <c r="L223">
        <v>0</v>
      </c>
      <c r="M223">
        <v>0</v>
      </c>
      <c r="N223">
        <v>0</v>
      </c>
      <c r="O223">
        <v>0</v>
      </c>
      <c r="P223">
        <v>0</v>
      </c>
      <c r="Q223">
        <v>0</v>
      </c>
      <c r="R223">
        <v>0</v>
      </c>
      <c r="S223">
        <v>0</v>
      </c>
      <c r="T223">
        <v>1</v>
      </c>
      <c r="U223">
        <f>AVERAGE(G223:T223)</f>
        <v>0.42857142857142855</v>
      </c>
      <c r="V223" t="str">
        <f t="shared" si="12"/>
        <v>2016/17Regulation 13 (Investigation of Voltage complaints)Outputs - reliabilityGuaranteed Standards of Performance (GSoP)Total Number of mandatory payments made</v>
      </c>
    </row>
    <row r="224" spans="1:22">
      <c r="A224" s="900" t="s">
        <v>138</v>
      </c>
      <c r="B224" s="900" t="s">
        <v>255</v>
      </c>
      <c r="C224" s="900" t="s">
        <v>1293</v>
      </c>
      <c r="D224" t="s">
        <v>243</v>
      </c>
      <c r="E224" t="s">
        <v>257</v>
      </c>
      <c r="F224" t="s">
        <v>1299</v>
      </c>
      <c r="G224">
        <v>36080</v>
      </c>
      <c r="H224">
        <v>36</v>
      </c>
      <c r="I224">
        <v>50</v>
      </c>
      <c r="J224">
        <v>0</v>
      </c>
      <c r="K224">
        <v>0</v>
      </c>
      <c r="L224">
        <v>0</v>
      </c>
      <c r="M224">
        <v>0</v>
      </c>
      <c r="N224">
        <v>145</v>
      </c>
      <c r="O224">
        <v>495</v>
      </c>
      <c r="P224">
        <v>322</v>
      </c>
      <c r="Q224">
        <v>0</v>
      </c>
      <c r="R224">
        <v>0</v>
      </c>
      <c r="S224">
        <v>0</v>
      </c>
      <c r="T224">
        <v>10608</v>
      </c>
      <c r="U224">
        <f>AVERAGE(G224:T224)</f>
        <v>3409.7142857142858</v>
      </c>
      <c r="V224" t="str">
        <f t="shared" si="12"/>
        <v>2016/17Regulation 17 (Making and Keeping Appointments)Outputs - reliabilityGuaranteed Standards of Performance (GSoP)Number of valid payments owed</v>
      </c>
    </row>
    <row r="225" spans="1:22">
      <c r="A225" s="900" t="s">
        <v>138</v>
      </c>
      <c r="B225" s="900" t="s">
        <v>255</v>
      </c>
      <c r="C225" s="900" t="s">
        <v>1293</v>
      </c>
      <c r="D225" t="s">
        <v>243</v>
      </c>
      <c r="E225" t="s">
        <v>258</v>
      </c>
      <c r="F225" t="s">
        <v>1300</v>
      </c>
      <c r="G225" s="829">
        <v>5.6790465631929049E-2</v>
      </c>
      <c r="H225" s="829">
        <v>0.58064516129032262</v>
      </c>
      <c r="I225" s="829">
        <v>1</v>
      </c>
      <c r="J225" s="829" t="str">
        <v>N/A</v>
      </c>
      <c r="K225" s="829" t="str">
        <v>N/A</v>
      </c>
      <c r="L225" s="829" t="str">
        <v>N/A</v>
      </c>
      <c r="M225" s="829" t="str">
        <v>N/A</v>
      </c>
      <c r="N225" s="829">
        <v>1</v>
      </c>
      <c r="O225" s="829">
        <v>0.99797979797979797</v>
      </c>
      <c r="P225" s="829">
        <v>1</v>
      </c>
      <c r="Q225" s="829" t="str">
        <v>N/A</v>
      </c>
      <c r="R225" s="829" t="str">
        <v>N/A</v>
      </c>
      <c r="S225" s="829" t="str">
        <v>N/A</v>
      </c>
      <c r="T225" s="829">
        <v>3.7707390648567121E-4</v>
      </c>
      <c r="U225" s="829">
        <v>6.4905154725514003E-2</v>
      </c>
      <c r="V225" t="str">
        <f t="shared" si="12"/>
        <v>2016/17Regulation 17 (Making and Keeping Appointments)Outputs - reliabilityGuaranteed Standards of Performance (GSoP)Mandatory payments vs valid payments owed</v>
      </c>
    </row>
    <row r="226" spans="1:22">
      <c r="A226" s="900" t="s">
        <v>138</v>
      </c>
      <c r="B226" s="900" t="s">
        <v>256</v>
      </c>
      <c r="C226" s="900" t="s">
        <v>1293</v>
      </c>
      <c r="D226" t="s">
        <v>243</v>
      </c>
      <c r="E226" t="s">
        <v>257</v>
      </c>
      <c r="F226" t="s">
        <v>1299</v>
      </c>
      <c r="G226">
        <v>2413</v>
      </c>
      <c r="H226">
        <v>21</v>
      </c>
      <c r="I226">
        <v>17</v>
      </c>
      <c r="J226">
        <v>0</v>
      </c>
      <c r="K226">
        <v>0</v>
      </c>
      <c r="L226">
        <v>0</v>
      </c>
      <c r="M226">
        <v>0</v>
      </c>
      <c r="N226">
        <v>6</v>
      </c>
      <c r="O226">
        <v>19</v>
      </c>
      <c r="P226">
        <v>80</v>
      </c>
      <c r="Q226">
        <v>2</v>
      </c>
      <c r="R226">
        <v>0</v>
      </c>
      <c r="S226">
        <v>230</v>
      </c>
      <c r="T226">
        <v>2</v>
      </c>
      <c r="U226">
        <f>AVERAGE(G226:T226)</f>
        <v>199.28571428571428</v>
      </c>
      <c r="V226" t="str">
        <f t="shared" si="12"/>
        <v>2016/17Regulation 19 (Payments owed under the Guaranteed Standards)Outputs - reliabilityGuaranteed Standards of Performance (GSoP)Number of valid payments owed</v>
      </c>
    </row>
    <row r="227" spans="1:22">
      <c r="A227" s="900" t="s">
        <v>138</v>
      </c>
      <c r="B227" s="900" t="s">
        <v>256</v>
      </c>
      <c r="C227" s="900" t="s">
        <v>1293</v>
      </c>
      <c r="D227" t="s">
        <v>243</v>
      </c>
      <c r="E227" t="s">
        <v>258</v>
      </c>
      <c r="F227" t="s">
        <v>1300</v>
      </c>
      <c r="G227" s="829">
        <v>1</v>
      </c>
      <c r="H227" s="829">
        <v>1</v>
      </c>
      <c r="I227" s="829">
        <v>1</v>
      </c>
      <c r="J227" s="829" t="str">
        <v>N/A</v>
      </c>
      <c r="K227" s="829" t="str">
        <v>N/A</v>
      </c>
      <c r="L227" s="829" t="str">
        <v>N/A</v>
      </c>
      <c r="M227" s="829" t="str">
        <v>N/A</v>
      </c>
      <c r="N227" s="829">
        <v>1</v>
      </c>
      <c r="O227" s="829">
        <v>1</v>
      </c>
      <c r="P227" s="829">
        <v>1</v>
      </c>
      <c r="Q227" s="829">
        <v>0</v>
      </c>
      <c r="R227" s="829" t="str">
        <v>N/A</v>
      </c>
      <c r="S227" s="829">
        <v>1</v>
      </c>
      <c r="T227" s="829">
        <v>1</v>
      </c>
      <c r="U227" s="829">
        <v>0.99928315412186386</v>
      </c>
      <c r="V227" t="str">
        <f t="shared" si="12"/>
        <v>2016/17Regulation 19 (Payments owed under the Guaranteed Standards)Outputs - reliabilityGuaranteed Standards of Performance (GSoP)Mandatory payments vs valid payments owed</v>
      </c>
    </row>
    <row r="228" spans="1:22">
      <c r="A228" s="900" t="s">
        <v>138</v>
      </c>
      <c r="B228" s="900"/>
      <c r="C228" s="900" t="s">
        <v>1293</v>
      </c>
      <c r="D228" t="s">
        <v>243</v>
      </c>
      <c r="E228" t="s">
        <v>1301</v>
      </c>
      <c r="F228" t="s">
        <v>1299</v>
      </c>
      <c r="G228" s="901">
        <f>SUM(G205,G207,G209,G211,G213,G215,G217,G219,G221,G224,G226)</f>
        <v>40108</v>
      </c>
      <c r="H228" s="901">
        <f t="shared" ref="H228:T228" si="13">SUM(H205,H207,H209,H211,H213,H215,H217,H219,H221,H224,H226)</f>
        <v>2702</v>
      </c>
      <c r="I228" s="901">
        <f t="shared" si="13"/>
        <v>1272</v>
      </c>
      <c r="J228" s="901">
        <f t="shared" si="13"/>
        <v>15</v>
      </c>
      <c r="K228" s="901">
        <f t="shared" si="13"/>
        <v>1</v>
      </c>
      <c r="L228" s="901">
        <f t="shared" si="13"/>
        <v>84</v>
      </c>
      <c r="M228" s="901">
        <f t="shared" si="13"/>
        <v>34</v>
      </c>
      <c r="N228" s="901">
        <f t="shared" si="13"/>
        <v>2459</v>
      </c>
      <c r="O228" s="901">
        <f t="shared" si="13"/>
        <v>5016</v>
      </c>
      <c r="P228" s="901">
        <f t="shared" si="13"/>
        <v>7200</v>
      </c>
      <c r="Q228" s="901">
        <f t="shared" si="13"/>
        <v>158</v>
      </c>
      <c r="R228" s="901">
        <f t="shared" si="13"/>
        <v>1662</v>
      </c>
      <c r="S228" s="901">
        <f t="shared" si="13"/>
        <v>992</v>
      </c>
      <c r="T228" s="901">
        <f t="shared" si="13"/>
        <v>12768</v>
      </c>
      <c r="U228" s="901">
        <f>AVERAGE(G228:T228)</f>
        <v>5319.3571428571431</v>
      </c>
      <c r="V228" t="str">
        <f t="shared" si="12"/>
        <v>2016/17Outputs - reliabilityGuaranteed Standards of Performance (GSoP)Total Payments owed</v>
      </c>
    </row>
    <row r="229" spans="1:22">
      <c r="A229" s="900" t="s">
        <v>138</v>
      </c>
      <c r="B229" s="900"/>
      <c r="C229" s="900" t="s">
        <v>1293</v>
      </c>
      <c r="D229" t="s">
        <v>243</v>
      </c>
      <c r="E229" t="s">
        <v>1302</v>
      </c>
      <c r="F229" t="s">
        <v>1299</v>
      </c>
      <c r="G229" s="901">
        <v>5987</v>
      </c>
      <c r="H229" s="901">
        <v>2684</v>
      </c>
      <c r="I229" s="901">
        <v>1272</v>
      </c>
      <c r="J229" s="901">
        <v>15</v>
      </c>
      <c r="K229" s="901">
        <v>1</v>
      </c>
      <c r="L229" s="901">
        <v>0</v>
      </c>
      <c r="M229" s="901">
        <v>34</v>
      </c>
      <c r="N229" s="901">
        <v>397</v>
      </c>
      <c r="O229" s="901">
        <v>1238</v>
      </c>
      <c r="P229" s="901">
        <v>1324</v>
      </c>
      <c r="Q229" s="901">
        <v>2</v>
      </c>
      <c r="R229" s="901">
        <v>0</v>
      </c>
      <c r="S229" s="901">
        <v>1021</v>
      </c>
      <c r="T229" s="901">
        <v>2237</v>
      </c>
      <c r="U229" s="901">
        <f>AVERAGE(G229:T229)</f>
        <v>1158</v>
      </c>
      <c r="V229" t="str">
        <f t="shared" si="12"/>
        <v>2016/17Outputs - reliabilityGuaranteed Standards of Performance (GSoP)Total Payments made</v>
      </c>
    </row>
    <row r="230" spans="1:22">
      <c r="A230" s="900" t="s">
        <v>138</v>
      </c>
      <c r="B230" s="900"/>
      <c r="C230" s="900" t="s">
        <v>1293</v>
      </c>
      <c r="D230" t="s">
        <v>243</v>
      </c>
      <c r="E230" t="s">
        <v>1303</v>
      </c>
      <c r="F230" t="s">
        <v>1300</v>
      </c>
      <c r="G230" s="829">
        <f>IFERROR(G229/G228,"N/A")</f>
        <v>0.1492719656926299</v>
      </c>
      <c r="H230" s="829">
        <f t="shared" ref="H230:U230" si="14">IFERROR(H229/H228,"N/A")</f>
        <v>0.99333826794966695</v>
      </c>
      <c r="I230" s="829">
        <f t="shared" si="14"/>
        <v>1</v>
      </c>
      <c r="J230" s="829">
        <f t="shared" si="14"/>
        <v>1</v>
      </c>
      <c r="K230" s="829">
        <f t="shared" si="14"/>
        <v>1</v>
      </c>
      <c r="L230" s="829">
        <f t="shared" si="14"/>
        <v>0</v>
      </c>
      <c r="M230" s="829">
        <f t="shared" si="14"/>
        <v>1</v>
      </c>
      <c r="N230" s="829">
        <f t="shared" si="14"/>
        <v>0.16144774298495324</v>
      </c>
      <c r="O230" s="829">
        <f t="shared" si="14"/>
        <v>0.24681020733652312</v>
      </c>
      <c r="P230" s="829">
        <f t="shared" si="14"/>
        <v>0.18388888888888888</v>
      </c>
      <c r="Q230" s="829">
        <f t="shared" si="14"/>
        <v>1.2658227848101266E-2</v>
      </c>
      <c r="R230" s="829">
        <f t="shared" si="14"/>
        <v>0</v>
      </c>
      <c r="S230" s="829">
        <f t="shared" si="14"/>
        <v>1.029233870967742</v>
      </c>
      <c r="T230" s="829">
        <f t="shared" si="14"/>
        <v>0.17520363408521303</v>
      </c>
      <c r="U230" s="829">
        <f t="shared" si="14"/>
        <v>0.21769547877697357</v>
      </c>
      <c r="V230" t="str">
        <f t="shared" si="12"/>
        <v>2016/17Outputs - reliabilityGuaranteed Standards of Performance (GSoP)% of Payments made vs Payments owed</v>
      </c>
    </row>
    <row r="231" spans="1:22">
      <c r="A231" s="900" t="s">
        <v>139</v>
      </c>
      <c r="B231" s="900" t="s">
        <v>245</v>
      </c>
      <c r="C231" s="900" t="s">
        <v>1293</v>
      </c>
      <c r="D231" t="s">
        <v>243</v>
      </c>
      <c r="E231" t="s">
        <v>257</v>
      </c>
      <c r="F231" t="s">
        <v>1299</v>
      </c>
      <c r="G231" s="901">
        <f t="array" ref="G231:T253">TRANSPOSE('Ch2 outputs - reliability'!E249:AA262)</f>
        <v>828</v>
      </c>
      <c r="H231" s="901">
        <v>2816</v>
      </c>
      <c r="I231" s="901">
        <v>829</v>
      </c>
      <c r="J231" s="901">
        <v>17</v>
      </c>
      <c r="K231" s="901">
        <v>0</v>
      </c>
      <c r="L231" s="901">
        <v>0</v>
      </c>
      <c r="M231" s="901">
        <v>35</v>
      </c>
      <c r="N231" s="901">
        <v>1010</v>
      </c>
      <c r="O231" s="901">
        <v>6136</v>
      </c>
      <c r="P231" s="901">
        <v>7120</v>
      </c>
      <c r="Q231" s="901">
        <v>631</v>
      </c>
      <c r="R231" s="901">
        <v>1112</v>
      </c>
      <c r="S231" s="901">
        <v>627</v>
      </c>
      <c r="T231" s="901">
        <v>3231</v>
      </c>
      <c r="U231" s="901">
        <f>AVERAGE(G231:T231)</f>
        <v>1742.2857142857142</v>
      </c>
      <c r="V231" t="str">
        <f t="shared" si="12"/>
        <v>2017/18Regulation 5 (Supply Restoration: Normal Conditions)*Outputs - reliabilityGuaranteed Standards of Performance (GSoP)Number of valid payments owed</v>
      </c>
    </row>
    <row r="232" spans="1:22">
      <c r="A232" s="900" t="s">
        <v>139</v>
      </c>
      <c r="B232" s="900" t="s">
        <v>245</v>
      </c>
      <c r="C232" s="900" t="s">
        <v>1293</v>
      </c>
      <c r="D232" t="s">
        <v>243</v>
      </c>
      <c r="E232" t="s">
        <v>258</v>
      </c>
      <c r="F232" t="s">
        <v>1300</v>
      </c>
      <c r="G232" s="829">
        <v>1.713768115942029</v>
      </c>
      <c r="H232" s="829">
        <v>1</v>
      </c>
      <c r="I232" s="829">
        <v>1</v>
      </c>
      <c r="J232" s="829">
        <v>1</v>
      </c>
      <c r="K232" s="829" t="str">
        <v>N/A</v>
      </c>
      <c r="L232" s="829" t="str">
        <v>N/A</v>
      </c>
      <c r="M232" s="829">
        <v>1</v>
      </c>
      <c r="N232" s="829">
        <v>0.11683168316831684</v>
      </c>
      <c r="O232" s="829">
        <v>0.14146023468057367</v>
      </c>
      <c r="P232" s="829">
        <v>0.12443820224719102</v>
      </c>
      <c r="Q232" s="829">
        <v>0</v>
      </c>
      <c r="R232" s="829">
        <v>0</v>
      </c>
      <c r="S232" s="829">
        <v>1</v>
      </c>
      <c r="T232" s="829">
        <v>1</v>
      </c>
      <c r="U232" s="829">
        <v>0.44465398491308622</v>
      </c>
      <c r="V232" t="str">
        <f t="shared" si="12"/>
        <v>2017/18Regulation 5 (Supply Restoration: Normal Conditions)*Outputs - reliabilityGuaranteed Standards of Performance (GSoP)Mandatory payments vs valid payments owed</v>
      </c>
    </row>
    <row r="233" spans="1:22">
      <c r="A233" s="900" t="s">
        <v>139</v>
      </c>
      <c r="B233" s="900" t="s">
        <v>246</v>
      </c>
      <c r="C233" s="900" t="s">
        <v>1293</v>
      </c>
      <c r="D233" t="s">
        <v>243</v>
      </c>
      <c r="E233" t="s">
        <v>257</v>
      </c>
      <c r="F233" t="s">
        <v>1299</v>
      </c>
      <c r="G233" s="901">
        <v>0</v>
      </c>
      <c r="H233" s="901">
        <v>0</v>
      </c>
      <c r="I233" s="901">
        <v>0</v>
      </c>
      <c r="J233" s="901">
        <v>0</v>
      </c>
      <c r="K233" s="901">
        <v>0</v>
      </c>
      <c r="L233" s="901">
        <v>0</v>
      </c>
      <c r="M233" s="901">
        <v>0</v>
      </c>
      <c r="N233" s="901">
        <v>0</v>
      </c>
      <c r="O233" s="901">
        <v>0</v>
      </c>
      <c r="P233" s="901">
        <v>0</v>
      </c>
      <c r="Q233" s="901">
        <v>0</v>
      </c>
      <c r="R233" s="901">
        <v>0</v>
      </c>
      <c r="S233" s="901">
        <v>0</v>
      </c>
      <c r="T233" s="901">
        <v>0</v>
      </c>
      <c r="U233" s="901">
        <f>AVERAGE(G233:T233)</f>
        <v>0</v>
      </c>
      <c r="V233" t="str">
        <f t="shared" si="12"/>
        <v>2017/18Regulation 6 (Supply Restoration: Normal Conditions - 5,000 or more customers' premises interrupted)Outputs - reliabilityGuaranteed Standards of Performance (GSoP)Number of valid payments owed</v>
      </c>
    </row>
    <row r="234" spans="1:22">
      <c r="A234" s="900" t="s">
        <v>139</v>
      </c>
      <c r="B234" s="900" t="s">
        <v>246</v>
      </c>
      <c r="C234" s="900" t="s">
        <v>1293</v>
      </c>
      <c r="D234" t="s">
        <v>243</v>
      </c>
      <c r="E234" t="s">
        <v>258</v>
      </c>
      <c r="F234" t="s">
        <v>1300</v>
      </c>
      <c r="G234" s="829" t="str">
        <v>N/A</v>
      </c>
      <c r="H234" s="829" t="str">
        <v>N/A</v>
      </c>
      <c r="I234" s="829" t="str">
        <v>N/A</v>
      </c>
      <c r="J234" s="829" t="str">
        <v>N/A</v>
      </c>
      <c r="K234" s="829" t="str">
        <v>N/A</v>
      </c>
      <c r="L234" s="829" t="str">
        <v>N/A</v>
      </c>
      <c r="M234" s="829" t="str">
        <v>N/A</v>
      </c>
      <c r="N234" s="829" t="str">
        <v>N/A</v>
      </c>
      <c r="O234" s="829" t="str">
        <v>N/A</v>
      </c>
      <c r="P234" s="829" t="str">
        <v>N/A</v>
      </c>
      <c r="Q234" s="829" t="str">
        <v>N/A</v>
      </c>
      <c r="R234" s="829" t="str">
        <v>N/A</v>
      </c>
      <c r="S234" s="829" t="str">
        <v>N/A</v>
      </c>
      <c r="T234" s="829" t="str">
        <v>N/A</v>
      </c>
      <c r="U234" s="829" t="s">
        <v>210</v>
      </c>
      <c r="V234" t="str">
        <f t="shared" si="12"/>
        <v>2017/18Regulation 6 (Supply Restoration: Normal Conditions - 5,000 or more customers' premises interrupted)Outputs - reliabilityGuaranteed Standards of Performance (GSoP)Mandatory payments vs valid payments owed</v>
      </c>
    </row>
    <row r="235" spans="1:22">
      <c r="A235" s="900" t="s">
        <v>139</v>
      </c>
      <c r="B235" s="900" t="s">
        <v>247</v>
      </c>
      <c r="C235" s="900" t="s">
        <v>1293</v>
      </c>
      <c r="D235" t="s">
        <v>243</v>
      </c>
      <c r="E235" t="s">
        <v>257</v>
      </c>
      <c r="F235" t="s">
        <v>1299</v>
      </c>
      <c r="G235" s="901">
        <v>16</v>
      </c>
      <c r="H235" s="901">
        <v>0</v>
      </c>
      <c r="I235" s="901">
        <v>8</v>
      </c>
      <c r="J235" s="901">
        <v>0</v>
      </c>
      <c r="K235" s="901">
        <v>0</v>
      </c>
      <c r="L235" s="901">
        <v>0</v>
      </c>
      <c r="M235" s="901">
        <v>0</v>
      </c>
      <c r="N235" s="901">
        <v>0</v>
      </c>
      <c r="O235" s="901">
        <v>1</v>
      </c>
      <c r="P235" s="901">
        <v>0</v>
      </c>
      <c r="Q235" s="901">
        <v>0</v>
      </c>
      <c r="R235" s="901">
        <v>0</v>
      </c>
      <c r="S235" s="901">
        <v>148</v>
      </c>
      <c r="T235" s="901">
        <v>7</v>
      </c>
      <c r="U235" s="901">
        <f>AVERAGE(G235:T235)</f>
        <v>12.857142857142858</v>
      </c>
      <c r="V235" t="str">
        <f t="shared" si="12"/>
        <v>2017/18Regulation 7(1) - Supply Restoration: Category 1 Severe Weather Conditions*Outputs - reliabilityGuaranteed Standards of Performance (GSoP)Number of valid payments owed</v>
      </c>
    </row>
    <row r="236" spans="1:22">
      <c r="A236" s="900" t="s">
        <v>139</v>
      </c>
      <c r="B236" s="900" t="s">
        <v>247</v>
      </c>
      <c r="C236" s="900" t="s">
        <v>1293</v>
      </c>
      <c r="D236" t="s">
        <v>243</v>
      </c>
      <c r="E236" t="s">
        <v>258</v>
      </c>
      <c r="F236" t="s">
        <v>1300</v>
      </c>
      <c r="G236" s="829">
        <v>1</v>
      </c>
      <c r="H236" s="829" t="str">
        <v>N/A</v>
      </c>
      <c r="I236" s="829">
        <v>35.375</v>
      </c>
      <c r="J236" s="829" t="str">
        <v>N/A</v>
      </c>
      <c r="K236" s="829" t="str">
        <v>N/A</v>
      </c>
      <c r="L236" s="829" t="str">
        <v>N/A</v>
      </c>
      <c r="M236" s="829" t="str">
        <v>N/A</v>
      </c>
      <c r="N236" s="829" t="str">
        <v>N/A</v>
      </c>
      <c r="O236" s="829">
        <v>1</v>
      </c>
      <c r="P236" s="829" t="str">
        <v>N/A</v>
      </c>
      <c r="Q236" s="829" t="str">
        <v>N/A</v>
      </c>
      <c r="R236" s="829" t="str">
        <v>N/A</v>
      </c>
      <c r="S236" s="829">
        <v>1</v>
      </c>
      <c r="T236" s="829">
        <v>0.8571428571428571</v>
      </c>
      <c r="U236" s="829">
        <v>2.5222222222222221</v>
      </c>
      <c r="V236" t="str">
        <f t="shared" si="12"/>
        <v>2017/18Regulation 7(1) - Supply Restoration: Category 1 Severe Weather Conditions*Outputs - reliabilityGuaranteed Standards of Performance (GSoP)Mandatory payments vs valid payments owed</v>
      </c>
    </row>
    <row r="237" spans="1:22">
      <c r="A237" s="900" t="s">
        <v>139</v>
      </c>
      <c r="B237" s="900" t="s">
        <v>248</v>
      </c>
      <c r="C237" s="900" t="s">
        <v>1293</v>
      </c>
      <c r="D237" t="s">
        <v>243</v>
      </c>
      <c r="E237" t="s">
        <v>257</v>
      </c>
      <c r="F237" t="s">
        <v>1299</v>
      </c>
      <c r="G237" s="901">
        <v>0</v>
      </c>
      <c r="H237" s="901">
        <v>0</v>
      </c>
      <c r="I237" s="901">
        <v>0</v>
      </c>
      <c r="J237" s="901">
        <v>0</v>
      </c>
      <c r="K237" s="901">
        <v>0</v>
      </c>
      <c r="L237" s="901">
        <v>0</v>
      </c>
      <c r="M237" s="901">
        <v>0</v>
      </c>
      <c r="N237" s="901">
        <v>0</v>
      </c>
      <c r="O237" s="901">
        <v>0</v>
      </c>
      <c r="P237" s="901">
        <v>7</v>
      </c>
      <c r="Q237" s="901">
        <v>0</v>
      </c>
      <c r="R237" s="901">
        <v>0</v>
      </c>
      <c r="S237" s="901">
        <v>0</v>
      </c>
      <c r="T237" s="901">
        <v>4</v>
      </c>
      <c r="U237" s="901">
        <f>AVERAGE(G237:T237)</f>
        <v>0.7857142857142857</v>
      </c>
      <c r="V237" t="str">
        <f t="shared" si="12"/>
        <v>2017/18Regulation 7(2) - Supply Restoration: Category 2 Severe Weather Conditions*Outputs - reliabilityGuaranteed Standards of Performance (GSoP)Number of valid payments owed</v>
      </c>
    </row>
    <row r="238" spans="1:22">
      <c r="A238" s="900" t="s">
        <v>139</v>
      </c>
      <c r="B238" s="900" t="s">
        <v>248</v>
      </c>
      <c r="C238" s="900" t="s">
        <v>1293</v>
      </c>
      <c r="D238" t="s">
        <v>243</v>
      </c>
      <c r="E238" t="s">
        <v>258</v>
      </c>
      <c r="F238" t="s">
        <v>1300</v>
      </c>
      <c r="G238" s="829" t="str">
        <v>N/A</v>
      </c>
      <c r="H238" s="829" t="str">
        <v>N/A</v>
      </c>
      <c r="I238" s="829" t="str">
        <v>N/A</v>
      </c>
      <c r="J238" s="829" t="str">
        <v>N/A</v>
      </c>
      <c r="K238" s="829" t="str">
        <v>N/A</v>
      </c>
      <c r="L238" s="829" t="str">
        <v>N/A</v>
      </c>
      <c r="M238" s="829" t="str">
        <v>N/A</v>
      </c>
      <c r="N238" s="829" t="str">
        <v>N/A</v>
      </c>
      <c r="O238" s="829" t="str">
        <v>N/A</v>
      </c>
      <c r="P238" s="829">
        <v>1</v>
      </c>
      <c r="Q238" s="829" t="str">
        <v>N/A</v>
      </c>
      <c r="R238" s="829" t="str">
        <v>N/A</v>
      </c>
      <c r="S238" s="829" t="str">
        <v>N/A</v>
      </c>
      <c r="T238" s="829">
        <v>1</v>
      </c>
      <c r="U238" s="829">
        <v>1</v>
      </c>
      <c r="V238" t="str">
        <f t="shared" si="12"/>
        <v>2017/18Regulation 7(2) - Supply Restoration: Category 2 Severe Weather Conditions*Outputs - reliabilityGuaranteed Standards of Performance (GSoP)Mandatory payments vs valid payments owed</v>
      </c>
    </row>
    <row r="239" spans="1:22">
      <c r="A239" s="900" t="s">
        <v>139</v>
      </c>
      <c r="B239" s="900" t="s">
        <v>249</v>
      </c>
      <c r="C239" s="900" t="s">
        <v>1293</v>
      </c>
      <c r="D239" t="s">
        <v>243</v>
      </c>
      <c r="E239" t="s">
        <v>257</v>
      </c>
      <c r="F239" t="s">
        <v>1299</v>
      </c>
      <c r="G239" s="901">
        <v>0</v>
      </c>
      <c r="H239" s="901">
        <v>0</v>
      </c>
      <c r="I239" s="901">
        <v>0</v>
      </c>
      <c r="J239" s="901">
        <v>0</v>
      </c>
      <c r="K239" s="901">
        <v>0</v>
      </c>
      <c r="L239" s="901">
        <v>0</v>
      </c>
      <c r="M239" s="901">
        <v>0</v>
      </c>
      <c r="N239" s="901">
        <v>0</v>
      </c>
      <c r="O239" s="901">
        <v>0</v>
      </c>
      <c r="P239" s="901">
        <v>0</v>
      </c>
      <c r="Q239" s="901">
        <v>0</v>
      </c>
      <c r="R239" s="901">
        <v>0</v>
      </c>
      <c r="S239" s="901">
        <v>0</v>
      </c>
      <c r="T239" s="901">
        <v>0</v>
      </c>
      <c r="U239" s="901">
        <f>AVERAGE(G239:T239)</f>
        <v>0</v>
      </c>
      <c r="V239" t="str">
        <f t="shared" si="12"/>
        <v>2017/18Regulation 7(3) - Supply Restoration: Category 3 Severe Weather Conditions*Outputs - reliabilityGuaranteed Standards of Performance (GSoP)Number of valid payments owed</v>
      </c>
    </row>
    <row r="240" spans="1:22">
      <c r="A240" s="900" t="s">
        <v>139</v>
      </c>
      <c r="B240" s="900" t="s">
        <v>249</v>
      </c>
      <c r="C240" s="900" t="s">
        <v>1293</v>
      </c>
      <c r="D240" t="s">
        <v>243</v>
      </c>
      <c r="E240" t="s">
        <v>258</v>
      </c>
      <c r="F240" t="s">
        <v>1300</v>
      </c>
      <c r="G240" s="829" t="str">
        <v>N/A</v>
      </c>
      <c r="H240" s="829" t="str">
        <v>N/A</v>
      </c>
      <c r="I240" s="829" t="str">
        <v>N/A</v>
      </c>
      <c r="J240" s="829" t="str">
        <v>N/A</v>
      </c>
      <c r="K240" s="829" t="str">
        <v>N/A</v>
      </c>
      <c r="L240" s="829" t="str">
        <v>N/A</v>
      </c>
      <c r="M240" s="829" t="str">
        <v>N/A</v>
      </c>
      <c r="N240" s="829" t="str">
        <v>N/A</v>
      </c>
      <c r="O240" s="829" t="str">
        <v>N/A</v>
      </c>
      <c r="P240" s="829" t="str">
        <v>N/A</v>
      </c>
      <c r="Q240" s="829" t="str">
        <v>N/A</v>
      </c>
      <c r="R240" s="829" t="str">
        <v>N/A</v>
      </c>
      <c r="S240" s="829" t="str">
        <v>N/A</v>
      </c>
      <c r="T240" s="829" t="str">
        <v>N/A</v>
      </c>
      <c r="U240" s="829" t="s">
        <v>210</v>
      </c>
      <c r="V240" t="str">
        <f t="shared" si="12"/>
        <v>2017/18Regulation 7(3) - Supply Restoration: Category 3 Severe Weather Conditions*Outputs - reliabilityGuaranteed Standards of Performance (GSoP)Mandatory payments vs valid payments owed</v>
      </c>
    </row>
    <row r="241" spans="1:22">
      <c r="A241" s="900" t="s">
        <v>139</v>
      </c>
      <c r="B241" s="900" t="s">
        <v>250</v>
      </c>
      <c r="C241" s="900" t="s">
        <v>1293</v>
      </c>
      <c r="D241" t="s">
        <v>243</v>
      </c>
      <c r="E241" t="s">
        <v>257</v>
      </c>
      <c r="F241" t="s">
        <v>1299</v>
      </c>
      <c r="G241" s="901">
        <v>0</v>
      </c>
      <c r="H241" s="901">
        <v>0</v>
      </c>
      <c r="I241" s="901">
        <v>0</v>
      </c>
      <c r="J241" s="901">
        <v>0</v>
      </c>
      <c r="K241" s="901">
        <v>0</v>
      </c>
      <c r="L241" s="901">
        <v>0</v>
      </c>
      <c r="M241" s="901">
        <v>0</v>
      </c>
      <c r="N241" s="901">
        <v>0</v>
      </c>
      <c r="O241" s="901">
        <v>0</v>
      </c>
      <c r="P241" s="901">
        <v>0</v>
      </c>
      <c r="Q241" s="901">
        <v>0</v>
      </c>
      <c r="R241" s="901">
        <v>0</v>
      </c>
      <c r="S241" s="901">
        <v>0</v>
      </c>
      <c r="T241" s="901">
        <v>0</v>
      </c>
      <c r="U241" s="901">
        <f>AVERAGE(G241:T241)</f>
        <v>0</v>
      </c>
      <c r="V241" t="str">
        <f t="shared" si="12"/>
        <v>2017/18Regulation 8 (Supply Restoration: Rota Disconnection)Outputs - reliabilityGuaranteed Standards of Performance (GSoP)Number of valid payments owed</v>
      </c>
    </row>
    <row r="242" spans="1:22">
      <c r="A242" s="900" t="s">
        <v>139</v>
      </c>
      <c r="B242" s="900" t="s">
        <v>250</v>
      </c>
      <c r="C242" s="900" t="s">
        <v>1293</v>
      </c>
      <c r="D242" t="s">
        <v>243</v>
      </c>
      <c r="E242" t="s">
        <v>258</v>
      </c>
      <c r="F242" t="s">
        <v>1300</v>
      </c>
      <c r="G242" s="829" t="str">
        <v>N/A</v>
      </c>
      <c r="H242" s="829" t="str">
        <v>N/A</v>
      </c>
      <c r="I242" s="829" t="str">
        <v>N/A</v>
      </c>
      <c r="J242" s="829" t="str">
        <v>N/A</v>
      </c>
      <c r="K242" s="829" t="str">
        <v>N/A</v>
      </c>
      <c r="L242" s="829" t="str">
        <v>N/A</v>
      </c>
      <c r="M242" s="829" t="str">
        <v>N/A</v>
      </c>
      <c r="N242" s="829" t="str">
        <v>N/A</v>
      </c>
      <c r="O242" s="829" t="str">
        <v>N/A</v>
      </c>
      <c r="P242" s="829" t="str">
        <v>N/A</v>
      </c>
      <c r="Q242" s="829" t="str">
        <v>N/A</v>
      </c>
      <c r="R242" s="829" t="str">
        <v>N/A</v>
      </c>
      <c r="S242" s="829" t="str">
        <v>N/A</v>
      </c>
      <c r="T242" s="829" t="str">
        <v>N/A</v>
      </c>
      <c r="U242" s="829" t="s">
        <v>210</v>
      </c>
      <c r="V242" t="str">
        <f t="shared" si="12"/>
        <v>2017/18Regulation 8 (Supply Restoration: Rota Disconnection)Outputs - reliabilityGuaranteed Standards of Performance (GSoP)Mandatory payments vs valid payments owed</v>
      </c>
    </row>
    <row r="243" spans="1:22">
      <c r="A243" s="900" t="s">
        <v>139</v>
      </c>
      <c r="B243" s="900" t="s">
        <v>251</v>
      </c>
      <c r="C243" s="900" t="s">
        <v>1293</v>
      </c>
      <c r="D243" t="s">
        <v>243</v>
      </c>
      <c r="E243" t="s">
        <v>257</v>
      </c>
      <c r="F243" t="s">
        <v>1299</v>
      </c>
      <c r="G243" s="901">
        <v>0</v>
      </c>
      <c r="H243" s="901">
        <v>3</v>
      </c>
      <c r="I243" s="901">
        <v>0</v>
      </c>
      <c r="J243" s="901">
        <v>0</v>
      </c>
      <c r="K243" s="901">
        <v>0</v>
      </c>
      <c r="L243" s="901">
        <v>0</v>
      </c>
      <c r="M243" s="901">
        <v>0</v>
      </c>
      <c r="N243" s="901">
        <v>7</v>
      </c>
      <c r="O243" s="901">
        <v>71</v>
      </c>
      <c r="P243" s="901">
        <v>35</v>
      </c>
      <c r="Q243" s="901">
        <v>0</v>
      </c>
      <c r="R243" s="901">
        <v>0</v>
      </c>
      <c r="S243" s="901">
        <v>12</v>
      </c>
      <c r="T243" s="901">
        <v>66</v>
      </c>
      <c r="U243" s="901">
        <f>AVERAGE(G243:T243)</f>
        <v>13.857142857142858</v>
      </c>
      <c r="V243" t="str">
        <f t="shared" ref="V243:V274" si="15">CONCATENATE(A243,B243,C243,D243,E243)</f>
        <v>2017/18Regulation 10 (Supply Restoration: Multiple interruptions)Outputs - reliabilityGuaranteed Standards of Performance (GSoP)Number of valid payments owed</v>
      </c>
    </row>
    <row r="244" spans="1:22">
      <c r="A244" s="900" t="s">
        <v>139</v>
      </c>
      <c r="B244" s="900" t="s">
        <v>251</v>
      </c>
      <c r="C244" s="900" t="s">
        <v>1293</v>
      </c>
      <c r="D244" t="s">
        <v>243</v>
      </c>
      <c r="E244" t="s">
        <v>258</v>
      </c>
      <c r="F244" t="s">
        <v>1300</v>
      </c>
      <c r="G244" s="829" t="str">
        <v>N/A</v>
      </c>
      <c r="H244" s="829">
        <v>1</v>
      </c>
      <c r="I244" s="829" t="str">
        <v>N/A</v>
      </c>
      <c r="J244" s="829" t="str">
        <v>N/A</v>
      </c>
      <c r="K244" s="829" t="str">
        <v>N/A</v>
      </c>
      <c r="L244" s="829" t="str">
        <v>N/A</v>
      </c>
      <c r="M244" s="829" t="str">
        <v>N/A</v>
      </c>
      <c r="N244" s="829">
        <v>1</v>
      </c>
      <c r="O244" s="829">
        <v>1</v>
      </c>
      <c r="P244" s="829">
        <v>1</v>
      </c>
      <c r="Q244" s="829" t="str">
        <v>N/A</v>
      </c>
      <c r="R244" s="829" t="str">
        <v>N/A</v>
      </c>
      <c r="S244" s="829">
        <v>1</v>
      </c>
      <c r="T244" s="829">
        <v>1</v>
      </c>
      <c r="U244" s="1034">
        <v>0</v>
      </c>
      <c r="V244" t="str">
        <f t="shared" si="15"/>
        <v>2017/18Regulation 10 (Supply Restoration: Multiple interruptions)Outputs - reliabilityGuaranteed Standards of Performance (GSoP)Mandatory payments vs valid payments owed</v>
      </c>
    </row>
    <row r="245" spans="1:22">
      <c r="A245" s="900" t="s">
        <v>139</v>
      </c>
      <c r="B245" s="900" t="s">
        <v>252</v>
      </c>
      <c r="C245" s="900" t="s">
        <v>1293</v>
      </c>
      <c r="D245" t="s">
        <v>243</v>
      </c>
      <c r="E245" t="s">
        <v>257</v>
      </c>
      <c r="F245" t="s">
        <v>1299</v>
      </c>
      <c r="G245" s="901">
        <v>2</v>
      </c>
      <c r="H245" s="901">
        <v>6</v>
      </c>
      <c r="I245" s="901">
        <v>5</v>
      </c>
      <c r="J245" s="901">
        <v>0</v>
      </c>
      <c r="K245" s="901">
        <v>1</v>
      </c>
      <c r="L245" s="901">
        <v>0</v>
      </c>
      <c r="M245" s="901">
        <v>0</v>
      </c>
      <c r="N245" s="901">
        <v>36</v>
      </c>
      <c r="O245" s="901">
        <v>43</v>
      </c>
      <c r="P245" s="901">
        <v>70</v>
      </c>
      <c r="Q245" s="901">
        <v>0</v>
      </c>
      <c r="R245" s="901">
        <v>1</v>
      </c>
      <c r="S245" s="901">
        <v>1</v>
      </c>
      <c r="T245" s="901">
        <v>14</v>
      </c>
      <c r="U245" s="901">
        <f>AVERAGE(G245:T245)</f>
        <v>12.785714285714286</v>
      </c>
      <c r="V245" t="str">
        <f t="shared" si="15"/>
        <v>2017/18Regulation 11 (Responding to Operation of Distributor's Fuse)Outputs - reliabilityGuaranteed Standards of Performance (GSoP)Number of valid payments owed</v>
      </c>
    </row>
    <row r="246" spans="1:22">
      <c r="A246" s="900" t="s">
        <v>139</v>
      </c>
      <c r="B246" s="900" t="s">
        <v>252</v>
      </c>
      <c r="C246" s="900" t="s">
        <v>1293</v>
      </c>
      <c r="D246" t="s">
        <v>243</v>
      </c>
      <c r="E246" t="s">
        <v>258</v>
      </c>
      <c r="F246" t="s">
        <v>1300</v>
      </c>
      <c r="G246" s="829">
        <v>1.5</v>
      </c>
      <c r="H246" s="829">
        <v>1</v>
      </c>
      <c r="I246" s="829">
        <v>1</v>
      </c>
      <c r="J246" s="829" t="str">
        <v>N/A</v>
      </c>
      <c r="K246" s="829">
        <v>1</v>
      </c>
      <c r="L246" s="829" t="str">
        <v>N/A</v>
      </c>
      <c r="M246" s="829" t="str">
        <v>N/A</v>
      </c>
      <c r="N246" s="829">
        <v>1</v>
      </c>
      <c r="O246" s="829">
        <v>1</v>
      </c>
      <c r="P246" s="829">
        <v>1</v>
      </c>
      <c r="Q246" s="829" t="str">
        <v>N/A</v>
      </c>
      <c r="R246" s="829">
        <v>1</v>
      </c>
      <c r="S246" s="829">
        <v>1</v>
      </c>
      <c r="T246" s="829">
        <v>1</v>
      </c>
      <c r="U246" s="829">
        <v>1.0055865921787694</v>
      </c>
      <c r="V246" t="str">
        <f t="shared" si="15"/>
        <v>2017/18Regulation 11 (Responding to Operation of Distributor's Fuse)Outputs - reliabilityGuaranteed Standards of Performance (GSoP)Mandatory payments vs valid payments owed</v>
      </c>
    </row>
    <row r="247" spans="1:22">
      <c r="A247" s="900" t="s">
        <v>139</v>
      </c>
      <c r="B247" s="900" t="s">
        <v>253</v>
      </c>
      <c r="C247" s="900" t="s">
        <v>1293</v>
      </c>
      <c r="D247" t="s">
        <v>243</v>
      </c>
      <c r="E247" t="s">
        <v>257</v>
      </c>
      <c r="F247" t="s">
        <v>1299</v>
      </c>
      <c r="G247" s="901">
        <v>515</v>
      </c>
      <c r="H247" s="901">
        <v>131</v>
      </c>
      <c r="I247" s="901">
        <v>30</v>
      </c>
      <c r="J247" s="901">
        <v>3</v>
      </c>
      <c r="K247" s="901">
        <v>1</v>
      </c>
      <c r="L247" s="901">
        <v>1</v>
      </c>
      <c r="M247" s="901">
        <v>3</v>
      </c>
      <c r="N247" s="901">
        <v>3</v>
      </c>
      <c r="O247" s="901">
        <v>40</v>
      </c>
      <c r="P247" s="901">
        <v>37</v>
      </c>
      <c r="Q247" s="901">
        <v>0</v>
      </c>
      <c r="R247" s="901">
        <v>0</v>
      </c>
      <c r="S247" s="901">
        <v>125</v>
      </c>
      <c r="T247" s="901">
        <v>329</v>
      </c>
      <c r="U247" s="901">
        <f>AVERAGE(G247:T247)</f>
        <v>87</v>
      </c>
      <c r="V247" t="str">
        <f t="shared" si="15"/>
        <v>2017/18Regulation 12 (Notice of Supply Interruption )Outputs - reliabilityGuaranteed Standards of Performance (GSoP)Number of valid payments owed</v>
      </c>
    </row>
    <row r="248" spans="1:22">
      <c r="A248" s="900" t="s">
        <v>139</v>
      </c>
      <c r="B248" s="900" t="s">
        <v>253</v>
      </c>
      <c r="C248" s="900" t="s">
        <v>1293</v>
      </c>
      <c r="D248" t="s">
        <v>243</v>
      </c>
      <c r="E248" t="s">
        <v>258</v>
      </c>
      <c r="F248" t="s">
        <v>1300</v>
      </c>
      <c r="G248" s="829">
        <v>1</v>
      </c>
      <c r="H248" s="829">
        <v>1</v>
      </c>
      <c r="I248" s="829">
        <v>0.9</v>
      </c>
      <c r="J248" s="829">
        <v>1</v>
      </c>
      <c r="K248" s="829">
        <v>1</v>
      </c>
      <c r="L248" s="829">
        <v>1</v>
      </c>
      <c r="M248" s="829">
        <v>1</v>
      </c>
      <c r="N248" s="829">
        <v>1</v>
      </c>
      <c r="O248" s="829">
        <v>1</v>
      </c>
      <c r="P248" s="829">
        <v>1</v>
      </c>
      <c r="Q248" s="829" t="str">
        <v>N/A</v>
      </c>
      <c r="R248" s="829" t="str">
        <v>N/A</v>
      </c>
      <c r="S248" s="829">
        <v>1</v>
      </c>
      <c r="T248" s="829">
        <v>1</v>
      </c>
      <c r="U248" s="829">
        <v>0.99753694581280794</v>
      </c>
      <c r="V248" t="str">
        <f t="shared" si="15"/>
        <v>2017/18Regulation 12 (Notice of Supply Interruption )Outputs - reliabilityGuaranteed Standards of Performance (GSoP)Mandatory payments vs valid payments owed</v>
      </c>
    </row>
    <row r="249" spans="1:22">
      <c r="A249" s="900" t="s">
        <v>139</v>
      </c>
      <c r="B249" s="900" t="s">
        <v>254</v>
      </c>
      <c r="C249" s="900" t="s">
        <v>1293</v>
      </c>
      <c r="D249" t="s">
        <v>243</v>
      </c>
      <c r="E249" t="s">
        <v>821</v>
      </c>
      <c r="F249" t="s">
        <v>1299</v>
      </c>
      <c r="G249" s="901">
        <v>0</v>
      </c>
      <c r="H249" s="901">
        <v>0</v>
      </c>
      <c r="I249" s="901">
        <v>0</v>
      </c>
      <c r="J249" s="901">
        <v>0</v>
      </c>
      <c r="K249" s="901">
        <v>0</v>
      </c>
      <c r="L249" s="901">
        <v>0</v>
      </c>
      <c r="M249" s="901">
        <v>0</v>
      </c>
      <c r="N249" s="901">
        <v>0</v>
      </c>
      <c r="O249" s="901">
        <v>0</v>
      </c>
      <c r="P249" s="901">
        <v>0</v>
      </c>
      <c r="Q249" s="901">
        <v>0</v>
      </c>
      <c r="R249" s="901">
        <v>0</v>
      </c>
      <c r="S249" s="901">
        <v>0</v>
      </c>
      <c r="T249" s="901">
        <v>0</v>
      </c>
      <c r="U249" s="901">
        <f>AVERAGE(G249:T249)</f>
        <v>0</v>
      </c>
      <c r="V249" t="str">
        <f t="shared" si="15"/>
        <v>2017/18Regulation 13 (Investigation of Voltage complaints)Outputs - reliabilityGuaranteed Standards of Performance (GSoP)Total Number of mandatory payments made</v>
      </c>
    </row>
    <row r="250" spans="1:22">
      <c r="A250" s="900" t="s">
        <v>139</v>
      </c>
      <c r="B250" s="900" t="s">
        <v>255</v>
      </c>
      <c r="C250" s="900" t="s">
        <v>1293</v>
      </c>
      <c r="D250" t="s">
        <v>243</v>
      </c>
      <c r="E250" t="s">
        <v>257</v>
      </c>
      <c r="F250" t="s">
        <v>1299</v>
      </c>
      <c r="G250" s="901">
        <v>10282</v>
      </c>
      <c r="H250" s="901">
        <v>0</v>
      </c>
      <c r="I250" s="901">
        <v>0</v>
      </c>
      <c r="J250" s="901">
        <v>14632</v>
      </c>
      <c r="K250" s="901">
        <v>21923</v>
      </c>
      <c r="L250" s="901">
        <v>7912</v>
      </c>
      <c r="M250" s="901">
        <v>19831</v>
      </c>
      <c r="N250" s="901">
        <v>46</v>
      </c>
      <c r="O250" s="901">
        <v>533</v>
      </c>
      <c r="P250" s="901">
        <v>620</v>
      </c>
      <c r="Q250" s="901">
        <v>0</v>
      </c>
      <c r="R250" s="901">
        <v>0</v>
      </c>
      <c r="S250" s="901">
        <v>6</v>
      </c>
      <c r="T250" s="901">
        <v>28923</v>
      </c>
      <c r="U250" s="901">
        <f>AVERAGE(G250:T250)</f>
        <v>7479.1428571428569</v>
      </c>
      <c r="V250" t="str">
        <f t="shared" si="15"/>
        <v>2017/18Regulation 17 (Making and Keeping Appointments)Outputs - reliabilityGuaranteed Standards of Performance (GSoP)Number of valid payments owed</v>
      </c>
    </row>
    <row r="251" spans="1:22">
      <c r="A251" s="900" t="s">
        <v>139</v>
      </c>
      <c r="B251" s="900" t="s">
        <v>255</v>
      </c>
      <c r="C251" s="900" t="s">
        <v>1293</v>
      </c>
      <c r="D251" t="s">
        <v>243</v>
      </c>
      <c r="E251" t="s">
        <v>258</v>
      </c>
      <c r="F251" t="s">
        <v>1300</v>
      </c>
      <c r="G251" s="829">
        <v>8.996304220968683E-2</v>
      </c>
      <c r="H251" s="829">
        <v>1</v>
      </c>
      <c r="I251" s="829">
        <v>1</v>
      </c>
      <c r="J251" s="829">
        <v>0</v>
      </c>
      <c r="K251" s="829">
        <v>0</v>
      </c>
      <c r="L251" s="829">
        <v>0</v>
      </c>
      <c r="M251" s="829">
        <v>0</v>
      </c>
      <c r="N251" s="829">
        <v>0.73913043478260865</v>
      </c>
      <c r="O251" s="829">
        <v>0.87992495309568475</v>
      </c>
      <c r="P251" s="829">
        <v>0.98870967741935489</v>
      </c>
      <c r="Q251" s="829" t="str">
        <v>N/A</v>
      </c>
      <c r="R251" s="829" t="str">
        <v>N/A</v>
      </c>
      <c r="S251" s="829">
        <v>1</v>
      </c>
      <c r="T251" s="829">
        <v>1.2791260457719698E-3</v>
      </c>
      <c r="U251" s="829">
        <v>2.0706502032481536E-2</v>
      </c>
      <c r="V251" t="str">
        <f t="shared" si="15"/>
        <v>2017/18Regulation 17 (Making and Keeping Appointments)Outputs - reliabilityGuaranteed Standards of Performance (GSoP)Mandatory payments vs valid payments owed</v>
      </c>
    </row>
    <row r="252" spans="1:22">
      <c r="A252" s="900" t="s">
        <v>139</v>
      </c>
      <c r="B252" s="900" t="s">
        <v>256</v>
      </c>
      <c r="C252" s="900" t="s">
        <v>1293</v>
      </c>
      <c r="D252" t="s">
        <v>243</v>
      </c>
      <c r="E252" t="s">
        <v>257</v>
      </c>
      <c r="F252" t="s">
        <v>1299</v>
      </c>
      <c r="G252" s="901">
        <v>909</v>
      </c>
      <c r="H252" s="901">
        <v>25</v>
      </c>
      <c r="I252" s="901">
        <v>15</v>
      </c>
      <c r="J252" s="901">
        <v>0</v>
      </c>
      <c r="K252" s="901">
        <v>0</v>
      </c>
      <c r="L252" s="901">
        <v>0</v>
      </c>
      <c r="M252" s="901">
        <v>0</v>
      </c>
      <c r="N252" s="901">
        <v>4</v>
      </c>
      <c r="O252" s="901">
        <v>17</v>
      </c>
      <c r="P252" s="901">
        <v>127</v>
      </c>
      <c r="Q252" s="901">
        <v>1</v>
      </c>
      <c r="R252" s="901">
        <v>1</v>
      </c>
      <c r="S252" s="901">
        <v>30</v>
      </c>
      <c r="T252" s="901">
        <v>17</v>
      </c>
      <c r="U252" s="901">
        <f>AVERAGE(G252:T252)</f>
        <v>81.857142857142861</v>
      </c>
      <c r="V252" t="str">
        <f t="shared" si="15"/>
        <v>2017/18Regulation 19 (Payments owed under the Guaranteed Standards)Outputs - reliabilityGuaranteed Standards of Performance (GSoP)Number of valid payments owed</v>
      </c>
    </row>
    <row r="253" spans="1:22">
      <c r="A253" s="900" t="s">
        <v>139</v>
      </c>
      <c r="B253" s="900" t="s">
        <v>256</v>
      </c>
      <c r="C253" s="900" t="s">
        <v>1293</v>
      </c>
      <c r="D253" t="s">
        <v>243</v>
      </c>
      <c r="E253" t="s">
        <v>258</v>
      </c>
      <c r="F253" t="s">
        <v>1300</v>
      </c>
      <c r="G253" s="829">
        <v>1</v>
      </c>
      <c r="H253" s="829">
        <v>0.96153846153846156</v>
      </c>
      <c r="I253" s="829">
        <v>1</v>
      </c>
      <c r="J253" s="829" t="str">
        <v>N/A</v>
      </c>
      <c r="K253" s="829" t="str">
        <v>N/A</v>
      </c>
      <c r="L253" s="829" t="str">
        <v>N/A</v>
      </c>
      <c r="M253" s="829" t="str">
        <v>N/A</v>
      </c>
      <c r="N253" s="829">
        <v>1</v>
      </c>
      <c r="O253" s="829">
        <v>1</v>
      </c>
      <c r="P253" s="829">
        <v>1</v>
      </c>
      <c r="Q253" s="829">
        <v>0</v>
      </c>
      <c r="R253" s="829">
        <v>0</v>
      </c>
      <c r="S253" s="829">
        <v>1</v>
      </c>
      <c r="T253" s="829">
        <v>1</v>
      </c>
      <c r="U253" s="829">
        <v>0.99738448125544887</v>
      </c>
      <c r="V253" t="str">
        <f t="shared" si="15"/>
        <v>2017/18Regulation 19 (Payments owed under the Guaranteed Standards)Outputs - reliabilityGuaranteed Standards of Performance (GSoP)Mandatory payments vs valid payments owed</v>
      </c>
    </row>
    <row r="254" spans="1:22">
      <c r="A254" s="900" t="s">
        <v>139</v>
      </c>
      <c r="B254" s="900"/>
      <c r="C254" s="900" t="s">
        <v>1293</v>
      </c>
      <c r="D254" t="s">
        <v>243</v>
      </c>
      <c r="E254" s="900" t="s">
        <v>1301</v>
      </c>
      <c r="F254" s="900" t="s">
        <v>1299</v>
      </c>
      <c r="G254" s="901">
        <f>SUM(G231,G233,G235,G237,G239,G241,G243,G245,G247,G250,G252)</f>
        <v>12552</v>
      </c>
      <c r="H254" s="901">
        <f t="shared" ref="H254:T254" si="16">SUM(H231,H233,H235,H237,H239,H241,H243,H245,H247,H250,H252)</f>
        <v>2981</v>
      </c>
      <c r="I254" s="901">
        <f t="shared" si="16"/>
        <v>887</v>
      </c>
      <c r="J254" s="901">
        <f t="shared" si="16"/>
        <v>14652</v>
      </c>
      <c r="K254" s="901">
        <f t="shared" si="16"/>
        <v>21925</v>
      </c>
      <c r="L254" s="901">
        <f t="shared" si="16"/>
        <v>7913</v>
      </c>
      <c r="M254" s="901">
        <f t="shared" si="16"/>
        <v>19869</v>
      </c>
      <c r="N254" s="901">
        <f t="shared" si="16"/>
        <v>1106</v>
      </c>
      <c r="O254" s="901">
        <f t="shared" si="16"/>
        <v>6841</v>
      </c>
      <c r="P254" s="901">
        <f t="shared" si="16"/>
        <v>8016</v>
      </c>
      <c r="Q254" s="901">
        <f t="shared" si="16"/>
        <v>632</v>
      </c>
      <c r="R254" s="901">
        <f t="shared" si="16"/>
        <v>1114</v>
      </c>
      <c r="S254" s="901">
        <f t="shared" si="16"/>
        <v>949</v>
      </c>
      <c r="T254" s="901">
        <f t="shared" si="16"/>
        <v>32591</v>
      </c>
      <c r="U254" s="901">
        <f>AVERAGE(G254:T254)</f>
        <v>9430.5714285714294</v>
      </c>
      <c r="V254" t="str">
        <f t="shared" si="15"/>
        <v>2017/18Outputs - reliabilityGuaranteed Standards of Performance (GSoP)Total Payments owed</v>
      </c>
    </row>
    <row r="255" spans="1:22">
      <c r="A255" s="900" t="s">
        <v>139</v>
      </c>
      <c r="B255" s="900"/>
      <c r="C255" s="900" t="s">
        <v>1293</v>
      </c>
      <c r="D255" t="s">
        <v>243</v>
      </c>
      <c r="E255" t="s">
        <v>1302</v>
      </c>
      <c r="F255" s="900" t="s">
        <v>1299</v>
      </c>
      <c r="G255" s="901">
        <v>3792</v>
      </c>
      <c r="H255" s="901">
        <v>3020</v>
      </c>
      <c r="I255" s="901">
        <v>1206</v>
      </c>
      <c r="J255" s="901">
        <v>20</v>
      </c>
      <c r="K255" s="901">
        <v>2</v>
      </c>
      <c r="L255" s="901">
        <v>1</v>
      </c>
      <c r="M255" s="901">
        <v>38</v>
      </c>
      <c r="N255" s="901">
        <v>202</v>
      </c>
      <c r="O255" s="901">
        <v>1509</v>
      </c>
      <c r="P255" s="901">
        <v>1775</v>
      </c>
      <c r="Q255" s="901">
        <v>1</v>
      </c>
      <c r="R255" s="901">
        <v>1</v>
      </c>
      <c r="S255" s="901">
        <v>949</v>
      </c>
      <c r="T255" s="901">
        <v>3704</v>
      </c>
      <c r="U255" s="901">
        <f>AVERAGE(G255:T255)</f>
        <v>1158.5714285714287</v>
      </c>
      <c r="V255" t="str">
        <f t="shared" si="15"/>
        <v>2017/18Outputs - reliabilityGuaranteed Standards of Performance (GSoP)Total Payments made</v>
      </c>
    </row>
    <row r="256" spans="1:22">
      <c r="A256" s="900" t="s">
        <v>139</v>
      </c>
      <c r="B256" s="900"/>
      <c r="C256" s="900" t="s">
        <v>1293</v>
      </c>
      <c r="D256" t="s">
        <v>243</v>
      </c>
      <c r="E256" s="900" t="s">
        <v>1303</v>
      </c>
      <c r="F256" s="900" t="s">
        <v>1300</v>
      </c>
      <c r="G256" s="829">
        <f t="shared" ref="G256:U256" si="17">1-(G254-G255)/G254</f>
        <v>0.30210325047801145</v>
      </c>
      <c r="H256" s="829">
        <f t="shared" si="17"/>
        <v>1.0130828581013083</v>
      </c>
      <c r="I256" s="829">
        <f t="shared" si="17"/>
        <v>1.3596392333709133</v>
      </c>
      <c r="J256" s="829">
        <f t="shared" si="17"/>
        <v>1.3650013650013948E-3</v>
      </c>
      <c r="K256" s="829">
        <f t="shared" si="17"/>
        <v>9.1220068414998856E-5</v>
      </c>
      <c r="L256" s="829">
        <f t="shared" si="17"/>
        <v>1.263743207380319E-4</v>
      </c>
      <c r="M256" s="829">
        <f t="shared" si="17"/>
        <v>1.9125270521918036E-3</v>
      </c>
      <c r="N256" s="829">
        <f t="shared" si="17"/>
        <v>0.18264014466546108</v>
      </c>
      <c r="O256" s="829">
        <f t="shared" si="17"/>
        <v>0.22058178628855429</v>
      </c>
      <c r="P256" s="829">
        <f t="shared" si="17"/>
        <v>0.22143213572854292</v>
      </c>
      <c r="Q256" s="829">
        <f t="shared" si="17"/>
        <v>1.5822784810126667E-3</v>
      </c>
      <c r="R256" s="829">
        <f t="shared" si="17"/>
        <v>8.9766606822261341E-4</v>
      </c>
      <c r="S256" s="829">
        <f t="shared" si="17"/>
        <v>1</v>
      </c>
      <c r="T256" s="829">
        <f t="shared" si="17"/>
        <v>0.11365100794697924</v>
      </c>
      <c r="U256" s="829">
        <f t="shared" si="17"/>
        <v>0.12285272820916782</v>
      </c>
      <c r="V256" t="str">
        <f t="shared" si="15"/>
        <v>2017/18Outputs - reliabilityGuaranteed Standards of Performance (GSoP)% of Payments made vs Payments owed</v>
      </c>
    </row>
    <row r="257" spans="1:22">
      <c r="A257" s="900" t="s">
        <v>140</v>
      </c>
      <c r="B257" s="900" t="s">
        <v>245</v>
      </c>
      <c r="C257" s="900" t="s">
        <v>1293</v>
      </c>
      <c r="D257" t="s">
        <v>243</v>
      </c>
      <c r="E257" t="s">
        <v>257</v>
      </c>
      <c r="F257" t="s">
        <v>1299</v>
      </c>
      <c r="G257">
        <f t="array" ref="G257:T279">TRANSPOSE('Ch2 outputs - reliability'!E268:AA281)</f>
        <v>2496</v>
      </c>
      <c r="H257">
        <v>2508</v>
      </c>
      <c r="I257">
        <v>1854</v>
      </c>
      <c r="J257">
        <v>0</v>
      </c>
      <c r="K257">
        <v>0</v>
      </c>
      <c r="L257">
        <v>0</v>
      </c>
      <c r="M257">
        <v>24</v>
      </c>
      <c r="N257">
        <v>470</v>
      </c>
      <c r="O257">
        <v>5454</v>
      </c>
      <c r="P257">
        <v>3868</v>
      </c>
      <c r="Q257">
        <v>734</v>
      </c>
      <c r="R257">
        <v>725</v>
      </c>
      <c r="S257">
        <v>471</v>
      </c>
      <c r="T257">
        <v>5764</v>
      </c>
      <c r="U257">
        <f>AVERAGE(G257:T257)</f>
        <v>1740.5714285714287</v>
      </c>
      <c r="V257" t="str">
        <f t="shared" si="15"/>
        <v>2018/19Regulation 5 (Supply Restoration: Normal Conditions)*Outputs - reliabilityGuaranteed Standards of Performance (GSoP)Number of valid payments owed</v>
      </c>
    </row>
    <row r="258" spans="1:22">
      <c r="A258" s="900" t="s">
        <v>140</v>
      </c>
      <c r="B258" s="900" t="s">
        <v>245</v>
      </c>
      <c r="C258" s="900" t="s">
        <v>1293</v>
      </c>
      <c r="D258" t="s">
        <v>243</v>
      </c>
      <c r="E258" t="s">
        <v>258</v>
      </c>
      <c r="F258" t="s">
        <v>1300</v>
      </c>
      <c r="G258" s="829">
        <v>1.0721153846153846</v>
      </c>
      <c r="H258" s="829">
        <v>1.0007974481658692</v>
      </c>
      <c r="I258" s="829">
        <v>0.99892125134843579</v>
      </c>
      <c r="J258" s="829" t="str">
        <v>N/A</v>
      </c>
      <c r="K258" s="829" t="str">
        <v>N/A</v>
      </c>
      <c r="L258" s="829" t="str">
        <v>N/A</v>
      </c>
      <c r="M258" s="829">
        <v>1.0833333333333333</v>
      </c>
      <c r="N258" s="829">
        <v>0.4553191489361702</v>
      </c>
      <c r="O258" s="829">
        <v>0.27686101943527686</v>
      </c>
      <c r="P258" s="829">
        <v>0.32445708376421922</v>
      </c>
      <c r="Q258" s="829">
        <v>0</v>
      </c>
      <c r="R258" s="829">
        <v>0</v>
      </c>
      <c r="S258" s="829">
        <v>1</v>
      </c>
      <c r="T258" s="829">
        <v>1</v>
      </c>
      <c r="U258" s="829">
        <v>0.82768088676463103</v>
      </c>
      <c r="V258" t="str">
        <f t="shared" si="15"/>
        <v>2018/19Regulation 5 (Supply Restoration: Normal Conditions)*Outputs - reliabilityGuaranteed Standards of Performance (GSoP)Mandatory payments vs valid payments owed</v>
      </c>
    </row>
    <row r="259" spans="1:22">
      <c r="A259" s="900" t="s">
        <v>140</v>
      </c>
      <c r="B259" s="900" t="s">
        <v>246</v>
      </c>
      <c r="C259" s="900" t="s">
        <v>1293</v>
      </c>
      <c r="D259" t="s">
        <v>243</v>
      </c>
      <c r="E259" t="s">
        <v>257</v>
      </c>
      <c r="F259" t="s">
        <v>1299</v>
      </c>
      <c r="G259">
        <v>0</v>
      </c>
      <c r="H259">
        <v>0</v>
      </c>
      <c r="I259">
        <v>0</v>
      </c>
      <c r="J259">
        <v>0</v>
      </c>
      <c r="K259">
        <v>0</v>
      </c>
      <c r="L259">
        <v>0</v>
      </c>
      <c r="M259">
        <v>0</v>
      </c>
      <c r="N259">
        <v>0</v>
      </c>
      <c r="O259">
        <v>0</v>
      </c>
      <c r="P259">
        <v>0</v>
      </c>
      <c r="Q259">
        <v>0</v>
      </c>
      <c r="R259">
        <v>0</v>
      </c>
      <c r="S259">
        <v>0</v>
      </c>
      <c r="T259">
        <v>0</v>
      </c>
      <c r="U259">
        <f>AVERAGE(G259:T259)</f>
        <v>0</v>
      </c>
      <c r="V259" t="str">
        <f t="shared" si="15"/>
        <v>2018/19Regulation 6 (Supply Restoration: Normal Conditions - 5,000 or more customers' premises interrupted)Outputs - reliabilityGuaranteed Standards of Performance (GSoP)Number of valid payments owed</v>
      </c>
    </row>
    <row r="260" spans="1:22">
      <c r="A260" s="900" t="s">
        <v>140</v>
      </c>
      <c r="B260" s="900" t="s">
        <v>246</v>
      </c>
      <c r="C260" s="900" t="s">
        <v>1293</v>
      </c>
      <c r="D260" t="s">
        <v>243</v>
      </c>
      <c r="E260" t="s">
        <v>258</v>
      </c>
      <c r="F260" t="s">
        <v>1300</v>
      </c>
      <c r="G260" s="829" t="str">
        <v>N/A</v>
      </c>
      <c r="H260" s="829" t="str">
        <v>N/A</v>
      </c>
      <c r="I260" s="829" t="str">
        <v>N/A</v>
      </c>
      <c r="J260" s="829" t="str">
        <v>N/A</v>
      </c>
      <c r="K260" s="829" t="str">
        <v>N/A</v>
      </c>
      <c r="L260" s="829" t="str">
        <v>N/A</v>
      </c>
      <c r="M260" s="829" t="str">
        <v>N/A</v>
      </c>
      <c r="N260" s="829" t="str">
        <v>N/A</v>
      </c>
      <c r="O260" s="829" t="str">
        <v>N/A</v>
      </c>
      <c r="P260" s="829" t="str">
        <v>N/A</v>
      </c>
      <c r="Q260" s="829" t="str">
        <v>N/A</v>
      </c>
      <c r="R260" s="829" t="str">
        <v>N/A</v>
      </c>
      <c r="S260" s="829" t="str">
        <v>N/A</v>
      </c>
      <c r="T260" s="829" t="str">
        <v>N/A</v>
      </c>
      <c r="U260" s="829" t="s">
        <v>210</v>
      </c>
      <c r="V260" t="str">
        <f t="shared" si="15"/>
        <v>2018/19Regulation 6 (Supply Restoration: Normal Conditions - 5,000 or more customers' premises interrupted)Outputs - reliabilityGuaranteed Standards of Performance (GSoP)Mandatory payments vs valid payments owed</v>
      </c>
    </row>
    <row r="261" spans="1:22">
      <c r="A261" s="900" t="s">
        <v>140</v>
      </c>
      <c r="B261" s="900" t="s">
        <v>247</v>
      </c>
      <c r="C261" s="900" t="s">
        <v>1293</v>
      </c>
      <c r="D261" t="s">
        <v>243</v>
      </c>
      <c r="E261" t="s">
        <v>257</v>
      </c>
      <c r="F261" t="s">
        <v>1299</v>
      </c>
      <c r="G261">
        <v>0</v>
      </c>
      <c r="H261">
        <v>38</v>
      </c>
      <c r="I261">
        <v>0</v>
      </c>
      <c r="J261">
        <v>0</v>
      </c>
      <c r="K261">
        <v>0</v>
      </c>
      <c r="L261">
        <v>0</v>
      </c>
      <c r="M261">
        <v>0</v>
      </c>
      <c r="N261">
        <v>0</v>
      </c>
      <c r="O261">
        <v>13</v>
      </c>
      <c r="P261">
        <v>0</v>
      </c>
      <c r="Q261">
        <v>0</v>
      </c>
      <c r="R261">
        <v>0</v>
      </c>
      <c r="S261">
        <v>0</v>
      </c>
      <c r="T261">
        <v>0</v>
      </c>
      <c r="U261">
        <f>AVERAGE(G261:T261)</f>
        <v>3.6428571428571428</v>
      </c>
      <c r="V261" t="str">
        <f t="shared" si="15"/>
        <v>2018/19Regulation 7(1) - Supply Restoration: Category 1 Severe Weather Conditions*Outputs - reliabilityGuaranteed Standards of Performance (GSoP)Number of valid payments owed</v>
      </c>
    </row>
    <row r="262" spans="1:22">
      <c r="A262" s="900" t="s">
        <v>140</v>
      </c>
      <c r="B262" s="900" t="s">
        <v>247</v>
      </c>
      <c r="C262" s="900" t="s">
        <v>1293</v>
      </c>
      <c r="D262" t="s">
        <v>243</v>
      </c>
      <c r="E262" t="s">
        <v>258</v>
      </c>
      <c r="F262" t="s">
        <v>1300</v>
      </c>
      <c r="G262" s="829" t="str">
        <v>N/A</v>
      </c>
      <c r="H262" s="829">
        <v>8.8421052631578956</v>
      </c>
      <c r="I262" s="829" t="str">
        <v>N/A</v>
      </c>
      <c r="J262" s="829" t="str">
        <v>N/A</v>
      </c>
      <c r="K262" s="829" t="str">
        <v>N/A</v>
      </c>
      <c r="L262" s="829" t="str">
        <v>N/A</v>
      </c>
      <c r="M262" s="829" t="str">
        <v>N/A</v>
      </c>
      <c r="N262" s="829" t="str">
        <v>N/A</v>
      </c>
      <c r="O262" s="829">
        <v>1.0769230769230769</v>
      </c>
      <c r="P262" s="829" t="str">
        <v>N/A</v>
      </c>
      <c r="Q262" s="829" t="str">
        <v>N/A</v>
      </c>
      <c r="R262" s="829" t="str">
        <v>N/A</v>
      </c>
      <c r="S262" s="829" t="str">
        <v>N/A</v>
      </c>
      <c r="T262" s="829" t="str">
        <v>N/A</v>
      </c>
      <c r="U262" s="829">
        <v>3.4313725490196081</v>
      </c>
      <c r="V262" t="str">
        <f t="shared" si="15"/>
        <v>2018/19Regulation 7(1) - Supply Restoration: Category 1 Severe Weather Conditions*Outputs - reliabilityGuaranteed Standards of Performance (GSoP)Mandatory payments vs valid payments owed</v>
      </c>
    </row>
    <row r="263" spans="1:22">
      <c r="A263" s="900" t="s">
        <v>140</v>
      </c>
      <c r="B263" s="900" t="s">
        <v>248</v>
      </c>
      <c r="C263" s="900" t="s">
        <v>1293</v>
      </c>
      <c r="D263" t="s">
        <v>243</v>
      </c>
      <c r="E263" t="s">
        <v>257</v>
      </c>
      <c r="F263" t="s">
        <v>1299</v>
      </c>
      <c r="G263">
        <v>5</v>
      </c>
      <c r="H263">
        <v>25</v>
      </c>
      <c r="I263">
        <v>0</v>
      </c>
      <c r="J263">
        <v>0</v>
      </c>
      <c r="K263">
        <v>0</v>
      </c>
      <c r="L263">
        <v>0</v>
      </c>
      <c r="M263">
        <v>0</v>
      </c>
      <c r="N263">
        <v>0</v>
      </c>
      <c r="O263">
        <v>0</v>
      </c>
      <c r="P263">
        <v>0</v>
      </c>
      <c r="Q263">
        <v>0</v>
      </c>
      <c r="R263">
        <v>0</v>
      </c>
      <c r="S263">
        <v>0</v>
      </c>
      <c r="T263">
        <v>0</v>
      </c>
      <c r="U263">
        <f>AVERAGE(G263:T263)</f>
        <v>2.1428571428571428</v>
      </c>
      <c r="V263" t="str">
        <f t="shared" si="15"/>
        <v>2018/19Regulation 7(2) - Supply Restoration: Category 2 Severe Weather Conditions*Outputs - reliabilityGuaranteed Standards of Performance (GSoP)Number of valid payments owed</v>
      </c>
    </row>
    <row r="264" spans="1:22">
      <c r="A264" s="900" t="s">
        <v>140</v>
      </c>
      <c r="B264" s="900" t="s">
        <v>248</v>
      </c>
      <c r="C264" s="900" t="s">
        <v>1293</v>
      </c>
      <c r="D264" t="s">
        <v>243</v>
      </c>
      <c r="E264" t="s">
        <v>258</v>
      </c>
      <c r="F264" t="s">
        <v>1300</v>
      </c>
      <c r="G264" s="829">
        <v>1</v>
      </c>
      <c r="H264" s="829">
        <v>5.08</v>
      </c>
      <c r="I264" s="829" t="str">
        <v>N/A</v>
      </c>
      <c r="J264" s="829" t="str">
        <v>N/A</v>
      </c>
      <c r="K264" s="829" t="str">
        <v>N/A</v>
      </c>
      <c r="L264" s="829" t="str">
        <v>N/A</v>
      </c>
      <c r="M264" s="829" t="str">
        <v>N/A</v>
      </c>
      <c r="N264" s="829" t="str">
        <v>N/A</v>
      </c>
      <c r="O264" s="829" t="str">
        <v>N/A</v>
      </c>
      <c r="P264" s="829" t="str">
        <v>N/A</v>
      </c>
      <c r="Q264" s="829" t="str">
        <v>N/A</v>
      </c>
      <c r="R264" s="829" t="str">
        <v>N/A</v>
      </c>
      <c r="S264" s="829" t="str">
        <v>N/A</v>
      </c>
      <c r="T264" s="829" t="str">
        <v>N/A</v>
      </c>
      <c r="U264" s="829">
        <v>2.916666666666667</v>
      </c>
      <c r="V264" t="str">
        <f t="shared" si="15"/>
        <v>2018/19Regulation 7(2) - Supply Restoration: Category 2 Severe Weather Conditions*Outputs - reliabilityGuaranteed Standards of Performance (GSoP)Mandatory payments vs valid payments owed</v>
      </c>
    </row>
    <row r="265" spans="1:22">
      <c r="A265" s="900" t="s">
        <v>140</v>
      </c>
      <c r="B265" s="900" t="s">
        <v>249</v>
      </c>
      <c r="C265" s="900" t="s">
        <v>1293</v>
      </c>
      <c r="D265" t="s">
        <v>243</v>
      </c>
      <c r="E265" t="s">
        <v>257</v>
      </c>
      <c r="F265" t="s">
        <v>1299</v>
      </c>
      <c r="G265">
        <v>0</v>
      </c>
      <c r="H265">
        <v>0</v>
      </c>
      <c r="I265">
        <v>0</v>
      </c>
      <c r="J265">
        <v>0</v>
      </c>
      <c r="K265">
        <v>0</v>
      </c>
      <c r="L265">
        <v>0</v>
      </c>
      <c r="M265">
        <v>0</v>
      </c>
      <c r="N265">
        <v>0</v>
      </c>
      <c r="O265">
        <v>0</v>
      </c>
      <c r="P265">
        <v>0</v>
      </c>
      <c r="Q265">
        <v>0</v>
      </c>
      <c r="R265">
        <v>0</v>
      </c>
      <c r="S265">
        <v>0</v>
      </c>
      <c r="T265">
        <v>0</v>
      </c>
      <c r="U265">
        <f>AVERAGE(G265:T265)</f>
        <v>0</v>
      </c>
      <c r="V265" t="str">
        <f t="shared" si="15"/>
        <v>2018/19Regulation 7(3) - Supply Restoration: Category 3 Severe Weather Conditions*Outputs - reliabilityGuaranteed Standards of Performance (GSoP)Number of valid payments owed</v>
      </c>
    </row>
    <row r="266" spans="1:22">
      <c r="A266" s="900" t="s">
        <v>140</v>
      </c>
      <c r="B266" s="900" t="s">
        <v>249</v>
      </c>
      <c r="C266" s="900" t="s">
        <v>1293</v>
      </c>
      <c r="D266" t="s">
        <v>243</v>
      </c>
      <c r="E266" t="s">
        <v>258</v>
      </c>
      <c r="F266" t="s">
        <v>1300</v>
      </c>
      <c r="G266" s="829" t="str">
        <v>N/A</v>
      </c>
      <c r="H266" s="829" t="str">
        <v>N/A</v>
      </c>
      <c r="I266" s="829" t="str">
        <v>N/A</v>
      </c>
      <c r="J266" s="829" t="str">
        <v>N/A</v>
      </c>
      <c r="K266" s="829" t="str">
        <v>N/A</v>
      </c>
      <c r="L266" s="829" t="str">
        <v>N/A</v>
      </c>
      <c r="M266" s="829" t="str">
        <v>N/A</v>
      </c>
      <c r="N266" s="829" t="str">
        <v>N/A</v>
      </c>
      <c r="O266" s="829" t="str">
        <v>N/A</v>
      </c>
      <c r="P266" s="829" t="str">
        <v>N/A</v>
      </c>
      <c r="Q266" s="829" t="str">
        <v>N/A</v>
      </c>
      <c r="R266" s="829" t="str">
        <v>N/A</v>
      </c>
      <c r="S266" s="829" t="str">
        <v>N/A</v>
      </c>
      <c r="T266" s="829" t="str">
        <v>N/A</v>
      </c>
      <c r="U266" s="829" t="s">
        <v>210</v>
      </c>
      <c r="V266" t="str">
        <f t="shared" si="15"/>
        <v>2018/19Regulation 7(3) - Supply Restoration: Category 3 Severe Weather Conditions*Outputs - reliabilityGuaranteed Standards of Performance (GSoP)Mandatory payments vs valid payments owed</v>
      </c>
    </row>
    <row r="267" spans="1:22">
      <c r="A267" s="900" t="s">
        <v>140</v>
      </c>
      <c r="B267" s="900" t="s">
        <v>250</v>
      </c>
      <c r="C267" s="900" t="s">
        <v>1293</v>
      </c>
      <c r="D267" t="s">
        <v>243</v>
      </c>
      <c r="E267" t="s">
        <v>257</v>
      </c>
      <c r="F267" t="s">
        <v>1299</v>
      </c>
      <c r="G267" s="829">
        <v>0</v>
      </c>
      <c r="H267" s="829">
        <v>0</v>
      </c>
      <c r="I267" s="829">
        <v>0</v>
      </c>
      <c r="J267" s="829">
        <v>0</v>
      </c>
      <c r="K267" s="829">
        <v>0</v>
      </c>
      <c r="L267" s="829">
        <v>0</v>
      </c>
      <c r="M267" s="829">
        <v>0</v>
      </c>
      <c r="N267" s="829">
        <v>0</v>
      </c>
      <c r="O267" s="829">
        <v>0</v>
      </c>
      <c r="P267" s="829">
        <v>0</v>
      </c>
      <c r="Q267" s="829">
        <v>0</v>
      </c>
      <c r="R267" s="829">
        <v>0</v>
      </c>
      <c r="S267" s="829">
        <v>0</v>
      </c>
      <c r="T267" s="829">
        <v>0</v>
      </c>
      <c r="U267" s="901">
        <f>AVERAGE(G267:T267)</f>
        <v>0</v>
      </c>
      <c r="V267" t="str">
        <f t="shared" si="15"/>
        <v>2018/19Regulation 8 (Supply Restoration: Rota Disconnection)Outputs - reliabilityGuaranteed Standards of Performance (GSoP)Number of valid payments owed</v>
      </c>
    </row>
    <row r="268" spans="1:22">
      <c r="A268" s="900" t="s">
        <v>140</v>
      </c>
      <c r="B268" s="900" t="s">
        <v>250</v>
      </c>
      <c r="C268" s="900" t="s">
        <v>1293</v>
      </c>
      <c r="D268" t="s">
        <v>243</v>
      </c>
      <c r="E268" t="s">
        <v>258</v>
      </c>
      <c r="F268" t="s">
        <v>1300</v>
      </c>
      <c r="G268" s="829" t="str">
        <v>N/A</v>
      </c>
      <c r="H268" s="829" t="str">
        <v>N/A</v>
      </c>
      <c r="I268" s="829" t="str">
        <v>N/A</v>
      </c>
      <c r="J268" s="829" t="str">
        <v>N/A</v>
      </c>
      <c r="K268" s="829" t="str">
        <v>N/A</v>
      </c>
      <c r="L268" s="829" t="str">
        <v>N/A</v>
      </c>
      <c r="M268" s="829" t="str">
        <v>N/A</v>
      </c>
      <c r="N268" s="829" t="str">
        <v>N/A</v>
      </c>
      <c r="O268" s="829" t="str">
        <v>N/A</v>
      </c>
      <c r="P268" s="829" t="str">
        <v>N/A</v>
      </c>
      <c r="Q268" s="829" t="str">
        <v>N/A</v>
      </c>
      <c r="R268" s="829" t="str">
        <v>N/A</v>
      </c>
      <c r="S268" s="829" t="str">
        <v>N/A</v>
      </c>
      <c r="T268" s="829" t="str">
        <v>N/A</v>
      </c>
      <c r="U268" s="829" t="s">
        <v>210</v>
      </c>
      <c r="V268" t="str">
        <f t="shared" si="15"/>
        <v>2018/19Regulation 8 (Supply Restoration: Rota Disconnection)Outputs - reliabilityGuaranteed Standards of Performance (GSoP)Mandatory payments vs valid payments owed</v>
      </c>
    </row>
    <row r="269" spans="1:22">
      <c r="A269" s="900" t="s">
        <v>140</v>
      </c>
      <c r="B269" s="900" t="s">
        <v>251</v>
      </c>
      <c r="C269" s="900" t="s">
        <v>1293</v>
      </c>
      <c r="D269" t="s">
        <v>243</v>
      </c>
      <c r="E269" t="s">
        <v>257</v>
      </c>
      <c r="F269" t="s">
        <v>1299</v>
      </c>
      <c r="G269">
        <v>24</v>
      </c>
      <c r="H269">
        <v>67</v>
      </c>
      <c r="I269">
        <v>11</v>
      </c>
      <c r="J269">
        <v>0</v>
      </c>
      <c r="K269">
        <v>0</v>
      </c>
      <c r="L269">
        <v>0</v>
      </c>
      <c r="M269">
        <v>0</v>
      </c>
      <c r="N269">
        <v>3</v>
      </c>
      <c r="O269">
        <v>52</v>
      </c>
      <c r="P269">
        <v>29</v>
      </c>
      <c r="Q269">
        <v>0</v>
      </c>
      <c r="R269">
        <v>0</v>
      </c>
      <c r="S269">
        <v>0</v>
      </c>
      <c r="T269">
        <v>62</v>
      </c>
      <c r="U269">
        <f>AVERAGE(G269:T269)</f>
        <v>17.714285714285715</v>
      </c>
      <c r="V269" t="str">
        <f t="shared" si="15"/>
        <v>2018/19Regulation 10 (Supply Restoration: Multiple interruptions)Outputs - reliabilityGuaranteed Standards of Performance (GSoP)Number of valid payments owed</v>
      </c>
    </row>
    <row r="270" spans="1:22">
      <c r="A270" s="900" t="s">
        <v>140</v>
      </c>
      <c r="B270" s="900" t="s">
        <v>251</v>
      </c>
      <c r="C270" s="900" t="s">
        <v>1293</v>
      </c>
      <c r="D270" t="s">
        <v>243</v>
      </c>
      <c r="E270" t="s">
        <v>258</v>
      </c>
      <c r="F270" t="s">
        <v>1300</v>
      </c>
      <c r="G270" s="829">
        <v>1</v>
      </c>
      <c r="H270" s="829">
        <v>1</v>
      </c>
      <c r="I270" s="829">
        <v>1</v>
      </c>
      <c r="J270" s="829" t="str">
        <v>N/A</v>
      </c>
      <c r="K270" s="829" t="str">
        <v>N/A</v>
      </c>
      <c r="L270" s="829" t="str">
        <v>N/A</v>
      </c>
      <c r="M270" s="829" t="str">
        <v>N/A</v>
      </c>
      <c r="N270" s="829">
        <v>1</v>
      </c>
      <c r="O270" s="829">
        <v>1</v>
      </c>
      <c r="P270" s="829">
        <v>1</v>
      </c>
      <c r="Q270" s="829" t="str">
        <v>N/A</v>
      </c>
      <c r="R270" s="829" t="str">
        <v>N/A</v>
      </c>
      <c r="S270" s="829" t="str">
        <v>N/A</v>
      </c>
      <c r="T270" s="829">
        <v>1</v>
      </c>
      <c r="U270" s="1034" t="e">
        <v>#REF!</v>
      </c>
      <c r="V270" t="str">
        <f t="shared" si="15"/>
        <v>2018/19Regulation 10 (Supply Restoration: Multiple interruptions)Outputs - reliabilityGuaranteed Standards of Performance (GSoP)Mandatory payments vs valid payments owed</v>
      </c>
    </row>
    <row r="271" spans="1:22">
      <c r="A271" s="900" t="s">
        <v>140</v>
      </c>
      <c r="B271" s="900" t="s">
        <v>252</v>
      </c>
      <c r="C271" s="900" t="s">
        <v>1293</v>
      </c>
      <c r="D271" t="s">
        <v>243</v>
      </c>
      <c r="E271" t="s">
        <v>257</v>
      </c>
      <c r="F271" t="s">
        <v>1299</v>
      </c>
      <c r="G271">
        <v>3</v>
      </c>
      <c r="H271">
        <v>2</v>
      </c>
      <c r="I271">
        <v>4</v>
      </c>
      <c r="J271">
        <v>0</v>
      </c>
      <c r="K271">
        <v>0</v>
      </c>
      <c r="L271">
        <v>0</v>
      </c>
      <c r="M271">
        <v>0</v>
      </c>
      <c r="N271">
        <v>12</v>
      </c>
      <c r="O271">
        <v>37</v>
      </c>
      <c r="P271">
        <v>47</v>
      </c>
      <c r="Q271">
        <v>0</v>
      </c>
      <c r="R271">
        <v>0</v>
      </c>
      <c r="S271">
        <v>1</v>
      </c>
      <c r="T271">
        <v>18</v>
      </c>
      <c r="U271">
        <f>AVERAGE(G271:T271)</f>
        <v>8.8571428571428577</v>
      </c>
      <c r="V271" t="str">
        <f t="shared" si="15"/>
        <v>2018/19Regulation 11 (Responding to Operation of Distributor's Fuse)Outputs - reliabilityGuaranteed Standards of Performance (GSoP)Number of valid payments owed</v>
      </c>
    </row>
    <row r="272" spans="1:22">
      <c r="A272" s="900" t="s">
        <v>140</v>
      </c>
      <c r="B272" s="900" t="s">
        <v>252</v>
      </c>
      <c r="C272" s="900" t="s">
        <v>1293</v>
      </c>
      <c r="D272" t="s">
        <v>243</v>
      </c>
      <c r="E272" t="s">
        <v>258</v>
      </c>
      <c r="F272" t="s">
        <v>1300</v>
      </c>
      <c r="G272" s="829">
        <v>1.3333333333333333</v>
      </c>
      <c r="H272" s="829">
        <v>1</v>
      </c>
      <c r="I272" s="829">
        <v>1</v>
      </c>
      <c r="J272" s="829" t="str">
        <v>N/A</v>
      </c>
      <c r="K272" s="829" t="str">
        <v>N/A</v>
      </c>
      <c r="L272" s="829" t="str">
        <v>N/A</v>
      </c>
      <c r="M272" s="829" t="str">
        <v>N/A</v>
      </c>
      <c r="N272" s="829">
        <v>1</v>
      </c>
      <c r="O272" s="829">
        <v>1</v>
      </c>
      <c r="P272" s="829">
        <v>1</v>
      </c>
      <c r="Q272" s="829" t="str">
        <v>N/A</v>
      </c>
      <c r="R272" s="829" t="str">
        <v>N/A</v>
      </c>
      <c r="S272" s="829">
        <v>1</v>
      </c>
      <c r="T272" s="829">
        <v>1</v>
      </c>
      <c r="U272" s="829" t="s">
        <v>210</v>
      </c>
      <c r="V272" t="str">
        <f t="shared" si="15"/>
        <v>2018/19Regulation 11 (Responding to Operation of Distributor's Fuse)Outputs - reliabilityGuaranteed Standards of Performance (GSoP)Mandatory payments vs valid payments owed</v>
      </c>
    </row>
    <row r="273" spans="1:36">
      <c r="A273" s="900" t="s">
        <v>140</v>
      </c>
      <c r="B273" s="900" t="s">
        <v>253</v>
      </c>
      <c r="C273" s="900" t="s">
        <v>1293</v>
      </c>
      <c r="D273" t="s">
        <v>243</v>
      </c>
      <c r="E273" t="s">
        <v>257</v>
      </c>
      <c r="F273" t="s">
        <v>1299</v>
      </c>
      <c r="G273">
        <v>297</v>
      </c>
      <c r="H273">
        <v>62</v>
      </c>
      <c r="I273">
        <v>4</v>
      </c>
      <c r="J273">
        <v>0</v>
      </c>
      <c r="K273">
        <v>0</v>
      </c>
      <c r="L273">
        <v>1</v>
      </c>
      <c r="M273">
        <v>8</v>
      </c>
      <c r="N273">
        <v>4</v>
      </c>
      <c r="O273">
        <v>89</v>
      </c>
      <c r="P273">
        <v>117</v>
      </c>
      <c r="Q273">
        <v>0</v>
      </c>
      <c r="R273">
        <v>0</v>
      </c>
      <c r="S273">
        <v>75</v>
      </c>
      <c r="T273">
        <v>410</v>
      </c>
      <c r="U273">
        <f>AVERAGE(G273:T273)</f>
        <v>76.214285714285708</v>
      </c>
      <c r="V273" t="str">
        <f t="shared" si="15"/>
        <v>2018/19Regulation 12 (Notice of Supply Interruption )Outputs - reliabilityGuaranteed Standards of Performance (GSoP)Number of valid payments owed</v>
      </c>
    </row>
    <row r="274" spans="1:36">
      <c r="A274" s="900" t="s">
        <v>140</v>
      </c>
      <c r="B274" s="900" t="s">
        <v>253</v>
      </c>
      <c r="C274" s="900" t="s">
        <v>1293</v>
      </c>
      <c r="D274" t="s">
        <v>243</v>
      </c>
      <c r="E274" t="s">
        <v>258</v>
      </c>
      <c r="F274" t="s">
        <v>1300</v>
      </c>
      <c r="G274" s="829">
        <v>1</v>
      </c>
      <c r="H274" s="829">
        <v>1</v>
      </c>
      <c r="I274" s="829">
        <v>1</v>
      </c>
      <c r="J274" s="829" t="str">
        <v>N/A</v>
      </c>
      <c r="K274" s="829" t="str">
        <v>N/A</v>
      </c>
      <c r="L274" s="829">
        <v>1</v>
      </c>
      <c r="M274" s="829">
        <v>1</v>
      </c>
      <c r="N274" s="829">
        <v>1</v>
      </c>
      <c r="O274" s="829">
        <v>1</v>
      </c>
      <c r="P274" s="829">
        <v>1</v>
      </c>
      <c r="Q274" s="829" t="str">
        <v>N/A</v>
      </c>
      <c r="R274" s="829" t="str">
        <v>N/A</v>
      </c>
      <c r="S274" s="829">
        <v>1</v>
      </c>
      <c r="T274" s="829">
        <v>1</v>
      </c>
      <c r="U274" s="829">
        <v>1</v>
      </c>
      <c r="V274" t="str">
        <f t="shared" si="15"/>
        <v>2018/19Regulation 12 (Notice of Supply Interruption )Outputs - reliabilityGuaranteed Standards of Performance (GSoP)Mandatory payments vs valid payments owed</v>
      </c>
    </row>
    <row r="275" spans="1:36">
      <c r="A275" s="900" t="s">
        <v>140</v>
      </c>
      <c r="B275" s="900" t="s">
        <v>254</v>
      </c>
      <c r="C275" s="900" t="s">
        <v>1293</v>
      </c>
      <c r="D275" t="s">
        <v>243</v>
      </c>
      <c r="E275" t="s">
        <v>821</v>
      </c>
      <c r="F275" t="s">
        <v>1299</v>
      </c>
      <c r="G275">
        <v>3</v>
      </c>
      <c r="H275">
        <v>0</v>
      </c>
      <c r="I275">
        <v>0</v>
      </c>
      <c r="J275">
        <v>0</v>
      </c>
      <c r="K275">
        <v>0</v>
      </c>
      <c r="L275">
        <v>0</v>
      </c>
      <c r="M275">
        <v>0</v>
      </c>
      <c r="N275">
        <v>0</v>
      </c>
      <c r="O275">
        <v>0</v>
      </c>
      <c r="P275">
        <v>0</v>
      </c>
      <c r="Q275">
        <v>0</v>
      </c>
      <c r="R275">
        <v>2</v>
      </c>
      <c r="S275">
        <v>73</v>
      </c>
      <c r="T275">
        <v>1</v>
      </c>
      <c r="U275">
        <f>AVERAGE(G275:T275)</f>
        <v>5.6428571428571432</v>
      </c>
      <c r="V275" t="str">
        <f t="shared" ref="V275:V306" si="18">CONCATENATE(A275,B275,C275,D275,E275)</f>
        <v>2018/19Regulation 13 (Investigation of Voltage complaints)Outputs - reliabilityGuaranteed Standards of Performance (GSoP)Total Number of mandatory payments made</v>
      </c>
    </row>
    <row r="276" spans="1:36">
      <c r="A276" s="900" t="s">
        <v>140</v>
      </c>
      <c r="B276" s="900" t="s">
        <v>255</v>
      </c>
      <c r="C276" s="900" t="s">
        <v>1293</v>
      </c>
      <c r="D276" t="s">
        <v>243</v>
      </c>
      <c r="E276" t="s">
        <v>257</v>
      </c>
      <c r="F276" t="s">
        <v>1299</v>
      </c>
      <c r="G276">
        <v>12709</v>
      </c>
      <c r="H276">
        <v>36</v>
      </c>
      <c r="I276">
        <v>34</v>
      </c>
      <c r="J276">
        <v>0</v>
      </c>
      <c r="K276">
        <v>21760</v>
      </c>
      <c r="L276">
        <v>7245</v>
      </c>
      <c r="M276">
        <v>20545</v>
      </c>
      <c r="N276">
        <v>148</v>
      </c>
      <c r="O276">
        <v>512</v>
      </c>
      <c r="P276">
        <v>604</v>
      </c>
      <c r="Q276">
        <v>0</v>
      </c>
      <c r="R276">
        <v>0</v>
      </c>
      <c r="S276">
        <v>8</v>
      </c>
      <c r="T276">
        <v>76</v>
      </c>
      <c r="U276">
        <f>AVERAGE(G276:T276)</f>
        <v>4548.3571428571431</v>
      </c>
      <c r="V276" t="str">
        <f t="shared" si="18"/>
        <v>2018/19Regulation 17 (Making and Keeping Appointments)Outputs - reliabilityGuaranteed Standards of Performance (GSoP)Number of valid payments owed</v>
      </c>
    </row>
    <row r="277" spans="1:36">
      <c r="A277" s="900" t="s">
        <v>140</v>
      </c>
      <c r="B277" s="900" t="s">
        <v>255</v>
      </c>
      <c r="C277" s="900" t="s">
        <v>1293</v>
      </c>
      <c r="D277" t="s">
        <v>243</v>
      </c>
      <c r="E277" t="s">
        <v>258</v>
      </c>
      <c r="F277" t="s">
        <v>1300</v>
      </c>
      <c r="G277" s="829">
        <v>2.6516641749940988E-2</v>
      </c>
      <c r="H277" s="829">
        <v>1</v>
      </c>
      <c r="I277" s="829">
        <v>1</v>
      </c>
      <c r="J277" s="829" t="str">
        <v>N/A</v>
      </c>
      <c r="K277" s="829">
        <v>0</v>
      </c>
      <c r="L277" s="829">
        <v>0</v>
      </c>
      <c r="M277" s="829">
        <v>0</v>
      </c>
      <c r="N277" s="829">
        <v>1</v>
      </c>
      <c r="O277" s="829">
        <v>1</v>
      </c>
      <c r="P277" s="829">
        <v>1</v>
      </c>
      <c r="Q277" s="829" t="str">
        <v>N/A</v>
      </c>
      <c r="R277" s="829" t="str">
        <v>N/A</v>
      </c>
      <c r="S277" s="829">
        <v>1</v>
      </c>
      <c r="T277" s="829">
        <v>1</v>
      </c>
      <c r="U277" s="829">
        <v>2.7766032417195208E-2</v>
      </c>
      <c r="V277" t="str">
        <f t="shared" si="18"/>
        <v>2018/19Regulation 17 (Making and Keeping Appointments)Outputs - reliabilityGuaranteed Standards of Performance (GSoP)Mandatory payments vs valid payments owed</v>
      </c>
    </row>
    <row r="278" spans="1:36">
      <c r="A278" s="900" t="s">
        <v>140</v>
      </c>
      <c r="B278" s="900" t="s">
        <v>256</v>
      </c>
      <c r="C278" s="900" t="s">
        <v>1293</v>
      </c>
      <c r="D278" t="s">
        <v>243</v>
      </c>
      <c r="E278" t="s">
        <v>257</v>
      </c>
      <c r="F278" t="s">
        <v>1299</v>
      </c>
      <c r="G278">
        <v>325</v>
      </c>
      <c r="H278">
        <v>67</v>
      </c>
      <c r="I278">
        <v>53</v>
      </c>
      <c r="J278">
        <v>0</v>
      </c>
      <c r="K278">
        <v>0</v>
      </c>
      <c r="L278">
        <v>0</v>
      </c>
      <c r="M278">
        <v>0</v>
      </c>
      <c r="N278">
        <v>39</v>
      </c>
      <c r="O278">
        <v>82</v>
      </c>
      <c r="P278">
        <v>59</v>
      </c>
      <c r="Q278">
        <v>0</v>
      </c>
      <c r="R278">
        <v>0</v>
      </c>
      <c r="S278">
        <v>153</v>
      </c>
      <c r="T278">
        <v>918</v>
      </c>
      <c r="U278">
        <f>AVERAGE(G278:T278)</f>
        <v>121.14285714285714</v>
      </c>
      <c r="V278" t="str">
        <f t="shared" si="18"/>
        <v>2018/19Regulation 19 (Payments owed under the Guaranteed Standards)Outputs - reliabilityGuaranteed Standards of Performance (GSoP)Number of valid payments owed</v>
      </c>
    </row>
    <row r="279" spans="1:36">
      <c r="A279" s="900" t="s">
        <v>140</v>
      </c>
      <c r="B279" s="900" t="s">
        <v>256</v>
      </c>
      <c r="C279" s="900" t="s">
        <v>1293</v>
      </c>
      <c r="D279" t="s">
        <v>243</v>
      </c>
      <c r="E279" t="s">
        <v>258</v>
      </c>
      <c r="F279" t="s">
        <v>1300</v>
      </c>
      <c r="G279" s="829">
        <v>1</v>
      </c>
      <c r="H279" s="829">
        <v>1</v>
      </c>
      <c r="I279" s="829">
        <v>1</v>
      </c>
      <c r="J279" s="829" t="str">
        <v>N/A</v>
      </c>
      <c r="K279" s="829" t="str">
        <v>N/A</v>
      </c>
      <c r="L279" s="829" t="str">
        <v>N/A</v>
      </c>
      <c r="M279" s="829" t="str">
        <v>N/A</v>
      </c>
      <c r="N279" s="829">
        <v>1</v>
      </c>
      <c r="O279" s="829">
        <v>1</v>
      </c>
      <c r="P279" s="829">
        <v>1</v>
      </c>
      <c r="Q279" s="829" t="str">
        <v>N/A</v>
      </c>
      <c r="R279" s="829" t="str">
        <v>N/A</v>
      </c>
      <c r="S279" s="829">
        <v>1</v>
      </c>
      <c r="T279" s="829">
        <v>1</v>
      </c>
      <c r="U279" s="829">
        <v>1</v>
      </c>
      <c r="V279" t="str">
        <f t="shared" si="18"/>
        <v>2018/19Regulation 19 (Payments owed under the Guaranteed Standards)Outputs - reliabilityGuaranteed Standards of Performance (GSoP)Mandatory payments vs valid payments owed</v>
      </c>
    </row>
    <row r="280" spans="1:36">
      <c r="A280" s="900" t="s">
        <v>140</v>
      </c>
      <c r="B280" s="900" t="s">
        <v>256</v>
      </c>
      <c r="C280" s="900" t="s">
        <v>1293</v>
      </c>
      <c r="D280" t="s">
        <v>243</v>
      </c>
      <c r="E280" s="900" t="s">
        <v>1301</v>
      </c>
      <c r="F280" s="900" t="s">
        <v>1299</v>
      </c>
      <c r="G280" s="901">
        <f>SUM(G257,G259,G261,G263,G265,G267,G269,G271,G273,G276,G278)</f>
        <v>15859</v>
      </c>
      <c r="H280" s="901">
        <f t="shared" ref="H280:T280" si="19">SUM(H257,H259,H261,H263,H265,H267,H269,H271,H273,H276,H278)</f>
        <v>2805</v>
      </c>
      <c r="I280" s="901">
        <f t="shared" si="19"/>
        <v>1960</v>
      </c>
      <c r="J280" s="901">
        <f t="shared" si="19"/>
        <v>0</v>
      </c>
      <c r="K280" s="901">
        <f t="shared" si="19"/>
        <v>21760</v>
      </c>
      <c r="L280" s="901">
        <f t="shared" si="19"/>
        <v>7246</v>
      </c>
      <c r="M280" s="901">
        <f t="shared" si="19"/>
        <v>20577</v>
      </c>
      <c r="N280" s="901">
        <f t="shared" si="19"/>
        <v>676</v>
      </c>
      <c r="O280" s="901">
        <f t="shared" si="19"/>
        <v>6239</v>
      </c>
      <c r="P280" s="901">
        <f t="shared" si="19"/>
        <v>4724</v>
      </c>
      <c r="Q280" s="901">
        <f t="shared" si="19"/>
        <v>734</v>
      </c>
      <c r="R280" s="901">
        <f t="shared" si="19"/>
        <v>725</v>
      </c>
      <c r="S280" s="901">
        <f t="shared" si="19"/>
        <v>708</v>
      </c>
      <c r="T280" s="901">
        <f t="shared" si="19"/>
        <v>7248</v>
      </c>
      <c r="U280" s="901">
        <f>AVERAGE(G280:T280)</f>
        <v>6518.6428571428569</v>
      </c>
      <c r="V280" t="str">
        <f t="shared" si="18"/>
        <v>2018/19Regulation 19 (Payments owed under the Guaranteed Standards)Outputs - reliabilityGuaranteed Standards of Performance (GSoP)Total Payments owed</v>
      </c>
    </row>
    <row r="281" spans="1:36">
      <c r="A281" s="900" t="s">
        <v>140</v>
      </c>
      <c r="B281" s="900" t="s">
        <v>256</v>
      </c>
      <c r="C281" s="900" t="s">
        <v>1293</v>
      </c>
      <c r="D281" t="s">
        <v>243</v>
      </c>
      <c r="E281" t="s">
        <v>1302</v>
      </c>
      <c r="F281" s="900" t="s">
        <v>1299</v>
      </c>
      <c r="G281" s="901">
        <v>4414</v>
      </c>
      <c r="H281" s="901">
        <v>3210</v>
      </c>
      <c r="I281" s="901">
        <v>1973</v>
      </c>
      <c r="J281" s="901">
        <v>0</v>
      </c>
      <c r="K281" s="901">
        <v>0</v>
      </c>
      <c r="L281" s="901">
        <v>1</v>
      </c>
      <c r="M281" s="901">
        <v>36</v>
      </c>
      <c r="N281" s="901">
        <v>420</v>
      </c>
      <c r="O281" s="901">
        <v>2296</v>
      </c>
      <c r="P281" s="901">
        <v>2111</v>
      </c>
      <c r="Q281" s="901">
        <v>0</v>
      </c>
      <c r="R281" s="901">
        <v>0</v>
      </c>
      <c r="S281" s="901">
        <v>751</v>
      </c>
      <c r="T281" s="901">
        <v>7248</v>
      </c>
      <c r="U281" s="901">
        <f>AVERAGE(G281:T281)</f>
        <v>1604.2857142857142</v>
      </c>
      <c r="V281" t="str">
        <f t="shared" si="18"/>
        <v>2018/19Regulation 19 (Payments owed under the Guaranteed Standards)Outputs - reliabilityGuaranteed Standards of Performance (GSoP)Total Payments made</v>
      </c>
    </row>
    <row r="282" spans="1:36">
      <c r="A282" s="900" t="s">
        <v>140</v>
      </c>
      <c r="B282" s="900"/>
      <c r="C282" s="900" t="s">
        <v>1293</v>
      </c>
      <c r="D282" t="s">
        <v>243</v>
      </c>
      <c r="E282" s="900" t="s">
        <v>1301</v>
      </c>
      <c r="F282" s="900" t="s">
        <v>1299</v>
      </c>
      <c r="G282" s="901">
        <f>SUM(G259,G261,G263,G265,G267,G269,G271,G273,G275,G278,G280)</f>
        <v>16516</v>
      </c>
      <c r="H282" s="901">
        <f t="shared" ref="H282:T282" si="20">SUM(H259,H261,H263,H265,H267,H269,H271,H273,H275,H278,H280)</f>
        <v>3066</v>
      </c>
      <c r="I282" s="901">
        <f t="shared" si="20"/>
        <v>2032</v>
      </c>
      <c r="J282" s="901">
        <f t="shared" si="20"/>
        <v>0</v>
      </c>
      <c r="K282" s="901">
        <f t="shared" si="20"/>
        <v>21760</v>
      </c>
      <c r="L282" s="901">
        <f t="shared" si="20"/>
        <v>7247</v>
      </c>
      <c r="M282" s="901">
        <f t="shared" si="20"/>
        <v>20585</v>
      </c>
      <c r="N282" s="901">
        <f t="shared" si="20"/>
        <v>734</v>
      </c>
      <c r="O282" s="901">
        <f t="shared" si="20"/>
        <v>6512</v>
      </c>
      <c r="P282" s="901">
        <f t="shared" si="20"/>
        <v>4976</v>
      </c>
      <c r="Q282" s="901">
        <f t="shared" si="20"/>
        <v>734</v>
      </c>
      <c r="R282" s="901">
        <f t="shared" si="20"/>
        <v>727</v>
      </c>
      <c r="S282" s="901">
        <f t="shared" si="20"/>
        <v>1010</v>
      </c>
      <c r="T282" s="901">
        <f t="shared" si="20"/>
        <v>8657</v>
      </c>
      <c r="U282" s="901">
        <f>AVERAGE(G282:T282)</f>
        <v>6754</v>
      </c>
      <c r="V282" t="str">
        <f t="shared" si="18"/>
        <v>2018/19Outputs - reliabilityGuaranteed Standards of Performance (GSoP)Total Payments owed</v>
      </c>
    </row>
    <row r="283" spans="1:36">
      <c r="A283" s="900" t="s">
        <v>140</v>
      </c>
      <c r="B283" s="900"/>
      <c r="C283" s="900" t="s">
        <v>1293</v>
      </c>
      <c r="D283" t="s">
        <v>243</v>
      </c>
      <c r="E283" t="s">
        <v>1302</v>
      </c>
      <c r="F283" s="900" t="s">
        <v>1299</v>
      </c>
      <c r="G283" s="901">
        <v>4414</v>
      </c>
      <c r="H283" s="901">
        <v>3210</v>
      </c>
      <c r="I283" s="901">
        <v>1973</v>
      </c>
      <c r="J283" s="901">
        <v>0</v>
      </c>
      <c r="K283" s="901">
        <v>0</v>
      </c>
      <c r="L283" s="901">
        <v>1</v>
      </c>
      <c r="M283" s="901">
        <v>36</v>
      </c>
      <c r="N283" s="901">
        <v>420</v>
      </c>
      <c r="O283" s="901">
        <v>2296</v>
      </c>
      <c r="P283" s="901">
        <v>2111</v>
      </c>
      <c r="Q283" s="901">
        <v>0</v>
      </c>
      <c r="R283" s="901">
        <v>0</v>
      </c>
      <c r="S283" s="901">
        <v>751</v>
      </c>
      <c r="T283" s="901">
        <v>7248</v>
      </c>
      <c r="U283" s="901">
        <f>AVERAGE(G283:T283)</f>
        <v>1604.2857142857142</v>
      </c>
      <c r="V283" t="str">
        <f t="shared" si="18"/>
        <v>2018/19Outputs - reliabilityGuaranteed Standards of Performance (GSoP)Total Payments made</v>
      </c>
    </row>
    <row r="284" spans="1:36">
      <c r="A284" s="900" t="s">
        <v>140</v>
      </c>
      <c r="B284" s="900"/>
      <c r="C284" s="900" t="s">
        <v>1293</v>
      </c>
      <c r="D284" s="841" t="s">
        <v>243</v>
      </c>
      <c r="E284" s="900" t="s">
        <v>1303</v>
      </c>
      <c r="F284" s="900" t="s">
        <v>1300</v>
      </c>
      <c r="G284" s="1033">
        <f>1-(G282-G283)/G282</f>
        <v>0.2672559941874546</v>
      </c>
      <c r="H284" s="1033">
        <f t="shared" ref="H284:U284" si="21">1-(H282-H283)/H282</f>
        <v>1.0469667318982387</v>
      </c>
      <c r="I284" s="1033">
        <f t="shared" si="21"/>
        <v>0.97096456692913391</v>
      </c>
      <c r="J284" s="1033" t="e">
        <f t="shared" si="21"/>
        <v>#DIV/0!</v>
      </c>
      <c r="K284" s="1033">
        <f t="shared" si="21"/>
        <v>0</v>
      </c>
      <c r="L284" s="1033">
        <f t="shared" si="21"/>
        <v>1.3798813302057233E-4</v>
      </c>
      <c r="M284" s="1033">
        <f t="shared" si="21"/>
        <v>1.7488462472674549E-3</v>
      </c>
      <c r="N284" s="1033">
        <f t="shared" si="21"/>
        <v>0.57220708446866486</v>
      </c>
      <c r="O284" s="1033">
        <f t="shared" si="21"/>
        <v>0.35257985257985258</v>
      </c>
      <c r="P284" s="1033">
        <f t="shared" si="21"/>
        <v>0.42423633440514474</v>
      </c>
      <c r="Q284" s="1033">
        <f t="shared" si="21"/>
        <v>0</v>
      </c>
      <c r="R284" s="1033">
        <f t="shared" si="21"/>
        <v>0</v>
      </c>
      <c r="S284" s="1033">
        <f t="shared" si="21"/>
        <v>0.74356435643564356</v>
      </c>
      <c r="T284" s="1033">
        <f t="shared" si="21"/>
        <v>0.83724153863925144</v>
      </c>
      <c r="U284" s="1033">
        <f t="shared" si="21"/>
        <v>0.23753119844325044</v>
      </c>
      <c r="V284" s="841" t="str">
        <f t="shared" si="18"/>
        <v>2018/19Outputs - reliabilityGuaranteed Standards of Performance (GSoP)% of Payments made vs Payments owed</v>
      </c>
      <c r="W284" s="841"/>
      <c r="X284" s="841"/>
      <c r="Y284" s="841"/>
      <c r="Z284" s="841"/>
      <c r="AA284" s="841"/>
      <c r="AB284" s="841"/>
      <c r="AC284" s="841"/>
      <c r="AD284" s="841"/>
      <c r="AE284" s="841"/>
      <c r="AF284" s="841"/>
      <c r="AG284" s="841"/>
      <c r="AH284" s="841"/>
      <c r="AI284" s="841"/>
      <c r="AJ284" s="841"/>
    </row>
    <row r="285" spans="1:36" ht="18" customHeight="1">
      <c r="A285" s="900" t="s">
        <v>140</v>
      </c>
      <c r="B285" s="900" t="s">
        <v>256</v>
      </c>
      <c r="C285" s="900" t="s">
        <v>1293</v>
      </c>
      <c r="D285" t="s">
        <v>243</v>
      </c>
      <c r="E285" s="900" t="s">
        <v>1303</v>
      </c>
      <c r="F285" s="900" t="s">
        <v>1300</v>
      </c>
      <c r="G285" s="829">
        <f t="shared" ref="G285:U285" si="22">1-(G280-G281)/G280</f>
        <v>0.27832776341509557</v>
      </c>
      <c r="H285" s="829">
        <f t="shared" si="22"/>
        <v>1.1443850267379678</v>
      </c>
      <c r="I285" s="829">
        <f t="shared" si="22"/>
        <v>1.0066326530612244</v>
      </c>
      <c r="J285" s="829" t="e">
        <f t="shared" si="22"/>
        <v>#DIV/0!</v>
      </c>
      <c r="K285" s="829">
        <f t="shared" si="22"/>
        <v>0</v>
      </c>
      <c r="L285" s="829">
        <f t="shared" si="22"/>
        <v>1.3800717637313387E-4</v>
      </c>
      <c r="M285" s="829">
        <f t="shared" si="22"/>
        <v>1.7495261699955744E-3</v>
      </c>
      <c r="N285" s="829">
        <f t="shared" si="22"/>
        <v>0.62130177514792906</v>
      </c>
      <c r="O285" s="829">
        <f t="shared" si="22"/>
        <v>0.36800769354063156</v>
      </c>
      <c r="P285" s="829">
        <f t="shared" si="22"/>
        <v>0.44686706181202374</v>
      </c>
      <c r="Q285" s="829">
        <f t="shared" si="22"/>
        <v>0</v>
      </c>
      <c r="R285" s="829">
        <f t="shared" si="22"/>
        <v>0</v>
      </c>
      <c r="S285" s="829">
        <f t="shared" si="22"/>
        <v>1.0607344632768361</v>
      </c>
      <c r="T285" s="829">
        <f t="shared" si="22"/>
        <v>1</v>
      </c>
      <c r="U285" s="829">
        <f t="shared" si="22"/>
        <v>0.24610731856981616</v>
      </c>
      <c r="V285" t="str">
        <f t="shared" si="18"/>
        <v>2018/19Regulation 19 (Payments owed under the Guaranteed Standards)Outputs - reliabilityGuaranteed Standards of Performance (GSoP)% of Payments made vs Payments owed</v>
      </c>
    </row>
    <row r="286" spans="1:36">
      <c r="A286" s="900" t="s">
        <v>141</v>
      </c>
      <c r="B286" s="900" t="s">
        <v>245</v>
      </c>
      <c r="C286" s="900" t="s">
        <v>1293</v>
      </c>
      <c r="D286" t="s">
        <v>243</v>
      </c>
      <c r="E286" t="s">
        <v>257</v>
      </c>
      <c r="F286" t="s">
        <v>1299</v>
      </c>
      <c r="G286">
        <f t="array" ref="G286:T308">TRANSPOSE('Ch2 outputs - reliability'!E287:AA300)</f>
        <v>2215</v>
      </c>
      <c r="H286">
        <v>1865</v>
      </c>
      <c r="I286">
        <v>1872</v>
      </c>
      <c r="J286">
        <v>76</v>
      </c>
      <c r="K286">
        <v>164</v>
      </c>
      <c r="L286">
        <v>0</v>
      </c>
      <c r="M286">
        <v>39</v>
      </c>
      <c r="N286">
        <v>519</v>
      </c>
      <c r="O286">
        <v>3869</v>
      </c>
      <c r="P286">
        <v>3322</v>
      </c>
      <c r="Q286">
        <v>932</v>
      </c>
      <c r="R286">
        <v>524</v>
      </c>
      <c r="S286">
        <v>1271</v>
      </c>
      <c r="T286">
        <v>6445</v>
      </c>
      <c r="U286">
        <f>AVERAGE(G286:T286)</f>
        <v>1650.9285714285713</v>
      </c>
      <c r="V286" t="str">
        <f t="shared" si="18"/>
        <v>2019/20Regulation 5 (Supply Restoration: Normal Conditions)*Outputs - reliabilityGuaranteed Standards of Performance (GSoP)Number of valid payments owed</v>
      </c>
    </row>
    <row r="287" spans="1:36">
      <c r="A287" s="900" t="s">
        <v>141</v>
      </c>
      <c r="B287" s="900" t="s">
        <v>245</v>
      </c>
      <c r="C287" s="900" t="s">
        <v>1293</v>
      </c>
      <c r="D287" t="s">
        <v>243</v>
      </c>
      <c r="E287" t="s">
        <v>258</v>
      </c>
      <c r="F287" t="s">
        <v>1300</v>
      </c>
      <c r="G287" s="829">
        <v>1.0004514672686231</v>
      </c>
      <c r="H287" s="829">
        <v>1</v>
      </c>
      <c r="I287" s="829">
        <v>1</v>
      </c>
      <c r="J287" s="829">
        <v>1</v>
      </c>
      <c r="K287" s="829">
        <v>1</v>
      </c>
      <c r="L287" s="829" t="str">
        <v>N/A</v>
      </c>
      <c r="M287" s="829">
        <v>1</v>
      </c>
      <c r="N287" s="829">
        <v>1</v>
      </c>
      <c r="O287" s="829">
        <v>1</v>
      </c>
      <c r="P287" s="829">
        <v>1</v>
      </c>
      <c r="Q287" s="829">
        <v>0.96673819742489275</v>
      </c>
      <c r="R287" s="829">
        <v>1.0935114503816794</v>
      </c>
      <c r="S287" s="829">
        <v>0.71911880409126672</v>
      </c>
      <c r="T287" s="829">
        <v>1</v>
      </c>
      <c r="U287" s="829">
        <v>0.82768088676463103</v>
      </c>
      <c r="V287" t="str">
        <f t="shared" si="18"/>
        <v>2019/20Regulation 5 (Supply Restoration: Normal Conditions)*Outputs - reliabilityGuaranteed Standards of Performance (GSoP)Mandatory payments vs valid payments owed</v>
      </c>
    </row>
    <row r="288" spans="1:36">
      <c r="A288" s="900" t="s">
        <v>141</v>
      </c>
      <c r="B288" s="900" t="s">
        <v>246</v>
      </c>
      <c r="C288" s="900" t="s">
        <v>1293</v>
      </c>
      <c r="D288" t="s">
        <v>243</v>
      </c>
      <c r="E288" t="s">
        <v>257</v>
      </c>
      <c r="F288" t="s">
        <v>1299</v>
      </c>
      <c r="G288">
        <v>0</v>
      </c>
      <c r="H288">
        <v>0</v>
      </c>
      <c r="I288">
        <v>0</v>
      </c>
      <c r="J288">
        <v>0</v>
      </c>
      <c r="K288">
        <v>0</v>
      </c>
      <c r="L288">
        <v>0</v>
      </c>
      <c r="M288">
        <v>0</v>
      </c>
      <c r="N288">
        <v>0</v>
      </c>
      <c r="O288">
        <v>0</v>
      </c>
      <c r="P288">
        <v>0</v>
      </c>
      <c r="Q288">
        <v>0</v>
      </c>
      <c r="R288">
        <v>0</v>
      </c>
      <c r="S288">
        <v>0</v>
      </c>
      <c r="T288">
        <v>0</v>
      </c>
      <c r="U288">
        <f>AVERAGE(G288:T288)</f>
        <v>0</v>
      </c>
      <c r="V288" t="str">
        <f t="shared" si="18"/>
        <v>2019/20Regulation 6 (Supply Restoration: Normal Conditions - 5,000 or more customers' premises interrupted)Outputs - reliabilityGuaranteed Standards of Performance (GSoP)Number of valid payments owed</v>
      </c>
    </row>
    <row r="289" spans="1:22">
      <c r="A289" s="900" t="s">
        <v>141</v>
      </c>
      <c r="B289" s="900" t="s">
        <v>246</v>
      </c>
      <c r="C289" s="900" t="s">
        <v>1293</v>
      </c>
      <c r="D289" t="s">
        <v>243</v>
      </c>
      <c r="E289" t="s">
        <v>258</v>
      </c>
      <c r="F289" t="s">
        <v>1300</v>
      </c>
      <c r="G289" s="829" t="str">
        <v>N/A</v>
      </c>
      <c r="H289" s="829" t="str">
        <v>N/A</v>
      </c>
      <c r="I289" s="829" t="str">
        <v>N/A</v>
      </c>
      <c r="J289" s="829" t="str">
        <v>N/A</v>
      </c>
      <c r="K289" s="829" t="str">
        <v>N/A</v>
      </c>
      <c r="L289" s="829" t="str">
        <v>N/A</v>
      </c>
      <c r="M289" s="829" t="str">
        <v>N/A</v>
      </c>
      <c r="N289" s="829" t="str">
        <v>N/A</v>
      </c>
      <c r="O289" s="829" t="str">
        <v>N/A</v>
      </c>
      <c r="P289" s="829" t="str">
        <v>N/A</v>
      </c>
      <c r="Q289" s="829" t="str">
        <v>N/A</v>
      </c>
      <c r="R289" s="829" t="str">
        <v>N/A</v>
      </c>
      <c r="S289" s="829" t="str">
        <v>N/A</v>
      </c>
      <c r="T289" s="829" t="str">
        <v>N/A</v>
      </c>
      <c r="U289" s="829" t="s">
        <v>210</v>
      </c>
      <c r="V289" t="str">
        <f t="shared" si="18"/>
        <v>2019/20Regulation 6 (Supply Restoration: Normal Conditions - 5,000 or more customers' premises interrupted)Outputs - reliabilityGuaranteed Standards of Performance (GSoP)Mandatory payments vs valid payments owed</v>
      </c>
    </row>
    <row r="290" spans="1:22">
      <c r="A290" s="900" t="s">
        <v>141</v>
      </c>
      <c r="B290" s="900" t="s">
        <v>247</v>
      </c>
      <c r="C290" s="900" t="s">
        <v>1293</v>
      </c>
      <c r="D290" t="s">
        <v>243</v>
      </c>
      <c r="E290" t="s">
        <v>257</v>
      </c>
      <c r="F290" t="s">
        <v>1299</v>
      </c>
      <c r="G290">
        <v>117</v>
      </c>
      <c r="H290">
        <v>0</v>
      </c>
      <c r="I290">
        <v>0</v>
      </c>
      <c r="J290">
        <v>0</v>
      </c>
      <c r="K290">
        <v>0</v>
      </c>
      <c r="L290">
        <v>0</v>
      </c>
      <c r="M290">
        <v>12</v>
      </c>
      <c r="N290">
        <v>0</v>
      </c>
      <c r="O290">
        <v>27</v>
      </c>
      <c r="P290">
        <v>0</v>
      </c>
      <c r="Q290">
        <v>0</v>
      </c>
      <c r="R290">
        <v>0</v>
      </c>
      <c r="S290">
        <v>3</v>
      </c>
      <c r="T290">
        <v>0</v>
      </c>
      <c r="U290">
        <f>AVERAGE(G290:T290)</f>
        <v>11.357142857142858</v>
      </c>
      <c r="V290" t="str">
        <f t="shared" si="18"/>
        <v>2019/20Regulation 7(1) - Supply Restoration: Category 1 Severe Weather Conditions*Outputs - reliabilityGuaranteed Standards of Performance (GSoP)Number of valid payments owed</v>
      </c>
    </row>
    <row r="291" spans="1:22">
      <c r="A291" s="900" t="s">
        <v>141</v>
      </c>
      <c r="B291" s="900" t="s">
        <v>247</v>
      </c>
      <c r="C291" s="900" t="s">
        <v>1293</v>
      </c>
      <c r="D291" t="s">
        <v>243</v>
      </c>
      <c r="E291" t="s">
        <v>258</v>
      </c>
      <c r="F291" t="s">
        <v>1300</v>
      </c>
      <c r="G291" s="829">
        <v>1</v>
      </c>
      <c r="H291" s="829" t="str">
        <v>N/A</v>
      </c>
      <c r="I291" s="829" t="str">
        <v>N/A</v>
      </c>
      <c r="J291" s="829" t="str">
        <v>N/A</v>
      </c>
      <c r="K291" s="829" t="str">
        <v>N/A</v>
      </c>
      <c r="L291" s="829" t="str">
        <v>N/A</v>
      </c>
      <c r="M291" s="829">
        <v>1</v>
      </c>
      <c r="N291" s="829" t="str">
        <v>N/A</v>
      </c>
      <c r="O291" s="829">
        <v>1</v>
      </c>
      <c r="P291" s="829" t="str">
        <v>N/A</v>
      </c>
      <c r="Q291" s="829" t="str">
        <v>N/A</v>
      </c>
      <c r="R291" s="829" t="str">
        <v>N/A</v>
      </c>
      <c r="S291" s="829">
        <v>1</v>
      </c>
      <c r="T291" s="829" t="str">
        <v>N/A</v>
      </c>
      <c r="U291" s="829">
        <v>3.4313725490196081</v>
      </c>
      <c r="V291" t="str">
        <f t="shared" si="18"/>
        <v>2019/20Regulation 7(1) - Supply Restoration: Category 1 Severe Weather Conditions*Outputs - reliabilityGuaranteed Standards of Performance (GSoP)Mandatory payments vs valid payments owed</v>
      </c>
    </row>
    <row r="292" spans="1:22">
      <c r="A292" s="900" t="s">
        <v>141</v>
      </c>
      <c r="B292" s="900" t="s">
        <v>248</v>
      </c>
      <c r="C292" s="900" t="s">
        <v>1293</v>
      </c>
      <c r="D292" t="s">
        <v>243</v>
      </c>
      <c r="E292" t="s">
        <v>257</v>
      </c>
      <c r="F292" t="s">
        <v>1299</v>
      </c>
      <c r="G292">
        <v>0</v>
      </c>
      <c r="H292">
        <v>0</v>
      </c>
      <c r="I292">
        <v>0</v>
      </c>
      <c r="J292">
        <v>0</v>
      </c>
      <c r="K292">
        <v>0</v>
      </c>
      <c r="L292">
        <v>0</v>
      </c>
      <c r="M292">
        <v>0</v>
      </c>
      <c r="N292">
        <v>0</v>
      </c>
      <c r="O292">
        <v>5</v>
      </c>
      <c r="P292">
        <v>2</v>
      </c>
      <c r="Q292">
        <v>0</v>
      </c>
      <c r="R292">
        <v>5</v>
      </c>
      <c r="S292">
        <v>0</v>
      </c>
      <c r="T292">
        <v>10</v>
      </c>
      <c r="U292">
        <f>AVERAGE(G292:T292)</f>
        <v>1.5714285714285714</v>
      </c>
      <c r="V292" t="str">
        <f t="shared" si="18"/>
        <v>2019/20Regulation 7(2) - Supply Restoration: Category 2 Severe Weather Conditions*Outputs - reliabilityGuaranteed Standards of Performance (GSoP)Number of valid payments owed</v>
      </c>
    </row>
    <row r="293" spans="1:22">
      <c r="A293" s="900" t="s">
        <v>141</v>
      </c>
      <c r="B293" s="900" t="s">
        <v>248</v>
      </c>
      <c r="C293" s="900" t="s">
        <v>1293</v>
      </c>
      <c r="D293" t="s">
        <v>243</v>
      </c>
      <c r="E293" t="s">
        <v>258</v>
      </c>
      <c r="F293" t="s">
        <v>1300</v>
      </c>
      <c r="G293" s="829" t="str">
        <v>N/A</v>
      </c>
      <c r="H293" s="829" t="str">
        <v>N/A</v>
      </c>
      <c r="I293" s="829" t="str">
        <v>N/A</v>
      </c>
      <c r="J293" s="829" t="str">
        <v>N/A</v>
      </c>
      <c r="K293" s="829" t="str">
        <v>N/A</v>
      </c>
      <c r="L293" s="829" t="str">
        <v>N/A</v>
      </c>
      <c r="M293" s="829" t="str">
        <v>N/A</v>
      </c>
      <c r="N293" s="829" t="str">
        <v>N/A</v>
      </c>
      <c r="O293" s="829">
        <v>1</v>
      </c>
      <c r="P293" s="829">
        <v>1</v>
      </c>
      <c r="Q293" s="829" t="str">
        <v>N/A</v>
      </c>
      <c r="R293" s="829">
        <v>1</v>
      </c>
      <c r="S293" s="829" t="str">
        <v>N/A</v>
      </c>
      <c r="T293" s="829">
        <v>1</v>
      </c>
      <c r="U293" s="829">
        <v>2.916666666666667</v>
      </c>
      <c r="V293" t="str">
        <f t="shared" si="18"/>
        <v>2019/20Regulation 7(2) - Supply Restoration: Category 2 Severe Weather Conditions*Outputs - reliabilityGuaranteed Standards of Performance (GSoP)Mandatory payments vs valid payments owed</v>
      </c>
    </row>
    <row r="294" spans="1:22">
      <c r="A294" s="900" t="s">
        <v>141</v>
      </c>
      <c r="B294" s="900" t="s">
        <v>249</v>
      </c>
      <c r="C294" s="900" t="s">
        <v>1293</v>
      </c>
      <c r="D294" t="s">
        <v>243</v>
      </c>
      <c r="E294" t="s">
        <v>257</v>
      </c>
      <c r="F294" t="s">
        <v>1299</v>
      </c>
      <c r="G294">
        <v>0</v>
      </c>
      <c r="H294">
        <v>0</v>
      </c>
      <c r="I294">
        <v>0</v>
      </c>
      <c r="J294">
        <v>0</v>
      </c>
      <c r="K294">
        <v>0</v>
      </c>
      <c r="L294">
        <v>0</v>
      </c>
      <c r="M294">
        <v>0</v>
      </c>
      <c r="N294">
        <v>0</v>
      </c>
      <c r="O294">
        <v>0</v>
      </c>
      <c r="P294">
        <v>0</v>
      </c>
      <c r="Q294">
        <v>0</v>
      </c>
      <c r="R294">
        <v>0</v>
      </c>
      <c r="S294">
        <v>0</v>
      </c>
      <c r="T294">
        <v>0</v>
      </c>
      <c r="U294">
        <f>AVERAGE(G294:T294)</f>
        <v>0</v>
      </c>
      <c r="V294" t="str">
        <f t="shared" si="18"/>
        <v>2019/20Regulation 7(3) - Supply Restoration: Category 3 Severe Weather Conditions*Outputs - reliabilityGuaranteed Standards of Performance (GSoP)Number of valid payments owed</v>
      </c>
    </row>
    <row r="295" spans="1:22">
      <c r="A295" s="900" t="s">
        <v>141</v>
      </c>
      <c r="B295" s="900" t="s">
        <v>249</v>
      </c>
      <c r="C295" s="900" t="s">
        <v>1293</v>
      </c>
      <c r="D295" t="s">
        <v>243</v>
      </c>
      <c r="E295" t="s">
        <v>258</v>
      </c>
      <c r="F295" t="s">
        <v>1300</v>
      </c>
      <c r="G295" s="829" t="str">
        <v>N/A</v>
      </c>
      <c r="H295" s="829" t="str">
        <v>N/A</v>
      </c>
      <c r="I295" s="829" t="str">
        <v>N/A</v>
      </c>
      <c r="J295" s="829" t="str">
        <v>N/A</v>
      </c>
      <c r="K295" s="829" t="str">
        <v>N/A</v>
      </c>
      <c r="L295" s="829" t="str">
        <v>N/A</v>
      </c>
      <c r="M295" s="829" t="str">
        <v>N/A</v>
      </c>
      <c r="N295" s="829" t="str">
        <v>N/A</v>
      </c>
      <c r="O295" s="829" t="str">
        <v>N/A</v>
      </c>
      <c r="P295" s="829" t="str">
        <v>N/A</v>
      </c>
      <c r="Q295" s="829" t="str">
        <v>N/A</v>
      </c>
      <c r="R295" s="829" t="str">
        <v>N/A</v>
      </c>
      <c r="S295" s="829" t="str">
        <v>N/A</v>
      </c>
      <c r="T295" s="829" t="str">
        <v>N/A</v>
      </c>
      <c r="U295" s="829" t="s">
        <v>210</v>
      </c>
      <c r="V295" t="str">
        <f t="shared" si="18"/>
        <v>2019/20Regulation 7(3) - Supply Restoration: Category 3 Severe Weather Conditions*Outputs - reliabilityGuaranteed Standards of Performance (GSoP)Mandatory payments vs valid payments owed</v>
      </c>
    </row>
    <row r="296" spans="1:22">
      <c r="A296" s="900" t="s">
        <v>141</v>
      </c>
      <c r="B296" s="900" t="s">
        <v>250</v>
      </c>
      <c r="C296" s="900" t="s">
        <v>1293</v>
      </c>
      <c r="D296" t="s">
        <v>243</v>
      </c>
      <c r="E296" t="s">
        <v>257</v>
      </c>
      <c r="F296" t="s">
        <v>1299</v>
      </c>
      <c r="G296" s="829">
        <v>0</v>
      </c>
      <c r="H296" s="829">
        <v>0</v>
      </c>
      <c r="I296" s="829">
        <v>0</v>
      </c>
      <c r="J296" s="829">
        <v>0</v>
      </c>
      <c r="K296" s="829">
        <v>0</v>
      </c>
      <c r="L296" s="829">
        <v>0</v>
      </c>
      <c r="M296" s="829">
        <v>0</v>
      </c>
      <c r="N296" s="829">
        <v>0</v>
      </c>
      <c r="O296" s="829">
        <v>0</v>
      </c>
      <c r="P296" s="829">
        <v>0</v>
      </c>
      <c r="Q296" s="829">
        <v>0</v>
      </c>
      <c r="R296" s="829">
        <v>0</v>
      </c>
      <c r="S296" s="829">
        <v>0</v>
      </c>
      <c r="T296" s="829">
        <v>0</v>
      </c>
      <c r="U296" s="901">
        <f>AVERAGE(G296:T296)</f>
        <v>0</v>
      </c>
      <c r="V296" t="str">
        <f t="shared" si="18"/>
        <v>2019/20Regulation 8 (Supply Restoration: Rota Disconnection)Outputs - reliabilityGuaranteed Standards of Performance (GSoP)Number of valid payments owed</v>
      </c>
    </row>
    <row r="297" spans="1:22">
      <c r="A297" s="900" t="s">
        <v>141</v>
      </c>
      <c r="B297" s="900" t="s">
        <v>250</v>
      </c>
      <c r="C297" s="900" t="s">
        <v>1293</v>
      </c>
      <c r="D297" t="s">
        <v>243</v>
      </c>
      <c r="E297" t="s">
        <v>258</v>
      </c>
      <c r="F297" t="s">
        <v>1300</v>
      </c>
      <c r="G297" s="829" t="str">
        <v>N/A</v>
      </c>
      <c r="H297" s="829" t="str">
        <v>N/A</v>
      </c>
      <c r="I297" s="829" t="str">
        <v>N/A</v>
      </c>
      <c r="J297" s="829" t="str">
        <v>N/A</v>
      </c>
      <c r="K297" s="829" t="str">
        <v>N/A</v>
      </c>
      <c r="L297" s="829" t="str">
        <v>N/A</v>
      </c>
      <c r="M297" s="829" t="str">
        <v>N/A</v>
      </c>
      <c r="N297" s="829" t="str">
        <v>N/A</v>
      </c>
      <c r="O297" s="829" t="str">
        <v>N/A</v>
      </c>
      <c r="P297" s="829" t="str">
        <v>N/A</v>
      </c>
      <c r="Q297" s="829" t="str">
        <v>N/A</v>
      </c>
      <c r="R297" s="829" t="str">
        <v>N/A</v>
      </c>
      <c r="S297" s="829" t="str">
        <v>N/A</v>
      </c>
      <c r="T297" s="829" t="str">
        <v>N/A</v>
      </c>
      <c r="U297" s="829" t="s">
        <v>210</v>
      </c>
      <c r="V297" t="str">
        <f t="shared" si="18"/>
        <v>2019/20Regulation 8 (Supply Restoration: Rota Disconnection)Outputs - reliabilityGuaranteed Standards of Performance (GSoP)Mandatory payments vs valid payments owed</v>
      </c>
    </row>
    <row r="298" spans="1:22">
      <c r="A298" s="900" t="s">
        <v>141</v>
      </c>
      <c r="B298" s="900" t="s">
        <v>251</v>
      </c>
      <c r="C298" s="900" t="s">
        <v>1293</v>
      </c>
      <c r="D298" t="s">
        <v>243</v>
      </c>
      <c r="E298" t="s">
        <v>257</v>
      </c>
      <c r="F298" t="s">
        <v>1299</v>
      </c>
      <c r="G298">
        <v>11</v>
      </c>
      <c r="H298">
        <v>7</v>
      </c>
      <c r="I298">
        <v>18</v>
      </c>
      <c r="J298">
        <v>0</v>
      </c>
      <c r="K298">
        <v>0</v>
      </c>
      <c r="L298">
        <v>0</v>
      </c>
      <c r="M298">
        <v>0</v>
      </c>
      <c r="N298">
        <v>5</v>
      </c>
      <c r="O298">
        <v>50</v>
      </c>
      <c r="P298">
        <v>24</v>
      </c>
      <c r="Q298">
        <v>2</v>
      </c>
      <c r="R298">
        <v>3</v>
      </c>
      <c r="S298">
        <v>4</v>
      </c>
      <c r="T298">
        <v>47</v>
      </c>
      <c r="U298">
        <f>AVERAGE(G298:T298)</f>
        <v>12.214285714285714</v>
      </c>
      <c r="V298" t="str">
        <f t="shared" si="18"/>
        <v>2019/20Regulation 10 (Supply Restoration: Multiple interruptions)Outputs - reliabilityGuaranteed Standards of Performance (GSoP)Number of valid payments owed</v>
      </c>
    </row>
    <row r="299" spans="1:22">
      <c r="A299" s="900" t="s">
        <v>141</v>
      </c>
      <c r="B299" s="900" t="s">
        <v>251</v>
      </c>
      <c r="C299" s="900" t="s">
        <v>1293</v>
      </c>
      <c r="D299" t="s">
        <v>243</v>
      </c>
      <c r="E299" t="s">
        <v>258</v>
      </c>
      <c r="F299" t="s">
        <v>1300</v>
      </c>
      <c r="G299" s="829">
        <v>1</v>
      </c>
      <c r="H299" s="829">
        <v>1</v>
      </c>
      <c r="I299" s="829">
        <v>1</v>
      </c>
      <c r="J299" s="829" t="str">
        <v>N/A</v>
      </c>
      <c r="K299" s="829" t="str">
        <v>N/A</v>
      </c>
      <c r="L299" s="829" t="str">
        <v>N/A</v>
      </c>
      <c r="M299" s="829" t="str">
        <v>N/A</v>
      </c>
      <c r="N299" s="829">
        <v>1</v>
      </c>
      <c r="O299" s="829">
        <v>1</v>
      </c>
      <c r="P299" s="829">
        <v>1</v>
      </c>
      <c r="Q299" s="829">
        <v>1</v>
      </c>
      <c r="R299" s="829">
        <v>1</v>
      </c>
      <c r="S299" s="829">
        <v>1</v>
      </c>
      <c r="T299" s="829">
        <v>1</v>
      </c>
      <c r="U299" s="1034" t="e">
        <v>#REF!</v>
      </c>
      <c r="V299" t="str">
        <f t="shared" si="18"/>
        <v>2019/20Regulation 10 (Supply Restoration: Multiple interruptions)Outputs - reliabilityGuaranteed Standards of Performance (GSoP)Mandatory payments vs valid payments owed</v>
      </c>
    </row>
    <row r="300" spans="1:22">
      <c r="A300" s="900" t="s">
        <v>141</v>
      </c>
      <c r="B300" s="900" t="s">
        <v>252</v>
      </c>
      <c r="C300" s="900" t="s">
        <v>1293</v>
      </c>
      <c r="D300" t="s">
        <v>243</v>
      </c>
      <c r="E300" t="s">
        <v>257</v>
      </c>
      <c r="F300" t="s">
        <v>1299</v>
      </c>
      <c r="G300">
        <v>12</v>
      </c>
      <c r="H300">
        <v>3</v>
      </c>
      <c r="I300">
        <v>6</v>
      </c>
      <c r="J300">
        <v>0</v>
      </c>
      <c r="K300">
        <v>0</v>
      </c>
      <c r="L300">
        <v>0</v>
      </c>
      <c r="M300">
        <v>0</v>
      </c>
      <c r="N300">
        <v>13</v>
      </c>
      <c r="O300">
        <v>39</v>
      </c>
      <c r="P300">
        <v>11</v>
      </c>
      <c r="Q300">
        <v>0</v>
      </c>
      <c r="R300">
        <v>3</v>
      </c>
      <c r="S300">
        <v>2</v>
      </c>
      <c r="T300">
        <v>16</v>
      </c>
      <c r="U300">
        <f>AVERAGE(G300:T300)</f>
        <v>7.5</v>
      </c>
      <c r="V300" t="str">
        <f t="shared" si="18"/>
        <v>2019/20Regulation 11 (Responding to Operation of Distributor's Fuse)Outputs - reliabilityGuaranteed Standards of Performance (GSoP)Number of valid payments owed</v>
      </c>
    </row>
    <row r="301" spans="1:22">
      <c r="A301" s="900" t="s">
        <v>141</v>
      </c>
      <c r="B301" s="900" t="s">
        <v>252</v>
      </c>
      <c r="C301" s="900" t="s">
        <v>1293</v>
      </c>
      <c r="D301" t="s">
        <v>243</v>
      </c>
      <c r="E301" t="s">
        <v>258</v>
      </c>
      <c r="F301" t="s">
        <v>1300</v>
      </c>
      <c r="G301" s="829">
        <v>1</v>
      </c>
      <c r="H301" s="829">
        <v>1</v>
      </c>
      <c r="I301" s="829">
        <v>1</v>
      </c>
      <c r="J301" s="829" t="str">
        <v>N/A</v>
      </c>
      <c r="K301" s="829" t="str">
        <v>N/A</v>
      </c>
      <c r="L301" s="829" t="str">
        <v>N/A</v>
      </c>
      <c r="M301" s="829" t="str">
        <v>N/A</v>
      </c>
      <c r="N301" s="829">
        <v>1</v>
      </c>
      <c r="O301" s="829">
        <v>1</v>
      </c>
      <c r="P301" s="829">
        <v>1</v>
      </c>
      <c r="Q301" s="829" t="str">
        <v>N/A</v>
      </c>
      <c r="R301" s="829">
        <v>1</v>
      </c>
      <c r="S301" s="829">
        <v>1</v>
      </c>
      <c r="T301" s="829">
        <v>1</v>
      </c>
      <c r="U301" s="829" t="s">
        <v>210</v>
      </c>
      <c r="V301" t="str">
        <f t="shared" si="18"/>
        <v>2019/20Regulation 11 (Responding to Operation of Distributor's Fuse)Outputs - reliabilityGuaranteed Standards of Performance (GSoP)Mandatory payments vs valid payments owed</v>
      </c>
    </row>
    <row r="302" spans="1:22">
      <c r="A302" s="900" t="s">
        <v>141</v>
      </c>
      <c r="B302" s="900" t="s">
        <v>253</v>
      </c>
      <c r="C302" s="900" t="s">
        <v>1293</v>
      </c>
      <c r="D302" t="s">
        <v>243</v>
      </c>
      <c r="E302" t="s">
        <v>257</v>
      </c>
      <c r="F302" t="s">
        <v>1299</v>
      </c>
      <c r="G302">
        <v>536</v>
      </c>
      <c r="H302">
        <v>16</v>
      </c>
      <c r="I302">
        <v>20</v>
      </c>
      <c r="J302">
        <v>3</v>
      </c>
      <c r="K302">
        <v>3</v>
      </c>
      <c r="L302">
        <v>1</v>
      </c>
      <c r="M302">
        <v>7</v>
      </c>
      <c r="N302">
        <v>11</v>
      </c>
      <c r="O302">
        <v>85</v>
      </c>
      <c r="P302">
        <v>156</v>
      </c>
      <c r="Q302">
        <v>71</v>
      </c>
      <c r="R302">
        <v>64</v>
      </c>
      <c r="S302">
        <v>81</v>
      </c>
      <c r="T302">
        <v>382</v>
      </c>
      <c r="U302">
        <f>AVERAGE(G302:T302)</f>
        <v>102.57142857142857</v>
      </c>
      <c r="V302" t="str">
        <f t="shared" si="18"/>
        <v>2019/20Regulation 12 (Notice of Supply Interruption )Outputs - reliabilityGuaranteed Standards of Performance (GSoP)Number of valid payments owed</v>
      </c>
    </row>
    <row r="303" spans="1:22">
      <c r="A303" s="900" t="s">
        <v>141</v>
      </c>
      <c r="B303" s="900" t="s">
        <v>253</v>
      </c>
      <c r="C303" s="900" t="s">
        <v>1293</v>
      </c>
      <c r="D303" t="s">
        <v>243</v>
      </c>
      <c r="E303" t="s">
        <v>258</v>
      </c>
      <c r="F303" t="s">
        <v>1300</v>
      </c>
      <c r="G303" s="829">
        <v>1</v>
      </c>
      <c r="H303" s="829">
        <v>1</v>
      </c>
      <c r="I303" s="829">
        <v>1</v>
      </c>
      <c r="J303" s="829">
        <v>1</v>
      </c>
      <c r="K303" s="829">
        <v>1</v>
      </c>
      <c r="L303" s="829">
        <v>1</v>
      </c>
      <c r="M303" s="829">
        <v>1</v>
      </c>
      <c r="N303" s="829">
        <v>1</v>
      </c>
      <c r="O303" s="829">
        <v>1</v>
      </c>
      <c r="P303" s="829">
        <v>1</v>
      </c>
      <c r="Q303" s="829">
        <v>1</v>
      </c>
      <c r="R303" s="829">
        <v>1</v>
      </c>
      <c r="S303" s="829">
        <v>1</v>
      </c>
      <c r="T303" s="829">
        <v>1</v>
      </c>
      <c r="U303" s="829">
        <v>1</v>
      </c>
      <c r="V303" t="str">
        <f t="shared" si="18"/>
        <v>2019/20Regulation 12 (Notice of Supply Interruption )Outputs - reliabilityGuaranteed Standards of Performance (GSoP)Mandatory payments vs valid payments owed</v>
      </c>
    </row>
    <row r="304" spans="1:22">
      <c r="A304" s="900" t="s">
        <v>141</v>
      </c>
      <c r="B304" s="900" t="s">
        <v>254</v>
      </c>
      <c r="C304" s="900" t="s">
        <v>1293</v>
      </c>
      <c r="D304" t="s">
        <v>243</v>
      </c>
      <c r="E304" t="s">
        <v>821</v>
      </c>
      <c r="F304" t="s">
        <v>1299</v>
      </c>
      <c r="G304">
        <v>9</v>
      </c>
      <c r="H304">
        <v>0</v>
      </c>
      <c r="I304">
        <v>0</v>
      </c>
      <c r="J304">
        <v>0</v>
      </c>
      <c r="K304">
        <v>0</v>
      </c>
      <c r="L304">
        <v>0</v>
      </c>
      <c r="M304">
        <v>0</v>
      </c>
      <c r="N304">
        <v>0</v>
      </c>
      <c r="O304">
        <v>0</v>
      </c>
      <c r="P304">
        <v>0</v>
      </c>
      <c r="Q304">
        <v>0</v>
      </c>
      <c r="R304">
        <v>0</v>
      </c>
      <c r="S304">
        <v>1</v>
      </c>
      <c r="T304">
        <v>3</v>
      </c>
      <c r="U304">
        <f>AVERAGE(G304:T304)</f>
        <v>0.9285714285714286</v>
      </c>
      <c r="V304" t="str">
        <f t="shared" si="18"/>
        <v>2019/20Regulation 13 (Investigation of Voltage complaints)Outputs - reliabilityGuaranteed Standards of Performance (GSoP)Total Number of mandatory payments made</v>
      </c>
    </row>
    <row r="305" spans="1:22">
      <c r="A305" s="900" t="s">
        <v>141</v>
      </c>
      <c r="B305" s="900" t="s">
        <v>255</v>
      </c>
      <c r="C305" s="900" t="s">
        <v>1293</v>
      </c>
      <c r="D305" t="s">
        <v>243</v>
      </c>
      <c r="E305" t="s">
        <v>257</v>
      </c>
      <c r="F305" t="s">
        <v>1299</v>
      </c>
      <c r="G305">
        <v>117</v>
      </c>
      <c r="H305">
        <v>20</v>
      </c>
      <c r="I305">
        <v>90</v>
      </c>
      <c r="J305">
        <v>0</v>
      </c>
      <c r="K305">
        <v>0</v>
      </c>
      <c r="L305">
        <v>0</v>
      </c>
      <c r="M305">
        <v>0</v>
      </c>
      <c r="N305">
        <v>129</v>
      </c>
      <c r="O305">
        <v>383</v>
      </c>
      <c r="P305">
        <v>263</v>
      </c>
      <c r="Q305">
        <v>0</v>
      </c>
      <c r="R305">
        <v>0</v>
      </c>
      <c r="S305">
        <v>1</v>
      </c>
      <c r="T305">
        <v>87</v>
      </c>
      <c r="U305">
        <f>AVERAGE(G305:T305)</f>
        <v>77.857142857142861</v>
      </c>
      <c r="V305" t="str">
        <f t="shared" si="18"/>
        <v>2019/20Regulation 17 (Making and Keeping Appointments)Outputs - reliabilityGuaranteed Standards of Performance (GSoP)Number of valid payments owed</v>
      </c>
    </row>
    <row r="306" spans="1:22">
      <c r="A306" s="900" t="s">
        <v>141</v>
      </c>
      <c r="B306" s="900" t="s">
        <v>255</v>
      </c>
      <c r="C306" s="900" t="s">
        <v>1293</v>
      </c>
      <c r="D306" t="s">
        <v>243</v>
      </c>
      <c r="E306" t="s">
        <v>258</v>
      </c>
      <c r="F306" t="s">
        <v>1300</v>
      </c>
      <c r="G306" s="829">
        <v>1</v>
      </c>
      <c r="H306" s="829">
        <v>1</v>
      </c>
      <c r="I306" s="829">
        <v>1</v>
      </c>
      <c r="J306" s="829" t="str">
        <v>N/A</v>
      </c>
      <c r="K306" s="829" t="str">
        <v>N/A</v>
      </c>
      <c r="L306" s="829" t="str">
        <v>N/A</v>
      </c>
      <c r="M306" s="829" t="str">
        <v>N/A</v>
      </c>
      <c r="N306" s="829">
        <v>1</v>
      </c>
      <c r="O306" s="829">
        <v>1</v>
      </c>
      <c r="P306" s="829">
        <v>1</v>
      </c>
      <c r="Q306" s="829" t="str">
        <v>N/A</v>
      </c>
      <c r="R306" s="829" t="str">
        <v>N/A</v>
      </c>
      <c r="S306" s="829">
        <v>1</v>
      </c>
      <c r="T306" s="829">
        <v>1</v>
      </c>
      <c r="U306" s="829">
        <v>2.7766032417195208E-2</v>
      </c>
      <c r="V306" t="str">
        <f t="shared" si="18"/>
        <v>2019/20Regulation 17 (Making and Keeping Appointments)Outputs - reliabilityGuaranteed Standards of Performance (GSoP)Mandatory payments vs valid payments owed</v>
      </c>
    </row>
    <row r="307" spans="1:22">
      <c r="A307" s="900" t="s">
        <v>141</v>
      </c>
      <c r="B307" s="900" t="s">
        <v>256</v>
      </c>
      <c r="C307" s="900" t="s">
        <v>1293</v>
      </c>
      <c r="D307" t="s">
        <v>243</v>
      </c>
      <c r="E307" t="s">
        <v>257</v>
      </c>
      <c r="F307" t="s">
        <v>1299</v>
      </c>
      <c r="G307">
        <v>698</v>
      </c>
      <c r="H307">
        <v>26</v>
      </c>
      <c r="I307">
        <v>34</v>
      </c>
      <c r="J307">
        <v>0</v>
      </c>
      <c r="K307">
        <v>3</v>
      </c>
      <c r="L307">
        <v>0</v>
      </c>
      <c r="M307">
        <v>1</v>
      </c>
      <c r="N307">
        <v>15</v>
      </c>
      <c r="O307">
        <v>41</v>
      </c>
      <c r="P307">
        <v>24</v>
      </c>
      <c r="Q307">
        <v>0</v>
      </c>
      <c r="R307">
        <v>0</v>
      </c>
      <c r="S307">
        <v>91</v>
      </c>
      <c r="T307">
        <v>85</v>
      </c>
      <c r="U307">
        <f>AVERAGE(G307:T307)</f>
        <v>72.714285714285708</v>
      </c>
      <c r="V307" t="str">
        <f t="shared" ref="V307:V338" si="23">CONCATENATE(A307,B307,C307,D307,E307)</f>
        <v>2019/20Regulation 19 (Payments owed under the Guaranteed Standards)Outputs - reliabilityGuaranteed Standards of Performance (GSoP)Number of valid payments owed</v>
      </c>
    </row>
    <row r="308" spans="1:22">
      <c r="A308" s="900" t="s">
        <v>141</v>
      </c>
      <c r="B308" s="900" t="s">
        <v>256</v>
      </c>
      <c r="C308" s="900" t="s">
        <v>1293</v>
      </c>
      <c r="D308" t="s">
        <v>243</v>
      </c>
      <c r="E308" t="s">
        <v>258</v>
      </c>
      <c r="F308" t="s">
        <v>1300</v>
      </c>
      <c r="G308" s="829">
        <v>1</v>
      </c>
      <c r="H308" s="829">
        <v>1</v>
      </c>
      <c r="I308" s="829">
        <v>1</v>
      </c>
      <c r="J308" s="829" t="str">
        <v>N/A</v>
      </c>
      <c r="K308" s="829">
        <v>1</v>
      </c>
      <c r="L308" s="829" t="str">
        <v>N/A</v>
      </c>
      <c r="M308" s="829">
        <v>1</v>
      </c>
      <c r="N308" s="829">
        <v>1</v>
      </c>
      <c r="O308" s="829">
        <v>1</v>
      </c>
      <c r="P308" s="829">
        <v>1</v>
      </c>
      <c r="Q308" s="829" t="str">
        <v>N/A</v>
      </c>
      <c r="R308" s="829" t="str">
        <v>N/A</v>
      </c>
      <c r="S308" s="829">
        <v>1</v>
      </c>
      <c r="T308" s="829">
        <v>1</v>
      </c>
      <c r="U308" s="829">
        <v>1</v>
      </c>
      <c r="V308" t="str">
        <f t="shared" si="23"/>
        <v>2019/20Regulation 19 (Payments owed under the Guaranteed Standards)Outputs - reliabilityGuaranteed Standards of Performance (GSoP)Mandatory payments vs valid payments owed</v>
      </c>
    </row>
    <row r="309" spans="1:22">
      <c r="A309" s="900" t="s">
        <v>141</v>
      </c>
      <c r="B309" s="900" t="s">
        <v>256</v>
      </c>
      <c r="C309" s="900" t="s">
        <v>1293</v>
      </c>
      <c r="D309" t="s">
        <v>243</v>
      </c>
      <c r="E309" s="900" t="s">
        <v>1301</v>
      </c>
      <c r="F309" s="900" t="s">
        <v>1299</v>
      </c>
      <c r="G309" s="901">
        <f>SUM(G286,G288,G290,G292,G294,G296,G298,G300,G302,G305,G307)</f>
        <v>3706</v>
      </c>
      <c r="H309" s="901">
        <f t="shared" ref="H309:T309" si="24">SUM(H286,H288,H290,H292,H294,H296,H298,H300,H302,H305,H307)</f>
        <v>1937</v>
      </c>
      <c r="I309" s="901">
        <f t="shared" si="24"/>
        <v>2040</v>
      </c>
      <c r="J309" s="901">
        <f t="shared" si="24"/>
        <v>79</v>
      </c>
      <c r="K309" s="901">
        <f t="shared" si="24"/>
        <v>170</v>
      </c>
      <c r="L309" s="901">
        <f t="shared" si="24"/>
        <v>1</v>
      </c>
      <c r="M309" s="901">
        <f t="shared" si="24"/>
        <v>59</v>
      </c>
      <c r="N309" s="901">
        <f t="shared" si="24"/>
        <v>692</v>
      </c>
      <c r="O309" s="901">
        <f t="shared" si="24"/>
        <v>4499</v>
      </c>
      <c r="P309" s="901">
        <f t="shared" si="24"/>
        <v>3802</v>
      </c>
      <c r="Q309" s="901">
        <f t="shared" si="24"/>
        <v>1005</v>
      </c>
      <c r="R309" s="901">
        <f t="shared" si="24"/>
        <v>599</v>
      </c>
      <c r="S309" s="901">
        <f t="shared" si="24"/>
        <v>1453</v>
      </c>
      <c r="T309" s="901">
        <f t="shared" si="24"/>
        <v>7072</v>
      </c>
      <c r="U309" s="901">
        <f>AVERAGE(G309:T309)</f>
        <v>1936.7142857142858</v>
      </c>
      <c r="V309" t="str">
        <f t="shared" si="23"/>
        <v>2019/20Regulation 19 (Payments owed under the Guaranteed Standards)Outputs - reliabilityGuaranteed Standards of Performance (GSoP)Total Payments owed</v>
      </c>
    </row>
    <row r="310" spans="1:22">
      <c r="A310" s="900" t="s">
        <v>141</v>
      </c>
      <c r="B310" s="900" t="s">
        <v>256</v>
      </c>
      <c r="C310" s="900" t="s">
        <v>1293</v>
      </c>
      <c r="D310" t="s">
        <v>243</v>
      </c>
      <c r="E310" t="s">
        <v>1302</v>
      </c>
      <c r="F310" s="900" t="s">
        <v>1299</v>
      </c>
      <c r="G310" s="901">
        <v>3707</v>
      </c>
      <c r="H310" s="901">
        <v>1937</v>
      </c>
      <c r="I310" s="901">
        <v>2043</v>
      </c>
      <c r="J310" s="901">
        <v>79</v>
      </c>
      <c r="K310" s="901">
        <v>170</v>
      </c>
      <c r="L310" s="901">
        <v>1</v>
      </c>
      <c r="M310" s="901">
        <v>59</v>
      </c>
      <c r="N310" s="901">
        <v>692</v>
      </c>
      <c r="O310" s="901">
        <v>4499</v>
      </c>
      <c r="P310" s="901">
        <v>3802</v>
      </c>
      <c r="Q310" s="901">
        <v>974</v>
      </c>
      <c r="R310" s="901">
        <v>648</v>
      </c>
      <c r="S310" s="901">
        <v>1096</v>
      </c>
      <c r="T310" s="901">
        <v>7072</v>
      </c>
      <c r="U310" s="901">
        <f>AVERAGE(G310:T310)</f>
        <v>1912.7857142857142</v>
      </c>
      <c r="V310" t="str">
        <f t="shared" si="23"/>
        <v>2019/20Regulation 19 (Payments owed under the Guaranteed Standards)Outputs - reliabilityGuaranteed Standards of Performance (GSoP)Total Payments made</v>
      </c>
    </row>
    <row r="311" spans="1:22">
      <c r="A311" s="900" t="s">
        <v>141</v>
      </c>
      <c r="B311" s="900"/>
      <c r="C311" s="900" t="s">
        <v>1293</v>
      </c>
      <c r="D311" t="s">
        <v>243</v>
      </c>
      <c r="E311" s="900" t="s">
        <v>1301</v>
      </c>
      <c r="F311" s="900" t="s">
        <v>1299</v>
      </c>
      <c r="G311" s="901">
        <f>SUM(G288,G290,G292,G294,G296,G298,G300,G302,G304,G307,G309)</f>
        <v>5089</v>
      </c>
      <c r="H311" s="901">
        <f t="shared" ref="H311:T311" si="25">SUM(H288,H290,H292,H294,H296,H298,H300,H302,H304,H307,H309)</f>
        <v>1989</v>
      </c>
      <c r="I311" s="901">
        <f t="shared" si="25"/>
        <v>2118</v>
      </c>
      <c r="J311" s="901">
        <f t="shared" si="25"/>
        <v>82</v>
      </c>
      <c r="K311" s="901">
        <f t="shared" si="25"/>
        <v>176</v>
      </c>
      <c r="L311" s="901">
        <f t="shared" si="25"/>
        <v>2</v>
      </c>
      <c r="M311" s="901">
        <f t="shared" si="25"/>
        <v>79</v>
      </c>
      <c r="N311" s="901">
        <f t="shared" si="25"/>
        <v>736</v>
      </c>
      <c r="O311" s="901">
        <f t="shared" si="25"/>
        <v>4746</v>
      </c>
      <c r="P311" s="901">
        <f t="shared" si="25"/>
        <v>4019</v>
      </c>
      <c r="Q311" s="901">
        <f t="shared" si="25"/>
        <v>1078</v>
      </c>
      <c r="R311" s="901">
        <f t="shared" si="25"/>
        <v>674</v>
      </c>
      <c r="S311" s="901">
        <f t="shared" si="25"/>
        <v>1635</v>
      </c>
      <c r="T311" s="901">
        <f t="shared" si="25"/>
        <v>7615</v>
      </c>
      <c r="U311" s="901">
        <f>AVERAGE(G311:T311)</f>
        <v>2145.5714285714284</v>
      </c>
      <c r="V311" t="str">
        <f t="shared" si="23"/>
        <v>2019/20Outputs - reliabilityGuaranteed Standards of Performance (GSoP)Total Payments owed</v>
      </c>
    </row>
    <row r="312" spans="1:22">
      <c r="A312" s="900" t="s">
        <v>141</v>
      </c>
      <c r="B312" s="900"/>
      <c r="C312" s="900" t="s">
        <v>1293</v>
      </c>
      <c r="D312" t="s">
        <v>243</v>
      </c>
      <c r="E312" t="s">
        <v>1302</v>
      </c>
      <c r="F312" s="900" t="s">
        <v>1299</v>
      </c>
      <c r="G312" s="901">
        <v>3707</v>
      </c>
      <c r="H312" s="901">
        <v>1937</v>
      </c>
      <c r="I312" s="901">
        <v>2043</v>
      </c>
      <c r="J312" s="901">
        <v>79</v>
      </c>
      <c r="K312" s="901">
        <v>170</v>
      </c>
      <c r="L312" s="901">
        <v>1</v>
      </c>
      <c r="M312" s="901">
        <v>59</v>
      </c>
      <c r="N312" s="901">
        <v>692</v>
      </c>
      <c r="O312" s="901">
        <v>4499</v>
      </c>
      <c r="P312" s="901">
        <v>3802</v>
      </c>
      <c r="Q312" s="901">
        <v>974</v>
      </c>
      <c r="R312" s="901">
        <v>648</v>
      </c>
      <c r="S312" s="901">
        <v>1096</v>
      </c>
      <c r="T312" s="901">
        <v>7072</v>
      </c>
      <c r="U312" s="901">
        <f>AVERAGE(G312:T312)</f>
        <v>1912.7857142857142</v>
      </c>
      <c r="V312" t="str">
        <f t="shared" si="23"/>
        <v>2019/20Outputs - reliabilityGuaranteed Standards of Performance (GSoP)Total Payments made</v>
      </c>
    </row>
    <row r="313" spans="1:22">
      <c r="A313" s="900" t="s">
        <v>141</v>
      </c>
      <c r="B313" s="900"/>
      <c r="C313" s="900" t="s">
        <v>1293</v>
      </c>
      <c r="D313" s="841" t="s">
        <v>243</v>
      </c>
      <c r="E313" s="900" t="s">
        <v>1303</v>
      </c>
      <c r="F313" s="900" t="s">
        <v>1300</v>
      </c>
      <c r="G313" s="1033">
        <f>1-(G311-G312)/G311</f>
        <v>0.72843387698958539</v>
      </c>
      <c r="H313" s="1033">
        <f t="shared" ref="H313:U313" si="26">1-(H311-H312)/H311</f>
        <v>0.97385620915032678</v>
      </c>
      <c r="I313" s="1033">
        <f t="shared" si="26"/>
        <v>0.96458923512747874</v>
      </c>
      <c r="J313" s="1033">
        <f t="shared" si="26"/>
        <v>0.96341463414634143</v>
      </c>
      <c r="K313" s="1033">
        <f t="shared" si="26"/>
        <v>0.96590909090909094</v>
      </c>
      <c r="L313" s="1033">
        <f t="shared" si="26"/>
        <v>0.5</v>
      </c>
      <c r="M313" s="1033">
        <f t="shared" si="26"/>
        <v>0.74683544303797467</v>
      </c>
      <c r="N313" s="1033">
        <f t="shared" si="26"/>
        <v>0.94021739130434778</v>
      </c>
      <c r="O313" s="1033">
        <f t="shared" si="26"/>
        <v>0.94795617361989049</v>
      </c>
      <c r="P313" s="1033">
        <f t="shared" si="26"/>
        <v>0.94600646927096288</v>
      </c>
      <c r="Q313" s="1033">
        <f t="shared" si="26"/>
        <v>0.90352504638218922</v>
      </c>
      <c r="R313" s="1033">
        <f t="shared" si="26"/>
        <v>0.96142433234421365</v>
      </c>
      <c r="S313" s="1033">
        <f t="shared" si="26"/>
        <v>0.67033639143730883</v>
      </c>
      <c r="T313" s="1033">
        <f t="shared" si="26"/>
        <v>0.92869336835193694</v>
      </c>
      <c r="U313" s="1033">
        <f t="shared" si="26"/>
        <v>0.89150409481323656</v>
      </c>
      <c r="V313" s="841" t="str">
        <f t="shared" si="23"/>
        <v>2019/20Outputs - reliabilityGuaranteed Standards of Performance (GSoP)% of Payments made vs Payments owed</v>
      </c>
    </row>
    <row r="314" spans="1:22" ht="18" customHeight="1">
      <c r="A314" s="900" t="s">
        <v>141</v>
      </c>
      <c r="B314" s="900" t="s">
        <v>256</v>
      </c>
      <c r="C314" s="900" t="s">
        <v>1293</v>
      </c>
      <c r="D314" t="s">
        <v>243</v>
      </c>
      <c r="E314" s="900" t="s">
        <v>1303</v>
      </c>
      <c r="F314" s="900" t="s">
        <v>1300</v>
      </c>
      <c r="G314" s="829">
        <f t="shared" ref="G314:U314" si="27">1-(G309-G310)/G309</f>
        <v>1.0002698327037236</v>
      </c>
      <c r="H314" s="829">
        <f t="shared" si="27"/>
        <v>1</v>
      </c>
      <c r="I314" s="829">
        <f t="shared" si="27"/>
        <v>1.0014705882352941</v>
      </c>
      <c r="J314" s="829">
        <f t="shared" si="27"/>
        <v>1</v>
      </c>
      <c r="K314" s="829">
        <f t="shared" si="27"/>
        <v>1</v>
      </c>
      <c r="L314" s="829">
        <f t="shared" si="27"/>
        <v>1</v>
      </c>
      <c r="M314" s="829">
        <f t="shared" si="27"/>
        <v>1</v>
      </c>
      <c r="N314" s="829">
        <f t="shared" si="27"/>
        <v>1</v>
      </c>
      <c r="O314" s="829">
        <f t="shared" si="27"/>
        <v>1</v>
      </c>
      <c r="P314" s="829">
        <f t="shared" si="27"/>
        <v>1</v>
      </c>
      <c r="Q314" s="829">
        <f t="shared" si="27"/>
        <v>0.96915422885572144</v>
      </c>
      <c r="R314" s="829">
        <f t="shared" si="27"/>
        <v>1.0818030050083474</v>
      </c>
      <c r="S314" s="829">
        <f t="shared" si="27"/>
        <v>0.75430144528561593</v>
      </c>
      <c r="T314" s="829">
        <f t="shared" si="27"/>
        <v>1</v>
      </c>
      <c r="U314" s="829">
        <f t="shared" si="27"/>
        <v>0.98764475916500694</v>
      </c>
      <c r="V314" t="str">
        <f t="shared" si="23"/>
        <v>2019/20Regulation 19 (Payments owed under the Guaranteed Standards)Outputs - reliabilityGuaranteed Standards of Performance (GSoP)% of Payments made vs Payments owed</v>
      </c>
    </row>
    <row r="315" spans="1:22" ht="18" customHeight="1">
      <c r="A315" s="900" t="s">
        <v>126</v>
      </c>
      <c r="B315" s="900" t="s">
        <v>245</v>
      </c>
      <c r="C315" s="900" t="s">
        <v>1293</v>
      </c>
      <c r="D315" t="s">
        <v>243</v>
      </c>
      <c r="E315" t="s">
        <v>257</v>
      </c>
      <c r="F315" t="s">
        <v>1299</v>
      </c>
      <c r="G315" cm="1">
        <f t="array" ref="G315:T337">TRANSPOSE('Ch2 outputs - reliability'!E306:AA319)</f>
        <v>2669</v>
      </c>
      <c r="H315" s="829">
        <v>1731</v>
      </c>
      <c r="I315" s="829">
        <v>1107</v>
      </c>
      <c r="J315" s="829">
        <v>43</v>
      </c>
      <c r="K315" s="829">
        <v>35</v>
      </c>
      <c r="L315" s="829">
        <v>72</v>
      </c>
      <c r="M315" s="829">
        <v>122</v>
      </c>
      <c r="N315" s="829">
        <v>687</v>
      </c>
      <c r="O315" s="829">
        <v>2837</v>
      </c>
      <c r="P315" s="829">
        <v>4309</v>
      </c>
      <c r="Q315" s="829">
        <v>360</v>
      </c>
      <c r="R315" s="829">
        <v>871</v>
      </c>
      <c r="S315" s="829">
        <v>1494</v>
      </c>
      <c r="T315" s="829">
        <v>6210</v>
      </c>
      <c r="U315">
        <f>AVERAGE(G315:T315)</f>
        <v>1610.5</v>
      </c>
      <c r="V315" t="str">
        <f t="shared" si="23"/>
        <v>2020/21Regulation 5 (Supply Restoration: Normal Conditions)*Outputs - reliabilityGuaranteed Standards of Performance (GSoP)Number of valid payments owed</v>
      </c>
    </row>
    <row r="316" spans="1:22" ht="18" customHeight="1">
      <c r="A316" s="900" t="s">
        <v>126</v>
      </c>
      <c r="B316" s="900" t="s">
        <v>245</v>
      </c>
      <c r="C316" s="900" t="s">
        <v>1293</v>
      </c>
      <c r="D316" t="s">
        <v>243</v>
      </c>
      <c r="E316" t="s">
        <v>258</v>
      </c>
      <c r="F316" t="s">
        <v>1300</v>
      </c>
      <c r="G316" s="829">
        <v>1.0052454102660173</v>
      </c>
      <c r="H316" s="829">
        <v>1</v>
      </c>
      <c r="I316" s="829">
        <v>1.0162601626016261</v>
      </c>
      <c r="J316" s="829">
        <v>1</v>
      </c>
      <c r="K316" s="829">
        <v>1</v>
      </c>
      <c r="L316" s="829">
        <v>1</v>
      </c>
      <c r="M316" s="829">
        <v>1</v>
      </c>
      <c r="N316" s="829">
        <v>1</v>
      </c>
      <c r="O316" s="829">
        <v>1</v>
      </c>
      <c r="P316" s="829">
        <v>1</v>
      </c>
      <c r="Q316" s="829">
        <v>1</v>
      </c>
      <c r="R316" s="829">
        <v>1</v>
      </c>
      <c r="S316" s="829">
        <v>1</v>
      </c>
      <c r="T316" s="829">
        <v>1</v>
      </c>
      <c r="U316" s="829">
        <v>1.0014192575508936</v>
      </c>
      <c r="V316" t="str">
        <f t="shared" si="23"/>
        <v>2020/21Regulation 5 (Supply Restoration: Normal Conditions)*Outputs - reliabilityGuaranteed Standards of Performance (GSoP)Mandatory payments vs valid payments owed</v>
      </c>
    </row>
    <row r="317" spans="1:22" ht="18" customHeight="1">
      <c r="A317" s="900" t="s">
        <v>126</v>
      </c>
      <c r="B317" s="900" t="s">
        <v>246</v>
      </c>
      <c r="C317" s="900" t="s">
        <v>1293</v>
      </c>
      <c r="D317" t="s">
        <v>243</v>
      </c>
      <c r="E317" t="s">
        <v>257</v>
      </c>
      <c r="F317" t="s">
        <v>1299</v>
      </c>
      <c r="G317" s="829">
        <v>0</v>
      </c>
      <c r="H317" s="829">
        <v>0</v>
      </c>
      <c r="I317" s="829">
        <v>0</v>
      </c>
      <c r="J317" s="829">
        <v>0</v>
      </c>
      <c r="K317" s="829">
        <v>0</v>
      </c>
      <c r="L317" s="829">
        <v>0</v>
      </c>
      <c r="M317" s="829">
        <v>0</v>
      </c>
      <c r="N317" s="829">
        <v>0</v>
      </c>
      <c r="O317" s="829">
        <v>0</v>
      </c>
      <c r="P317" s="829">
        <v>0</v>
      </c>
      <c r="Q317" s="829">
        <v>0</v>
      </c>
      <c r="R317" s="829">
        <v>0</v>
      </c>
      <c r="S317" s="829">
        <v>0</v>
      </c>
      <c r="T317" s="829">
        <v>0</v>
      </c>
      <c r="U317">
        <f>AVERAGE(G317:T317)</f>
        <v>0</v>
      </c>
      <c r="V317" t="str">
        <f t="shared" si="23"/>
        <v>2020/21Regulation 6 (Supply Restoration: Normal Conditions - 5,000 or more customers' premises interrupted)Outputs - reliabilityGuaranteed Standards of Performance (GSoP)Number of valid payments owed</v>
      </c>
    </row>
    <row r="318" spans="1:22" ht="18" customHeight="1">
      <c r="A318" s="900" t="s">
        <v>126</v>
      </c>
      <c r="B318" s="900" t="s">
        <v>246</v>
      </c>
      <c r="C318" s="900" t="s">
        <v>1293</v>
      </c>
      <c r="D318" t="s">
        <v>243</v>
      </c>
      <c r="E318" t="s">
        <v>258</v>
      </c>
      <c r="F318" t="s">
        <v>1300</v>
      </c>
      <c r="G318" s="829" t="str">
        <v>N/A</v>
      </c>
      <c r="H318" s="829" t="str">
        <v>N/A</v>
      </c>
      <c r="I318" s="829" t="str">
        <v>N/A</v>
      </c>
      <c r="J318" s="829" t="str">
        <v>N/A</v>
      </c>
      <c r="K318" s="829" t="str">
        <v>N/A</v>
      </c>
      <c r="L318" s="829" t="str">
        <v>N/A</v>
      </c>
      <c r="M318" s="829" t="str">
        <v>N/A</v>
      </c>
      <c r="N318" s="829" t="str">
        <v>N/A</v>
      </c>
      <c r="O318" s="829" t="str">
        <v>N/A</v>
      </c>
      <c r="P318" s="829" t="str">
        <v>N/A</v>
      </c>
      <c r="Q318" s="829" t="str">
        <v>N/A</v>
      </c>
      <c r="R318" s="829" t="str">
        <v>N/A</v>
      </c>
      <c r="S318" s="829" t="str">
        <v>N/A</v>
      </c>
      <c r="T318" s="829" t="str">
        <v>N/A</v>
      </c>
      <c r="U318" s="829" t="s">
        <v>210</v>
      </c>
      <c r="V318" t="str">
        <f t="shared" si="23"/>
        <v>2020/21Regulation 6 (Supply Restoration: Normal Conditions - 5,000 or more customers' premises interrupted)Outputs - reliabilityGuaranteed Standards of Performance (GSoP)Mandatory payments vs valid payments owed</v>
      </c>
    </row>
    <row r="319" spans="1:22" ht="18" customHeight="1">
      <c r="A319" s="900" t="s">
        <v>126</v>
      </c>
      <c r="B319" s="900" t="s">
        <v>247</v>
      </c>
      <c r="C319" s="900" t="s">
        <v>1293</v>
      </c>
      <c r="D319" t="s">
        <v>243</v>
      </c>
      <c r="E319" t="s">
        <v>257</v>
      </c>
      <c r="F319" t="s">
        <v>1299</v>
      </c>
      <c r="G319" s="229">
        <v>0</v>
      </c>
      <c r="H319" s="229">
        <v>0</v>
      </c>
      <c r="I319" s="229">
        <v>0</v>
      </c>
      <c r="J319" s="229">
        <v>0</v>
      </c>
      <c r="K319" s="229">
        <v>0</v>
      </c>
      <c r="L319" s="229">
        <v>0</v>
      </c>
      <c r="M319" s="229">
        <v>0</v>
      </c>
      <c r="N319" s="229">
        <v>0</v>
      </c>
      <c r="O319" s="229">
        <v>1</v>
      </c>
      <c r="P319" s="229">
        <v>0</v>
      </c>
      <c r="Q319" s="229">
        <v>0</v>
      </c>
      <c r="R319" s="229">
        <v>16</v>
      </c>
      <c r="S319" s="229">
        <v>20</v>
      </c>
      <c r="T319" s="229">
        <v>26</v>
      </c>
      <c r="U319">
        <f>AVERAGE(G319:T319)</f>
        <v>4.5</v>
      </c>
      <c r="V319" t="str">
        <f t="shared" si="23"/>
        <v>2020/21Regulation 7(1) - Supply Restoration: Category 1 Severe Weather Conditions*Outputs - reliabilityGuaranteed Standards of Performance (GSoP)Number of valid payments owed</v>
      </c>
    </row>
    <row r="320" spans="1:22" ht="18" customHeight="1">
      <c r="A320" s="900" t="s">
        <v>126</v>
      </c>
      <c r="B320" s="900" t="s">
        <v>247</v>
      </c>
      <c r="C320" s="900" t="s">
        <v>1293</v>
      </c>
      <c r="D320" t="s">
        <v>243</v>
      </c>
      <c r="E320" t="s">
        <v>258</v>
      </c>
      <c r="F320" t="s">
        <v>1300</v>
      </c>
      <c r="G320" s="829" t="str">
        <v>N/A</v>
      </c>
      <c r="H320" s="829" t="str">
        <v>N/A</v>
      </c>
      <c r="I320" s="829" t="str">
        <v>N/A</v>
      </c>
      <c r="J320" s="829" t="str">
        <v>N/A</v>
      </c>
      <c r="K320" s="829" t="str">
        <v>N/A</v>
      </c>
      <c r="L320" s="829" t="str">
        <v>N/A</v>
      </c>
      <c r="M320" s="829" t="str">
        <v>N/A</v>
      </c>
      <c r="N320" s="829" t="str">
        <v>N/A</v>
      </c>
      <c r="O320" s="829">
        <v>1</v>
      </c>
      <c r="P320" s="829" t="str">
        <v>N/A</v>
      </c>
      <c r="Q320" s="829" t="str">
        <v>N/A</v>
      </c>
      <c r="R320" s="829">
        <v>1</v>
      </c>
      <c r="S320" s="829">
        <v>1</v>
      </c>
      <c r="T320" s="829">
        <v>1</v>
      </c>
      <c r="U320" s="829">
        <v>1</v>
      </c>
      <c r="V320" t="str">
        <f t="shared" si="23"/>
        <v>2020/21Regulation 7(1) - Supply Restoration: Category 1 Severe Weather Conditions*Outputs - reliabilityGuaranteed Standards of Performance (GSoP)Mandatory payments vs valid payments owed</v>
      </c>
    </row>
    <row r="321" spans="1:22" ht="18" customHeight="1">
      <c r="A321" s="900" t="s">
        <v>126</v>
      </c>
      <c r="B321" s="900" t="s">
        <v>248</v>
      </c>
      <c r="C321" s="900" t="s">
        <v>1293</v>
      </c>
      <c r="D321" t="s">
        <v>243</v>
      </c>
      <c r="E321" t="s">
        <v>257</v>
      </c>
      <c r="F321" t="s">
        <v>1299</v>
      </c>
      <c r="G321" s="229">
        <v>0</v>
      </c>
      <c r="H321" s="229">
        <v>0</v>
      </c>
      <c r="I321" s="229">
        <v>0</v>
      </c>
      <c r="J321" s="229">
        <v>0</v>
      </c>
      <c r="K321" s="229">
        <v>0</v>
      </c>
      <c r="L321" s="229">
        <v>0</v>
      </c>
      <c r="M321" s="229">
        <v>0</v>
      </c>
      <c r="N321" s="229">
        <v>0</v>
      </c>
      <c r="O321" s="229">
        <v>0</v>
      </c>
      <c r="P321" s="229">
        <v>193</v>
      </c>
      <c r="Q321" s="229">
        <v>0</v>
      </c>
      <c r="R321" s="229">
        <v>0</v>
      </c>
      <c r="S321" s="229">
        <v>0</v>
      </c>
      <c r="T321" s="229">
        <v>0</v>
      </c>
      <c r="U321">
        <f>AVERAGE(G321:T321)</f>
        <v>13.785714285714286</v>
      </c>
      <c r="V321" t="str">
        <f t="shared" si="23"/>
        <v>2020/21Regulation 7(2) - Supply Restoration: Category 2 Severe Weather Conditions*Outputs - reliabilityGuaranteed Standards of Performance (GSoP)Number of valid payments owed</v>
      </c>
    </row>
    <row r="322" spans="1:22" ht="18" customHeight="1">
      <c r="A322" s="900" t="s">
        <v>126</v>
      </c>
      <c r="B322" s="900" t="s">
        <v>248</v>
      </c>
      <c r="C322" s="900" t="s">
        <v>1293</v>
      </c>
      <c r="D322" t="s">
        <v>243</v>
      </c>
      <c r="E322" t="s">
        <v>258</v>
      </c>
      <c r="F322" t="s">
        <v>1300</v>
      </c>
      <c r="G322" s="829" t="str">
        <v>N/A</v>
      </c>
      <c r="H322" s="829" t="str">
        <v>N/A</v>
      </c>
      <c r="I322" s="829" t="str">
        <v>N/A</v>
      </c>
      <c r="J322" s="829" t="str">
        <v>N/A</v>
      </c>
      <c r="K322" s="829" t="str">
        <v>N/A</v>
      </c>
      <c r="L322" s="829" t="str">
        <v>N/A</v>
      </c>
      <c r="M322" s="829" t="str">
        <v>N/A</v>
      </c>
      <c r="N322" s="829" t="str">
        <v>N/A</v>
      </c>
      <c r="O322" s="829" t="str">
        <v>N/A</v>
      </c>
      <c r="P322" s="829">
        <v>1</v>
      </c>
      <c r="Q322" s="829" t="str">
        <v>N/A</v>
      </c>
      <c r="R322" s="829" t="str">
        <v>N/A</v>
      </c>
      <c r="S322" s="829" t="str">
        <v>N/A</v>
      </c>
      <c r="T322" s="829" t="str">
        <v>N/A</v>
      </c>
      <c r="U322" s="829">
        <v>1</v>
      </c>
      <c r="V322" t="str">
        <f t="shared" si="23"/>
        <v>2020/21Regulation 7(2) - Supply Restoration: Category 2 Severe Weather Conditions*Outputs - reliabilityGuaranteed Standards of Performance (GSoP)Mandatory payments vs valid payments owed</v>
      </c>
    </row>
    <row r="323" spans="1:22" ht="18" customHeight="1">
      <c r="A323" s="900" t="s">
        <v>126</v>
      </c>
      <c r="B323" s="900" t="s">
        <v>249</v>
      </c>
      <c r="C323" s="900" t="s">
        <v>1293</v>
      </c>
      <c r="D323" t="s">
        <v>243</v>
      </c>
      <c r="E323" t="s">
        <v>257</v>
      </c>
      <c r="F323" t="s">
        <v>1299</v>
      </c>
      <c r="G323" s="229">
        <v>0</v>
      </c>
      <c r="H323" s="229">
        <v>0</v>
      </c>
      <c r="I323" s="229">
        <v>0</v>
      </c>
      <c r="J323" s="229">
        <v>0</v>
      </c>
      <c r="K323" s="229">
        <v>0</v>
      </c>
      <c r="L323" s="229">
        <v>0</v>
      </c>
      <c r="M323" s="229">
        <v>0</v>
      </c>
      <c r="N323" s="229">
        <v>0</v>
      </c>
      <c r="O323" s="229">
        <v>0</v>
      </c>
      <c r="P323" s="229">
        <v>0</v>
      </c>
      <c r="Q323" s="229">
        <v>0</v>
      </c>
      <c r="R323" s="229">
        <v>0</v>
      </c>
      <c r="S323" s="229">
        <v>0</v>
      </c>
      <c r="T323" s="229">
        <v>0</v>
      </c>
      <c r="U323">
        <f>AVERAGE(G323:T323)</f>
        <v>0</v>
      </c>
      <c r="V323" t="str">
        <f t="shared" si="23"/>
        <v>2020/21Regulation 7(3) - Supply Restoration: Category 3 Severe Weather Conditions*Outputs - reliabilityGuaranteed Standards of Performance (GSoP)Number of valid payments owed</v>
      </c>
    </row>
    <row r="324" spans="1:22" ht="18" customHeight="1">
      <c r="A324" s="900" t="s">
        <v>126</v>
      </c>
      <c r="B324" s="900" t="s">
        <v>249</v>
      </c>
      <c r="C324" s="900" t="s">
        <v>1293</v>
      </c>
      <c r="D324" t="s">
        <v>243</v>
      </c>
      <c r="E324" t="s">
        <v>258</v>
      </c>
      <c r="F324" t="s">
        <v>1300</v>
      </c>
      <c r="G324" s="829" t="str">
        <v>N/A</v>
      </c>
      <c r="H324" s="829" t="str">
        <v>N/A</v>
      </c>
      <c r="I324" s="829" t="str">
        <v>N/A</v>
      </c>
      <c r="J324" s="829" t="str">
        <v>N/A</v>
      </c>
      <c r="K324" s="829" t="str">
        <v>N/A</v>
      </c>
      <c r="L324" s="829" t="str">
        <v>N/A</v>
      </c>
      <c r="M324" s="829" t="str">
        <v>N/A</v>
      </c>
      <c r="N324" s="829" t="str">
        <v>N/A</v>
      </c>
      <c r="O324" s="829" t="str">
        <v>N/A</v>
      </c>
      <c r="P324" s="829" t="str">
        <v>N/A</v>
      </c>
      <c r="Q324" s="829" t="str">
        <v>N/A</v>
      </c>
      <c r="R324" s="829" t="str">
        <v>N/A</v>
      </c>
      <c r="S324" s="829" t="str">
        <v>N/A</v>
      </c>
      <c r="T324" s="829" t="str">
        <v>N/A</v>
      </c>
      <c r="U324" s="829" t="s">
        <v>210</v>
      </c>
      <c r="V324" t="str">
        <f t="shared" si="23"/>
        <v>2020/21Regulation 7(3) - Supply Restoration: Category 3 Severe Weather Conditions*Outputs - reliabilityGuaranteed Standards of Performance (GSoP)Mandatory payments vs valid payments owed</v>
      </c>
    </row>
    <row r="325" spans="1:22" ht="18" customHeight="1">
      <c r="A325" s="900" t="s">
        <v>126</v>
      </c>
      <c r="B325" s="900" t="s">
        <v>250</v>
      </c>
      <c r="C325" s="900" t="s">
        <v>1293</v>
      </c>
      <c r="D325" t="s">
        <v>243</v>
      </c>
      <c r="E325" t="s">
        <v>257</v>
      </c>
      <c r="F325" t="s">
        <v>1299</v>
      </c>
      <c r="G325" s="229">
        <v>0</v>
      </c>
      <c r="H325" s="229">
        <v>0</v>
      </c>
      <c r="I325" s="229">
        <v>0</v>
      </c>
      <c r="J325" s="229">
        <v>0</v>
      </c>
      <c r="K325" s="229">
        <v>0</v>
      </c>
      <c r="L325" s="229">
        <v>0</v>
      </c>
      <c r="M325" s="229">
        <v>0</v>
      </c>
      <c r="N325" s="229">
        <v>0</v>
      </c>
      <c r="O325" s="229">
        <v>0</v>
      </c>
      <c r="P325" s="229">
        <v>0</v>
      </c>
      <c r="Q325" s="229">
        <v>0</v>
      </c>
      <c r="R325" s="229">
        <v>0</v>
      </c>
      <c r="S325" s="229">
        <v>0</v>
      </c>
      <c r="T325" s="229">
        <v>0</v>
      </c>
      <c r="U325" s="901">
        <f>AVERAGE(G325:T325)</f>
        <v>0</v>
      </c>
      <c r="V325" t="str">
        <f t="shared" si="23"/>
        <v>2020/21Regulation 8 (Supply Restoration: Rota Disconnection)Outputs - reliabilityGuaranteed Standards of Performance (GSoP)Number of valid payments owed</v>
      </c>
    </row>
    <row r="326" spans="1:22" ht="18" customHeight="1">
      <c r="A326" s="900" t="s">
        <v>126</v>
      </c>
      <c r="B326" s="900" t="s">
        <v>250</v>
      </c>
      <c r="C326" s="900" t="s">
        <v>1293</v>
      </c>
      <c r="D326" t="s">
        <v>243</v>
      </c>
      <c r="E326" t="s">
        <v>258</v>
      </c>
      <c r="F326" t="s">
        <v>1300</v>
      </c>
      <c r="G326" s="829" t="str">
        <v>N/A</v>
      </c>
      <c r="H326" s="829" t="str">
        <v>N/A</v>
      </c>
      <c r="I326" s="829" t="str">
        <v>N/A</v>
      </c>
      <c r="J326" s="829" t="str">
        <v>N/A</v>
      </c>
      <c r="K326" s="829" t="str">
        <v>N/A</v>
      </c>
      <c r="L326" s="829" t="str">
        <v>N/A</v>
      </c>
      <c r="M326" s="829" t="str">
        <v>N/A</v>
      </c>
      <c r="N326" s="829" t="str">
        <v>N/A</v>
      </c>
      <c r="O326" s="829" t="str">
        <v>N/A</v>
      </c>
      <c r="P326" s="829" t="str">
        <v>N/A</v>
      </c>
      <c r="Q326" s="829" t="str">
        <v>N/A</v>
      </c>
      <c r="R326" s="829" t="str">
        <v>N/A</v>
      </c>
      <c r="S326" s="829" t="str">
        <v>N/A</v>
      </c>
      <c r="T326" s="829" t="str">
        <v>N/A</v>
      </c>
      <c r="U326" s="829" t="s">
        <v>210</v>
      </c>
      <c r="V326" t="str">
        <f t="shared" si="23"/>
        <v>2020/21Regulation 8 (Supply Restoration: Rota Disconnection)Outputs - reliabilityGuaranteed Standards of Performance (GSoP)Mandatory payments vs valid payments owed</v>
      </c>
    </row>
    <row r="327" spans="1:22" ht="18" customHeight="1">
      <c r="A327" s="900" t="s">
        <v>126</v>
      </c>
      <c r="B327" s="900" t="s">
        <v>251</v>
      </c>
      <c r="C327" s="900" t="s">
        <v>1293</v>
      </c>
      <c r="D327" t="s">
        <v>243</v>
      </c>
      <c r="E327" t="s">
        <v>257</v>
      </c>
      <c r="F327" t="s">
        <v>1299</v>
      </c>
      <c r="G327" s="229">
        <v>24</v>
      </c>
      <c r="H327" s="229">
        <v>10</v>
      </c>
      <c r="I327" s="229">
        <v>59</v>
      </c>
      <c r="J327" s="229">
        <v>0</v>
      </c>
      <c r="K327" s="229">
        <v>0</v>
      </c>
      <c r="L327" s="229">
        <v>0</v>
      </c>
      <c r="M327" s="229">
        <v>0</v>
      </c>
      <c r="N327" s="229">
        <v>1</v>
      </c>
      <c r="O327" s="229">
        <v>57</v>
      </c>
      <c r="P327" s="229">
        <v>15</v>
      </c>
      <c r="Q327" s="229">
        <v>12</v>
      </c>
      <c r="R327" s="229">
        <v>0</v>
      </c>
      <c r="S327" s="229">
        <v>0</v>
      </c>
      <c r="T327" s="229">
        <v>17</v>
      </c>
      <c r="U327">
        <f>AVERAGE(G327:T327)</f>
        <v>13.928571428571429</v>
      </c>
      <c r="V327" t="str">
        <f t="shared" si="23"/>
        <v>2020/21Regulation 10 (Supply Restoration: Multiple interruptions)Outputs - reliabilityGuaranteed Standards of Performance (GSoP)Number of valid payments owed</v>
      </c>
    </row>
    <row r="328" spans="1:22" ht="18" customHeight="1">
      <c r="A328" s="900" t="s">
        <v>126</v>
      </c>
      <c r="B328" s="900" t="s">
        <v>251</v>
      </c>
      <c r="C328" s="900" t="s">
        <v>1293</v>
      </c>
      <c r="D328" t="s">
        <v>243</v>
      </c>
      <c r="E328" t="s">
        <v>258</v>
      </c>
      <c r="F328" t="s">
        <v>1300</v>
      </c>
      <c r="G328" s="829">
        <v>1</v>
      </c>
      <c r="H328" s="829">
        <v>1</v>
      </c>
      <c r="I328" s="829">
        <v>1</v>
      </c>
      <c r="J328" s="829" t="str">
        <v>N/A</v>
      </c>
      <c r="K328" s="829" t="str">
        <v>N/A</v>
      </c>
      <c r="L328" s="829" t="str">
        <v>N/A</v>
      </c>
      <c r="M328" s="829" t="str">
        <v>N/A</v>
      </c>
      <c r="N328" s="829">
        <v>1</v>
      </c>
      <c r="O328" s="829">
        <v>1</v>
      </c>
      <c r="P328" s="829">
        <v>1</v>
      </c>
      <c r="Q328" s="829">
        <v>1</v>
      </c>
      <c r="R328" s="829" t="str">
        <v>N/A</v>
      </c>
      <c r="S328" s="829" t="str">
        <v>N/A</v>
      </c>
      <c r="T328" s="829">
        <v>1</v>
      </c>
      <c r="U328" s="1034">
        <v>0</v>
      </c>
      <c r="V328" t="str">
        <f t="shared" si="23"/>
        <v>2020/21Regulation 10 (Supply Restoration: Multiple interruptions)Outputs - reliabilityGuaranteed Standards of Performance (GSoP)Mandatory payments vs valid payments owed</v>
      </c>
    </row>
    <row r="329" spans="1:22" ht="18" customHeight="1">
      <c r="A329" s="900" t="s">
        <v>126</v>
      </c>
      <c r="B329" s="900" t="s">
        <v>252</v>
      </c>
      <c r="C329" s="900" t="s">
        <v>1293</v>
      </c>
      <c r="D329" t="s">
        <v>243</v>
      </c>
      <c r="E329" t="s">
        <v>257</v>
      </c>
      <c r="F329" t="s">
        <v>1299</v>
      </c>
      <c r="G329" s="229">
        <v>23</v>
      </c>
      <c r="H329" s="229">
        <v>0</v>
      </c>
      <c r="I329" s="229">
        <v>4</v>
      </c>
      <c r="J329" s="229">
        <v>1</v>
      </c>
      <c r="K329" s="229">
        <v>1</v>
      </c>
      <c r="L329" s="229">
        <v>0</v>
      </c>
      <c r="M329" s="229">
        <v>1</v>
      </c>
      <c r="N329" s="229">
        <v>21</v>
      </c>
      <c r="O329" s="229">
        <v>44</v>
      </c>
      <c r="P329" s="229">
        <v>52</v>
      </c>
      <c r="Q329" s="229">
        <v>1</v>
      </c>
      <c r="R329" s="229">
        <v>7</v>
      </c>
      <c r="S329" s="229">
        <v>3</v>
      </c>
      <c r="T329" s="229">
        <v>12</v>
      </c>
      <c r="U329">
        <f>AVERAGE(G329:T329)</f>
        <v>12.142857142857142</v>
      </c>
      <c r="V329" t="str">
        <f t="shared" si="23"/>
        <v>2020/21Regulation 11 (Responding to Operation of Distributor's Fuse)Outputs - reliabilityGuaranteed Standards of Performance (GSoP)Number of valid payments owed</v>
      </c>
    </row>
    <row r="330" spans="1:22" ht="18" customHeight="1">
      <c r="A330" s="900" t="s">
        <v>126</v>
      </c>
      <c r="B330" s="900" t="s">
        <v>252</v>
      </c>
      <c r="C330" s="900" t="s">
        <v>1293</v>
      </c>
      <c r="D330" t="s">
        <v>243</v>
      </c>
      <c r="E330" t="s">
        <v>258</v>
      </c>
      <c r="F330" t="s">
        <v>1300</v>
      </c>
      <c r="G330" s="829">
        <v>1</v>
      </c>
      <c r="H330" s="829" t="str">
        <v>N/A</v>
      </c>
      <c r="I330" s="829">
        <v>1</v>
      </c>
      <c r="J330" s="829">
        <v>1</v>
      </c>
      <c r="K330" s="829">
        <v>1</v>
      </c>
      <c r="L330" s="829" t="str">
        <v>N/A</v>
      </c>
      <c r="M330" s="829">
        <v>1</v>
      </c>
      <c r="N330" s="829">
        <v>1</v>
      </c>
      <c r="O330" s="829">
        <v>1</v>
      </c>
      <c r="P330" s="829">
        <v>1</v>
      </c>
      <c r="Q330" s="829">
        <v>1</v>
      </c>
      <c r="R330" s="829">
        <v>1</v>
      </c>
      <c r="S330" s="829">
        <v>1</v>
      </c>
      <c r="T330" s="829">
        <v>1</v>
      </c>
      <c r="U330" s="829">
        <v>0.99999999999999989</v>
      </c>
      <c r="V330" t="str">
        <f t="shared" si="23"/>
        <v>2020/21Regulation 11 (Responding to Operation of Distributor's Fuse)Outputs - reliabilityGuaranteed Standards of Performance (GSoP)Mandatory payments vs valid payments owed</v>
      </c>
    </row>
    <row r="331" spans="1:22" ht="18" customHeight="1">
      <c r="A331" s="900" t="s">
        <v>126</v>
      </c>
      <c r="B331" s="900" t="s">
        <v>253</v>
      </c>
      <c r="C331" s="900" t="s">
        <v>1293</v>
      </c>
      <c r="D331" t="s">
        <v>243</v>
      </c>
      <c r="E331" t="s">
        <v>257</v>
      </c>
      <c r="F331" t="s">
        <v>1299</v>
      </c>
      <c r="G331" s="229">
        <v>344</v>
      </c>
      <c r="H331" s="229">
        <v>13</v>
      </c>
      <c r="I331" s="229">
        <v>8</v>
      </c>
      <c r="J331" s="229">
        <v>3</v>
      </c>
      <c r="K331" s="229">
        <v>1</v>
      </c>
      <c r="L331" s="229">
        <v>0</v>
      </c>
      <c r="M331" s="229">
        <v>4</v>
      </c>
      <c r="N331" s="229">
        <v>4</v>
      </c>
      <c r="O331" s="229">
        <v>257</v>
      </c>
      <c r="P331" s="229">
        <v>168</v>
      </c>
      <c r="Q331" s="229">
        <v>120</v>
      </c>
      <c r="R331" s="229">
        <v>94</v>
      </c>
      <c r="S331" s="229">
        <v>52</v>
      </c>
      <c r="T331" s="229">
        <v>364</v>
      </c>
      <c r="U331">
        <f>AVERAGE(G331:T331)</f>
        <v>102.28571428571429</v>
      </c>
      <c r="V331" t="str">
        <f t="shared" si="23"/>
        <v>2020/21Regulation 12 (Notice of Supply Interruption )Outputs - reliabilityGuaranteed Standards of Performance (GSoP)Number of valid payments owed</v>
      </c>
    </row>
    <row r="332" spans="1:22" ht="18" customHeight="1">
      <c r="A332" s="900" t="s">
        <v>126</v>
      </c>
      <c r="B332" s="900" t="s">
        <v>253</v>
      </c>
      <c r="C332" s="900" t="s">
        <v>1293</v>
      </c>
      <c r="D332" t="s">
        <v>243</v>
      </c>
      <c r="E332" t="s">
        <v>258</v>
      </c>
      <c r="F332" t="s">
        <v>1300</v>
      </c>
      <c r="G332" s="829">
        <v>1</v>
      </c>
      <c r="H332" s="829">
        <v>1</v>
      </c>
      <c r="I332" s="829">
        <v>1</v>
      </c>
      <c r="J332" s="829">
        <v>1</v>
      </c>
      <c r="K332" s="829">
        <v>1</v>
      </c>
      <c r="L332" s="829" t="str">
        <v>N/A</v>
      </c>
      <c r="M332" s="829">
        <v>1</v>
      </c>
      <c r="N332" s="829">
        <v>1</v>
      </c>
      <c r="O332" s="829">
        <v>1</v>
      </c>
      <c r="P332" s="829">
        <v>1</v>
      </c>
      <c r="Q332" s="829">
        <v>1</v>
      </c>
      <c r="R332" s="829">
        <v>1</v>
      </c>
      <c r="S332" s="829">
        <v>1</v>
      </c>
      <c r="T332" s="829">
        <v>1</v>
      </c>
      <c r="U332" s="829">
        <v>1</v>
      </c>
      <c r="V332" t="str">
        <f t="shared" si="23"/>
        <v>2020/21Regulation 12 (Notice of Supply Interruption )Outputs - reliabilityGuaranteed Standards of Performance (GSoP)Mandatory payments vs valid payments owed</v>
      </c>
    </row>
    <row r="333" spans="1:22" ht="18" customHeight="1">
      <c r="A333" s="900" t="s">
        <v>126</v>
      </c>
      <c r="B333" s="900" t="s">
        <v>254</v>
      </c>
      <c r="C333" s="900" t="s">
        <v>1293</v>
      </c>
      <c r="D333" t="s">
        <v>243</v>
      </c>
      <c r="E333" t="s">
        <v>821</v>
      </c>
      <c r="F333" t="s">
        <v>1299</v>
      </c>
      <c r="G333" s="229">
        <v>4</v>
      </c>
      <c r="H333" s="229">
        <v>1</v>
      </c>
      <c r="I333" s="229">
        <v>1</v>
      </c>
      <c r="J333" s="229">
        <v>0</v>
      </c>
      <c r="K333" s="229">
        <v>0</v>
      </c>
      <c r="L333" s="229">
        <v>0</v>
      </c>
      <c r="M333" s="229">
        <v>0</v>
      </c>
      <c r="N333" s="229">
        <v>0</v>
      </c>
      <c r="O333" s="229">
        <v>0</v>
      </c>
      <c r="P333" s="229">
        <v>0</v>
      </c>
      <c r="Q333" s="229">
        <v>0</v>
      </c>
      <c r="R333" s="229">
        <v>0</v>
      </c>
      <c r="S333" s="229">
        <v>0</v>
      </c>
      <c r="T333" s="229">
        <v>0</v>
      </c>
      <c r="U333">
        <f>AVERAGE(G333:T333)</f>
        <v>0.42857142857142855</v>
      </c>
      <c r="V333" t="str">
        <f t="shared" si="23"/>
        <v>2020/21Regulation 13 (Investigation of Voltage complaints)Outputs - reliabilityGuaranteed Standards of Performance (GSoP)Total Number of mandatory payments made</v>
      </c>
    </row>
    <row r="334" spans="1:22" ht="18" customHeight="1">
      <c r="A334" s="900" t="s">
        <v>126</v>
      </c>
      <c r="B334" s="900" t="s">
        <v>255</v>
      </c>
      <c r="C334" s="900" t="s">
        <v>1293</v>
      </c>
      <c r="D334" t="s">
        <v>243</v>
      </c>
      <c r="E334" t="s">
        <v>257</v>
      </c>
      <c r="F334" t="s">
        <v>1299</v>
      </c>
      <c r="G334" s="229">
        <v>358</v>
      </c>
      <c r="H334" s="229">
        <v>32</v>
      </c>
      <c r="I334" s="229">
        <v>85</v>
      </c>
      <c r="J334" s="229">
        <v>1</v>
      </c>
      <c r="K334" s="229">
        <v>0</v>
      </c>
      <c r="L334" s="229">
        <v>0</v>
      </c>
      <c r="M334" s="229">
        <v>0</v>
      </c>
      <c r="N334" s="229">
        <v>75</v>
      </c>
      <c r="O334" s="229">
        <v>254</v>
      </c>
      <c r="P334" s="229">
        <v>191</v>
      </c>
      <c r="Q334" s="229">
        <v>0</v>
      </c>
      <c r="R334" s="229">
        <v>0</v>
      </c>
      <c r="S334" s="229">
        <v>1</v>
      </c>
      <c r="T334" s="229">
        <v>61</v>
      </c>
      <c r="U334">
        <f>AVERAGE(G334:T334)</f>
        <v>75.571428571428569</v>
      </c>
      <c r="V334" t="str">
        <f t="shared" si="23"/>
        <v>2020/21Regulation 17 (Making and Keeping Appointments)Outputs - reliabilityGuaranteed Standards of Performance (GSoP)Number of valid payments owed</v>
      </c>
    </row>
    <row r="335" spans="1:22" ht="18" customHeight="1">
      <c r="A335" s="900" t="s">
        <v>126</v>
      </c>
      <c r="B335" s="900" t="s">
        <v>255</v>
      </c>
      <c r="C335" s="900" t="s">
        <v>1293</v>
      </c>
      <c r="D335" t="s">
        <v>243</v>
      </c>
      <c r="E335" t="s">
        <v>258</v>
      </c>
      <c r="F335" t="s">
        <v>1300</v>
      </c>
      <c r="G335" s="829">
        <v>1</v>
      </c>
      <c r="H335" s="829">
        <v>1</v>
      </c>
      <c r="I335" s="829">
        <v>1</v>
      </c>
      <c r="J335" s="829">
        <v>1</v>
      </c>
      <c r="K335" s="829" t="str">
        <v>N/A</v>
      </c>
      <c r="L335" s="829" t="str">
        <v>N/A</v>
      </c>
      <c r="M335" s="829" t="str">
        <v>N/A</v>
      </c>
      <c r="N335" s="829">
        <v>1</v>
      </c>
      <c r="O335" s="829">
        <v>1</v>
      </c>
      <c r="P335" s="829">
        <v>1</v>
      </c>
      <c r="Q335" s="829" t="str">
        <v>N/A</v>
      </c>
      <c r="R335" s="829" t="str">
        <v>N/A</v>
      </c>
      <c r="S335" s="829">
        <v>1</v>
      </c>
      <c r="T335" s="829">
        <v>1</v>
      </c>
      <c r="U335" s="829">
        <v>1</v>
      </c>
      <c r="V335" t="str">
        <f t="shared" si="23"/>
        <v>2020/21Regulation 17 (Making and Keeping Appointments)Outputs - reliabilityGuaranteed Standards of Performance (GSoP)Mandatory payments vs valid payments owed</v>
      </c>
    </row>
    <row r="336" spans="1:22" ht="18" customHeight="1">
      <c r="A336" s="900" t="s">
        <v>126</v>
      </c>
      <c r="B336" s="900" t="s">
        <v>256</v>
      </c>
      <c r="C336" s="900" t="s">
        <v>1293</v>
      </c>
      <c r="D336" t="s">
        <v>243</v>
      </c>
      <c r="E336" t="s">
        <v>257</v>
      </c>
      <c r="F336" t="s">
        <v>1299</v>
      </c>
      <c r="G336" s="229">
        <v>822</v>
      </c>
      <c r="H336" s="229">
        <v>23</v>
      </c>
      <c r="I336" s="229">
        <v>54</v>
      </c>
      <c r="J336" s="229">
        <v>0</v>
      </c>
      <c r="K336" s="229">
        <v>1</v>
      </c>
      <c r="L336" s="229">
        <v>0</v>
      </c>
      <c r="M336" s="229">
        <v>1</v>
      </c>
      <c r="N336" s="229">
        <v>4</v>
      </c>
      <c r="O336" s="229">
        <v>21</v>
      </c>
      <c r="P336" s="229">
        <v>9</v>
      </c>
      <c r="Q336" s="229">
        <v>0</v>
      </c>
      <c r="R336" s="229">
        <v>0</v>
      </c>
      <c r="S336" s="229">
        <v>25</v>
      </c>
      <c r="T336" s="229">
        <v>77</v>
      </c>
      <c r="U336">
        <f>AVERAGE(G336:T336)</f>
        <v>74.071428571428569</v>
      </c>
      <c r="V336" t="str">
        <f t="shared" si="23"/>
        <v>2020/21Regulation 19 (Payments owed under the Guaranteed Standards)Outputs - reliabilityGuaranteed Standards of Performance (GSoP)Number of valid payments owed</v>
      </c>
    </row>
    <row r="337" spans="1:22" ht="18" customHeight="1">
      <c r="A337" s="900" t="s">
        <v>126</v>
      </c>
      <c r="B337" s="900" t="s">
        <v>256</v>
      </c>
      <c r="C337" s="900" t="s">
        <v>1293</v>
      </c>
      <c r="D337" t="s">
        <v>243</v>
      </c>
      <c r="E337" t="s">
        <v>258</v>
      </c>
      <c r="F337" t="s">
        <v>1300</v>
      </c>
      <c r="G337" s="829">
        <v>1</v>
      </c>
      <c r="H337" s="829">
        <v>1</v>
      </c>
      <c r="I337" s="829">
        <v>1</v>
      </c>
      <c r="J337" s="829" t="str">
        <v>N/A</v>
      </c>
      <c r="K337" s="829">
        <v>1</v>
      </c>
      <c r="L337" s="829" t="str">
        <v>N/A</v>
      </c>
      <c r="M337" s="829">
        <v>1</v>
      </c>
      <c r="N337" s="829">
        <v>1</v>
      </c>
      <c r="O337" s="829">
        <v>1</v>
      </c>
      <c r="P337" s="829">
        <v>1</v>
      </c>
      <c r="Q337" s="829" t="str">
        <v>N/A</v>
      </c>
      <c r="R337" s="829" t="str">
        <v>N/A</v>
      </c>
      <c r="S337" s="829">
        <v>1</v>
      </c>
      <c r="T337" s="829">
        <v>1</v>
      </c>
      <c r="U337" s="829">
        <v>1</v>
      </c>
      <c r="V337" t="str">
        <f t="shared" si="23"/>
        <v>2020/21Regulation 19 (Payments owed under the Guaranteed Standards)Outputs - reliabilityGuaranteed Standards of Performance (GSoP)Mandatory payments vs valid payments owed</v>
      </c>
    </row>
    <row r="338" spans="1:22" ht="18" customHeight="1">
      <c r="A338" s="900" t="s">
        <v>126</v>
      </c>
      <c r="B338" s="900" t="s">
        <v>256</v>
      </c>
      <c r="C338" s="900" t="s">
        <v>1293</v>
      </c>
      <c r="D338" t="s">
        <v>243</v>
      </c>
      <c r="E338" s="900" t="s">
        <v>1301</v>
      </c>
      <c r="F338" s="900" t="s">
        <v>1299</v>
      </c>
      <c r="G338" s="901">
        <f>SUM(G315,G317,G319,G321,G323,G325,G327,G329,G331,G334,G336)</f>
        <v>4240</v>
      </c>
      <c r="H338" s="901">
        <f t="shared" ref="H338:T338" si="28">SUM(H315,H317,H319,H321,H323,H325,H327,H329,H331,H334,H336)</f>
        <v>1809</v>
      </c>
      <c r="I338" s="901">
        <f t="shared" si="28"/>
        <v>1317</v>
      </c>
      <c r="J338" s="901">
        <f t="shared" si="28"/>
        <v>48</v>
      </c>
      <c r="K338" s="901">
        <f t="shared" si="28"/>
        <v>38</v>
      </c>
      <c r="L338" s="901">
        <f t="shared" si="28"/>
        <v>72</v>
      </c>
      <c r="M338" s="901">
        <f t="shared" si="28"/>
        <v>128</v>
      </c>
      <c r="N338" s="901">
        <f t="shared" si="28"/>
        <v>792</v>
      </c>
      <c r="O338" s="901">
        <f t="shared" si="28"/>
        <v>3471</v>
      </c>
      <c r="P338" s="901">
        <f t="shared" si="28"/>
        <v>4937</v>
      </c>
      <c r="Q338" s="901">
        <f t="shared" si="28"/>
        <v>493</v>
      </c>
      <c r="R338" s="901">
        <f t="shared" si="28"/>
        <v>988</v>
      </c>
      <c r="S338" s="901">
        <f t="shared" si="28"/>
        <v>1595</v>
      </c>
      <c r="T338" s="901">
        <f t="shared" si="28"/>
        <v>6767</v>
      </c>
      <c r="U338" s="901">
        <f>AVERAGE(G338:T338)</f>
        <v>1906.7857142857142</v>
      </c>
      <c r="V338" t="str">
        <f t="shared" si="23"/>
        <v>2020/21Regulation 19 (Payments owed under the Guaranteed Standards)Outputs - reliabilityGuaranteed Standards of Performance (GSoP)Total Payments owed</v>
      </c>
    </row>
    <row r="339" spans="1:22" ht="18" customHeight="1">
      <c r="A339" s="900" t="s">
        <v>126</v>
      </c>
      <c r="B339" s="900" t="s">
        <v>256</v>
      </c>
      <c r="C339" s="900" t="s">
        <v>1293</v>
      </c>
      <c r="D339" t="s">
        <v>243</v>
      </c>
      <c r="E339" t="s">
        <v>1302</v>
      </c>
      <c r="F339" s="900" t="s">
        <v>1299</v>
      </c>
      <c r="G339" s="229">
        <v>4254</v>
      </c>
      <c r="H339" s="229">
        <v>1809</v>
      </c>
      <c r="I339" s="229">
        <v>1335</v>
      </c>
      <c r="J339" s="229">
        <v>48</v>
      </c>
      <c r="K339" s="229">
        <v>38</v>
      </c>
      <c r="L339" s="229">
        <v>72</v>
      </c>
      <c r="M339" s="229">
        <v>128</v>
      </c>
      <c r="N339" s="229">
        <v>792</v>
      </c>
      <c r="O339" s="229">
        <v>3471</v>
      </c>
      <c r="P339" s="229">
        <v>4937</v>
      </c>
      <c r="Q339" s="229">
        <v>493</v>
      </c>
      <c r="R339" s="229">
        <v>988</v>
      </c>
      <c r="S339" s="229">
        <v>1595</v>
      </c>
      <c r="T339" s="229">
        <v>6767</v>
      </c>
      <c r="U339" s="901">
        <f>AVERAGE(G339:T339)</f>
        <v>1909.0714285714287</v>
      </c>
      <c r="V339" t="str">
        <f t="shared" ref="V339:V355" si="29">CONCATENATE(A339,B339,C339,D339,E339)</f>
        <v>2020/21Regulation 19 (Payments owed under the Guaranteed Standards)Outputs - reliabilityGuaranteed Standards of Performance (GSoP)Total Payments made</v>
      </c>
    </row>
    <row r="340" spans="1:22" ht="18" customHeight="1">
      <c r="A340" s="900" t="s">
        <v>126</v>
      </c>
      <c r="B340" s="900"/>
      <c r="C340" s="900" t="s">
        <v>1293</v>
      </c>
      <c r="D340" t="s">
        <v>243</v>
      </c>
      <c r="E340" s="900" t="s">
        <v>1301</v>
      </c>
      <c r="F340" s="900" t="s">
        <v>1299</v>
      </c>
      <c r="G340" s="901">
        <f>SUM(G317,G319,G321,G323,G325,G327,G329,G331,G333,G336,G338)</f>
        <v>5457</v>
      </c>
      <c r="H340" s="901">
        <f t="shared" ref="H340:T340" si="30">SUM(H317,H319,H321,H323,H325,H327,H329,H331,H333,H336,H338)</f>
        <v>1856</v>
      </c>
      <c r="I340" s="901">
        <f t="shared" si="30"/>
        <v>1443</v>
      </c>
      <c r="J340" s="901">
        <f t="shared" si="30"/>
        <v>52</v>
      </c>
      <c r="K340" s="901">
        <f t="shared" si="30"/>
        <v>41</v>
      </c>
      <c r="L340" s="901">
        <f t="shared" si="30"/>
        <v>72</v>
      </c>
      <c r="M340" s="901">
        <f t="shared" si="30"/>
        <v>134</v>
      </c>
      <c r="N340" s="901">
        <f t="shared" si="30"/>
        <v>822</v>
      </c>
      <c r="O340" s="901">
        <f t="shared" si="30"/>
        <v>3851</v>
      </c>
      <c r="P340" s="901">
        <f t="shared" si="30"/>
        <v>5374</v>
      </c>
      <c r="Q340" s="901">
        <f t="shared" si="30"/>
        <v>626</v>
      </c>
      <c r="R340" s="901">
        <f t="shared" si="30"/>
        <v>1105</v>
      </c>
      <c r="S340" s="901">
        <f t="shared" si="30"/>
        <v>1695</v>
      </c>
      <c r="T340" s="901">
        <f t="shared" si="30"/>
        <v>7263</v>
      </c>
      <c r="U340" s="901">
        <f>AVERAGE(G340:T340)</f>
        <v>2127.9285714285716</v>
      </c>
      <c r="V340" t="str">
        <f t="shared" si="29"/>
        <v>2020/21Outputs - reliabilityGuaranteed Standards of Performance (GSoP)Total Payments owed</v>
      </c>
    </row>
    <row r="341" spans="1:22" ht="18" customHeight="1">
      <c r="A341" s="900" t="s">
        <v>126</v>
      </c>
      <c r="B341" s="900"/>
      <c r="C341" s="900" t="s">
        <v>1293</v>
      </c>
      <c r="D341" t="s">
        <v>243</v>
      </c>
      <c r="E341" t="s">
        <v>1302</v>
      </c>
      <c r="F341" s="900" t="s">
        <v>1299</v>
      </c>
      <c r="G341" s="901">
        <v>4254</v>
      </c>
      <c r="H341" s="829">
        <v>1809</v>
      </c>
      <c r="I341" s="829">
        <v>1335</v>
      </c>
      <c r="J341" s="829">
        <v>48</v>
      </c>
      <c r="K341" s="829">
        <v>38</v>
      </c>
      <c r="L341" s="829">
        <v>72</v>
      </c>
      <c r="M341" s="829">
        <v>128</v>
      </c>
      <c r="N341" s="829">
        <v>792</v>
      </c>
      <c r="O341" s="829">
        <v>3471</v>
      </c>
      <c r="P341" s="829">
        <v>4937</v>
      </c>
      <c r="Q341" s="829">
        <v>493</v>
      </c>
      <c r="R341" s="829">
        <v>988</v>
      </c>
      <c r="S341" s="829">
        <v>1595</v>
      </c>
      <c r="T341" s="829">
        <v>6767</v>
      </c>
      <c r="U341" s="901">
        <f>AVERAGE(G341:T341)</f>
        <v>1909.0714285714287</v>
      </c>
      <c r="V341" t="str">
        <f t="shared" si="29"/>
        <v>2020/21Outputs - reliabilityGuaranteed Standards of Performance (GSoP)Total Payments made</v>
      </c>
    </row>
    <row r="342" spans="1:22" ht="18" customHeight="1">
      <c r="A342" s="900" t="s">
        <v>126</v>
      </c>
      <c r="B342" s="900"/>
      <c r="C342" s="900" t="s">
        <v>1293</v>
      </c>
      <c r="D342" s="841" t="s">
        <v>243</v>
      </c>
      <c r="E342" s="900" t="s">
        <v>1303</v>
      </c>
      <c r="F342" s="900" t="s">
        <v>1300</v>
      </c>
      <c r="G342" s="1033">
        <f>1-(G340-G341)/G340</f>
        <v>0.77954920285871354</v>
      </c>
      <c r="H342" s="1033">
        <f t="shared" ref="H342:U342" si="31">1-(H340-H341)/H340</f>
        <v>0.97467672413793105</v>
      </c>
      <c r="I342" s="1033">
        <f t="shared" si="31"/>
        <v>0.92515592515592515</v>
      </c>
      <c r="J342" s="1033">
        <f t="shared" si="31"/>
        <v>0.92307692307692313</v>
      </c>
      <c r="K342" s="1033">
        <f t="shared" si="31"/>
        <v>0.92682926829268297</v>
      </c>
      <c r="L342" s="1033">
        <f t="shared" si="31"/>
        <v>1</v>
      </c>
      <c r="M342" s="1033">
        <f t="shared" si="31"/>
        <v>0.95522388059701491</v>
      </c>
      <c r="N342" s="1033">
        <f t="shared" si="31"/>
        <v>0.96350364963503654</v>
      </c>
      <c r="O342" s="1033">
        <f t="shared" si="31"/>
        <v>0.90132433134250844</v>
      </c>
      <c r="P342" s="1033">
        <f t="shared" si="31"/>
        <v>0.91868254558987716</v>
      </c>
      <c r="Q342" s="1033">
        <f t="shared" si="31"/>
        <v>0.78753993610223638</v>
      </c>
      <c r="R342" s="1033">
        <f t="shared" si="31"/>
        <v>0.89411764705882357</v>
      </c>
      <c r="S342" s="1033">
        <f t="shared" si="31"/>
        <v>0.94100294985250743</v>
      </c>
      <c r="T342" s="1033">
        <f t="shared" si="31"/>
        <v>0.93170866033319566</v>
      </c>
      <c r="U342" s="1033">
        <f t="shared" si="31"/>
        <v>0.89715014601725351</v>
      </c>
      <c r="V342" s="841" t="str">
        <f t="shared" si="29"/>
        <v>2020/21Outputs - reliabilityGuaranteed Standards of Performance (GSoP)% of Payments made vs Payments owed</v>
      </c>
    </row>
    <row r="343" spans="1:22" ht="18" customHeight="1">
      <c r="A343" s="900" t="s">
        <v>126</v>
      </c>
      <c r="B343" s="900" t="s">
        <v>256</v>
      </c>
      <c r="C343" s="900" t="s">
        <v>1293</v>
      </c>
      <c r="D343" t="s">
        <v>243</v>
      </c>
      <c r="E343" s="900" t="s">
        <v>1303</v>
      </c>
      <c r="F343" s="900" t="s">
        <v>1300</v>
      </c>
      <c r="G343" s="829">
        <f t="shared" ref="G343:U343" si="32">1-(G338-G339)/G338</f>
        <v>1.0033018867924528</v>
      </c>
      <c r="H343" s="829">
        <f t="shared" si="32"/>
        <v>1</v>
      </c>
      <c r="I343" s="829">
        <f t="shared" si="32"/>
        <v>1.0136674259681093</v>
      </c>
      <c r="J343" s="829">
        <f t="shared" si="32"/>
        <v>1</v>
      </c>
      <c r="K343" s="829">
        <f t="shared" si="32"/>
        <v>1</v>
      </c>
      <c r="L343" s="829">
        <f t="shared" si="32"/>
        <v>1</v>
      </c>
      <c r="M343" s="829">
        <f t="shared" si="32"/>
        <v>1</v>
      </c>
      <c r="N343" s="829">
        <f t="shared" si="32"/>
        <v>1</v>
      </c>
      <c r="O343" s="829">
        <f t="shared" si="32"/>
        <v>1</v>
      </c>
      <c r="P343" s="829">
        <f t="shared" si="32"/>
        <v>1</v>
      </c>
      <c r="Q343" s="829">
        <f t="shared" si="32"/>
        <v>1</v>
      </c>
      <c r="R343" s="829">
        <f t="shared" si="32"/>
        <v>1</v>
      </c>
      <c r="S343" s="829">
        <f t="shared" si="32"/>
        <v>1</v>
      </c>
      <c r="T343" s="829">
        <f t="shared" si="32"/>
        <v>1</v>
      </c>
      <c r="U343" s="829">
        <f t="shared" si="32"/>
        <v>1.0011987263532498</v>
      </c>
      <c r="V343" s="841" t="str">
        <f t="shared" si="29"/>
        <v>2020/21Regulation 19 (Payments owed under the Guaranteed Standards)Outputs - reliabilityGuaranteed Standards of Performance (GSoP)% of Payments made vs Payments owed</v>
      </c>
    </row>
    <row r="344" spans="1:22" ht="18" customHeight="1">
      <c r="A344" s="900" t="s">
        <v>142</v>
      </c>
      <c r="B344" s="900" t="s">
        <v>245</v>
      </c>
      <c r="C344" s="900" t="s">
        <v>1293</v>
      </c>
      <c r="D344" t="s">
        <v>243</v>
      </c>
      <c r="E344" t="s">
        <v>257</v>
      </c>
      <c r="F344" t="s">
        <v>1299</v>
      </c>
      <c r="G344" s="229" cm="1">
        <f t="array" ref="G344:T366">TRANSPOSE('Ch2 outputs - reliability'!E325:AA338)</f>
        <v>4321</v>
      </c>
      <c r="H344" s="229">
        <v>11407</v>
      </c>
      <c r="I344" s="229">
        <v>6259</v>
      </c>
      <c r="J344" s="229">
        <v>327</v>
      </c>
      <c r="K344" s="229">
        <v>193</v>
      </c>
      <c r="L344" s="229">
        <v>30</v>
      </c>
      <c r="M344" s="229">
        <v>467</v>
      </c>
      <c r="N344" s="229">
        <v>1168</v>
      </c>
      <c r="O344" s="229">
        <v>2858</v>
      </c>
      <c r="P344" s="229">
        <v>4685</v>
      </c>
      <c r="Q344" s="229">
        <v>307</v>
      </c>
      <c r="R344" s="229">
        <v>787</v>
      </c>
      <c r="S344" s="229">
        <v>3726</v>
      </c>
      <c r="T344" s="229">
        <v>8206</v>
      </c>
      <c r="U344">
        <f>AVERAGE(G344:T344)</f>
        <v>3195.7857142857142</v>
      </c>
      <c r="V344" s="841" t="str">
        <f t="shared" si="29"/>
        <v>2021/22Regulation 5 (Supply Restoration: Normal Conditions)*Outputs - reliabilityGuaranteed Standards of Performance (GSoP)Number of valid payments owed</v>
      </c>
    </row>
    <row r="345" spans="1:22" ht="18" customHeight="1">
      <c r="A345" s="900" t="s">
        <v>142</v>
      </c>
      <c r="B345" s="900" t="s">
        <v>245</v>
      </c>
      <c r="C345" s="900" t="s">
        <v>1293</v>
      </c>
      <c r="D345" t="s">
        <v>243</v>
      </c>
      <c r="E345" t="s">
        <v>258</v>
      </c>
      <c r="F345" t="s">
        <v>1300</v>
      </c>
      <c r="G345" s="829">
        <v>1</v>
      </c>
      <c r="H345" s="829">
        <v>1.1126501271149294</v>
      </c>
      <c r="I345" s="829">
        <v>0.77648186611279757</v>
      </c>
      <c r="J345" s="829">
        <v>1</v>
      </c>
      <c r="K345" s="829">
        <v>1</v>
      </c>
      <c r="L345" s="829">
        <v>1</v>
      </c>
      <c r="M345" s="829">
        <v>1</v>
      </c>
      <c r="N345" s="829">
        <v>1</v>
      </c>
      <c r="O345" s="829">
        <v>1</v>
      </c>
      <c r="P345" s="829">
        <v>1</v>
      </c>
      <c r="Q345" s="829">
        <v>1</v>
      </c>
      <c r="R345" s="829">
        <v>1</v>
      </c>
      <c r="S345" s="829">
        <v>1.191358024691358</v>
      </c>
      <c r="T345" s="829">
        <v>0.99975627589568605</v>
      </c>
      <c r="U345" s="829">
        <v>1.0133434657249503</v>
      </c>
      <c r="V345" s="841" t="str">
        <f t="shared" si="29"/>
        <v>2021/22Regulation 5 (Supply Restoration: Normal Conditions)*Outputs - reliabilityGuaranteed Standards of Performance (GSoP)Mandatory payments vs valid payments owed</v>
      </c>
    </row>
    <row r="346" spans="1:22" ht="18" customHeight="1">
      <c r="A346" s="900" t="s">
        <v>142</v>
      </c>
      <c r="B346" s="900" t="s">
        <v>246</v>
      </c>
      <c r="C346" s="900" t="s">
        <v>1293</v>
      </c>
      <c r="D346" t="s">
        <v>243</v>
      </c>
      <c r="E346" t="s">
        <v>257</v>
      </c>
      <c r="F346" t="s">
        <v>1299</v>
      </c>
      <c r="G346" s="229">
        <v>0</v>
      </c>
      <c r="H346" s="229">
        <v>0</v>
      </c>
      <c r="I346" s="229">
        <v>4</v>
      </c>
      <c r="J346" s="229">
        <v>0</v>
      </c>
      <c r="K346" s="229">
        <v>0</v>
      </c>
      <c r="L346" s="229">
        <v>0</v>
      </c>
      <c r="M346" s="229">
        <v>0</v>
      </c>
      <c r="N346" s="229">
        <v>0</v>
      </c>
      <c r="O346" s="229">
        <v>0</v>
      </c>
      <c r="P346" s="229">
        <v>0</v>
      </c>
      <c r="Q346" s="229">
        <v>0</v>
      </c>
      <c r="R346" s="229">
        <v>0</v>
      </c>
      <c r="S346" s="229">
        <v>0</v>
      </c>
      <c r="T346" s="229">
        <v>0</v>
      </c>
      <c r="U346">
        <f>AVERAGE(G346:T346)</f>
        <v>0.2857142857142857</v>
      </c>
      <c r="V346" s="841" t="str">
        <f t="shared" si="29"/>
        <v>2021/22Regulation 6 (Supply Restoration: Normal Conditions - 5,000 or more customers' premises interrupted)Outputs - reliabilityGuaranteed Standards of Performance (GSoP)Number of valid payments owed</v>
      </c>
    </row>
    <row r="347" spans="1:22" ht="18" customHeight="1">
      <c r="A347" s="900" t="s">
        <v>142</v>
      </c>
      <c r="B347" s="900" t="s">
        <v>246</v>
      </c>
      <c r="C347" s="900" t="s">
        <v>1293</v>
      </c>
      <c r="D347" t="s">
        <v>243</v>
      </c>
      <c r="E347" t="s">
        <v>258</v>
      </c>
      <c r="F347" t="s">
        <v>1300</v>
      </c>
      <c r="G347" s="829" t="str">
        <v>N/A</v>
      </c>
      <c r="H347" s="829" t="str">
        <v>N/A</v>
      </c>
      <c r="I347" s="829">
        <v>1</v>
      </c>
      <c r="J347" s="829" t="str">
        <v>N/A</v>
      </c>
      <c r="K347" s="829" t="str">
        <v>N/A</v>
      </c>
      <c r="L347" s="829" t="str">
        <v>N/A</v>
      </c>
      <c r="M347" s="829" t="str">
        <v>N/A</v>
      </c>
      <c r="N347" s="829" t="str">
        <v>N/A</v>
      </c>
      <c r="O347" s="829" t="str">
        <v>N/A</v>
      </c>
      <c r="P347" s="829" t="str">
        <v>N/A</v>
      </c>
      <c r="Q347" s="829" t="str">
        <v>N/A</v>
      </c>
      <c r="R347" s="829" t="str">
        <v>N/A</v>
      </c>
      <c r="S347" s="829" t="str">
        <v>N/A</v>
      </c>
      <c r="T347" s="829" t="str">
        <v>N/A</v>
      </c>
      <c r="U347" s="829">
        <v>1</v>
      </c>
      <c r="V347" s="841" t="str">
        <f t="shared" si="29"/>
        <v>2021/22Regulation 6 (Supply Restoration: Normal Conditions - 5,000 or more customers' premises interrupted)Outputs - reliabilityGuaranteed Standards of Performance (GSoP)Mandatory payments vs valid payments owed</v>
      </c>
    </row>
    <row r="348" spans="1:22" ht="18" customHeight="1">
      <c r="A348" s="900" t="s">
        <v>142</v>
      </c>
      <c r="B348" s="900" t="s">
        <v>247</v>
      </c>
      <c r="C348" s="900" t="s">
        <v>1293</v>
      </c>
      <c r="D348" t="s">
        <v>243</v>
      </c>
      <c r="E348" t="s">
        <v>257</v>
      </c>
      <c r="F348" t="s">
        <v>1299</v>
      </c>
      <c r="G348" s="229">
        <v>564</v>
      </c>
      <c r="H348" s="229">
        <v>14116</v>
      </c>
      <c r="I348" s="229">
        <v>383</v>
      </c>
      <c r="J348" s="229">
        <v>0</v>
      </c>
      <c r="K348" s="229">
        <v>281</v>
      </c>
      <c r="L348" s="229">
        <v>0</v>
      </c>
      <c r="M348" s="229">
        <v>0</v>
      </c>
      <c r="N348" s="229">
        <v>0</v>
      </c>
      <c r="O348" s="229">
        <v>0</v>
      </c>
      <c r="P348" s="229">
        <v>0</v>
      </c>
      <c r="Q348" s="229">
        <v>1</v>
      </c>
      <c r="R348" s="229">
        <v>215</v>
      </c>
      <c r="S348" s="229">
        <v>13</v>
      </c>
      <c r="T348" s="229">
        <v>55</v>
      </c>
      <c r="U348" s="229">
        <f>AVERAGE(G348:T348)</f>
        <v>1116.2857142857142</v>
      </c>
      <c r="V348" s="841" t="str">
        <f t="shared" si="29"/>
        <v>2021/22Regulation 7(1) - Supply Restoration: Category 1 Severe Weather Conditions*Outputs - reliabilityGuaranteed Standards of Performance (GSoP)Number of valid payments owed</v>
      </c>
    </row>
    <row r="349" spans="1:22" ht="18" customHeight="1">
      <c r="A349" s="900" t="s">
        <v>142</v>
      </c>
      <c r="B349" s="900" t="s">
        <v>247</v>
      </c>
      <c r="C349" s="900" t="s">
        <v>1293</v>
      </c>
      <c r="D349" t="s">
        <v>243</v>
      </c>
      <c r="E349" t="s">
        <v>258</v>
      </c>
      <c r="F349" t="s">
        <v>1300</v>
      </c>
      <c r="G349" s="829">
        <v>1</v>
      </c>
      <c r="H349" s="829">
        <v>1</v>
      </c>
      <c r="I349" s="829">
        <v>1</v>
      </c>
      <c r="J349" s="829" t="str">
        <v>N/A</v>
      </c>
      <c r="K349" s="829">
        <v>1</v>
      </c>
      <c r="L349" s="829" t="str">
        <v>N/A</v>
      </c>
      <c r="M349" s="829" t="str">
        <v>N/A</v>
      </c>
      <c r="N349" s="829" t="str">
        <v>N/A</v>
      </c>
      <c r="O349" s="829" t="str">
        <v>N/A</v>
      </c>
      <c r="P349" s="829" t="str">
        <v>N/A</v>
      </c>
      <c r="Q349" s="829">
        <v>1</v>
      </c>
      <c r="R349" s="829">
        <v>1</v>
      </c>
      <c r="S349" s="829">
        <v>1</v>
      </c>
      <c r="T349" s="829">
        <v>1</v>
      </c>
      <c r="U349" s="829">
        <v>1</v>
      </c>
      <c r="V349" s="841" t="str">
        <f t="shared" si="29"/>
        <v>2021/22Regulation 7(1) - Supply Restoration: Category 1 Severe Weather Conditions*Outputs - reliabilityGuaranteed Standards of Performance (GSoP)Mandatory payments vs valid payments owed</v>
      </c>
    </row>
    <row r="350" spans="1:22" ht="18" customHeight="1">
      <c r="A350" s="900" t="s">
        <v>142</v>
      </c>
      <c r="B350" s="900" t="s">
        <v>248</v>
      </c>
      <c r="C350" s="900" t="s">
        <v>1293</v>
      </c>
      <c r="D350" t="s">
        <v>243</v>
      </c>
      <c r="E350" t="s">
        <v>257</v>
      </c>
      <c r="F350" t="s">
        <v>1299</v>
      </c>
      <c r="G350" s="229">
        <v>27666</v>
      </c>
      <c r="H350" s="229">
        <v>108093</v>
      </c>
      <c r="I350" s="229">
        <v>4736</v>
      </c>
      <c r="J350" s="229">
        <v>2353</v>
      </c>
      <c r="K350" s="229">
        <v>0</v>
      </c>
      <c r="L350" s="229">
        <v>239</v>
      </c>
      <c r="M350" s="229">
        <v>0</v>
      </c>
      <c r="N350" s="229">
        <v>0</v>
      </c>
      <c r="O350" s="229">
        <v>0</v>
      </c>
      <c r="P350" s="229">
        <v>9875</v>
      </c>
      <c r="Q350" s="229">
        <v>20258</v>
      </c>
      <c r="R350" s="229">
        <v>6053</v>
      </c>
      <c r="S350" s="229">
        <v>135731</v>
      </c>
      <c r="T350" s="229">
        <v>48073</v>
      </c>
      <c r="U350">
        <f>AVERAGE(G350:T350)</f>
        <v>25934.071428571428</v>
      </c>
      <c r="V350" s="841" t="str">
        <f t="shared" si="29"/>
        <v>2021/22Regulation 7(2) - Supply Restoration: Category 2 Severe Weather Conditions*Outputs - reliabilityGuaranteed Standards of Performance (GSoP)Number of valid payments owed</v>
      </c>
    </row>
    <row r="351" spans="1:22" ht="18" customHeight="1">
      <c r="A351" s="900" t="s">
        <v>142</v>
      </c>
      <c r="B351" s="900" t="s">
        <v>248</v>
      </c>
      <c r="C351" s="900" t="s">
        <v>1293</v>
      </c>
      <c r="D351" t="s">
        <v>243</v>
      </c>
      <c r="E351" t="s">
        <v>258</v>
      </c>
      <c r="F351" t="s">
        <v>1300</v>
      </c>
      <c r="G351" s="829">
        <v>1</v>
      </c>
      <c r="H351" s="829">
        <v>1</v>
      </c>
      <c r="I351" s="829">
        <v>1</v>
      </c>
      <c r="J351" s="829">
        <v>1</v>
      </c>
      <c r="K351" s="829" t="str">
        <v>N/A</v>
      </c>
      <c r="L351" s="829">
        <v>1</v>
      </c>
      <c r="M351" s="829" t="str">
        <v>N/A</v>
      </c>
      <c r="N351" s="829" t="str">
        <v>N/A</v>
      </c>
      <c r="O351" s="829" t="str">
        <v>N/A</v>
      </c>
      <c r="P351" s="829">
        <v>1</v>
      </c>
      <c r="Q351" s="829">
        <v>1</v>
      </c>
      <c r="R351" s="829">
        <v>1</v>
      </c>
      <c r="S351" s="829">
        <v>1</v>
      </c>
      <c r="T351" s="829">
        <v>1</v>
      </c>
      <c r="U351" s="829">
        <v>1</v>
      </c>
      <c r="V351" s="841" t="str">
        <f t="shared" si="29"/>
        <v>2021/22Regulation 7(2) - Supply Restoration: Category 2 Severe Weather Conditions*Outputs - reliabilityGuaranteed Standards of Performance (GSoP)Mandatory payments vs valid payments owed</v>
      </c>
    </row>
    <row r="352" spans="1:22" ht="18" customHeight="1">
      <c r="A352" s="900" t="s">
        <v>142</v>
      </c>
      <c r="B352" s="900" t="s">
        <v>249</v>
      </c>
      <c r="C352" s="900" t="s">
        <v>1293</v>
      </c>
      <c r="D352" t="s">
        <v>243</v>
      </c>
      <c r="E352" t="s">
        <v>257</v>
      </c>
      <c r="F352" t="s">
        <v>1299</v>
      </c>
      <c r="G352" s="229">
        <v>0</v>
      </c>
      <c r="H352" s="229">
        <v>0</v>
      </c>
      <c r="I352" s="229">
        <v>0</v>
      </c>
      <c r="J352" s="229">
        <v>0</v>
      </c>
      <c r="K352" s="229">
        <v>0</v>
      </c>
      <c r="L352" s="229">
        <v>0</v>
      </c>
      <c r="M352" s="229">
        <v>16277</v>
      </c>
      <c r="N352" s="229">
        <v>0</v>
      </c>
      <c r="O352" s="229">
        <v>5749</v>
      </c>
      <c r="P352" s="229">
        <v>0</v>
      </c>
      <c r="Q352" s="229">
        <v>0</v>
      </c>
      <c r="R352" s="229">
        <v>0</v>
      </c>
      <c r="S352" s="229">
        <v>0</v>
      </c>
      <c r="T352" s="229">
        <v>0</v>
      </c>
      <c r="U352">
        <f>AVERAGE(G352:T352)</f>
        <v>1573.2857142857142</v>
      </c>
      <c r="V352" s="841" t="str">
        <f t="shared" si="29"/>
        <v>2021/22Regulation 7(3) - Supply Restoration: Category 3 Severe Weather Conditions*Outputs - reliabilityGuaranteed Standards of Performance (GSoP)Number of valid payments owed</v>
      </c>
    </row>
    <row r="353" spans="1:22" ht="18" customHeight="1">
      <c r="A353" s="900" t="s">
        <v>142</v>
      </c>
      <c r="B353" s="900" t="s">
        <v>249</v>
      </c>
      <c r="C353" s="900" t="s">
        <v>1293</v>
      </c>
      <c r="D353" t="s">
        <v>243</v>
      </c>
      <c r="E353" t="s">
        <v>258</v>
      </c>
      <c r="F353" t="s">
        <v>1300</v>
      </c>
      <c r="G353" s="829" t="str">
        <v>N/A</v>
      </c>
      <c r="H353" s="829" t="str">
        <v>N/A</v>
      </c>
      <c r="I353" s="829" t="str">
        <v>N/A</v>
      </c>
      <c r="J353" s="829" t="str">
        <v>N/A</v>
      </c>
      <c r="K353" s="829" t="str">
        <v>N/A</v>
      </c>
      <c r="L353" s="829" t="str">
        <v>N/A</v>
      </c>
      <c r="M353" s="829">
        <v>1</v>
      </c>
      <c r="N353" s="829" t="str">
        <v>N/A</v>
      </c>
      <c r="O353" s="829">
        <v>1</v>
      </c>
      <c r="P353" s="829" t="str">
        <v>N/A</v>
      </c>
      <c r="Q353" s="829" t="str">
        <v>N/A</v>
      </c>
      <c r="R353" s="829" t="str">
        <v>N/A</v>
      </c>
      <c r="S353" s="829" t="str">
        <v>N/A</v>
      </c>
      <c r="T353" s="829" t="str">
        <v>N/A</v>
      </c>
      <c r="U353" s="829">
        <v>1</v>
      </c>
      <c r="V353" s="841" t="str">
        <f t="shared" si="29"/>
        <v>2021/22Regulation 7(3) - Supply Restoration: Category 3 Severe Weather Conditions*Outputs - reliabilityGuaranteed Standards of Performance (GSoP)Mandatory payments vs valid payments owed</v>
      </c>
    </row>
    <row r="354" spans="1:22" ht="18" customHeight="1">
      <c r="A354" s="900" t="s">
        <v>142</v>
      </c>
      <c r="B354" s="900" t="s">
        <v>250</v>
      </c>
      <c r="C354" s="900" t="s">
        <v>1293</v>
      </c>
      <c r="D354" t="s">
        <v>243</v>
      </c>
      <c r="E354" t="s">
        <v>257</v>
      </c>
      <c r="F354" t="s">
        <v>1299</v>
      </c>
      <c r="G354" s="229">
        <v>0</v>
      </c>
      <c r="H354" s="229">
        <v>0</v>
      </c>
      <c r="I354" s="229">
        <v>0</v>
      </c>
      <c r="J354" s="229">
        <v>0</v>
      </c>
      <c r="K354" s="229">
        <v>0</v>
      </c>
      <c r="L354" s="229">
        <v>0</v>
      </c>
      <c r="M354" s="229">
        <v>0</v>
      </c>
      <c r="N354" s="229">
        <v>0</v>
      </c>
      <c r="O354" s="229">
        <v>0</v>
      </c>
      <c r="P354" s="229">
        <v>0</v>
      </c>
      <c r="Q354" s="229">
        <v>0</v>
      </c>
      <c r="R354" s="229">
        <v>0</v>
      </c>
      <c r="S354" s="229">
        <v>0</v>
      </c>
      <c r="T354" s="229">
        <v>0</v>
      </c>
      <c r="U354" s="901">
        <f>AVERAGE(G354:T354)</f>
        <v>0</v>
      </c>
      <c r="V354" s="841" t="str">
        <f t="shared" si="29"/>
        <v>2021/22Regulation 8 (Supply Restoration: Rota Disconnection)Outputs - reliabilityGuaranteed Standards of Performance (GSoP)Number of valid payments owed</v>
      </c>
    </row>
    <row r="355" spans="1:22" ht="18" customHeight="1">
      <c r="A355" s="900" t="s">
        <v>142</v>
      </c>
      <c r="B355" s="900" t="s">
        <v>250</v>
      </c>
      <c r="C355" s="900" t="s">
        <v>1293</v>
      </c>
      <c r="D355" t="s">
        <v>243</v>
      </c>
      <c r="E355" t="s">
        <v>258</v>
      </c>
      <c r="F355" t="s">
        <v>1300</v>
      </c>
      <c r="G355" s="829" t="str">
        <v>N/A</v>
      </c>
      <c r="H355" s="829" t="str">
        <v>N/A</v>
      </c>
      <c r="I355" s="829" t="str">
        <v>N/A</v>
      </c>
      <c r="J355" s="829" t="str">
        <v>N/A</v>
      </c>
      <c r="K355" s="829" t="str">
        <v>N/A</v>
      </c>
      <c r="L355" s="829" t="str">
        <v>N/A</v>
      </c>
      <c r="M355" s="829" t="str">
        <v>N/A</v>
      </c>
      <c r="N355" s="829" t="str">
        <v>N/A</v>
      </c>
      <c r="O355" s="829" t="str">
        <v>N/A</v>
      </c>
      <c r="P355" s="829" t="str">
        <v>N/A</v>
      </c>
      <c r="Q355" s="829" t="str">
        <v>N/A</v>
      </c>
      <c r="R355" s="829" t="str">
        <v>N/A</v>
      </c>
      <c r="S355" s="829" t="str">
        <v>N/A</v>
      </c>
      <c r="T355" s="829" t="str">
        <v>N/A</v>
      </c>
      <c r="U355" s="829" t="s">
        <v>210</v>
      </c>
      <c r="V355" s="841" t="str">
        <f t="shared" si="29"/>
        <v>2021/22Regulation 8 (Supply Restoration: Rota Disconnection)Outputs - reliabilityGuaranteed Standards of Performance (GSoP)Mandatory payments vs valid payments owed</v>
      </c>
    </row>
    <row r="356" spans="1:22" ht="18" customHeight="1">
      <c r="A356" s="900" t="s">
        <v>142</v>
      </c>
      <c r="B356" s="900" t="s">
        <v>251</v>
      </c>
      <c r="C356" s="900" t="s">
        <v>1293</v>
      </c>
      <c r="D356" t="s">
        <v>243</v>
      </c>
      <c r="E356" t="s">
        <v>257</v>
      </c>
      <c r="F356" t="s">
        <v>1299</v>
      </c>
      <c r="G356" s="229">
        <v>1</v>
      </c>
      <c r="H356" s="229">
        <v>79</v>
      </c>
      <c r="I356" s="229">
        <v>123</v>
      </c>
      <c r="J356" s="229">
        <v>8</v>
      </c>
      <c r="K356" s="229">
        <v>2</v>
      </c>
      <c r="L356" s="229">
        <v>0</v>
      </c>
      <c r="M356" s="229">
        <v>9</v>
      </c>
      <c r="N356" s="229">
        <v>9</v>
      </c>
      <c r="O356" s="229">
        <v>18</v>
      </c>
      <c r="P356" s="229">
        <v>25</v>
      </c>
      <c r="Q356" s="229">
        <v>5</v>
      </c>
      <c r="R356" s="229">
        <v>8</v>
      </c>
      <c r="S356" s="229">
        <v>3</v>
      </c>
      <c r="T356" s="229">
        <v>52</v>
      </c>
      <c r="U356">
        <f>AVERAGE(G356:T356)</f>
        <v>24.428571428571427</v>
      </c>
      <c r="V356" s="841" t="str">
        <f t="shared" ref="V356:V372" si="33">CONCATENATE(A356,B356,C356,D356,E356)</f>
        <v>2021/22Regulation 10 (Supply Restoration: Multiple interruptions)Outputs - reliabilityGuaranteed Standards of Performance (GSoP)Number of valid payments owed</v>
      </c>
    </row>
    <row r="357" spans="1:22" ht="18" customHeight="1">
      <c r="A357" s="900" t="s">
        <v>142</v>
      </c>
      <c r="B357" s="900" t="s">
        <v>251</v>
      </c>
      <c r="C357" s="900" t="s">
        <v>1293</v>
      </c>
      <c r="D357" t="s">
        <v>243</v>
      </c>
      <c r="E357" t="s">
        <v>258</v>
      </c>
      <c r="F357" t="s">
        <v>1300</v>
      </c>
      <c r="G357" s="829">
        <v>1</v>
      </c>
      <c r="H357" s="829">
        <v>1</v>
      </c>
      <c r="I357" s="829">
        <v>1</v>
      </c>
      <c r="J357" s="829">
        <v>1</v>
      </c>
      <c r="K357" s="829">
        <v>1</v>
      </c>
      <c r="L357" s="829" t="str">
        <v>N/A</v>
      </c>
      <c r="M357" s="829">
        <v>1</v>
      </c>
      <c r="N357" s="829">
        <v>1</v>
      </c>
      <c r="O357" s="829">
        <v>1</v>
      </c>
      <c r="P357" s="829">
        <v>1</v>
      </c>
      <c r="Q357" s="829">
        <v>1</v>
      </c>
      <c r="R357" s="829">
        <v>1</v>
      </c>
      <c r="S357" s="829">
        <v>1</v>
      </c>
      <c r="T357" s="829">
        <v>1</v>
      </c>
      <c r="U357" s="1034">
        <v>0.2857142857142857</v>
      </c>
      <c r="V357" s="841" t="str">
        <f>CONCATENATE(A357,B357,C357,D357,E357)</f>
        <v>2021/22Regulation 10 (Supply Restoration: Multiple interruptions)Outputs - reliabilityGuaranteed Standards of Performance (GSoP)Mandatory payments vs valid payments owed</v>
      </c>
    </row>
    <row r="358" spans="1:22" ht="18" customHeight="1">
      <c r="A358" s="900" t="s">
        <v>142</v>
      </c>
      <c r="B358" s="900" t="s">
        <v>252</v>
      </c>
      <c r="C358" s="900" t="s">
        <v>1293</v>
      </c>
      <c r="D358" t="s">
        <v>243</v>
      </c>
      <c r="E358" t="s">
        <v>257</v>
      </c>
      <c r="F358" t="s">
        <v>1299</v>
      </c>
      <c r="G358" s="229">
        <v>25</v>
      </c>
      <c r="H358" s="229">
        <v>5</v>
      </c>
      <c r="I358" s="229">
        <v>3</v>
      </c>
      <c r="J358" s="229">
        <v>0</v>
      </c>
      <c r="K358" s="229">
        <v>2</v>
      </c>
      <c r="L358" s="229">
        <v>1</v>
      </c>
      <c r="M358" s="229">
        <v>1</v>
      </c>
      <c r="N358" s="229">
        <v>42</v>
      </c>
      <c r="O358" s="229">
        <v>44</v>
      </c>
      <c r="P358" s="229">
        <v>52</v>
      </c>
      <c r="Q358" s="229">
        <v>1</v>
      </c>
      <c r="R358" s="229">
        <v>8</v>
      </c>
      <c r="S358" s="229">
        <v>14</v>
      </c>
      <c r="T358" s="229">
        <v>10</v>
      </c>
      <c r="U358">
        <f>AVERAGE(G358:T358)</f>
        <v>14.857142857142858</v>
      </c>
      <c r="V358" s="841" t="str">
        <f>CONCATENATE(A358,B358,C358,D358,E358)</f>
        <v>2021/22Regulation 11 (Responding to Operation of Distributor's Fuse)Outputs - reliabilityGuaranteed Standards of Performance (GSoP)Number of valid payments owed</v>
      </c>
    </row>
    <row r="359" spans="1:22" ht="18" customHeight="1">
      <c r="A359" s="900" t="s">
        <v>142</v>
      </c>
      <c r="B359" s="900" t="s">
        <v>252</v>
      </c>
      <c r="C359" s="900" t="s">
        <v>1293</v>
      </c>
      <c r="D359" t="s">
        <v>243</v>
      </c>
      <c r="E359" t="s">
        <v>258</v>
      </c>
      <c r="F359" t="s">
        <v>1300</v>
      </c>
      <c r="G359" s="829">
        <v>1</v>
      </c>
      <c r="H359" s="829">
        <v>1</v>
      </c>
      <c r="I359" s="829">
        <v>1</v>
      </c>
      <c r="J359" s="829" t="str">
        <v>N/A</v>
      </c>
      <c r="K359" s="829">
        <v>1</v>
      </c>
      <c r="L359" s="829">
        <v>1</v>
      </c>
      <c r="M359" s="829">
        <v>1</v>
      </c>
      <c r="N359" s="829">
        <v>1</v>
      </c>
      <c r="O359" s="829">
        <v>1</v>
      </c>
      <c r="P359" s="829">
        <v>1</v>
      </c>
      <c r="Q359" s="829">
        <v>1</v>
      </c>
      <c r="R359" s="829">
        <v>1</v>
      </c>
      <c r="S359" s="829">
        <v>1</v>
      </c>
      <c r="T359" s="829">
        <v>1</v>
      </c>
      <c r="U359" s="829">
        <v>1</v>
      </c>
      <c r="V359" s="841" t="str">
        <f>CONCATENATE(A359,B359,C359,D359,E359)</f>
        <v>2021/22Regulation 11 (Responding to Operation of Distributor's Fuse)Outputs - reliabilityGuaranteed Standards of Performance (GSoP)Mandatory payments vs valid payments owed</v>
      </c>
    </row>
    <row r="360" spans="1:22" ht="18" customHeight="1">
      <c r="A360" s="900" t="s">
        <v>142</v>
      </c>
      <c r="B360" s="900" t="s">
        <v>253</v>
      </c>
      <c r="C360" s="900" t="s">
        <v>1293</v>
      </c>
      <c r="D360" t="s">
        <v>243</v>
      </c>
      <c r="E360" t="s">
        <v>257</v>
      </c>
      <c r="F360" t="s">
        <v>1299</v>
      </c>
      <c r="G360" s="229">
        <v>363</v>
      </c>
      <c r="H360" s="229">
        <v>13</v>
      </c>
      <c r="I360" s="229">
        <v>22</v>
      </c>
      <c r="J360" s="229">
        <v>2</v>
      </c>
      <c r="K360" s="229">
        <v>0</v>
      </c>
      <c r="L360" s="229">
        <v>2</v>
      </c>
      <c r="M360" s="229">
        <v>10</v>
      </c>
      <c r="N360" s="229">
        <v>8</v>
      </c>
      <c r="O360" s="229">
        <v>252</v>
      </c>
      <c r="P360" s="229">
        <v>244</v>
      </c>
      <c r="Q360" s="229">
        <v>71</v>
      </c>
      <c r="R360" s="229">
        <v>102</v>
      </c>
      <c r="S360" s="229">
        <v>88</v>
      </c>
      <c r="T360" s="229">
        <v>274</v>
      </c>
      <c r="U360">
        <f>AVERAGE(G360:T360)</f>
        <v>103.64285714285714</v>
      </c>
      <c r="V360" s="841" t="str">
        <f>CONCATENATE(A360,B360,C360,D360,E360)</f>
        <v>2021/22Regulation 12 (Notice of Supply Interruption )Outputs - reliabilityGuaranteed Standards of Performance (GSoP)Number of valid payments owed</v>
      </c>
    </row>
    <row r="361" spans="1:22" ht="18" customHeight="1">
      <c r="A361" s="900" t="s">
        <v>142</v>
      </c>
      <c r="B361" s="900" t="s">
        <v>253</v>
      </c>
      <c r="C361" s="900" t="s">
        <v>1293</v>
      </c>
      <c r="D361" t="s">
        <v>243</v>
      </c>
      <c r="E361" t="s">
        <v>258</v>
      </c>
      <c r="F361" t="s">
        <v>1300</v>
      </c>
      <c r="G361" s="829">
        <v>1</v>
      </c>
      <c r="H361" s="829">
        <v>1</v>
      </c>
      <c r="I361" s="829">
        <v>1</v>
      </c>
      <c r="J361" s="829">
        <v>1</v>
      </c>
      <c r="K361" s="829" t="str">
        <v>N/A</v>
      </c>
      <c r="L361" s="829">
        <v>1</v>
      </c>
      <c r="M361" s="829">
        <v>1</v>
      </c>
      <c r="N361" s="829">
        <v>1</v>
      </c>
      <c r="O361" s="829">
        <v>1</v>
      </c>
      <c r="P361" s="829">
        <v>1</v>
      </c>
      <c r="Q361" s="829">
        <v>1</v>
      </c>
      <c r="R361" s="829">
        <v>1</v>
      </c>
      <c r="S361" s="829">
        <v>1</v>
      </c>
      <c r="T361" s="829">
        <v>1</v>
      </c>
      <c r="U361" s="829">
        <v>1</v>
      </c>
      <c r="V361" s="841" t="str">
        <f>CONCATENATE(A361,B361,C361,D361,E361)</f>
        <v>2021/22Regulation 12 (Notice of Supply Interruption )Outputs - reliabilityGuaranteed Standards of Performance (GSoP)Mandatory payments vs valid payments owed</v>
      </c>
    </row>
    <row r="362" spans="1:22" ht="18" customHeight="1">
      <c r="A362" s="900" t="s">
        <v>142</v>
      </c>
      <c r="B362" s="900" t="s">
        <v>254</v>
      </c>
      <c r="C362" s="900" t="s">
        <v>1293</v>
      </c>
      <c r="D362" t="s">
        <v>243</v>
      </c>
      <c r="E362" t="s">
        <v>821</v>
      </c>
      <c r="F362" t="s">
        <v>1299</v>
      </c>
      <c r="G362" s="229">
        <v>5</v>
      </c>
      <c r="H362" s="229">
        <v>0</v>
      </c>
      <c r="I362" s="229">
        <v>3</v>
      </c>
      <c r="J362" s="229">
        <v>0</v>
      </c>
      <c r="K362" s="229">
        <v>0</v>
      </c>
      <c r="L362" s="229">
        <v>0</v>
      </c>
      <c r="M362" s="229">
        <v>0</v>
      </c>
      <c r="N362" s="229">
        <v>0</v>
      </c>
      <c r="O362" s="229">
        <v>0</v>
      </c>
      <c r="P362" s="229">
        <v>0</v>
      </c>
      <c r="Q362" s="229">
        <v>0</v>
      </c>
      <c r="R362" s="229">
        <v>0</v>
      </c>
      <c r="S362" s="229">
        <v>0</v>
      </c>
      <c r="T362" s="229">
        <v>0</v>
      </c>
      <c r="U362">
        <f>AVERAGE(G362:T362)</f>
        <v>0.5714285714285714</v>
      </c>
      <c r="V362" s="841" t="str">
        <f t="shared" si="33"/>
        <v>2021/22Regulation 13 (Investigation of Voltage complaints)Outputs - reliabilityGuaranteed Standards of Performance (GSoP)Total Number of mandatory payments made</v>
      </c>
    </row>
    <row r="363" spans="1:22" ht="18" customHeight="1">
      <c r="A363" s="900" t="s">
        <v>142</v>
      </c>
      <c r="B363" s="900" t="s">
        <v>255</v>
      </c>
      <c r="C363" s="900" t="s">
        <v>1293</v>
      </c>
      <c r="D363" t="s">
        <v>243</v>
      </c>
      <c r="E363" t="s">
        <v>257</v>
      </c>
      <c r="F363" t="s">
        <v>1299</v>
      </c>
      <c r="G363" s="229">
        <v>396</v>
      </c>
      <c r="H363" s="229">
        <v>33</v>
      </c>
      <c r="I363" s="229">
        <v>102</v>
      </c>
      <c r="J363" s="229">
        <v>1</v>
      </c>
      <c r="K363" s="229">
        <v>0</v>
      </c>
      <c r="L363" s="229">
        <v>0</v>
      </c>
      <c r="M363" s="229">
        <v>0</v>
      </c>
      <c r="N363" s="229">
        <v>137</v>
      </c>
      <c r="O363" s="229">
        <v>393</v>
      </c>
      <c r="P363" s="229">
        <v>272</v>
      </c>
      <c r="Q363" s="229">
        <v>0</v>
      </c>
      <c r="R363" s="229">
        <v>0</v>
      </c>
      <c r="S363" s="229">
        <v>13</v>
      </c>
      <c r="T363" s="229">
        <v>36</v>
      </c>
      <c r="U363">
        <f>AVERAGE(G363:T363)</f>
        <v>98.785714285714292</v>
      </c>
      <c r="V363" s="841" t="str">
        <f t="shared" ref="V363:V370" si="34">CONCATENATE(A363,B363,C363,D363,E363)</f>
        <v>2021/22Regulation 17 (Making and Keeping Appointments)Outputs - reliabilityGuaranteed Standards of Performance (GSoP)Number of valid payments owed</v>
      </c>
    </row>
    <row r="364" spans="1:22" ht="18" customHeight="1">
      <c r="A364" s="900" t="s">
        <v>142</v>
      </c>
      <c r="B364" s="900" t="s">
        <v>255</v>
      </c>
      <c r="C364" s="900" t="s">
        <v>1293</v>
      </c>
      <c r="D364" t="s">
        <v>243</v>
      </c>
      <c r="E364" t="s">
        <v>258</v>
      </c>
      <c r="F364" t="s">
        <v>1300</v>
      </c>
      <c r="G364" s="829">
        <v>1</v>
      </c>
      <c r="H364" s="829">
        <v>1</v>
      </c>
      <c r="I364" s="829">
        <v>1</v>
      </c>
      <c r="J364" s="829">
        <v>1</v>
      </c>
      <c r="K364" s="829" t="str">
        <v>N/A</v>
      </c>
      <c r="L364" s="829" t="str">
        <v>N/A</v>
      </c>
      <c r="M364" s="829" t="str">
        <v>N/A</v>
      </c>
      <c r="N364" s="829">
        <v>1</v>
      </c>
      <c r="O364" s="829">
        <v>1</v>
      </c>
      <c r="P364" s="829">
        <v>1</v>
      </c>
      <c r="Q364" s="829" t="str">
        <v>N/A</v>
      </c>
      <c r="R364" s="829" t="str">
        <v>N/A</v>
      </c>
      <c r="S364" s="829">
        <v>1</v>
      </c>
      <c r="T364" s="829">
        <v>1</v>
      </c>
      <c r="U364" s="829">
        <v>1</v>
      </c>
      <c r="V364" s="841" t="str">
        <f t="shared" si="34"/>
        <v>2021/22Regulation 17 (Making and Keeping Appointments)Outputs - reliabilityGuaranteed Standards of Performance (GSoP)Mandatory payments vs valid payments owed</v>
      </c>
    </row>
    <row r="365" spans="1:22" ht="18" customHeight="1">
      <c r="A365" s="900" t="s">
        <v>142</v>
      </c>
      <c r="B365" s="900" t="s">
        <v>256</v>
      </c>
      <c r="C365" s="900" t="s">
        <v>1293</v>
      </c>
      <c r="D365" t="s">
        <v>243</v>
      </c>
      <c r="E365" t="s">
        <v>257</v>
      </c>
      <c r="F365" t="s">
        <v>1299</v>
      </c>
      <c r="G365" s="229">
        <v>3378</v>
      </c>
      <c r="H365" s="229">
        <v>28</v>
      </c>
      <c r="I365" s="229">
        <v>48</v>
      </c>
      <c r="J365" s="229">
        <v>0</v>
      </c>
      <c r="K365" s="229">
        <v>1</v>
      </c>
      <c r="L365" s="229">
        <v>0</v>
      </c>
      <c r="M365" s="229">
        <v>2</v>
      </c>
      <c r="N365" s="229">
        <v>7</v>
      </c>
      <c r="O365" s="229">
        <v>29</v>
      </c>
      <c r="P365" s="229">
        <v>14</v>
      </c>
      <c r="Q365" s="229">
        <v>0</v>
      </c>
      <c r="R365" s="229">
        <v>0</v>
      </c>
      <c r="S365" s="229">
        <v>281</v>
      </c>
      <c r="T365" s="229">
        <v>46</v>
      </c>
      <c r="U365">
        <f>AVERAGE(G365:T365)</f>
        <v>273.85714285714283</v>
      </c>
      <c r="V365" s="841" t="str">
        <f t="shared" si="34"/>
        <v>2021/22Regulation 19 (Payments owed under the Guaranteed Standards)Outputs - reliabilityGuaranteed Standards of Performance (GSoP)Number of valid payments owed</v>
      </c>
    </row>
    <row r="366" spans="1:22" ht="18" customHeight="1">
      <c r="A366" s="900" t="s">
        <v>142</v>
      </c>
      <c r="B366" s="900" t="s">
        <v>256</v>
      </c>
      <c r="C366" s="900" t="s">
        <v>1293</v>
      </c>
      <c r="D366" t="s">
        <v>243</v>
      </c>
      <c r="E366" t="s">
        <v>258</v>
      </c>
      <c r="F366" t="s">
        <v>1300</v>
      </c>
      <c r="G366" s="829">
        <v>1</v>
      </c>
      <c r="H366" s="829">
        <v>1</v>
      </c>
      <c r="I366" s="829">
        <v>1</v>
      </c>
      <c r="J366" s="829" t="str">
        <v>N/A</v>
      </c>
      <c r="K366" s="829">
        <v>1</v>
      </c>
      <c r="L366" s="829" t="str">
        <v>N/A</v>
      </c>
      <c r="M366" s="829">
        <v>1</v>
      </c>
      <c r="N366" s="829">
        <v>1</v>
      </c>
      <c r="O366" s="829">
        <v>1</v>
      </c>
      <c r="P366" s="829">
        <v>1</v>
      </c>
      <c r="Q366" s="829" t="str">
        <v>N/A</v>
      </c>
      <c r="R366" s="829" t="str">
        <v>N/A</v>
      </c>
      <c r="S366" s="829">
        <v>1</v>
      </c>
      <c r="T366" s="829">
        <v>1</v>
      </c>
      <c r="U366" s="829">
        <v>1</v>
      </c>
      <c r="V366" s="841" t="str">
        <f t="shared" si="34"/>
        <v>2021/22Regulation 19 (Payments owed under the Guaranteed Standards)Outputs - reliabilityGuaranteed Standards of Performance (GSoP)Mandatory payments vs valid payments owed</v>
      </c>
    </row>
    <row r="367" spans="1:22" ht="18" customHeight="1">
      <c r="A367" s="900" t="s">
        <v>142</v>
      </c>
      <c r="B367" s="900" t="s">
        <v>256</v>
      </c>
      <c r="C367" s="900" t="s">
        <v>1293</v>
      </c>
      <c r="D367" t="s">
        <v>243</v>
      </c>
      <c r="E367" s="900" t="s">
        <v>1301</v>
      </c>
      <c r="F367" s="900" t="s">
        <v>1299</v>
      </c>
      <c r="G367" s="901">
        <v>3378</v>
      </c>
      <c r="H367" s="901">
        <v>28</v>
      </c>
      <c r="I367" s="901">
        <v>48</v>
      </c>
      <c r="J367" s="901">
        <v>0</v>
      </c>
      <c r="K367" s="901">
        <v>1</v>
      </c>
      <c r="L367" s="901">
        <v>0</v>
      </c>
      <c r="M367" s="901">
        <v>2</v>
      </c>
      <c r="N367" s="901">
        <v>7</v>
      </c>
      <c r="O367" s="901">
        <v>29</v>
      </c>
      <c r="P367" s="901">
        <v>14</v>
      </c>
      <c r="Q367" s="901">
        <v>0</v>
      </c>
      <c r="R367" s="901">
        <v>0</v>
      </c>
      <c r="S367" s="901">
        <v>281</v>
      </c>
      <c r="T367" s="901">
        <v>46</v>
      </c>
      <c r="U367" s="901">
        <f>AVERAGE(G367:T367)</f>
        <v>273.85714285714283</v>
      </c>
      <c r="V367" s="841" t="str">
        <f t="shared" si="34"/>
        <v>2021/22Regulation 19 (Payments owed under the Guaranteed Standards)Outputs - reliabilityGuaranteed Standards of Performance (GSoP)Total Payments owed</v>
      </c>
    </row>
    <row r="368" spans="1:22" ht="18" customHeight="1">
      <c r="A368" s="900" t="s">
        <v>142</v>
      </c>
      <c r="B368" s="900" t="s">
        <v>256</v>
      </c>
      <c r="C368" s="900" t="s">
        <v>1293</v>
      </c>
      <c r="D368" t="s">
        <v>243</v>
      </c>
      <c r="E368" t="s">
        <v>1302</v>
      </c>
      <c r="F368" s="900" t="s">
        <v>1299</v>
      </c>
      <c r="G368" s="229">
        <v>3378</v>
      </c>
      <c r="H368" s="229">
        <v>28</v>
      </c>
      <c r="I368" s="229">
        <v>48</v>
      </c>
      <c r="J368" s="229">
        <v>0</v>
      </c>
      <c r="K368" s="229">
        <v>1</v>
      </c>
      <c r="L368" s="229">
        <v>0</v>
      </c>
      <c r="M368" s="229">
        <v>2</v>
      </c>
      <c r="N368" s="229">
        <v>7</v>
      </c>
      <c r="O368" s="229">
        <v>29</v>
      </c>
      <c r="P368" s="229">
        <v>14</v>
      </c>
      <c r="Q368" s="229">
        <v>0</v>
      </c>
      <c r="R368" s="229">
        <v>0</v>
      </c>
      <c r="S368" s="229">
        <v>281</v>
      </c>
      <c r="T368" s="229">
        <v>46</v>
      </c>
      <c r="U368" s="901">
        <f>AVERAGE(G368:T368)</f>
        <v>273.85714285714283</v>
      </c>
      <c r="V368" s="841" t="str">
        <f t="shared" si="34"/>
        <v>2021/22Regulation 19 (Payments owed under the Guaranteed Standards)Outputs - reliabilityGuaranteed Standards of Performance (GSoP)Total Payments made</v>
      </c>
    </row>
    <row r="369" spans="1:22" ht="18" customHeight="1">
      <c r="A369" s="900" t="s">
        <v>142</v>
      </c>
      <c r="B369" s="900"/>
      <c r="C369" s="900" t="s">
        <v>1293</v>
      </c>
      <c r="D369" t="s">
        <v>243</v>
      </c>
      <c r="E369" s="900" t="s">
        <v>1301</v>
      </c>
      <c r="F369" s="900" t="s">
        <v>1299</v>
      </c>
      <c r="G369" s="901">
        <v>36714</v>
      </c>
      <c r="H369" s="901">
        <v>133770</v>
      </c>
      <c r="I369" s="901">
        <v>11669</v>
      </c>
      <c r="J369" s="901">
        <v>2691</v>
      </c>
      <c r="K369" s="901">
        <v>479</v>
      </c>
      <c r="L369" s="901">
        <v>272</v>
      </c>
      <c r="M369" s="901">
        <v>16766</v>
      </c>
      <c r="N369" s="901">
        <v>1371</v>
      </c>
      <c r="O369" s="901">
        <v>9343</v>
      </c>
      <c r="P369" s="901">
        <v>15167</v>
      </c>
      <c r="Q369" s="901">
        <v>20643</v>
      </c>
      <c r="R369" s="901">
        <v>7173</v>
      </c>
      <c r="S369" s="901">
        <v>139868</v>
      </c>
      <c r="T369" s="901">
        <v>56751</v>
      </c>
      <c r="U369" s="901">
        <f>AVERAGE(G369:T369)</f>
        <v>32334.071428571428</v>
      </c>
      <c r="V369" s="841" t="str">
        <f t="shared" si="34"/>
        <v>2021/22Outputs - reliabilityGuaranteed Standards of Performance (GSoP)Total Payments owed</v>
      </c>
    </row>
    <row r="370" spans="1:22" ht="18" customHeight="1">
      <c r="A370" s="900" t="s">
        <v>142</v>
      </c>
      <c r="B370" s="900"/>
      <c r="C370" s="900" t="s">
        <v>1293</v>
      </c>
      <c r="D370" t="s">
        <v>243</v>
      </c>
      <c r="E370" t="s">
        <v>1302</v>
      </c>
      <c r="F370" s="900" t="s">
        <v>1299</v>
      </c>
      <c r="G370" s="229">
        <v>36714</v>
      </c>
      <c r="H370" s="229">
        <v>135059</v>
      </c>
      <c r="I370" s="229">
        <v>10281</v>
      </c>
      <c r="J370" s="229">
        <v>2691</v>
      </c>
      <c r="K370" s="229">
        <v>479</v>
      </c>
      <c r="L370" s="229">
        <v>272</v>
      </c>
      <c r="M370" s="229">
        <v>16766</v>
      </c>
      <c r="N370" s="229">
        <v>1371</v>
      </c>
      <c r="O370" s="229">
        <v>9343</v>
      </c>
      <c r="P370" s="229">
        <v>15167</v>
      </c>
      <c r="Q370" s="229">
        <v>20643</v>
      </c>
      <c r="R370" s="229">
        <v>7173</v>
      </c>
      <c r="S370" s="229">
        <v>140582</v>
      </c>
      <c r="T370" s="229">
        <v>56750</v>
      </c>
      <c r="U370" s="229">
        <f>AVERAGE(G370:T370)</f>
        <v>32377.928571428572</v>
      </c>
      <c r="V370" s="841" t="str">
        <f t="shared" si="34"/>
        <v>2021/22Outputs - reliabilityGuaranteed Standards of Performance (GSoP)Total Payments made</v>
      </c>
    </row>
    <row r="371" spans="1:22" ht="18" customHeight="1">
      <c r="A371" s="900" t="s">
        <v>142</v>
      </c>
      <c r="B371" s="900"/>
      <c r="C371" s="900" t="s">
        <v>1293</v>
      </c>
      <c r="D371" s="841" t="s">
        <v>243</v>
      </c>
      <c r="E371" s="900" t="s">
        <v>1303</v>
      </c>
      <c r="F371" s="900" t="s">
        <v>1300</v>
      </c>
      <c r="G371" s="1033">
        <f>1-(G369-G370)/G369</f>
        <v>1</v>
      </c>
      <c r="H371" s="1033">
        <f t="shared" ref="H371:T371" si="35">1-(H369-H370)/H369</f>
        <v>1.0096359422890036</v>
      </c>
      <c r="I371" s="1033">
        <f t="shared" si="35"/>
        <v>0.88105236095638018</v>
      </c>
      <c r="J371" s="1033">
        <f t="shared" si="35"/>
        <v>1</v>
      </c>
      <c r="K371" s="1033">
        <f t="shared" si="35"/>
        <v>1</v>
      </c>
      <c r="L371" s="1033">
        <f t="shared" si="35"/>
        <v>1</v>
      </c>
      <c r="M371" s="1033">
        <f t="shared" si="35"/>
        <v>1</v>
      </c>
      <c r="N371" s="1033">
        <f t="shared" si="35"/>
        <v>1</v>
      </c>
      <c r="O371" s="1033">
        <f t="shared" si="35"/>
        <v>1</v>
      </c>
      <c r="P371" s="1033">
        <f t="shared" si="35"/>
        <v>1</v>
      </c>
      <c r="Q371" s="1033">
        <f t="shared" si="35"/>
        <v>1</v>
      </c>
      <c r="R371" s="1033">
        <f t="shared" si="35"/>
        <v>1</v>
      </c>
      <c r="S371" s="1033">
        <f t="shared" si="35"/>
        <v>1.0051048131095033</v>
      </c>
      <c r="T371" s="1033">
        <f t="shared" si="35"/>
        <v>0.99998237916512489</v>
      </c>
      <c r="U371" s="1033">
        <f>1-(U369-U370)/U369</f>
        <v>1.001356375517201</v>
      </c>
      <c r="V371" s="841" t="str">
        <f t="shared" si="33"/>
        <v>2021/22Outputs - reliabilityGuaranteed Standards of Performance (GSoP)% of Payments made vs Payments owed</v>
      </c>
    </row>
    <row r="372" spans="1:22" ht="18" customHeight="1">
      <c r="A372" s="900" t="s">
        <v>142</v>
      </c>
      <c r="B372" s="900" t="s">
        <v>256</v>
      </c>
      <c r="C372" s="900" t="s">
        <v>1293</v>
      </c>
      <c r="D372" t="s">
        <v>243</v>
      </c>
      <c r="E372" s="900" t="s">
        <v>1303</v>
      </c>
      <c r="F372" s="900" t="s">
        <v>1300</v>
      </c>
      <c r="G372" s="829">
        <f>IFERROR(1-(G367-G368)/G367,"N/A")</f>
        <v>1</v>
      </c>
      <c r="H372" s="829">
        <f t="shared" ref="H372:U372" si="36">IFERROR(1-(H367-H368)/H367,"N/A")</f>
        <v>1</v>
      </c>
      <c r="I372" s="829">
        <f t="shared" si="36"/>
        <v>1</v>
      </c>
      <c r="J372" s="829" t="str">
        <f t="shared" si="36"/>
        <v>N/A</v>
      </c>
      <c r="K372" s="829">
        <f t="shared" si="36"/>
        <v>1</v>
      </c>
      <c r="L372" s="829" t="str">
        <f t="shared" si="36"/>
        <v>N/A</v>
      </c>
      <c r="M372" s="829">
        <f t="shared" si="36"/>
        <v>1</v>
      </c>
      <c r="N372" s="829">
        <f t="shared" si="36"/>
        <v>1</v>
      </c>
      <c r="O372" s="829">
        <f t="shared" si="36"/>
        <v>1</v>
      </c>
      <c r="P372" s="829">
        <f t="shared" si="36"/>
        <v>1</v>
      </c>
      <c r="Q372" s="829" t="str">
        <f t="shared" si="36"/>
        <v>N/A</v>
      </c>
      <c r="R372" s="829" t="str">
        <f t="shared" si="36"/>
        <v>N/A</v>
      </c>
      <c r="S372" s="829">
        <f t="shared" si="36"/>
        <v>1</v>
      </c>
      <c r="T372" s="829">
        <f t="shared" si="36"/>
        <v>1</v>
      </c>
      <c r="U372" s="829">
        <f t="shared" si="36"/>
        <v>1</v>
      </c>
      <c r="V372" s="841" t="str">
        <f t="shared" si="33"/>
        <v>2021/22Regulation 19 (Payments owed under the Guaranteed Standards)Outputs - reliabilityGuaranteed Standards of Performance (GSoP)% of Payments made vs Payments owed</v>
      </c>
    </row>
    <row r="373" spans="1:22">
      <c r="A373" s="900" t="s">
        <v>719</v>
      </c>
      <c r="B373" s="900" t="s">
        <v>256</v>
      </c>
      <c r="C373" s="900" t="s">
        <v>1293</v>
      </c>
      <c r="D373" t="s">
        <v>243</v>
      </c>
      <c r="E373" s="900" t="s">
        <v>1301</v>
      </c>
      <c r="F373" s="900" t="s">
        <v>1299</v>
      </c>
      <c r="G373">
        <f t="array" ref="G373:T374">TRANSPOSE('Ch2 outputs - reliability'!E365:F378)</f>
        <v>3.4</v>
      </c>
      <c r="H373">
        <v>2.7</v>
      </c>
      <c r="I373">
        <v>4.2</v>
      </c>
      <c r="J373">
        <v>14.7</v>
      </c>
      <c r="K373">
        <v>6.9</v>
      </c>
      <c r="L373">
        <v>2.6</v>
      </c>
      <c r="M373">
        <v>3.1</v>
      </c>
      <c r="N373">
        <v>0.2</v>
      </c>
      <c r="O373">
        <v>7.4</v>
      </c>
      <c r="P373">
        <v>10.7</v>
      </c>
      <c r="Q373">
        <v>5</v>
      </c>
      <c r="R373">
        <v>2.2000000000000002</v>
      </c>
      <c r="S373">
        <v>0</v>
      </c>
      <c r="T373">
        <v>7.5</v>
      </c>
      <c r="U373" s="229">
        <f>AVERAGE(G373:T373)</f>
        <v>5.0428571428571436</v>
      </c>
      <c r="V373" t="str">
        <f t="shared" ref="V373:V439" si="37">CONCATENATE(A373,B373,C373,D373,E373)</f>
        <v>ED1Regulation 19 (Payments owed under the Guaranteed Standards)Outputs - reliabilityGuaranteed Standards of Performance (GSoP)Total Payments owed</v>
      </c>
    </row>
    <row r="374" spans="1:22">
      <c r="A374" s="900" t="s">
        <v>719</v>
      </c>
      <c r="B374" s="900" t="s">
        <v>256</v>
      </c>
      <c r="C374" s="900" t="s">
        <v>1293</v>
      </c>
      <c r="D374" t="s">
        <v>243</v>
      </c>
      <c r="E374" t="s">
        <v>1302</v>
      </c>
      <c r="F374" s="900" t="s">
        <v>1299</v>
      </c>
      <c r="G374" s="229">
        <v>4.3238745274343522</v>
      </c>
      <c r="H374" s="229">
        <v>3.4336650659037504</v>
      </c>
      <c r="I374" s="229">
        <v>5.3412567691836115</v>
      </c>
      <c r="J374" s="229">
        <v>18.694398692142638</v>
      </c>
      <c r="K374" s="229">
        <v>8.7749218350873619</v>
      </c>
      <c r="L374" s="229">
        <v>3.3064922856850929</v>
      </c>
      <c r="M374" s="229">
        <v>3.9423561867783801</v>
      </c>
      <c r="N374" s="229">
        <v>0.25434556043731482</v>
      </c>
      <c r="O374" s="229">
        <v>9.4107857361806495</v>
      </c>
      <c r="P374" s="229">
        <v>13.607487483396342</v>
      </c>
      <c r="Q374" s="229">
        <v>6.3586390109328708</v>
      </c>
      <c r="R374" s="229">
        <v>2.7978011648104633</v>
      </c>
      <c r="S374" s="229">
        <v>0</v>
      </c>
      <c r="T374" s="229">
        <v>9.5379585163993053</v>
      </c>
      <c r="U374" s="229">
        <f>AVERAGE(G374:T374)</f>
        <v>6.4131416310265816</v>
      </c>
      <c r="V374" t="str">
        <f t="shared" si="37"/>
        <v>ED1Regulation 19 (Payments owed under the Guaranteed Standards)Outputs - reliabilityGuaranteed Standards of Performance (GSoP)Total Payments made</v>
      </c>
    </row>
    <row r="375" spans="1:22">
      <c r="A375" s="900" t="s">
        <v>137</v>
      </c>
      <c r="B375" s="900"/>
      <c r="C375" s="900" t="s">
        <v>1293</v>
      </c>
      <c r="D375" t="s">
        <v>243</v>
      </c>
      <c r="E375" s="900" t="s">
        <v>1301</v>
      </c>
      <c r="F375" s="900" t="s">
        <v>1299</v>
      </c>
      <c r="G375">
        <f t="array" ref="G375:T376">TRANSPOSE('Ch2 outputs - reliability'!E382:F395)</f>
        <v>0.13025135617559103</v>
      </c>
      <c r="H375">
        <v>0</v>
      </c>
      <c r="I375">
        <v>0</v>
      </c>
      <c r="J375">
        <v>7.7806938593008593E-2</v>
      </c>
      <c r="K375">
        <v>0.19437587932144329</v>
      </c>
      <c r="L375">
        <v>7.5354841134319853E-2</v>
      </c>
      <c r="M375">
        <v>4.8947637733056326E-2</v>
      </c>
      <c r="N375">
        <v>0</v>
      </c>
      <c r="O375">
        <v>2.4831218608590652E-2</v>
      </c>
      <c r="P375">
        <v>4.1697615488391987E-2</v>
      </c>
      <c r="Q375">
        <v>0</v>
      </c>
      <c r="R375">
        <v>0</v>
      </c>
      <c r="S375">
        <v>0</v>
      </c>
      <c r="T375">
        <v>0.52154226717495467</v>
      </c>
      <c r="U375">
        <f t="shared" ref="U375:U466" si="38">AVERAGE(G375:T375)</f>
        <v>7.9629125302096884E-2</v>
      </c>
      <c r="V375" t="str">
        <f t="shared" si="37"/>
        <v>2015/16Outputs - reliabilityGuaranteed Standards of Performance (GSoP)Total Payments owed</v>
      </c>
    </row>
    <row r="376" spans="1:22">
      <c r="A376" s="900" t="s">
        <v>137</v>
      </c>
      <c r="B376" s="900"/>
      <c r="C376" s="900" t="s">
        <v>1293</v>
      </c>
      <c r="D376" t="s">
        <v>243</v>
      </c>
      <c r="E376" t="s">
        <v>1302</v>
      </c>
      <c r="F376" s="900" t="s">
        <v>1299</v>
      </c>
      <c r="G376">
        <v>0.16564427092100503</v>
      </c>
      <c r="H376">
        <v>0</v>
      </c>
      <c r="I376">
        <v>0</v>
      </c>
      <c r="J376">
        <v>9.8949247011752547E-2</v>
      </c>
      <c r="K376">
        <v>0.24719320980754184</v>
      </c>
      <c r="L376">
        <v>9.5830846499867034E-2</v>
      </c>
      <c r="M376">
        <v>6.2248071756484349E-2</v>
      </c>
      <c r="N376">
        <v>0</v>
      </c>
      <c r="O376">
        <v>3.157855106671735E-2</v>
      </c>
      <c r="P376">
        <v>5.3028016901473594E-2</v>
      </c>
      <c r="Q376">
        <v>0</v>
      </c>
      <c r="R376">
        <v>0</v>
      </c>
      <c r="S376">
        <v>0</v>
      </c>
      <c r="T376">
        <v>0.66325980118180816</v>
      </c>
      <c r="U376">
        <f t="shared" si="38"/>
        <v>0.10126657251047501</v>
      </c>
      <c r="V376" t="str">
        <f t="shared" si="37"/>
        <v>2015/16Outputs - reliabilityGuaranteed Standards of Performance (GSoP)Total Payments made</v>
      </c>
    </row>
    <row r="377" spans="1:22">
      <c r="A377" s="900" t="s">
        <v>145</v>
      </c>
      <c r="B377" s="900"/>
      <c r="C377" s="900" t="s">
        <v>1293</v>
      </c>
      <c r="D377" s="841" t="s">
        <v>243</v>
      </c>
      <c r="E377" s="900" t="s">
        <v>1303</v>
      </c>
      <c r="F377" s="900" t="s">
        <v>1300</v>
      </c>
      <c r="G377" s="829">
        <f t="array" ref="G377:T378">TRANSPOSE('Ch2 outputs - reliability'!E400:F413)</f>
        <v>4.9059814565432418E-3</v>
      </c>
      <c r="H377" s="829">
        <v>0</v>
      </c>
      <c r="I377" s="829">
        <v>0</v>
      </c>
      <c r="J377" s="829">
        <v>2.6850000000000002E-2</v>
      </c>
      <c r="K377" s="829">
        <v>0</v>
      </c>
      <c r="L377" s="829">
        <v>0</v>
      </c>
      <c r="M377" s="829">
        <v>3.8955183653872905E-2</v>
      </c>
      <c r="N377" s="829">
        <v>0</v>
      </c>
      <c r="O377" s="829">
        <v>0</v>
      </c>
      <c r="P377" s="829">
        <v>0</v>
      </c>
      <c r="Q377" s="829">
        <v>0</v>
      </c>
      <c r="R377" s="829">
        <v>0</v>
      </c>
      <c r="S377" s="829">
        <v>0</v>
      </c>
      <c r="T377" s="829">
        <v>0</v>
      </c>
      <c r="U377" s="829">
        <f t="shared" si="38"/>
        <v>5.0507975078868672E-3</v>
      </c>
      <c r="V377" t="str">
        <f t="shared" si="37"/>
        <v>DPCR5Outputs - reliabilityGuaranteed Standards of Performance (GSoP)% of Payments made vs Payments owed</v>
      </c>
    </row>
    <row r="378" spans="1:22">
      <c r="A378" s="900" t="s">
        <v>145</v>
      </c>
      <c r="B378" s="900" t="s">
        <v>256</v>
      </c>
      <c r="C378" s="900" t="s">
        <v>1293</v>
      </c>
      <c r="D378" t="s">
        <v>243</v>
      </c>
      <c r="E378" s="900" t="s">
        <v>1303</v>
      </c>
      <c r="F378" s="900" t="s">
        <v>1300</v>
      </c>
      <c r="G378" s="829">
        <v>6.2390730152978241E-3</v>
      </c>
      <c r="H378" s="829">
        <v>0</v>
      </c>
      <c r="I378" s="829">
        <v>0</v>
      </c>
      <c r="J378" s="829">
        <v>3.4145891488709515E-2</v>
      </c>
      <c r="K378" s="829">
        <v>0</v>
      </c>
      <c r="L378" s="829">
        <v>0</v>
      </c>
      <c r="M378" s="829">
        <v>4.9540390091914147E-2</v>
      </c>
      <c r="N378" s="829">
        <v>0</v>
      </c>
      <c r="O378" s="829">
        <v>0</v>
      </c>
      <c r="P378" s="829">
        <v>0</v>
      </c>
      <c r="Q378" s="829">
        <v>0</v>
      </c>
      <c r="R378" s="829">
        <v>0</v>
      </c>
      <c r="S378" s="829">
        <v>0</v>
      </c>
      <c r="T378" s="829">
        <v>0</v>
      </c>
      <c r="U378" s="829">
        <f t="shared" si="38"/>
        <v>6.4232396139943925E-3</v>
      </c>
      <c r="V378" t="str">
        <f t="shared" si="37"/>
        <v>DPCR5Regulation 19 (Payments owed under the Guaranteed Standards)Outputs - reliabilityGuaranteed Standards of Performance (GSoP)% of Payments made vs Payments owed</v>
      </c>
    </row>
    <row r="379" spans="1:22">
      <c r="A379" s="900" t="s">
        <v>138</v>
      </c>
      <c r="B379" s="900"/>
      <c r="C379" s="900" t="s">
        <v>1293</v>
      </c>
      <c r="D379" t="s">
        <v>275</v>
      </c>
      <c r="E379" t="s">
        <v>1304</v>
      </c>
      <c r="F379" t="s">
        <v>1289</v>
      </c>
      <c r="G379">
        <f t="array" ref="G379:T380">TRANSPOSE('Ch2 outputs - reliability'!I382:J395)</f>
        <v>0.27153421255932364</v>
      </c>
      <c r="H379">
        <v>0</v>
      </c>
      <c r="I379">
        <v>0</v>
      </c>
      <c r="J379">
        <v>7.3774047895785538E-2</v>
      </c>
      <c r="K379">
        <v>0.11643188284929355</v>
      </c>
      <c r="L379">
        <v>0.93293239041178599</v>
      </c>
      <c r="M379">
        <v>0.2458827153272552</v>
      </c>
      <c r="N379">
        <v>0</v>
      </c>
      <c r="O379">
        <v>0.42477779722125303</v>
      </c>
      <c r="P379">
        <v>0.24466455422639483</v>
      </c>
      <c r="Q379">
        <v>0</v>
      </c>
      <c r="R379">
        <v>0</v>
      </c>
      <c r="S379">
        <v>0</v>
      </c>
      <c r="T379">
        <v>0</v>
      </c>
      <c r="U379">
        <f t="shared" si="38"/>
        <v>0.16499982860650655</v>
      </c>
      <c r="V379" t="str">
        <f t="shared" si="37"/>
        <v>2016/17Outputs - reliabilityWorst Served CustomersExpenditure 12/13</v>
      </c>
    </row>
    <row r="380" spans="1:22">
      <c r="A380" s="900" t="s">
        <v>138</v>
      </c>
      <c r="B380" s="900"/>
      <c r="C380" s="900" t="s">
        <v>1293</v>
      </c>
      <c r="D380" t="s">
        <v>275</v>
      </c>
      <c r="E380" t="s">
        <v>1366</v>
      </c>
      <c r="F380" t="s">
        <v>1289</v>
      </c>
      <c r="G380">
        <v>0.34531760735653072</v>
      </c>
      <c r="H380">
        <v>0</v>
      </c>
      <c r="I380">
        <v>0</v>
      </c>
      <c r="J380">
        <v>9.382050778891439E-2</v>
      </c>
      <c r="K380">
        <v>0.14806966248037676</v>
      </c>
      <c r="L380">
        <v>1.1864360584470475</v>
      </c>
      <c r="M380">
        <v>0.31269588515879732</v>
      </c>
      <c r="N380">
        <v>0</v>
      </c>
      <c r="O380">
        <v>0.54020173447783837</v>
      </c>
      <c r="P380">
        <v>0.31114671581929099</v>
      </c>
      <c r="Q380">
        <v>0</v>
      </c>
      <c r="R380">
        <v>0</v>
      </c>
      <c r="S380">
        <v>0</v>
      </c>
      <c r="T380">
        <v>0</v>
      </c>
      <c r="U380">
        <f t="shared" si="38"/>
        <v>0.209834869394914</v>
      </c>
      <c r="V380" t="str">
        <f t="shared" si="37"/>
        <v>2016/17Outputs - reliabilityWorst Served CustomersExpenditure 21/22</v>
      </c>
    </row>
    <row r="381" spans="1:22">
      <c r="A381" s="900" t="s">
        <v>139</v>
      </c>
      <c r="B381" s="900"/>
      <c r="C381" s="900" t="s">
        <v>1293</v>
      </c>
      <c r="D381" t="s">
        <v>275</v>
      </c>
      <c r="E381" t="s">
        <v>1304</v>
      </c>
      <c r="F381" t="s">
        <v>1289</v>
      </c>
      <c r="G381">
        <f t="array" ref="G381:T382">TRANSPOSE('Ch2 outputs - reliability'!M382:N395)</f>
        <v>0.6657341858138387</v>
      </c>
      <c r="H381">
        <v>0</v>
      </c>
      <c r="I381">
        <v>0</v>
      </c>
      <c r="J381">
        <v>7.0845992113725303E-2</v>
      </c>
      <c r="K381">
        <v>7.7521179812882854E-2</v>
      </c>
      <c r="L381">
        <v>3.7648058623248506E-2</v>
      </c>
      <c r="M381">
        <v>7.9390232368646965E-2</v>
      </c>
      <c r="N381">
        <v>0</v>
      </c>
      <c r="O381">
        <v>3.0981239073709189E-2</v>
      </c>
      <c r="P381">
        <v>7.2707337050649773E-2</v>
      </c>
      <c r="Q381">
        <v>1.7947849260998152E-2</v>
      </c>
      <c r="R381">
        <v>2.4523939637669922E-2</v>
      </c>
      <c r="S381">
        <v>0</v>
      </c>
      <c r="T381">
        <v>0.27777389150552184</v>
      </c>
      <c r="U381">
        <f t="shared" si="38"/>
        <v>9.6790993232920813E-2</v>
      </c>
      <c r="V381" t="str">
        <f t="shared" si="37"/>
        <v>2017/18Outputs - reliabilityWorst Served CustomersExpenditure 12/13</v>
      </c>
    </row>
    <row r="382" spans="1:22">
      <c r="A382" s="900" t="s">
        <v>139</v>
      </c>
      <c r="B382" s="900"/>
      <c r="C382" s="900" t="s">
        <v>1293</v>
      </c>
      <c r="D382" t="s">
        <v>275</v>
      </c>
      <c r="E382" t="s">
        <v>1366</v>
      </c>
      <c r="F382" t="s">
        <v>1289</v>
      </c>
      <c r="G382">
        <v>0.84663267296550138</v>
      </c>
      <c r="H382">
        <v>0</v>
      </c>
      <c r="I382">
        <v>0</v>
      </c>
      <c r="J382">
        <v>9.0096817844515245E-2</v>
      </c>
      <c r="K382">
        <v>9.8585839626347732E-2</v>
      </c>
      <c r="L382">
        <v>4.7878082849535125E-2</v>
      </c>
      <c r="M382">
        <v>0.10096276572526082</v>
      </c>
      <c r="N382">
        <v>0</v>
      </c>
      <c r="O382">
        <v>3.9399703076225E-2</v>
      </c>
      <c r="P382">
        <v>9.2463941950261308E-2</v>
      </c>
      <c r="Q382">
        <v>2.282477889466511E-2</v>
      </c>
      <c r="R382">
        <v>3.1187775856370177E-2</v>
      </c>
      <c r="S382">
        <v>0</v>
      </c>
      <c r="T382">
        <v>0.35325278054912918</v>
      </c>
      <c r="U382">
        <f t="shared" si="38"/>
        <v>0.12309179709555794</v>
      </c>
      <c r="V382" t="str">
        <f t="shared" si="37"/>
        <v>2017/18Outputs - reliabilityWorst Served CustomersExpenditure 21/22</v>
      </c>
    </row>
    <row r="383" spans="1:22">
      <c r="A383" s="900" t="s">
        <v>140</v>
      </c>
      <c r="B383" s="900"/>
      <c r="C383" s="900" t="s">
        <v>1293</v>
      </c>
      <c r="D383" t="s">
        <v>275</v>
      </c>
      <c r="E383" t="s">
        <v>1304</v>
      </c>
      <c r="F383" t="s">
        <v>1289</v>
      </c>
      <c r="G383">
        <f t="array" ref="G383:T384">TRANSPOSE('Ch2 outputs - reliability'!Q382:R395)</f>
        <v>0.22700460065635281</v>
      </c>
      <c r="H383">
        <v>0</v>
      </c>
      <c r="I383">
        <v>0</v>
      </c>
      <c r="J383">
        <v>1.4077267496858545E-2</v>
      </c>
      <c r="K383">
        <v>0</v>
      </c>
      <c r="L383">
        <v>0.29700443510243268</v>
      </c>
      <c r="M383">
        <v>7.3063609216824088E-2</v>
      </c>
      <c r="N383">
        <v>0</v>
      </c>
      <c r="O383">
        <v>7.4568262300442098E-2</v>
      </c>
      <c r="P383">
        <v>7.2408603992936485E-2</v>
      </c>
      <c r="Q383">
        <v>0</v>
      </c>
      <c r="R383">
        <v>4.8214209358719135E-4</v>
      </c>
      <c r="S383">
        <v>0</v>
      </c>
      <c r="T383">
        <v>0.27177782492993491</v>
      </c>
      <c r="U383">
        <f t="shared" si="38"/>
        <v>7.3599053270669193E-2</v>
      </c>
      <c r="V383" t="str">
        <f t="shared" si="37"/>
        <v>2018/19Outputs - reliabilityWorst Served CustomersExpenditure 12/13</v>
      </c>
    </row>
    <row r="384" spans="1:22">
      <c r="A384" s="900" t="s">
        <v>140</v>
      </c>
      <c r="B384" s="900"/>
      <c r="C384" s="900" t="s">
        <v>1293</v>
      </c>
      <c r="D384" t="s">
        <v>275</v>
      </c>
      <c r="E384" t="s">
        <v>1366</v>
      </c>
      <c r="F384" t="s">
        <v>1289</v>
      </c>
      <c r="G384">
        <v>0.28868806187894447</v>
      </c>
      <c r="H384">
        <v>0</v>
      </c>
      <c r="I384">
        <v>0</v>
      </c>
      <c r="J384">
        <v>1.7902452454572414E-2</v>
      </c>
      <c r="K384">
        <v>0</v>
      </c>
      <c r="L384">
        <v>0.37770879749248171</v>
      </c>
      <c r="M384">
        <v>9.2917023169130419E-2</v>
      </c>
      <c r="N384">
        <v>0</v>
      </c>
      <c r="O384">
        <v>9.4830532328213202E-2</v>
      </c>
      <c r="P384">
        <v>9.2084034815335114E-2</v>
      </c>
      <c r="Q384">
        <v>0</v>
      </c>
      <c r="R384">
        <v>6.1315350501927235E-4</v>
      </c>
      <c r="S384">
        <v>0</v>
      </c>
      <c r="T384">
        <v>0.34562741598119362</v>
      </c>
      <c r="U384">
        <f t="shared" si="38"/>
        <v>9.3597962258920725E-2</v>
      </c>
      <c r="V384" t="str">
        <f t="shared" si="37"/>
        <v>2018/19Outputs - reliabilityWorst Served CustomersExpenditure 21/22</v>
      </c>
    </row>
    <row r="385" spans="1:22">
      <c r="A385" s="900" t="s">
        <v>141</v>
      </c>
      <c r="B385" s="900"/>
      <c r="C385" s="900" t="s">
        <v>1293</v>
      </c>
      <c r="D385" t="s">
        <v>275</v>
      </c>
      <c r="E385" t="s">
        <v>1304</v>
      </c>
      <c r="F385" t="s">
        <v>1289</v>
      </c>
      <c r="G385">
        <f t="array" ref="G385:T386">TRANSPOSE('Ch2 outputs - reliability'!U382:V395)</f>
        <v>4.727705967220025E-2</v>
      </c>
      <c r="H385">
        <v>0</v>
      </c>
      <c r="I385">
        <v>0</v>
      </c>
      <c r="J385">
        <v>3.7041102111876466E-2</v>
      </c>
      <c r="K385">
        <v>0</v>
      </c>
      <c r="L385">
        <v>0.10632479992568176</v>
      </c>
      <c r="M385">
        <v>0</v>
      </c>
      <c r="N385">
        <v>0</v>
      </c>
      <c r="O385">
        <v>0.23389287526245381</v>
      </c>
      <c r="P385">
        <v>0.29954201897997823</v>
      </c>
      <c r="Q385">
        <v>0</v>
      </c>
      <c r="R385">
        <v>0</v>
      </c>
      <c r="S385">
        <v>0</v>
      </c>
      <c r="T385">
        <v>0.92433630658507726</v>
      </c>
      <c r="U385">
        <f>AVERAGE(G385:T385)</f>
        <v>0.11774386875266199</v>
      </c>
      <c r="V385" t="str">
        <f t="shared" si="37"/>
        <v>2019/20Outputs - reliabilityWorst Served CustomersExpenditure 12/13</v>
      </c>
    </row>
    <row r="386" spans="1:22">
      <c r="A386" s="900" t="s">
        <v>141</v>
      </c>
      <c r="B386" s="900"/>
      <c r="C386" s="900" t="s">
        <v>1293</v>
      </c>
      <c r="D386" t="s">
        <v>275</v>
      </c>
      <c r="E386" t="s">
        <v>1366</v>
      </c>
      <c r="F386" t="s">
        <v>1289</v>
      </c>
      <c r="G386">
        <v>6.0123551190770737E-2</v>
      </c>
      <c r="H386">
        <v>0</v>
      </c>
      <c r="I386">
        <v>0</v>
      </c>
      <c r="J386">
        <v>4.7106199379305123E-2</v>
      </c>
      <c r="K386">
        <v>0</v>
      </c>
      <c r="L386">
        <v>0.1352162041274145</v>
      </c>
      <c r="M386">
        <v>0</v>
      </c>
      <c r="N386">
        <v>0</v>
      </c>
      <c r="O386">
        <v>0.29744807220461889</v>
      </c>
      <c r="P386">
        <v>0.38093591345993677</v>
      </c>
      <c r="Q386">
        <v>0</v>
      </c>
      <c r="R386">
        <v>0</v>
      </c>
      <c r="S386">
        <v>0</v>
      </c>
      <c r="T386">
        <v>1.1755041796546957</v>
      </c>
      <c r="U386">
        <f>AVERAGE(G386:T386)</f>
        <v>0.14973815142976729</v>
      </c>
      <c r="V386" t="str">
        <f t="shared" si="37"/>
        <v>2019/20Outputs - reliabilityWorst Served CustomersExpenditure 21/22</v>
      </c>
    </row>
    <row r="387" spans="1:22">
      <c r="A387" s="900" t="s">
        <v>126</v>
      </c>
      <c r="B387" s="900"/>
      <c r="C387" s="900" t="s">
        <v>1293</v>
      </c>
      <c r="D387" t="s">
        <v>275</v>
      </c>
      <c r="E387" t="s">
        <v>1304</v>
      </c>
      <c r="F387" t="s">
        <v>1289</v>
      </c>
      <c r="G387" cm="1">
        <f t="array" ref="G387:T388">TRANSPOSE('Ch2 outputs - reliability'!Y382:Z395)</f>
        <v>0.15800112717352943</v>
      </c>
      <c r="H387">
        <v>0</v>
      </c>
      <c r="I387">
        <v>0</v>
      </c>
      <c r="J387">
        <v>7.0865562758569117E-2</v>
      </c>
      <c r="K387">
        <v>3.7844872130456515E-2</v>
      </c>
      <c r="L387">
        <v>0</v>
      </c>
      <c r="M387">
        <v>1.7134161887635259E-2</v>
      </c>
      <c r="N387">
        <v>0</v>
      </c>
      <c r="O387">
        <v>0.19195492267758296</v>
      </c>
      <c r="P387">
        <v>0.14441405607321814</v>
      </c>
      <c r="Q387">
        <v>0.10176575571101161</v>
      </c>
      <c r="R387">
        <v>0</v>
      </c>
      <c r="S387">
        <v>0</v>
      </c>
      <c r="T387">
        <v>4.6208114770691491E-2</v>
      </c>
      <c r="U387">
        <f>AVERAGE(G387:T387)</f>
        <v>5.4870612370192473E-2</v>
      </c>
      <c r="V387" t="str">
        <f t="shared" si="37"/>
        <v>2020/21Outputs - reliabilityWorst Served CustomersExpenditure 12/13</v>
      </c>
    </row>
    <row r="388" spans="1:22">
      <c r="A388" s="900" t="s">
        <v>126</v>
      </c>
      <c r="B388" s="900"/>
      <c r="C388" s="900" t="s">
        <v>1293</v>
      </c>
      <c r="D388" t="s">
        <v>275</v>
      </c>
      <c r="E388" t="s">
        <v>1366</v>
      </c>
      <c r="F388" t="s">
        <v>1289</v>
      </c>
      <c r="G388">
        <v>0.20093442620339397</v>
      </c>
      <c r="H388">
        <v>0</v>
      </c>
      <c r="I388">
        <v>0</v>
      </c>
      <c r="J388">
        <v>9.0121706377669836E-2</v>
      </c>
      <c r="K388">
        <v>4.8128376058497395E-2</v>
      </c>
      <c r="L388">
        <v>0</v>
      </c>
      <c r="M388">
        <v>2.1789990039671348E-2</v>
      </c>
      <c r="N388">
        <v>0</v>
      </c>
      <c r="O388">
        <v>0.24411441193565636</v>
      </c>
      <c r="P388">
        <v>0.18365537013484237</v>
      </c>
      <c r="Q388">
        <v>0.1294183408482206</v>
      </c>
      <c r="R388">
        <v>0</v>
      </c>
      <c r="S388">
        <v>0</v>
      </c>
      <c r="T388">
        <v>5.8764144240516465E-2</v>
      </c>
      <c r="U388">
        <f>AVERAGE(G388:T388)</f>
        <v>6.9780483274176311E-2</v>
      </c>
      <c r="V388" t="str">
        <f t="shared" si="37"/>
        <v>2020/21Outputs - reliabilityWorst Served CustomersExpenditure 21/22</v>
      </c>
    </row>
    <row r="389" spans="1:22">
      <c r="A389" s="900" t="s">
        <v>142</v>
      </c>
      <c r="B389" s="900"/>
      <c r="C389" s="900" t="s">
        <v>1293</v>
      </c>
      <c r="D389" t="s">
        <v>275</v>
      </c>
      <c r="E389" t="s">
        <v>1304</v>
      </c>
      <c r="F389" t="s">
        <v>1289</v>
      </c>
      <c r="G389" cm="1">
        <f t="array" ref="G389:T390">TRANSPOSE('Ch2 outputs - reliability'!AC382:AD395)</f>
        <v>5.2792788884396959E-2</v>
      </c>
      <c r="H389">
        <v>0</v>
      </c>
      <c r="I389">
        <v>0</v>
      </c>
      <c r="J389">
        <v>8.9878301377435271E-2</v>
      </c>
      <c r="K389">
        <v>3.6171494867559252E-2</v>
      </c>
      <c r="L389">
        <v>9.2945015072728315E-2</v>
      </c>
      <c r="M389">
        <v>7.9184120286156873E-2</v>
      </c>
      <c r="N389">
        <v>0</v>
      </c>
      <c r="O389">
        <v>0.20441103941160546</v>
      </c>
      <c r="P389">
        <v>1.0066826732270928</v>
      </c>
      <c r="Q389">
        <v>0</v>
      </c>
      <c r="R389">
        <v>0</v>
      </c>
      <c r="S389">
        <v>0</v>
      </c>
      <c r="T389">
        <v>1.3106945612839779E-2</v>
      </c>
      <c r="U389">
        <f t="shared" ref="U389:U390" si="39">AVERAGE(G389:T389)</f>
        <v>0.11251231276712961</v>
      </c>
      <c r="V389" t="str">
        <f t="shared" si="37"/>
        <v>2021/22Outputs - reliabilityWorst Served CustomersExpenditure 12/13</v>
      </c>
    </row>
    <row r="390" spans="1:22">
      <c r="A390" s="900" t="s">
        <v>142</v>
      </c>
      <c r="B390" s="900"/>
      <c r="C390" s="900" t="s">
        <v>1293</v>
      </c>
      <c r="D390" t="s">
        <v>275</v>
      </c>
      <c r="E390" t="s">
        <v>1366</v>
      </c>
      <c r="F390" t="s">
        <v>1289</v>
      </c>
      <c r="G390">
        <v>6.7138057379253949E-2</v>
      </c>
      <c r="H390">
        <v>0</v>
      </c>
      <c r="I390">
        <v>0</v>
      </c>
      <c r="J390">
        <v>0.11430073467498829</v>
      </c>
      <c r="K390">
        <v>4.6000295669724071E-2</v>
      </c>
      <c r="L390">
        <v>0.11820075974263879</v>
      </c>
      <c r="M390">
        <v>0.1007006472595916</v>
      </c>
      <c r="N390">
        <v>0</v>
      </c>
      <c r="O390">
        <v>0.25995520189359417</v>
      </c>
      <c r="P390">
        <v>1.2802263435223959</v>
      </c>
      <c r="Q390">
        <v>0</v>
      </c>
      <c r="R390">
        <v>0</v>
      </c>
      <c r="S390">
        <v>0</v>
      </c>
      <c r="T390">
        <v>1.6668467137595691E-2</v>
      </c>
      <c r="U390">
        <f t="shared" si="39"/>
        <v>0.14308503623427019</v>
      </c>
      <c r="V390" t="str">
        <f t="shared" si="37"/>
        <v>2021/22Outputs - reliabilityWorst Served CustomersExpenditure 21/22</v>
      </c>
    </row>
    <row r="391" spans="1:22">
      <c r="A391" s="1088" t="s">
        <v>137</v>
      </c>
      <c r="B391" s="1088"/>
      <c r="C391" s="1088" t="s">
        <v>1293</v>
      </c>
      <c r="D391" s="1087" t="s">
        <v>290</v>
      </c>
      <c r="E391" s="1087" t="s">
        <v>839</v>
      </c>
      <c r="F391" s="1087" t="s">
        <v>1289</v>
      </c>
      <c r="G391" s="1087">
        <f t="array" ref="G391:T398">TRANSPOSE('Ch2 outputs - reliability'!E421:L434)</f>
        <v>1.0231135969828125</v>
      </c>
      <c r="H391" s="1087">
        <v>0.98632589963739714</v>
      </c>
      <c r="I391" s="1087">
        <v>1.2644149561267246</v>
      </c>
      <c r="J391" s="1087">
        <v>0.29310526019539673</v>
      </c>
      <c r="K391" s="1087">
        <v>0.52908068248688034</v>
      </c>
      <c r="L391" s="1087">
        <v>0.11094996115045777</v>
      </c>
      <c r="M391" s="1087">
        <v>0.24685208931870709</v>
      </c>
      <c r="N391" s="1087">
        <v>0.44079192159919312</v>
      </c>
      <c r="O391" s="1087">
        <v>0.7362004982197079</v>
      </c>
      <c r="P391" s="1087">
        <v>0.95853551031491802</v>
      </c>
      <c r="Q391" s="1087">
        <v>0.30704088617963587</v>
      </c>
      <c r="R391" s="1087">
        <v>0.69361116614912077</v>
      </c>
      <c r="S391" s="1087">
        <v>0.84539117845025213</v>
      </c>
      <c r="T391" s="1087">
        <v>0.70525333665139067</v>
      </c>
      <c r="U391" s="1087">
        <f t="shared" si="38"/>
        <v>0.6529047816758996</v>
      </c>
      <c r="V391" s="1087" t="str">
        <f t="shared" si="37"/>
        <v>2015/16Outputs - reliabilityResilienceBlackstart Baseline</v>
      </c>
    </row>
    <row r="392" spans="1:22">
      <c r="A392" t="s">
        <v>138</v>
      </c>
      <c r="B392" s="900"/>
      <c r="C392" s="900" t="s">
        <v>1293</v>
      </c>
      <c r="D392" t="s">
        <v>290</v>
      </c>
      <c r="E392" t="s">
        <v>839</v>
      </c>
      <c r="F392" t="s">
        <v>1289</v>
      </c>
      <c r="G392">
        <v>0.90797460308216715</v>
      </c>
      <c r="H392">
        <v>0.94021961360228767</v>
      </c>
      <c r="I392">
        <v>1.2209757597084936</v>
      </c>
      <c r="J392">
        <v>0.62025699754064401</v>
      </c>
      <c r="K392">
        <v>1.1798821167169296</v>
      </c>
      <c r="L392">
        <v>0.29136120529617182</v>
      </c>
      <c r="M392">
        <v>0.64030984196443763</v>
      </c>
      <c r="N392">
        <v>0.43854493791209298</v>
      </c>
      <c r="O392">
        <v>0.80436574116317006</v>
      </c>
      <c r="P392">
        <v>0.97943290844055131</v>
      </c>
      <c r="Q392">
        <v>0.29486783544198109</v>
      </c>
      <c r="R392">
        <v>0.81263595098687547</v>
      </c>
      <c r="S392">
        <v>0.83487286205075162</v>
      </c>
      <c r="T392">
        <v>0.45732390658814032</v>
      </c>
      <c r="U392">
        <f t="shared" si="38"/>
        <v>0.7445017343210496</v>
      </c>
      <c r="V392" t="str">
        <f t="shared" si="37"/>
        <v>2016/17Outputs - reliabilityResilienceBlackstart Baseline</v>
      </c>
    </row>
    <row r="393" spans="1:22">
      <c r="A393" t="s">
        <v>139</v>
      </c>
      <c r="B393" s="900"/>
      <c r="C393" s="900" t="s">
        <v>1293</v>
      </c>
      <c r="D393" t="s">
        <v>290</v>
      </c>
      <c r="E393" t="s">
        <v>839</v>
      </c>
      <c r="F393" t="s">
        <v>1289</v>
      </c>
      <c r="G393">
        <v>0.98702830005077447</v>
      </c>
      <c r="H393">
        <v>0.56899407756807274</v>
      </c>
      <c r="I393">
        <v>1.1803118935597876</v>
      </c>
      <c r="J393">
        <v>0.94441472413524252</v>
      </c>
      <c r="K393">
        <v>1.7786734679560345</v>
      </c>
      <c r="L393">
        <v>0.42561223418389182</v>
      </c>
      <c r="M393">
        <v>0.934709492122617</v>
      </c>
      <c r="N393">
        <v>0.37170456525466677</v>
      </c>
      <c r="O393">
        <v>0.73717473597580563</v>
      </c>
      <c r="P393">
        <v>1.0107346664399752</v>
      </c>
      <c r="Q393">
        <v>0.30044919870599718</v>
      </c>
      <c r="R393">
        <v>0.78221930595512124</v>
      </c>
      <c r="S393">
        <v>0.80669192384818356</v>
      </c>
      <c r="T393">
        <v>0.17771698505997899</v>
      </c>
      <c r="U393">
        <f t="shared" si="38"/>
        <v>0.78617396934401074</v>
      </c>
      <c r="V393" t="str">
        <f t="shared" si="37"/>
        <v>2017/18Outputs - reliabilityResilienceBlackstart Baseline</v>
      </c>
    </row>
    <row r="394" spans="1:22">
      <c r="A394" t="s">
        <v>140</v>
      </c>
      <c r="B394" s="900"/>
      <c r="C394" s="900" t="s">
        <v>1293</v>
      </c>
      <c r="D394" t="s">
        <v>290</v>
      </c>
      <c r="E394" t="s">
        <v>839</v>
      </c>
      <c r="F394" t="s">
        <v>1289</v>
      </c>
      <c r="G394">
        <v>0.94229627814058525</v>
      </c>
      <c r="H394">
        <v>0.38075370681258947</v>
      </c>
      <c r="I394">
        <v>1.0185104595155632</v>
      </c>
      <c r="J394">
        <v>1.0442780480239542</v>
      </c>
      <c r="K394">
        <v>1.9928920577143547</v>
      </c>
      <c r="L394">
        <v>0.49212527791163008</v>
      </c>
      <c r="M394">
        <v>1.0818558393062885</v>
      </c>
      <c r="N394">
        <v>0.34671846051418326</v>
      </c>
      <c r="O394">
        <v>0.73575241223351096</v>
      </c>
      <c r="P394">
        <v>1.0432317742860142</v>
      </c>
      <c r="Q394">
        <v>0.29026623601143442</v>
      </c>
      <c r="R394">
        <v>0.72793553494924201</v>
      </c>
      <c r="S394">
        <v>0.81011332868280883</v>
      </c>
      <c r="T394">
        <v>0.17000155880649284</v>
      </c>
      <c r="U394">
        <f t="shared" si="38"/>
        <v>0.79119506949347518</v>
      </c>
      <c r="V394" t="str">
        <f t="shared" si="37"/>
        <v>2018/19Outputs - reliabilityResilienceBlackstart Baseline</v>
      </c>
    </row>
    <row r="395" spans="1:22">
      <c r="A395" t="s">
        <v>141</v>
      </c>
      <c r="B395" s="900"/>
      <c r="C395" s="900" t="s">
        <v>1293</v>
      </c>
      <c r="D395" t="s">
        <v>290</v>
      </c>
      <c r="E395" t="s">
        <v>839</v>
      </c>
      <c r="F395" t="s">
        <v>1289</v>
      </c>
      <c r="G395">
        <v>0.98305482443418402</v>
      </c>
      <c r="H395">
        <v>0.35807304132116163</v>
      </c>
      <c r="I395">
        <v>0.51003941253026941</v>
      </c>
      <c r="J395">
        <v>0.72090033588423452</v>
      </c>
      <c r="K395">
        <v>1.3940837045446857</v>
      </c>
      <c r="L395">
        <v>0.3584579340405768</v>
      </c>
      <c r="M395">
        <v>0.78952939310485248</v>
      </c>
      <c r="N395">
        <v>0.29669279311639896</v>
      </c>
      <c r="O395">
        <v>0.6381312757485208</v>
      </c>
      <c r="P395">
        <v>0.89846257011822972</v>
      </c>
      <c r="Q395">
        <v>0.27735890293934623</v>
      </c>
      <c r="R395">
        <v>0.66104449734158099</v>
      </c>
      <c r="S395">
        <v>0.44428206121493591</v>
      </c>
      <c r="T395">
        <v>0.16070942448368078</v>
      </c>
      <c r="U395">
        <f t="shared" si="38"/>
        <v>0.60648715505876127</v>
      </c>
      <c r="V395" t="str">
        <f t="shared" si="37"/>
        <v>2019/20Outputs - reliabilityResilienceBlackstart Baseline</v>
      </c>
    </row>
    <row r="396" spans="1:22">
      <c r="A396" t="s">
        <v>126</v>
      </c>
      <c r="B396" s="900"/>
      <c r="C396" s="900" t="s">
        <v>1293</v>
      </c>
      <c r="D396" t="s">
        <v>290</v>
      </c>
      <c r="E396" t="s">
        <v>839</v>
      </c>
      <c r="F396" t="s">
        <v>1289</v>
      </c>
      <c r="G396">
        <v>1.8296956712259498</v>
      </c>
      <c r="H396">
        <v>0.27818334386942528</v>
      </c>
      <c r="I396">
        <v>0.49050086694801265</v>
      </c>
      <c r="J396">
        <v>0.39511377234710016</v>
      </c>
      <c r="K396">
        <v>0.79228189587602704</v>
      </c>
      <c r="L396">
        <v>0.22489993884116866</v>
      </c>
      <c r="M396">
        <v>0.49680531105875103</v>
      </c>
      <c r="N396">
        <v>0.20412028227639614</v>
      </c>
      <c r="O396">
        <v>0.47678059487334468</v>
      </c>
      <c r="P396">
        <v>0.63228063375785493</v>
      </c>
      <c r="Q396">
        <v>0.27114917950538497</v>
      </c>
      <c r="R396">
        <v>0.65872449804625777</v>
      </c>
      <c r="S396">
        <v>0.43976587231181896</v>
      </c>
      <c r="T396">
        <v>0.15055487611965171</v>
      </c>
      <c r="U396">
        <f t="shared" si="38"/>
        <v>0.52434690978979615</v>
      </c>
      <c r="V396" t="str">
        <f t="shared" si="37"/>
        <v>2020/21Outputs - reliabilityResilienceBlackstart Baseline</v>
      </c>
    </row>
    <row r="397" spans="1:22">
      <c r="A397" t="s">
        <v>142</v>
      </c>
      <c r="B397" s="900"/>
      <c r="C397" s="900" t="s">
        <v>1293</v>
      </c>
      <c r="D397" t="s">
        <v>290</v>
      </c>
      <c r="E397" t="s">
        <v>839</v>
      </c>
      <c r="F397" t="s">
        <v>1289</v>
      </c>
      <c r="G397">
        <v>1.8207371436328925</v>
      </c>
      <c r="H397">
        <v>0.24346541092742865</v>
      </c>
      <c r="I397">
        <v>0.40912932714813738</v>
      </c>
      <c r="J397">
        <v>0.3971933414603101</v>
      </c>
      <c r="K397">
        <v>0.79475302353814059</v>
      </c>
      <c r="L397">
        <v>0.22611943614191093</v>
      </c>
      <c r="M397">
        <v>0.49539227963523441</v>
      </c>
      <c r="N397">
        <v>0.17812625429327988</v>
      </c>
      <c r="O397">
        <v>0.44264414552108433</v>
      </c>
      <c r="P397">
        <v>0.61081833552455334</v>
      </c>
      <c r="Q397">
        <v>0.24181557626172767</v>
      </c>
      <c r="R397">
        <v>0.54950002888237481</v>
      </c>
      <c r="S397">
        <v>0.44052672231257317</v>
      </c>
      <c r="T397">
        <v>0.14735995285926684</v>
      </c>
      <c r="U397">
        <f t="shared" si="38"/>
        <v>0.49982721272420821</v>
      </c>
      <c r="V397" t="str">
        <f t="shared" si="37"/>
        <v>2021/22Outputs - reliabilityResilienceBlackstart Baseline</v>
      </c>
    </row>
    <row r="398" spans="1:22">
      <c r="A398" t="s">
        <v>143</v>
      </c>
      <c r="B398" s="900"/>
      <c r="C398" s="900" t="s">
        <v>1293</v>
      </c>
      <c r="D398" t="s">
        <v>290</v>
      </c>
      <c r="E398" t="s">
        <v>839</v>
      </c>
      <c r="F398" t="s">
        <v>1289</v>
      </c>
      <c r="G398">
        <v>1.8000850708734804</v>
      </c>
      <c r="H398">
        <v>0.24366259539774912</v>
      </c>
      <c r="I398">
        <v>0.45319314745061035</v>
      </c>
      <c r="J398">
        <v>0.16476167406358741</v>
      </c>
      <c r="K398">
        <v>0.35320850375509638</v>
      </c>
      <c r="L398">
        <v>0.11283034211285412</v>
      </c>
      <c r="M398">
        <v>0.25021463530500948</v>
      </c>
      <c r="N398">
        <v>0.16467546564618837</v>
      </c>
      <c r="O398">
        <v>0.42420878694514824</v>
      </c>
      <c r="P398">
        <v>0.56145076537064964</v>
      </c>
      <c r="Q398">
        <v>0.22712921235501438</v>
      </c>
      <c r="R398">
        <v>0.4340212635911494</v>
      </c>
      <c r="S398">
        <v>0.42762355501630284</v>
      </c>
      <c r="T398">
        <v>0.14981974705916196</v>
      </c>
      <c r="U398">
        <f t="shared" si="38"/>
        <v>0.41192034035300013</v>
      </c>
      <c r="V398" t="str">
        <f t="shared" si="37"/>
        <v>2022/23Outputs - reliabilityResilienceBlackstart Baseline</v>
      </c>
    </row>
    <row r="399" spans="1:22">
      <c r="A399" s="900" t="s">
        <v>137</v>
      </c>
      <c r="B399" s="900"/>
      <c r="C399" s="900" t="s">
        <v>1293</v>
      </c>
      <c r="D399" t="s">
        <v>290</v>
      </c>
      <c r="E399" t="s">
        <v>841</v>
      </c>
      <c r="F399" t="s">
        <v>1289</v>
      </c>
      <c r="G399" cm="1">
        <f t="array" ref="G399:T405">TRANSPOSE('Ch2 outputs - reliability'!N421:T434)</f>
        <v>6.1680912721397405E-2</v>
      </c>
      <c r="H399">
        <v>0.8590293309405288</v>
      </c>
      <c r="I399">
        <v>0.80536300836807684</v>
      </c>
      <c r="J399">
        <v>0.64862313738036415</v>
      </c>
      <c r="K399">
        <v>0.97545339798714881</v>
      </c>
      <c r="L399">
        <v>0.95986149564627488</v>
      </c>
      <c r="M399">
        <v>0.98852660841142048</v>
      </c>
      <c r="N399">
        <v>0</v>
      </c>
      <c r="O399">
        <v>0</v>
      </c>
      <c r="P399">
        <v>4.4883075088965045E-2</v>
      </c>
      <c r="Q399">
        <v>0</v>
      </c>
      <c r="R399">
        <v>0</v>
      </c>
      <c r="S399">
        <v>1.1406076250901003</v>
      </c>
      <c r="T399">
        <v>0.72202501609278691</v>
      </c>
      <c r="U399">
        <f t="shared" si="38"/>
        <v>0.5147181148376474</v>
      </c>
      <c r="V399" t="str">
        <f t="shared" si="37"/>
        <v>2015/16Outputs - reliabilityResilienceBlackstart Actual</v>
      </c>
    </row>
    <row r="400" spans="1:22">
      <c r="A400" s="900" t="s">
        <v>138</v>
      </c>
      <c r="B400" s="900"/>
      <c r="C400" s="900" t="s">
        <v>1293</v>
      </c>
      <c r="D400" t="s">
        <v>290</v>
      </c>
      <c r="E400" t="s">
        <v>841</v>
      </c>
      <c r="F400" t="s">
        <v>1289</v>
      </c>
      <c r="G400">
        <v>8.2782268898683731E-3</v>
      </c>
      <c r="H400">
        <v>1.4122945291592788</v>
      </c>
      <c r="I400">
        <v>1.5766978513270038</v>
      </c>
      <c r="J400">
        <v>1.5689881943605846</v>
      </c>
      <c r="K400">
        <v>2.0054444971923679</v>
      </c>
      <c r="L400">
        <v>1.2545329942035985</v>
      </c>
      <c r="M400">
        <v>1.5506704157106628</v>
      </c>
      <c r="N400">
        <v>0.7285433238421084</v>
      </c>
      <c r="O400">
        <v>0.58609460584030948</v>
      </c>
      <c r="P400">
        <v>0.83916229349953086</v>
      </c>
      <c r="Q400">
        <v>0</v>
      </c>
      <c r="R400">
        <v>0.1635909643562794</v>
      </c>
      <c r="S400">
        <v>0.59286757580160887</v>
      </c>
      <c r="T400">
        <v>0.51866191396796879</v>
      </c>
      <c r="U400">
        <f t="shared" si="38"/>
        <v>0.91470195615365502</v>
      </c>
      <c r="V400" t="str">
        <f t="shared" si="37"/>
        <v>2016/17Outputs - reliabilityResilienceBlackstart Actual</v>
      </c>
    </row>
    <row r="401" spans="1:22">
      <c r="A401" s="900" t="s">
        <v>139</v>
      </c>
      <c r="B401" s="900"/>
      <c r="C401" s="900" t="s">
        <v>1293</v>
      </c>
      <c r="D401" t="s">
        <v>290</v>
      </c>
      <c r="E401" t="s">
        <v>841</v>
      </c>
      <c r="F401" t="s">
        <v>1289</v>
      </c>
      <c r="G401">
        <v>0.15136285222840734</v>
      </c>
      <c r="H401">
        <v>1.0932633940441985</v>
      </c>
      <c r="I401">
        <v>1.6906437959838381</v>
      </c>
      <c r="J401">
        <v>1.0947372124492558</v>
      </c>
      <c r="K401">
        <v>1.9541602536121176</v>
      </c>
      <c r="L401">
        <v>1.2302211292505127</v>
      </c>
      <c r="M401">
        <v>2.3566504859807642</v>
      </c>
      <c r="N401">
        <v>1.3759852747422321</v>
      </c>
      <c r="O401">
        <v>1.225406656270015</v>
      </c>
      <c r="P401">
        <v>0.69626532221068116</v>
      </c>
      <c r="Q401">
        <v>0</v>
      </c>
      <c r="R401">
        <v>0.128209327003448</v>
      </c>
      <c r="S401">
        <v>0.16194642716821625</v>
      </c>
      <c r="T401">
        <v>1.0269850106948506</v>
      </c>
      <c r="U401">
        <f t="shared" si="38"/>
        <v>1.0132740815456101</v>
      </c>
      <c r="V401" t="str">
        <f t="shared" si="37"/>
        <v>2017/18Outputs - reliabilityResilienceBlackstart Actual</v>
      </c>
    </row>
    <row r="402" spans="1:22">
      <c r="A402" s="900" t="s">
        <v>140</v>
      </c>
      <c r="B402" s="900"/>
      <c r="C402" s="900" t="s">
        <v>1293</v>
      </c>
      <c r="D402" t="s">
        <v>290</v>
      </c>
      <c r="E402" t="s">
        <v>841</v>
      </c>
      <c r="F402" t="s">
        <v>1289</v>
      </c>
      <c r="G402">
        <v>0.62367327504445336</v>
      </c>
      <c r="H402">
        <v>0.71277749871801177</v>
      </c>
      <c r="I402">
        <v>1.4124466778469076</v>
      </c>
      <c r="J402">
        <v>0.87172301735213975</v>
      </c>
      <c r="K402">
        <v>1.0954473195250398</v>
      </c>
      <c r="L402">
        <v>0.36211046846541572</v>
      </c>
      <c r="M402">
        <v>1.1092859361542915</v>
      </c>
      <c r="N402">
        <v>1.1034318760701685</v>
      </c>
      <c r="O402">
        <v>2.3408300214314961</v>
      </c>
      <c r="P402">
        <v>2.5388110358619231</v>
      </c>
      <c r="Q402">
        <v>0</v>
      </c>
      <c r="R402">
        <v>0.24715873698885898</v>
      </c>
      <c r="S402">
        <v>0.88649839190159163</v>
      </c>
      <c r="T402">
        <v>0.31122433749558776</v>
      </c>
      <c r="U402">
        <f t="shared" si="38"/>
        <v>0.97252989948970592</v>
      </c>
      <c r="V402" t="str">
        <f t="shared" si="37"/>
        <v>2018/19Outputs - reliabilityResilienceBlackstart Actual</v>
      </c>
    </row>
    <row r="403" spans="1:22">
      <c r="A403" s="900" t="s">
        <v>141</v>
      </c>
      <c r="B403" s="900"/>
      <c r="C403" s="900" t="s">
        <v>1293</v>
      </c>
      <c r="D403" t="s">
        <v>290</v>
      </c>
      <c r="E403" t="s">
        <v>841</v>
      </c>
      <c r="F403" t="s">
        <v>1289</v>
      </c>
      <c r="G403">
        <v>1.4403735675211435</v>
      </c>
      <c r="H403">
        <v>0.36271086493985411</v>
      </c>
      <c r="I403">
        <v>0.49729663850506867</v>
      </c>
      <c r="J403">
        <v>0.395047178315591</v>
      </c>
      <c r="K403">
        <v>1.1517391719022028</v>
      </c>
      <c r="L403">
        <v>0.1049176787938426</v>
      </c>
      <c r="M403">
        <v>0.42202601000543621</v>
      </c>
      <c r="N403">
        <v>0.41131378973926913</v>
      </c>
      <c r="O403">
        <v>0.96422646547149726</v>
      </c>
      <c r="P403">
        <v>2.1147981773545483</v>
      </c>
      <c r="Q403">
        <v>1.5038824993117175E-2</v>
      </c>
      <c r="R403">
        <v>0.32672083763997078</v>
      </c>
      <c r="S403">
        <v>1.9675094539467801E-2</v>
      </c>
      <c r="T403">
        <v>0.19832826493060193</v>
      </c>
      <c r="U403">
        <f>AVERAGE(G403:T403)</f>
        <v>0.60172946890368639</v>
      </c>
      <c r="V403" t="str">
        <f t="shared" si="37"/>
        <v>2019/20Outputs - reliabilityResilienceBlackstart Actual</v>
      </c>
    </row>
    <row r="404" spans="1:22">
      <c r="A404" s="900" t="s">
        <v>126</v>
      </c>
      <c r="B404" s="900"/>
      <c r="C404" s="900" t="s">
        <v>1293</v>
      </c>
      <c r="D404" t="s">
        <v>290</v>
      </c>
      <c r="E404" t="s">
        <v>841</v>
      </c>
      <c r="F404" t="s">
        <v>1289</v>
      </c>
      <c r="G404">
        <v>0.98425312202869275</v>
      </c>
      <c r="H404">
        <v>0.32880013088368171</v>
      </c>
      <c r="I404">
        <v>0.70339109204955008</v>
      </c>
      <c r="J404">
        <v>1.057759707921011E-3</v>
      </c>
      <c r="K404">
        <v>0.35868631695601488</v>
      </c>
      <c r="L404">
        <v>4.707030700248499E-2</v>
      </c>
      <c r="M404">
        <v>0.5270816624570398</v>
      </c>
      <c r="N404">
        <v>0.25160346028548786</v>
      </c>
      <c r="O404">
        <v>0.94197623705630384</v>
      </c>
      <c r="P404">
        <v>1.7978013541801714</v>
      </c>
      <c r="Q404">
        <v>4.1797088262962197E-3</v>
      </c>
      <c r="R404">
        <v>0.1371977201915249</v>
      </c>
      <c r="S404">
        <v>1.384398021246435E-2</v>
      </c>
      <c r="T404">
        <v>0.11511405331277813</v>
      </c>
      <c r="U404">
        <f>AVERAGE(G404:T404)</f>
        <v>0.44371835036788648</v>
      </c>
      <c r="V404" t="str">
        <f t="shared" si="37"/>
        <v>2020/21Outputs - reliabilityResilienceBlackstart Actual</v>
      </c>
    </row>
    <row r="405" spans="1:22">
      <c r="A405" s="900" t="s">
        <v>142</v>
      </c>
      <c r="B405" s="900"/>
      <c r="C405" s="900" t="s">
        <v>1293</v>
      </c>
      <c r="D405" t="s">
        <v>290</v>
      </c>
      <c r="E405" t="s">
        <v>841</v>
      </c>
      <c r="F405" t="s">
        <v>1289</v>
      </c>
      <c r="G405">
        <v>0.29075524989060997</v>
      </c>
      <c r="H405">
        <v>0.14376096999999999</v>
      </c>
      <c r="I405">
        <v>0.44858133</v>
      </c>
      <c r="J405">
        <v>8.8200000000000001E-2</v>
      </c>
      <c r="K405">
        <v>0.25559999999999999</v>
      </c>
      <c r="L405">
        <v>0</v>
      </c>
      <c r="M405">
        <v>0.1462</v>
      </c>
      <c r="N405">
        <v>0.34952613375183789</v>
      </c>
      <c r="O405">
        <v>1.2098628339399866</v>
      </c>
      <c r="P405">
        <v>1.8065587659876983</v>
      </c>
      <c r="Q405">
        <v>3.5271433959091991E-2</v>
      </c>
      <c r="R405">
        <v>0.18224608660432504</v>
      </c>
      <c r="S405">
        <v>0</v>
      </c>
      <c r="T405">
        <v>0.13708236999999998</v>
      </c>
      <c r="U405">
        <f>AVERAGE(G405:T405)</f>
        <v>0.36383179815239636</v>
      </c>
      <c r="V405" t="str">
        <f>CONCATENATE(A405,B405,C405,D405,E405)</f>
        <v>2021/22Outputs - reliabilityResilienceBlackstart Actual</v>
      </c>
    </row>
    <row r="406" spans="1:22">
      <c r="A406" s="900" t="s">
        <v>137</v>
      </c>
      <c r="B406" s="900"/>
      <c r="C406" s="900" t="s">
        <v>1293</v>
      </c>
      <c r="D406" t="s">
        <v>290</v>
      </c>
      <c r="E406" t="s">
        <v>843</v>
      </c>
      <c r="F406" t="s">
        <v>1289</v>
      </c>
      <c r="G406">
        <f t="array" ref="G406:T413">TRANSPOSE('Ch2 outputs - reliability'!E440:L453)</f>
        <v>2.084937721189033</v>
      </c>
      <c r="H406">
        <v>4.8696161275504455</v>
      </c>
      <c r="I406">
        <v>5.4775927485688927</v>
      </c>
      <c r="J406">
        <v>3.7929730235013406E-2</v>
      </c>
      <c r="K406">
        <v>1.7295510171876438</v>
      </c>
      <c r="L406">
        <v>4.8129779137744562</v>
      </c>
      <c r="M406">
        <v>0.16927747937382462</v>
      </c>
      <c r="N406">
        <v>0.73208235957227108</v>
      </c>
      <c r="O406">
        <v>0.65290781555417865</v>
      </c>
      <c r="P406">
        <v>1.0002520481489758</v>
      </c>
      <c r="Q406">
        <v>0.20125493957592738</v>
      </c>
      <c r="R406">
        <v>0.19544630742663205</v>
      </c>
      <c r="S406">
        <v>0.10836522616524036</v>
      </c>
      <c r="T406">
        <v>4.1979321172870492</v>
      </c>
      <c r="U406">
        <f t="shared" si="38"/>
        <v>1.8764373965435419</v>
      </c>
      <c r="V406" t="str">
        <f t="shared" si="37"/>
        <v>2015/16Outputs - reliabilityResilienceFlood Mitigation Baseline</v>
      </c>
    </row>
    <row r="407" spans="1:22">
      <c r="A407" s="900" t="s">
        <v>138</v>
      </c>
      <c r="B407" s="900"/>
      <c r="C407" s="900" t="s">
        <v>1293</v>
      </c>
      <c r="D407" t="s">
        <v>290</v>
      </c>
      <c r="E407" t="s">
        <v>843</v>
      </c>
      <c r="F407" t="s">
        <v>1289</v>
      </c>
      <c r="G407">
        <v>1.9237243961172343</v>
      </c>
      <c r="H407">
        <v>4.2850169336152382</v>
      </c>
      <c r="I407">
        <v>5.3004376196510137</v>
      </c>
      <c r="J407">
        <v>7.8028065788695103E-2</v>
      </c>
      <c r="K407">
        <v>2.2168083302539663</v>
      </c>
      <c r="L407">
        <v>2.8137130020994978</v>
      </c>
      <c r="M407">
        <v>7.6715494389459571E-2</v>
      </c>
      <c r="N407">
        <v>0.72704193663010941</v>
      </c>
      <c r="O407">
        <v>0.71780638504807015</v>
      </c>
      <c r="P407">
        <v>1.1963438526518668</v>
      </c>
      <c r="Q407">
        <v>0.19510150315345967</v>
      </c>
      <c r="R407">
        <v>0.20162228211492617</v>
      </c>
      <c r="S407">
        <v>0.10675273515446849</v>
      </c>
      <c r="T407">
        <v>3.9776178965267723</v>
      </c>
      <c r="U407">
        <f t="shared" si="38"/>
        <v>1.7011950309424844</v>
      </c>
      <c r="V407" t="str">
        <f t="shared" si="37"/>
        <v>2016/17Outputs - reliabilityResilienceFlood Mitigation Baseline</v>
      </c>
    </row>
    <row r="408" spans="1:22">
      <c r="A408" s="900" t="s">
        <v>139</v>
      </c>
      <c r="B408" s="900"/>
      <c r="C408" s="900" t="s">
        <v>1293</v>
      </c>
      <c r="D408" t="s">
        <v>290</v>
      </c>
      <c r="E408" t="s">
        <v>843</v>
      </c>
      <c r="F408" t="s">
        <v>1289</v>
      </c>
      <c r="G408">
        <v>2.0238479128018305</v>
      </c>
      <c r="H408">
        <v>2.7201325190641041</v>
      </c>
      <c r="I408">
        <v>4.5437650628791619</v>
      </c>
      <c r="J408">
        <v>0.22546417344096054</v>
      </c>
      <c r="K408">
        <v>1.1820028198258903</v>
      </c>
      <c r="L408">
        <v>1.4694962844204964</v>
      </c>
      <c r="M408">
        <v>7.6036022621648602E-2</v>
      </c>
      <c r="N408">
        <v>0.59818083707782843</v>
      </c>
      <c r="O408">
        <v>0.65566355832229573</v>
      </c>
      <c r="P408">
        <v>1.2369987201555477</v>
      </c>
      <c r="Q408">
        <v>0.15632013944032244</v>
      </c>
      <c r="R408">
        <v>0.15395972664370669</v>
      </c>
      <c r="S408">
        <v>0.10228879546517171</v>
      </c>
      <c r="T408">
        <v>3.8216189425953297</v>
      </c>
      <c r="U408">
        <f t="shared" si="38"/>
        <v>1.3546982510538783</v>
      </c>
      <c r="V408" t="str">
        <f t="shared" si="37"/>
        <v>2017/18Outputs - reliabilityResilienceFlood Mitigation Baseline</v>
      </c>
    </row>
    <row r="409" spans="1:22">
      <c r="A409" s="900" t="s">
        <v>140</v>
      </c>
      <c r="B409" s="900"/>
      <c r="C409" s="900" t="s">
        <v>1293</v>
      </c>
      <c r="D409" t="s">
        <v>290</v>
      </c>
      <c r="E409" t="s">
        <v>843</v>
      </c>
      <c r="F409" t="s">
        <v>1289</v>
      </c>
      <c r="G409">
        <v>1.9527433296721786</v>
      </c>
      <c r="H409">
        <v>2.6817565746989209</v>
      </c>
      <c r="I409">
        <v>3.7930378654449766</v>
      </c>
      <c r="J409">
        <v>0.11625619693211658</v>
      </c>
      <c r="K409">
        <v>9.4590754027668048E-2</v>
      </c>
      <c r="L409">
        <v>7.8821164017164921E-2</v>
      </c>
      <c r="M409">
        <v>0.11798377860267205</v>
      </c>
      <c r="N409">
        <v>0.55314007875886373</v>
      </c>
      <c r="O409">
        <v>0.65439182020899755</v>
      </c>
      <c r="P409">
        <v>1.2790348076970504</v>
      </c>
      <c r="Q409">
        <v>9.396717459683275E-2</v>
      </c>
      <c r="R409">
        <v>8.7385661083504845E-2</v>
      </c>
      <c r="S409">
        <v>0.10165336585746031</v>
      </c>
      <c r="T409">
        <v>3.6633132831778372</v>
      </c>
      <c r="U409">
        <f t="shared" si="38"/>
        <v>1.0905768467697319</v>
      </c>
      <c r="V409" t="str">
        <f t="shared" si="37"/>
        <v>2018/19Outputs - reliabilityResilienceFlood Mitigation Baseline</v>
      </c>
    </row>
    <row r="410" spans="1:22">
      <c r="A410" s="900" t="s">
        <v>141</v>
      </c>
      <c r="B410" s="900"/>
      <c r="C410" s="900" t="s">
        <v>1293</v>
      </c>
      <c r="D410" t="s">
        <v>290</v>
      </c>
      <c r="E410" t="s">
        <v>843</v>
      </c>
      <c r="F410" t="s">
        <v>1289</v>
      </c>
      <c r="G410">
        <v>1.5510540258385208</v>
      </c>
      <c r="H410">
        <v>1.8937147685771412</v>
      </c>
      <c r="I410">
        <v>2.2401090957697098</v>
      </c>
      <c r="J410">
        <v>0.22733559224312863</v>
      </c>
      <c r="K410">
        <v>0.298243618832916</v>
      </c>
      <c r="L410">
        <v>0.22788562817012614</v>
      </c>
      <c r="M410">
        <v>9.7202335547849031E-2</v>
      </c>
      <c r="N410">
        <v>0.56497009332136416</v>
      </c>
      <c r="O410">
        <v>0.59880376637898647</v>
      </c>
      <c r="P410">
        <v>1.254820046336621</v>
      </c>
      <c r="Q410">
        <v>9.0752853278559434E-2</v>
      </c>
      <c r="R410">
        <v>8.4706005249502808E-2</v>
      </c>
      <c r="S410">
        <v>0.10175169018246122</v>
      </c>
      <c r="T410">
        <v>2.5180517474084909</v>
      </c>
      <c r="U410">
        <f t="shared" si="38"/>
        <v>0.83924294765252683</v>
      </c>
      <c r="V410" t="str">
        <f t="shared" si="37"/>
        <v>2019/20Outputs - reliabilityResilienceFlood Mitigation Baseline</v>
      </c>
    </row>
    <row r="411" spans="1:22">
      <c r="A411" s="900" t="s">
        <v>126</v>
      </c>
      <c r="B411" s="900"/>
      <c r="C411" s="900" t="s">
        <v>1293</v>
      </c>
      <c r="D411" t="s">
        <v>290</v>
      </c>
      <c r="E411" t="s">
        <v>843</v>
      </c>
      <c r="F411" t="s">
        <v>1289</v>
      </c>
      <c r="G411">
        <v>1.5272005803821314</v>
      </c>
      <c r="H411">
        <v>1.6242609912136459</v>
      </c>
      <c r="I411">
        <v>2.1545223894403494</v>
      </c>
      <c r="J411">
        <v>0.5483834858647384</v>
      </c>
      <c r="K411">
        <v>0.49474311147059918</v>
      </c>
      <c r="L411">
        <v>7.9311199147440489E-2</v>
      </c>
      <c r="M411">
        <v>0.62107598629846095</v>
      </c>
      <c r="N411">
        <v>0.55793190868792397</v>
      </c>
      <c r="O411">
        <v>0.59243652450381645</v>
      </c>
      <c r="P411">
        <v>1.1673915868632425</v>
      </c>
      <c r="Q411">
        <v>8.7921745722704545E-2</v>
      </c>
      <c r="R411">
        <v>8.5261941173722045E-2</v>
      </c>
      <c r="S411">
        <v>0.10095512835400838</v>
      </c>
      <c r="T411">
        <v>2.3738653286538041</v>
      </c>
      <c r="U411">
        <f t="shared" si="38"/>
        <v>0.85823299341261339</v>
      </c>
      <c r="V411" t="str">
        <f t="shared" si="37"/>
        <v>2020/21Outputs - reliabilityResilienceFlood Mitigation Baseline</v>
      </c>
    </row>
    <row r="412" spans="1:22">
      <c r="A412" s="900" t="s">
        <v>142</v>
      </c>
      <c r="B412" s="900"/>
      <c r="C412" s="900" t="s">
        <v>1293</v>
      </c>
      <c r="D412" t="s">
        <v>290</v>
      </c>
      <c r="E412" t="s">
        <v>843</v>
      </c>
      <c r="F412" t="s">
        <v>1289</v>
      </c>
      <c r="G412">
        <v>1.2586124383993778</v>
      </c>
      <c r="H412">
        <v>1.4269522512456823</v>
      </c>
      <c r="I412">
        <v>1.7996606526837102</v>
      </c>
      <c r="J412">
        <v>0.18987642031565818</v>
      </c>
      <c r="K412">
        <v>0.24124676804910183</v>
      </c>
      <c r="L412">
        <v>0.19016504132679965</v>
      </c>
      <c r="M412">
        <v>0.18995188941203539</v>
      </c>
      <c r="N412">
        <v>0.50824796047886545</v>
      </c>
      <c r="O412">
        <v>0.50851145661416108</v>
      </c>
      <c r="P412">
        <v>1.1424017925244945</v>
      </c>
      <c r="Q412">
        <v>7.6775191130372483E-2</v>
      </c>
      <c r="R412">
        <v>6.9467168219152733E-2</v>
      </c>
      <c r="S412">
        <v>0.10100303517853983</v>
      </c>
      <c r="T412">
        <v>2.3280685580359592</v>
      </c>
      <c r="U412">
        <f t="shared" si="38"/>
        <v>0.71649575882956495</v>
      </c>
      <c r="V412" t="str">
        <f t="shared" si="37"/>
        <v>2021/22Outputs - reliabilityResilienceFlood Mitigation Baseline</v>
      </c>
    </row>
    <row r="413" spans="1:22">
      <c r="A413" s="900" t="s">
        <v>143</v>
      </c>
      <c r="B413" s="900"/>
      <c r="C413" s="900" t="s">
        <v>1293</v>
      </c>
      <c r="D413" t="s">
        <v>290</v>
      </c>
      <c r="E413" t="s">
        <v>843</v>
      </c>
      <c r="F413" t="s">
        <v>1289</v>
      </c>
      <c r="G413">
        <v>1.2204461726067735</v>
      </c>
      <c r="H413">
        <v>1.4268860403669272</v>
      </c>
      <c r="I413">
        <v>1.9914661294802591</v>
      </c>
      <c r="J413">
        <v>0.11829774175845807</v>
      </c>
      <c r="K413">
        <v>0.26280986858880206</v>
      </c>
      <c r="L413">
        <v>0.39483505594346802</v>
      </c>
      <c r="M413">
        <v>0.18969032113049095</v>
      </c>
      <c r="N413">
        <v>0.48326862423220801</v>
      </c>
      <c r="O413">
        <v>0.49237348978128354</v>
      </c>
      <c r="P413">
        <v>1.080826705387786</v>
      </c>
      <c r="Q413">
        <v>7.2856782585151325E-2</v>
      </c>
      <c r="R413">
        <v>5.6433773723637108E-2</v>
      </c>
      <c r="S413">
        <v>9.8881230517421134E-2</v>
      </c>
      <c r="T413">
        <v>2.3624916498876751</v>
      </c>
      <c r="U413">
        <f t="shared" si="38"/>
        <v>0.732254541856453</v>
      </c>
      <c r="V413" t="str">
        <f t="shared" si="37"/>
        <v>2022/23Outputs - reliabilityResilienceFlood Mitigation Baseline</v>
      </c>
    </row>
    <row r="414" spans="1:22">
      <c r="A414" s="900" t="s">
        <v>137</v>
      </c>
      <c r="B414" s="900"/>
      <c r="C414" s="900" t="s">
        <v>1293</v>
      </c>
      <c r="D414" t="s">
        <v>290</v>
      </c>
      <c r="E414" t="s">
        <v>845</v>
      </c>
      <c r="F414" t="s">
        <v>1289</v>
      </c>
      <c r="G414" cm="1">
        <f t="array" ref="G414:T420">TRANSPOSE('Ch2 outputs - reliability'!N440:T453)</f>
        <v>7.2089534770629626E-2</v>
      </c>
      <c r="H414">
        <v>1.2362084147521328</v>
      </c>
      <c r="I414">
        <v>5.2857259542806823</v>
      </c>
      <c r="J414">
        <v>0.15232089209930891</v>
      </c>
      <c r="K414">
        <v>1.2089721199693177</v>
      </c>
      <c r="L414">
        <v>9.3551414045244835E-2</v>
      </c>
      <c r="M414">
        <v>0.53971969641487405</v>
      </c>
      <c r="N414">
        <v>0.1620893024540748</v>
      </c>
      <c r="O414">
        <v>0.14927487456774585</v>
      </c>
      <c r="P414">
        <v>-1.0743077990279964E-2</v>
      </c>
      <c r="Q414">
        <v>0.62552458562010227</v>
      </c>
      <c r="R414">
        <v>0.44235458631493113</v>
      </c>
      <c r="S414">
        <v>0.92483968423446516</v>
      </c>
      <c r="T414">
        <v>1.3864799312346541</v>
      </c>
      <c r="U414">
        <f t="shared" si="38"/>
        <v>0.87631485091199146</v>
      </c>
      <c r="V414" t="str">
        <f t="shared" si="37"/>
        <v>2015/16Outputs - reliabilityResilienceFlood Mitigation Actual</v>
      </c>
    </row>
    <row r="415" spans="1:22">
      <c r="A415" s="900" t="s">
        <v>138</v>
      </c>
      <c r="B415" s="900"/>
      <c r="C415" s="900" t="s">
        <v>1293</v>
      </c>
      <c r="D415" t="s">
        <v>290</v>
      </c>
      <c r="E415" t="s">
        <v>845</v>
      </c>
      <c r="F415" t="s">
        <v>1289</v>
      </c>
      <c r="G415">
        <v>3.7805797332454953</v>
      </c>
      <c r="H415">
        <v>1.6814937970727701</v>
      </c>
      <c r="I415">
        <v>3.4866932316908006</v>
      </c>
      <c r="J415">
        <v>4.8142879785050122E-2</v>
      </c>
      <c r="K415">
        <v>1.0532722723704868</v>
      </c>
      <c r="L415">
        <v>0.62820587036589781</v>
      </c>
      <c r="M415">
        <v>0.32290955953387274</v>
      </c>
      <c r="N415">
        <v>3.9687676706339622E-3</v>
      </c>
      <c r="O415">
        <v>0.12967181767733646</v>
      </c>
      <c r="P415">
        <v>0.14379759696544264</v>
      </c>
      <c r="Q415">
        <v>7.6120506127943487E-3</v>
      </c>
      <c r="R415">
        <v>1.89283712715856E-3</v>
      </c>
      <c r="S415">
        <v>9.6759708608335354E-2</v>
      </c>
      <c r="T415">
        <v>1.4654397878207646</v>
      </c>
      <c r="U415">
        <f t="shared" si="38"/>
        <v>0.91788856503905991</v>
      </c>
      <c r="V415" t="str">
        <f t="shared" si="37"/>
        <v>2016/17Outputs - reliabilityResilienceFlood Mitigation Actual</v>
      </c>
    </row>
    <row r="416" spans="1:22">
      <c r="A416" s="900" t="s">
        <v>139</v>
      </c>
      <c r="B416" s="900"/>
      <c r="C416" s="900" t="s">
        <v>1293</v>
      </c>
      <c r="D416" t="s">
        <v>290</v>
      </c>
      <c r="E416" t="s">
        <v>845</v>
      </c>
      <c r="F416" t="s">
        <v>1289</v>
      </c>
      <c r="G416">
        <v>3.3035409235619149</v>
      </c>
      <c r="H416">
        <v>1.8595475170627112</v>
      </c>
      <c r="I416">
        <v>6.087117224210175</v>
      </c>
      <c r="J416">
        <v>0.18336169191147583</v>
      </c>
      <c r="K416">
        <v>0.37917386907620004</v>
      </c>
      <c r="L416">
        <v>1.0639505580048598</v>
      </c>
      <c r="M416">
        <v>0.28183371164171284</v>
      </c>
      <c r="N416">
        <v>7.2583864232127475E-4</v>
      </c>
      <c r="O416">
        <v>0.10027445793069112</v>
      </c>
      <c r="P416">
        <v>0.21060266303132985</v>
      </c>
      <c r="Q416">
        <v>0</v>
      </c>
      <c r="R416">
        <v>0.35902672021185267</v>
      </c>
      <c r="S416">
        <v>0</v>
      </c>
      <c r="T416">
        <v>1.6843244860405662</v>
      </c>
      <c r="U416">
        <f t="shared" si="38"/>
        <v>1.1081056900947008</v>
      </c>
      <c r="V416" t="str">
        <f t="shared" si="37"/>
        <v>2017/18Outputs - reliabilityResilienceFlood Mitigation Actual</v>
      </c>
    </row>
    <row r="417" spans="1:22">
      <c r="A417" s="900" t="s">
        <v>140</v>
      </c>
      <c r="B417" s="900"/>
      <c r="C417" s="900" t="s">
        <v>1293</v>
      </c>
      <c r="D417" t="s">
        <v>290</v>
      </c>
      <c r="E417" t="s">
        <v>845</v>
      </c>
      <c r="F417" t="s">
        <v>1289</v>
      </c>
      <c r="G417">
        <v>3.0542620336744317</v>
      </c>
      <c r="H417">
        <v>5.8080146809616764</v>
      </c>
      <c r="I417">
        <v>5.9583304051876711</v>
      </c>
      <c r="J417">
        <v>0.32180275177545287</v>
      </c>
      <c r="K417">
        <v>0.37232468550129189</v>
      </c>
      <c r="L417">
        <v>0.43492795120504896</v>
      </c>
      <c r="M417">
        <v>9.1159141287926918E-2</v>
      </c>
      <c r="N417">
        <v>0.15065409527336887</v>
      </c>
      <c r="O417">
        <v>1.1265876708659361</v>
      </c>
      <c r="P417">
        <v>0.28426320458414217</v>
      </c>
      <c r="Q417">
        <v>0</v>
      </c>
      <c r="R417">
        <v>0</v>
      </c>
      <c r="S417">
        <v>1.0920425805130812E-2</v>
      </c>
      <c r="T417">
        <v>0.85113559295155805</v>
      </c>
      <c r="U417">
        <f t="shared" si="38"/>
        <v>1.3188844742195456</v>
      </c>
      <c r="V417" t="str">
        <f t="shared" si="37"/>
        <v>2018/19Outputs - reliabilityResilienceFlood Mitigation Actual</v>
      </c>
    </row>
    <row r="418" spans="1:22">
      <c r="A418" s="900" t="s">
        <v>141</v>
      </c>
      <c r="B418" s="900"/>
      <c r="C418" s="900" t="s">
        <v>1293</v>
      </c>
      <c r="D418" t="s">
        <v>290</v>
      </c>
      <c r="E418" t="s">
        <v>845</v>
      </c>
      <c r="F418" t="s">
        <v>1289</v>
      </c>
      <c r="G418">
        <v>1.7080275913710996</v>
      </c>
      <c r="H418">
        <v>4.5131893867538313</v>
      </c>
      <c r="I418">
        <v>3.3140967302510074</v>
      </c>
      <c r="J418">
        <v>0.12525886141713863</v>
      </c>
      <c r="K418">
        <v>0.37577658425141586</v>
      </c>
      <c r="L418">
        <v>0.14560004404043464</v>
      </c>
      <c r="M418">
        <v>1.820000550505433E-2</v>
      </c>
      <c r="N418">
        <v>0.29302464215017315</v>
      </c>
      <c r="O418">
        <v>0.43575855772195188</v>
      </c>
      <c r="P418">
        <v>0.17733204366612312</v>
      </c>
      <c r="Q418">
        <v>1.063051615664632E-2</v>
      </c>
      <c r="R418">
        <v>0</v>
      </c>
      <c r="S418">
        <v>1.8976182210416942E-2</v>
      </c>
      <c r="T418">
        <v>6.3038709434719005</v>
      </c>
      <c r="U418">
        <f>AVERAGE(G418:T418)</f>
        <v>1.2456958634976569</v>
      </c>
      <c r="V418" t="str">
        <f t="shared" si="37"/>
        <v>2019/20Outputs - reliabilityResilienceFlood Mitigation Actual</v>
      </c>
    </row>
    <row r="419" spans="1:22">
      <c r="A419" s="900" t="s">
        <v>126</v>
      </c>
      <c r="B419" s="900"/>
      <c r="C419" s="900" t="s">
        <v>1293</v>
      </c>
      <c r="D419" t="s">
        <v>290</v>
      </c>
      <c r="E419" t="s">
        <v>845</v>
      </c>
      <c r="F419" t="s">
        <v>1289</v>
      </c>
      <c r="G419">
        <v>1.2572555208253615</v>
      </c>
      <c r="H419">
        <v>3.0117914039914071</v>
      </c>
      <c r="I419">
        <v>2.2825472155494677</v>
      </c>
      <c r="J419">
        <v>0</v>
      </c>
      <c r="K419">
        <v>0.45906771323771878</v>
      </c>
      <c r="L419">
        <v>0.49608930301495413</v>
      </c>
      <c r="M419">
        <v>0</v>
      </c>
      <c r="N419">
        <v>0.3965275368116376</v>
      </c>
      <c r="O419">
        <v>0.43684692019765203</v>
      </c>
      <c r="P419">
        <v>0.46405238321054221</v>
      </c>
      <c r="Q419">
        <v>3.301433840496603E-2</v>
      </c>
      <c r="R419">
        <v>3.8906517576750674E-3</v>
      </c>
      <c r="S419">
        <v>1.6784636821261395E-3</v>
      </c>
      <c r="T419">
        <v>3.6206549112244408</v>
      </c>
      <c r="U419">
        <f>AVERAGE(G419:T419)</f>
        <v>0.89024402585056783</v>
      </c>
      <c r="V419" t="str">
        <f t="shared" si="37"/>
        <v>2020/21Outputs - reliabilityResilienceFlood Mitigation Actual</v>
      </c>
    </row>
    <row r="420" spans="1:22">
      <c r="A420" s="900" t="s">
        <v>142</v>
      </c>
      <c r="B420" s="900"/>
      <c r="C420" s="900" t="s">
        <v>1293</v>
      </c>
      <c r="D420" t="s">
        <v>290</v>
      </c>
      <c r="E420" t="s">
        <v>845</v>
      </c>
      <c r="F420" t="s">
        <v>1289</v>
      </c>
      <c r="G420">
        <v>0.44370137956428501</v>
      </c>
      <c r="H420">
        <v>1.64677926</v>
      </c>
      <c r="I420">
        <v>3.0610715799999997</v>
      </c>
      <c r="J420">
        <v>7.0599999999999996E-2</v>
      </c>
      <c r="K420">
        <v>3.3200000000000007E-2</v>
      </c>
      <c r="L420">
        <v>0.71569999999999989</v>
      </c>
      <c r="M420">
        <v>0</v>
      </c>
      <c r="N420">
        <v>0.16875613070229875</v>
      </c>
      <c r="O420">
        <v>0.42970974568635328</v>
      </c>
      <c r="P420">
        <v>0.2869804653379554</v>
      </c>
      <c r="Q420">
        <v>1.0623653145439895E-2</v>
      </c>
      <c r="R420">
        <v>4.7017666530229429E-2</v>
      </c>
      <c r="S420">
        <v>1.3919290000000001E-2</v>
      </c>
      <c r="T420">
        <v>1.5446119899999997</v>
      </c>
      <c r="U420">
        <f>AVERAGE(G420:T420)</f>
        <v>0.60519079721189717</v>
      </c>
      <c r="V420" t="str">
        <f t="shared" ref="V420" si="40">CONCATENATE(A420,B420,C420,D420,E420)</f>
        <v>2021/22Outputs - reliabilityResilienceFlood Mitigation Actual</v>
      </c>
    </row>
    <row r="421" spans="1:22">
      <c r="A421" s="900" t="s">
        <v>137</v>
      </c>
      <c r="B421" s="900"/>
      <c r="C421" s="900" t="s">
        <v>1293</v>
      </c>
      <c r="D421" t="s">
        <v>290</v>
      </c>
      <c r="E421" t="s">
        <v>1305</v>
      </c>
      <c r="F421" t="s">
        <v>1299</v>
      </c>
      <c r="G421" cm="1">
        <f t="array" ref="G421:T427">TRANSPOSE('Ch2 outputs - reliability'!X440:AD453)</f>
        <v>0</v>
      </c>
      <c r="H421">
        <v>1</v>
      </c>
      <c r="I421">
        <v>8</v>
      </c>
      <c r="J421">
        <v>0</v>
      </c>
      <c r="K421">
        <v>4</v>
      </c>
      <c r="L421">
        <v>0</v>
      </c>
      <c r="M421">
        <v>0</v>
      </c>
      <c r="N421">
        <v>6</v>
      </c>
      <c r="O421">
        <v>1</v>
      </c>
      <c r="P421">
        <v>2</v>
      </c>
      <c r="Q421">
        <v>11</v>
      </c>
      <c r="R421">
        <v>7</v>
      </c>
      <c r="S421">
        <v>2</v>
      </c>
      <c r="T421">
        <v>6</v>
      </c>
      <c r="U421">
        <f t="shared" si="38"/>
        <v>3.4285714285714284</v>
      </c>
      <c r="V421" t="str">
        <f t="shared" si="37"/>
        <v>2015/16Outputs - reliabilityResilienceFlood Mitigation work completed</v>
      </c>
    </row>
    <row r="422" spans="1:22">
      <c r="A422" s="900" t="s">
        <v>138</v>
      </c>
      <c r="B422" s="900"/>
      <c r="C422" s="900" t="s">
        <v>1293</v>
      </c>
      <c r="D422" t="s">
        <v>290</v>
      </c>
      <c r="E422" t="s">
        <v>1305</v>
      </c>
      <c r="F422" t="s">
        <v>1299</v>
      </c>
      <c r="G422">
        <v>4</v>
      </c>
      <c r="H422">
        <v>20</v>
      </c>
      <c r="I422">
        <v>26</v>
      </c>
      <c r="J422">
        <v>1</v>
      </c>
      <c r="K422">
        <v>8</v>
      </c>
      <c r="L422">
        <v>5</v>
      </c>
      <c r="M422">
        <v>5</v>
      </c>
      <c r="N422">
        <v>1</v>
      </c>
      <c r="O422">
        <v>1</v>
      </c>
      <c r="P422">
        <v>0</v>
      </c>
      <c r="Q422">
        <v>0</v>
      </c>
      <c r="R422">
        <v>0</v>
      </c>
      <c r="S422">
        <v>1</v>
      </c>
      <c r="T422">
        <v>5</v>
      </c>
      <c r="U422">
        <f t="shared" si="38"/>
        <v>5.5</v>
      </c>
      <c r="V422" t="str">
        <f t="shared" si="37"/>
        <v>2016/17Outputs - reliabilityResilienceFlood Mitigation work completed</v>
      </c>
    </row>
    <row r="423" spans="1:22">
      <c r="A423" s="900" t="s">
        <v>139</v>
      </c>
      <c r="B423" s="900"/>
      <c r="C423" s="900" t="s">
        <v>1293</v>
      </c>
      <c r="D423" t="s">
        <v>290</v>
      </c>
      <c r="E423" t="s">
        <v>1305</v>
      </c>
      <c r="F423" t="s">
        <v>1299</v>
      </c>
      <c r="G423">
        <v>18</v>
      </c>
      <c r="H423">
        <v>25</v>
      </c>
      <c r="I423">
        <v>39</v>
      </c>
      <c r="J423">
        <v>5</v>
      </c>
      <c r="K423">
        <v>4</v>
      </c>
      <c r="L423">
        <v>9</v>
      </c>
      <c r="M423">
        <v>5</v>
      </c>
      <c r="N423">
        <v>2</v>
      </c>
      <c r="O423">
        <v>5</v>
      </c>
      <c r="P423">
        <v>5</v>
      </c>
      <c r="Q423">
        <v>0</v>
      </c>
      <c r="R423">
        <v>0</v>
      </c>
      <c r="S423">
        <v>0</v>
      </c>
      <c r="T423">
        <v>17</v>
      </c>
      <c r="U423">
        <f t="shared" si="38"/>
        <v>9.5714285714285712</v>
      </c>
      <c r="V423" t="str">
        <f t="shared" si="37"/>
        <v>2017/18Outputs - reliabilityResilienceFlood Mitigation work completed</v>
      </c>
    </row>
    <row r="424" spans="1:22">
      <c r="A424" s="900" t="s">
        <v>140</v>
      </c>
      <c r="B424" s="900"/>
      <c r="C424" s="900" t="s">
        <v>1293</v>
      </c>
      <c r="D424" t="s">
        <v>290</v>
      </c>
      <c r="E424" t="s">
        <v>1305</v>
      </c>
      <c r="F424" t="s">
        <v>1299</v>
      </c>
      <c r="G424">
        <v>19</v>
      </c>
      <c r="H424">
        <v>13</v>
      </c>
      <c r="I424">
        <v>25</v>
      </c>
      <c r="J424">
        <v>6</v>
      </c>
      <c r="K424">
        <v>5</v>
      </c>
      <c r="L424">
        <v>3</v>
      </c>
      <c r="M424">
        <v>2</v>
      </c>
      <c r="N424">
        <v>6</v>
      </c>
      <c r="O424">
        <v>3</v>
      </c>
      <c r="P424">
        <v>8</v>
      </c>
      <c r="Q424">
        <v>0</v>
      </c>
      <c r="R424">
        <v>0</v>
      </c>
      <c r="S424">
        <v>0</v>
      </c>
      <c r="T424">
        <v>0</v>
      </c>
      <c r="U424">
        <f t="shared" si="38"/>
        <v>6.4285714285714288</v>
      </c>
      <c r="V424" t="str">
        <f t="shared" si="37"/>
        <v>2018/19Outputs - reliabilityResilienceFlood Mitigation work completed</v>
      </c>
    </row>
    <row r="425" spans="1:22">
      <c r="A425" s="900" t="s">
        <v>141</v>
      </c>
      <c r="B425" s="900"/>
      <c r="C425" s="900" t="s">
        <v>1293</v>
      </c>
      <c r="D425" t="s">
        <v>290</v>
      </c>
      <c r="E425" t="s">
        <v>1305</v>
      </c>
      <c r="F425" t="s">
        <v>1299</v>
      </c>
      <c r="G425">
        <v>8</v>
      </c>
      <c r="H425">
        <v>12</v>
      </c>
      <c r="I425">
        <v>13</v>
      </c>
      <c r="J425">
        <v>2</v>
      </c>
      <c r="K425">
        <v>5</v>
      </c>
      <c r="L425">
        <v>2</v>
      </c>
      <c r="M425">
        <v>2</v>
      </c>
      <c r="N425">
        <v>2</v>
      </c>
      <c r="O425">
        <v>5</v>
      </c>
      <c r="P425">
        <v>2</v>
      </c>
      <c r="Q425">
        <v>0</v>
      </c>
      <c r="R425">
        <v>0</v>
      </c>
      <c r="S425">
        <v>0</v>
      </c>
      <c r="T425">
        <v>3</v>
      </c>
      <c r="U425">
        <f>AVERAGE(G425:T425)</f>
        <v>4</v>
      </c>
      <c r="V425" t="str">
        <f t="shared" si="37"/>
        <v>2019/20Outputs - reliabilityResilienceFlood Mitigation work completed</v>
      </c>
    </row>
    <row r="426" spans="1:22">
      <c r="A426" s="900" t="s">
        <v>126</v>
      </c>
      <c r="B426" s="900"/>
      <c r="C426" s="900" t="s">
        <v>1293</v>
      </c>
      <c r="D426" t="s">
        <v>290</v>
      </c>
      <c r="E426" t="s">
        <v>1305</v>
      </c>
      <c r="F426" t="s">
        <v>1299</v>
      </c>
      <c r="G426">
        <v>2</v>
      </c>
      <c r="H426">
        <v>7</v>
      </c>
      <c r="I426">
        <v>6</v>
      </c>
      <c r="J426">
        <v>2</v>
      </c>
      <c r="K426">
        <v>2</v>
      </c>
      <c r="L426">
        <v>1</v>
      </c>
      <c r="M426">
        <v>1</v>
      </c>
      <c r="N426">
        <v>2</v>
      </c>
      <c r="O426">
        <v>4</v>
      </c>
      <c r="P426">
        <v>5</v>
      </c>
      <c r="Q426">
        <v>2</v>
      </c>
      <c r="R426">
        <v>1</v>
      </c>
      <c r="S426">
        <v>1</v>
      </c>
      <c r="T426">
        <v>3</v>
      </c>
      <c r="U426">
        <f>AVERAGE(G426:T426)</f>
        <v>2.7857142857142856</v>
      </c>
      <c r="V426" t="str">
        <f t="shared" si="37"/>
        <v>2020/21Outputs - reliabilityResilienceFlood Mitigation work completed</v>
      </c>
    </row>
    <row r="427" spans="1:22">
      <c r="A427" s="900" t="s">
        <v>142</v>
      </c>
      <c r="B427" s="900"/>
      <c r="C427" s="900" t="s">
        <v>1293</v>
      </c>
      <c r="D427" t="s">
        <v>290</v>
      </c>
      <c r="E427" t="s">
        <v>1305</v>
      </c>
      <c r="F427" t="s">
        <v>1299</v>
      </c>
      <c r="G427">
        <v>9</v>
      </c>
      <c r="H427">
        <v>5</v>
      </c>
      <c r="I427">
        <v>2</v>
      </c>
      <c r="J427">
        <v>0</v>
      </c>
      <c r="K427">
        <v>1</v>
      </c>
      <c r="L427">
        <v>3</v>
      </c>
      <c r="M427">
        <v>0</v>
      </c>
      <c r="N427">
        <v>4</v>
      </c>
      <c r="O427">
        <v>4</v>
      </c>
      <c r="P427">
        <v>3</v>
      </c>
      <c r="Q427">
        <v>2</v>
      </c>
      <c r="R427">
        <v>1</v>
      </c>
      <c r="S427">
        <v>0</v>
      </c>
      <c r="T427">
        <v>2</v>
      </c>
      <c r="U427">
        <f>AVERAGE(G427:T427)</f>
        <v>2.5714285714285716</v>
      </c>
      <c r="V427" t="str">
        <f t="shared" ref="V427" si="41">CONCATENATE(A427,B427,C427,D427,E427)</f>
        <v>2021/22Outputs - reliabilityResilienceFlood Mitigation work completed</v>
      </c>
    </row>
    <row r="428" spans="1:22">
      <c r="A428" s="900" t="s">
        <v>137</v>
      </c>
      <c r="B428" s="900"/>
      <c r="C428" s="900" t="s">
        <v>1293</v>
      </c>
      <c r="D428" t="s">
        <v>290</v>
      </c>
      <c r="E428" t="s">
        <v>849</v>
      </c>
      <c r="F428" t="s">
        <v>1289</v>
      </c>
      <c r="G428">
        <f t="array" ref="G428:T435">TRANSPOSE('Ch2 outputs - reliability'!E459:L472)</f>
        <v>0</v>
      </c>
      <c r="H428">
        <v>0</v>
      </c>
      <c r="I428">
        <v>1.141207526613301</v>
      </c>
      <c r="J428">
        <v>0</v>
      </c>
      <c r="K428">
        <v>0</v>
      </c>
      <c r="L428">
        <v>0</v>
      </c>
      <c r="M428">
        <v>0</v>
      </c>
      <c r="N428">
        <v>0</v>
      </c>
      <c r="O428">
        <v>0.65035113519122245</v>
      </c>
      <c r="P428">
        <v>5.6993510332539202E-2</v>
      </c>
      <c r="Q428">
        <v>0</v>
      </c>
      <c r="R428">
        <v>0.27160956413057596</v>
      </c>
      <c r="S428">
        <v>0</v>
      </c>
      <c r="T428">
        <v>0</v>
      </c>
      <c r="U428">
        <f t="shared" si="38"/>
        <v>0.15144012401911702</v>
      </c>
      <c r="V428" t="str">
        <f t="shared" si="37"/>
        <v>2015/16Outputs - reliabilityResiliencePhysical Security Baseline</v>
      </c>
    </row>
    <row r="429" spans="1:22">
      <c r="A429" s="900" t="s">
        <v>138</v>
      </c>
      <c r="B429" s="900"/>
      <c r="C429" s="900" t="s">
        <v>1293</v>
      </c>
      <c r="D429" t="s">
        <v>290</v>
      </c>
      <c r="E429" t="s">
        <v>849</v>
      </c>
      <c r="F429" t="s">
        <v>1289</v>
      </c>
      <c r="G429">
        <v>0</v>
      </c>
      <c r="H429">
        <v>0</v>
      </c>
      <c r="I429">
        <v>0</v>
      </c>
      <c r="J429">
        <v>0</v>
      </c>
      <c r="K429">
        <v>0</v>
      </c>
      <c r="L429">
        <v>0</v>
      </c>
      <c r="M429">
        <v>0</v>
      </c>
      <c r="N429">
        <v>0.64960151101690022</v>
      </c>
      <c r="O429">
        <v>0.6563739233835566</v>
      </c>
      <c r="P429">
        <v>0.57521317270201533</v>
      </c>
      <c r="Q429">
        <v>0</v>
      </c>
      <c r="R429">
        <v>0.27262852102504748</v>
      </c>
      <c r="S429">
        <v>0</v>
      </c>
      <c r="T429">
        <v>0</v>
      </c>
      <c r="U429">
        <f t="shared" si="38"/>
        <v>0.15384408058053714</v>
      </c>
      <c r="V429" t="str">
        <f t="shared" si="37"/>
        <v>2016/17Outputs - reliabilityResiliencePhysical Security Baseline</v>
      </c>
    </row>
    <row r="430" spans="1:22">
      <c r="A430" s="900" t="s">
        <v>139</v>
      </c>
      <c r="B430" s="900"/>
      <c r="C430" s="900" t="s">
        <v>1293</v>
      </c>
      <c r="D430" t="s">
        <v>290</v>
      </c>
      <c r="E430" t="s">
        <v>849</v>
      </c>
      <c r="F430" t="s">
        <v>1289</v>
      </c>
      <c r="G430">
        <v>0</v>
      </c>
      <c r="H430">
        <v>0</v>
      </c>
      <c r="I430">
        <v>0.65572227326572297</v>
      </c>
      <c r="J430">
        <v>0</v>
      </c>
      <c r="K430">
        <v>0</v>
      </c>
      <c r="L430">
        <v>0</v>
      </c>
      <c r="M430">
        <v>0</v>
      </c>
      <c r="N430">
        <v>0</v>
      </c>
      <c r="O430">
        <v>0</v>
      </c>
      <c r="P430">
        <v>0.78375541087302325</v>
      </c>
      <c r="Q430">
        <v>0</v>
      </c>
      <c r="R430">
        <v>0.27352355856791588</v>
      </c>
      <c r="S430">
        <v>0</v>
      </c>
      <c r="T430">
        <v>0</v>
      </c>
      <c r="U430">
        <f t="shared" si="38"/>
        <v>0.12235723162190444</v>
      </c>
      <c r="V430" t="str">
        <f t="shared" si="37"/>
        <v>2017/18Outputs - reliabilityResiliencePhysical Security Baseline</v>
      </c>
    </row>
    <row r="431" spans="1:22">
      <c r="A431" s="900" t="s">
        <v>140</v>
      </c>
      <c r="B431" s="900"/>
      <c r="C431" s="900" t="s">
        <v>1293</v>
      </c>
      <c r="D431" t="s">
        <v>290</v>
      </c>
      <c r="E431" t="s">
        <v>849</v>
      </c>
      <c r="F431" t="s">
        <v>1289</v>
      </c>
      <c r="G431">
        <v>0</v>
      </c>
      <c r="H431">
        <v>6.81005471789108E-2</v>
      </c>
      <c r="I431">
        <v>0.1646806198344743</v>
      </c>
      <c r="J431">
        <v>0</v>
      </c>
      <c r="K431">
        <v>0</v>
      </c>
      <c r="L431">
        <v>0</v>
      </c>
      <c r="M431">
        <v>0</v>
      </c>
      <c r="N431">
        <v>0</v>
      </c>
      <c r="O431">
        <v>0</v>
      </c>
      <c r="P431">
        <v>0.7910663311654319</v>
      </c>
      <c r="Q431">
        <v>0</v>
      </c>
      <c r="R431">
        <v>0.27374964427032095</v>
      </c>
      <c r="S431">
        <v>0</v>
      </c>
      <c r="T431">
        <v>0</v>
      </c>
      <c r="U431">
        <f t="shared" si="38"/>
        <v>9.2685510174938424E-2</v>
      </c>
      <c r="V431" t="str">
        <f t="shared" si="37"/>
        <v>2018/19Outputs - reliabilityResiliencePhysical Security Baseline</v>
      </c>
    </row>
    <row r="432" spans="1:22">
      <c r="A432" s="900" t="s">
        <v>141</v>
      </c>
      <c r="B432" s="900"/>
      <c r="C432" s="900" t="s">
        <v>1293</v>
      </c>
      <c r="D432" t="s">
        <v>290</v>
      </c>
      <c r="E432" t="s">
        <v>849</v>
      </c>
      <c r="F432" t="s">
        <v>1289</v>
      </c>
      <c r="G432">
        <v>0</v>
      </c>
      <c r="H432">
        <v>0.9943836478103607</v>
      </c>
      <c r="I432">
        <v>2.2287633238459179</v>
      </c>
      <c r="J432">
        <v>0</v>
      </c>
      <c r="K432">
        <v>0</v>
      </c>
      <c r="L432">
        <v>0</v>
      </c>
      <c r="M432">
        <v>0</v>
      </c>
      <c r="N432">
        <v>0</v>
      </c>
      <c r="O432">
        <v>0</v>
      </c>
      <c r="P432">
        <v>0</v>
      </c>
      <c r="Q432">
        <v>0</v>
      </c>
      <c r="R432">
        <v>0.27531148497174052</v>
      </c>
      <c r="S432">
        <v>0</v>
      </c>
      <c r="T432">
        <v>0</v>
      </c>
      <c r="U432">
        <f t="shared" si="38"/>
        <v>0.24988988975914422</v>
      </c>
      <c r="V432" t="str">
        <f t="shared" si="37"/>
        <v>2019/20Outputs - reliabilityResiliencePhysical Security Baseline</v>
      </c>
    </row>
    <row r="433" spans="1:22">
      <c r="A433" s="900" t="s">
        <v>126</v>
      </c>
      <c r="B433" s="900"/>
      <c r="C433" s="900" t="s">
        <v>1293</v>
      </c>
      <c r="D433" t="s">
        <v>290</v>
      </c>
      <c r="E433" t="s">
        <v>849</v>
      </c>
      <c r="F433" t="s">
        <v>1289</v>
      </c>
      <c r="G433">
        <v>0</v>
      </c>
      <c r="H433">
        <v>0</v>
      </c>
      <c r="I433">
        <v>8.0684775191580665E-3</v>
      </c>
      <c r="J433">
        <v>0</v>
      </c>
      <c r="K433">
        <v>0</v>
      </c>
      <c r="L433">
        <v>0</v>
      </c>
      <c r="M433">
        <v>0</v>
      </c>
      <c r="N433">
        <v>0</v>
      </c>
      <c r="O433">
        <v>0</v>
      </c>
      <c r="P433">
        <v>0</v>
      </c>
      <c r="Q433">
        <v>0</v>
      </c>
      <c r="R433">
        <v>0.27689702751126016</v>
      </c>
      <c r="S433">
        <v>0</v>
      </c>
      <c r="T433">
        <v>0</v>
      </c>
      <c r="U433">
        <f t="shared" si="38"/>
        <v>2.035467893074416E-2</v>
      </c>
      <c r="V433" t="str">
        <f t="shared" si="37"/>
        <v>2020/21Outputs - reliabilityResiliencePhysical Security Baseline</v>
      </c>
    </row>
    <row r="434" spans="1:22">
      <c r="A434" s="900" t="s">
        <v>142</v>
      </c>
      <c r="B434" s="900"/>
      <c r="C434" s="900" t="s">
        <v>1293</v>
      </c>
      <c r="D434" t="s">
        <v>290</v>
      </c>
      <c r="E434" t="s">
        <v>849</v>
      </c>
      <c r="F434" t="s">
        <v>1289</v>
      </c>
      <c r="G434">
        <v>0</v>
      </c>
      <c r="H434">
        <v>0</v>
      </c>
      <c r="I434">
        <v>8.0684775191580665E-3</v>
      </c>
      <c r="J434">
        <v>0</v>
      </c>
      <c r="K434">
        <v>0</v>
      </c>
      <c r="L434">
        <v>0</v>
      </c>
      <c r="M434">
        <v>0</v>
      </c>
      <c r="N434">
        <v>0</v>
      </c>
      <c r="O434">
        <v>0</v>
      </c>
      <c r="P434">
        <v>0</v>
      </c>
      <c r="Q434">
        <v>0</v>
      </c>
      <c r="R434">
        <v>0.27850640523524889</v>
      </c>
      <c r="S434">
        <v>0</v>
      </c>
      <c r="T434">
        <v>0</v>
      </c>
      <c r="U434">
        <f t="shared" si="38"/>
        <v>2.046963448245764E-2</v>
      </c>
      <c r="V434" t="str">
        <f t="shared" si="37"/>
        <v>2021/22Outputs - reliabilityResiliencePhysical Security Baseline</v>
      </c>
    </row>
    <row r="435" spans="1:22">
      <c r="A435" s="900" t="s">
        <v>143</v>
      </c>
      <c r="B435" s="900"/>
      <c r="C435" s="900" t="s">
        <v>1293</v>
      </c>
      <c r="D435" t="s">
        <v>290</v>
      </c>
      <c r="E435" t="s">
        <v>849</v>
      </c>
      <c r="F435" t="s">
        <v>1289</v>
      </c>
      <c r="G435">
        <v>0</v>
      </c>
      <c r="H435">
        <v>0</v>
      </c>
      <c r="I435">
        <v>8.0684775191580665E-3</v>
      </c>
      <c r="J435">
        <v>0</v>
      </c>
      <c r="K435">
        <v>0</v>
      </c>
      <c r="L435">
        <v>0</v>
      </c>
      <c r="M435">
        <v>0</v>
      </c>
      <c r="N435">
        <v>0</v>
      </c>
      <c r="O435">
        <v>0</v>
      </c>
      <c r="P435">
        <v>0</v>
      </c>
      <c r="Q435">
        <v>0</v>
      </c>
      <c r="R435">
        <v>0.28013975477377079</v>
      </c>
      <c r="S435">
        <v>0</v>
      </c>
      <c r="T435">
        <v>0</v>
      </c>
      <c r="U435">
        <f t="shared" si="38"/>
        <v>2.0586302306637775E-2</v>
      </c>
      <c r="V435" t="str">
        <f t="shared" si="37"/>
        <v>2022/23Outputs - reliabilityResiliencePhysical Security Baseline</v>
      </c>
    </row>
    <row r="436" spans="1:22">
      <c r="A436" s="900" t="s">
        <v>137</v>
      </c>
      <c r="B436" s="900"/>
      <c r="C436" s="900" t="s">
        <v>1293</v>
      </c>
      <c r="D436" t="s">
        <v>290</v>
      </c>
      <c r="E436" t="s">
        <v>851</v>
      </c>
      <c r="F436" t="s">
        <v>1289</v>
      </c>
      <c r="G436" cm="1">
        <f t="array" ref="G436:T442">TRANSPOSE('Ch2 outputs - reliability'!N459:T472)</f>
        <v>0</v>
      </c>
      <c r="H436">
        <v>0</v>
      </c>
      <c r="I436">
        <v>0</v>
      </c>
      <c r="J436">
        <v>0</v>
      </c>
      <c r="K436">
        <v>0</v>
      </c>
      <c r="L436">
        <v>0</v>
      </c>
      <c r="M436">
        <v>0</v>
      </c>
      <c r="N436">
        <v>7.1503104461808589E-2</v>
      </c>
      <c r="O436">
        <v>0</v>
      </c>
      <c r="P436">
        <v>0.15617947878954314</v>
      </c>
      <c r="Q436">
        <v>0</v>
      </c>
      <c r="R436">
        <v>0</v>
      </c>
      <c r="S436">
        <v>0</v>
      </c>
      <c r="T436">
        <v>0</v>
      </c>
      <c r="U436">
        <f t="shared" si="38"/>
        <v>1.6263041660810836E-2</v>
      </c>
      <c r="V436" t="str">
        <f t="shared" si="37"/>
        <v>2015/16Outputs - reliabilityResiliencePhysical Security Actual</v>
      </c>
    </row>
    <row r="437" spans="1:22">
      <c r="A437" s="900" t="s">
        <v>138</v>
      </c>
      <c r="B437" s="900"/>
      <c r="C437" s="900" t="s">
        <v>1293</v>
      </c>
      <c r="D437" t="s">
        <v>290</v>
      </c>
      <c r="E437" t="s">
        <v>851</v>
      </c>
      <c r="F437" t="s">
        <v>1289</v>
      </c>
      <c r="G437">
        <v>0</v>
      </c>
      <c r="H437">
        <v>0</v>
      </c>
      <c r="I437">
        <v>4.2594978550955703E-2</v>
      </c>
      <c r="J437">
        <v>0</v>
      </c>
      <c r="K437">
        <v>0</v>
      </c>
      <c r="L437">
        <v>0</v>
      </c>
      <c r="M437">
        <v>0</v>
      </c>
      <c r="N437">
        <v>0</v>
      </c>
      <c r="O437">
        <v>0</v>
      </c>
      <c r="P437">
        <v>7.3562411166251576E-2</v>
      </c>
      <c r="Q437">
        <v>0</v>
      </c>
      <c r="R437">
        <v>0</v>
      </c>
      <c r="S437">
        <v>0</v>
      </c>
      <c r="T437">
        <v>0</v>
      </c>
      <c r="U437">
        <f t="shared" si="38"/>
        <v>8.2969564083719485E-3</v>
      </c>
      <c r="V437" t="str">
        <f t="shared" si="37"/>
        <v>2016/17Outputs - reliabilityResiliencePhysical Security Actual</v>
      </c>
    </row>
    <row r="438" spans="1:22">
      <c r="A438" s="900" t="s">
        <v>139</v>
      </c>
      <c r="B438" s="900"/>
      <c r="C438" s="900" t="s">
        <v>1293</v>
      </c>
      <c r="D438" t="s">
        <v>290</v>
      </c>
      <c r="E438" t="s">
        <v>851</v>
      </c>
      <c r="F438" t="s">
        <v>1289</v>
      </c>
      <c r="G438">
        <v>0</v>
      </c>
      <c r="H438">
        <v>0</v>
      </c>
      <c r="I438">
        <v>7.6560725461554138E-2</v>
      </c>
      <c r="J438">
        <v>0</v>
      </c>
      <c r="K438">
        <v>0</v>
      </c>
      <c r="L438">
        <v>0</v>
      </c>
      <c r="M438">
        <v>0</v>
      </c>
      <c r="N438">
        <v>0</v>
      </c>
      <c r="O438">
        <v>0</v>
      </c>
      <c r="P438">
        <v>7.4483040932140704E-3</v>
      </c>
      <c r="Q438">
        <v>0</v>
      </c>
      <c r="R438">
        <v>0</v>
      </c>
      <c r="S438">
        <v>0</v>
      </c>
      <c r="T438">
        <v>0</v>
      </c>
      <c r="U438">
        <f t="shared" si="38"/>
        <v>6.0006449681977289E-3</v>
      </c>
      <c r="V438" t="str">
        <f t="shared" si="37"/>
        <v>2017/18Outputs - reliabilityResiliencePhysical Security Actual</v>
      </c>
    </row>
    <row r="439" spans="1:22">
      <c r="A439" s="900" t="s">
        <v>140</v>
      </c>
      <c r="B439" s="900"/>
      <c r="C439" s="900" t="s">
        <v>1293</v>
      </c>
      <c r="D439" t="s">
        <v>290</v>
      </c>
      <c r="E439" t="s">
        <v>851</v>
      </c>
      <c r="F439" t="s">
        <v>1289</v>
      </c>
      <c r="G439">
        <v>0</v>
      </c>
      <c r="H439">
        <v>0</v>
      </c>
      <c r="I439">
        <v>0.44278831384805223</v>
      </c>
      <c r="J439">
        <v>0</v>
      </c>
      <c r="K439">
        <v>0</v>
      </c>
      <c r="L439">
        <v>0</v>
      </c>
      <c r="M439">
        <v>0</v>
      </c>
      <c r="N439">
        <v>0</v>
      </c>
      <c r="O439">
        <v>0</v>
      </c>
      <c r="P439">
        <v>-4.7265914857259783E-2</v>
      </c>
      <c r="Q439">
        <v>0</v>
      </c>
      <c r="R439">
        <v>0</v>
      </c>
      <c r="S439">
        <v>0</v>
      </c>
      <c r="T439">
        <v>0</v>
      </c>
      <c r="U439">
        <f t="shared" si="38"/>
        <v>2.8251599927913745E-2</v>
      </c>
      <c r="V439" t="str">
        <f t="shared" si="37"/>
        <v>2018/19Outputs - reliabilityResiliencePhysical Security Actual</v>
      </c>
    </row>
    <row r="440" spans="1:22">
      <c r="A440" s="900" t="s">
        <v>141</v>
      </c>
      <c r="B440" s="900"/>
      <c r="C440" s="900" t="s">
        <v>1293</v>
      </c>
      <c r="D440" t="s">
        <v>290</v>
      </c>
      <c r="E440" t="s">
        <v>851</v>
      </c>
      <c r="F440" t="s">
        <v>1289</v>
      </c>
      <c r="G440">
        <v>0</v>
      </c>
      <c r="H440">
        <v>0.39633719093381603</v>
      </c>
      <c r="I440">
        <v>2.8204106736081482</v>
      </c>
      <c r="J440">
        <v>0</v>
      </c>
      <c r="K440">
        <v>0</v>
      </c>
      <c r="L440">
        <v>0</v>
      </c>
      <c r="M440">
        <v>0</v>
      </c>
      <c r="N440">
        <v>0</v>
      </c>
      <c r="O440">
        <v>0</v>
      </c>
      <c r="P440">
        <v>0</v>
      </c>
      <c r="Q440">
        <v>0</v>
      </c>
      <c r="R440">
        <v>0</v>
      </c>
      <c r="S440">
        <v>0</v>
      </c>
      <c r="T440">
        <v>0</v>
      </c>
      <c r="U440">
        <f>AVERAGE(G440:T440)</f>
        <v>0.22976770461014029</v>
      </c>
      <c r="V440" t="str">
        <f t="shared" ref="V440:V509" si="42">CONCATENATE(A440,B440,C440,D440,E440)</f>
        <v>2019/20Outputs - reliabilityResiliencePhysical Security Actual</v>
      </c>
    </row>
    <row r="441" spans="1:22">
      <c r="A441" s="900" t="s">
        <v>126</v>
      </c>
      <c r="B441" s="900"/>
      <c r="C441" s="900" t="s">
        <v>1293</v>
      </c>
      <c r="D441" t="s">
        <v>290</v>
      </c>
      <c r="E441" t="s">
        <v>851</v>
      </c>
      <c r="F441" t="s">
        <v>1289</v>
      </c>
      <c r="G441">
        <v>0</v>
      </c>
      <c r="H441">
        <v>7.9205089239513624E-2</v>
      </c>
      <c r="I441">
        <v>1.8176246542420467</v>
      </c>
      <c r="J441">
        <v>0</v>
      </c>
      <c r="K441">
        <v>0</v>
      </c>
      <c r="L441">
        <v>0</v>
      </c>
      <c r="M441">
        <v>0</v>
      </c>
      <c r="N441">
        <v>0</v>
      </c>
      <c r="O441">
        <v>0</v>
      </c>
      <c r="P441">
        <v>0</v>
      </c>
      <c r="Q441">
        <v>0</v>
      </c>
      <c r="R441">
        <v>0</v>
      </c>
      <c r="S441">
        <v>0</v>
      </c>
      <c r="T441">
        <v>0</v>
      </c>
      <c r="U441">
        <f>AVERAGE(G441:T441)</f>
        <v>0.13548783882011145</v>
      </c>
      <c r="V441" t="str">
        <f t="shared" si="42"/>
        <v>2020/21Outputs - reliabilityResiliencePhysical Security Actual</v>
      </c>
    </row>
    <row r="442" spans="1:22">
      <c r="A442" s="900" t="s">
        <v>142</v>
      </c>
      <c r="B442" s="900"/>
      <c r="C442" s="900" t="s">
        <v>1293</v>
      </c>
      <c r="D442" t="s">
        <v>290</v>
      </c>
      <c r="E442" t="s">
        <v>851</v>
      </c>
      <c r="F442" t="s">
        <v>1289</v>
      </c>
      <c r="G442">
        <v>0</v>
      </c>
      <c r="H442">
        <v>1.8216139999999999E-2</v>
      </c>
      <c r="I442">
        <v>0.55735040999999996</v>
      </c>
      <c r="J442">
        <v>0</v>
      </c>
      <c r="K442">
        <v>0</v>
      </c>
      <c r="L442">
        <v>0</v>
      </c>
      <c r="M442">
        <v>0</v>
      </c>
      <c r="N442">
        <v>0</v>
      </c>
      <c r="O442">
        <v>0</v>
      </c>
      <c r="P442">
        <v>0</v>
      </c>
      <c r="Q442">
        <v>0</v>
      </c>
      <c r="R442">
        <v>0</v>
      </c>
      <c r="S442">
        <v>0</v>
      </c>
      <c r="T442">
        <v>0</v>
      </c>
      <c r="U442">
        <f>AVERAGE(G442:T442)</f>
        <v>4.111189642857143E-2</v>
      </c>
      <c r="V442" t="str">
        <f t="shared" ref="V442" si="43">CONCATENATE(A442,B442,C442,D442,E442)</f>
        <v>2021/22Outputs - reliabilityResiliencePhysical Security Actual</v>
      </c>
    </row>
    <row r="443" spans="1:22">
      <c r="A443" s="900" t="s">
        <v>137</v>
      </c>
      <c r="B443" s="900"/>
      <c r="C443" s="900" t="s">
        <v>1293</v>
      </c>
      <c r="D443" t="s">
        <v>290</v>
      </c>
      <c r="E443" t="s">
        <v>853</v>
      </c>
      <c r="F443" t="s">
        <v>1289</v>
      </c>
      <c r="G443">
        <f t="array" ref="G443:T450">TRANSPOSE('Ch2 outputs - reliability'!E478:L491)</f>
        <v>5.8621170761486567</v>
      </c>
      <c r="H443">
        <v>5.5184745088604137</v>
      </c>
      <c r="I443">
        <v>6.4977823149147653</v>
      </c>
      <c r="J443">
        <v>10.406321738142125</v>
      </c>
      <c r="K443">
        <v>8.0911934337602016</v>
      </c>
      <c r="L443">
        <v>10.026291909471082</v>
      </c>
      <c r="M443">
        <v>14.012124307783045</v>
      </c>
      <c r="N443">
        <v>2.1704465682830593E-2</v>
      </c>
      <c r="O443">
        <v>9.6661785428823883</v>
      </c>
      <c r="P443">
        <v>20.298852885211534</v>
      </c>
      <c r="Q443">
        <v>8.4563014177895983</v>
      </c>
      <c r="R443">
        <v>13.628293386253077</v>
      </c>
      <c r="S443">
        <v>9.8548240362453967</v>
      </c>
      <c r="T443">
        <v>18.834574981575297</v>
      </c>
      <c r="U443">
        <f t="shared" si="38"/>
        <v>10.083931071765743</v>
      </c>
      <c r="V443" t="str">
        <f t="shared" si="42"/>
        <v>2015/16Outputs - reliabilityResilienceTree Cutting Baseline</v>
      </c>
    </row>
    <row r="444" spans="1:22">
      <c r="A444" s="900" t="s">
        <v>138</v>
      </c>
      <c r="B444" s="900"/>
      <c r="C444" s="900" t="s">
        <v>1293</v>
      </c>
      <c r="D444" t="s">
        <v>290</v>
      </c>
      <c r="E444" t="s">
        <v>853</v>
      </c>
      <c r="F444" t="s">
        <v>1289</v>
      </c>
      <c r="G444">
        <v>5.7924677416582506</v>
      </c>
      <c r="H444">
        <v>5.3786454087124955</v>
      </c>
      <c r="I444">
        <v>6.3467844875740296</v>
      </c>
      <c r="J444">
        <v>10.439080019721876</v>
      </c>
      <c r="K444">
        <v>8.1195011978106191</v>
      </c>
      <c r="L444">
        <v>10.060623414523388</v>
      </c>
      <c r="M444">
        <v>14.058094765003757</v>
      </c>
      <c r="N444">
        <v>2.1494190600206305E-2</v>
      </c>
      <c r="O444">
        <v>9.5896956160873419</v>
      </c>
      <c r="P444">
        <v>20.215950239820856</v>
      </c>
      <c r="Q444">
        <v>8.9595008982584279</v>
      </c>
      <c r="R444">
        <v>13.916606607141132</v>
      </c>
      <c r="S444">
        <v>9.6989764974493529</v>
      </c>
      <c r="T444">
        <v>17.961536161264593</v>
      </c>
      <c r="U444">
        <f t="shared" si="38"/>
        <v>10.03992551754474</v>
      </c>
      <c r="V444" t="str">
        <f t="shared" si="42"/>
        <v>2016/17Outputs - reliabilityResilienceTree Cutting Baseline</v>
      </c>
    </row>
    <row r="445" spans="1:22">
      <c r="A445" s="900" t="s">
        <v>139</v>
      </c>
      <c r="B445" s="900"/>
      <c r="C445" s="900" t="s">
        <v>1293</v>
      </c>
      <c r="D445" t="s">
        <v>290</v>
      </c>
      <c r="E445" t="s">
        <v>853</v>
      </c>
      <c r="F445" t="s">
        <v>1289</v>
      </c>
      <c r="G445">
        <v>5.6915696706524255</v>
      </c>
      <c r="H445">
        <v>5.3367248997394885</v>
      </c>
      <c r="I445">
        <v>6.2938106146101056</v>
      </c>
      <c r="J445">
        <v>10.446895700787653</v>
      </c>
      <c r="K445">
        <v>8.1257703764224392</v>
      </c>
      <c r="L445">
        <v>10.065935751915443</v>
      </c>
      <c r="M445">
        <v>14.059303889359096</v>
      </c>
      <c r="N445">
        <v>2.1284691951784396E-2</v>
      </c>
      <c r="O445">
        <v>9.5109519106321905</v>
      </c>
      <c r="P445">
        <v>20.219800921589798</v>
      </c>
      <c r="Q445">
        <v>9.3286806184196873</v>
      </c>
      <c r="R445">
        <v>13.270366125874341</v>
      </c>
      <c r="S445">
        <v>9.5393953269457263</v>
      </c>
      <c r="T445">
        <v>17.326618918338475</v>
      </c>
      <c r="U445">
        <f t="shared" si="38"/>
        <v>9.9455078155170469</v>
      </c>
      <c r="V445" t="str">
        <f t="shared" si="42"/>
        <v>2017/18Outputs - reliabilityResilienceTree Cutting Baseline</v>
      </c>
    </row>
    <row r="446" spans="1:22">
      <c r="A446" s="900" t="s">
        <v>140</v>
      </c>
      <c r="B446" s="900"/>
      <c r="C446" s="900" t="s">
        <v>1293</v>
      </c>
      <c r="D446" t="s">
        <v>290</v>
      </c>
      <c r="E446" t="s">
        <v>853</v>
      </c>
      <c r="F446" t="s">
        <v>1289</v>
      </c>
      <c r="G446">
        <v>5.5836927220559831</v>
      </c>
      <c r="H446">
        <v>5.2927262621752593</v>
      </c>
      <c r="I446">
        <v>6.2612939605370563</v>
      </c>
      <c r="J446">
        <v>10.518640219415012</v>
      </c>
      <c r="K446">
        <v>8.1815494911861784</v>
      </c>
      <c r="L446">
        <v>10.134725003522307</v>
      </c>
      <c r="M446">
        <v>14.147582921687491</v>
      </c>
      <c r="N446">
        <v>2.1075979354026029E-2</v>
      </c>
      <c r="O446">
        <v>9.4180924284541021</v>
      </c>
      <c r="P446">
        <v>20.02052021972305</v>
      </c>
      <c r="Q446">
        <v>8.2984559597449632</v>
      </c>
      <c r="R446">
        <v>13.340020491256677</v>
      </c>
      <c r="S446">
        <v>9.3790336516896957</v>
      </c>
      <c r="T446">
        <v>15.694827852529279</v>
      </c>
      <c r="U446">
        <f t="shared" si="38"/>
        <v>9.735159797380792</v>
      </c>
      <c r="V446" t="str">
        <f t="shared" si="42"/>
        <v>2018/19Outputs - reliabilityResilienceTree Cutting Baseline</v>
      </c>
    </row>
    <row r="447" spans="1:22">
      <c r="A447" s="900" t="s">
        <v>141</v>
      </c>
      <c r="B447" s="900"/>
      <c r="C447" s="900" t="s">
        <v>1293</v>
      </c>
      <c r="D447" t="s">
        <v>290</v>
      </c>
      <c r="E447" t="s">
        <v>853</v>
      </c>
      <c r="F447" t="s">
        <v>1289</v>
      </c>
      <c r="G447">
        <v>5.4863708210910902</v>
      </c>
      <c r="H447">
        <v>5.392148339140717</v>
      </c>
      <c r="I447">
        <v>6.3561751548961718</v>
      </c>
      <c r="J447">
        <v>10.591105369497823</v>
      </c>
      <c r="K447">
        <v>8.2397629673110675</v>
      </c>
      <c r="L447">
        <v>10.204713374130785</v>
      </c>
      <c r="M447">
        <v>14.239463819441111</v>
      </c>
      <c r="N447">
        <v>2.0868062543226863E-2</v>
      </c>
      <c r="O447">
        <v>9.3876077687843615</v>
      </c>
      <c r="P447">
        <v>19.781887106228456</v>
      </c>
      <c r="Q447">
        <v>8.7868774853000993</v>
      </c>
      <c r="R447">
        <v>13.421025464190928</v>
      </c>
      <c r="S447">
        <v>9.2246966810033122</v>
      </c>
      <c r="T447">
        <v>15.454257546580147</v>
      </c>
      <c r="U447">
        <f t="shared" si="38"/>
        <v>9.7562114257242349</v>
      </c>
      <c r="V447" t="str">
        <f t="shared" si="42"/>
        <v>2019/20Outputs - reliabilityResilienceTree Cutting Baseline</v>
      </c>
    </row>
    <row r="448" spans="1:22">
      <c r="A448" s="900" t="s">
        <v>126</v>
      </c>
      <c r="B448" s="900"/>
      <c r="C448" s="900" t="s">
        <v>1293</v>
      </c>
      <c r="D448" t="s">
        <v>290</v>
      </c>
      <c r="E448" t="s">
        <v>853</v>
      </c>
      <c r="F448" t="s">
        <v>1289</v>
      </c>
      <c r="G448">
        <v>5.3792692312666119</v>
      </c>
      <c r="H448">
        <v>5.4940968313433354</v>
      </c>
      <c r="I448">
        <v>6.4688633778422231</v>
      </c>
      <c r="J448">
        <v>10.664811603256121</v>
      </c>
      <c r="K448">
        <v>8.2947786499176388</v>
      </c>
      <c r="L448">
        <v>10.273826702211307</v>
      </c>
      <c r="M448">
        <v>14.330602184859533</v>
      </c>
      <c r="N448">
        <v>2.066095137701637E-2</v>
      </c>
      <c r="O448">
        <v>9.178636277415249</v>
      </c>
      <c r="P448">
        <v>19.319525713772414</v>
      </c>
      <c r="Q448">
        <v>9.1429443935182793</v>
      </c>
      <c r="R448">
        <v>13.019364124357736</v>
      </c>
      <c r="S448">
        <v>9.0744176465362205</v>
      </c>
      <c r="T448">
        <v>15.347983079297519</v>
      </c>
      <c r="U448">
        <f t="shared" si="38"/>
        <v>9.7149843404979404</v>
      </c>
      <c r="V448" t="str">
        <f t="shared" si="42"/>
        <v>2020/21Outputs - reliabilityResilienceTree Cutting Baseline</v>
      </c>
    </row>
    <row r="449" spans="1:22">
      <c r="A449" s="900" t="s">
        <v>142</v>
      </c>
      <c r="B449" s="900"/>
      <c r="C449" s="900" t="s">
        <v>1293</v>
      </c>
      <c r="D449" t="s">
        <v>290</v>
      </c>
      <c r="E449" t="s">
        <v>853</v>
      </c>
      <c r="F449" t="s">
        <v>1289</v>
      </c>
      <c r="G449">
        <v>5.2648399370871353</v>
      </c>
      <c r="H449">
        <v>5.4759177588035444</v>
      </c>
      <c r="I449">
        <v>6.4401837866849965</v>
      </c>
      <c r="J449">
        <v>10.736003540222338</v>
      </c>
      <c r="K449">
        <v>8.3534035950544361</v>
      </c>
      <c r="L449">
        <v>10.343745374352997</v>
      </c>
      <c r="M449">
        <v>14.422539314528931</v>
      </c>
      <c r="N449">
        <v>2.045465583587585E-2</v>
      </c>
      <c r="O449">
        <v>8.9819325745833485</v>
      </c>
      <c r="P449">
        <v>18.888431644499168</v>
      </c>
      <c r="Q449">
        <v>8.1431990960802061</v>
      </c>
      <c r="R449">
        <v>12.920608461134041</v>
      </c>
      <c r="S449">
        <v>8.9250315246890519</v>
      </c>
      <c r="T449">
        <v>15.116585621246953</v>
      </c>
      <c r="U449">
        <f t="shared" si="38"/>
        <v>9.5737769203430734</v>
      </c>
      <c r="V449" t="str">
        <f t="shared" si="42"/>
        <v>2021/22Outputs - reliabilityResilienceTree Cutting Baseline</v>
      </c>
    </row>
    <row r="450" spans="1:22">
      <c r="A450" s="900" t="s">
        <v>143</v>
      </c>
      <c r="B450" s="900"/>
      <c r="C450" s="900" t="s">
        <v>1293</v>
      </c>
      <c r="D450" t="s">
        <v>290</v>
      </c>
      <c r="E450" t="s">
        <v>853</v>
      </c>
      <c r="F450" t="s">
        <v>1289</v>
      </c>
      <c r="G450">
        <v>5.15788634129495</v>
      </c>
      <c r="H450">
        <v>5.4117600681936313</v>
      </c>
      <c r="I450">
        <v>6.3813270042134649</v>
      </c>
      <c r="J450">
        <v>10.812173198238026</v>
      </c>
      <c r="K450">
        <v>8.4115312676429586</v>
      </c>
      <c r="L450">
        <v>10.415807147290488</v>
      </c>
      <c r="M450">
        <v>14.512494449159947</v>
      </c>
      <c r="N450">
        <v>2.0249186024675535E-2</v>
      </c>
      <c r="O450">
        <v>8.766637983632048</v>
      </c>
      <c r="P450">
        <v>18.429944044509675</v>
      </c>
      <c r="Q450">
        <v>8.6113601157364084</v>
      </c>
      <c r="R450">
        <v>13.17115425157083</v>
      </c>
      <c r="S450">
        <v>8.7724856567167997</v>
      </c>
      <c r="T450">
        <v>14.886857033866008</v>
      </c>
      <c r="U450">
        <f t="shared" si="38"/>
        <v>9.5544048391492797</v>
      </c>
      <c r="V450" t="str">
        <f t="shared" si="42"/>
        <v>2022/23Outputs - reliabilityResilienceTree Cutting Baseline</v>
      </c>
    </row>
    <row r="451" spans="1:22">
      <c r="A451" s="900" t="s">
        <v>137</v>
      </c>
      <c r="B451" s="900"/>
      <c r="C451" s="900" t="s">
        <v>1293</v>
      </c>
      <c r="D451" t="s">
        <v>290</v>
      </c>
      <c r="E451" t="s">
        <v>855</v>
      </c>
      <c r="F451" t="s">
        <v>1289</v>
      </c>
      <c r="G451" cm="1">
        <f t="array" ref="G451:T457">TRANSPOSE('Ch2 outputs - reliability'!N478:T491)</f>
        <v>4.2228747260188113</v>
      </c>
      <c r="H451">
        <v>5.5279865302721207</v>
      </c>
      <c r="I451">
        <v>8.5056446824118996</v>
      </c>
      <c r="J451">
        <v>18.029036614463077</v>
      </c>
      <c r="K451">
        <v>12.721792933050153</v>
      </c>
      <c r="L451">
        <v>12.598257091426303</v>
      </c>
      <c r="M451">
        <v>17.396964881106104</v>
      </c>
      <c r="N451">
        <v>-8.4450000839044609E-4</v>
      </c>
      <c r="O451">
        <v>2.8724312103968948</v>
      </c>
      <c r="P451">
        <v>7.8817890471145224</v>
      </c>
      <c r="Q451">
        <v>3.7557856399968497</v>
      </c>
      <c r="R451">
        <v>13.206237323252008</v>
      </c>
      <c r="S451">
        <v>8.0082409176935858</v>
      </c>
      <c r="T451">
        <v>21.606778513142121</v>
      </c>
      <c r="U451">
        <f t="shared" si="38"/>
        <v>9.738069686452576</v>
      </c>
      <c r="V451" t="str">
        <f t="shared" si="42"/>
        <v>2015/16Outputs - reliabilityResilienceTree Cutting Actual</v>
      </c>
    </row>
    <row r="452" spans="1:22">
      <c r="A452" s="900" t="s">
        <v>138</v>
      </c>
      <c r="B452" s="900"/>
      <c r="C452" s="900" t="s">
        <v>1293</v>
      </c>
      <c r="D452" t="s">
        <v>290</v>
      </c>
      <c r="E452" t="s">
        <v>855</v>
      </c>
      <c r="F452" t="s">
        <v>1289</v>
      </c>
      <c r="G452">
        <v>4.6909131355504021</v>
      </c>
      <c r="H452">
        <v>4.853341736139889</v>
      </c>
      <c r="I452">
        <v>7.0420423383522017</v>
      </c>
      <c r="J452">
        <v>21.643160004830332</v>
      </c>
      <c r="K452">
        <v>10.535071156865113</v>
      </c>
      <c r="L452">
        <v>9.6591055880932259</v>
      </c>
      <c r="M452">
        <v>14.927815383105903</v>
      </c>
      <c r="N452">
        <v>0</v>
      </c>
      <c r="O452">
        <v>6.9428587298028566</v>
      </c>
      <c r="P452">
        <v>12.648345142959805</v>
      </c>
      <c r="Q452">
        <v>3.8500760239530769</v>
      </c>
      <c r="R452">
        <v>13.369812060657196</v>
      </c>
      <c r="S452">
        <v>7.8009022374997468</v>
      </c>
      <c r="T452">
        <v>23.592025650289905</v>
      </c>
      <c r="U452">
        <f t="shared" si="38"/>
        <v>10.111104942007117</v>
      </c>
      <c r="V452" t="str">
        <f t="shared" si="42"/>
        <v>2016/17Outputs - reliabilityResilienceTree Cutting Actual</v>
      </c>
    </row>
    <row r="453" spans="1:22">
      <c r="A453" s="900" t="s">
        <v>139</v>
      </c>
      <c r="B453" s="900"/>
      <c r="C453" s="900" t="s">
        <v>1293</v>
      </c>
      <c r="D453" t="s">
        <v>290</v>
      </c>
      <c r="E453" t="s">
        <v>855</v>
      </c>
      <c r="F453" t="s">
        <v>1289</v>
      </c>
      <c r="G453">
        <v>5.0684352535143633</v>
      </c>
      <c r="H453">
        <v>4.0160432207859502</v>
      </c>
      <c r="I453">
        <v>5.7758808919402949</v>
      </c>
      <c r="J453">
        <v>18.851166535713766</v>
      </c>
      <c r="K453">
        <v>15.109229785964759</v>
      </c>
      <c r="L453">
        <v>8.654219113303359</v>
      </c>
      <c r="M453">
        <v>14.541034913498335</v>
      </c>
      <c r="N453">
        <v>0</v>
      </c>
      <c r="O453">
        <v>5.9157091981176189</v>
      </c>
      <c r="P453">
        <v>10.804661179078439</v>
      </c>
      <c r="Q453">
        <v>4.0121084254483286</v>
      </c>
      <c r="R453">
        <v>10.994986301206035</v>
      </c>
      <c r="S453">
        <v>8.1089434451464708</v>
      </c>
      <c r="T453">
        <v>11.971279890405716</v>
      </c>
      <c r="U453">
        <f t="shared" si="38"/>
        <v>8.8445498681516739</v>
      </c>
      <c r="V453" t="str">
        <f t="shared" si="42"/>
        <v>2017/18Outputs - reliabilityResilienceTree Cutting Actual</v>
      </c>
    </row>
    <row r="454" spans="1:22">
      <c r="A454" s="900" t="s">
        <v>140</v>
      </c>
      <c r="B454" s="900"/>
      <c r="C454" s="900" t="s">
        <v>1293</v>
      </c>
      <c r="D454" t="s">
        <v>290</v>
      </c>
      <c r="E454" t="s">
        <v>855</v>
      </c>
      <c r="F454" t="s">
        <v>1289</v>
      </c>
      <c r="G454">
        <v>4.5480137657385606</v>
      </c>
      <c r="H454">
        <v>3.8399966819960243</v>
      </c>
      <c r="I454">
        <v>3.9765847184095304</v>
      </c>
      <c r="J454">
        <v>15.917704032360541</v>
      </c>
      <c r="K454">
        <v>10.438270828921175</v>
      </c>
      <c r="L454">
        <v>9.3520492538156361</v>
      </c>
      <c r="M454">
        <v>13.288366872802746</v>
      </c>
      <c r="N454">
        <v>0</v>
      </c>
      <c r="O454">
        <v>5.037446946938668</v>
      </c>
      <c r="P454">
        <v>10.920045239892485</v>
      </c>
      <c r="Q454">
        <v>3.6633182748479989</v>
      </c>
      <c r="R454">
        <v>10.206173347965324</v>
      </c>
      <c r="S454">
        <v>8.7567247674778823</v>
      </c>
      <c r="T454">
        <v>13.672898402817651</v>
      </c>
      <c r="U454">
        <f t="shared" si="38"/>
        <v>8.115542366713159</v>
      </c>
      <c r="V454" t="str">
        <f t="shared" si="42"/>
        <v>2018/19Outputs - reliabilityResilienceTree Cutting Actual</v>
      </c>
    </row>
    <row r="455" spans="1:22">
      <c r="A455" s="900" t="s">
        <v>141</v>
      </c>
      <c r="B455" s="900"/>
      <c r="C455" s="900" t="s">
        <v>1293</v>
      </c>
      <c r="D455" t="s">
        <v>290</v>
      </c>
      <c r="E455" t="s">
        <v>855</v>
      </c>
      <c r="F455" t="s">
        <v>1289</v>
      </c>
      <c r="G455">
        <v>5.5173205394970086</v>
      </c>
      <c r="H455">
        <v>4.0455227371032834</v>
      </c>
      <c r="I455">
        <v>3.6623884172354688</v>
      </c>
      <c r="J455">
        <v>14.011863061773592</v>
      </c>
      <c r="K455">
        <v>11.38142697201368</v>
      </c>
      <c r="L455">
        <v>10.096720701068667</v>
      </c>
      <c r="M455">
        <v>15.000016301842129</v>
      </c>
      <c r="N455">
        <v>0</v>
      </c>
      <c r="O455">
        <v>5.419275644114915</v>
      </c>
      <c r="P455">
        <v>14.486899926259261</v>
      </c>
      <c r="Q455">
        <v>5.1875055526223113</v>
      </c>
      <c r="R455">
        <v>11.558352771023873</v>
      </c>
      <c r="S455">
        <v>8.2331960685747418</v>
      </c>
      <c r="T455">
        <v>23.457530117131896</v>
      </c>
      <c r="U455">
        <f>AVERAGE(G455:T455)</f>
        <v>9.4327156293043437</v>
      </c>
      <c r="V455" t="str">
        <f t="shared" si="42"/>
        <v>2019/20Outputs - reliabilityResilienceTree Cutting Actual</v>
      </c>
    </row>
    <row r="456" spans="1:22">
      <c r="A456" s="900" t="s">
        <v>126</v>
      </c>
      <c r="B456" s="900"/>
      <c r="C456" s="900" t="s">
        <v>1293</v>
      </c>
      <c r="D456" t="s">
        <v>290</v>
      </c>
      <c r="E456" t="s">
        <v>855</v>
      </c>
      <c r="F456" t="s">
        <v>1289</v>
      </c>
      <c r="G456">
        <v>5.5527790014576928</v>
      </c>
      <c r="H456">
        <v>4.3220309639871939</v>
      </c>
      <c r="I456">
        <v>4.7546320269921871</v>
      </c>
      <c r="J456">
        <v>14.337932840869307</v>
      </c>
      <c r="K456">
        <v>14.641509877042633</v>
      </c>
      <c r="L456">
        <v>9.1422171555612994</v>
      </c>
      <c r="M456">
        <v>12.594744842215478</v>
      </c>
      <c r="N456">
        <v>0</v>
      </c>
      <c r="O456">
        <v>5.4663783455013943</v>
      </c>
      <c r="P456">
        <v>10.802782025002855</v>
      </c>
      <c r="Q456">
        <v>4.9963826697956826</v>
      </c>
      <c r="R456">
        <v>9.7197263003186212</v>
      </c>
      <c r="S456">
        <v>7.6394259518643457</v>
      </c>
      <c r="T456">
        <v>21.630439936174685</v>
      </c>
      <c r="U456">
        <f>AVERAGE(G456:T456)</f>
        <v>8.9714987097702412</v>
      </c>
      <c r="V456" t="str">
        <f t="shared" si="42"/>
        <v>2020/21Outputs - reliabilityResilienceTree Cutting Actual</v>
      </c>
    </row>
    <row r="457" spans="1:22">
      <c r="A457" s="900" t="s">
        <v>142</v>
      </c>
      <c r="B457" s="900"/>
      <c r="C457" s="900" t="s">
        <v>1293</v>
      </c>
      <c r="D457" t="s">
        <v>290</v>
      </c>
      <c r="E457" t="s">
        <v>855</v>
      </c>
      <c r="F457" t="s">
        <v>1289</v>
      </c>
      <c r="G457">
        <v>5.2653743248595291</v>
      </c>
      <c r="H457">
        <v>4.1973049249227943</v>
      </c>
      <c r="I457">
        <v>5.2260543766859593</v>
      </c>
      <c r="J457">
        <v>13.915299999999998</v>
      </c>
      <c r="K457">
        <v>9.6685000000000016</v>
      </c>
      <c r="L457">
        <v>8.8666</v>
      </c>
      <c r="M457">
        <v>12.776199999999999</v>
      </c>
      <c r="N457">
        <v>0</v>
      </c>
      <c r="O457">
        <v>7.1232128079946015</v>
      </c>
      <c r="P457">
        <v>12.459990018666339</v>
      </c>
      <c r="Q457">
        <v>5.3029252269618903</v>
      </c>
      <c r="R457">
        <v>10.706592090341562</v>
      </c>
      <c r="S457">
        <v>8.0388984800000003</v>
      </c>
      <c r="T457">
        <v>15.647180349999999</v>
      </c>
      <c r="U457">
        <f>AVERAGE(G457:T457)</f>
        <v>8.5138666143166191</v>
      </c>
      <c r="V457" t="str">
        <f t="shared" ref="V457" si="44">CONCATENATE(A457,B457,C457,D457,E457)</f>
        <v>2021/22Outputs - reliabilityResilienceTree Cutting Actual</v>
      </c>
    </row>
    <row r="458" spans="1:22">
      <c r="A458" s="900" t="s">
        <v>137</v>
      </c>
      <c r="B458" s="900"/>
      <c r="C458" s="900" t="s">
        <v>1293</v>
      </c>
      <c r="D458" t="s">
        <v>290</v>
      </c>
      <c r="E458" t="s">
        <v>58</v>
      </c>
      <c r="F458" t="s">
        <v>1289</v>
      </c>
      <c r="G458">
        <f t="array" ref="G458:T465">TRANSPOSE('Ch2 outputs - reliability'!E497:L510)</f>
        <v>8.9701683943205026</v>
      </c>
      <c r="H458">
        <v>11.374416536048255</v>
      </c>
      <c r="I458">
        <v>14.380997546223684</v>
      </c>
      <c r="J458">
        <v>10.737356728572536</v>
      </c>
      <c r="K458">
        <v>10.349825133434726</v>
      </c>
      <c r="L458">
        <v>14.950219784395996</v>
      </c>
      <c r="M458">
        <v>14.428253876475578</v>
      </c>
      <c r="N458">
        <v>1.1945787468542948</v>
      </c>
      <c r="O458">
        <v>11.705637991847496</v>
      </c>
      <c r="P458">
        <v>22.314633954007967</v>
      </c>
      <c r="Q458">
        <v>8.9645972435451604</v>
      </c>
      <c r="R458">
        <v>14.788960423959406</v>
      </c>
      <c r="S458">
        <v>10.80858044086089</v>
      </c>
      <c r="T458">
        <v>23.737760435513739</v>
      </c>
      <c r="U458">
        <f t="shared" si="38"/>
        <v>12.764713374004302</v>
      </c>
      <c r="V458" t="str">
        <f t="shared" si="42"/>
        <v>2015/16Outputs - reliabilityResilienceTotal Resilience Baseline</v>
      </c>
    </row>
    <row r="459" spans="1:22">
      <c r="A459" s="900" t="s">
        <v>138</v>
      </c>
      <c r="B459" s="900"/>
      <c r="C459" s="900" t="s">
        <v>1293</v>
      </c>
      <c r="D459" t="s">
        <v>290</v>
      </c>
      <c r="E459" t="s">
        <v>58</v>
      </c>
      <c r="F459" t="s">
        <v>1289</v>
      </c>
      <c r="G459">
        <v>8.6241667408576514</v>
      </c>
      <c r="H459">
        <v>10.603881955930021</v>
      </c>
      <c r="I459">
        <v>12.868197866933539</v>
      </c>
      <c r="J459">
        <v>11.137365083051215</v>
      </c>
      <c r="K459">
        <v>11.516191644781514</v>
      </c>
      <c r="L459">
        <v>13.165697621919056</v>
      </c>
      <c r="M459">
        <v>14.775120101357654</v>
      </c>
      <c r="N459">
        <v>1.8366825761593089</v>
      </c>
      <c r="O459">
        <v>11.768241665682138</v>
      </c>
      <c r="P459">
        <v>22.966940173615289</v>
      </c>
      <c r="Q459">
        <v>9.4494702368538679</v>
      </c>
      <c r="R459">
        <v>15.203493361267981</v>
      </c>
      <c r="S459">
        <v>10.640602094654573</v>
      </c>
      <c r="T459">
        <v>22.396477964379507</v>
      </c>
      <c r="U459">
        <f t="shared" si="38"/>
        <v>12.639466363388808</v>
      </c>
      <c r="V459" t="str">
        <f t="shared" si="42"/>
        <v>2016/17Outputs - reliabilityResilienceTotal Resilience Baseline</v>
      </c>
    </row>
    <row r="460" spans="1:22">
      <c r="A460" s="900" t="s">
        <v>139</v>
      </c>
      <c r="B460" s="900"/>
      <c r="C460" s="900" t="s">
        <v>1293</v>
      </c>
      <c r="D460" t="s">
        <v>290</v>
      </c>
      <c r="E460" t="s">
        <v>58</v>
      </c>
      <c r="F460" t="s">
        <v>1289</v>
      </c>
      <c r="G460">
        <v>8.70244588350503</v>
      </c>
      <c r="H460">
        <v>8.6258514963716646</v>
      </c>
      <c r="I460">
        <v>12.673609844314777</v>
      </c>
      <c r="J460">
        <v>11.616774598363856</v>
      </c>
      <c r="K460">
        <v>11.086446664204363</v>
      </c>
      <c r="L460">
        <v>11.961044270519832</v>
      </c>
      <c r="M460">
        <v>15.070049404103361</v>
      </c>
      <c r="N460">
        <v>0.9911700942842796</v>
      </c>
      <c r="O460">
        <v>10.903790204930292</v>
      </c>
      <c r="P460">
        <v>23.251289719058345</v>
      </c>
      <c r="Q460">
        <v>9.7854499565660085</v>
      </c>
      <c r="R460">
        <v>14.480068717041085</v>
      </c>
      <c r="S460">
        <v>10.448376046259082</v>
      </c>
      <c r="T460">
        <v>21.325954845993785</v>
      </c>
      <c r="U460">
        <f t="shared" si="38"/>
        <v>12.208737267536842</v>
      </c>
      <c r="V460" t="str">
        <f t="shared" si="42"/>
        <v>2017/18Outputs - reliabilityResilienceTotal Resilience Baseline</v>
      </c>
    </row>
    <row r="461" spans="1:22">
      <c r="A461" s="900" t="s">
        <v>140</v>
      </c>
      <c r="B461" s="900"/>
      <c r="C461" s="900" t="s">
        <v>1293</v>
      </c>
      <c r="D461" t="s">
        <v>290</v>
      </c>
      <c r="E461" t="s">
        <v>58</v>
      </c>
      <c r="F461" t="s">
        <v>1289</v>
      </c>
      <c r="G461">
        <v>8.4787323298687465</v>
      </c>
      <c r="H461">
        <v>8.4233370908656795</v>
      </c>
      <c r="I461">
        <v>11.237522905332069</v>
      </c>
      <c r="J461">
        <v>11.679174464371084</v>
      </c>
      <c r="K461">
        <v>10.269032302928203</v>
      </c>
      <c r="L461">
        <v>10.705671445451102</v>
      </c>
      <c r="M461">
        <v>15.347422539596451</v>
      </c>
      <c r="N461">
        <v>0.92093451862707298</v>
      </c>
      <c r="O461">
        <v>10.808236660896611</v>
      </c>
      <c r="P461">
        <v>23.133853132871547</v>
      </c>
      <c r="Q461">
        <v>8.6826893703532306</v>
      </c>
      <c r="R461">
        <v>14.429091331559746</v>
      </c>
      <c r="S461">
        <v>10.290800346229965</v>
      </c>
      <c r="T461">
        <v>19.528142694513608</v>
      </c>
      <c r="U461">
        <f t="shared" si="38"/>
        <v>11.709617223818938</v>
      </c>
      <c r="V461" t="str">
        <f t="shared" si="42"/>
        <v>2018/19Outputs - reliabilityResilienceTotal Resilience Baseline</v>
      </c>
    </row>
    <row r="462" spans="1:22">
      <c r="A462" s="900" t="s">
        <v>141</v>
      </c>
      <c r="B462" s="900"/>
      <c r="C462" s="900" t="s">
        <v>1293</v>
      </c>
      <c r="D462" t="s">
        <v>290</v>
      </c>
      <c r="E462" t="s">
        <v>58</v>
      </c>
      <c r="F462" t="s">
        <v>1289</v>
      </c>
      <c r="G462">
        <v>8.0204796713637947</v>
      </c>
      <c r="H462">
        <v>8.6383197968493803</v>
      </c>
      <c r="I462">
        <v>11.335086987042068</v>
      </c>
      <c r="J462">
        <v>11.539341297625187</v>
      </c>
      <c r="K462">
        <v>9.9320902906886701</v>
      </c>
      <c r="L462">
        <v>10.791056936341487</v>
      </c>
      <c r="M462">
        <v>15.126195548093811</v>
      </c>
      <c r="N462">
        <v>0.88253094898098994</v>
      </c>
      <c r="O462">
        <v>10.624542810911869</v>
      </c>
      <c r="P462">
        <v>21.935169722683309</v>
      </c>
      <c r="Q462">
        <v>9.1549892415180043</v>
      </c>
      <c r="R462">
        <v>14.442087451753753</v>
      </c>
      <c r="S462">
        <v>9.7707304324007094</v>
      </c>
      <c r="T462">
        <v>18.133018718472318</v>
      </c>
      <c r="U462">
        <f t="shared" si="38"/>
        <v>11.45183141819467</v>
      </c>
      <c r="V462" t="str">
        <f t="shared" si="42"/>
        <v>2019/20Outputs - reliabilityResilienceTotal Resilience Baseline</v>
      </c>
    </row>
    <row r="463" spans="1:22">
      <c r="A463" s="900" t="s">
        <v>126</v>
      </c>
      <c r="B463" s="900"/>
      <c r="C463" s="900" t="s">
        <v>1293</v>
      </c>
      <c r="D463" t="s">
        <v>290</v>
      </c>
      <c r="E463" t="s">
        <v>58</v>
      </c>
      <c r="F463" t="s">
        <v>1289</v>
      </c>
      <c r="G463">
        <v>8.7361654828746929</v>
      </c>
      <c r="H463">
        <v>7.3965411664264069</v>
      </c>
      <c r="I463">
        <v>9.1219551117497435</v>
      </c>
      <c r="J463">
        <v>11.608308861467959</v>
      </c>
      <c r="K463">
        <v>9.5818036572642651</v>
      </c>
      <c r="L463">
        <v>10.578037840199917</v>
      </c>
      <c r="M463">
        <v>15.448483482216744</v>
      </c>
      <c r="N463">
        <v>0.78271314234133649</v>
      </c>
      <c r="O463">
        <v>10.24785339679241</v>
      </c>
      <c r="P463">
        <v>21.119197934393512</v>
      </c>
      <c r="Q463">
        <v>9.5020153187463681</v>
      </c>
      <c r="R463">
        <v>14.040247591088976</v>
      </c>
      <c r="S463">
        <v>9.6151386472020484</v>
      </c>
      <c r="T463">
        <v>17.872403284070977</v>
      </c>
      <c r="U463">
        <f t="shared" si="38"/>
        <v>11.117918922631096</v>
      </c>
      <c r="V463" t="str">
        <f t="shared" si="42"/>
        <v>2020/21Outputs - reliabilityResilienceTotal Resilience Baseline</v>
      </c>
    </row>
    <row r="464" spans="1:22">
      <c r="A464" s="900" t="s">
        <v>142</v>
      </c>
      <c r="B464" s="900"/>
      <c r="C464" s="900" t="s">
        <v>1293</v>
      </c>
      <c r="D464" t="s">
        <v>290</v>
      </c>
      <c r="E464" t="s">
        <v>58</v>
      </c>
      <c r="F464" t="s">
        <v>1289</v>
      </c>
      <c r="G464">
        <v>8.3441895191194053</v>
      </c>
      <c r="H464">
        <v>7.146335420976655</v>
      </c>
      <c r="I464">
        <v>8.6570422440360026</v>
      </c>
      <c r="J464">
        <v>11.323073301998306</v>
      </c>
      <c r="K464">
        <v>9.3894033866416784</v>
      </c>
      <c r="L464">
        <v>10.760029851821708</v>
      </c>
      <c r="M464">
        <v>15.107883483576202</v>
      </c>
      <c r="N464">
        <v>0.70682887060802113</v>
      </c>
      <c r="O464">
        <v>9.9330881767185932</v>
      </c>
      <c r="P464">
        <v>20.641651772548215</v>
      </c>
      <c r="Q464">
        <v>8.4617898634723065</v>
      </c>
      <c r="R464">
        <v>13.818082063470815</v>
      </c>
      <c r="S464">
        <v>9.4665612821801641</v>
      </c>
      <c r="T464">
        <v>17.592014132142182</v>
      </c>
      <c r="U464">
        <f t="shared" si="38"/>
        <v>10.810569526379302</v>
      </c>
      <c r="V464" t="str">
        <f t="shared" si="42"/>
        <v>2021/22Outputs - reliabilityResilienceTotal Resilience Baseline</v>
      </c>
    </row>
    <row r="465" spans="1:22">
      <c r="A465" s="900" t="s">
        <v>143</v>
      </c>
      <c r="B465" s="900"/>
      <c r="C465" s="900" t="s">
        <v>1293</v>
      </c>
      <c r="D465" t="s">
        <v>290</v>
      </c>
      <c r="E465" t="s">
        <v>58</v>
      </c>
      <c r="F465" t="s">
        <v>1289</v>
      </c>
      <c r="G465">
        <v>8.1784175847752039</v>
      </c>
      <c r="H465">
        <v>7.0823087039583079</v>
      </c>
      <c r="I465">
        <v>8.834054758663493</v>
      </c>
      <c r="J465">
        <v>11.095232614060071</v>
      </c>
      <c r="K465">
        <v>9.0275496399868569</v>
      </c>
      <c r="L465">
        <v>10.92347254534681</v>
      </c>
      <c r="M465">
        <v>14.952399405595449</v>
      </c>
      <c r="N465">
        <v>0.66819327590307198</v>
      </c>
      <c r="O465">
        <v>9.6832202603584783</v>
      </c>
      <c r="P465">
        <v>20.072221515268112</v>
      </c>
      <c r="Q465">
        <v>8.9113461106765754</v>
      </c>
      <c r="R465">
        <v>13.941749043659387</v>
      </c>
      <c r="S465">
        <v>9.2989904422505241</v>
      </c>
      <c r="T465">
        <v>17.399168430812846</v>
      </c>
      <c r="U465">
        <f t="shared" si="38"/>
        <v>10.71916602366537</v>
      </c>
      <c r="V465" t="str">
        <f t="shared" si="42"/>
        <v>2022/23Outputs - reliabilityResilienceTotal Resilience Baseline</v>
      </c>
    </row>
    <row r="466" spans="1:22">
      <c r="A466" s="900" t="s">
        <v>137</v>
      </c>
      <c r="B466" s="900"/>
      <c r="C466" s="900" t="s">
        <v>1293</v>
      </c>
      <c r="D466" t="s">
        <v>290</v>
      </c>
      <c r="E466" t="s">
        <v>60</v>
      </c>
      <c r="F466" t="s">
        <v>1289</v>
      </c>
      <c r="G466" cm="1">
        <f t="array" ref="G466:T472">TRANSPOSE('Ch2 outputs - reliability'!N497:T510)</f>
        <v>4.356645173510838</v>
      </c>
      <c r="H466">
        <v>7.6232242759647821</v>
      </c>
      <c r="I466">
        <v>14.59673364506066</v>
      </c>
      <c r="J466">
        <v>18.829980643942751</v>
      </c>
      <c r="K466">
        <v>14.90621845100662</v>
      </c>
      <c r="L466">
        <v>13.651670001117822</v>
      </c>
      <c r="M466">
        <v>18.925211185932397</v>
      </c>
      <c r="N466">
        <v>0.23274790690749295</v>
      </c>
      <c r="O466">
        <v>3.0217060849646407</v>
      </c>
      <c r="P466">
        <v>8.0721085230027505</v>
      </c>
      <c r="Q466">
        <v>4.3813102256169518</v>
      </c>
      <c r="R466">
        <v>13.648591909566939</v>
      </c>
      <c r="S466">
        <v>10.073688227018151</v>
      </c>
      <c r="T466">
        <v>23.715283460469561</v>
      </c>
      <c r="U466">
        <f t="shared" si="38"/>
        <v>11.145365693863026</v>
      </c>
      <c r="V466" t="str">
        <f t="shared" si="42"/>
        <v>2015/16Outputs - reliabilityResilienceTotal Resilience Actual</v>
      </c>
    </row>
    <row r="467" spans="1:22">
      <c r="A467" s="900" t="s">
        <v>138</v>
      </c>
      <c r="B467" s="900"/>
      <c r="C467" s="900" t="s">
        <v>1293</v>
      </c>
      <c r="D467" t="s">
        <v>290</v>
      </c>
      <c r="E467" t="s">
        <v>60</v>
      </c>
      <c r="F467" t="s">
        <v>1289</v>
      </c>
      <c r="G467">
        <v>8.4797710956857646</v>
      </c>
      <c r="H467">
        <v>7.9471300623719383</v>
      </c>
      <c r="I467">
        <v>12.148028399920964</v>
      </c>
      <c r="J467">
        <v>23.260291078975968</v>
      </c>
      <c r="K467">
        <v>13.593787926427968</v>
      </c>
      <c r="L467">
        <v>11.541844452662723</v>
      </c>
      <c r="M467">
        <v>16.80139535835044</v>
      </c>
      <c r="N467">
        <v>0.73251209151274232</v>
      </c>
      <c r="O467">
        <v>7.6586251533205028</v>
      </c>
      <c r="P467">
        <v>13.704867444591031</v>
      </c>
      <c r="Q467">
        <v>3.8576880745658713</v>
      </c>
      <c r="R467">
        <v>13.535295862140634</v>
      </c>
      <c r="S467">
        <v>8.490529521909691</v>
      </c>
      <c r="T467">
        <v>25.576127352078636</v>
      </c>
      <c r="U467">
        <f t="shared" ref="U467:U478" si="45">AVERAGE(G467:T467)</f>
        <v>11.951992419608203</v>
      </c>
      <c r="V467" t="str">
        <f t="shared" si="42"/>
        <v>2016/17Outputs - reliabilityResilienceTotal Resilience Actual</v>
      </c>
    </row>
    <row r="468" spans="1:22">
      <c r="A468" s="900" t="s">
        <v>139</v>
      </c>
      <c r="B468" s="900"/>
      <c r="C468" s="900" t="s">
        <v>1293</v>
      </c>
      <c r="D468" t="s">
        <v>290</v>
      </c>
      <c r="E468" t="s">
        <v>60</v>
      </c>
      <c r="F468" t="s">
        <v>1289</v>
      </c>
      <c r="G468">
        <v>8.5233390293046849</v>
      </c>
      <c r="H468">
        <v>6.9688541318928596</v>
      </c>
      <c r="I468">
        <v>13.630202637595863</v>
      </c>
      <c r="J468">
        <v>20.129265440074498</v>
      </c>
      <c r="K468">
        <v>17.442563908653074</v>
      </c>
      <c r="L468">
        <v>10.948390800558732</v>
      </c>
      <c r="M468">
        <v>17.179519111120811</v>
      </c>
      <c r="N468">
        <v>1.3767111133845533</v>
      </c>
      <c r="O468">
        <v>7.241390312318325</v>
      </c>
      <c r="P468">
        <v>11.718977468413664</v>
      </c>
      <c r="Q468">
        <v>4.0121084254483286</v>
      </c>
      <c r="R468">
        <v>11.482222348421336</v>
      </c>
      <c r="S468">
        <v>8.2708898723146866</v>
      </c>
      <c r="T468">
        <v>14.682589387141133</v>
      </c>
      <c r="U468">
        <f t="shared" si="45"/>
        <v>10.971930284760182</v>
      </c>
      <c r="V468" t="str">
        <f t="shared" si="42"/>
        <v>2017/18Outputs - reliabilityResilienceTotal Resilience Actual</v>
      </c>
    </row>
    <row r="469" spans="1:22">
      <c r="A469" s="900" t="s">
        <v>140</v>
      </c>
      <c r="B469" s="900"/>
      <c r="C469" s="900" t="s">
        <v>1293</v>
      </c>
      <c r="D469" t="s">
        <v>290</v>
      </c>
      <c r="E469" t="s">
        <v>60</v>
      </c>
      <c r="F469" t="s">
        <v>1289</v>
      </c>
      <c r="G469">
        <v>8.2259490744574464</v>
      </c>
      <c r="H469">
        <v>10.360788861675712</v>
      </c>
      <c r="I469">
        <v>11.79015011529216</v>
      </c>
      <c r="J469">
        <v>17.111229801488133</v>
      </c>
      <c r="K469">
        <v>11.906042833947506</v>
      </c>
      <c r="L469">
        <v>10.1490876734861</v>
      </c>
      <c r="M469">
        <v>14.488811950244964</v>
      </c>
      <c r="N469">
        <v>1.2540859713435373</v>
      </c>
      <c r="O469">
        <v>8.5048646392361</v>
      </c>
      <c r="P469">
        <v>13.69585356548129</v>
      </c>
      <c r="Q469">
        <v>3.6633182748479989</v>
      </c>
      <c r="R469">
        <v>10.453332084954182</v>
      </c>
      <c r="S469">
        <v>9.6541435851846042</v>
      </c>
      <c r="T469">
        <v>14.835258333264797</v>
      </c>
      <c r="U469">
        <f t="shared" si="45"/>
        <v>10.435208340350325</v>
      </c>
      <c r="V469" t="str">
        <f t="shared" si="42"/>
        <v>2018/19Outputs - reliabilityResilienceTotal Resilience Actual</v>
      </c>
    </row>
    <row r="470" spans="1:22">
      <c r="A470" s="900" t="s">
        <v>141</v>
      </c>
      <c r="B470" s="900"/>
      <c r="C470" s="900" t="s">
        <v>1293</v>
      </c>
      <c r="D470" t="s">
        <v>290</v>
      </c>
      <c r="E470" t="s">
        <v>60</v>
      </c>
      <c r="F470" t="s">
        <v>1289</v>
      </c>
      <c r="G470">
        <v>8.6657216983892518</v>
      </c>
      <c r="H470">
        <v>9.3177601797307847</v>
      </c>
      <c r="I470">
        <v>10.294192459599692</v>
      </c>
      <c r="J470">
        <v>14.532169101506323</v>
      </c>
      <c r="K470">
        <v>12.908942728167297</v>
      </c>
      <c r="L470">
        <v>10.347238423902946</v>
      </c>
      <c r="M470">
        <v>15.440242317352618</v>
      </c>
      <c r="N470">
        <v>0.70433843188944234</v>
      </c>
      <c r="O470">
        <v>6.819260667308364</v>
      </c>
      <c r="P470">
        <v>16.779030147279933</v>
      </c>
      <c r="Q470">
        <v>5.2131748937720745</v>
      </c>
      <c r="R470">
        <v>11.885073608663845</v>
      </c>
      <c r="S470">
        <v>8.2718473453246268</v>
      </c>
      <c r="T470">
        <v>29.959729325534397</v>
      </c>
      <c r="U470">
        <f>AVERAGE(G470:T470)</f>
        <v>11.509908666315829</v>
      </c>
      <c r="V470" t="str">
        <f t="shared" si="42"/>
        <v>2019/20Outputs - reliabilityResilienceTotal Resilience Actual</v>
      </c>
    </row>
    <row r="471" spans="1:22">
      <c r="A471" s="900" t="s">
        <v>126</v>
      </c>
      <c r="B471" s="900"/>
      <c r="C471" s="900" t="s">
        <v>1293</v>
      </c>
      <c r="D471" t="s">
        <v>290</v>
      </c>
      <c r="E471" t="s">
        <v>60</v>
      </c>
      <c r="F471" t="s">
        <v>1289</v>
      </c>
      <c r="G471">
        <v>7.7942876443117468</v>
      </c>
      <c r="H471">
        <v>7.7418275881017964</v>
      </c>
      <c r="I471">
        <v>9.558194988833252</v>
      </c>
      <c r="J471">
        <v>14.338990600577228</v>
      </c>
      <c r="K471">
        <v>15.459263907236368</v>
      </c>
      <c r="L471">
        <v>9.6853767655787397</v>
      </c>
      <c r="M471">
        <v>13.121826504672518</v>
      </c>
      <c r="N471">
        <v>0.64813099709712541</v>
      </c>
      <c r="O471">
        <v>6.8452015027553506</v>
      </c>
      <c r="P471">
        <v>13.06463576239357</v>
      </c>
      <c r="Q471">
        <v>5.0335767170269445</v>
      </c>
      <c r="R471">
        <v>9.8608146722678214</v>
      </c>
      <c r="S471">
        <v>7.6549483957589368</v>
      </c>
      <c r="T471">
        <v>25.366208900711904</v>
      </c>
      <c r="U471">
        <f>AVERAGE(G471:T471)</f>
        <v>10.440948924808806</v>
      </c>
      <c r="V471" t="str">
        <f t="shared" si="42"/>
        <v>2020/21Outputs - reliabilityResilienceTotal Resilience Actual</v>
      </c>
    </row>
    <row r="472" spans="1:22">
      <c r="A472" s="900" t="s">
        <v>142</v>
      </c>
      <c r="B472" s="900"/>
      <c r="C472" s="900" t="s">
        <v>1293</v>
      </c>
      <c r="D472" t="s">
        <v>290</v>
      </c>
      <c r="E472" t="s">
        <v>60</v>
      </c>
      <c r="F472" t="s">
        <v>1289</v>
      </c>
      <c r="G472">
        <v>5.9998309543144241</v>
      </c>
      <c r="H472">
        <v>6.0060612949227936</v>
      </c>
      <c r="I472">
        <v>9.2930576966859579</v>
      </c>
      <c r="J472">
        <v>14.0741</v>
      </c>
      <c r="K472">
        <v>9.9573000000000018</v>
      </c>
      <c r="L472">
        <v>9.5823</v>
      </c>
      <c r="M472">
        <v>12.9224</v>
      </c>
      <c r="N472">
        <v>0.51828226445413661</v>
      </c>
      <c r="O472">
        <v>8.7627853876209407</v>
      </c>
      <c r="P472">
        <v>14.553529249991993</v>
      </c>
      <c r="Q472">
        <v>5.3488203140664217</v>
      </c>
      <c r="R472">
        <v>10.935855843476116</v>
      </c>
      <c r="S472">
        <v>8.0528177700000008</v>
      </c>
      <c r="T472">
        <v>17.328874710000001</v>
      </c>
      <c r="U472">
        <f>AVERAGE(G472:T472)</f>
        <v>9.524001106109484</v>
      </c>
      <c r="V472" t="str">
        <f t="shared" ref="V472" si="46">CONCATENATE(A472,B472,C472,D472,E472)</f>
        <v>2021/22Outputs - reliabilityResilienceTotal Resilience Actual</v>
      </c>
    </row>
    <row r="473" spans="1:22">
      <c r="A473" s="900" t="s">
        <v>142</v>
      </c>
      <c r="B473" s="900"/>
      <c r="C473" s="900" t="s">
        <v>1306</v>
      </c>
      <c r="D473" t="s">
        <v>1306</v>
      </c>
      <c r="E473" t="s">
        <v>302</v>
      </c>
      <c r="F473" t="s">
        <v>1289</v>
      </c>
      <c r="G473">
        <f t="array" ref="G473:T479">TRANSPOSE('Ch2 - Network Asset SDs'!D11:J24)</f>
        <v>34717173.946499869</v>
      </c>
      <c r="H473">
        <v>35398060.561412401</v>
      </c>
      <c r="I473">
        <v>29674137.9439281</v>
      </c>
      <c r="J473">
        <v>40210986.96654059</v>
      </c>
      <c r="K473">
        <v>34930944.436057702</v>
      </c>
      <c r="L473">
        <v>20709600.892820612</v>
      </c>
      <c r="M473">
        <v>31601986.911348734</v>
      </c>
      <c r="N473">
        <v>27708452.575041577</v>
      </c>
      <c r="O473">
        <v>35848065.344327152</v>
      </c>
      <c r="P473">
        <v>50577623.924371935</v>
      </c>
      <c r="Q473">
        <v>30942854.042898096</v>
      </c>
      <c r="R473">
        <v>36840842.86841929</v>
      </c>
      <c r="S473">
        <v>29746923.894414015</v>
      </c>
      <c r="T473">
        <v>47453646.570192613</v>
      </c>
      <c r="U473">
        <f t="shared" si="45"/>
        <v>34740092.91987662</v>
      </c>
      <c r="V473" t="str">
        <f t="shared" si="42"/>
        <v>2021/22Network Asset SDsNetwork Asset SDsPosition at Beginning of RIIO-ED1</v>
      </c>
    </row>
    <row r="474" spans="1:22">
      <c r="A474" s="900" t="s">
        <v>142</v>
      </c>
      <c r="B474" s="900"/>
      <c r="C474" s="900" t="s">
        <v>1306</v>
      </c>
      <c r="D474" t="s">
        <v>1306</v>
      </c>
      <c r="E474" t="s">
        <v>303</v>
      </c>
      <c r="F474" t="s">
        <v>1289</v>
      </c>
      <c r="G474">
        <v>52801732.966237813</v>
      </c>
      <c r="H474">
        <v>50635472.349193722</v>
      </c>
      <c r="I474">
        <v>39226669.012665838</v>
      </c>
      <c r="J474">
        <v>52621580.08995156</v>
      </c>
      <c r="K474">
        <v>42724719.564123228</v>
      </c>
      <c r="L474">
        <v>27797837.715861499</v>
      </c>
      <c r="M474">
        <v>46546170.718818411</v>
      </c>
      <c r="N474">
        <v>35728247.991480425</v>
      </c>
      <c r="O474">
        <v>46097951.077517502</v>
      </c>
      <c r="P474">
        <v>65823784.585643537</v>
      </c>
      <c r="Q474">
        <v>46997140.343846105</v>
      </c>
      <c r="R474">
        <v>52578037.673996069</v>
      </c>
      <c r="S474">
        <v>40727721.332472458</v>
      </c>
      <c r="T474">
        <v>65647485.210699759</v>
      </c>
      <c r="U474">
        <f t="shared" si="45"/>
        <v>47568182.188036278</v>
      </c>
      <c r="V474" t="str">
        <f t="shared" si="42"/>
        <v>2021/22Network Asset SDsNetwork Asset SDsEnd of RIIO-ED1 (Without Investment)</v>
      </c>
    </row>
    <row r="475" spans="1:22">
      <c r="A475" s="900" t="s">
        <v>142</v>
      </c>
      <c r="B475" s="900"/>
      <c r="C475" s="900" t="s">
        <v>1306</v>
      </c>
      <c r="D475" t="s">
        <v>1306</v>
      </c>
      <c r="E475" t="s">
        <v>304</v>
      </c>
      <c r="F475" t="s">
        <v>1289</v>
      </c>
      <c r="G475">
        <v>41290441.301693097</v>
      </c>
      <c r="H475">
        <v>40069116.526471682</v>
      </c>
      <c r="I475">
        <v>29830607.609918866</v>
      </c>
      <c r="J475">
        <v>35393380.373779505</v>
      </c>
      <c r="K475">
        <v>30194501.949782174</v>
      </c>
      <c r="L475">
        <v>17981336.209192295</v>
      </c>
      <c r="M475">
        <v>30235486.383803267</v>
      </c>
      <c r="N475">
        <v>26585580.797096916</v>
      </c>
      <c r="O475">
        <v>37659235.170638166</v>
      </c>
      <c r="P475">
        <v>54362805.491895676</v>
      </c>
      <c r="Q475">
        <v>40114396.530287042</v>
      </c>
      <c r="R475">
        <v>42446657.549351126</v>
      </c>
      <c r="S475">
        <v>34325214.593015693</v>
      </c>
      <c r="T475">
        <v>49343867.270478591</v>
      </c>
      <c r="U475">
        <f t="shared" si="45"/>
        <v>36416616.268386006</v>
      </c>
      <c r="V475" t="str">
        <f t="shared" si="42"/>
        <v>2021/22Network Asset SDsNetwork Asset SDsEnd of RIIO-ED1 (With Investment)</v>
      </c>
    </row>
    <row r="476" spans="1:22">
      <c r="A476" s="900" t="s">
        <v>142</v>
      </c>
      <c r="B476" s="900"/>
      <c r="C476" s="900" t="s">
        <v>1306</v>
      </c>
      <c r="D476" t="s">
        <v>1306</v>
      </c>
      <c r="E476" t="s">
        <v>305</v>
      </c>
      <c r="F476" t="s">
        <v>1289</v>
      </c>
      <c r="G476">
        <v>11511291.664544724</v>
      </c>
      <c r="H476">
        <v>10566355.822722025</v>
      </c>
      <c r="I476">
        <v>9396061.4027469829</v>
      </c>
      <c r="J476">
        <v>17228199.716172047</v>
      </c>
      <c r="K476">
        <v>12530217.614341054</v>
      </c>
      <c r="L476">
        <v>9816501.5066692047</v>
      </c>
      <c r="M476">
        <v>16310684.335015152</v>
      </c>
      <c r="N476">
        <v>9142667.1943835244</v>
      </c>
      <c r="O476">
        <v>8438715.9068793431</v>
      </c>
      <c r="P476">
        <v>11460979.093747869</v>
      </c>
      <c r="Q476">
        <v>6882743.8135590702</v>
      </c>
      <c r="R476">
        <v>10131380.12464495</v>
      </c>
      <c r="S476">
        <v>6402506.7394567579</v>
      </c>
      <c r="T476">
        <v>16303617.940221168</v>
      </c>
      <c r="U476">
        <f t="shared" si="45"/>
        <v>11151565.919650275</v>
      </c>
      <c r="V476" t="str">
        <f t="shared" si="42"/>
        <v>2021/22Network Asset SDsNetwork Asset SDsImpact of investment</v>
      </c>
    </row>
    <row r="477" spans="1:22">
      <c r="A477" s="900" t="s">
        <v>142</v>
      </c>
      <c r="B477" s="900"/>
      <c r="C477" s="900" t="s">
        <v>1306</v>
      </c>
      <c r="D477" t="s">
        <v>1306</v>
      </c>
      <c r="E477" t="s">
        <v>306</v>
      </c>
      <c r="F477" t="s">
        <v>1289</v>
      </c>
      <c r="G477">
        <v>18084559.019737944</v>
      </c>
      <c r="H477">
        <v>15237411.787781321</v>
      </c>
      <c r="I477">
        <v>9552531.0687377378</v>
      </c>
      <c r="J477">
        <v>12410593.12341097</v>
      </c>
      <c r="K477">
        <v>7793775.1280655265</v>
      </c>
      <c r="L477">
        <v>7088236.8230408877</v>
      </c>
      <c r="M477">
        <v>14944183.807469677</v>
      </c>
      <c r="N477">
        <v>8019795.4164388478</v>
      </c>
      <c r="O477">
        <v>10249885.73319035</v>
      </c>
      <c r="P477">
        <v>15246160.661271602</v>
      </c>
      <c r="Q477">
        <v>16054286.300948009</v>
      </c>
      <c r="R477">
        <v>15737194.805576779</v>
      </c>
      <c r="S477">
        <v>10980797.438058443</v>
      </c>
      <c r="T477">
        <v>18193838.640507147</v>
      </c>
      <c r="U477">
        <f t="shared" si="45"/>
        <v>12828089.268159658</v>
      </c>
      <c r="V477" t="str">
        <f t="shared" si="42"/>
        <v>2021/22Network Asset SDsNetwork Asset SDsDeterioration</v>
      </c>
    </row>
    <row r="478" spans="1:22">
      <c r="A478" s="900" t="s">
        <v>142</v>
      </c>
      <c r="B478" s="900"/>
      <c r="C478" s="900" t="s">
        <v>1306</v>
      </c>
      <c r="D478" t="s">
        <v>1306</v>
      </c>
      <c r="E478" t="s">
        <v>869</v>
      </c>
      <c r="F478" t="s">
        <v>1289</v>
      </c>
      <c r="G478">
        <v>9889348.0843193643</v>
      </c>
      <c r="H478">
        <v>9994101.0730805565</v>
      </c>
      <c r="I478">
        <v>8032774.8799642352</v>
      </c>
      <c r="J478">
        <v>19779941.64751476</v>
      </c>
      <c r="K478">
        <v>14135479.540935654</v>
      </c>
      <c r="L478">
        <v>11252353.154750073</v>
      </c>
      <c r="M478">
        <v>16145060.081087314</v>
      </c>
      <c r="N478">
        <v>8822240.2893384621</v>
      </c>
      <c r="O478">
        <v>7692366.5211696653</v>
      </c>
      <c r="P478">
        <v>10449351.336394163</v>
      </c>
      <c r="Q478">
        <v>7062551.741216002</v>
      </c>
      <c r="R478">
        <v>9110682.6471382156</v>
      </c>
      <c r="S478">
        <v>5919830.491110079</v>
      </c>
      <c r="T478">
        <v>14388453.525153082</v>
      </c>
      <c r="U478">
        <f t="shared" si="45"/>
        <v>10905323.929512259</v>
      </c>
      <c r="V478" t="str">
        <f t="shared" si="42"/>
        <v>2021/22Network Asset SDsNetwork Asset SDsCumulative delivery to date against rebased NAW target</v>
      </c>
    </row>
    <row r="479" spans="1:22">
      <c r="A479" s="900" t="s">
        <v>142</v>
      </c>
      <c r="B479" s="900"/>
      <c r="C479" s="900" t="s">
        <v>1306</v>
      </c>
      <c r="D479" t="s">
        <v>1306</v>
      </c>
      <c r="E479" t="s">
        <v>307</v>
      </c>
      <c r="F479" s="900" t="s">
        <v>1300</v>
      </c>
      <c r="G479" s="829">
        <v>0.85909977546472771</v>
      </c>
      <c r="H479" s="829">
        <v>0.94584180589386502</v>
      </c>
      <c r="I479" s="829">
        <v>0.85490872565134746</v>
      </c>
      <c r="J479" s="829">
        <v>1.1481142529911237</v>
      </c>
      <c r="K479" s="829">
        <v>1.1281112568035012</v>
      </c>
      <c r="L479" s="829">
        <v>1.1462691822647171</v>
      </c>
      <c r="M479" s="829">
        <v>0.98984565880094422</v>
      </c>
      <c r="N479" s="829">
        <v>0.96495257912899801</v>
      </c>
      <c r="O479" s="829">
        <v>0.91155652187541414</v>
      </c>
      <c r="P479" s="829">
        <v>0.9117328677524974</v>
      </c>
      <c r="Q479" s="829">
        <v>1.0261244545093642</v>
      </c>
      <c r="R479" s="829">
        <v>0.89925385634047517</v>
      </c>
      <c r="S479" s="829">
        <v>0.92461136426892176</v>
      </c>
      <c r="T479" s="829">
        <v>0.8825313239006074</v>
      </c>
      <c r="U479" s="829">
        <f>U478/U476</f>
        <v>0.97791861771591093</v>
      </c>
      <c r="V479" t="str">
        <f>CONCATENATE(A479,B479,C479,D479,E479)</f>
        <v xml:space="preserve">2021/22Network Asset SDsNetwork Asset SDs% Delivered </v>
      </c>
    </row>
    <row r="480" spans="1:22">
      <c r="A480" s="900" t="s">
        <v>137</v>
      </c>
      <c r="B480" s="900"/>
      <c r="C480" s="900" t="s">
        <v>1307</v>
      </c>
      <c r="D480" t="s">
        <v>65</v>
      </c>
      <c r="E480" s="900" t="s">
        <v>1308</v>
      </c>
      <c r="F480" s="900" t="s">
        <v>1309</v>
      </c>
      <c r="G480">
        <v>11.448055780000001</v>
      </c>
      <c r="H480">
        <v>35.23509</v>
      </c>
      <c r="I480">
        <v>40.168480000000002</v>
      </c>
      <c r="J480">
        <v>24.47506500000037</v>
      </c>
      <c r="K480">
        <v>34.188488000000156</v>
      </c>
      <c r="L480">
        <v>13.891085000000395</v>
      </c>
      <c r="M480">
        <v>20.039413000000522</v>
      </c>
      <c r="N480">
        <v>5.0553299999999917</v>
      </c>
      <c r="O480">
        <v>24.588480000000057</v>
      </c>
      <c r="P480">
        <v>66.57957099999804</v>
      </c>
      <c r="Q480">
        <v>18.305060000000687</v>
      </c>
      <c r="R480">
        <v>24.976960000000361</v>
      </c>
      <c r="S480">
        <v>10</v>
      </c>
      <c r="T480">
        <v>37</v>
      </c>
      <c r="U480">
        <f>AVERAGE(G480:T480)</f>
        <v>26.139362698571471</v>
      </c>
      <c r="V480" t="str">
        <f t="shared" si="42"/>
        <v>2015/16Outputs - connectionsDistributed GenerationPVs (G83)</v>
      </c>
    </row>
    <row r="481" spans="1:22">
      <c r="A481" s="900" t="s">
        <v>137</v>
      </c>
      <c r="B481" s="900"/>
      <c r="C481" s="900" t="s">
        <v>1307</v>
      </c>
      <c r="D481" t="s">
        <v>65</v>
      </c>
      <c r="E481" t="s">
        <v>320</v>
      </c>
      <c r="F481" s="900" t="s">
        <v>1309</v>
      </c>
      <c r="G481">
        <v>0</v>
      </c>
      <c r="H481">
        <v>0</v>
      </c>
      <c r="I481">
        <v>3.6800000000000001E-3</v>
      </c>
      <c r="J481">
        <v>1.318000000000029E-2</v>
      </c>
      <c r="K481">
        <v>3.3229999999995923E-2</v>
      </c>
      <c r="L481">
        <v>2.2960000000002766E-2</v>
      </c>
      <c r="M481">
        <v>2.3540000000004512E-2</v>
      </c>
      <c r="N481">
        <v>0</v>
      </c>
      <c r="O481">
        <v>0</v>
      </c>
      <c r="P481">
        <v>0</v>
      </c>
      <c r="Q481">
        <v>3.7560000000000003E-2</v>
      </c>
      <c r="R481">
        <v>5.0000000000000001E-3</v>
      </c>
      <c r="S481">
        <v>0.5</v>
      </c>
      <c r="T481">
        <v>0</v>
      </c>
      <c r="U481">
        <f t="shared" ref="U481:U491" si="47">AVERAGE(G481:T481)</f>
        <v>4.5653571428571675E-2</v>
      </c>
      <c r="V481" t="str">
        <f t="shared" si="42"/>
        <v>2015/16Outputs - connectionsDistributed GenerationOther DG (G83)</v>
      </c>
    </row>
    <row r="482" spans="1:22">
      <c r="A482" s="900" t="s">
        <v>137</v>
      </c>
      <c r="B482" s="900"/>
      <c r="C482" s="900" t="s">
        <v>1307</v>
      </c>
      <c r="D482" t="s">
        <v>65</v>
      </c>
      <c r="E482" t="s">
        <v>321</v>
      </c>
      <c r="F482" s="900" t="s">
        <v>1309</v>
      </c>
      <c r="G482">
        <v>100.52412</v>
      </c>
      <c r="H482">
        <v>48.68710999999999</v>
      </c>
      <c r="I482">
        <v>239.39726999999996</v>
      </c>
      <c r="J482">
        <v>131.35399999999998</v>
      </c>
      <c r="K482">
        <v>369.35699999999997</v>
      </c>
      <c r="L482">
        <v>209.90899999999999</v>
      </c>
      <c r="M482">
        <v>260.596</v>
      </c>
      <c r="N482">
        <v>51.225894999999994</v>
      </c>
      <c r="O482">
        <v>286.61057500000004</v>
      </c>
      <c r="P482">
        <v>663.83710999999994</v>
      </c>
      <c r="Q482">
        <v>124.74639999999999</v>
      </c>
      <c r="R482">
        <v>70.419699999999992</v>
      </c>
      <c r="S482">
        <v>223.6</v>
      </c>
      <c r="T482">
        <v>624.1</v>
      </c>
      <c r="U482">
        <f t="shared" si="47"/>
        <v>243.16886999999997</v>
      </c>
      <c r="V482" t="str">
        <f t="shared" si="42"/>
        <v>2015/16Outputs - connectionsDistributed GenerationDG (non G83)</v>
      </c>
    </row>
    <row r="483" spans="1:22">
      <c r="A483" s="900" t="s">
        <v>138</v>
      </c>
      <c r="B483" s="900"/>
      <c r="C483" s="900" t="s">
        <v>1307</v>
      </c>
      <c r="D483" t="s">
        <v>65</v>
      </c>
      <c r="E483" t="s">
        <v>1308</v>
      </c>
      <c r="F483" s="900" t="s">
        <v>1309</v>
      </c>
      <c r="G483">
        <v>12.25513737</v>
      </c>
      <c r="H483">
        <v>3.9040700000000004</v>
      </c>
      <c r="I483">
        <v>7.2449399999999997</v>
      </c>
      <c r="J483">
        <v>2.3479049999999937</v>
      </c>
      <c r="K483">
        <v>6.1714280000000015</v>
      </c>
      <c r="L483">
        <v>1.529921000000001</v>
      </c>
      <c r="M483">
        <v>3.5570409999999679</v>
      </c>
      <c r="N483">
        <v>1.1994999999999998</v>
      </c>
      <c r="O483">
        <v>4.4473199999999835</v>
      </c>
      <c r="P483">
        <v>7.3207799999999761</v>
      </c>
      <c r="Q483">
        <v>1.4874899999999984</v>
      </c>
      <c r="R483">
        <v>1.9296500000000021</v>
      </c>
      <c r="S483">
        <v>1.2709999999999999</v>
      </c>
      <c r="T483">
        <v>5.7190000000000003</v>
      </c>
      <c r="U483">
        <f t="shared" si="47"/>
        <v>4.3132273121428524</v>
      </c>
      <c r="V483" t="str">
        <f t="shared" si="42"/>
        <v>2016/17Outputs - connectionsDistributed GenerationPVs (G83)</v>
      </c>
    </row>
    <row r="484" spans="1:22">
      <c r="A484" s="900" t="s">
        <v>138</v>
      </c>
      <c r="B484" s="900"/>
      <c r="C484" s="900" t="s">
        <v>1307</v>
      </c>
      <c r="D484" t="s">
        <v>65</v>
      </c>
      <c r="E484" t="s">
        <v>320</v>
      </c>
      <c r="F484" s="900" t="s">
        <v>1309</v>
      </c>
      <c r="G484">
        <v>0</v>
      </c>
      <c r="H484">
        <v>6.0999999999999997E-4</v>
      </c>
      <c r="I484">
        <v>0</v>
      </c>
      <c r="J484">
        <v>1.098E-2</v>
      </c>
      <c r="K484">
        <v>2.5499999999999998E-2</v>
      </c>
      <c r="L484">
        <v>2.1332999999999998E-2</v>
      </c>
      <c r="M484">
        <v>3.4000000000000002E-2</v>
      </c>
      <c r="N484">
        <v>0</v>
      </c>
      <c r="O484">
        <v>0</v>
      </c>
      <c r="P484">
        <v>1.0999999999999999E-2</v>
      </c>
      <c r="Q484">
        <v>0</v>
      </c>
      <c r="R484">
        <v>0</v>
      </c>
      <c r="S484">
        <v>4.7E-2</v>
      </c>
      <c r="T484">
        <v>0.04</v>
      </c>
      <c r="U484">
        <f t="shared" si="47"/>
        <v>1.3601642857142857E-2</v>
      </c>
      <c r="V484" t="str">
        <f t="shared" si="42"/>
        <v>2016/17Outputs - connectionsDistributed GenerationOther DG (G83)</v>
      </c>
    </row>
    <row r="485" spans="1:22">
      <c r="A485" s="900" t="s">
        <v>138</v>
      </c>
      <c r="B485" s="900"/>
      <c r="C485" s="900" t="s">
        <v>1307</v>
      </c>
      <c r="D485" t="s">
        <v>65</v>
      </c>
      <c r="E485" t="s">
        <v>321</v>
      </c>
      <c r="F485" s="900" t="s">
        <v>1309</v>
      </c>
      <c r="G485">
        <v>157.65701999999999</v>
      </c>
      <c r="H485">
        <v>164.1</v>
      </c>
      <c r="I485">
        <v>284.55</v>
      </c>
      <c r="J485">
        <v>255.17699999999996</v>
      </c>
      <c r="K485">
        <v>291.14499999999998</v>
      </c>
      <c r="L485">
        <v>321.488</v>
      </c>
      <c r="M485">
        <v>260.85769999999997</v>
      </c>
      <c r="N485">
        <v>47.758679999999998</v>
      </c>
      <c r="O485">
        <v>72.128249999999994</v>
      </c>
      <c r="P485">
        <v>316.76504</v>
      </c>
      <c r="Q485">
        <v>435.25580000000002</v>
      </c>
      <c r="R485">
        <v>146.02260000000001</v>
      </c>
      <c r="S485">
        <v>256.73</v>
      </c>
      <c r="T485">
        <v>384.75</v>
      </c>
      <c r="U485">
        <f t="shared" si="47"/>
        <v>242.45607785714287</v>
      </c>
      <c r="V485" t="str">
        <f t="shared" si="42"/>
        <v>2016/17Outputs - connectionsDistributed GenerationDG (non G83)</v>
      </c>
    </row>
    <row r="486" spans="1:22">
      <c r="A486" s="900" t="s">
        <v>139</v>
      </c>
      <c r="B486" s="900"/>
      <c r="C486" s="900" t="s">
        <v>1307</v>
      </c>
      <c r="D486" t="s">
        <v>65</v>
      </c>
      <c r="E486" t="s">
        <v>1308</v>
      </c>
      <c r="F486" s="900" t="s">
        <v>1309</v>
      </c>
      <c r="G486">
        <v>1.75728</v>
      </c>
      <c r="H486">
        <v>2.97159</v>
      </c>
      <c r="I486">
        <v>3.6905450000000002</v>
      </c>
      <c r="J486">
        <v>2.34</v>
      </c>
      <c r="K486">
        <v>2.94</v>
      </c>
      <c r="L486">
        <v>1.38</v>
      </c>
      <c r="M486">
        <v>4.46</v>
      </c>
      <c r="N486">
        <v>0.88376999999999983</v>
      </c>
      <c r="O486">
        <v>4.398319999999984</v>
      </c>
      <c r="P486">
        <v>6.5305500000000194</v>
      </c>
      <c r="Q486">
        <v>1.8199899999999962</v>
      </c>
      <c r="R486">
        <v>0.78787999999999914</v>
      </c>
      <c r="S486">
        <v>1.7176899999999979</v>
      </c>
      <c r="T486">
        <v>6.074689999999964</v>
      </c>
      <c r="U486">
        <f t="shared" si="47"/>
        <v>2.982307499999997</v>
      </c>
      <c r="V486" t="str">
        <f t="shared" si="42"/>
        <v>2017/18Outputs - connectionsDistributed GenerationPVs (G83)</v>
      </c>
    </row>
    <row r="487" spans="1:22">
      <c r="A487" s="900" t="s">
        <v>139</v>
      </c>
      <c r="B487" s="900"/>
      <c r="C487" s="900" t="s">
        <v>1307</v>
      </c>
      <c r="D487" t="s">
        <v>65</v>
      </c>
      <c r="E487" t="s">
        <v>320</v>
      </c>
      <c r="F487" s="900" t="s">
        <v>1309</v>
      </c>
      <c r="G487">
        <v>0</v>
      </c>
      <c r="H487">
        <v>0</v>
      </c>
      <c r="I487">
        <v>0</v>
      </c>
      <c r="J487">
        <v>0.06</v>
      </c>
      <c r="K487">
        <v>0.12</v>
      </c>
      <c r="L487">
        <v>0.01</v>
      </c>
      <c r="M487">
        <v>0.12</v>
      </c>
      <c r="N487">
        <v>0</v>
      </c>
      <c r="O487">
        <v>0</v>
      </c>
      <c r="P487">
        <v>0</v>
      </c>
      <c r="Q487">
        <v>0</v>
      </c>
      <c r="R487">
        <v>0</v>
      </c>
      <c r="S487">
        <v>3.0000000000000001E-3</v>
      </c>
      <c r="T487">
        <v>1.0500000000000001E-2</v>
      </c>
      <c r="U487">
        <f t="shared" si="47"/>
        <v>2.3107142857142857E-2</v>
      </c>
      <c r="V487" t="str">
        <f t="shared" si="42"/>
        <v>2017/18Outputs - connectionsDistributed GenerationOther DG (G83)</v>
      </c>
    </row>
    <row r="488" spans="1:22">
      <c r="A488" s="900" t="s">
        <v>139</v>
      </c>
      <c r="B488" s="900"/>
      <c r="C488" s="900" t="s">
        <v>1307</v>
      </c>
      <c r="D488" t="s">
        <v>65</v>
      </c>
      <c r="E488" t="s">
        <v>321</v>
      </c>
      <c r="F488" s="900" t="s">
        <v>1309</v>
      </c>
      <c r="G488">
        <v>115.3</v>
      </c>
      <c r="H488">
        <v>232.15630000000002</v>
      </c>
      <c r="I488">
        <v>133.22932</v>
      </c>
      <c r="J488">
        <v>47.131999999999998</v>
      </c>
      <c r="K488">
        <v>175.04</v>
      </c>
      <c r="L488">
        <v>228.76</v>
      </c>
      <c r="M488">
        <v>86.63</v>
      </c>
      <c r="N488">
        <v>22.523779999999999</v>
      </c>
      <c r="O488">
        <v>47.410910000000001</v>
      </c>
      <c r="P488">
        <v>250.20137</v>
      </c>
      <c r="Q488">
        <v>78.083499999999987</v>
      </c>
      <c r="R488">
        <v>58.804419999999993</v>
      </c>
      <c r="S488">
        <v>118.05200000000002</v>
      </c>
      <c r="T488">
        <v>190.27700000000004</v>
      </c>
      <c r="U488">
        <f t="shared" si="47"/>
        <v>127.40004285714284</v>
      </c>
      <c r="V488" t="str">
        <f t="shared" si="42"/>
        <v>2017/18Outputs - connectionsDistributed GenerationDG (non G83)</v>
      </c>
    </row>
    <row r="489" spans="1:22">
      <c r="A489" s="900" t="s">
        <v>140</v>
      </c>
      <c r="B489" s="900"/>
      <c r="C489" s="900" t="s">
        <v>1307</v>
      </c>
      <c r="D489" t="s">
        <v>65</v>
      </c>
      <c r="E489" t="s">
        <v>1308</v>
      </c>
      <c r="F489" s="900" t="s">
        <v>1309</v>
      </c>
      <c r="G489">
        <v>3.1457660000000001</v>
      </c>
      <c r="H489">
        <v>3.9751399999999997</v>
      </c>
      <c r="I489">
        <v>4.3952300000000006</v>
      </c>
      <c r="J489">
        <v>4.1900000000000004</v>
      </c>
      <c r="K489">
        <v>5.39</v>
      </c>
      <c r="L489">
        <v>2.39</v>
      </c>
      <c r="M489">
        <v>7.11</v>
      </c>
      <c r="N489">
        <v>1.3989750000000007</v>
      </c>
      <c r="O489">
        <v>6.0709490000000104</v>
      </c>
      <c r="P489">
        <v>11.008245000000002</v>
      </c>
      <c r="Q489">
        <v>3.282089999999962</v>
      </c>
      <c r="R489">
        <v>1.111479999999998</v>
      </c>
      <c r="S489">
        <v>2.0130099999999955</v>
      </c>
      <c r="T489">
        <v>8.8254599999999623</v>
      </c>
      <c r="U489">
        <f t="shared" si="47"/>
        <v>4.5933103571428529</v>
      </c>
      <c r="V489" t="str">
        <f t="shared" si="42"/>
        <v>2018/19Outputs - connectionsDistributed GenerationPVs (G83)</v>
      </c>
    </row>
    <row r="490" spans="1:22">
      <c r="A490" s="900" t="s">
        <v>140</v>
      </c>
      <c r="B490" s="900"/>
      <c r="C490" s="900" t="s">
        <v>1307</v>
      </c>
      <c r="D490" t="s">
        <v>65</v>
      </c>
      <c r="E490" t="s">
        <v>320</v>
      </c>
      <c r="F490" s="900" t="s">
        <v>1309</v>
      </c>
      <c r="G490">
        <v>0</v>
      </c>
      <c r="H490">
        <v>0</v>
      </c>
      <c r="I490">
        <v>0</v>
      </c>
      <c r="J490">
        <v>0.06</v>
      </c>
      <c r="K490">
        <v>0.12</v>
      </c>
      <c r="L490">
        <v>0.03</v>
      </c>
      <c r="M490">
        <v>0.26</v>
      </c>
      <c r="N490">
        <v>0</v>
      </c>
      <c r="O490">
        <v>1.5E-3</v>
      </c>
      <c r="P490">
        <v>0</v>
      </c>
      <c r="Q490">
        <v>0</v>
      </c>
      <c r="R490">
        <v>0</v>
      </c>
      <c r="S490">
        <v>2.5750000000000002E-2</v>
      </c>
      <c r="T490">
        <v>1.375E-2</v>
      </c>
      <c r="U490">
        <f t="shared" si="47"/>
        <v>3.6499999999999998E-2</v>
      </c>
      <c r="V490" t="str">
        <f t="shared" si="42"/>
        <v>2018/19Outputs - connectionsDistributed GenerationOther DG (G83)</v>
      </c>
    </row>
    <row r="491" spans="1:22">
      <c r="A491" s="900" t="s">
        <v>140</v>
      </c>
      <c r="B491" s="900"/>
      <c r="C491" s="900" t="s">
        <v>1307</v>
      </c>
      <c r="D491" t="s">
        <v>65</v>
      </c>
      <c r="E491" t="s">
        <v>321</v>
      </c>
      <c r="F491" s="900" t="s">
        <v>1309</v>
      </c>
      <c r="G491">
        <v>119.09</v>
      </c>
      <c r="H491">
        <v>3.0696999999999992</v>
      </c>
      <c r="I491">
        <v>11.398350000000001</v>
      </c>
      <c r="J491">
        <v>154.43</v>
      </c>
      <c r="K491">
        <v>149.54</v>
      </c>
      <c r="L491">
        <v>79.809999999999988</v>
      </c>
      <c r="M491">
        <v>51.27</v>
      </c>
      <c r="N491">
        <v>7.2058799999999996</v>
      </c>
      <c r="O491">
        <v>12.657139999999998</v>
      </c>
      <c r="P491">
        <v>42.417960000000001</v>
      </c>
      <c r="Q491">
        <v>24.781969999999998</v>
      </c>
      <c r="R491">
        <v>46.495339999999999</v>
      </c>
      <c r="S491">
        <v>97.686000000000007</v>
      </c>
      <c r="T491">
        <v>142.06999999999996</v>
      </c>
      <c r="U491">
        <f t="shared" si="47"/>
        <v>67.280167142857138</v>
      </c>
      <c r="V491" t="str">
        <f t="shared" si="42"/>
        <v>2018/19Outputs - connectionsDistributed GenerationDG (non G83)</v>
      </c>
    </row>
    <row r="492" spans="1:22">
      <c r="A492" s="900" t="s">
        <v>141</v>
      </c>
      <c r="B492" s="900"/>
      <c r="C492" s="900" t="s">
        <v>1307</v>
      </c>
      <c r="D492" t="s">
        <v>65</v>
      </c>
      <c r="E492" t="s">
        <v>1308</v>
      </c>
      <c r="F492" s="900" t="s">
        <v>1309</v>
      </c>
      <c r="G492">
        <v>2.8719600000000001</v>
      </c>
      <c r="H492">
        <v>1.4267500000000017</v>
      </c>
      <c r="I492">
        <v>1.577889999999998</v>
      </c>
      <c r="J492">
        <v>1.962465000000009</v>
      </c>
      <c r="K492">
        <v>2.1835100000000063</v>
      </c>
      <c r="L492">
        <v>1.9064880000000035</v>
      </c>
      <c r="M492">
        <v>4.5838249999999219</v>
      </c>
      <c r="N492">
        <v>0.63868414931684814</v>
      </c>
      <c r="O492">
        <v>1.3189386466827147</v>
      </c>
      <c r="P492">
        <v>3.9985116541050454</v>
      </c>
      <c r="Q492">
        <v>0.7824300000000004</v>
      </c>
      <c r="R492">
        <v>0.16810000000000008</v>
      </c>
      <c r="S492">
        <v>1.1800399999999991</v>
      </c>
      <c r="T492">
        <v>3.2691369999999735</v>
      </c>
      <c r="U492">
        <f t="shared" ref="U492:U497" si="48">AVERAGE(G492:T492)</f>
        <v>1.9906235321503227</v>
      </c>
      <c r="V492" t="str">
        <f t="shared" si="42"/>
        <v>2019/20Outputs - connectionsDistributed GenerationPVs (G83)</v>
      </c>
    </row>
    <row r="493" spans="1:22">
      <c r="A493" s="900" t="s">
        <v>141</v>
      </c>
      <c r="B493" s="900"/>
      <c r="C493" s="900" t="s">
        <v>1307</v>
      </c>
      <c r="D493" t="s">
        <v>65</v>
      </c>
      <c r="E493" t="s">
        <v>320</v>
      </c>
      <c r="F493" s="900" t="s">
        <v>1309</v>
      </c>
      <c r="G493">
        <v>0</v>
      </c>
      <c r="H493">
        <v>0.10132000000000006</v>
      </c>
      <c r="I493">
        <v>7.6620000000000021E-2</v>
      </c>
      <c r="J493">
        <v>0.1946799999999978</v>
      </c>
      <c r="K493">
        <v>0.21653999999999815</v>
      </c>
      <c r="L493">
        <v>7.1700000000000499E-2</v>
      </c>
      <c r="M493">
        <v>0.5620010000000375</v>
      </c>
      <c r="N493">
        <v>0</v>
      </c>
      <c r="O493">
        <v>0</v>
      </c>
      <c r="P493">
        <v>0</v>
      </c>
      <c r="Q493">
        <v>0</v>
      </c>
      <c r="R493">
        <v>0</v>
      </c>
      <c r="S493">
        <v>4.2259999999999999E-2</v>
      </c>
      <c r="T493">
        <v>0.15822000000000008</v>
      </c>
      <c r="U493">
        <f t="shared" si="48"/>
        <v>0.10166721428571672</v>
      </c>
      <c r="V493" t="str">
        <f t="shared" si="42"/>
        <v>2019/20Outputs - connectionsDistributed GenerationOther DG (G83)</v>
      </c>
    </row>
    <row r="494" spans="1:22">
      <c r="A494" s="900" t="s">
        <v>141</v>
      </c>
      <c r="B494" s="900"/>
      <c r="C494" s="900" t="s">
        <v>1307</v>
      </c>
      <c r="D494" t="s">
        <v>65</v>
      </c>
      <c r="E494" t="s">
        <v>321</v>
      </c>
      <c r="F494" s="900" t="s">
        <v>1309</v>
      </c>
      <c r="G494">
        <v>201.33</v>
      </c>
      <c r="H494">
        <v>45.854259999999996</v>
      </c>
      <c r="I494">
        <v>158.00560999999999</v>
      </c>
      <c r="J494">
        <v>59.612629999999996</v>
      </c>
      <c r="K494">
        <v>49.965160000000004</v>
      </c>
      <c r="L494">
        <v>7.6889449999999995</v>
      </c>
      <c r="M494">
        <v>106.39975099999999</v>
      </c>
      <c r="N494">
        <v>1.75</v>
      </c>
      <c r="O494">
        <v>1.5</v>
      </c>
      <c r="P494">
        <v>4.0914000000000001</v>
      </c>
      <c r="Q494">
        <v>5.0542899999999999</v>
      </c>
      <c r="R494">
        <v>106.61131</v>
      </c>
      <c r="S494">
        <v>216.35299999999998</v>
      </c>
      <c r="T494">
        <v>222.38299999999998</v>
      </c>
      <c r="U494">
        <f t="shared" si="48"/>
        <v>84.757096857142855</v>
      </c>
      <c r="V494" t="str">
        <f t="shared" si="42"/>
        <v>2019/20Outputs - connectionsDistributed GenerationDG (non G83)</v>
      </c>
    </row>
    <row r="495" spans="1:22">
      <c r="A495" s="900" t="s">
        <v>126</v>
      </c>
      <c r="B495" s="900"/>
      <c r="C495" s="900" t="s">
        <v>1307</v>
      </c>
      <c r="D495" t="s">
        <v>65</v>
      </c>
      <c r="E495" t="s">
        <v>1308</v>
      </c>
      <c r="F495" s="900" t="s">
        <v>1309</v>
      </c>
      <c r="G495">
        <v>2.15</v>
      </c>
      <c r="H495">
        <v>1.48</v>
      </c>
      <c r="I495">
        <v>2.92</v>
      </c>
      <c r="J495">
        <v>4.4051319999999441</v>
      </c>
      <c r="K495">
        <v>5.5011990000000015</v>
      </c>
      <c r="L495">
        <v>2.4164670000000066</v>
      </c>
      <c r="M495">
        <v>5.852311000000034</v>
      </c>
      <c r="N495">
        <v>1.3651745899999943</v>
      </c>
      <c r="O495">
        <v>3.6246570999999745</v>
      </c>
      <c r="P495">
        <v>5.8841396099999548</v>
      </c>
      <c r="Q495">
        <v>1.458550000000002</v>
      </c>
      <c r="R495">
        <v>2.4437899999999968</v>
      </c>
      <c r="S495">
        <v>1.0438200000000004</v>
      </c>
      <c r="T495">
        <v>5.0640240000000034</v>
      </c>
      <c r="U495">
        <f t="shared" si="48"/>
        <v>3.2578045928571373</v>
      </c>
      <c r="V495" t="str">
        <f t="shared" si="42"/>
        <v>2020/21Outputs - connectionsDistributed GenerationPVs (G83)</v>
      </c>
    </row>
    <row r="496" spans="1:22">
      <c r="A496" s="900" t="s">
        <v>126</v>
      </c>
      <c r="B496" s="900"/>
      <c r="C496" s="900" t="s">
        <v>1307</v>
      </c>
      <c r="D496" t="s">
        <v>65</v>
      </c>
      <c r="E496" t="s">
        <v>320</v>
      </c>
      <c r="F496" s="900" t="s">
        <v>1309</v>
      </c>
      <c r="G496">
        <v>0.28000000000000003</v>
      </c>
      <c r="H496">
        <v>0</v>
      </c>
      <c r="I496">
        <v>0</v>
      </c>
      <c r="J496">
        <v>0.14324000000000137</v>
      </c>
      <c r="K496">
        <v>0.22894000000001036</v>
      </c>
      <c r="L496">
        <v>0.13129999999999642</v>
      </c>
      <c r="M496">
        <v>0.85589800000005134</v>
      </c>
      <c r="N496">
        <v>0</v>
      </c>
      <c r="O496">
        <v>0</v>
      </c>
      <c r="P496">
        <v>0</v>
      </c>
      <c r="Q496">
        <v>3.48E-3</v>
      </c>
      <c r="R496">
        <v>0</v>
      </c>
      <c r="S496">
        <v>1.404E-2</v>
      </c>
      <c r="T496">
        <v>0.10520000000000002</v>
      </c>
      <c r="U496">
        <f t="shared" si="48"/>
        <v>0.12586414285714712</v>
      </c>
      <c r="V496" t="str">
        <f t="shared" si="42"/>
        <v>2020/21Outputs - connectionsDistributed GenerationOther DG (G83)</v>
      </c>
    </row>
    <row r="497" spans="1:22">
      <c r="A497" s="900" t="s">
        <v>126</v>
      </c>
      <c r="B497" s="900"/>
      <c r="C497" s="900" t="s">
        <v>1307</v>
      </c>
      <c r="D497" t="s">
        <v>65</v>
      </c>
      <c r="E497" t="s">
        <v>321</v>
      </c>
      <c r="F497" s="900" t="s">
        <v>1309</v>
      </c>
      <c r="G497">
        <v>46.576000000000001</v>
      </c>
      <c r="H497">
        <v>129.4</v>
      </c>
      <c r="I497">
        <v>134</v>
      </c>
      <c r="J497">
        <v>5.8557499999999996</v>
      </c>
      <c r="K497">
        <v>126.67</v>
      </c>
      <c r="L497">
        <v>20.483629999999998</v>
      </c>
      <c r="M497">
        <v>21.471</v>
      </c>
      <c r="N497">
        <v>1.4</v>
      </c>
      <c r="O497">
        <v>61.85</v>
      </c>
      <c r="P497">
        <v>6.6760000000000002</v>
      </c>
      <c r="Q497">
        <v>103.38930000000001</v>
      </c>
      <c r="R497">
        <v>67.668499999999995</v>
      </c>
      <c r="S497">
        <v>71.874999999999986</v>
      </c>
      <c r="T497">
        <v>160.65699999999998</v>
      </c>
      <c r="U497">
        <f t="shared" si="48"/>
        <v>68.426584285714284</v>
      </c>
      <c r="V497" t="str">
        <f t="shared" si="42"/>
        <v>2020/21Outputs - connectionsDistributed GenerationDG (non G83)</v>
      </c>
    </row>
    <row r="498" spans="1:22">
      <c r="A498" s="900" t="s">
        <v>142</v>
      </c>
      <c r="B498" s="900"/>
      <c r="C498" s="900" t="s">
        <v>1307</v>
      </c>
      <c r="D498" t="s">
        <v>65</v>
      </c>
      <c r="E498" t="s">
        <v>1308</v>
      </c>
      <c r="F498" s="900" t="s">
        <v>1309</v>
      </c>
      <c r="G498">
        <v>4.165</v>
      </c>
      <c r="H498">
        <v>4.6839329999999997</v>
      </c>
      <c r="I498">
        <v>5.5842700000000001</v>
      </c>
      <c r="J498">
        <v>9.8052030000002439</v>
      </c>
      <c r="K498">
        <v>8.762151000000225</v>
      </c>
      <c r="L498">
        <v>3.6809999999999645</v>
      </c>
      <c r="M498">
        <v>12.806954000000466</v>
      </c>
      <c r="N498">
        <v>1.0188881666072578</v>
      </c>
      <c r="O498">
        <v>3.4035649999999631</v>
      </c>
      <c r="P498">
        <v>10.107056333214679</v>
      </c>
      <c r="Q498">
        <v>2.4961499999999708</v>
      </c>
      <c r="R498">
        <v>4.923599999999996</v>
      </c>
      <c r="S498">
        <v>1.9015499999999956</v>
      </c>
      <c r="T498">
        <v>10.682199000000322</v>
      </c>
      <c r="U498">
        <f t="shared" ref="U498:U500" si="49">AVERAGE(G498:T498)</f>
        <v>6.0015371071302201</v>
      </c>
      <c r="V498" t="str">
        <f t="shared" ref="V498:V500" si="50">CONCATENATE(A498,B498,C498,D498,E498)</f>
        <v>2021/22Outputs - connectionsDistributed GenerationPVs (G83)</v>
      </c>
    </row>
    <row r="499" spans="1:22">
      <c r="A499" s="900" t="s">
        <v>142</v>
      </c>
      <c r="B499" s="900"/>
      <c r="C499" s="900" t="s">
        <v>1307</v>
      </c>
      <c r="D499" t="s">
        <v>65</v>
      </c>
      <c r="E499" t="s">
        <v>320</v>
      </c>
      <c r="F499" s="900" t="s">
        <v>1309</v>
      </c>
      <c r="G499">
        <v>1.9729000000000001</v>
      </c>
      <c r="H499">
        <v>0</v>
      </c>
      <c r="I499">
        <v>0</v>
      </c>
      <c r="J499">
        <v>0.45538000000002476</v>
      </c>
      <c r="K499">
        <v>0.36468000000001233</v>
      </c>
      <c r="L499">
        <v>8.4699999999998887E-2</v>
      </c>
      <c r="M499">
        <v>0.902460000000044</v>
      </c>
      <c r="N499">
        <v>0</v>
      </c>
      <c r="O499">
        <v>0</v>
      </c>
      <c r="P499">
        <v>0</v>
      </c>
      <c r="Q499">
        <v>8.2000000000000007E-3</v>
      </c>
      <c r="R499">
        <v>1.5E-3</v>
      </c>
      <c r="S499">
        <v>5.0000000000000001E-3</v>
      </c>
      <c r="T499">
        <v>8.2890000000000019E-2</v>
      </c>
      <c r="U499">
        <f t="shared" si="49"/>
        <v>0.27697928571429142</v>
      </c>
      <c r="V499" t="str">
        <f t="shared" si="50"/>
        <v>2021/22Outputs - connectionsDistributed GenerationOther DG (G83)</v>
      </c>
    </row>
    <row r="500" spans="1:22">
      <c r="A500" s="900" t="s">
        <v>142</v>
      </c>
      <c r="B500" s="900"/>
      <c r="C500" s="900" t="s">
        <v>1307</v>
      </c>
      <c r="D500" t="s">
        <v>65</v>
      </c>
      <c r="E500" t="s">
        <v>321</v>
      </c>
      <c r="F500" s="900" t="s">
        <v>1309</v>
      </c>
      <c r="G500">
        <v>2.7111999999999998</v>
      </c>
      <c r="H500">
        <v>21.492235000000001</v>
      </c>
      <c r="I500">
        <v>23.450240000000001</v>
      </c>
      <c r="J500">
        <v>101.9177</v>
      </c>
      <c r="K500">
        <v>30.435369999999999</v>
      </c>
      <c r="L500">
        <v>37.038339999999998</v>
      </c>
      <c r="M500">
        <v>40.431640000000002</v>
      </c>
      <c r="N500">
        <v>0.36672042586750792</v>
      </c>
      <c r="O500">
        <v>0.66</v>
      </c>
      <c r="P500">
        <v>16.792283289856829</v>
      </c>
      <c r="Q500">
        <v>151.82214999999999</v>
      </c>
      <c r="R500">
        <v>117.4366</v>
      </c>
      <c r="S500">
        <v>158.31199999999998</v>
      </c>
      <c r="T500">
        <v>340.50900000000001</v>
      </c>
      <c r="U500">
        <f t="shared" si="49"/>
        <v>74.526819908266035</v>
      </c>
      <c r="V500" t="str">
        <f t="shared" si="50"/>
        <v>2021/22Outputs - connectionsDistributed GenerationDG (non G83)</v>
      </c>
    </row>
    <row r="501" spans="1:22">
      <c r="A501" s="900" t="s">
        <v>137</v>
      </c>
      <c r="B501" s="900"/>
      <c r="C501" s="900" t="s">
        <v>1307</v>
      </c>
      <c r="D501" t="s">
        <v>322</v>
      </c>
      <c r="E501" t="s">
        <v>880</v>
      </c>
      <c r="F501" s="900" t="s">
        <v>1310</v>
      </c>
      <c r="G501">
        <f t="array" ref="G501:T514">TRANSPOSE('Ch2 outputs - connections'!E42:R55)</f>
        <v>4.00244140625</v>
      </c>
      <c r="H501">
        <v>5.7158984007525868</v>
      </c>
      <c r="I501">
        <v>5.9290519877675845</v>
      </c>
      <c r="J501">
        <v>4.8</v>
      </c>
      <c r="K501">
        <v>3.48</v>
      </c>
      <c r="L501">
        <v>8.3699999999999992</v>
      </c>
      <c r="M501">
        <v>6.64</v>
      </c>
      <c r="N501">
        <v>3.6424489795918369</v>
      </c>
      <c r="O501">
        <v>4.6246872393661382</v>
      </c>
      <c r="P501">
        <v>5.56030216202136</v>
      </c>
      <c r="Q501">
        <v>5.24955595026643</v>
      </c>
      <c r="R501">
        <v>5.6078767123287667</v>
      </c>
      <c r="S501">
        <v>2.5</v>
      </c>
      <c r="T501">
        <v>2.66</v>
      </c>
      <c r="U501">
        <f>AVERAGE(G501:T501)</f>
        <v>4.9130187741674787</v>
      </c>
      <c r="V501" t="str">
        <f t="shared" si="42"/>
        <v>2015/16Outputs - connectionsTime to connect incentiveLVSSA Average TTQ</v>
      </c>
    </row>
    <row r="502" spans="1:22">
      <c r="A502" s="900" t="s">
        <v>137</v>
      </c>
      <c r="B502" s="900"/>
      <c r="C502" s="900" t="s">
        <v>1307</v>
      </c>
      <c r="D502" t="s">
        <v>322</v>
      </c>
      <c r="E502" t="s">
        <v>882</v>
      </c>
      <c r="F502" s="900" t="s">
        <v>1299</v>
      </c>
      <c r="G502">
        <v>5</v>
      </c>
      <c r="H502">
        <v>11</v>
      </c>
      <c r="I502">
        <v>12</v>
      </c>
      <c r="J502">
        <v>7</v>
      </c>
      <c r="K502">
        <v>3</v>
      </c>
      <c r="L502">
        <v>14</v>
      </c>
      <c r="M502">
        <v>13</v>
      </c>
      <c r="N502">
        <v>4</v>
      </c>
      <c r="O502">
        <v>6</v>
      </c>
      <c r="P502">
        <v>9</v>
      </c>
      <c r="Q502">
        <v>8</v>
      </c>
      <c r="R502">
        <v>10</v>
      </c>
      <c r="S502">
        <v>1</v>
      </c>
      <c r="T502">
        <v>2</v>
      </c>
      <c r="U502">
        <f>RANK(U501,G501:U501,1)</f>
        <v>8</v>
      </c>
      <c r="V502" t="str">
        <f t="shared" si="42"/>
        <v>2015/16Outputs - connectionsTime to connect incentiveLVSSA TTQ Ranking</v>
      </c>
    </row>
    <row r="503" spans="1:22">
      <c r="A503" s="900" t="s">
        <v>137</v>
      </c>
      <c r="B503" s="900"/>
      <c r="C503" s="900" t="s">
        <v>1307</v>
      </c>
      <c r="D503" t="s">
        <v>322</v>
      </c>
      <c r="E503" t="s">
        <v>884</v>
      </c>
      <c r="F503" s="900" t="s">
        <v>1310</v>
      </c>
      <c r="G503">
        <v>30.361990950226243</v>
      </c>
      <c r="H503">
        <v>40.146946564885496</v>
      </c>
      <c r="I503">
        <v>43.396946564885496</v>
      </c>
      <c r="J503">
        <v>34.32</v>
      </c>
      <c r="K503">
        <v>31.89</v>
      </c>
      <c r="L503">
        <v>30.26</v>
      </c>
      <c r="M503">
        <v>32.01</v>
      </c>
      <c r="N503">
        <v>41.295744680851065</v>
      </c>
      <c r="O503">
        <v>37.656193895870736</v>
      </c>
      <c r="P503">
        <v>42.760344827586209</v>
      </c>
      <c r="Q503">
        <v>35.737574552683895</v>
      </c>
      <c r="R503">
        <v>35.55913978494624</v>
      </c>
      <c r="S503">
        <v>31.5</v>
      </c>
      <c r="T503">
        <v>33.18</v>
      </c>
      <c r="U503">
        <f t="shared" ref="U503:U510" si="51">AVERAGE(G503:T503)</f>
        <v>35.719634415852525</v>
      </c>
      <c r="V503" t="str">
        <f t="shared" si="42"/>
        <v>2015/16Outputs - connectionsTime to connect incentiveLVSSA TTC</v>
      </c>
    </row>
    <row r="504" spans="1:22">
      <c r="A504" s="900" t="s">
        <v>137</v>
      </c>
      <c r="B504" s="900"/>
      <c r="C504" s="900" t="s">
        <v>1307</v>
      </c>
      <c r="D504" t="s">
        <v>322</v>
      </c>
      <c r="E504" t="s">
        <v>886</v>
      </c>
      <c r="F504" s="900" t="s">
        <v>1299</v>
      </c>
      <c r="G504">
        <v>2</v>
      </c>
      <c r="H504">
        <v>11</v>
      </c>
      <c r="I504">
        <v>14</v>
      </c>
      <c r="J504">
        <v>7</v>
      </c>
      <c r="K504">
        <v>4</v>
      </c>
      <c r="L504">
        <v>1</v>
      </c>
      <c r="M504">
        <v>5</v>
      </c>
      <c r="N504">
        <v>12</v>
      </c>
      <c r="O504">
        <v>10</v>
      </c>
      <c r="P504">
        <v>13</v>
      </c>
      <c r="Q504">
        <v>9</v>
      </c>
      <c r="R504">
        <v>8</v>
      </c>
      <c r="S504">
        <v>3</v>
      </c>
      <c r="T504">
        <v>6</v>
      </c>
      <c r="U504">
        <f>RANK(U503,G503:U503,1)</f>
        <v>9</v>
      </c>
      <c r="V504" t="str">
        <f t="shared" si="42"/>
        <v>2015/16Outputs - connectionsTime to connect incentiveLVSSA TTC Ranking</v>
      </c>
    </row>
    <row r="505" spans="1:22">
      <c r="A505" s="900" t="s">
        <v>137</v>
      </c>
      <c r="B505" s="900"/>
      <c r="C505" s="900" t="s">
        <v>1307</v>
      </c>
      <c r="D505" t="s">
        <v>322</v>
      </c>
      <c r="E505" t="s">
        <v>888</v>
      </c>
      <c r="F505" t="s">
        <v>1310</v>
      </c>
      <c r="G505">
        <v>7.4340770791075048</v>
      </c>
      <c r="H505">
        <v>9.5841708542713562</v>
      </c>
      <c r="I505">
        <v>8.8116731517509734</v>
      </c>
      <c r="J505">
        <v>6.11</v>
      </c>
      <c r="K505">
        <v>5.2</v>
      </c>
      <c r="L505">
        <v>11.1</v>
      </c>
      <c r="M505">
        <v>7.87</v>
      </c>
      <c r="N505">
        <v>4.7296187683284456</v>
      </c>
      <c r="O505">
        <v>7.3452188006482979</v>
      </c>
      <c r="P505">
        <v>9.7051377513030523</v>
      </c>
      <c r="Q505">
        <v>7.3259871441689626</v>
      </c>
      <c r="R505">
        <v>6.8819826907946497</v>
      </c>
      <c r="S505">
        <v>5.0999999999999996</v>
      </c>
      <c r="T505">
        <v>6.94</v>
      </c>
      <c r="U505">
        <f t="shared" si="51"/>
        <v>7.4384190171695161</v>
      </c>
      <c r="V505" t="str">
        <f t="shared" si="42"/>
        <v>2015/16Outputs - connectionsTime to connect incentiveLVSSB TTQ</v>
      </c>
    </row>
    <row r="506" spans="1:22">
      <c r="A506" s="900" t="s">
        <v>137</v>
      </c>
      <c r="B506" s="900"/>
      <c r="C506" s="900" t="s">
        <v>1307</v>
      </c>
      <c r="D506" t="s">
        <v>322</v>
      </c>
      <c r="E506" t="s">
        <v>890</v>
      </c>
      <c r="F506" t="s">
        <v>1299</v>
      </c>
      <c r="G506">
        <v>9</v>
      </c>
      <c r="H506">
        <v>12</v>
      </c>
      <c r="I506">
        <v>11</v>
      </c>
      <c r="J506">
        <v>4</v>
      </c>
      <c r="K506">
        <v>3</v>
      </c>
      <c r="L506">
        <v>14</v>
      </c>
      <c r="M506">
        <v>10</v>
      </c>
      <c r="N506">
        <v>1</v>
      </c>
      <c r="O506">
        <v>8</v>
      </c>
      <c r="P506">
        <v>13</v>
      </c>
      <c r="Q506">
        <v>7</v>
      </c>
      <c r="R506">
        <v>5</v>
      </c>
      <c r="S506">
        <v>2</v>
      </c>
      <c r="T506">
        <v>6</v>
      </c>
      <c r="U506">
        <f>RANK(U505,G505:U505,1)</f>
        <v>10</v>
      </c>
      <c r="V506" t="str">
        <f t="shared" si="42"/>
        <v>2015/16Outputs - connectionsTime to connect incentiveLVSSB TTQ Ranking</v>
      </c>
    </row>
    <row r="507" spans="1:22">
      <c r="A507" s="900" t="s">
        <v>137</v>
      </c>
      <c r="B507" s="900"/>
      <c r="C507" s="900" t="s">
        <v>1307</v>
      </c>
      <c r="D507" t="s">
        <v>322</v>
      </c>
      <c r="E507" t="s">
        <v>892</v>
      </c>
      <c r="F507" t="s">
        <v>1310</v>
      </c>
      <c r="G507">
        <v>36.881720430107528</v>
      </c>
      <c r="H507">
        <v>47.121052631578948</v>
      </c>
      <c r="I507">
        <v>47.909604519774014</v>
      </c>
      <c r="J507">
        <v>44.8</v>
      </c>
      <c r="K507">
        <v>41.25</v>
      </c>
      <c r="L507">
        <v>34.549999999999997</v>
      </c>
      <c r="M507">
        <v>37.68</v>
      </c>
      <c r="N507">
        <v>46.795423956931359</v>
      </c>
      <c r="O507">
        <v>45.308280254777067</v>
      </c>
      <c r="P507">
        <v>51.006763285024157</v>
      </c>
      <c r="Q507">
        <v>42.42203742203742</v>
      </c>
      <c r="R507">
        <v>43.460674157303373</v>
      </c>
      <c r="S507">
        <v>40.020000000000003</v>
      </c>
      <c r="T507">
        <v>45.04</v>
      </c>
      <c r="U507">
        <f t="shared" si="51"/>
        <v>43.160396904109561</v>
      </c>
      <c r="V507" t="str">
        <f t="shared" si="42"/>
        <v>2015/16Outputs - connectionsTime to connect incentiveLVSSB TTC</v>
      </c>
    </row>
    <row r="508" spans="1:22">
      <c r="A508" s="900" t="s">
        <v>137</v>
      </c>
      <c r="B508" s="900"/>
      <c r="C508" s="900" t="s">
        <v>1307</v>
      </c>
      <c r="D508" t="s">
        <v>322</v>
      </c>
      <c r="E508" t="s">
        <v>894</v>
      </c>
      <c r="F508" t="s">
        <v>1299</v>
      </c>
      <c r="G508">
        <v>2</v>
      </c>
      <c r="H508">
        <v>12</v>
      </c>
      <c r="I508">
        <v>13</v>
      </c>
      <c r="J508">
        <v>8</v>
      </c>
      <c r="K508">
        <v>5</v>
      </c>
      <c r="L508">
        <v>1</v>
      </c>
      <c r="M508">
        <v>3</v>
      </c>
      <c r="N508">
        <v>11</v>
      </c>
      <c r="O508">
        <v>10</v>
      </c>
      <c r="P508">
        <v>14</v>
      </c>
      <c r="Q508">
        <v>6</v>
      </c>
      <c r="R508">
        <v>7</v>
      </c>
      <c r="S508">
        <v>4</v>
      </c>
      <c r="T508">
        <v>9</v>
      </c>
      <c r="U508">
        <f>RANK(U507,G507:U507,1)</f>
        <v>7</v>
      </c>
      <c r="V508" t="str">
        <f t="shared" si="42"/>
        <v>2015/16Outputs - connectionsTime to connect incentiveLVSSB TTC Ranking</v>
      </c>
    </row>
    <row r="509" spans="1:22">
      <c r="A509" s="900" t="s">
        <v>137</v>
      </c>
      <c r="B509" s="900"/>
      <c r="C509" s="900" t="s">
        <v>1307</v>
      </c>
      <c r="D509" t="s">
        <v>322</v>
      </c>
      <c r="E509" t="s">
        <v>896</v>
      </c>
      <c r="F509" s="900" t="s">
        <v>1289</v>
      </c>
      <c r="G509">
        <v>1.2</v>
      </c>
      <c r="H509">
        <v>0.55024001607071116</v>
      </c>
      <c r="I509">
        <v>0.69580790960451977</v>
      </c>
      <c r="J509">
        <v>1.3474000000000004</v>
      </c>
      <c r="K509">
        <v>1.5435000000000003</v>
      </c>
      <c r="L509">
        <v>0.45710000000000023</v>
      </c>
      <c r="M509">
        <v>1.1355000000000002</v>
      </c>
      <c r="N509">
        <v>0.74161918043584085</v>
      </c>
      <c r="O509">
        <v>0.88054857802833664</v>
      </c>
      <c r="P509">
        <v>1.0677294685990339</v>
      </c>
      <c r="Q509">
        <v>0.96200459893724688</v>
      </c>
      <c r="R509">
        <v>1.0081340425531915</v>
      </c>
      <c r="S509">
        <v>0.8</v>
      </c>
      <c r="T509">
        <v>1.3858000000000001</v>
      </c>
      <c r="U509">
        <f t="shared" si="51"/>
        <v>0.98395598530206296</v>
      </c>
      <c r="V509" t="str">
        <f t="shared" si="42"/>
        <v>2015/16Outputs - connectionsTime to connect incentiveReward 12/13</v>
      </c>
    </row>
    <row r="510" spans="1:22">
      <c r="A510" s="900" t="s">
        <v>137</v>
      </c>
      <c r="B510" s="900"/>
      <c r="C510" s="900" t="s">
        <v>1307</v>
      </c>
      <c r="D510" t="s">
        <v>322</v>
      </c>
      <c r="E510" t="s">
        <v>898</v>
      </c>
      <c r="F510" s="900" t="s">
        <v>1289</v>
      </c>
      <c r="G510">
        <v>1.5260733626238889</v>
      </c>
      <c r="H510">
        <v>0.69975552631271065</v>
      </c>
      <c r="I510">
        <v>0.88487826362539035</v>
      </c>
      <c r="J510">
        <v>1.7135260406661903</v>
      </c>
      <c r="K510">
        <v>1.9629118626749775</v>
      </c>
      <c r="L510">
        <v>0.5813067783794833</v>
      </c>
      <c r="M510">
        <v>1.4440469193828551</v>
      </c>
      <c r="N510">
        <v>0.9431377303950802</v>
      </c>
      <c r="O510">
        <v>1.1198181078544895</v>
      </c>
      <c r="P510">
        <v>1.3578612504312881</v>
      </c>
      <c r="Q510">
        <v>1.2234079942998417</v>
      </c>
      <c r="R510">
        <v>1.2820720902456364</v>
      </c>
      <c r="S510">
        <v>1.0173822417492593</v>
      </c>
      <c r="T510">
        <v>1.7623603882701546</v>
      </c>
      <c r="U510">
        <f t="shared" si="51"/>
        <v>1.2513241826365176</v>
      </c>
      <c r="V510" t="str">
        <f t="shared" ref="V510:V573" si="52">CONCATENATE(A510,B510,C510,D510,E510)</f>
        <v>2015/16Outputs - connectionsTime to connect incentiveReward 20/21</v>
      </c>
    </row>
    <row r="511" spans="1:22">
      <c r="A511" s="900" t="s">
        <v>137</v>
      </c>
      <c r="B511" s="900"/>
      <c r="C511" s="900" t="s">
        <v>1307</v>
      </c>
      <c r="D511" t="s">
        <v>322</v>
      </c>
      <c r="E511" t="s">
        <v>339</v>
      </c>
      <c r="F511" s="900" t="s">
        <v>1296</v>
      </c>
      <c r="G511" t="str">
        <v>Green</v>
      </c>
      <c r="H511" t="str">
        <v>Green</v>
      </c>
      <c r="I511" t="str">
        <v>Amber</v>
      </c>
      <c r="J511" t="str">
        <v>Green</v>
      </c>
      <c r="K511" t="str">
        <v>Green</v>
      </c>
      <c r="L511" t="str">
        <v>Amber</v>
      </c>
      <c r="M511" t="str">
        <v>Green</v>
      </c>
      <c r="N511" t="str">
        <v>Green</v>
      </c>
      <c r="O511" t="str">
        <v>Green</v>
      </c>
      <c r="P511" t="str">
        <v>Amber</v>
      </c>
      <c r="Q511" t="str">
        <v>Green</v>
      </c>
      <c r="R511" t="str">
        <v>Green</v>
      </c>
      <c r="S511" t="str">
        <v>Green</v>
      </c>
      <c r="T511" t="str">
        <v>Green</v>
      </c>
      <c r="U511" t="s">
        <v>1297</v>
      </c>
      <c r="V511" t="str">
        <f t="shared" si="52"/>
        <v>2015/16Outputs - connectionsTime to connect incentiveRAG</v>
      </c>
    </row>
    <row r="512" spans="1:22">
      <c r="A512" s="900" t="s">
        <v>137</v>
      </c>
      <c r="B512" s="900"/>
      <c r="C512" s="900" t="s">
        <v>1307</v>
      </c>
      <c r="D512" t="s">
        <v>322</v>
      </c>
      <c r="E512" t="s">
        <v>901</v>
      </c>
      <c r="F512" s="900" t="s">
        <v>1299</v>
      </c>
      <c r="G512">
        <v>4.5</v>
      </c>
      <c r="H512">
        <v>11.5</v>
      </c>
      <c r="I512">
        <v>12.5</v>
      </c>
      <c r="J512">
        <v>6.5</v>
      </c>
      <c r="K512">
        <v>3.75</v>
      </c>
      <c r="L512">
        <v>7.5</v>
      </c>
      <c r="M512">
        <v>7.75</v>
      </c>
      <c r="N512">
        <v>7</v>
      </c>
      <c r="O512">
        <v>8.5</v>
      </c>
      <c r="P512">
        <v>12.25</v>
      </c>
      <c r="Q512">
        <v>7.5</v>
      </c>
      <c r="R512">
        <v>7.5</v>
      </c>
      <c r="S512">
        <v>2.5</v>
      </c>
      <c r="T512">
        <v>5.75</v>
      </c>
      <c r="U512">
        <f>AVERAGE(G512:T512)</f>
        <v>7.5</v>
      </c>
      <c r="V512" t="str">
        <f t="shared" si="52"/>
        <v>2015/16Outputs - connectionsTime to connect incentiveAverage Ranking</v>
      </c>
    </row>
    <row r="513" spans="1:22">
      <c r="A513" s="900" t="s">
        <v>137</v>
      </c>
      <c r="B513" s="900"/>
      <c r="C513" s="900" t="s">
        <v>1307</v>
      </c>
      <c r="D513" t="s">
        <v>322</v>
      </c>
      <c r="E513" t="s">
        <v>903</v>
      </c>
      <c r="F513" s="900" t="s">
        <v>1299</v>
      </c>
      <c r="G513">
        <v>3</v>
      </c>
      <c r="H513">
        <v>12</v>
      </c>
      <c r="I513">
        <v>14</v>
      </c>
      <c r="J513">
        <v>5</v>
      </c>
      <c r="K513">
        <v>2</v>
      </c>
      <c r="L513">
        <v>7</v>
      </c>
      <c r="M513">
        <v>10</v>
      </c>
      <c r="N513">
        <v>6</v>
      </c>
      <c r="O513">
        <v>11</v>
      </c>
      <c r="P513">
        <v>13</v>
      </c>
      <c r="Q513">
        <v>7</v>
      </c>
      <c r="R513">
        <v>7</v>
      </c>
      <c r="S513">
        <v>1</v>
      </c>
      <c r="T513">
        <v>4</v>
      </c>
      <c r="U513">
        <f>AVERAGE(G513:T513)</f>
        <v>7.2857142857142856</v>
      </c>
      <c r="V513" t="str">
        <f t="shared" si="52"/>
        <v>2015/16Outputs - connectionsTime to connect incentiveOverall Ranking</v>
      </c>
    </row>
    <row r="514" spans="1:22">
      <c r="A514" s="900" t="s">
        <v>137</v>
      </c>
      <c r="B514" s="900"/>
      <c r="C514" s="900" t="s">
        <v>1307</v>
      </c>
      <c r="D514" t="s">
        <v>322</v>
      </c>
      <c r="E514" t="s">
        <v>342</v>
      </c>
      <c r="F514" s="900" t="s">
        <v>1310</v>
      </c>
      <c r="G514">
        <v>78.680229865691274</v>
      </c>
      <c r="H514">
        <v>102.56806845148839</v>
      </c>
      <c r="I514">
        <v>106.04727622417806</v>
      </c>
      <c r="J514">
        <v>90.03</v>
      </c>
      <c r="K514">
        <v>81.819999999999993</v>
      </c>
      <c r="L514">
        <v>84.28</v>
      </c>
      <c r="M514">
        <v>84.199999999999989</v>
      </c>
      <c r="N514">
        <v>96.463236385702714</v>
      </c>
      <c r="O514">
        <v>94.934380190662239</v>
      </c>
      <c r="P514">
        <v>109.03254802593477</v>
      </c>
      <c r="Q514">
        <v>90.735155069156704</v>
      </c>
      <c r="R514">
        <v>91.509673345373031</v>
      </c>
      <c r="S514">
        <v>79.12</v>
      </c>
      <c r="T514">
        <v>87.82</v>
      </c>
      <c r="U514">
        <f>AVERAGE(G514:T514)</f>
        <v>91.231469111299106</v>
      </c>
      <c r="V514" t="str">
        <f t="shared" si="52"/>
        <v>2015/16Outputs - connectionsTime to connect incentiveOverall (LVSSA + LVSSB)</v>
      </c>
    </row>
    <row r="515" spans="1:22">
      <c r="A515" s="900" t="s">
        <v>138</v>
      </c>
      <c r="B515" s="900"/>
      <c r="C515" s="900" t="s">
        <v>1307</v>
      </c>
      <c r="D515" t="s">
        <v>322</v>
      </c>
      <c r="E515" t="s">
        <v>880</v>
      </c>
      <c r="F515" t="s">
        <v>1310</v>
      </c>
      <c r="G515">
        <f t="array" ref="G515:T528">TRANSPOSE('Ch2 outputs - connections'!U42:AH55)</f>
        <v>2.96</v>
      </c>
      <c r="H515">
        <v>5.5813492063492065</v>
      </c>
      <c r="I515">
        <v>5.4492113564668774</v>
      </c>
      <c r="J515">
        <v>4.5167570114135698</v>
      </c>
      <c r="K515">
        <v>3.4757647514343302</v>
      </c>
      <c r="L515">
        <v>4.2988581657409703</v>
      </c>
      <c r="M515">
        <v>5.1552052497863796</v>
      </c>
      <c r="N515">
        <v>5.37</v>
      </c>
      <c r="O515">
        <v>5.57</v>
      </c>
      <c r="P515">
        <v>6.12</v>
      </c>
      <c r="Q515">
        <v>4.9217318900915901</v>
      </c>
      <c r="R515">
        <v>5.3157051282051286</v>
      </c>
      <c r="S515">
        <v>3.5521472392638036</v>
      </c>
      <c r="T515">
        <v>2.6889027431421448</v>
      </c>
      <c r="U515">
        <f>AVERAGE(G515:T515)</f>
        <v>4.6411166244210005</v>
      </c>
      <c r="V515" t="str">
        <f t="shared" si="52"/>
        <v>2016/17Outputs - connectionsTime to connect incentiveLVSSA Average TTQ</v>
      </c>
    </row>
    <row r="516" spans="1:22">
      <c r="A516" s="900" t="s">
        <v>138</v>
      </c>
      <c r="B516" s="900"/>
      <c r="C516" s="900" t="s">
        <v>1307</v>
      </c>
      <c r="D516" t="s">
        <v>322</v>
      </c>
      <c r="E516" t="s">
        <v>882</v>
      </c>
      <c r="F516" t="s">
        <v>1299</v>
      </c>
      <c r="G516">
        <v>2</v>
      </c>
      <c r="H516">
        <v>13</v>
      </c>
      <c r="I516">
        <v>11</v>
      </c>
      <c r="J516">
        <v>6</v>
      </c>
      <c r="K516">
        <v>3</v>
      </c>
      <c r="L516">
        <v>5</v>
      </c>
      <c r="M516">
        <v>8</v>
      </c>
      <c r="N516">
        <v>10</v>
      </c>
      <c r="O516">
        <v>12</v>
      </c>
      <c r="P516">
        <v>14</v>
      </c>
      <c r="Q516">
        <v>7</v>
      </c>
      <c r="R516">
        <v>9</v>
      </c>
      <c r="S516">
        <v>4</v>
      </c>
      <c r="T516">
        <v>1</v>
      </c>
      <c r="U516">
        <f>RANK(U515,G515:U515,1)</f>
        <v>7</v>
      </c>
      <c r="V516" t="str">
        <f t="shared" si="52"/>
        <v>2016/17Outputs - connectionsTime to connect incentiveLVSSA TTQ Ranking</v>
      </c>
    </row>
    <row r="517" spans="1:22">
      <c r="A517" s="900" t="s">
        <v>138</v>
      </c>
      <c r="B517" s="900"/>
      <c r="C517" s="900" t="s">
        <v>1307</v>
      </c>
      <c r="D517" t="s">
        <v>322</v>
      </c>
      <c r="E517" t="s">
        <v>884</v>
      </c>
      <c r="F517" t="s">
        <v>1310</v>
      </c>
      <c r="G517">
        <v>31.910094637223974</v>
      </c>
      <c r="H517">
        <v>50.624161073825505</v>
      </c>
      <c r="I517">
        <v>47.312839059674502</v>
      </c>
      <c r="J517">
        <v>37.184478759765597</v>
      </c>
      <c r="K517">
        <v>34.4045600891113</v>
      </c>
      <c r="L517">
        <v>33.7554740905762</v>
      </c>
      <c r="M517">
        <v>36.526821136474602</v>
      </c>
      <c r="N517">
        <v>59.64</v>
      </c>
      <c r="O517">
        <v>52.91</v>
      </c>
      <c r="P517">
        <v>54.17</v>
      </c>
      <c r="Q517">
        <v>51.107391910739189</v>
      </c>
      <c r="R517">
        <v>45.259504132231406</v>
      </c>
      <c r="S517">
        <v>29.979274611398964</v>
      </c>
      <c r="T517">
        <v>44.293163891323402</v>
      </c>
      <c r="U517">
        <f>AVERAGE(G517:T517)</f>
        <v>43.505554528024618</v>
      </c>
      <c r="V517" t="str">
        <f t="shared" si="52"/>
        <v>2016/17Outputs - connectionsTime to connect incentiveLVSSA TTC</v>
      </c>
    </row>
    <row r="518" spans="1:22">
      <c r="A518" s="900" t="s">
        <v>138</v>
      </c>
      <c r="B518" s="900"/>
      <c r="C518" s="900" t="s">
        <v>1307</v>
      </c>
      <c r="D518" t="s">
        <v>322</v>
      </c>
      <c r="E518" t="s">
        <v>886</v>
      </c>
      <c r="F518" t="s">
        <v>1299</v>
      </c>
      <c r="G518">
        <v>2</v>
      </c>
      <c r="H518">
        <v>10</v>
      </c>
      <c r="I518">
        <v>9</v>
      </c>
      <c r="J518">
        <v>6</v>
      </c>
      <c r="K518">
        <v>4</v>
      </c>
      <c r="L518">
        <v>3</v>
      </c>
      <c r="M518">
        <v>5</v>
      </c>
      <c r="N518">
        <v>14</v>
      </c>
      <c r="O518">
        <v>12</v>
      </c>
      <c r="P518">
        <v>13</v>
      </c>
      <c r="Q518">
        <v>11</v>
      </c>
      <c r="R518">
        <v>8</v>
      </c>
      <c r="S518">
        <v>1</v>
      </c>
      <c r="T518">
        <v>7</v>
      </c>
      <c r="U518">
        <f>RANK(U517,G517:U517,1)</f>
        <v>7</v>
      </c>
      <c r="V518" t="str">
        <f t="shared" si="52"/>
        <v>2016/17Outputs - connectionsTime to connect incentiveLVSSA TTC Ranking</v>
      </c>
    </row>
    <row r="519" spans="1:22">
      <c r="A519" s="900" t="s">
        <v>138</v>
      </c>
      <c r="B519" s="900"/>
      <c r="C519" s="900" t="s">
        <v>1307</v>
      </c>
      <c r="D519" t="s">
        <v>322</v>
      </c>
      <c r="E519" t="s">
        <v>888</v>
      </c>
      <c r="F519" t="s">
        <v>1310</v>
      </c>
      <c r="G519">
        <v>7.9155636695572795</v>
      </c>
      <c r="H519">
        <v>9.4089219330855016</v>
      </c>
      <c r="I519">
        <v>8.4557556773688329</v>
      </c>
      <c r="J519">
        <v>6.0833001136779803</v>
      </c>
      <c r="K519">
        <v>4.7343630790710396</v>
      </c>
      <c r="L519">
        <v>5.7782912254333496</v>
      </c>
      <c r="M519">
        <v>5.8632850646972701</v>
      </c>
      <c r="N519">
        <v>8.3800000000000008</v>
      </c>
      <c r="O519">
        <v>6.52</v>
      </c>
      <c r="P519">
        <v>9.76</v>
      </c>
      <c r="Q519">
        <v>6.3099273607748181</v>
      </c>
      <c r="R519">
        <v>6.8394598649662415</v>
      </c>
      <c r="S519">
        <v>7.2205607476635514</v>
      </c>
      <c r="T519">
        <v>7.2286432160804024</v>
      </c>
      <c r="U519">
        <f>AVERAGE(G519:T519)</f>
        <v>7.1784337108840202</v>
      </c>
      <c r="V519" t="str">
        <f t="shared" si="52"/>
        <v>2016/17Outputs - connectionsTime to connect incentiveLVSSB TTQ</v>
      </c>
    </row>
    <row r="520" spans="1:22">
      <c r="A520" s="900" t="s">
        <v>138</v>
      </c>
      <c r="B520" s="900"/>
      <c r="C520" s="900" t="s">
        <v>1307</v>
      </c>
      <c r="D520" t="s">
        <v>322</v>
      </c>
      <c r="E520" t="s">
        <v>890</v>
      </c>
      <c r="F520" t="s">
        <v>1299</v>
      </c>
      <c r="G520">
        <v>10</v>
      </c>
      <c r="H520">
        <v>13</v>
      </c>
      <c r="I520">
        <v>12</v>
      </c>
      <c r="J520">
        <v>4</v>
      </c>
      <c r="K520">
        <v>1</v>
      </c>
      <c r="L520">
        <v>2</v>
      </c>
      <c r="M520">
        <v>3</v>
      </c>
      <c r="N520">
        <v>11</v>
      </c>
      <c r="O520">
        <v>6</v>
      </c>
      <c r="P520">
        <v>14</v>
      </c>
      <c r="Q520">
        <v>5</v>
      </c>
      <c r="R520">
        <v>7</v>
      </c>
      <c r="S520">
        <v>8</v>
      </c>
      <c r="T520">
        <v>9</v>
      </c>
      <c r="U520">
        <f>RANK(U519,G519:U519,1)</f>
        <v>8</v>
      </c>
      <c r="V520" t="str">
        <f t="shared" si="52"/>
        <v>2016/17Outputs - connectionsTime to connect incentiveLVSSB TTQ Ranking</v>
      </c>
    </row>
    <row r="521" spans="1:22">
      <c r="A521" s="900" t="s">
        <v>138</v>
      </c>
      <c r="B521" s="900"/>
      <c r="C521" s="900" t="s">
        <v>1307</v>
      </c>
      <c r="D521" t="s">
        <v>322</v>
      </c>
      <c r="E521" t="s">
        <v>892</v>
      </c>
      <c r="F521" t="s">
        <v>1310</v>
      </c>
      <c r="G521">
        <v>31.672000000000001</v>
      </c>
      <c r="H521">
        <v>57.691144708423323</v>
      </c>
      <c r="I521">
        <v>55.858299595141702</v>
      </c>
      <c r="J521">
        <v>47.503597259521499</v>
      </c>
      <c r="K521">
        <v>45.776302337646499</v>
      </c>
      <c r="L521">
        <v>42.550689697265597</v>
      </c>
      <c r="M521">
        <v>43.388607025146499</v>
      </c>
      <c r="N521">
        <v>57.85</v>
      </c>
      <c r="O521">
        <v>66.430000000000007</v>
      </c>
      <c r="P521">
        <v>67.37</v>
      </c>
      <c r="Q521">
        <v>63.966887417218544</v>
      </c>
      <c r="R521">
        <v>59.762938230383973</v>
      </c>
      <c r="S521">
        <v>40.437735849056601</v>
      </c>
      <c r="T521">
        <v>63.683823529411768</v>
      </c>
      <c r="U521">
        <f>AVERAGE(G521:T521)</f>
        <v>53.138716117801145</v>
      </c>
      <c r="V521" t="str">
        <f t="shared" si="52"/>
        <v>2016/17Outputs - connectionsTime to connect incentiveLVSSB TTC</v>
      </c>
    </row>
    <row r="522" spans="1:22">
      <c r="A522" s="900" t="s">
        <v>138</v>
      </c>
      <c r="B522" s="900"/>
      <c r="C522" s="900" t="s">
        <v>1307</v>
      </c>
      <c r="D522" t="s">
        <v>322</v>
      </c>
      <c r="E522" t="s">
        <v>894</v>
      </c>
      <c r="F522" t="s">
        <v>1299</v>
      </c>
      <c r="G522">
        <v>1</v>
      </c>
      <c r="H522">
        <v>8</v>
      </c>
      <c r="I522">
        <v>7</v>
      </c>
      <c r="J522">
        <v>6</v>
      </c>
      <c r="K522">
        <v>5</v>
      </c>
      <c r="L522">
        <v>3</v>
      </c>
      <c r="M522">
        <v>4</v>
      </c>
      <c r="N522">
        <v>9</v>
      </c>
      <c r="O522">
        <v>13</v>
      </c>
      <c r="P522">
        <v>14</v>
      </c>
      <c r="Q522">
        <v>12</v>
      </c>
      <c r="R522">
        <v>10</v>
      </c>
      <c r="S522">
        <v>2</v>
      </c>
      <c r="T522">
        <v>11</v>
      </c>
      <c r="U522">
        <f>RANK(U521,G521:U521,1)</f>
        <v>7</v>
      </c>
      <c r="V522" t="str">
        <f t="shared" si="52"/>
        <v>2016/17Outputs - connectionsTime to connect incentiveLVSSB TTC Ranking</v>
      </c>
    </row>
    <row r="523" spans="1:22">
      <c r="A523" s="900" t="s">
        <v>138</v>
      </c>
      <c r="B523" s="900"/>
      <c r="C523" s="900" t="s">
        <v>1307</v>
      </c>
      <c r="D523" t="s">
        <v>322</v>
      </c>
      <c r="E523" t="s">
        <v>896</v>
      </c>
      <c r="F523" t="s">
        <v>1289</v>
      </c>
      <c r="G523">
        <v>1.2000000000000002</v>
      </c>
      <c r="H523">
        <v>0.40000000000000008</v>
      </c>
      <c r="I523">
        <v>0.60000000000000009</v>
      </c>
      <c r="J523">
        <v>1.1517129318237314</v>
      </c>
      <c r="K523">
        <v>1.3147285263061532</v>
      </c>
      <c r="L523">
        <v>0.66798362121582</v>
      </c>
      <c r="M523">
        <v>0.95282322540283193</v>
      </c>
      <c r="N523">
        <v>0.60000000000000009</v>
      </c>
      <c r="O523">
        <v>0.60000000000000009</v>
      </c>
      <c r="P523">
        <v>1.0000000000000002</v>
      </c>
      <c r="Q523">
        <v>0.60000000000000009</v>
      </c>
      <c r="R523">
        <v>0.60000000000000009</v>
      </c>
      <c r="S523">
        <v>0.80000000000000016</v>
      </c>
      <c r="T523">
        <v>0.80000000000000016</v>
      </c>
      <c r="U523">
        <f>AVERAGE(G523:T523)</f>
        <v>0.80623202176775266</v>
      </c>
      <c r="V523" t="str">
        <f t="shared" si="52"/>
        <v>2016/17Outputs - connectionsTime to connect incentiveReward 12/13</v>
      </c>
    </row>
    <row r="524" spans="1:22">
      <c r="A524" s="900" t="s">
        <v>138</v>
      </c>
      <c r="B524" s="900"/>
      <c r="C524" s="900" t="s">
        <v>1307</v>
      </c>
      <c r="D524" t="s">
        <v>322</v>
      </c>
      <c r="E524" t="s">
        <v>898</v>
      </c>
      <c r="F524" t="s">
        <v>1289</v>
      </c>
      <c r="G524">
        <v>1.5260733626238892</v>
      </c>
      <c r="H524">
        <v>0.50869112087462975</v>
      </c>
      <c r="I524">
        <v>0.76303668131194458</v>
      </c>
      <c r="J524">
        <v>1.4646653555380496</v>
      </c>
      <c r="K524">
        <v>1.6719768192313176</v>
      </c>
      <c r="L524">
        <v>0.84949334250542385</v>
      </c>
      <c r="M524">
        <v>1.2117317863138661</v>
      </c>
      <c r="N524">
        <v>0.76303668131194458</v>
      </c>
      <c r="O524">
        <v>0.76303668131194458</v>
      </c>
      <c r="P524">
        <v>1.2717278021865743</v>
      </c>
      <c r="Q524">
        <v>0.76303668131194458</v>
      </c>
      <c r="R524">
        <v>0.76303668131194458</v>
      </c>
      <c r="S524">
        <v>1.0173822417492595</v>
      </c>
      <c r="T524">
        <v>1.0173822417492595</v>
      </c>
      <c r="U524">
        <f>AVERAGE(G524:T524)</f>
        <v>1.0253076770951426</v>
      </c>
      <c r="V524" t="str">
        <f t="shared" si="52"/>
        <v>2016/17Outputs - connectionsTime to connect incentiveReward 20/21</v>
      </c>
    </row>
    <row r="525" spans="1:22">
      <c r="A525" s="900" t="s">
        <v>138</v>
      </c>
      <c r="B525" s="900"/>
      <c r="C525" s="900" t="s">
        <v>1307</v>
      </c>
      <c r="D525" t="s">
        <v>322</v>
      </c>
      <c r="E525" t="s">
        <v>339</v>
      </c>
      <c r="F525" t="s">
        <v>1296</v>
      </c>
      <c r="G525" t="str">
        <v>Green</v>
      </c>
      <c r="H525" t="str">
        <v>Amber</v>
      </c>
      <c r="I525" t="str">
        <v>Amber</v>
      </c>
      <c r="J525" t="str">
        <v>Green</v>
      </c>
      <c r="K525" t="str">
        <v>Green</v>
      </c>
      <c r="L525" t="str">
        <v>Green</v>
      </c>
      <c r="M525" t="str">
        <v>Green</v>
      </c>
      <c r="N525" t="str">
        <v>Amber</v>
      </c>
      <c r="O525" t="str">
        <v>Amber</v>
      </c>
      <c r="P525" t="str">
        <v>Amber</v>
      </c>
      <c r="Q525" t="str">
        <v>Amber</v>
      </c>
      <c r="R525" t="str">
        <v>Amber</v>
      </c>
      <c r="S525" t="str">
        <v>Green</v>
      </c>
      <c r="T525" t="str">
        <v>Amber</v>
      </c>
      <c r="U525" t="s">
        <v>1311</v>
      </c>
      <c r="V525" t="str">
        <f t="shared" si="52"/>
        <v>2016/17Outputs - connectionsTime to connect incentiveRAG</v>
      </c>
    </row>
    <row r="526" spans="1:22">
      <c r="A526" s="900" t="s">
        <v>138</v>
      </c>
      <c r="B526" s="900"/>
      <c r="C526" s="900" t="s">
        <v>1307</v>
      </c>
      <c r="D526" t="s">
        <v>322</v>
      </c>
      <c r="E526" t="s">
        <v>901</v>
      </c>
      <c r="F526" t="s">
        <v>1299</v>
      </c>
      <c r="G526">
        <v>3.75</v>
      </c>
      <c r="H526">
        <v>11</v>
      </c>
      <c r="I526">
        <v>9.75</v>
      </c>
      <c r="J526">
        <v>5.5</v>
      </c>
      <c r="K526">
        <v>3.25</v>
      </c>
      <c r="L526">
        <v>3.25</v>
      </c>
      <c r="M526">
        <v>5</v>
      </c>
      <c r="N526">
        <v>11</v>
      </c>
      <c r="O526">
        <v>10.75</v>
      </c>
      <c r="P526">
        <v>13.75</v>
      </c>
      <c r="Q526">
        <v>8.75</v>
      </c>
      <c r="R526">
        <v>8.5</v>
      </c>
      <c r="S526">
        <v>3.75</v>
      </c>
      <c r="T526">
        <v>7</v>
      </c>
      <c r="U526">
        <f>AVERAGE(G526:T526)</f>
        <v>7.5</v>
      </c>
      <c r="V526" t="str">
        <f t="shared" si="52"/>
        <v>2016/17Outputs - connectionsTime to connect incentiveAverage Ranking</v>
      </c>
    </row>
    <row r="527" spans="1:22">
      <c r="A527" s="900" t="s">
        <v>138</v>
      </c>
      <c r="B527" s="900"/>
      <c r="C527" s="900" t="s">
        <v>1307</v>
      </c>
      <c r="D527" t="s">
        <v>322</v>
      </c>
      <c r="E527" t="s">
        <v>903</v>
      </c>
      <c r="F527" t="s">
        <v>1299</v>
      </c>
      <c r="G527">
        <v>3</v>
      </c>
      <c r="H527">
        <v>12</v>
      </c>
      <c r="I527">
        <v>10</v>
      </c>
      <c r="J527">
        <v>6</v>
      </c>
      <c r="K527">
        <v>1</v>
      </c>
      <c r="L527">
        <v>1</v>
      </c>
      <c r="M527">
        <v>5</v>
      </c>
      <c r="N527">
        <v>12</v>
      </c>
      <c r="O527">
        <v>11</v>
      </c>
      <c r="P527">
        <v>14</v>
      </c>
      <c r="Q527">
        <v>9</v>
      </c>
      <c r="R527">
        <v>8</v>
      </c>
      <c r="S527">
        <v>3</v>
      </c>
      <c r="T527">
        <v>7</v>
      </c>
      <c r="U527">
        <f>AVERAGE(G527:T527)</f>
        <v>7.2857142857142856</v>
      </c>
      <c r="V527" t="str">
        <f t="shared" si="52"/>
        <v>2016/17Outputs - connectionsTime to connect incentiveOverall Ranking</v>
      </c>
    </row>
    <row r="528" spans="1:22">
      <c r="A528" s="900" t="s">
        <v>138</v>
      </c>
      <c r="B528" s="900"/>
      <c r="C528" s="900" t="s">
        <v>1307</v>
      </c>
      <c r="D528" t="s">
        <v>322</v>
      </c>
      <c r="E528" t="s">
        <v>342</v>
      </c>
      <c r="F528" t="s">
        <v>1310</v>
      </c>
      <c r="G528">
        <v>74.457658306781255</v>
      </c>
      <c r="H528">
        <v>123.30557692168354</v>
      </c>
      <c r="I528">
        <v>117.07610568865192</v>
      </c>
      <c r="J528">
        <v>95.288133144378634</v>
      </c>
      <c r="K528">
        <v>88.390990257263169</v>
      </c>
      <c r="L528">
        <v>86.383313179016113</v>
      </c>
      <c r="M528">
        <v>90.933918476104751</v>
      </c>
      <c r="N528">
        <v>131.24</v>
      </c>
      <c r="O528">
        <v>131.43</v>
      </c>
      <c r="P528">
        <v>137.42000000000002</v>
      </c>
      <c r="Q528">
        <v>126.30593857882414</v>
      </c>
      <c r="R528">
        <v>117.17760735578676</v>
      </c>
      <c r="S528">
        <v>81.189718447382916</v>
      </c>
      <c r="T528">
        <v>117.89453337995772</v>
      </c>
      <c r="U528">
        <f>AVERAGE(G528:T528)</f>
        <v>108.46382098113078</v>
      </c>
      <c r="V528" t="str">
        <f t="shared" si="52"/>
        <v>2016/17Outputs - connectionsTime to connect incentiveOverall (LVSSA + LVSSB)</v>
      </c>
    </row>
    <row r="529" spans="1:22">
      <c r="A529" s="900" t="s">
        <v>139</v>
      </c>
      <c r="B529" s="900"/>
      <c r="C529" s="900" t="s">
        <v>1307</v>
      </c>
      <c r="D529" t="s">
        <v>322</v>
      </c>
      <c r="E529" t="s">
        <v>880</v>
      </c>
      <c r="F529" t="s">
        <v>1310</v>
      </c>
      <c r="G529">
        <f t="array" ref="G529:T542">TRANSPOSE('Ch2 outputs - connections'!AJ42:AW55)</f>
        <v>3.7</v>
      </c>
      <c r="H529">
        <v>7.99</v>
      </c>
      <c r="I529">
        <v>7.84</v>
      </c>
      <c r="J529">
        <v>4.1399999999999997</v>
      </c>
      <c r="K529">
        <v>3.51</v>
      </c>
      <c r="L529">
        <v>3.3</v>
      </c>
      <c r="M529">
        <v>4.87</v>
      </c>
      <c r="N529">
        <v>5.7340314136125654</v>
      </c>
      <c r="O529">
        <v>5.7480650154798765</v>
      </c>
      <c r="P529">
        <v>7.2403183023872675</v>
      </c>
      <c r="Q529">
        <v>3.2081268582755205</v>
      </c>
      <c r="R529">
        <v>4.7924369747899158</v>
      </c>
      <c r="S529">
        <v>4.222149410222805</v>
      </c>
      <c r="T529">
        <v>3.4145243009945583</v>
      </c>
      <c r="U529">
        <f>AVERAGE(G529:T529)</f>
        <v>4.9792608768401792</v>
      </c>
      <c r="V529" t="str">
        <f t="shared" si="52"/>
        <v>2017/18Outputs - connectionsTime to connect incentiveLVSSA Average TTQ</v>
      </c>
    </row>
    <row r="530" spans="1:22">
      <c r="A530" s="900" t="s">
        <v>139</v>
      </c>
      <c r="B530" s="900"/>
      <c r="C530" s="900" t="s">
        <v>1307</v>
      </c>
      <c r="D530" t="s">
        <v>322</v>
      </c>
      <c r="E530" t="s">
        <v>882</v>
      </c>
      <c r="F530" t="s">
        <v>1299</v>
      </c>
      <c r="G530">
        <v>5</v>
      </c>
      <c r="H530">
        <v>14</v>
      </c>
      <c r="I530">
        <v>13</v>
      </c>
      <c r="J530">
        <v>6</v>
      </c>
      <c r="K530">
        <v>4</v>
      </c>
      <c r="L530">
        <v>2</v>
      </c>
      <c r="M530">
        <v>9</v>
      </c>
      <c r="N530">
        <v>10</v>
      </c>
      <c r="O530">
        <v>11</v>
      </c>
      <c r="P530">
        <v>12</v>
      </c>
      <c r="Q530">
        <v>1</v>
      </c>
      <c r="R530">
        <v>8</v>
      </c>
      <c r="S530">
        <v>7</v>
      </c>
      <c r="T530">
        <v>3</v>
      </c>
      <c r="U530">
        <f>RANK(U529,G529:U529,1)</f>
        <v>10</v>
      </c>
      <c r="V530" t="str">
        <f t="shared" si="52"/>
        <v>2017/18Outputs - connectionsTime to connect incentiveLVSSA TTQ Ranking</v>
      </c>
    </row>
    <row r="531" spans="1:22">
      <c r="A531" s="900" t="s">
        <v>139</v>
      </c>
      <c r="B531" s="900"/>
      <c r="C531" s="900" t="s">
        <v>1307</v>
      </c>
      <c r="D531" t="s">
        <v>322</v>
      </c>
      <c r="E531" t="s">
        <v>884</v>
      </c>
      <c r="F531" t="s">
        <v>1310</v>
      </c>
      <c r="G531">
        <v>31.72</v>
      </c>
      <c r="H531">
        <v>53.75</v>
      </c>
      <c r="I531">
        <v>47.07</v>
      </c>
      <c r="J531">
        <v>28.08</v>
      </c>
      <c r="K531">
        <v>28.16</v>
      </c>
      <c r="L531">
        <v>28.35</v>
      </c>
      <c r="M531">
        <v>25.73</v>
      </c>
      <c r="N531">
        <v>40.977272727272727</v>
      </c>
      <c r="O531">
        <v>36.509038322487349</v>
      </c>
      <c r="P531">
        <v>43.229319852941174</v>
      </c>
      <c r="Q531">
        <v>58.93573667711599</v>
      </c>
      <c r="R531">
        <v>44.720893141945773</v>
      </c>
      <c r="S531">
        <v>27.837047353760447</v>
      </c>
      <c r="T531">
        <v>45.711273317112735</v>
      </c>
      <c r="U531">
        <f>AVERAGE(G531:T531)</f>
        <v>38.627184385188301</v>
      </c>
      <c r="V531" t="str">
        <f t="shared" si="52"/>
        <v>2017/18Outputs - connectionsTime to connect incentiveLVSSA TTC</v>
      </c>
    </row>
    <row r="532" spans="1:22">
      <c r="A532" s="900" t="s">
        <v>139</v>
      </c>
      <c r="B532" s="900"/>
      <c r="C532" s="900" t="s">
        <v>1307</v>
      </c>
      <c r="D532" t="s">
        <v>322</v>
      </c>
      <c r="E532" t="s">
        <v>886</v>
      </c>
      <c r="F532" t="s">
        <v>1299</v>
      </c>
      <c r="G532">
        <v>6</v>
      </c>
      <c r="H532">
        <v>13</v>
      </c>
      <c r="I532">
        <v>12</v>
      </c>
      <c r="J532">
        <v>3</v>
      </c>
      <c r="K532">
        <v>4</v>
      </c>
      <c r="L532">
        <v>5</v>
      </c>
      <c r="M532">
        <v>1</v>
      </c>
      <c r="N532">
        <v>8</v>
      </c>
      <c r="O532">
        <v>7</v>
      </c>
      <c r="P532">
        <v>9</v>
      </c>
      <c r="Q532">
        <v>14</v>
      </c>
      <c r="R532">
        <v>10</v>
      </c>
      <c r="S532">
        <v>2</v>
      </c>
      <c r="T532">
        <v>11</v>
      </c>
      <c r="U532">
        <f>RANK(U531,G531:U531,1)</f>
        <v>8</v>
      </c>
      <c r="V532" t="str">
        <f t="shared" si="52"/>
        <v>2017/18Outputs - connectionsTime to connect incentiveLVSSA TTC Ranking</v>
      </c>
    </row>
    <row r="533" spans="1:22">
      <c r="A533" s="900" t="s">
        <v>139</v>
      </c>
      <c r="B533" s="900"/>
      <c r="C533" s="900" t="s">
        <v>1307</v>
      </c>
      <c r="D533" t="s">
        <v>322</v>
      </c>
      <c r="E533" t="s">
        <v>888</v>
      </c>
      <c r="F533" t="s">
        <v>1310</v>
      </c>
      <c r="G533">
        <v>8.25</v>
      </c>
      <c r="H533">
        <v>15.9</v>
      </c>
      <c r="I533">
        <v>16.809999999999999</v>
      </c>
      <c r="J533">
        <v>4.47</v>
      </c>
      <c r="K533">
        <v>4.91</v>
      </c>
      <c r="L533">
        <v>4.93</v>
      </c>
      <c r="M533">
        <v>5.4</v>
      </c>
      <c r="N533">
        <v>7.3686337914308808</v>
      </c>
      <c r="O533">
        <v>9.7978260869565226</v>
      </c>
      <c r="P533">
        <v>11.463622526636225</v>
      </c>
      <c r="Q533">
        <v>7.0064102564102564</v>
      </c>
      <c r="R533">
        <v>10.090062111801242</v>
      </c>
      <c r="S533">
        <v>9.015625</v>
      </c>
      <c r="T533">
        <v>9.2832713754646843</v>
      </c>
      <c r="U533">
        <f>AVERAGE(G533:T533)</f>
        <v>8.9068179391928428</v>
      </c>
      <c r="V533" t="str">
        <f t="shared" si="52"/>
        <v>2017/18Outputs - connectionsTime to connect incentiveLVSSB TTQ</v>
      </c>
    </row>
    <row r="534" spans="1:22">
      <c r="A534" s="900" t="s">
        <v>139</v>
      </c>
      <c r="B534" s="900"/>
      <c r="C534" s="900" t="s">
        <v>1307</v>
      </c>
      <c r="D534" t="s">
        <v>322</v>
      </c>
      <c r="E534" t="s">
        <v>890</v>
      </c>
      <c r="F534" t="s">
        <v>1299</v>
      </c>
      <c r="G534">
        <v>7</v>
      </c>
      <c r="H534">
        <v>13</v>
      </c>
      <c r="I534">
        <v>14</v>
      </c>
      <c r="J534">
        <v>1</v>
      </c>
      <c r="K534">
        <v>2</v>
      </c>
      <c r="L534">
        <v>3</v>
      </c>
      <c r="M534">
        <v>4</v>
      </c>
      <c r="N534">
        <v>6</v>
      </c>
      <c r="O534">
        <v>10</v>
      </c>
      <c r="P534">
        <v>12</v>
      </c>
      <c r="Q534">
        <v>5</v>
      </c>
      <c r="R534">
        <v>11</v>
      </c>
      <c r="S534">
        <v>8</v>
      </c>
      <c r="T534">
        <v>9</v>
      </c>
      <c r="U534">
        <f>RANK(U533,G533:U533,1)</f>
        <v>8</v>
      </c>
      <c r="V534" t="str">
        <f t="shared" si="52"/>
        <v>2017/18Outputs - connectionsTime to connect incentiveLVSSB TTQ Ranking</v>
      </c>
    </row>
    <row r="535" spans="1:22">
      <c r="A535" s="900" t="s">
        <v>139</v>
      </c>
      <c r="B535" s="900"/>
      <c r="C535" s="900" t="s">
        <v>1307</v>
      </c>
      <c r="D535" t="s">
        <v>322</v>
      </c>
      <c r="E535" t="s">
        <v>892</v>
      </c>
      <c r="F535" t="s">
        <v>1310</v>
      </c>
      <c r="G535">
        <v>34.28</v>
      </c>
      <c r="H535">
        <v>63.01</v>
      </c>
      <c r="I535">
        <v>55.51</v>
      </c>
      <c r="J535">
        <v>40.28</v>
      </c>
      <c r="K535">
        <v>35.42</v>
      </c>
      <c r="L535">
        <v>38.51</v>
      </c>
      <c r="M535">
        <v>29.92</v>
      </c>
      <c r="N535">
        <v>45.043882978723403</v>
      </c>
      <c r="O535">
        <v>46.026806526806524</v>
      </c>
      <c r="P535">
        <v>49.013496932515338</v>
      </c>
      <c r="Q535">
        <v>69.573692551505545</v>
      </c>
      <c r="R535">
        <v>65.876363636363635</v>
      </c>
      <c r="S535">
        <v>28.759090909090908</v>
      </c>
      <c r="T535">
        <v>64.005649717514117</v>
      </c>
      <c r="U535">
        <f>AVERAGE(G535:T535)</f>
        <v>47.516355946608535</v>
      </c>
      <c r="V535" t="str">
        <f t="shared" si="52"/>
        <v>2017/18Outputs - connectionsTime to connect incentiveLVSSB TTC</v>
      </c>
    </row>
    <row r="536" spans="1:22">
      <c r="A536" s="900" t="s">
        <v>139</v>
      </c>
      <c r="B536" s="900"/>
      <c r="C536" s="900" t="s">
        <v>1307</v>
      </c>
      <c r="D536" t="s">
        <v>322</v>
      </c>
      <c r="E536" t="s">
        <v>894</v>
      </c>
      <c r="F536" t="s">
        <v>1299</v>
      </c>
      <c r="G536">
        <v>3</v>
      </c>
      <c r="H536">
        <v>11</v>
      </c>
      <c r="I536">
        <v>10</v>
      </c>
      <c r="J536">
        <v>6</v>
      </c>
      <c r="K536">
        <v>4</v>
      </c>
      <c r="L536">
        <v>5</v>
      </c>
      <c r="M536">
        <v>2</v>
      </c>
      <c r="N536">
        <v>7</v>
      </c>
      <c r="O536">
        <v>8</v>
      </c>
      <c r="P536">
        <v>9</v>
      </c>
      <c r="Q536">
        <v>14</v>
      </c>
      <c r="R536">
        <v>13</v>
      </c>
      <c r="S536">
        <v>1</v>
      </c>
      <c r="T536">
        <v>12</v>
      </c>
      <c r="U536">
        <f>RANK(U535,G535:U535,1)</f>
        <v>9</v>
      </c>
      <c r="V536" t="str">
        <f t="shared" si="52"/>
        <v>2017/18Outputs - connectionsTime to connect incentiveLVSSB TTC Ranking</v>
      </c>
    </row>
    <row r="537" spans="1:22">
      <c r="A537" s="900" t="s">
        <v>139</v>
      </c>
      <c r="B537" s="900"/>
      <c r="C537" s="900" t="s">
        <v>1307</v>
      </c>
      <c r="D537" t="s">
        <v>322</v>
      </c>
      <c r="E537" t="s">
        <v>896</v>
      </c>
      <c r="F537" t="s">
        <v>1289</v>
      </c>
      <c r="G537">
        <v>1.1999999999999997</v>
      </c>
      <c r="H537">
        <v>2.8600000000000077E-2</v>
      </c>
      <c r="I537">
        <v>6.2900000000000164E-2</v>
      </c>
      <c r="J537">
        <v>1.5725999999999998</v>
      </c>
      <c r="K537">
        <v>1.5999999999999996</v>
      </c>
      <c r="L537">
        <v>0.7419</v>
      </c>
      <c r="M537">
        <v>1.1999999999999997</v>
      </c>
      <c r="N537">
        <v>0.78620000000000001</v>
      </c>
      <c r="O537">
        <v>0.90049999999999986</v>
      </c>
      <c r="P537">
        <v>0.47810000000000025</v>
      </c>
      <c r="Q537">
        <v>0.59999999999999987</v>
      </c>
      <c r="R537">
        <v>0.59999999999999987</v>
      </c>
      <c r="S537">
        <v>0.79999999999999982</v>
      </c>
      <c r="T537">
        <v>0.79999999999999982</v>
      </c>
      <c r="U537">
        <f>AVERAGE(G537:T537)</f>
        <v>0.81219999999999992</v>
      </c>
      <c r="V537" t="str">
        <f t="shared" si="52"/>
        <v>2017/18Outputs - connectionsTime to connect incentiveReward 12/13</v>
      </c>
    </row>
    <row r="538" spans="1:22">
      <c r="A538" s="900" t="s">
        <v>139</v>
      </c>
      <c r="B538" s="900"/>
      <c r="C538" s="900" t="s">
        <v>1307</v>
      </c>
      <c r="D538" t="s">
        <v>322</v>
      </c>
      <c r="E538" t="s">
        <v>898</v>
      </c>
      <c r="F538" t="s">
        <v>1289</v>
      </c>
      <c r="G538">
        <v>1.5260733626238885</v>
      </c>
      <c r="H538">
        <v>3.6371415142536119E-2</v>
      </c>
      <c r="I538">
        <v>7.9991678757535725E-2</v>
      </c>
      <c r="J538">
        <v>1.9999191417186062</v>
      </c>
      <c r="K538">
        <v>2.0347644834985181</v>
      </c>
      <c r="L538">
        <v>0.94349485644221931</v>
      </c>
      <c r="M538">
        <v>1.5260733626238885</v>
      </c>
      <c r="N538">
        <v>0.99983239807908453</v>
      </c>
      <c r="O538">
        <v>1.1451908858690099</v>
      </c>
      <c r="P538">
        <v>0.60801306222540141</v>
      </c>
      <c r="Q538">
        <v>0.76303668131194424</v>
      </c>
      <c r="R538">
        <v>0.76303668131194424</v>
      </c>
      <c r="S538">
        <v>1.0173822417492591</v>
      </c>
      <c r="T538">
        <v>1.0173822417492591</v>
      </c>
      <c r="U538">
        <f>AVERAGE(G538:T538)</f>
        <v>1.0328973209359353</v>
      </c>
      <c r="V538" t="str">
        <f t="shared" si="52"/>
        <v>2017/18Outputs - connectionsTime to connect incentiveReward 20/21</v>
      </c>
    </row>
    <row r="539" spans="1:22">
      <c r="A539" s="900" t="s">
        <v>139</v>
      </c>
      <c r="B539" s="900"/>
      <c r="C539" s="900" t="s">
        <v>1307</v>
      </c>
      <c r="D539" t="s">
        <v>322</v>
      </c>
      <c r="E539" t="s">
        <v>339</v>
      </c>
      <c r="F539" t="s">
        <v>1296</v>
      </c>
      <c r="G539" t="str">
        <v>Green</v>
      </c>
      <c r="H539" t="str">
        <v>Red</v>
      </c>
      <c r="I539" t="str">
        <v>Red</v>
      </c>
      <c r="J539" t="str">
        <v>Green</v>
      </c>
      <c r="K539" t="str">
        <v>Green</v>
      </c>
      <c r="L539" t="str">
        <v>Green</v>
      </c>
      <c r="M539" t="str">
        <v>Green</v>
      </c>
      <c r="N539" t="str">
        <v>Green</v>
      </c>
      <c r="O539" t="str">
        <v>Green</v>
      </c>
      <c r="P539" t="str">
        <v>Amber</v>
      </c>
      <c r="Q539" t="str">
        <v>Amber</v>
      </c>
      <c r="R539" t="str">
        <v>Amber</v>
      </c>
      <c r="S539" t="str">
        <v>Green</v>
      </c>
      <c r="T539" t="str">
        <v>Amber</v>
      </c>
      <c r="U539" t="s">
        <v>1297</v>
      </c>
      <c r="V539" t="str">
        <f t="shared" si="52"/>
        <v>2017/18Outputs - connectionsTime to connect incentiveRAG</v>
      </c>
    </row>
    <row r="540" spans="1:22">
      <c r="A540" s="900" t="s">
        <v>139</v>
      </c>
      <c r="B540" s="900"/>
      <c r="C540" s="900" t="s">
        <v>1307</v>
      </c>
      <c r="D540" t="s">
        <v>322</v>
      </c>
      <c r="E540" t="s">
        <v>901</v>
      </c>
      <c r="F540" t="s">
        <v>1299</v>
      </c>
      <c r="G540">
        <v>5.25</v>
      </c>
      <c r="H540">
        <v>12.75</v>
      </c>
      <c r="I540">
        <v>12.25</v>
      </c>
      <c r="J540">
        <v>4</v>
      </c>
      <c r="K540">
        <v>3.5</v>
      </c>
      <c r="L540">
        <v>3.75</v>
      </c>
      <c r="M540">
        <v>4</v>
      </c>
      <c r="N540">
        <v>7.75</v>
      </c>
      <c r="O540">
        <v>9</v>
      </c>
      <c r="P540">
        <v>10.5</v>
      </c>
      <c r="Q540">
        <v>8.5</v>
      </c>
      <c r="R540">
        <v>10.5</v>
      </c>
      <c r="S540">
        <v>4.5</v>
      </c>
      <c r="T540">
        <v>8.75</v>
      </c>
      <c r="U540">
        <f t="shared" ref="U540:U552" si="53">AVERAGE(G540:T540)</f>
        <v>7.5</v>
      </c>
      <c r="V540" t="str">
        <f t="shared" si="52"/>
        <v>2017/18Outputs - connectionsTime to connect incentiveAverage Ranking</v>
      </c>
    </row>
    <row r="541" spans="1:22">
      <c r="A541" s="900" t="s">
        <v>139</v>
      </c>
      <c r="B541" s="900"/>
      <c r="C541" s="900" t="s">
        <v>1307</v>
      </c>
      <c r="D541" t="s">
        <v>322</v>
      </c>
      <c r="E541" t="s">
        <v>903</v>
      </c>
      <c r="F541" t="s">
        <v>1299</v>
      </c>
      <c r="G541">
        <v>6</v>
      </c>
      <c r="H541">
        <v>14</v>
      </c>
      <c r="I541">
        <v>13</v>
      </c>
      <c r="J541">
        <v>3</v>
      </c>
      <c r="K541">
        <v>1</v>
      </c>
      <c r="L541">
        <v>2</v>
      </c>
      <c r="M541">
        <v>3</v>
      </c>
      <c r="N541">
        <v>7</v>
      </c>
      <c r="O541">
        <v>10</v>
      </c>
      <c r="P541">
        <v>11</v>
      </c>
      <c r="Q541">
        <v>8</v>
      </c>
      <c r="R541">
        <v>11</v>
      </c>
      <c r="S541">
        <v>5</v>
      </c>
      <c r="T541">
        <v>9</v>
      </c>
      <c r="U541">
        <f t="shared" si="53"/>
        <v>7.3571428571428568</v>
      </c>
      <c r="V541" t="str">
        <f t="shared" si="52"/>
        <v>2017/18Outputs - connectionsTime to connect incentiveOverall Ranking</v>
      </c>
    </row>
    <row r="542" spans="1:22">
      <c r="A542" s="900" t="s">
        <v>139</v>
      </c>
      <c r="B542" s="900"/>
      <c r="C542" s="900" t="s">
        <v>1307</v>
      </c>
      <c r="D542" t="s">
        <v>322</v>
      </c>
      <c r="E542" t="s">
        <v>342</v>
      </c>
      <c r="F542" t="s">
        <v>1310</v>
      </c>
      <c r="G542">
        <v>77.95</v>
      </c>
      <c r="H542">
        <v>140.65</v>
      </c>
      <c r="I542">
        <v>127.22999999999999</v>
      </c>
      <c r="J542">
        <v>76.97</v>
      </c>
      <c r="K542">
        <v>72</v>
      </c>
      <c r="L542">
        <v>75.09</v>
      </c>
      <c r="M542">
        <v>65.92</v>
      </c>
      <c r="N542">
        <v>99.123820911039573</v>
      </c>
      <c r="O542">
        <v>98.081735951730266</v>
      </c>
      <c r="P542">
        <v>110.94675761448001</v>
      </c>
      <c r="Q542">
        <v>138.72396634330732</v>
      </c>
      <c r="R542">
        <v>125.47975586490057</v>
      </c>
      <c r="S542">
        <v>69.833912673074167</v>
      </c>
      <c r="T542">
        <v>122.4147187110861</v>
      </c>
      <c r="U542">
        <f t="shared" si="53"/>
        <v>100.02961914782988</v>
      </c>
      <c r="V542" t="str">
        <f t="shared" si="52"/>
        <v>2017/18Outputs - connectionsTime to connect incentiveOverall (LVSSA + LVSSB)</v>
      </c>
    </row>
    <row r="543" spans="1:22">
      <c r="A543" s="900" t="s">
        <v>140</v>
      </c>
      <c r="B543" s="900"/>
      <c r="C543" s="900" t="s">
        <v>1307</v>
      </c>
      <c r="D543" t="s">
        <v>322</v>
      </c>
      <c r="E543" t="s">
        <v>880</v>
      </c>
      <c r="F543" t="s">
        <v>1310</v>
      </c>
      <c r="G543">
        <f t="array" ref="G543:T556">TRANSPOSE('Ch2 outputs - connections'!AY42:BL55)</f>
        <v>3.72</v>
      </c>
      <c r="H543">
        <v>6.3</v>
      </c>
      <c r="I543">
        <v>6.81</v>
      </c>
      <c r="J543">
        <v>4.8674736022949201</v>
      </c>
      <c r="K543">
        <v>3.6325502395629901</v>
      </c>
      <c r="L543">
        <v>3.6122882366180402</v>
      </c>
      <c r="M543">
        <v>5.3704643249511701</v>
      </c>
      <c r="N543">
        <v>5.3911602209944753</v>
      </c>
      <c r="O543">
        <v>7.1222879684418148</v>
      </c>
      <c r="P543">
        <v>7.1449624060150372</v>
      </c>
      <c r="Q543">
        <v>2.850731707317073</v>
      </c>
      <c r="R543">
        <v>4.8260517799352751</v>
      </c>
      <c r="S543">
        <v>2.86</v>
      </c>
      <c r="T543">
        <v>3.11</v>
      </c>
      <c r="U543">
        <f t="shared" si="53"/>
        <v>4.8298550347236295</v>
      </c>
      <c r="V543" t="str">
        <f t="shared" si="52"/>
        <v>2018/19Outputs - connectionsTime to connect incentiveLVSSA Average TTQ</v>
      </c>
    </row>
    <row r="544" spans="1:22">
      <c r="A544" s="900" t="s">
        <v>140</v>
      </c>
      <c r="B544" s="900"/>
      <c r="C544" s="900" t="s">
        <v>1307</v>
      </c>
      <c r="D544" t="s">
        <v>322</v>
      </c>
      <c r="E544" t="s">
        <v>882</v>
      </c>
      <c r="F544" t="s">
        <v>1299</v>
      </c>
      <c r="G544">
        <v>6</v>
      </c>
      <c r="H544">
        <v>11</v>
      </c>
      <c r="I544">
        <v>12</v>
      </c>
      <c r="J544">
        <v>8</v>
      </c>
      <c r="K544">
        <v>5</v>
      </c>
      <c r="L544">
        <v>4</v>
      </c>
      <c r="M544">
        <v>9</v>
      </c>
      <c r="N544">
        <v>10</v>
      </c>
      <c r="O544">
        <v>13</v>
      </c>
      <c r="P544">
        <v>14</v>
      </c>
      <c r="Q544">
        <v>1</v>
      </c>
      <c r="R544">
        <v>7</v>
      </c>
      <c r="S544">
        <v>2</v>
      </c>
      <c r="T544">
        <v>3</v>
      </c>
      <c r="U544">
        <f t="shared" si="53"/>
        <v>7.5</v>
      </c>
      <c r="V544" t="str">
        <f t="shared" si="52"/>
        <v>2018/19Outputs - connectionsTime to connect incentiveLVSSA TTQ Ranking</v>
      </c>
    </row>
    <row r="545" spans="1:22">
      <c r="A545" s="900" t="s">
        <v>140</v>
      </c>
      <c r="B545" s="900"/>
      <c r="C545" s="900" t="s">
        <v>1307</v>
      </c>
      <c r="D545" t="s">
        <v>322</v>
      </c>
      <c r="E545" t="s">
        <v>884</v>
      </c>
      <c r="F545" t="s">
        <v>1310</v>
      </c>
      <c r="G545">
        <v>32.869999999999997</v>
      </c>
      <c r="H545">
        <v>41.15</v>
      </c>
      <c r="I545">
        <v>41.36</v>
      </c>
      <c r="J545">
        <v>29.9463195800781</v>
      </c>
      <c r="K545">
        <v>30.381818771362301</v>
      </c>
      <c r="L545">
        <v>27.127296447753899</v>
      </c>
      <c r="M545">
        <v>27.416389465331999</v>
      </c>
      <c r="N545">
        <v>34.060109289617486</v>
      </c>
      <c r="O545">
        <v>39.255014326647562</v>
      </c>
      <c r="P545">
        <v>41.901068015739177</v>
      </c>
      <c r="Q545">
        <v>54.303448275862067</v>
      </c>
      <c r="R545">
        <v>52.753918495297803</v>
      </c>
      <c r="S545">
        <v>22.1</v>
      </c>
      <c r="T545">
        <v>31.84</v>
      </c>
      <c r="U545">
        <f t="shared" si="53"/>
        <v>36.176098761977883</v>
      </c>
      <c r="V545" t="str">
        <f t="shared" si="52"/>
        <v>2018/19Outputs - connectionsTime to connect incentiveLVSSA TTC</v>
      </c>
    </row>
    <row r="546" spans="1:22">
      <c r="A546" s="900" t="s">
        <v>140</v>
      </c>
      <c r="B546" s="900"/>
      <c r="C546" s="900" t="s">
        <v>1307</v>
      </c>
      <c r="D546" t="s">
        <v>322</v>
      </c>
      <c r="E546" t="s">
        <v>886</v>
      </c>
      <c r="F546" t="s">
        <v>1299</v>
      </c>
      <c r="G546">
        <v>7</v>
      </c>
      <c r="H546">
        <v>10</v>
      </c>
      <c r="I546">
        <v>11</v>
      </c>
      <c r="J546">
        <v>4</v>
      </c>
      <c r="K546">
        <v>5</v>
      </c>
      <c r="L546">
        <v>2</v>
      </c>
      <c r="M546">
        <v>3</v>
      </c>
      <c r="N546">
        <v>8</v>
      </c>
      <c r="O546">
        <v>9</v>
      </c>
      <c r="P546">
        <v>12</v>
      </c>
      <c r="Q546">
        <v>14</v>
      </c>
      <c r="R546">
        <v>13</v>
      </c>
      <c r="S546">
        <v>1</v>
      </c>
      <c r="T546">
        <v>6</v>
      </c>
      <c r="U546">
        <f t="shared" si="53"/>
        <v>7.5</v>
      </c>
      <c r="V546" t="str">
        <f t="shared" si="52"/>
        <v>2018/19Outputs - connectionsTime to connect incentiveLVSSA TTC Ranking</v>
      </c>
    </row>
    <row r="547" spans="1:22">
      <c r="A547" s="900" t="s">
        <v>140</v>
      </c>
      <c r="B547" s="900"/>
      <c r="C547" s="900" t="s">
        <v>1307</v>
      </c>
      <c r="D547" t="s">
        <v>322</v>
      </c>
      <c r="E547" t="s">
        <v>888</v>
      </c>
      <c r="F547" t="s">
        <v>1310</v>
      </c>
      <c r="G547">
        <v>6.79</v>
      </c>
      <c r="H547">
        <v>11.39</v>
      </c>
      <c r="I547">
        <v>15.14</v>
      </c>
      <c r="J547">
        <v>5.7056989669799796</v>
      </c>
      <c r="K547">
        <v>5.2938389778137198</v>
      </c>
      <c r="L547">
        <v>6.3678755760192898</v>
      </c>
      <c r="M547">
        <v>5.6094117164611799</v>
      </c>
      <c r="N547">
        <v>6.9734748010610081</v>
      </c>
      <c r="O547">
        <v>9.4005708848715503</v>
      </c>
      <c r="P547">
        <v>9.9825375170532062</v>
      </c>
      <c r="Q547">
        <v>5.7443609022556394</v>
      </c>
      <c r="R547">
        <v>9.6293810589112603</v>
      </c>
      <c r="S547">
        <v>5.34</v>
      </c>
      <c r="T547">
        <v>8.65</v>
      </c>
      <c r="U547">
        <f t="shared" si="53"/>
        <v>8.0012250286733462</v>
      </c>
      <c r="V547" t="str">
        <f t="shared" si="52"/>
        <v>2018/19Outputs - connectionsTime to connect incentiveLVSSB TTQ</v>
      </c>
    </row>
    <row r="548" spans="1:22">
      <c r="A548" s="900" t="s">
        <v>140</v>
      </c>
      <c r="B548" s="900"/>
      <c r="C548" s="900" t="s">
        <v>1307</v>
      </c>
      <c r="D548" t="s">
        <v>322</v>
      </c>
      <c r="E548" t="s">
        <v>890</v>
      </c>
      <c r="F548" t="s">
        <v>1299</v>
      </c>
      <c r="G548">
        <v>7</v>
      </c>
      <c r="H548">
        <v>13</v>
      </c>
      <c r="I548">
        <v>14</v>
      </c>
      <c r="J548">
        <v>4</v>
      </c>
      <c r="K548">
        <v>1</v>
      </c>
      <c r="L548">
        <v>6</v>
      </c>
      <c r="M548">
        <v>3</v>
      </c>
      <c r="N548">
        <v>8</v>
      </c>
      <c r="O548">
        <v>10</v>
      </c>
      <c r="P548">
        <v>12</v>
      </c>
      <c r="Q548">
        <v>5</v>
      </c>
      <c r="R548">
        <v>11</v>
      </c>
      <c r="S548">
        <v>2</v>
      </c>
      <c r="T548">
        <v>9</v>
      </c>
      <c r="U548">
        <f t="shared" si="53"/>
        <v>7.5</v>
      </c>
      <c r="V548" t="str">
        <f t="shared" si="52"/>
        <v>2018/19Outputs - connectionsTime to connect incentiveLVSSB TTQ Ranking</v>
      </c>
    </row>
    <row r="549" spans="1:22">
      <c r="A549" s="900" t="s">
        <v>140</v>
      </c>
      <c r="B549" s="900"/>
      <c r="C549" s="900" t="s">
        <v>1307</v>
      </c>
      <c r="D549" t="s">
        <v>322</v>
      </c>
      <c r="E549" t="s">
        <v>892</v>
      </c>
      <c r="F549" t="s">
        <v>1310</v>
      </c>
      <c r="G549">
        <v>35.67</v>
      </c>
      <c r="H549">
        <v>50.75</v>
      </c>
      <c r="I549">
        <v>48.04</v>
      </c>
      <c r="J549">
        <v>37.608497619628899</v>
      </c>
      <c r="K549">
        <v>35.400505065917997</v>
      </c>
      <c r="L549">
        <v>34.0645942687988</v>
      </c>
      <c r="M549">
        <v>33.393035888671903</v>
      </c>
      <c r="N549">
        <v>43.083437110834375</v>
      </c>
      <c r="O549">
        <v>51.560636182902584</v>
      </c>
      <c r="P549">
        <v>52.477993858751276</v>
      </c>
      <c r="Q549">
        <v>69.348314606741567</v>
      </c>
      <c r="R549">
        <v>66.551903114186857</v>
      </c>
      <c r="S549">
        <v>27.8</v>
      </c>
      <c r="T549">
        <v>40.29</v>
      </c>
      <c r="U549">
        <f t="shared" si="53"/>
        <v>44.717065551173867</v>
      </c>
      <c r="V549" t="str">
        <f t="shared" si="52"/>
        <v>2018/19Outputs - connectionsTime to connect incentiveLVSSB TTC</v>
      </c>
    </row>
    <row r="550" spans="1:22">
      <c r="A550" s="900" t="s">
        <v>140</v>
      </c>
      <c r="B550" s="900"/>
      <c r="C550" s="900" t="s">
        <v>1307</v>
      </c>
      <c r="D550" t="s">
        <v>322</v>
      </c>
      <c r="E550" t="s">
        <v>894</v>
      </c>
      <c r="F550" t="s">
        <v>1299</v>
      </c>
      <c r="G550">
        <v>5</v>
      </c>
      <c r="H550">
        <v>10</v>
      </c>
      <c r="I550">
        <v>9</v>
      </c>
      <c r="J550">
        <v>6</v>
      </c>
      <c r="K550">
        <v>4</v>
      </c>
      <c r="L550">
        <v>3</v>
      </c>
      <c r="M550">
        <v>2</v>
      </c>
      <c r="N550">
        <v>8</v>
      </c>
      <c r="O550">
        <v>11</v>
      </c>
      <c r="P550">
        <v>12</v>
      </c>
      <c r="Q550">
        <v>14</v>
      </c>
      <c r="R550">
        <v>13</v>
      </c>
      <c r="S550">
        <v>1</v>
      </c>
      <c r="T550">
        <v>7</v>
      </c>
      <c r="U550">
        <f t="shared" si="53"/>
        <v>7.5</v>
      </c>
      <c r="V550" t="str">
        <f t="shared" si="52"/>
        <v>2018/19Outputs - connectionsTime to connect incentiveLVSSB TTC Ranking</v>
      </c>
    </row>
    <row r="551" spans="1:22">
      <c r="A551" s="900" t="s">
        <v>140</v>
      </c>
      <c r="B551" s="900"/>
      <c r="C551" s="900" t="s">
        <v>1307</v>
      </c>
      <c r="D551" t="s">
        <v>322</v>
      </c>
      <c r="E551" t="s">
        <v>896</v>
      </c>
      <c r="F551" t="s">
        <v>1289</v>
      </c>
      <c r="G551">
        <v>1.1763000000000001</v>
      </c>
      <c r="H551">
        <v>0.30520000000000003</v>
      </c>
      <c r="I551">
        <v>0.35280000000000028</v>
      </c>
      <c r="J551">
        <v>1.6</v>
      </c>
      <c r="K551">
        <v>1.6</v>
      </c>
      <c r="L551">
        <v>0.78635405731201213</v>
      </c>
      <c r="M551">
        <v>1.2</v>
      </c>
      <c r="N551">
        <v>1.0329279790947878</v>
      </c>
      <c r="O551">
        <v>0.59244789190741298</v>
      </c>
      <c r="P551">
        <v>0.79473661929908068</v>
      </c>
      <c r="Q551">
        <v>0.6</v>
      </c>
      <c r="R551">
        <v>0.6</v>
      </c>
      <c r="S551">
        <v>0.8</v>
      </c>
      <c r="T551">
        <v>1.5723000000000003</v>
      </c>
      <c r="U551">
        <f t="shared" si="53"/>
        <v>0.92950475340094951</v>
      </c>
      <c r="V551" t="str">
        <f t="shared" si="52"/>
        <v>2018/19Outputs - connectionsTime to connect incentiveReward 12/13</v>
      </c>
    </row>
    <row r="552" spans="1:22">
      <c r="A552" s="900" t="s">
        <v>140</v>
      </c>
      <c r="B552" s="900"/>
      <c r="C552" s="900" t="s">
        <v>1307</v>
      </c>
      <c r="D552" t="s">
        <v>322</v>
      </c>
      <c r="E552" t="s">
        <v>898</v>
      </c>
      <c r="F552" t="s">
        <v>1289</v>
      </c>
      <c r="G552">
        <v>1.4959334137120672</v>
      </c>
      <c r="H552">
        <v>0.38813132522734245</v>
      </c>
      <c r="I552">
        <v>0.4486655686114237</v>
      </c>
      <c r="J552">
        <v>2.0347644834985186</v>
      </c>
      <c r="K552">
        <v>2.0347644834985186</v>
      </c>
      <c r="L552">
        <v>1.0000283170459006</v>
      </c>
      <c r="M552">
        <v>1.5260733626238889</v>
      </c>
      <c r="N552">
        <v>1.3136032286712342</v>
      </c>
      <c r="O552">
        <v>0.75343245548548332</v>
      </c>
      <c r="P552">
        <v>1.0106886541784079</v>
      </c>
      <c r="Q552">
        <v>0.76303668131194446</v>
      </c>
      <c r="R552">
        <v>0.76303668131194446</v>
      </c>
      <c r="S552">
        <v>1.0173822417492593</v>
      </c>
      <c r="T552">
        <v>1.9995376233779507</v>
      </c>
      <c r="U552">
        <f t="shared" si="53"/>
        <v>1.182077037164563</v>
      </c>
      <c r="V552" t="str">
        <f t="shared" si="52"/>
        <v>2018/19Outputs - connectionsTime to connect incentiveReward 20/21</v>
      </c>
    </row>
    <row r="553" spans="1:22">
      <c r="A553" s="900" t="s">
        <v>140</v>
      </c>
      <c r="B553" s="900"/>
      <c r="C553" s="900" t="s">
        <v>1307</v>
      </c>
      <c r="D553" t="s">
        <v>322</v>
      </c>
      <c r="E553" t="s">
        <v>339</v>
      </c>
      <c r="F553" t="s">
        <v>1296</v>
      </c>
      <c r="G553" t="str">
        <v>Green</v>
      </c>
      <c r="H553" t="str">
        <v>Green</v>
      </c>
      <c r="I553" t="str">
        <v>Amber</v>
      </c>
      <c r="J553" t="str">
        <v>Green</v>
      </c>
      <c r="K553" t="str">
        <v>Green</v>
      </c>
      <c r="L553" t="str">
        <v>Green</v>
      </c>
      <c r="M553" t="str">
        <v>Green</v>
      </c>
      <c r="N553" t="str">
        <v>Green</v>
      </c>
      <c r="O553" t="str">
        <v>Green</v>
      </c>
      <c r="P553" t="str">
        <v>Green</v>
      </c>
      <c r="Q553" t="str">
        <v>Amber</v>
      </c>
      <c r="R553" t="str">
        <v>Amber</v>
      </c>
      <c r="S553" t="str">
        <v>Green</v>
      </c>
      <c r="T553" t="str">
        <v>Green</v>
      </c>
      <c r="U553" t="s">
        <v>1297</v>
      </c>
      <c r="V553" t="str">
        <f t="shared" si="52"/>
        <v>2018/19Outputs - connectionsTime to connect incentiveRAG</v>
      </c>
    </row>
    <row r="554" spans="1:22">
      <c r="A554" s="900" t="s">
        <v>140</v>
      </c>
      <c r="B554" s="900"/>
      <c r="C554" s="900" t="s">
        <v>1307</v>
      </c>
      <c r="D554" t="s">
        <v>322</v>
      </c>
      <c r="E554" t="s">
        <v>901</v>
      </c>
      <c r="F554" t="s">
        <v>1299</v>
      </c>
      <c r="G554">
        <v>6.25</v>
      </c>
      <c r="H554">
        <v>11</v>
      </c>
      <c r="I554">
        <v>11.5</v>
      </c>
      <c r="J554">
        <v>5.5</v>
      </c>
      <c r="K554">
        <v>3.75</v>
      </c>
      <c r="L554">
        <v>3.75</v>
      </c>
      <c r="M554">
        <v>4.25</v>
      </c>
      <c r="N554">
        <v>8.5</v>
      </c>
      <c r="O554">
        <v>10.75</v>
      </c>
      <c r="P554">
        <v>12.5</v>
      </c>
      <c r="Q554">
        <v>8.5</v>
      </c>
      <c r="R554">
        <v>11</v>
      </c>
      <c r="S554">
        <v>1.5</v>
      </c>
      <c r="T554">
        <v>6.25</v>
      </c>
      <c r="U554">
        <f>AVERAGE(G554:T554)</f>
        <v>7.5</v>
      </c>
      <c r="V554" t="str">
        <f t="shared" si="52"/>
        <v>2018/19Outputs - connectionsTime to connect incentiveAverage Ranking</v>
      </c>
    </row>
    <row r="555" spans="1:22">
      <c r="A555" s="900" t="s">
        <v>140</v>
      </c>
      <c r="B555" s="900"/>
      <c r="C555" s="900" t="s">
        <v>1307</v>
      </c>
      <c r="D555" t="s">
        <v>322</v>
      </c>
      <c r="E555" t="s">
        <v>903</v>
      </c>
      <c r="F555" t="s">
        <v>1299</v>
      </c>
      <c r="G555">
        <v>6</v>
      </c>
      <c r="H555">
        <v>11</v>
      </c>
      <c r="I555">
        <v>13</v>
      </c>
      <c r="J555">
        <v>5</v>
      </c>
      <c r="K555">
        <v>2</v>
      </c>
      <c r="L555">
        <v>2</v>
      </c>
      <c r="M555">
        <v>4</v>
      </c>
      <c r="N555">
        <v>8</v>
      </c>
      <c r="O555">
        <v>10</v>
      </c>
      <c r="P555">
        <v>14</v>
      </c>
      <c r="Q555">
        <v>8</v>
      </c>
      <c r="R555">
        <v>11</v>
      </c>
      <c r="S555">
        <v>1</v>
      </c>
      <c r="T555">
        <v>6</v>
      </c>
      <c r="U555">
        <f>AVERAGE(G555:T555)</f>
        <v>7.2142857142857144</v>
      </c>
      <c r="V555" t="str">
        <f t="shared" si="52"/>
        <v>2018/19Outputs - connectionsTime to connect incentiveOverall Ranking</v>
      </c>
    </row>
    <row r="556" spans="1:22">
      <c r="A556" s="900" t="s">
        <v>140</v>
      </c>
      <c r="B556" s="900"/>
      <c r="C556" s="900" t="s">
        <v>1307</v>
      </c>
      <c r="D556" t="s">
        <v>322</v>
      </c>
      <c r="E556" t="s">
        <v>342</v>
      </c>
      <c r="F556" t="s">
        <v>1310</v>
      </c>
      <c r="G556">
        <v>79.05</v>
      </c>
      <c r="H556">
        <v>109.59</v>
      </c>
      <c r="I556">
        <v>111.35</v>
      </c>
      <c r="J556">
        <v>78.127989768981905</v>
      </c>
      <c r="K556">
        <v>74.708713054657011</v>
      </c>
      <c r="L556">
        <v>71.172054529190035</v>
      </c>
      <c r="M556">
        <v>71.78930139541626</v>
      </c>
      <c r="N556">
        <v>89.508181422507349</v>
      </c>
      <c r="O556">
        <v>107.3385093628635</v>
      </c>
      <c r="P556">
        <v>111.5065617975587</v>
      </c>
      <c r="Q556">
        <v>132.24685549217634</v>
      </c>
      <c r="R556">
        <v>133.76125444833121</v>
      </c>
      <c r="S556">
        <v>58.1</v>
      </c>
      <c r="T556">
        <v>83.89</v>
      </c>
      <c r="U556">
        <f>AVERAGE(G556:T556)</f>
        <v>93.724244376548754</v>
      </c>
      <c r="V556" t="str">
        <f t="shared" si="52"/>
        <v>2018/19Outputs - connectionsTime to connect incentiveOverall (LVSSA + LVSSB)</v>
      </c>
    </row>
    <row r="557" spans="1:22">
      <c r="A557" s="900" t="s">
        <v>141</v>
      </c>
      <c r="B557" s="900"/>
      <c r="C557" s="900" t="s">
        <v>1307</v>
      </c>
      <c r="D557" t="s">
        <v>322</v>
      </c>
      <c r="E557" t="s">
        <v>880</v>
      </c>
      <c r="F557" t="s">
        <v>1310</v>
      </c>
      <c r="G557">
        <f t="array" ref="G557:T570">TRANSPOSE('Ch2 outputs - connections'!BN42:CA55)</f>
        <v>2.4607480476777641</v>
      </c>
      <c r="H557">
        <v>7.5724508050089447</v>
      </c>
      <c r="I557">
        <v>7.112997347480106</v>
      </c>
      <c r="J557">
        <v>2.27422046661377</v>
      </c>
      <c r="K557">
        <v>2.2027416229247998</v>
      </c>
      <c r="L557">
        <v>1.98315465450287</v>
      </c>
      <c r="M557">
        <v>3.1163372993469198</v>
      </c>
      <c r="N557">
        <v>5.2876543209876541</v>
      </c>
      <c r="O557">
        <v>6.442512619181155</v>
      </c>
      <c r="P557">
        <v>4.7986820428336072</v>
      </c>
      <c r="Q557">
        <v>3.3252314814814814</v>
      </c>
      <c r="R557">
        <v>4.6419327006039692</v>
      </c>
      <c r="S557">
        <v>3.2615912994</v>
      </c>
      <c r="T557">
        <v>3.0118683690000001</v>
      </c>
      <c r="U557">
        <f t="shared" ref="U557:U570" si="54">AVERAGE(G557:T557)</f>
        <v>4.1065802197887882</v>
      </c>
      <c r="V557" t="str">
        <f t="shared" si="52"/>
        <v>2019/20Outputs - connectionsTime to connect incentiveLVSSA Average TTQ</v>
      </c>
    </row>
    <row r="558" spans="1:22">
      <c r="A558" s="900" t="s">
        <v>141</v>
      </c>
      <c r="B558" s="900"/>
      <c r="C558" s="900" t="s">
        <v>1307</v>
      </c>
      <c r="D558" t="s">
        <v>322</v>
      </c>
      <c r="E558" t="s">
        <v>882</v>
      </c>
      <c r="F558" t="s">
        <v>1299</v>
      </c>
      <c r="G558">
        <v>4</v>
      </c>
      <c r="H558">
        <v>14</v>
      </c>
      <c r="I558">
        <v>13</v>
      </c>
      <c r="J558">
        <v>3</v>
      </c>
      <c r="K558">
        <v>2</v>
      </c>
      <c r="L558">
        <v>1</v>
      </c>
      <c r="M558">
        <v>6</v>
      </c>
      <c r="N558">
        <v>11</v>
      </c>
      <c r="O558">
        <v>12</v>
      </c>
      <c r="P558">
        <v>10</v>
      </c>
      <c r="Q558">
        <v>8</v>
      </c>
      <c r="R558">
        <v>9</v>
      </c>
      <c r="S558">
        <v>7</v>
      </c>
      <c r="T558">
        <v>5</v>
      </c>
      <c r="U558">
        <f t="shared" si="54"/>
        <v>7.5</v>
      </c>
      <c r="V558" t="str">
        <f t="shared" si="52"/>
        <v>2019/20Outputs - connectionsTime to connect incentiveLVSSA TTQ Ranking</v>
      </c>
    </row>
    <row r="559" spans="1:22">
      <c r="A559" s="900" t="s">
        <v>141</v>
      </c>
      <c r="B559" s="900"/>
      <c r="C559" s="900" t="s">
        <v>1307</v>
      </c>
      <c r="D559" t="s">
        <v>322</v>
      </c>
      <c r="E559" t="s">
        <v>884</v>
      </c>
      <c r="F559" t="s">
        <v>1310</v>
      </c>
      <c r="G559">
        <v>27.765625</v>
      </c>
      <c r="H559">
        <v>40.452029520295206</v>
      </c>
      <c r="I559">
        <v>37.803879310344826</v>
      </c>
      <c r="J559">
        <v>28.673145294189499</v>
      </c>
      <c r="K559">
        <v>27.5480766296387</v>
      </c>
      <c r="L559">
        <v>24.604972839355501</v>
      </c>
      <c r="M559">
        <v>26.905122756958001</v>
      </c>
      <c r="N559">
        <v>35.410714285714278</v>
      </c>
      <c r="O559">
        <v>36.441016333938293</v>
      </c>
      <c r="P559">
        <v>36.590572033898304</v>
      </c>
      <c r="Q559">
        <v>51.417624521072796</v>
      </c>
      <c r="R559">
        <v>55.80225080385852</v>
      </c>
      <c r="S559">
        <v>17.133848133800001</v>
      </c>
      <c r="T559">
        <v>29.289439374200001</v>
      </c>
      <c r="U559">
        <f t="shared" si="54"/>
        <v>33.988451202661714</v>
      </c>
      <c r="V559" t="str">
        <f t="shared" si="52"/>
        <v>2019/20Outputs - connectionsTime to connect incentiveLVSSA TTC</v>
      </c>
    </row>
    <row r="560" spans="1:22">
      <c r="A560" s="900" t="s">
        <v>141</v>
      </c>
      <c r="B560" s="900"/>
      <c r="C560" s="900" t="s">
        <v>1307</v>
      </c>
      <c r="D560" t="s">
        <v>322</v>
      </c>
      <c r="E560" t="s">
        <v>886</v>
      </c>
      <c r="F560" t="s">
        <v>1299</v>
      </c>
      <c r="G560">
        <v>5</v>
      </c>
      <c r="H560">
        <v>12</v>
      </c>
      <c r="I560">
        <v>11</v>
      </c>
      <c r="J560">
        <v>6</v>
      </c>
      <c r="K560">
        <v>4</v>
      </c>
      <c r="L560">
        <v>2</v>
      </c>
      <c r="M560">
        <v>3</v>
      </c>
      <c r="N560">
        <v>8</v>
      </c>
      <c r="O560">
        <v>9</v>
      </c>
      <c r="P560">
        <v>10</v>
      </c>
      <c r="Q560">
        <v>13</v>
      </c>
      <c r="R560">
        <v>14</v>
      </c>
      <c r="S560">
        <v>1</v>
      </c>
      <c r="T560">
        <v>7</v>
      </c>
      <c r="U560">
        <f t="shared" si="54"/>
        <v>7.5</v>
      </c>
      <c r="V560" t="str">
        <f t="shared" si="52"/>
        <v>2019/20Outputs - connectionsTime to connect incentiveLVSSA TTC Ranking</v>
      </c>
    </row>
    <row r="561" spans="1:22">
      <c r="A561" s="900" t="s">
        <v>141</v>
      </c>
      <c r="B561" s="900"/>
      <c r="C561" s="900" t="s">
        <v>1307</v>
      </c>
      <c r="D561" t="s">
        <v>322</v>
      </c>
      <c r="E561" t="s">
        <v>888</v>
      </c>
      <c r="F561" t="s">
        <v>1310</v>
      </c>
      <c r="G561">
        <v>4.9008158007728637</v>
      </c>
      <c r="H561">
        <v>14.298892988929889</v>
      </c>
      <c r="I561">
        <v>13.947154471544716</v>
      </c>
      <c r="J561">
        <v>2.8124723434448202</v>
      </c>
      <c r="K561">
        <v>3.4573614597320601</v>
      </c>
      <c r="L561">
        <v>3.6634304523468</v>
      </c>
      <c r="M561">
        <v>3.6569342613220202</v>
      </c>
      <c r="N561">
        <v>6.5135900339750847</v>
      </c>
      <c r="O561">
        <v>7.1936353829557715</v>
      </c>
      <c r="P561">
        <v>5.6853731343283584</v>
      </c>
      <c r="Q561">
        <v>5.5066137566137563</v>
      </c>
      <c r="R561">
        <v>7.3507692307692309</v>
      </c>
      <c r="S561">
        <v>4.1318681319000001</v>
      </c>
      <c r="T561">
        <v>4.5282972441</v>
      </c>
      <c r="U561">
        <f t="shared" si="54"/>
        <v>6.260514906623956</v>
      </c>
      <c r="V561" t="str">
        <f t="shared" si="52"/>
        <v>2019/20Outputs - connectionsTime to connect incentiveLVSSB TTQ</v>
      </c>
    </row>
    <row r="562" spans="1:22">
      <c r="A562" s="900" t="s">
        <v>141</v>
      </c>
      <c r="B562" s="900"/>
      <c r="C562" s="900" t="s">
        <v>1307</v>
      </c>
      <c r="D562" t="s">
        <v>322</v>
      </c>
      <c r="E562" t="s">
        <v>890</v>
      </c>
      <c r="F562" t="s">
        <v>1299</v>
      </c>
      <c r="G562">
        <v>7</v>
      </c>
      <c r="H562">
        <v>14</v>
      </c>
      <c r="I562">
        <v>13</v>
      </c>
      <c r="J562">
        <v>1</v>
      </c>
      <c r="K562">
        <v>2</v>
      </c>
      <c r="L562">
        <v>4</v>
      </c>
      <c r="M562">
        <v>3</v>
      </c>
      <c r="N562">
        <v>10</v>
      </c>
      <c r="O562">
        <v>11</v>
      </c>
      <c r="P562">
        <v>9</v>
      </c>
      <c r="Q562">
        <v>8</v>
      </c>
      <c r="R562">
        <v>12</v>
      </c>
      <c r="S562">
        <v>5</v>
      </c>
      <c r="T562">
        <v>6</v>
      </c>
      <c r="U562">
        <f t="shared" si="54"/>
        <v>7.5</v>
      </c>
      <c r="V562" t="str">
        <f t="shared" si="52"/>
        <v>2019/20Outputs - connectionsTime to connect incentiveLVSSB TTQ Ranking</v>
      </c>
    </row>
    <row r="563" spans="1:22">
      <c r="A563" s="900" t="s">
        <v>141</v>
      </c>
      <c r="B563" s="900"/>
      <c r="C563" s="900" t="s">
        <v>1307</v>
      </c>
      <c r="D563" t="s">
        <v>322</v>
      </c>
      <c r="E563" t="s">
        <v>892</v>
      </c>
      <c r="F563" t="s">
        <v>1310</v>
      </c>
      <c r="G563">
        <v>27.617346938775512</v>
      </c>
      <c r="H563">
        <v>50.738578680203048</v>
      </c>
      <c r="I563">
        <v>44.907773386034258</v>
      </c>
      <c r="J563">
        <v>34.812282562255902</v>
      </c>
      <c r="K563">
        <v>33.983436584472699</v>
      </c>
      <c r="L563">
        <v>30.316490173339801</v>
      </c>
      <c r="M563">
        <v>32.457553863525398</v>
      </c>
      <c r="N563">
        <v>44.005044136191678</v>
      </c>
      <c r="O563">
        <v>43.565310492505354</v>
      </c>
      <c r="P563">
        <v>42.709463532248343</v>
      </c>
      <c r="Q563">
        <v>64.44222539229672</v>
      </c>
      <c r="R563">
        <v>73.234627831715216</v>
      </c>
      <c r="S563">
        <v>21.1097046414</v>
      </c>
      <c r="T563">
        <v>34.8657664813</v>
      </c>
      <c r="U563">
        <f t="shared" si="54"/>
        <v>41.34040033544742</v>
      </c>
      <c r="V563" t="str">
        <f t="shared" si="52"/>
        <v>2019/20Outputs - connectionsTime to connect incentiveLVSSB TTC</v>
      </c>
    </row>
    <row r="564" spans="1:22">
      <c r="A564" s="900" t="s">
        <v>141</v>
      </c>
      <c r="B564" s="900"/>
      <c r="C564" s="900" t="s">
        <v>1307</v>
      </c>
      <c r="D564" t="s">
        <v>322</v>
      </c>
      <c r="E564" t="s">
        <v>894</v>
      </c>
      <c r="F564" t="s">
        <v>1299</v>
      </c>
      <c r="G564">
        <v>2</v>
      </c>
      <c r="H564">
        <v>12</v>
      </c>
      <c r="I564">
        <v>11</v>
      </c>
      <c r="J564">
        <v>6</v>
      </c>
      <c r="K564">
        <v>5</v>
      </c>
      <c r="L564">
        <v>3</v>
      </c>
      <c r="M564">
        <v>4</v>
      </c>
      <c r="N564">
        <v>10</v>
      </c>
      <c r="O564">
        <v>9</v>
      </c>
      <c r="P564">
        <v>8</v>
      </c>
      <c r="Q564">
        <v>13</v>
      </c>
      <c r="R564">
        <v>14</v>
      </c>
      <c r="S564">
        <v>1</v>
      </c>
      <c r="T564">
        <v>7</v>
      </c>
      <c r="U564">
        <f t="shared" si="54"/>
        <v>7.5</v>
      </c>
      <c r="V564" t="str">
        <f t="shared" si="52"/>
        <v>2019/20Outputs - connectionsTime to connect incentiveLVSSB TTC Ranking</v>
      </c>
    </row>
    <row r="565" spans="1:22">
      <c r="A565" s="900" t="s">
        <v>141</v>
      </c>
      <c r="B565" s="900"/>
      <c r="C565" s="900" t="s">
        <v>1307</v>
      </c>
      <c r="D565" t="s">
        <v>322</v>
      </c>
      <c r="E565" t="s">
        <v>896</v>
      </c>
      <c r="F565" t="s">
        <v>1289</v>
      </c>
      <c r="G565">
        <v>1.1932711312500002</v>
      </c>
      <c r="H565">
        <v>0</v>
      </c>
      <c r="I565">
        <v>0.10084904113284268</v>
      </c>
      <c r="J565">
        <v>1.5254218849273655</v>
      </c>
      <c r="K565">
        <v>1.5866877118774394</v>
      </c>
      <c r="L565">
        <v>0.80000000000000016</v>
      </c>
      <c r="M565">
        <v>1.2</v>
      </c>
      <c r="N565">
        <v>0.34996338272463962</v>
      </c>
      <c r="O565">
        <v>0.24607984411279621</v>
      </c>
      <c r="P565">
        <v>0.76869270524372335</v>
      </c>
      <c r="Q565">
        <v>0.5978800878306878</v>
      </c>
      <c r="R565">
        <v>0.10343532424503872</v>
      </c>
      <c r="S565">
        <v>0.80000000000000016</v>
      </c>
      <c r="T565">
        <v>1.5030046153424022</v>
      </c>
      <c r="U565">
        <f t="shared" si="54"/>
        <v>0.76966326633478122</v>
      </c>
      <c r="V565" t="str">
        <f t="shared" si="52"/>
        <v>2019/20Outputs - connectionsTime to connect incentiveReward 12/13</v>
      </c>
    </row>
    <row r="566" spans="1:22">
      <c r="A566" s="900" t="s">
        <v>141</v>
      </c>
      <c r="B566" s="900"/>
      <c r="C566" s="900" t="s">
        <v>1307</v>
      </c>
      <c r="D566" t="s">
        <v>322</v>
      </c>
      <c r="E566" t="s">
        <v>898</v>
      </c>
      <c r="F566" t="s">
        <v>1289</v>
      </c>
      <c r="G566">
        <v>1.5175160731572497</v>
      </c>
      <c r="H566">
        <v>0</v>
      </c>
      <c r="I566">
        <v>0.12825252943249343</v>
      </c>
      <c r="J566">
        <v>1.9399214211259797</v>
      </c>
      <c r="K566">
        <v>2.0178348765823402</v>
      </c>
      <c r="L566">
        <v>1.0173822417492595</v>
      </c>
      <c r="M566">
        <v>1.5260733626238889</v>
      </c>
      <c r="N566">
        <v>0.44505816355818478</v>
      </c>
      <c r="O566">
        <v>0.31294657931598108</v>
      </c>
      <c r="P566">
        <v>0.97756788459645239</v>
      </c>
      <c r="Q566">
        <v>0.76034073006803649</v>
      </c>
      <c r="R566">
        <v>0.13154157757059876</v>
      </c>
      <c r="S566">
        <v>1.0173822417492595</v>
      </c>
      <c r="T566">
        <v>1.9114127561456704</v>
      </c>
      <c r="U566">
        <f t="shared" si="54"/>
        <v>0.97880217411967085</v>
      </c>
      <c r="V566" t="str">
        <f t="shared" si="52"/>
        <v>2019/20Outputs - connectionsTime to connect incentiveReward 20/21</v>
      </c>
    </row>
    <row r="567" spans="1:22">
      <c r="A567" s="900" t="s">
        <v>141</v>
      </c>
      <c r="B567" s="900"/>
      <c r="C567" s="900" t="s">
        <v>1307</v>
      </c>
      <c r="D567" t="s">
        <v>322</v>
      </c>
      <c r="E567" t="s">
        <v>339</v>
      </c>
      <c r="F567" t="s">
        <v>1296</v>
      </c>
      <c r="G567" t="str">
        <v>Green</v>
      </c>
      <c r="H567" t="str">
        <v>Red</v>
      </c>
      <c r="I567" t="str">
        <v>Amber</v>
      </c>
      <c r="J567" t="str">
        <v>Green</v>
      </c>
      <c r="K567" t="str">
        <v>Green</v>
      </c>
      <c r="L567" t="str">
        <v>Green</v>
      </c>
      <c r="M567" t="str">
        <v>Green</v>
      </c>
      <c r="N567" t="str">
        <v>Amber</v>
      </c>
      <c r="O567" t="str">
        <v>Amber</v>
      </c>
      <c r="P567" t="str">
        <v>Green</v>
      </c>
      <c r="Q567" t="str">
        <v>Amber</v>
      </c>
      <c r="R567" t="str">
        <v>Amber</v>
      </c>
      <c r="S567" t="str">
        <v>Green</v>
      </c>
      <c r="T567" t="str">
        <v>Green</v>
      </c>
      <c r="V567" t="str">
        <f t="shared" si="52"/>
        <v>2019/20Outputs - connectionsTime to connect incentiveRAG</v>
      </c>
    </row>
    <row r="568" spans="1:22">
      <c r="A568" s="900" t="s">
        <v>141</v>
      </c>
      <c r="B568" s="900"/>
      <c r="C568" s="900" t="s">
        <v>1307</v>
      </c>
      <c r="D568" t="s">
        <v>322</v>
      </c>
      <c r="E568" t="s">
        <v>901</v>
      </c>
      <c r="F568" t="s">
        <v>1299</v>
      </c>
      <c r="G568">
        <v>4.5</v>
      </c>
      <c r="H568">
        <v>13</v>
      </c>
      <c r="I568">
        <v>12</v>
      </c>
      <c r="J568">
        <v>4</v>
      </c>
      <c r="K568">
        <v>3.25</v>
      </c>
      <c r="L568">
        <v>2.5</v>
      </c>
      <c r="M568">
        <v>4</v>
      </c>
      <c r="N568">
        <v>9.75</v>
      </c>
      <c r="O568">
        <v>10.25</v>
      </c>
      <c r="P568">
        <v>9.25</v>
      </c>
      <c r="Q568">
        <v>10.5</v>
      </c>
      <c r="R568">
        <v>12.25</v>
      </c>
      <c r="S568">
        <v>3.5</v>
      </c>
      <c r="T568">
        <v>6.25</v>
      </c>
      <c r="U568">
        <f t="shared" si="54"/>
        <v>7.5</v>
      </c>
      <c r="V568" t="str">
        <f t="shared" si="52"/>
        <v>2019/20Outputs - connectionsTime to connect incentiveAverage Ranking</v>
      </c>
    </row>
    <row r="569" spans="1:22">
      <c r="A569" s="900" t="s">
        <v>141</v>
      </c>
      <c r="B569" s="900"/>
      <c r="C569" s="900" t="s">
        <v>1307</v>
      </c>
      <c r="D569" t="s">
        <v>322</v>
      </c>
      <c r="E569" t="s">
        <v>903</v>
      </c>
      <c r="F569" t="s">
        <v>1299</v>
      </c>
      <c r="G569">
        <v>6</v>
      </c>
      <c r="H569">
        <v>14</v>
      </c>
      <c r="I569">
        <v>12</v>
      </c>
      <c r="J569">
        <v>4</v>
      </c>
      <c r="K569">
        <v>2</v>
      </c>
      <c r="L569">
        <v>1</v>
      </c>
      <c r="M569">
        <v>4</v>
      </c>
      <c r="N569">
        <v>9</v>
      </c>
      <c r="O569">
        <v>10</v>
      </c>
      <c r="P569">
        <v>8</v>
      </c>
      <c r="Q569">
        <v>11</v>
      </c>
      <c r="R569">
        <v>13</v>
      </c>
      <c r="S569">
        <v>3</v>
      </c>
      <c r="T569">
        <v>7</v>
      </c>
      <c r="U569">
        <f t="shared" si="54"/>
        <v>7.4285714285714288</v>
      </c>
      <c r="V569" t="str">
        <f t="shared" si="52"/>
        <v>2019/20Outputs - connectionsTime to connect incentiveOverall Ranking</v>
      </c>
    </row>
    <row r="570" spans="1:22">
      <c r="A570" s="900" t="s">
        <v>141</v>
      </c>
      <c r="B570" s="900"/>
      <c r="C570" s="900" t="s">
        <v>1307</v>
      </c>
      <c r="D570" t="s">
        <v>322</v>
      </c>
      <c r="E570" t="s">
        <v>342</v>
      </c>
      <c r="F570" t="s">
        <v>1310</v>
      </c>
      <c r="G570">
        <v>62.744535787226141</v>
      </c>
      <c r="H570">
        <v>113.06195199443709</v>
      </c>
      <c r="I570">
        <v>103.7718045154039</v>
      </c>
      <c r="J570">
        <v>68.572120666503992</v>
      </c>
      <c r="K570">
        <v>67.19161629676826</v>
      </c>
      <c r="L570">
        <v>60.568048119544969</v>
      </c>
      <c r="M570">
        <v>66.135948181152344</v>
      </c>
      <c r="N570">
        <v>91.217002776868696</v>
      </c>
      <c r="O570">
        <v>93.642474828580575</v>
      </c>
      <c r="P570">
        <v>89.78409074330861</v>
      </c>
      <c r="Q570">
        <v>124.69169515146476</v>
      </c>
      <c r="R570">
        <v>141.02958056694695</v>
      </c>
      <c r="S570">
        <v>45.637012206500003</v>
      </c>
      <c r="T570">
        <v>71.695371468600001</v>
      </c>
      <c r="U570">
        <f t="shared" si="54"/>
        <v>85.69594666452187</v>
      </c>
      <c r="V570" t="str">
        <f t="shared" si="52"/>
        <v>2019/20Outputs - connectionsTime to connect incentiveOverall (LVSSA + LVSSB)</v>
      </c>
    </row>
    <row r="571" spans="1:22">
      <c r="A571" s="900" t="s">
        <v>126</v>
      </c>
      <c r="B571" s="900"/>
      <c r="C571" s="900" t="s">
        <v>1307</v>
      </c>
      <c r="D571" t="s">
        <v>322</v>
      </c>
      <c r="E571" t="s">
        <v>880</v>
      </c>
      <c r="F571" t="s">
        <v>1310</v>
      </c>
      <c r="G571" cm="1">
        <f t="array" ref="G571:T584">TRANSPOSE('Ch2 outputs - connections'!CC42:CP55)</f>
        <v>2.64</v>
      </c>
      <c r="H571">
        <v>7.0497470489038783</v>
      </c>
      <c r="I571">
        <v>6.3999194522754737</v>
      </c>
      <c r="J571">
        <v>1.1024590730667101</v>
      </c>
      <c r="K571">
        <v>1.5623478889465301</v>
      </c>
      <c r="L571">
        <v>1.0591194629669201</v>
      </c>
      <c r="M571">
        <v>2.78635931015015</v>
      </c>
      <c r="N571">
        <v>3.4110898661567877</v>
      </c>
      <c r="O571">
        <v>5.4460807600950121</v>
      </c>
      <c r="P571">
        <v>4.1617436191568684</v>
      </c>
      <c r="Q571">
        <v>3.0631768953068592</v>
      </c>
      <c r="R571">
        <v>4.3971036585365857</v>
      </c>
      <c r="S571">
        <v>3.7894736842105261</v>
      </c>
      <c r="T571">
        <v>3.5615497793035802</v>
      </c>
      <c r="U571">
        <f t="shared" ref="U571:U598" si="55">AVERAGE(G571:T571)</f>
        <v>3.6021550356482774</v>
      </c>
      <c r="V571" t="str">
        <f t="shared" si="52"/>
        <v>2020/21Outputs - connectionsTime to connect incentiveLVSSA Average TTQ</v>
      </c>
    </row>
    <row r="572" spans="1:22">
      <c r="A572" s="900" t="s">
        <v>126</v>
      </c>
      <c r="B572" s="900"/>
      <c r="C572" s="900" t="s">
        <v>1307</v>
      </c>
      <c r="D572" t="s">
        <v>322</v>
      </c>
      <c r="E572" t="s">
        <v>882</v>
      </c>
      <c r="F572" t="s">
        <v>1299</v>
      </c>
      <c r="G572">
        <v>4</v>
      </c>
      <c r="H572">
        <v>14</v>
      </c>
      <c r="I572">
        <v>13</v>
      </c>
      <c r="J572">
        <v>2</v>
      </c>
      <c r="K572">
        <v>3</v>
      </c>
      <c r="L572">
        <v>1</v>
      </c>
      <c r="M572">
        <v>5</v>
      </c>
      <c r="N572">
        <v>7</v>
      </c>
      <c r="O572">
        <v>12</v>
      </c>
      <c r="P572">
        <v>10</v>
      </c>
      <c r="Q572">
        <v>6</v>
      </c>
      <c r="R572">
        <v>11</v>
      </c>
      <c r="S572">
        <v>9</v>
      </c>
      <c r="T572">
        <v>8</v>
      </c>
      <c r="U572">
        <f t="shared" si="55"/>
        <v>7.5</v>
      </c>
      <c r="V572" t="str">
        <f t="shared" si="52"/>
        <v>2020/21Outputs - connectionsTime to connect incentiveLVSSA TTQ Ranking</v>
      </c>
    </row>
    <row r="573" spans="1:22">
      <c r="A573" s="900" t="s">
        <v>126</v>
      </c>
      <c r="B573" s="900"/>
      <c r="C573" s="900" t="s">
        <v>1307</v>
      </c>
      <c r="D573" t="s">
        <v>322</v>
      </c>
      <c r="E573" t="s">
        <v>884</v>
      </c>
      <c r="F573" t="s">
        <v>1310</v>
      </c>
      <c r="G573">
        <v>27.83</v>
      </c>
      <c r="H573">
        <v>51.862427745664739</v>
      </c>
      <c r="I573">
        <v>46.836054421768708</v>
      </c>
      <c r="J573">
        <v>31.980798721313501</v>
      </c>
      <c r="K573">
        <v>31.685592651367202</v>
      </c>
      <c r="L573">
        <v>29.807895660400401</v>
      </c>
      <c r="M573">
        <v>36.804920196533203</v>
      </c>
      <c r="N573">
        <v>34.783950617283949</v>
      </c>
      <c r="O573">
        <v>35.724653148345787</v>
      </c>
      <c r="P573">
        <v>34.242962056303547</v>
      </c>
      <c r="Q573">
        <v>48.237362637362637</v>
      </c>
      <c r="R573">
        <v>43.154213036565977</v>
      </c>
      <c r="S573">
        <v>19.512163892445582</v>
      </c>
      <c r="T573">
        <v>41.993371630578878</v>
      </c>
      <c r="U573">
        <f t="shared" si="55"/>
        <v>36.746883315423865</v>
      </c>
      <c r="V573" t="str">
        <f t="shared" si="52"/>
        <v>2020/21Outputs - connectionsTime to connect incentiveLVSSA TTC</v>
      </c>
    </row>
    <row r="574" spans="1:22">
      <c r="A574" s="900" t="s">
        <v>126</v>
      </c>
      <c r="B574" s="900"/>
      <c r="C574" s="900" t="s">
        <v>1307</v>
      </c>
      <c r="D574" t="s">
        <v>322</v>
      </c>
      <c r="E574" t="s">
        <v>886</v>
      </c>
      <c r="F574" t="s">
        <v>1299</v>
      </c>
      <c r="G574">
        <v>2</v>
      </c>
      <c r="H574">
        <v>14</v>
      </c>
      <c r="I574">
        <v>12</v>
      </c>
      <c r="J574">
        <v>5</v>
      </c>
      <c r="K574">
        <v>4</v>
      </c>
      <c r="L574">
        <v>3</v>
      </c>
      <c r="M574">
        <v>9</v>
      </c>
      <c r="N574">
        <v>7</v>
      </c>
      <c r="O574">
        <v>8</v>
      </c>
      <c r="P574">
        <v>6</v>
      </c>
      <c r="Q574">
        <v>13</v>
      </c>
      <c r="R574">
        <v>11</v>
      </c>
      <c r="S574">
        <v>1</v>
      </c>
      <c r="T574">
        <v>10</v>
      </c>
      <c r="U574">
        <f t="shared" si="55"/>
        <v>7.5</v>
      </c>
      <c r="V574" t="str">
        <f t="shared" ref="V574:V658" si="56">CONCATENATE(A574,B574,C574,D574,E574)</f>
        <v>2020/21Outputs - connectionsTime to connect incentiveLVSSA TTC Ranking</v>
      </c>
    </row>
    <row r="575" spans="1:22">
      <c r="A575" s="900" t="s">
        <v>126</v>
      </c>
      <c r="B575" s="900"/>
      <c r="C575" s="900" t="s">
        <v>1307</v>
      </c>
      <c r="D575" t="s">
        <v>322</v>
      </c>
      <c r="E575" t="s">
        <v>888</v>
      </c>
      <c r="F575" t="s">
        <v>1310</v>
      </c>
      <c r="G575">
        <v>5.01</v>
      </c>
      <c r="H575">
        <v>14.870573870573871</v>
      </c>
      <c r="I575">
        <v>13.995535714285714</v>
      </c>
      <c r="J575">
        <v>2.1311604976654102</v>
      </c>
      <c r="K575">
        <v>2.9107794761657702</v>
      </c>
      <c r="L575">
        <v>2.3865284919738801</v>
      </c>
      <c r="M575">
        <v>3.6303949356079102</v>
      </c>
      <c r="N575">
        <v>4.9100391134289438</v>
      </c>
      <c r="O575">
        <v>6.7071509648127128</v>
      </c>
      <c r="P575">
        <v>5.0365458296492776</v>
      </c>
      <c r="Q575">
        <v>5.8606620477290221</v>
      </c>
      <c r="R575">
        <v>8.2854046242774562</v>
      </c>
      <c r="S575">
        <v>4.4558359621451107</v>
      </c>
      <c r="T575">
        <v>5.4673194614443084</v>
      </c>
      <c r="U575">
        <f t="shared" si="55"/>
        <v>6.1184236421256708</v>
      </c>
      <c r="V575" t="str">
        <f t="shared" si="56"/>
        <v>2020/21Outputs - connectionsTime to connect incentiveLVSSB TTQ</v>
      </c>
    </row>
    <row r="576" spans="1:22">
      <c r="A576" s="900" t="s">
        <v>126</v>
      </c>
      <c r="B576" s="900"/>
      <c r="C576" s="900" t="s">
        <v>1307</v>
      </c>
      <c r="D576" t="s">
        <v>322</v>
      </c>
      <c r="E576" t="s">
        <v>890</v>
      </c>
      <c r="F576" t="s">
        <v>1299</v>
      </c>
      <c r="G576">
        <v>7</v>
      </c>
      <c r="H576">
        <v>14</v>
      </c>
      <c r="I576">
        <v>13</v>
      </c>
      <c r="J576">
        <v>1</v>
      </c>
      <c r="K576">
        <v>3</v>
      </c>
      <c r="L576">
        <v>2</v>
      </c>
      <c r="M576">
        <v>4</v>
      </c>
      <c r="N576">
        <v>6</v>
      </c>
      <c r="O576">
        <v>11</v>
      </c>
      <c r="P576">
        <v>8</v>
      </c>
      <c r="Q576">
        <v>10</v>
      </c>
      <c r="R576">
        <v>12</v>
      </c>
      <c r="S576">
        <v>5</v>
      </c>
      <c r="T576">
        <v>9</v>
      </c>
      <c r="U576">
        <f t="shared" si="55"/>
        <v>7.5</v>
      </c>
      <c r="V576" t="str">
        <f t="shared" si="56"/>
        <v>2020/21Outputs - connectionsTime to connect incentiveLVSSB TTQ Ranking</v>
      </c>
    </row>
    <row r="577" spans="1:22">
      <c r="A577" s="900" t="s">
        <v>126</v>
      </c>
      <c r="B577" s="900"/>
      <c r="C577" s="900" t="s">
        <v>1307</v>
      </c>
      <c r="D577" t="s">
        <v>322</v>
      </c>
      <c r="E577" t="s">
        <v>892</v>
      </c>
      <c r="F577" t="s">
        <v>1310</v>
      </c>
      <c r="G577">
        <v>28.78</v>
      </c>
      <c r="H577">
        <v>91.133720930232556</v>
      </c>
      <c r="I577">
        <v>71.034129692832764</v>
      </c>
      <c r="J577">
        <v>37.995662689208999</v>
      </c>
      <c r="K577">
        <v>37.589900970458999</v>
      </c>
      <c r="L577">
        <v>39.310344696044901</v>
      </c>
      <c r="M577">
        <v>45.597442626953097</v>
      </c>
      <c r="N577">
        <v>44.519809825673534</v>
      </c>
      <c r="O577">
        <v>46.761627906976742</v>
      </c>
      <c r="P577">
        <v>41.104968944099376</v>
      </c>
      <c r="Q577">
        <v>62.934306569343065</v>
      </c>
      <c r="R577">
        <v>60.576171875</v>
      </c>
      <c r="S577">
        <v>24.678571428571427</v>
      </c>
      <c r="T577">
        <v>54.348450491307631</v>
      </c>
      <c r="U577">
        <f t="shared" si="55"/>
        <v>49.026079189050222</v>
      </c>
      <c r="V577" t="str">
        <f t="shared" si="56"/>
        <v>2020/21Outputs - connectionsTime to connect incentiveLVSSB TTC</v>
      </c>
    </row>
    <row r="578" spans="1:22">
      <c r="A578" s="900" t="s">
        <v>126</v>
      </c>
      <c r="B578" s="900"/>
      <c r="C578" s="900" t="s">
        <v>1307</v>
      </c>
      <c r="D578" t="s">
        <v>322</v>
      </c>
      <c r="E578" t="s">
        <v>894</v>
      </c>
      <c r="F578" t="s">
        <v>1299</v>
      </c>
      <c r="G578">
        <v>2</v>
      </c>
      <c r="H578">
        <v>14</v>
      </c>
      <c r="I578">
        <v>13</v>
      </c>
      <c r="J578">
        <v>4</v>
      </c>
      <c r="K578">
        <v>3</v>
      </c>
      <c r="L578">
        <v>5</v>
      </c>
      <c r="M578">
        <v>8</v>
      </c>
      <c r="N578">
        <v>7</v>
      </c>
      <c r="O578">
        <v>9</v>
      </c>
      <c r="P578">
        <v>6</v>
      </c>
      <c r="Q578">
        <v>12</v>
      </c>
      <c r="R578">
        <v>11</v>
      </c>
      <c r="S578">
        <v>1</v>
      </c>
      <c r="T578">
        <v>10</v>
      </c>
      <c r="U578">
        <f t="shared" si="55"/>
        <v>7.5</v>
      </c>
      <c r="V578" t="str">
        <f t="shared" si="56"/>
        <v>2020/21Outputs - connectionsTime to connect incentiveLVSSB TTC Ranking</v>
      </c>
    </row>
    <row r="579" spans="1:22">
      <c r="A579" s="900" t="s">
        <v>126</v>
      </c>
      <c r="B579" s="900"/>
      <c r="C579" s="900" t="s">
        <v>1307</v>
      </c>
      <c r="D579" t="s">
        <v>322</v>
      </c>
      <c r="E579" t="s">
        <v>896</v>
      </c>
      <c r="F579" t="s">
        <v>1289</v>
      </c>
      <c r="G579">
        <v>1.1916315000000002</v>
      </c>
      <c r="H579">
        <v>0</v>
      </c>
      <c r="I579">
        <v>0</v>
      </c>
      <c r="J579">
        <v>1.6</v>
      </c>
      <c r="K579">
        <v>1.6</v>
      </c>
      <c r="L579">
        <v>0.8</v>
      </c>
      <c r="M579">
        <v>1.2</v>
      </c>
      <c r="N579">
        <v>0.78150016595379257</v>
      </c>
      <c r="O579">
        <v>0.25975473966445872</v>
      </c>
      <c r="P579">
        <v>1.1853077248253787</v>
      </c>
      <c r="Q579">
        <v>0.55268228298691302</v>
      </c>
      <c r="R579">
        <v>9.1035999999999895E-2</v>
      </c>
      <c r="S579">
        <v>0.74489909473684213</v>
      </c>
      <c r="T579">
        <v>0.75267327788131444</v>
      </c>
      <c r="U579">
        <f t="shared" si="55"/>
        <v>0.7685346275749072</v>
      </c>
      <c r="V579" t="str">
        <f t="shared" si="56"/>
        <v>2020/21Outputs - connectionsTime to connect incentiveReward 12/13</v>
      </c>
    </row>
    <row r="580" spans="1:22">
      <c r="A580" s="900" t="s">
        <v>126</v>
      </c>
      <c r="B580" s="900"/>
      <c r="C580" s="900" t="s">
        <v>1307</v>
      </c>
      <c r="D580" t="s">
        <v>322</v>
      </c>
      <c r="E580" t="s">
        <v>898</v>
      </c>
      <c r="F580" t="s">
        <v>1289</v>
      </c>
      <c r="G580">
        <v>1.5154309085112907</v>
      </c>
      <c r="H580">
        <v>0</v>
      </c>
      <c r="I580">
        <v>0</v>
      </c>
      <c r="J580">
        <v>2.0347644834985186</v>
      </c>
      <c r="K580">
        <v>2.0347644834985186</v>
      </c>
      <c r="L580">
        <v>1.0173822417492593</v>
      </c>
      <c r="M580">
        <v>1.5260733626238889</v>
      </c>
      <c r="N580">
        <v>0.99385548845685956</v>
      </c>
      <c r="O580">
        <v>0.33033732418102779</v>
      </c>
      <c r="P580">
        <v>1.5073887878069474</v>
      </c>
      <c r="Q580">
        <v>0.70286142505040505</v>
      </c>
      <c r="R580">
        <v>0.11577301219985683</v>
      </c>
      <c r="S580">
        <v>0.94730888860045293</v>
      </c>
      <c r="T580">
        <v>0.95719553344456854</v>
      </c>
      <c r="U580">
        <f t="shared" si="55"/>
        <v>0.97736685283011382</v>
      </c>
      <c r="V580" t="str">
        <f t="shared" si="56"/>
        <v>2020/21Outputs - connectionsTime to connect incentiveReward 20/21</v>
      </c>
    </row>
    <row r="581" spans="1:22">
      <c r="A581" s="900" t="s">
        <v>126</v>
      </c>
      <c r="B581" s="900"/>
      <c r="C581" s="900" t="s">
        <v>1307</v>
      </c>
      <c r="D581" t="s">
        <v>322</v>
      </c>
      <c r="E581" t="s">
        <v>339</v>
      </c>
      <c r="F581" t="s">
        <v>1296</v>
      </c>
      <c r="G581" t="str">
        <v>Green</v>
      </c>
      <c r="H581" t="str">
        <v>Red</v>
      </c>
      <c r="I581" t="str">
        <v>Red</v>
      </c>
      <c r="J581" t="str">
        <v>Green</v>
      </c>
      <c r="K581" t="str">
        <v>Green</v>
      </c>
      <c r="L581" t="str">
        <v>Green</v>
      </c>
      <c r="M581" t="str">
        <v>Green</v>
      </c>
      <c r="N581" t="str">
        <v>Green</v>
      </c>
      <c r="O581" t="str">
        <v>Amber</v>
      </c>
      <c r="P581" t="str">
        <v>Green</v>
      </c>
      <c r="Q581" t="str">
        <v>Amber</v>
      </c>
      <c r="R581" t="str">
        <v>Red</v>
      </c>
      <c r="S581" t="str">
        <v>Green</v>
      </c>
      <c r="T581" t="str">
        <v>Amber</v>
      </c>
      <c r="V581" t="str">
        <f t="shared" si="56"/>
        <v>2020/21Outputs - connectionsTime to connect incentiveRAG</v>
      </c>
    </row>
    <row r="582" spans="1:22">
      <c r="A582" s="900" t="s">
        <v>126</v>
      </c>
      <c r="B582" s="900"/>
      <c r="C582" s="900" t="s">
        <v>1307</v>
      </c>
      <c r="D582" t="s">
        <v>322</v>
      </c>
      <c r="E582" t="s">
        <v>901</v>
      </c>
      <c r="F582" t="s">
        <v>1299</v>
      </c>
      <c r="G582">
        <v>3.75</v>
      </c>
      <c r="H582">
        <v>14</v>
      </c>
      <c r="I582">
        <v>12.75</v>
      </c>
      <c r="J582">
        <v>3</v>
      </c>
      <c r="K582">
        <v>3.25</v>
      </c>
      <c r="L582">
        <v>2.75</v>
      </c>
      <c r="M582">
        <v>6.5</v>
      </c>
      <c r="N582">
        <v>6.75</v>
      </c>
      <c r="O582">
        <v>10</v>
      </c>
      <c r="P582">
        <v>7.5</v>
      </c>
      <c r="Q582">
        <v>10.25</v>
      </c>
      <c r="R582">
        <v>11.25</v>
      </c>
      <c r="S582">
        <v>4</v>
      </c>
      <c r="T582">
        <v>9.25</v>
      </c>
      <c r="U582">
        <f t="shared" si="55"/>
        <v>7.5</v>
      </c>
      <c r="V582" t="str">
        <f t="shared" si="56"/>
        <v>2020/21Outputs - connectionsTime to connect incentiveAverage Ranking</v>
      </c>
    </row>
    <row r="583" spans="1:22">
      <c r="A583" s="900" t="s">
        <v>126</v>
      </c>
      <c r="B583" s="900"/>
      <c r="C583" s="900" t="s">
        <v>1307</v>
      </c>
      <c r="D583" t="s">
        <v>322</v>
      </c>
      <c r="E583" t="s">
        <v>903</v>
      </c>
      <c r="F583" t="s">
        <v>1299</v>
      </c>
      <c r="G583">
        <v>4</v>
      </c>
      <c r="H583">
        <v>14</v>
      </c>
      <c r="I583">
        <v>13</v>
      </c>
      <c r="J583">
        <v>2</v>
      </c>
      <c r="K583">
        <v>3</v>
      </c>
      <c r="L583">
        <v>1</v>
      </c>
      <c r="M583">
        <v>6</v>
      </c>
      <c r="N583">
        <v>7</v>
      </c>
      <c r="O583">
        <v>10</v>
      </c>
      <c r="P583">
        <v>8</v>
      </c>
      <c r="Q583">
        <v>11</v>
      </c>
      <c r="R583">
        <v>12</v>
      </c>
      <c r="S583">
        <v>5</v>
      </c>
      <c r="T583">
        <v>9</v>
      </c>
      <c r="U583">
        <f t="shared" si="55"/>
        <v>7.5</v>
      </c>
      <c r="V583" t="str">
        <f t="shared" si="56"/>
        <v>2020/21Outputs - connectionsTime to connect incentiveOverall Ranking</v>
      </c>
    </row>
    <row r="584" spans="1:22">
      <c r="A584" s="900" t="s">
        <v>126</v>
      </c>
      <c r="B584" s="900"/>
      <c r="C584" s="900" t="s">
        <v>1307</v>
      </c>
      <c r="D584" t="s">
        <v>322</v>
      </c>
      <c r="E584" t="s">
        <v>342</v>
      </c>
      <c r="F584" t="s">
        <v>1310</v>
      </c>
      <c r="G584">
        <v>64.259999999999991</v>
      </c>
      <c r="H584">
        <v>164.91646959537505</v>
      </c>
      <c r="I584">
        <v>138.26563928116266</v>
      </c>
      <c r="J584">
        <v>73.21008098125462</v>
      </c>
      <c r="K584">
        <v>73.748620986938505</v>
      </c>
      <c r="L584">
        <v>72.563888311386108</v>
      </c>
      <c r="M584">
        <v>88.819117069244356</v>
      </c>
      <c r="N584">
        <v>87.62488942254322</v>
      </c>
      <c r="O584">
        <v>94.639512780230262</v>
      </c>
      <c r="P584">
        <v>84.546220449209073</v>
      </c>
      <c r="Q584">
        <v>120.09550814974159</v>
      </c>
      <c r="R584">
        <v>116.41289319438002</v>
      </c>
      <c r="S584">
        <v>52.436044967372652</v>
      </c>
      <c r="T584">
        <v>105.3706913626344</v>
      </c>
      <c r="U584">
        <f t="shared" si="55"/>
        <v>95.493541182248052</v>
      </c>
      <c r="V584" t="str">
        <f t="shared" si="56"/>
        <v>2020/21Outputs - connectionsTime to connect incentiveOverall (LVSSA + LVSSB)</v>
      </c>
    </row>
    <row r="585" spans="1:22">
      <c r="A585" s="900" t="s">
        <v>142</v>
      </c>
      <c r="B585" s="900"/>
      <c r="C585" s="900" t="s">
        <v>1307</v>
      </c>
      <c r="D585" t="s">
        <v>322</v>
      </c>
      <c r="E585" t="s">
        <v>880</v>
      </c>
      <c r="F585" t="s">
        <v>1310</v>
      </c>
      <c r="G585" cm="1">
        <f t="array" ref="G585:T598">TRANSPOSE('Ch2 outputs - connections'!CR42:DE55)</f>
        <v>2.7530717399920728</v>
      </c>
      <c r="H585">
        <v>9.2799999999999994</v>
      </c>
      <c r="I585">
        <v>7.23</v>
      </c>
      <c r="J585">
        <v>1.5580579042434699</v>
      </c>
      <c r="K585">
        <v>1.7726517915725699</v>
      </c>
      <c r="L585">
        <v>1.1322603225707999</v>
      </c>
      <c r="M585">
        <v>3.0072338581085201</v>
      </c>
      <c r="N585">
        <v>2.6098993288590604</v>
      </c>
      <c r="O585">
        <v>3.348114380439287</v>
      </c>
      <c r="P585">
        <v>2.6535264145883617</v>
      </c>
      <c r="Q585">
        <v>3.9736625514403294</v>
      </c>
      <c r="R585">
        <v>4.9314759036144578</v>
      </c>
      <c r="S585">
        <v>3.9426554918394352</v>
      </c>
      <c r="T585">
        <v>3.9915640990181163</v>
      </c>
      <c r="U585">
        <f t="shared" si="55"/>
        <v>3.7274409847347481</v>
      </c>
      <c r="V585" t="str">
        <f t="shared" si="56"/>
        <v>2021/22Outputs - connectionsTime to connect incentiveLVSSA Average TTQ</v>
      </c>
    </row>
    <row r="586" spans="1:22">
      <c r="A586" s="900" t="s">
        <v>142</v>
      </c>
      <c r="B586" s="900"/>
      <c r="C586" s="900" t="s">
        <v>1307</v>
      </c>
      <c r="D586" t="s">
        <v>322</v>
      </c>
      <c r="E586" t="s">
        <v>882</v>
      </c>
      <c r="F586" t="s">
        <v>1299</v>
      </c>
      <c r="G586">
        <v>6</v>
      </c>
      <c r="H586">
        <v>14</v>
      </c>
      <c r="I586">
        <v>13</v>
      </c>
      <c r="J586">
        <v>2</v>
      </c>
      <c r="K586">
        <v>3</v>
      </c>
      <c r="L586">
        <v>1</v>
      </c>
      <c r="M586">
        <v>7</v>
      </c>
      <c r="N586">
        <v>4</v>
      </c>
      <c r="O586">
        <v>8</v>
      </c>
      <c r="P586">
        <v>5</v>
      </c>
      <c r="Q586">
        <v>10</v>
      </c>
      <c r="R586">
        <v>12</v>
      </c>
      <c r="S586">
        <v>9</v>
      </c>
      <c r="T586">
        <v>11</v>
      </c>
      <c r="U586">
        <f t="shared" si="55"/>
        <v>7.5</v>
      </c>
      <c r="V586" t="str">
        <f t="shared" si="56"/>
        <v>2021/22Outputs - connectionsTime to connect incentiveLVSSA TTQ Ranking</v>
      </c>
    </row>
    <row r="587" spans="1:22">
      <c r="A587" s="900" t="s">
        <v>142</v>
      </c>
      <c r="B587" s="900"/>
      <c r="C587" s="900" t="s">
        <v>1307</v>
      </c>
      <c r="D587" t="s">
        <v>322</v>
      </c>
      <c r="E587" t="s">
        <v>884</v>
      </c>
      <c r="F587" t="s">
        <v>1310</v>
      </c>
      <c r="G587">
        <v>27.808897876643073</v>
      </c>
      <c r="H587">
        <v>50.07</v>
      </c>
      <c r="I587">
        <v>43.68</v>
      </c>
      <c r="J587">
        <v>33.607269287109403</v>
      </c>
      <c r="K587">
        <v>31.277286529541001</v>
      </c>
      <c r="L587">
        <v>32.674648284912102</v>
      </c>
      <c r="M587">
        <v>40.914943695068402</v>
      </c>
      <c r="N587">
        <v>36.896755162241888</v>
      </c>
      <c r="O587">
        <v>37.900299102691925</v>
      </c>
      <c r="P587">
        <v>31.726190476190474</v>
      </c>
      <c r="Q587">
        <v>34.240506329113927</v>
      </c>
      <c r="R587">
        <v>35.683001531393565</v>
      </c>
      <c r="S587">
        <v>22.71817192600653</v>
      </c>
      <c r="T587">
        <v>41.418741355463347</v>
      </c>
      <c r="U587">
        <f t="shared" si="55"/>
        <v>35.758336539741116</v>
      </c>
      <c r="V587" t="str">
        <f t="shared" si="56"/>
        <v>2021/22Outputs - connectionsTime to connect incentiveLVSSA TTC</v>
      </c>
    </row>
    <row r="588" spans="1:22">
      <c r="A588" s="900" t="s">
        <v>142</v>
      </c>
      <c r="B588" s="900"/>
      <c r="C588" s="900" t="s">
        <v>1307</v>
      </c>
      <c r="D588" t="s">
        <v>322</v>
      </c>
      <c r="E588" t="s">
        <v>886</v>
      </c>
      <c r="F588" t="s">
        <v>1299</v>
      </c>
      <c r="G588">
        <v>2</v>
      </c>
      <c r="H588">
        <v>14</v>
      </c>
      <c r="I588">
        <v>13</v>
      </c>
      <c r="J588">
        <v>6</v>
      </c>
      <c r="K588">
        <v>3</v>
      </c>
      <c r="L588">
        <v>5</v>
      </c>
      <c r="M588">
        <v>11</v>
      </c>
      <c r="N588">
        <v>9</v>
      </c>
      <c r="O588">
        <v>10</v>
      </c>
      <c r="P588">
        <v>4</v>
      </c>
      <c r="Q588">
        <v>7</v>
      </c>
      <c r="R588">
        <v>8</v>
      </c>
      <c r="S588">
        <v>1</v>
      </c>
      <c r="T588">
        <v>12</v>
      </c>
      <c r="U588">
        <f t="shared" si="55"/>
        <v>7.5</v>
      </c>
      <c r="V588" t="str">
        <f t="shared" si="56"/>
        <v>2021/22Outputs - connectionsTime to connect incentiveLVSSA TTC Ranking</v>
      </c>
    </row>
    <row r="589" spans="1:22">
      <c r="A589" s="900" t="s">
        <v>142</v>
      </c>
      <c r="B589" s="900"/>
      <c r="C589" s="900" t="s">
        <v>1307</v>
      </c>
      <c r="D589" t="s">
        <v>322</v>
      </c>
      <c r="E589" t="s">
        <v>888</v>
      </c>
      <c r="F589" t="s">
        <v>1310</v>
      </c>
      <c r="G589">
        <v>5.436305732484076</v>
      </c>
      <c r="H589">
        <v>16.12</v>
      </c>
      <c r="I589">
        <v>15.65</v>
      </c>
      <c r="J589">
        <v>2.8879563808441202</v>
      </c>
      <c r="K589">
        <v>3.4622547626495401</v>
      </c>
      <c r="L589">
        <v>2.6936252117157</v>
      </c>
      <c r="M589">
        <v>4.3457188606262198</v>
      </c>
      <c r="N589">
        <v>4.2428734321550738</v>
      </c>
      <c r="O589">
        <v>6.1204545454545451</v>
      </c>
      <c r="P589">
        <v>4.2383404864091556</v>
      </c>
      <c r="Q589">
        <v>7.347142857142857</v>
      </c>
      <c r="R589">
        <v>10.089480874316941</v>
      </c>
      <c r="S589">
        <v>5.4113009198423123</v>
      </c>
      <c r="T589">
        <v>9.4660132111655653</v>
      </c>
      <c r="U589">
        <f t="shared" si="55"/>
        <v>6.9651048053432927</v>
      </c>
      <c r="V589" t="str">
        <f t="shared" si="56"/>
        <v>2021/22Outputs - connectionsTime to connect incentiveLVSSB TTQ</v>
      </c>
    </row>
    <row r="590" spans="1:22">
      <c r="A590" s="900" t="s">
        <v>142</v>
      </c>
      <c r="B590" s="900"/>
      <c r="C590" s="900" t="s">
        <v>1307</v>
      </c>
      <c r="D590" t="s">
        <v>322</v>
      </c>
      <c r="E590" t="s">
        <v>890</v>
      </c>
      <c r="F590" t="s">
        <v>1299</v>
      </c>
      <c r="G590">
        <v>8</v>
      </c>
      <c r="H590">
        <v>14</v>
      </c>
      <c r="I590">
        <v>13</v>
      </c>
      <c r="J590">
        <v>2</v>
      </c>
      <c r="K590">
        <v>3</v>
      </c>
      <c r="L590">
        <v>1</v>
      </c>
      <c r="M590">
        <v>6</v>
      </c>
      <c r="N590">
        <v>5</v>
      </c>
      <c r="O590">
        <v>9</v>
      </c>
      <c r="P590">
        <v>4</v>
      </c>
      <c r="Q590">
        <v>10</v>
      </c>
      <c r="R590">
        <v>12</v>
      </c>
      <c r="S590">
        <v>7</v>
      </c>
      <c r="T590">
        <v>11</v>
      </c>
      <c r="U590">
        <f t="shared" si="55"/>
        <v>7.5</v>
      </c>
      <c r="V590" t="str">
        <f t="shared" si="56"/>
        <v>2021/22Outputs - connectionsTime to connect incentiveLVSSB TTQ Ranking</v>
      </c>
    </row>
    <row r="591" spans="1:22">
      <c r="A591" s="900" t="s">
        <v>142</v>
      </c>
      <c r="B591" s="900"/>
      <c r="C591" s="900" t="s">
        <v>1307</v>
      </c>
      <c r="D591" t="s">
        <v>322</v>
      </c>
      <c r="E591" t="s">
        <v>892</v>
      </c>
      <c r="F591" t="s">
        <v>1310</v>
      </c>
      <c r="G591">
        <v>32.445033112582784</v>
      </c>
      <c r="H591">
        <v>61.63</v>
      </c>
      <c r="I591">
        <v>50.47</v>
      </c>
      <c r="J591">
        <v>38.578441619872997</v>
      </c>
      <c r="K591">
        <v>39.017978668212898</v>
      </c>
      <c r="L591">
        <v>40.073268890380902</v>
      </c>
      <c r="M591">
        <v>46.180461883544901</v>
      </c>
      <c r="N591">
        <v>39.452970297029701</v>
      </c>
      <c r="O591">
        <v>42.02623294858342</v>
      </c>
      <c r="P591">
        <v>39.732495511669661</v>
      </c>
      <c r="Q591">
        <v>39.341977309562395</v>
      </c>
      <c r="R591">
        <v>38.980132450331126</v>
      </c>
      <c r="S591">
        <v>26.64855072463768</v>
      </c>
      <c r="T591">
        <v>55.20633934120572</v>
      </c>
      <c r="U591">
        <f t="shared" si="55"/>
        <v>42.127420196972437</v>
      </c>
      <c r="V591" t="str">
        <f t="shared" si="56"/>
        <v>2021/22Outputs - connectionsTime to connect incentiveLVSSB TTC</v>
      </c>
    </row>
    <row r="592" spans="1:22">
      <c r="A592" s="900" t="s">
        <v>142</v>
      </c>
      <c r="B592" s="900"/>
      <c r="C592" s="900" t="s">
        <v>1307</v>
      </c>
      <c r="D592" t="s">
        <v>322</v>
      </c>
      <c r="E592" t="s">
        <v>894</v>
      </c>
      <c r="F592" t="s">
        <v>1299</v>
      </c>
      <c r="G592">
        <v>2</v>
      </c>
      <c r="H592">
        <v>14</v>
      </c>
      <c r="I592">
        <v>12</v>
      </c>
      <c r="J592">
        <v>3</v>
      </c>
      <c r="K592">
        <v>5</v>
      </c>
      <c r="L592">
        <v>9</v>
      </c>
      <c r="M592">
        <v>11</v>
      </c>
      <c r="N592">
        <v>7</v>
      </c>
      <c r="O592">
        <v>10</v>
      </c>
      <c r="P592">
        <v>8</v>
      </c>
      <c r="Q592">
        <v>6</v>
      </c>
      <c r="R592">
        <v>4</v>
      </c>
      <c r="S592">
        <v>1</v>
      </c>
      <c r="T592">
        <v>13</v>
      </c>
      <c r="U592">
        <f t="shared" si="55"/>
        <v>7.5</v>
      </c>
      <c r="V592" t="str">
        <f t="shared" si="56"/>
        <v>2021/22Outputs - connectionsTime to connect incentiveLVSSB TTC Ranking</v>
      </c>
    </row>
    <row r="593" spans="1:36">
      <c r="A593" s="900" t="s">
        <v>142</v>
      </c>
      <c r="B593" s="900"/>
      <c r="C593" s="900" t="s">
        <v>1307</v>
      </c>
      <c r="D593" t="s">
        <v>322</v>
      </c>
      <c r="E593" t="s">
        <v>896</v>
      </c>
      <c r="F593" t="s">
        <v>1289</v>
      </c>
      <c r="G593">
        <v>1.1921613083426601</v>
      </c>
      <c r="H593">
        <v>0</v>
      </c>
      <c r="I593">
        <v>0</v>
      </c>
      <c r="J593">
        <v>1.5999914299181552</v>
      </c>
      <c r="K593">
        <v>1.5999914299181552</v>
      </c>
      <c r="L593">
        <v>0.79999571495907762</v>
      </c>
      <c r="M593">
        <v>1.1999935724386166</v>
      </c>
      <c r="N593">
        <v>0.83773530099197935</v>
      </c>
      <c r="O593">
        <v>0.67801497726336268</v>
      </c>
      <c r="P593">
        <v>1.6059482848521951</v>
      </c>
      <c r="Q593">
        <v>0.55845566424761128</v>
      </c>
      <c r="R593">
        <v>9.661476253125896E-2</v>
      </c>
      <c r="S593">
        <v>0.72376607592980502</v>
      </c>
      <c r="T593">
        <v>0.23404802327715674</v>
      </c>
      <c r="U593">
        <f t="shared" si="55"/>
        <v>0.79476546747643106</v>
      </c>
      <c r="V593" t="str">
        <f t="shared" si="56"/>
        <v>2021/22Outputs - connectionsTime to connect incentiveReward 12/13</v>
      </c>
    </row>
    <row r="594" spans="1:36">
      <c r="A594" s="900" t="s">
        <v>142</v>
      </c>
      <c r="B594" s="900"/>
      <c r="C594" s="900" t="s">
        <v>1307</v>
      </c>
      <c r="D594" t="s">
        <v>322</v>
      </c>
      <c r="E594" t="s">
        <v>898</v>
      </c>
      <c r="F594" t="s">
        <v>1289</v>
      </c>
      <c r="G594">
        <v>1.5161046805104819</v>
      </c>
      <c r="H594">
        <v>0</v>
      </c>
      <c r="I594">
        <v>0</v>
      </c>
      <c r="J594">
        <v>2.0347535846871696</v>
      </c>
      <c r="K594">
        <v>2.0347535846871696</v>
      </c>
      <c r="L594">
        <v>1.0173767923435848</v>
      </c>
      <c r="M594">
        <v>1.5260651885153773</v>
      </c>
      <c r="N594">
        <v>1.0653712731446381</v>
      </c>
      <c r="O594">
        <v>0.86225049688471622</v>
      </c>
      <c r="P594">
        <v>2.0423290827203804</v>
      </c>
      <c r="Q594">
        <v>0.71020359451225812</v>
      </c>
      <c r="R594">
        <v>0.12286767961265573</v>
      </c>
      <c r="S594">
        <v>0.92043344103941205</v>
      </c>
      <c r="T594">
        <v>0.29764537824837067</v>
      </c>
      <c r="U594">
        <f t="shared" si="55"/>
        <v>1.0107253412075867</v>
      </c>
      <c r="V594" t="str">
        <f t="shared" si="56"/>
        <v>2021/22Outputs - connectionsTime to connect incentiveReward 20/21</v>
      </c>
    </row>
    <row r="595" spans="1:36">
      <c r="A595" s="900" t="s">
        <v>142</v>
      </c>
      <c r="B595" s="900"/>
      <c r="C595" s="900" t="s">
        <v>1307</v>
      </c>
      <c r="D595" t="s">
        <v>322</v>
      </c>
      <c r="E595" t="s">
        <v>339</v>
      </c>
      <c r="F595" t="s">
        <v>1296</v>
      </c>
      <c r="G595" t="str">
        <v>Green</v>
      </c>
      <c r="H595" t="str">
        <v>Red</v>
      </c>
      <c r="I595" t="str">
        <v>Red</v>
      </c>
      <c r="J595" t="str">
        <v>Green</v>
      </c>
      <c r="K595" t="str">
        <v>Green</v>
      </c>
      <c r="L595" t="str">
        <v>Green</v>
      </c>
      <c r="M595" t="str">
        <v>Amber</v>
      </c>
      <c r="N595" t="str">
        <v>Green</v>
      </c>
      <c r="O595" t="str">
        <v>Green</v>
      </c>
      <c r="P595" t="str">
        <v>Green</v>
      </c>
      <c r="Q595" t="str">
        <v>Green</v>
      </c>
      <c r="R595" t="str">
        <v>Amber</v>
      </c>
      <c r="S595" t="str">
        <v>Green</v>
      </c>
      <c r="T595" t="str">
        <v>Red</v>
      </c>
      <c r="V595" t="str">
        <f t="shared" si="56"/>
        <v>2021/22Outputs - connectionsTime to connect incentiveRAG</v>
      </c>
    </row>
    <row r="596" spans="1:36">
      <c r="A596" s="900" t="s">
        <v>142</v>
      </c>
      <c r="B596" s="900"/>
      <c r="C596" s="900" t="s">
        <v>1307</v>
      </c>
      <c r="D596" t="s">
        <v>322</v>
      </c>
      <c r="E596" t="s">
        <v>901</v>
      </c>
      <c r="F596" t="s">
        <v>1299</v>
      </c>
      <c r="G596">
        <v>4.5</v>
      </c>
      <c r="H596">
        <v>14</v>
      </c>
      <c r="I596">
        <v>12.75</v>
      </c>
      <c r="J596">
        <v>3.25</v>
      </c>
      <c r="K596">
        <v>3.5</v>
      </c>
      <c r="L596">
        <v>4</v>
      </c>
      <c r="M596">
        <v>8.75</v>
      </c>
      <c r="N596">
        <v>6.25</v>
      </c>
      <c r="O596">
        <v>9.25</v>
      </c>
      <c r="P596">
        <v>5.25</v>
      </c>
      <c r="Q596">
        <v>8.25</v>
      </c>
      <c r="R596">
        <v>9</v>
      </c>
      <c r="S596">
        <v>4.5</v>
      </c>
      <c r="T596">
        <v>11.75</v>
      </c>
      <c r="U596">
        <f t="shared" si="55"/>
        <v>7.5</v>
      </c>
      <c r="V596" t="str">
        <f t="shared" si="56"/>
        <v>2021/22Outputs - connectionsTime to connect incentiveAverage Ranking</v>
      </c>
    </row>
    <row r="597" spans="1:36">
      <c r="A597" s="900" t="s">
        <v>142</v>
      </c>
      <c r="B597" s="900"/>
      <c r="C597" s="900" t="s">
        <v>1307</v>
      </c>
      <c r="D597" t="s">
        <v>322</v>
      </c>
      <c r="E597" t="s">
        <v>903</v>
      </c>
      <c r="F597" t="s">
        <v>1299</v>
      </c>
      <c r="G597">
        <v>4</v>
      </c>
      <c r="H597">
        <v>14</v>
      </c>
      <c r="I597">
        <v>13</v>
      </c>
      <c r="J597">
        <v>1</v>
      </c>
      <c r="K597">
        <v>2</v>
      </c>
      <c r="L597">
        <v>3</v>
      </c>
      <c r="M597">
        <v>9</v>
      </c>
      <c r="N597">
        <v>7</v>
      </c>
      <c r="O597">
        <v>11</v>
      </c>
      <c r="P597">
        <v>6</v>
      </c>
      <c r="Q597">
        <v>8</v>
      </c>
      <c r="R597">
        <v>10</v>
      </c>
      <c r="S597">
        <v>4</v>
      </c>
      <c r="T597">
        <v>12</v>
      </c>
      <c r="U597">
        <f t="shared" si="55"/>
        <v>7.4285714285714288</v>
      </c>
      <c r="V597" t="str">
        <f t="shared" si="56"/>
        <v>2021/22Outputs - connectionsTime to connect incentiveOverall Ranking</v>
      </c>
    </row>
    <row r="598" spans="1:36">
      <c r="A598" s="900" t="s">
        <v>142</v>
      </c>
      <c r="B598" s="900"/>
      <c r="C598" s="900" t="s">
        <v>1307</v>
      </c>
      <c r="D598" t="s">
        <v>322</v>
      </c>
      <c r="E598" t="s">
        <v>342</v>
      </c>
      <c r="F598" t="s">
        <v>1310</v>
      </c>
      <c r="G598">
        <v>68.443308461702003</v>
      </c>
      <c r="H598">
        <v>137.1</v>
      </c>
      <c r="I598">
        <v>117.03</v>
      </c>
      <c r="J598">
        <v>76.631725192069993</v>
      </c>
      <c r="K598">
        <v>75.530171751976013</v>
      </c>
      <c r="L598">
        <v>76.573802709579496</v>
      </c>
      <c r="M598">
        <v>94.448358297348051</v>
      </c>
      <c r="N598">
        <v>83.202498220285719</v>
      </c>
      <c r="O598">
        <v>89.395100977169164</v>
      </c>
      <c r="P598">
        <v>78.350552888857663</v>
      </c>
      <c r="Q598">
        <v>84.903289047259506</v>
      </c>
      <c r="R598">
        <v>89.684090759656087</v>
      </c>
      <c r="S598">
        <v>58.720679062325956</v>
      </c>
      <c r="T598">
        <v>110.08265800685274</v>
      </c>
      <c r="U598">
        <f t="shared" si="55"/>
        <v>88.578302526791603</v>
      </c>
      <c r="V598" t="str">
        <f t="shared" si="56"/>
        <v>2021/22Outputs - connectionsTime to connect incentiveOverall (LVSSA + LVSSB)</v>
      </c>
    </row>
    <row r="599" spans="1:36">
      <c r="A599" s="900" t="s">
        <v>137</v>
      </c>
      <c r="B599" s="900"/>
      <c r="C599" s="900" t="s">
        <v>1307</v>
      </c>
      <c r="D599" t="s">
        <v>357</v>
      </c>
      <c r="E599" t="s">
        <v>359</v>
      </c>
      <c r="F599" t="s">
        <v>1299</v>
      </c>
      <c r="G599">
        <f t="array" ref="G599:T604">TRANSPOSE('Ch2 outputs - connections'!E85:J98)</f>
        <v>21541</v>
      </c>
      <c r="H599">
        <v>25025</v>
      </c>
      <c r="I599">
        <v>35257</v>
      </c>
      <c r="J599">
        <v>36475</v>
      </c>
      <c r="K599">
        <v>36477</v>
      </c>
      <c r="L599">
        <v>17189</v>
      </c>
      <c r="M599">
        <v>34727</v>
      </c>
      <c r="N599">
        <v>23103</v>
      </c>
      <c r="O599">
        <v>28093</v>
      </c>
      <c r="P599">
        <v>48149</v>
      </c>
      <c r="Q599">
        <v>14518</v>
      </c>
      <c r="R599">
        <v>17438</v>
      </c>
      <c r="S599">
        <v>17111</v>
      </c>
      <c r="T599">
        <v>50730</v>
      </c>
      <c r="U599">
        <f>AVERAGE(G599:T599)</f>
        <v>28988.071428571428</v>
      </c>
      <c r="V599" t="str">
        <f t="shared" si="56"/>
        <v>2015/16Outputs - connectionsConnections Guaranteed Standards of Performance (GSOPs)Total number of cases where the Connection GSOPs apply</v>
      </c>
      <c r="AJ599">
        <v>21541</v>
      </c>
    </row>
    <row r="600" spans="1:36">
      <c r="A600" s="900" t="s">
        <v>137</v>
      </c>
      <c r="B600" s="900"/>
      <c r="C600" s="900" t="s">
        <v>1307</v>
      </c>
      <c r="D600" t="s">
        <v>357</v>
      </c>
      <c r="E600" t="s">
        <v>360</v>
      </c>
      <c r="F600" t="s">
        <v>1299</v>
      </c>
      <c r="G600">
        <v>338</v>
      </c>
      <c r="H600">
        <v>32</v>
      </c>
      <c r="I600">
        <v>29</v>
      </c>
      <c r="J600">
        <v>0</v>
      </c>
      <c r="K600">
        <v>3</v>
      </c>
      <c r="L600">
        <v>0</v>
      </c>
      <c r="M600">
        <v>1</v>
      </c>
      <c r="N600">
        <v>59</v>
      </c>
      <c r="O600">
        <v>106</v>
      </c>
      <c r="P600">
        <v>183</v>
      </c>
      <c r="Q600">
        <v>23</v>
      </c>
      <c r="R600">
        <v>12</v>
      </c>
      <c r="S600">
        <v>16</v>
      </c>
      <c r="T600">
        <v>38</v>
      </c>
      <c r="U600">
        <f>AVERAGE(G600:T600)</f>
        <v>60</v>
      </c>
      <c r="V600" t="str">
        <f t="shared" si="56"/>
        <v>2015/16Outputs - connectionsConnections Guaranteed Standards of Performance (GSOPs)Total number of cases where the Connection GSOPs apply and the standard was not met  </v>
      </c>
      <c r="AJ600">
        <v>17438</v>
      </c>
    </row>
    <row r="601" spans="1:36">
      <c r="A601" s="900" t="s">
        <v>137</v>
      </c>
      <c r="B601" s="900"/>
      <c r="C601" s="900" t="s">
        <v>1307</v>
      </c>
      <c r="D601" t="s">
        <v>357</v>
      </c>
      <c r="E601" t="s">
        <v>1312</v>
      </c>
      <c r="F601" t="s">
        <v>734</v>
      </c>
      <c r="G601">
        <v>114547.24649524156</v>
      </c>
      <c r="H601">
        <v>4881.4961859131263</v>
      </c>
      <c r="I601">
        <v>10746.487917882459</v>
      </c>
      <c r="J601">
        <v>0</v>
      </c>
      <c r="K601">
        <v>311.84005118855356</v>
      </c>
      <c r="L601">
        <v>0</v>
      </c>
      <c r="M601">
        <v>77.96001279713839</v>
      </c>
      <c r="N601">
        <v>23927.727004660166</v>
      </c>
      <c r="O601">
        <v>52898.867144889053</v>
      </c>
      <c r="P601">
        <v>56095.227669571723</v>
      </c>
      <c r="Q601">
        <v>3034.4435750270786</v>
      </c>
      <c r="R601">
        <v>11544.078818037799</v>
      </c>
      <c r="S601">
        <v>10158.789359873263</v>
      </c>
      <c r="T601">
        <v>14308.660810305553</v>
      </c>
      <c r="U601">
        <f>AVERAGE(G601:T601)</f>
        <v>21609.487503241962</v>
      </c>
      <c r="V601" t="str">
        <f t="shared" si="56"/>
        <v>2015/16Outputs - connectionsConnections Guaranteed Standards of Performance (GSOPs)Total penalties paid against the Connection GSOPs (£) (2018/19 prices)</v>
      </c>
      <c r="AJ601">
        <v>17111</v>
      </c>
    </row>
    <row r="602" spans="1:36">
      <c r="A602" s="900" t="s">
        <v>137</v>
      </c>
      <c r="B602" s="900"/>
      <c r="C602" s="900" t="s">
        <v>1307</v>
      </c>
      <c r="D602" t="s">
        <v>357</v>
      </c>
      <c r="E602" t="s">
        <v>361</v>
      </c>
      <c r="F602" t="s">
        <v>1300</v>
      </c>
      <c r="G602" s="829">
        <v>1.5691007845503924E-2</v>
      </c>
      <c r="H602" s="829">
        <v>1.2787212787212787E-3</v>
      </c>
      <c r="I602" s="829">
        <v>8.2253169583345156E-4</v>
      </c>
      <c r="J602" s="829">
        <v>0</v>
      </c>
      <c r="K602" s="829">
        <v>8.2243605559667737E-5</v>
      </c>
      <c r="L602" s="829">
        <v>0</v>
      </c>
      <c r="M602" s="829">
        <v>2.8796037665217265E-5</v>
      </c>
      <c r="N602" s="829">
        <v>2.5537808942561573E-3</v>
      </c>
      <c r="O602" s="829">
        <v>3.773181931441996E-3</v>
      </c>
      <c r="P602" s="829">
        <v>3.8007019875802199E-3</v>
      </c>
      <c r="Q602" s="829">
        <v>1.5842402534784405E-3</v>
      </c>
      <c r="R602" s="829">
        <v>6.8815231104484465E-4</v>
      </c>
      <c r="S602" s="829">
        <v>9.3507100695459065E-4</v>
      </c>
      <c r="T602" s="829">
        <v>7.4906367041198505E-4</v>
      </c>
      <c r="U602" s="829">
        <f>U600/U599</f>
        <v>2.0698168951268133E-3</v>
      </c>
      <c r="V602" t="str">
        <f t="shared" si="56"/>
        <v>2015/16Outputs - connectionsConnections Guaranteed Standards of Performance (GSOPs)% of total cases when standard not met</v>
      </c>
      <c r="AJ602">
        <v>50730</v>
      </c>
    </row>
    <row r="603" spans="1:36">
      <c r="A603" s="900" t="s">
        <v>137</v>
      </c>
      <c r="B603" s="900"/>
      <c r="C603" s="900" t="s">
        <v>1307</v>
      </c>
      <c r="D603" t="s">
        <v>357</v>
      </c>
      <c r="E603" t="s">
        <v>339</v>
      </c>
      <c r="F603" t="s">
        <v>1296</v>
      </c>
      <c r="G603" t="str">
        <v>Green</v>
      </c>
      <c r="H603" t="str">
        <v>Green</v>
      </c>
      <c r="I603" t="str">
        <v>Green</v>
      </c>
      <c r="J603" t="str">
        <v>Green</v>
      </c>
      <c r="K603" t="str">
        <v>Green</v>
      </c>
      <c r="L603" t="str">
        <v>Green</v>
      </c>
      <c r="M603" t="str">
        <v>Green</v>
      </c>
      <c r="N603" t="str">
        <v>Green</v>
      </c>
      <c r="O603" t="str">
        <v>Green</v>
      </c>
      <c r="P603" t="str">
        <v>Green</v>
      </c>
      <c r="Q603" t="str">
        <v>Green</v>
      </c>
      <c r="R603" t="str">
        <v>Green</v>
      </c>
      <c r="S603" t="str">
        <v>Green</v>
      </c>
      <c r="T603" t="str">
        <v>Green</v>
      </c>
      <c r="U603" t="s">
        <v>1297</v>
      </c>
      <c r="V603" t="str">
        <f t="shared" si="56"/>
        <v>2015/16Outputs - connectionsConnections Guaranteed Standards of Performance (GSOPs)RAG</v>
      </c>
    </row>
    <row r="604" spans="1:36">
      <c r="A604" s="900" t="s">
        <v>137</v>
      </c>
      <c r="B604" s="900"/>
      <c r="C604" s="900" t="s">
        <v>1307</v>
      </c>
      <c r="D604" t="s">
        <v>357</v>
      </c>
      <c r="E604" t="s">
        <v>63</v>
      </c>
      <c r="F604" t="s">
        <v>1299</v>
      </c>
      <c r="G604">
        <v>14</v>
      </c>
      <c r="H604">
        <v>9</v>
      </c>
      <c r="I604">
        <v>7</v>
      </c>
      <c r="J604">
        <v>1</v>
      </c>
      <c r="K604">
        <v>4</v>
      </c>
      <c r="L604">
        <v>1</v>
      </c>
      <c r="M604">
        <v>3</v>
      </c>
      <c r="N604">
        <v>11</v>
      </c>
      <c r="O604">
        <v>12</v>
      </c>
      <c r="P604">
        <v>13</v>
      </c>
      <c r="Q604">
        <v>10</v>
      </c>
      <c r="R604">
        <v>5</v>
      </c>
      <c r="S604">
        <v>8</v>
      </c>
      <c r="T604">
        <v>6</v>
      </c>
      <c r="U604">
        <f>AVERAGE(G604:T604)</f>
        <v>7.4285714285714288</v>
      </c>
      <c r="V604" t="str">
        <f t="shared" si="56"/>
        <v>2015/16Outputs - connectionsConnections Guaranteed Standards of Performance (GSOPs)Ranking</v>
      </c>
    </row>
    <row r="605" spans="1:36">
      <c r="A605" s="900" t="s">
        <v>138</v>
      </c>
      <c r="B605" s="900"/>
      <c r="C605" s="900" t="s">
        <v>1307</v>
      </c>
      <c r="D605" t="s">
        <v>357</v>
      </c>
      <c r="E605" t="s">
        <v>359</v>
      </c>
      <c r="F605" t="s">
        <v>1299</v>
      </c>
      <c r="G605">
        <f t="array" ref="G605:T610">TRANSPOSE('Ch2 outputs - connections'!L85:Q98)</f>
        <v>19435</v>
      </c>
      <c r="H605">
        <v>21151</v>
      </c>
      <c r="I605">
        <v>30076</v>
      </c>
      <c r="J605">
        <v>33786</v>
      </c>
      <c r="K605">
        <v>35861</v>
      </c>
      <c r="L605">
        <v>17373</v>
      </c>
      <c r="M605">
        <v>35009</v>
      </c>
      <c r="N605">
        <v>24042</v>
      </c>
      <c r="O605">
        <v>28894</v>
      </c>
      <c r="P605">
        <v>51074</v>
      </c>
      <c r="Q605">
        <v>14270</v>
      </c>
      <c r="R605">
        <v>16411</v>
      </c>
      <c r="S605">
        <v>16147</v>
      </c>
      <c r="T605">
        <v>46064</v>
      </c>
      <c r="U605">
        <f>AVERAGE(G605:T605)</f>
        <v>27828.071428571428</v>
      </c>
      <c r="V605" t="str">
        <f t="shared" si="56"/>
        <v>2016/17Outputs - connectionsConnections Guaranteed Standards of Performance (GSOPs)Total number of cases where the Connection GSOPs apply</v>
      </c>
    </row>
    <row r="606" spans="1:36">
      <c r="A606" s="900" t="s">
        <v>138</v>
      </c>
      <c r="B606" s="900"/>
      <c r="C606" s="900" t="s">
        <v>1307</v>
      </c>
      <c r="D606" t="s">
        <v>357</v>
      </c>
      <c r="E606" t="s">
        <v>360</v>
      </c>
      <c r="F606" t="s">
        <v>1299</v>
      </c>
      <c r="G606">
        <v>179</v>
      </c>
      <c r="H606">
        <v>66</v>
      </c>
      <c r="I606">
        <v>50</v>
      </c>
      <c r="J606">
        <v>0</v>
      </c>
      <c r="K606">
        <v>0</v>
      </c>
      <c r="L606">
        <v>0</v>
      </c>
      <c r="M606">
        <v>0</v>
      </c>
      <c r="N606">
        <v>33</v>
      </c>
      <c r="O606">
        <v>148</v>
      </c>
      <c r="P606">
        <v>241</v>
      </c>
      <c r="Q606">
        <v>54</v>
      </c>
      <c r="R606">
        <v>18</v>
      </c>
      <c r="S606">
        <v>10</v>
      </c>
      <c r="T606">
        <v>121</v>
      </c>
      <c r="U606">
        <f>AVERAGE(G606:T606)</f>
        <v>65.714285714285708</v>
      </c>
      <c r="V606" t="str">
        <f t="shared" si="56"/>
        <v>2016/17Outputs - connectionsConnections Guaranteed Standards of Performance (GSOPs)Total number of cases where the Connection GSOPs apply and the standard was not met  </v>
      </c>
    </row>
    <row r="607" spans="1:36">
      <c r="A607" s="900" t="s">
        <v>138</v>
      </c>
      <c r="B607" s="900"/>
      <c r="C607" s="900" t="s">
        <v>1307</v>
      </c>
      <c r="D607" t="s">
        <v>357</v>
      </c>
      <c r="E607" t="s">
        <v>1312</v>
      </c>
      <c r="F607" t="s">
        <v>734</v>
      </c>
      <c r="G607">
        <v>49933.881022823334</v>
      </c>
      <c r="H607">
        <v>11084.675763796644</v>
      </c>
      <c r="I607">
        <v>16174.937356599447</v>
      </c>
      <c r="J607">
        <v>0</v>
      </c>
      <c r="K607">
        <v>0</v>
      </c>
      <c r="L607">
        <v>0</v>
      </c>
      <c r="M607">
        <v>0</v>
      </c>
      <c r="N607">
        <v>3411.121090448014</v>
      </c>
      <c r="O607">
        <v>37921.568198285233</v>
      </c>
      <c r="P607">
        <v>56726.767600531341</v>
      </c>
      <c r="Q607">
        <v>9299.8550899649817</v>
      </c>
      <c r="R607">
        <v>3651.837036589784</v>
      </c>
      <c r="S607">
        <v>6681.3352855935282</v>
      </c>
      <c r="T607">
        <v>38725.911725637001</v>
      </c>
      <c r="U607">
        <f>AVERAGE(G607:T607)</f>
        <v>16686.563583590665</v>
      </c>
      <c r="V607" t="str">
        <f t="shared" si="56"/>
        <v>2016/17Outputs - connectionsConnections Guaranteed Standards of Performance (GSOPs)Total penalties paid against the Connection GSOPs (£) (2018/19 prices)</v>
      </c>
    </row>
    <row r="608" spans="1:36">
      <c r="A608" s="900" t="s">
        <v>138</v>
      </c>
      <c r="B608" s="900"/>
      <c r="C608" s="900" t="s">
        <v>1307</v>
      </c>
      <c r="D608" t="s">
        <v>357</v>
      </c>
      <c r="E608" t="s">
        <v>361</v>
      </c>
      <c r="F608" t="s">
        <v>1300</v>
      </c>
      <c r="G608" s="829">
        <v>9.210187805505532E-3</v>
      </c>
      <c r="H608" s="829">
        <v>3.1204198383055176E-3</v>
      </c>
      <c r="I608" s="829">
        <v>1.6624551137119298E-3</v>
      </c>
      <c r="J608" s="829">
        <v>0</v>
      </c>
      <c r="K608" s="829">
        <v>0</v>
      </c>
      <c r="L608" s="829">
        <v>0</v>
      </c>
      <c r="M608" s="829">
        <v>0</v>
      </c>
      <c r="N608" s="829">
        <v>1.3725979535812328E-3</v>
      </c>
      <c r="O608" s="829">
        <v>5.122170692877414E-3</v>
      </c>
      <c r="P608" s="829">
        <v>4.7186435368289153E-3</v>
      </c>
      <c r="Q608" s="829">
        <v>3.7841625788367205E-3</v>
      </c>
      <c r="R608" s="829">
        <v>1.096825300103589E-3</v>
      </c>
      <c r="S608" s="829">
        <v>6.193100885613427E-4</v>
      </c>
      <c r="T608" s="829">
        <v>2.6267801319902746E-3</v>
      </c>
      <c r="U608" s="829">
        <f>U606/U605</f>
        <v>2.3614387322154146E-3</v>
      </c>
      <c r="V608" t="str">
        <f t="shared" si="56"/>
        <v>2016/17Outputs - connectionsConnections Guaranteed Standards of Performance (GSOPs)% of total cases when standard not met</v>
      </c>
    </row>
    <row r="609" spans="1:22">
      <c r="A609" s="900" t="s">
        <v>138</v>
      </c>
      <c r="B609" s="900"/>
      <c r="C609" s="900" t="s">
        <v>1307</v>
      </c>
      <c r="D609" t="s">
        <v>357</v>
      </c>
      <c r="E609" t="s">
        <v>339</v>
      </c>
      <c r="F609" t="s">
        <v>1296</v>
      </c>
      <c r="G609" t="str">
        <v>Green</v>
      </c>
      <c r="H609" t="str">
        <v>Green</v>
      </c>
      <c r="I609" t="str">
        <v>Green</v>
      </c>
      <c r="J609" t="str">
        <v>Green</v>
      </c>
      <c r="K609" t="str">
        <v>Green</v>
      </c>
      <c r="L609" t="str">
        <v>Green</v>
      </c>
      <c r="M609" t="str">
        <v>Green</v>
      </c>
      <c r="N609" t="str">
        <v>Green</v>
      </c>
      <c r="O609" t="str">
        <v>Green</v>
      </c>
      <c r="P609" t="str">
        <v>Green</v>
      </c>
      <c r="Q609" t="str">
        <v>Green</v>
      </c>
      <c r="R609" t="str">
        <v>Green</v>
      </c>
      <c r="S609" t="str">
        <v>Green</v>
      </c>
      <c r="T609" t="str">
        <v>Green</v>
      </c>
      <c r="U609" t="s">
        <v>1297</v>
      </c>
      <c r="V609" t="str">
        <f t="shared" si="56"/>
        <v>2016/17Outputs - connectionsConnections Guaranteed Standards of Performance (GSOPs)RAG</v>
      </c>
    </row>
    <row r="610" spans="1:22">
      <c r="A610" s="900" t="s">
        <v>138</v>
      </c>
      <c r="B610" s="900"/>
      <c r="C610" s="900" t="s">
        <v>1307</v>
      </c>
      <c r="D610" t="s">
        <v>357</v>
      </c>
      <c r="E610" t="s">
        <v>63</v>
      </c>
      <c r="F610" t="s">
        <v>1299</v>
      </c>
      <c r="G610">
        <v>14</v>
      </c>
      <c r="H610">
        <v>10</v>
      </c>
      <c r="I610">
        <v>8</v>
      </c>
      <c r="J610">
        <v>1</v>
      </c>
      <c r="K610">
        <v>1</v>
      </c>
      <c r="L610">
        <v>1</v>
      </c>
      <c r="M610">
        <v>1</v>
      </c>
      <c r="N610">
        <v>7</v>
      </c>
      <c r="O610">
        <v>13</v>
      </c>
      <c r="P610">
        <v>12</v>
      </c>
      <c r="Q610">
        <v>11</v>
      </c>
      <c r="R610">
        <v>6</v>
      </c>
      <c r="S610">
        <v>5</v>
      </c>
      <c r="T610">
        <v>9</v>
      </c>
      <c r="U610">
        <f>AVERAGE(G610:T610)</f>
        <v>7.0714285714285712</v>
      </c>
      <c r="V610" t="str">
        <f t="shared" si="56"/>
        <v>2016/17Outputs - connectionsConnections Guaranteed Standards of Performance (GSOPs)Ranking</v>
      </c>
    </row>
    <row r="611" spans="1:22">
      <c r="A611" s="900" t="s">
        <v>139</v>
      </c>
      <c r="B611" s="900"/>
      <c r="C611" s="900" t="s">
        <v>1307</v>
      </c>
      <c r="D611" t="s">
        <v>357</v>
      </c>
      <c r="E611" t="s">
        <v>359</v>
      </c>
      <c r="F611" t="s">
        <v>1299</v>
      </c>
      <c r="G611">
        <f t="array" ref="G611:T616">TRANSPOSE('Ch2 outputs - connections'!S85:X98)</f>
        <v>19960</v>
      </c>
      <c r="H611">
        <v>22582</v>
      </c>
      <c r="I611">
        <v>29262</v>
      </c>
      <c r="J611">
        <v>37789</v>
      </c>
      <c r="K611">
        <v>37198</v>
      </c>
      <c r="L611">
        <v>16412</v>
      </c>
      <c r="M611">
        <v>36429</v>
      </c>
      <c r="N611">
        <v>22392</v>
      </c>
      <c r="O611">
        <v>29614</v>
      </c>
      <c r="P611">
        <v>51254</v>
      </c>
      <c r="Q611">
        <v>13973</v>
      </c>
      <c r="R611">
        <v>15272</v>
      </c>
      <c r="S611">
        <v>15972</v>
      </c>
      <c r="T611">
        <v>48229</v>
      </c>
      <c r="U611">
        <f>AVERAGE(G611:T611)</f>
        <v>28309.857142857141</v>
      </c>
      <c r="V611" t="str">
        <f t="shared" si="56"/>
        <v>2017/18Outputs - connectionsConnections Guaranteed Standards of Performance (GSOPs)Total number of cases where the Connection GSOPs apply</v>
      </c>
    </row>
    <row r="612" spans="1:22">
      <c r="A612" s="900" t="s">
        <v>139</v>
      </c>
      <c r="B612" s="900"/>
      <c r="C612" s="900" t="s">
        <v>1307</v>
      </c>
      <c r="D612" t="s">
        <v>357</v>
      </c>
      <c r="E612" t="s">
        <v>360</v>
      </c>
      <c r="F612" t="s">
        <v>1299</v>
      </c>
      <c r="G612">
        <v>59</v>
      </c>
      <c r="H612">
        <v>110</v>
      </c>
      <c r="I612">
        <v>176</v>
      </c>
      <c r="J612">
        <v>0</v>
      </c>
      <c r="K612">
        <v>0</v>
      </c>
      <c r="L612">
        <v>0</v>
      </c>
      <c r="M612">
        <v>0</v>
      </c>
      <c r="N612">
        <v>20</v>
      </c>
      <c r="O612">
        <v>65</v>
      </c>
      <c r="P612">
        <v>113</v>
      </c>
      <c r="Q612">
        <v>55</v>
      </c>
      <c r="R612">
        <v>96</v>
      </c>
      <c r="S612">
        <v>14</v>
      </c>
      <c r="T612">
        <v>307</v>
      </c>
      <c r="U612">
        <f>AVERAGE(G612:T612)</f>
        <v>72.5</v>
      </c>
      <c r="V612" t="str">
        <f t="shared" si="56"/>
        <v>2017/18Outputs - connectionsConnections Guaranteed Standards of Performance (GSOPs)Total number of cases where the Connection GSOPs apply and the standard was not met  </v>
      </c>
    </row>
    <row r="613" spans="1:22">
      <c r="A613" s="900" t="s">
        <v>139</v>
      </c>
      <c r="B613" s="900"/>
      <c r="C613" s="900" t="s">
        <v>1307</v>
      </c>
      <c r="D613" t="s">
        <v>357</v>
      </c>
      <c r="E613" t="s">
        <v>1312</v>
      </c>
      <c r="F613" t="s">
        <v>734</v>
      </c>
      <c r="G613">
        <v>11743.14679820158</v>
      </c>
      <c r="H613">
        <v>29638.004714304421</v>
      </c>
      <c r="I613">
        <v>39762.578026103278</v>
      </c>
      <c r="J613">
        <v>0</v>
      </c>
      <c r="K613">
        <v>0</v>
      </c>
      <c r="L613">
        <v>0</v>
      </c>
      <c r="M613">
        <v>0</v>
      </c>
      <c r="N613">
        <v>6644.0743812475439</v>
      </c>
      <c r="O613">
        <v>20718.872495525775</v>
      </c>
      <c r="P613">
        <v>18777.716181413416</v>
      </c>
      <c r="Q613">
        <v>12365.675062202627</v>
      </c>
      <c r="R613">
        <v>28873.992753939499</v>
      </c>
      <c r="S613">
        <v>47363.082194770614</v>
      </c>
      <c r="T613">
        <v>73571.522109214711</v>
      </c>
      <c r="U613">
        <f>AVERAGE(G613:T613)</f>
        <v>20675.618908351677</v>
      </c>
      <c r="V613" t="str">
        <f t="shared" si="56"/>
        <v>2017/18Outputs - connectionsConnections Guaranteed Standards of Performance (GSOPs)Total penalties paid against the Connection GSOPs (£) (2018/19 prices)</v>
      </c>
    </row>
    <row r="614" spans="1:22">
      <c r="A614" s="900" t="s">
        <v>139</v>
      </c>
      <c r="B614" s="900"/>
      <c r="C614" s="900" t="s">
        <v>1307</v>
      </c>
      <c r="D614" t="s">
        <v>357</v>
      </c>
      <c r="E614" t="s">
        <v>361</v>
      </c>
      <c r="F614" t="s">
        <v>1300</v>
      </c>
      <c r="G614" s="829">
        <v>2.9559118236472948E-3</v>
      </c>
      <c r="H614" s="829">
        <v>4.8711363032503761E-3</v>
      </c>
      <c r="I614" s="829">
        <v>6.0146264780261086E-3</v>
      </c>
      <c r="J614" s="829">
        <v>0</v>
      </c>
      <c r="K614" s="829">
        <v>0</v>
      </c>
      <c r="L614" s="829">
        <v>0</v>
      </c>
      <c r="M614" s="829">
        <v>0</v>
      </c>
      <c r="N614" s="829">
        <v>8.9317613433369063E-4</v>
      </c>
      <c r="O614" s="829">
        <v>2.1949078138718174E-3</v>
      </c>
      <c r="P614" s="829">
        <v>2.20470597416787E-3</v>
      </c>
      <c r="Q614" s="829">
        <v>3.9361625992986472E-3</v>
      </c>
      <c r="R614" s="829">
        <v>6.2860136196961763E-3</v>
      </c>
      <c r="S614" s="829">
        <v>8.7653393438517403E-4</v>
      </c>
      <c r="T614" s="829">
        <v>6.3654647618652674E-3</v>
      </c>
      <c r="U614" s="829">
        <f>U612/U611</f>
        <v>2.5609454556464431E-3</v>
      </c>
      <c r="V614" t="str">
        <f t="shared" si="56"/>
        <v>2017/18Outputs - connectionsConnections Guaranteed Standards of Performance (GSOPs)% of total cases when standard not met</v>
      </c>
    </row>
    <row r="615" spans="1:22">
      <c r="A615" s="900" t="s">
        <v>139</v>
      </c>
      <c r="B615" s="900"/>
      <c r="C615" s="900" t="s">
        <v>1307</v>
      </c>
      <c r="D615" t="s">
        <v>357</v>
      </c>
      <c r="E615" t="s">
        <v>339</v>
      </c>
      <c r="F615" t="s">
        <v>1296</v>
      </c>
      <c r="G615" t="str">
        <v>Green</v>
      </c>
      <c r="H615" t="str">
        <v>Green</v>
      </c>
      <c r="I615" t="str">
        <v>Green</v>
      </c>
      <c r="J615" t="str">
        <v>Green</v>
      </c>
      <c r="K615" t="str">
        <v>Green</v>
      </c>
      <c r="L615" t="str">
        <v>Green</v>
      </c>
      <c r="M615" t="str">
        <v>Green</v>
      </c>
      <c r="N615" t="str">
        <v>Green</v>
      </c>
      <c r="O615" t="str">
        <v>Green</v>
      </c>
      <c r="P615" t="str">
        <v>Green</v>
      </c>
      <c r="Q615" t="str">
        <v>Green</v>
      </c>
      <c r="R615" t="str">
        <v>Green</v>
      </c>
      <c r="S615" t="str">
        <v>Green</v>
      </c>
      <c r="T615" t="str">
        <v>Green</v>
      </c>
      <c r="U615" t="s">
        <v>1297</v>
      </c>
      <c r="V615" t="str">
        <f t="shared" si="56"/>
        <v>2017/18Outputs - connectionsConnections Guaranteed Standards of Performance (GSOPs)RAG</v>
      </c>
    </row>
    <row r="616" spans="1:22">
      <c r="A616" s="900" t="s">
        <v>139</v>
      </c>
      <c r="B616" s="900"/>
      <c r="C616" s="900" t="s">
        <v>1307</v>
      </c>
      <c r="D616" t="s">
        <v>357</v>
      </c>
      <c r="E616" t="s">
        <v>63</v>
      </c>
      <c r="F616" t="s">
        <v>1299</v>
      </c>
      <c r="G616">
        <v>9</v>
      </c>
      <c r="H616">
        <v>11</v>
      </c>
      <c r="I616">
        <v>12</v>
      </c>
      <c r="J616">
        <v>1</v>
      </c>
      <c r="K616">
        <v>1</v>
      </c>
      <c r="L616">
        <v>1</v>
      </c>
      <c r="M616">
        <v>1</v>
      </c>
      <c r="N616">
        <v>6</v>
      </c>
      <c r="O616">
        <v>7</v>
      </c>
      <c r="P616">
        <v>8</v>
      </c>
      <c r="Q616">
        <v>10</v>
      </c>
      <c r="R616">
        <v>13</v>
      </c>
      <c r="S616">
        <v>5</v>
      </c>
      <c r="T616">
        <v>14</v>
      </c>
      <c r="U616">
        <f>AVERAGE(G616:T616)</f>
        <v>7.0714285714285712</v>
      </c>
      <c r="V616" t="str">
        <f t="shared" si="56"/>
        <v>2017/18Outputs - connectionsConnections Guaranteed Standards of Performance (GSOPs)Ranking</v>
      </c>
    </row>
    <row r="617" spans="1:22">
      <c r="A617" s="900" t="s">
        <v>140</v>
      </c>
      <c r="B617" s="900"/>
      <c r="C617" s="900" t="s">
        <v>1307</v>
      </c>
      <c r="D617" t="s">
        <v>357</v>
      </c>
      <c r="E617" t="s">
        <v>359</v>
      </c>
      <c r="F617" t="s">
        <v>1299</v>
      </c>
      <c r="G617">
        <f t="array" ref="G617:T622">TRANSPOSE('Ch2 outputs - connections'!Z85:AE98)</f>
        <v>20857</v>
      </c>
      <c r="H617">
        <v>18686</v>
      </c>
      <c r="I617">
        <v>27120</v>
      </c>
      <c r="J617">
        <v>36158</v>
      </c>
      <c r="K617">
        <v>38018</v>
      </c>
      <c r="L617">
        <v>15416</v>
      </c>
      <c r="M617">
        <v>35922</v>
      </c>
      <c r="N617">
        <v>21455</v>
      </c>
      <c r="O617">
        <v>28627</v>
      </c>
      <c r="P617">
        <v>52745</v>
      </c>
      <c r="Q617">
        <v>12718</v>
      </c>
      <c r="R617">
        <v>13664</v>
      </c>
      <c r="S617">
        <v>16295</v>
      </c>
      <c r="T617">
        <v>49956</v>
      </c>
      <c r="U617">
        <f>AVERAGE(G617:T617)</f>
        <v>27688.357142857141</v>
      </c>
      <c r="V617" t="str">
        <f t="shared" si="56"/>
        <v>2018/19Outputs - connectionsConnections Guaranteed Standards of Performance (GSOPs)Total number of cases where the Connection GSOPs apply</v>
      </c>
    </row>
    <row r="618" spans="1:22">
      <c r="A618" s="900" t="s">
        <v>140</v>
      </c>
      <c r="B618" s="900"/>
      <c r="C618" s="900" t="s">
        <v>1307</v>
      </c>
      <c r="D618" t="s">
        <v>357</v>
      </c>
      <c r="E618" t="s">
        <v>360</v>
      </c>
      <c r="F618" t="s">
        <v>1299</v>
      </c>
      <c r="G618">
        <v>22</v>
      </c>
      <c r="H618">
        <v>84</v>
      </c>
      <c r="I618">
        <v>173</v>
      </c>
      <c r="J618">
        <v>1</v>
      </c>
      <c r="K618">
        <v>0</v>
      </c>
      <c r="L618">
        <v>0</v>
      </c>
      <c r="M618">
        <v>1</v>
      </c>
      <c r="N618">
        <v>4</v>
      </c>
      <c r="O618">
        <v>42</v>
      </c>
      <c r="P618">
        <v>70</v>
      </c>
      <c r="Q618">
        <v>133</v>
      </c>
      <c r="R618">
        <v>64</v>
      </c>
      <c r="S618">
        <v>17</v>
      </c>
      <c r="T618">
        <v>869</v>
      </c>
      <c r="U618">
        <f>AVERAGE(G618:T618)</f>
        <v>105.71428571428571</v>
      </c>
      <c r="V618" t="str">
        <f t="shared" si="56"/>
        <v>2018/19Outputs - connectionsConnections Guaranteed Standards of Performance (GSOPs)Total number of cases where the Connection GSOPs apply and the standard was not met  </v>
      </c>
    </row>
    <row r="619" spans="1:22">
      <c r="A619" s="900" t="s">
        <v>140</v>
      </c>
      <c r="B619" s="900"/>
      <c r="C619" s="900" t="s">
        <v>1307</v>
      </c>
      <c r="D619" t="s">
        <v>357</v>
      </c>
      <c r="E619" t="s">
        <v>1312</v>
      </c>
      <c r="F619" t="s">
        <v>734</v>
      </c>
      <c r="G619">
        <v>7084.0992841712923</v>
      </c>
      <c r="H619">
        <v>24157.327714007373</v>
      </c>
      <c r="I619">
        <v>41450.218137151096</v>
      </c>
      <c r="J619">
        <v>142.78029564996402</v>
      </c>
      <c r="K619">
        <v>0</v>
      </c>
      <c r="L619">
        <v>0</v>
      </c>
      <c r="M619">
        <v>32.949298996145544</v>
      </c>
      <c r="N619">
        <v>450.30708628065577</v>
      </c>
      <c r="O619">
        <v>15085.287390401969</v>
      </c>
      <c r="P619">
        <v>9643.1615062052624</v>
      </c>
      <c r="Q619">
        <v>55887.502647295536</v>
      </c>
      <c r="R619">
        <v>45739.118556482703</v>
      </c>
      <c r="S619">
        <v>16315.394552924736</v>
      </c>
      <c r="T619">
        <v>657333.0234232709</v>
      </c>
      <c r="U619">
        <f>AVERAGE(G619:T619)</f>
        <v>62380.083563774118</v>
      </c>
      <c r="V619" t="str">
        <f t="shared" si="56"/>
        <v>2018/19Outputs - connectionsConnections Guaranteed Standards of Performance (GSOPs)Total penalties paid against the Connection GSOPs (£) (2018/19 prices)</v>
      </c>
    </row>
    <row r="620" spans="1:22">
      <c r="A620" s="900" t="s">
        <v>140</v>
      </c>
      <c r="B620" s="900"/>
      <c r="C620" s="900" t="s">
        <v>1307</v>
      </c>
      <c r="D620" t="s">
        <v>357</v>
      </c>
      <c r="E620" t="s">
        <v>361</v>
      </c>
      <c r="F620" t="s">
        <v>1300</v>
      </c>
      <c r="G620" s="829">
        <v>1.0548017452174331E-3</v>
      </c>
      <c r="H620" s="829">
        <v>4.4953441078882583E-3</v>
      </c>
      <c r="I620" s="829">
        <v>6.37905604719764E-3</v>
      </c>
      <c r="J620" s="829">
        <v>2.765639692460866E-5</v>
      </c>
      <c r="K620" s="829">
        <v>0</v>
      </c>
      <c r="L620" s="829">
        <v>0</v>
      </c>
      <c r="M620" s="829">
        <v>2.7838093647347028E-5</v>
      </c>
      <c r="N620" s="829">
        <v>1.8643672803542297E-4</v>
      </c>
      <c r="O620" s="829">
        <v>1.4671464002515109E-3</v>
      </c>
      <c r="P620" s="829">
        <v>1.3271400132714001E-3</v>
      </c>
      <c r="Q620" s="829">
        <v>1.0457619122503538E-2</v>
      </c>
      <c r="R620" s="829">
        <v>4.6838407494145199E-3</v>
      </c>
      <c r="S620" s="829">
        <v>1.0432648051549554E-3</v>
      </c>
      <c r="T620" s="829">
        <v>1.7395307870926417E-2</v>
      </c>
      <c r="U620" s="829">
        <f>U618/U617</f>
        <v>3.8180049892038168E-3</v>
      </c>
      <c r="V620" t="str">
        <f t="shared" si="56"/>
        <v>2018/19Outputs - connectionsConnections Guaranteed Standards of Performance (GSOPs)% of total cases when standard not met</v>
      </c>
    </row>
    <row r="621" spans="1:22">
      <c r="A621" s="900" t="s">
        <v>140</v>
      </c>
      <c r="B621" s="900"/>
      <c r="C621" s="900" t="s">
        <v>1307</v>
      </c>
      <c r="D621" t="s">
        <v>357</v>
      </c>
      <c r="E621" t="s">
        <v>339</v>
      </c>
      <c r="F621" t="s">
        <v>1296</v>
      </c>
      <c r="G621" t="str">
        <v>Green</v>
      </c>
      <c r="H621" t="str">
        <v>Green</v>
      </c>
      <c r="I621" t="str">
        <v>Green</v>
      </c>
      <c r="J621" t="str">
        <v>Green</v>
      </c>
      <c r="K621" t="str">
        <v>Green</v>
      </c>
      <c r="L621" t="str">
        <v>Green</v>
      </c>
      <c r="M621" t="str">
        <v>Green</v>
      </c>
      <c r="N621" t="str">
        <v>Green</v>
      </c>
      <c r="O621" t="str">
        <v>Green</v>
      </c>
      <c r="P621" t="str">
        <v>Green</v>
      </c>
      <c r="Q621" t="str">
        <v>Green</v>
      </c>
      <c r="R621" t="str">
        <v>Green</v>
      </c>
      <c r="S621" t="str">
        <v>Green</v>
      </c>
      <c r="T621" t="str">
        <v>Green</v>
      </c>
      <c r="U621" t="s">
        <v>1297</v>
      </c>
      <c r="V621" t="str">
        <f t="shared" si="56"/>
        <v>2018/19Outputs - connectionsConnections Guaranteed Standards of Performance (GSOPs)RAG</v>
      </c>
    </row>
    <row r="622" spans="1:22">
      <c r="A622" s="900" t="s">
        <v>140</v>
      </c>
      <c r="B622" s="900"/>
      <c r="C622" s="900" t="s">
        <v>1307</v>
      </c>
      <c r="D622" t="s">
        <v>357</v>
      </c>
      <c r="E622" t="s">
        <v>63</v>
      </c>
      <c r="F622" t="s">
        <v>1299</v>
      </c>
      <c r="G622">
        <v>7</v>
      </c>
      <c r="H622">
        <v>10</v>
      </c>
      <c r="I622">
        <v>12</v>
      </c>
      <c r="J622">
        <v>3</v>
      </c>
      <c r="K622">
        <v>1</v>
      </c>
      <c r="L622">
        <v>1</v>
      </c>
      <c r="M622">
        <v>4</v>
      </c>
      <c r="N622">
        <v>5</v>
      </c>
      <c r="O622">
        <v>9</v>
      </c>
      <c r="P622">
        <v>8</v>
      </c>
      <c r="Q622">
        <v>13</v>
      </c>
      <c r="R622">
        <v>11</v>
      </c>
      <c r="S622">
        <v>6</v>
      </c>
      <c r="T622">
        <v>14</v>
      </c>
      <c r="U622">
        <f>AVERAGE(G622:T622)</f>
        <v>7.4285714285714288</v>
      </c>
      <c r="V622" t="str">
        <f t="shared" si="56"/>
        <v>2018/19Outputs - connectionsConnections Guaranteed Standards of Performance (GSOPs)Ranking</v>
      </c>
    </row>
    <row r="623" spans="1:22">
      <c r="A623" s="900" t="s">
        <v>141</v>
      </c>
      <c r="B623" s="900"/>
      <c r="C623" s="900" t="s">
        <v>1307</v>
      </c>
      <c r="D623" t="s">
        <v>357</v>
      </c>
      <c r="E623" t="s">
        <v>359</v>
      </c>
      <c r="F623" t="s">
        <v>1299</v>
      </c>
      <c r="G623">
        <f t="array" ref="G623:T628">TRANSPOSE('Ch2 outputs - connections'!AG85:AL98)</f>
        <v>19630</v>
      </c>
      <c r="H623">
        <v>16874</v>
      </c>
      <c r="I623">
        <v>25661</v>
      </c>
      <c r="J623">
        <v>35222</v>
      </c>
      <c r="K623">
        <v>37309</v>
      </c>
      <c r="L623">
        <v>15766</v>
      </c>
      <c r="M623">
        <v>35406</v>
      </c>
      <c r="N623">
        <v>20903</v>
      </c>
      <c r="O623">
        <v>27565</v>
      </c>
      <c r="P623">
        <v>48337</v>
      </c>
      <c r="Q623">
        <v>12813</v>
      </c>
      <c r="R623">
        <v>12464</v>
      </c>
      <c r="S623">
        <v>14958</v>
      </c>
      <c r="T623">
        <v>46817</v>
      </c>
      <c r="U623">
        <f t="shared" ref="U623:U628" si="57">AVERAGE(G623:T623)</f>
        <v>26408.928571428572</v>
      </c>
      <c r="V623" t="str">
        <f t="shared" si="56"/>
        <v>2019/20Outputs - connectionsConnections Guaranteed Standards of Performance (GSOPs)Total number of cases where the Connection GSOPs apply</v>
      </c>
    </row>
    <row r="624" spans="1:22">
      <c r="A624" s="900" t="s">
        <v>141</v>
      </c>
      <c r="B624" s="900"/>
      <c r="C624" s="900" t="s">
        <v>1307</v>
      </c>
      <c r="D624" t="s">
        <v>357</v>
      </c>
      <c r="E624" t="s">
        <v>360</v>
      </c>
      <c r="F624" t="s">
        <v>1299</v>
      </c>
      <c r="G624">
        <v>23</v>
      </c>
      <c r="H624">
        <v>222</v>
      </c>
      <c r="I624">
        <v>189</v>
      </c>
      <c r="J624">
        <v>0</v>
      </c>
      <c r="K624">
        <v>1</v>
      </c>
      <c r="L624">
        <v>0</v>
      </c>
      <c r="M624">
        <v>7</v>
      </c>
      <c r="N624">
        <v>19</v>
      </c>
      <c r="O624">
        <v>45</v>
      </c>
      <c r="P624">
        <v>55</v>
      </c>
      <c r="Q624">
        <v>70</v>
      </c>
      <c r="R624">
        <v>35</v>
      </c>
      <c r="S624">
        <v>12</v>
      </c>
      <c r="T624">
        <v>229</v>
      </c>
      <c r="U624">
        <f t="shared" si="57"/>
        <v>64.785714285714292</v>
      </c>
      <c r="V624" t="str">
        <f t="shared" si="56"/>
        <v>2019/20Outputs - connectionsConnections Guaranteed Standards of Performance (GSOPs)Total number of cases where the Connection GSOPs apply and the standard was not met  </v>
      </c>
    </row>
    <row r="625" spans="1:22">
      <c r="A625" s="900" t="s">
        <v>141</v>
      </c>
      <c r="B625" s="900"/>
      <c r="C625" s="900" t="s">
        <v>1307</v>
      </c>
      <c r="D625" t="s">
        <v>357</v>
      </c>
      <c r="E625" t="s">
        <v>1312</v>
      </c>
      <c r="F625" t="s">
        <v>734</v>
      </c>
      <c r="G625">
        <v>7215.8132685571954</v>
      </c>
      <c r="H625">
        <v>30238.968215192577</v>
      </c>
      <c r="I625">
        <v>46040.956916068571</v>
      </c>
      <c r="J625">
        <v>0</v>
      </c>
      <c r="K625">
        <v>214.11908808775058</v>
      </c>
      <c r="L625">
        <v>0</v>
      </c>
      <c r="M625">
        <v>3645.3774746939539</v>
      </c>
      <c r="N625">
        <v>8950.1778820679756</v>
      </c>
      <c r="O625">
        <v>7130.1656333220953</v>
      </c>
      <c r="P625">
        <v>13708.974614818231</v>
      </c>
      <c r="Q625">
        <v>23959.925957019292</v>
      </c>
      <c r="R625">
        <v>7718.9931255634092</v>
      </c>
      <c r="S625">
        <v>5224.505749341115</v>
      </c>
      <c r="T625">
        <v>72506.076203714547</v>
      </c>
      <c r="U625">
        <f t="shared" si="57"/>
        <v>16182.432437746191</v>
      </c>
      <c r="V625" t="str">
        <f t="shared" si="56"/>
        <v>2019/20Outputs - connectionsConnections Guaranteed Standards of Performance (GSOPs)Total penalties paid against the Connection GSOPs (£) (2018/19 prices)</v>
      </c>
    </row>
    <row r="626" spans="1:22">
      <c r="A626" s="900" t="s">
        <v>141</v>
      </c>
      <c r="B626" s="900"/>
      <c r="C626" s="900" t="s">
        <v>1307</v>
      </c>
      <c r="D626" t="s">
        <v>357</v>
      </c>
      <c r="E626" t="s">
        <v>361</v>
      </c>
      <c r="F626" t="s">
        <v>1300</v>
      </c>
      <c r="G626">
        <v>1.1716760061130922E-3</v>
      </c>
      <c r="H626">
        <v>1.3156335190233496E-2</v>
      </c>
      <c r="I626">
        <v>7.3652624605432373E-3</v>
      </c>
      <c r="J626">
        <v>0</v>
      </c>
      <c r="K626">
        <v>2.6803184218285131E-5</v>
      </c>
      <c r="L626">
        <v>0</v>
      </c>
      <c r="M626">
        <v>1.9770660340055358E-4</v>
      </c>
      <c r="N626">
        <v>9.0896043630100942E-4</v>
      </c>
      <c r="O626">
        <v>1.6325049882096863E-3</v>
      </c>
      <c r="P626">
        <v>1.1378447152285E-3</v>
      </c>
      <c r="Q626">
        <v>5.4632014360415206E-3</v>
      </c>
      <c r="R626">
        <v>2.8080872913992297E-3</v>
      </c>
      <c r="S626">
        <v>8.0224628961091051E-4</v>
      </c>
      <c r="T626">
        <v>4.8913856077920414E-3</v>
      </c>
      <c r="U626">
        <f t="shared" si="57"/>
        <v>2.8258581577922551E-3</v>
      </c>
      <c r="V626" t="str">
        <f t="shared" si="56"/>
        <v>2019/20Outputs - connectionsConnections Guaranteed Standards of Performance (GSOPs)% of total cases when standard not met</v>
      </c>
    </row>
    <row r="627" spans="1:22">
      <c r="A627" s="900" t="s">
        <v>141</v>
      </c>
      <c r="B627" s="900"/>
      <c r="C627" s="900" t="s">
        <v>1307</v>
      </c>
      <c r="D627" t="s">
        <v>357</v>
      </c>
      <c r="E627" t="s">
        <v>339</v>
      </c>
      <c r="F627" t="s">
        <v>1296</v>
      </c>
      <c r="G627" t="str">
        <v>Green</v>
      </c>
      <c r="H627" t="str">
        <v>Green</v>
      </c>
      <c r="I627" t="str">
        <v>Green</v>
      </c>
      <c r="J627" t="str">
        <v>Green</v>
      </c>
      <c r="K627" t="str">
        <v>Green</v>
      </c>
      <c r="L627" t="str">
        <v>Green</v>
      </c>
      <c r="M627" t="str">
        <v>Green</v>
      </c>
      <c r="N627" t="str">
        <v>Green</v>
      </c>
      <c r="O627" t="str">
        <v>Green</v>
      </c>
      <c r="P627" t="str">
        <v>Green</v>
      </c>
      <c r="Q627" t="str">
        <v>Green</v>
      </c>
      <c r="R627" t="str">
        <v>Green</v>
      </c>
      <c r="S627" t="str">
        <v>Green</v>
      </c>
      <c r="T627" t="str">
        <v>Green</v>
      </c>
      <c r="U627" t="s">
        <v>1297</v>
      </c>
      <c r="V627" t="str">
        <f t="shared" si="56"/>
        <v>2019/20Outputs - connectionsConnections Guaranteed Standards of Performance (GSOPs)RAG</v>
      </c>
    </row>
    <row r="628" spans="1:22">
      <c r="A628" s="900" t="s">
        <v>141</v>
      </c>
      <c r="B628" s="900"/>
      <c r="C628" s="900" t="s">
        <v>1307</v>
      </c>
      <c r="D628" t="s">
        <v>357</v>
      </c>
      <c r="E628" t="s">
        <v>63</v>
      </c>
      <c r="F628" t="s">
        <v>1299</v>
      </c>
      <c r="G628">
        <v>8</v>
      </c>
      <c r="H628">
        <v>14</v>
      </c>
      <c r="I628">
        <v>13</v>
      </c>
      <c r="J628">
        <v>1</v>
      </c>
      <c r="K628">
        <v>3</v>
      </c>
      <c r="L628">
        <v>1</v>
      </c>
      <c r="M628">
        <v>4</v>
      </c>
      <c r="N628">
        <v>6</v>
      </c>
      <c r="O628">
        <v>9</v>
      </c>
      <c r="P628">
        <v>7</v>
      </c>
      <c r="Q628">
        <v>12</v>
      </c>
      <c r="R628">
        <v>10</v>
      </c>
      <c r="S628">
        <v>5</v>
      </c>
      <c r="T628">
        <v>11</v>
      </c>
      <c r="U628">
        <f t="shared" si="57"/>
        <v>7.4285714285714288</v>
      </c>
      <c r="V628" t="str">
        <f t="shared" si="56"/>
        <v>2019/20Outputs - connectionsConnections Guaranteed Standards of Performance (GSOPs)Ranking</v>
      </c>
    </row>
    <row r="629" spans="1:22">
      <c r="A629" s="900" t="s">
        <v>126</v>
      </c>
      <c r="B629" s="900"/>
      <c r="C629" s="900" t="s">
        <v>1307</v>
      </c>
      <c r="D629" t="s">
        <v>357</v>
      </c>
      <c r="E629" t="s">
        <v>359</v>
      </c>
      <c r="F629" t="s">
        <v>1299</v>
      </c>
      <c r="G629" cm="1">
        <f t="array" ref="G629:T634">TRANSPOSE('Ch2 outputs - connections'!AN85:AS98)</f>
        <v>19633</v>
      </c>
      <c r="H629">
        <v>15559</v>
      </c>
      <c r="I629">
        <v>24923</v>
      </c>
      <c r="J629">
        <v>36632</v>
      </c>
      <c r="K629">
        <v>37222</v>
      </c>
      <c r="L629">
        <v>16693</v>
      </c>
      <c r="M629">
        <v>36469</v>
      </c>
      <c r="N629">
        <v>19344</v>
      </c>
      <c r="O629">
        <v>26971</v>
      </c>
      <c r="P629">
        <v>47039</v>
      </c>
      <c r="Q629">
        <v>11603</v>
      </c>
      <c r="R629">
        <v>12471</v>
      </c>
      <c r="S629">
        <v>13546</v>
      </c>
      <c r="T629">
        <v>46137</v>
      </c>
      <c r="U629">
        <f t="shared" ref="U629:U640" si="58">AVERAGE(G629:T629)</f>
        <v>26017.285714285714</v>
      </c>
      <c r="V629" t="str">
        <f t="shared" si="56"/>
        <v>2020/21Outputs - connectionsConnections Guaranteed Standards of Performance (GSOPs)Total number of cases where the Connection GSOPs apply</v>
      </c>
    </row>
    <row r="630" spans="1:22">
      <c r="A630" s="900" t="s">
        <v>126</v>
      </c>
      <c r="B630" s="900"/>
      <c r="C630" s="900" t="s">
        <v>1307</v>
      </c>
      <c r="D630" t="s">
        <v>357</v>
      </c>
      <c r="E630" t="s">
        <v>360</v>
      </c>
      <c r="F630" t="s">
        <v>1299</v>
      </c>
      <c r="G630">
        <v>39</v>
      </c>
      <c r="H630">
        <v>137</v>
      </c>
      <c r="I630">
        <v>186</v>
      </c>
      <c r="J630">
        <v>1</v>
      </c>
      <c r="K630">
        <v>1</v>
      </c>
      <c r="L630">
        <v>1</v>
      </c>
      <c r="M630">
        <v>5</v>
      </c>
      <c r="N630">
        <v>11</v>
      </c>
      <c r="O630">
        <v>18</v>
      </c>
      <c r="P630">
        <v>19</v>
      </c>
      <c r="Q630">
        <v>101</v>
      </c>
      <c r="R630">
        <v>37</v>
      </c>
      <c r="S630">
        <v>15</v>
      </c>
      <c r="T630">
        <v>416</v>
      </c>
      <c r="U630">
        <f t="shared" si="58"/>
        <v>70.5</v>
      </c>
      <c r="V630" t="str">
        <f t="shared" si="56"/>
        <v>2020/21Outputs - connectionsConnections Guaranteed Standards of Performance (GSOPs)Total number of cases where the Connection GSOPs apply and the standard was not met  </v>
      </c>
    </row>
    <row r="631" spans="1:22">
      <c r="A631" s="900" t="s">
        <v>126</v>
      </c>
      <c r="B631" s="900"/>
      <c r="C631" s="900" t="s">
        <v>1307</v>
      </c>
      <c r="D631" t="s">
        <v>357</v>
      </c>
      <c r="E631" t="s">
        <v>1312</v>
      </c>
      <c r="F631" t="s">
        <v>734</v>
      </c>
      <c r="G631">
        <v>17532.479849881194</v>
      </c>
      <c r="H631">
        <v>31415.665251370825</v>
      </c>
      <c r="I631">
        <v>50344.396890201831</v>
      </c>
      <c r="J631">
        <v>253.86396162723901</v>
      </c>
      <c r="K631">
        <v>0</v>
      </c>
      <c r="L631">
        <v>15.866497601702438</v>
      </c>
      <c r="M631">
        <v>296.17462189844548</v>
      </c>
      <c r="N631">
        <v>2982.901549120058</v>
      </c>
      <c r="O631">
        <v>3273.787338484603</v>
      </c>
      <c r="P631">
        <v>2744.9040850945216</v>
      </c>
      <c r="Q631">
        <v>22710.246900570088</v>
      </c>
      <c r="R631">
        <v>16638.667151651956</v>
      </c>
      <c r="S631">
        <v>17373.814873864168</v>
      </c>
      <c r="T631">
        <v>90724.633286534532</v>
      </c>
      <c r="U631">
        <f t="shared" si="58"/>
        <v>18307.671589850081</v>
      </c>
      <c r="V631" t="str">
        <f t="shared" si="56"/>
        <v>2020/21Outputs - connectionsConnections Guaranteed Standards of Performance (GSOPs)Total penalties paid against the Connection GSOPs (£) (2018/19 prices)</v>
      </c>
    </row>
    <row r="632" spans="1:22">
      <c r="A632" s="900" t="s">
        <v>126</v>
      </c>
      <c r="B632" s="900"/>
      <c r="C632" s="900" t="s">
        <v>1307</v>
      </c>
      <c r="D632" t="s">
        <v>357</v>
      </c>
      <c r="E632" t="s">
        <v>361</v>
      </c>
      <c r="F632" t="s">
        <v>1300</v>
      </c>
      <c r="G632">
        <v>1.9864513828757703E-3</v>
      </c>
      <c r="H632">
        <v>8.8051931358056439E-3</v>
      </c>
      <c r="I632">
        <v>7.4629859968703607E-3</v>
      </c>
      <c r="J632">
        <v>2.7298536798427603E-5</v>
      </c>
      <c r="K632">
        <v>2.686583203481812E-5</v>
      </c>
      <c r="L632">
        <v>5.9905349547714609E-5</v>
      </c>
      <c r="M632">
        <v>1.3710274479695084E-4</v>
      </c>
      <c r="N632">
        <v>5.6865177832919774E-4</v>
      </c>
      <c r="O632">
        <v>6.6738348596640841E-4</v>
      </c>
      <c r="P632">
        <v>4.0392015136376196E-4</v>
      </c>
      <c r="Q632">
        <v>8.704645350340429E-3</v>
      </c>
      <c r="R632">
        <v>2.9668831689519688E-3</v>
      </c>
      <c r="S632">
        <v>1.1073379595452533E-3</v>
      </c>
      <c r="T632">
        <v>9.0166244012397853E-3</v>
      </c>
      <c r="U632">
        <f t="shared" si="58"/>
        <v>2.9958035196047494E-3</v>
      </c>
      <c r="V632" t="str">
        <f t="shared" si="56"/>
        <v>2020/21Outputs - connectionsConnections Guaranteed Standards of Performance (GSOPs)% of total cases when standard not met</v>
      </c>
    </row>
    <row r="633" spans="1:22">
      <c r="A633" s="900" t="s">
        <v>126</v>
      </c>
      <c r="B633" s="900"/>
      <c r="C633" s="900" t="s">
        <v>1307</v>
      </c>
      <c r="D633" t="s">
        <v>357</v>
      </c>
      <c r="E633" t="s">
        <v>339</v>
      </c>
      <c r="F633" t="s">
        <v>1296</v>
      </c>
      <c r="G633" t="str">
        <v>Green</v>
      </c>
      <c r="H633" t="str">
        <v>Green</v>
      </c>
      <c r="I633" t="str">
        <v>Green</v>
      </c>
      <c r="J633" t="str">
        <v>Green</v>
      </c>
      <c r="K633" t="str">
        <v>Green</v>
      </c>
      <c r="L633" t="str">
        <v>Green</v>
      </c>
      <c r="M633" t="str">
        <v>Green</v>
      </c>
      <c r="N633" t="str">
        <v>Green</v>
      </c>
      <c r="O633" t="str">
        <v>Green</v>
      </c>
      <c r="P633" t="str">
        <v>Green</v>
      </c>
      <c r="Q633" t="str">
        <v>Green</v>
      </c>
      <c r="R633" t="str">
        <v>Green</v>
      </c>
      <c r="S633" t="str">
        <v>Green</v>
      </c>
      <c r="T633" t="str">
        <v>Green</v>
      </c>
      <c r="U633" t="s">
        <v>1297</v>
      </c>
      <c r="V633" t="str">
        <f t="shared" si="56"/>
        <v>2020/21Outputs - connectionsConnections Guaranteed Standards of Performance (GSOPs)RAG</v>
      </c>
    </row>
    <row r="634" spans="1:22">
      <c r="A634" s="900" t="s">
        <v>126</v>
      </c>
      <c r="B634" s="900"/>
      <c r="C634" s="900" t="s">
        <v>1307</v>
      </c>
      <c r="D634" t="s">
        <v>357</v>
      </c>
      <c r="E634" t="s">
        <v>63</v>
      </c>
      <c r="F634" t="s">
        <v>1299</v>
      </c>
      <c r="G634">
        <v>9</v>
      </c>
      <c r="H634">
        <v>13</v>
      </c>
      <c r="I634">
        <v>11</v>
      </c>
      <c r="J634">
        <v>2</v>
      </c>
      <c r="K634">
        <v>1</v>
      </c>
      <c r="L634">
        <v>3</v>
      </c>
      <c r="M634">
        <v>4</v>
      </c>
      <c r="N634">
        <v>6</v>
      </c>
      <c r="O634">
        <v>7</v>
      </c>
      <c r="P634">
        <v>5</v>
      </c>
      <c r="Q634">
        <v>12</v>
      </c>
      <c r="R634">
        <v>10</v>
      </c>
      <c r="S634">
        <v>8</v>
      </c>
      <c r="T634">
        <v>14</v>
      </c>
      <c r="U634">
        <f t="shared" si="58"/>
        <v>7.5</v>
      </c>
      <c r="V634" t="str">
        <f t="shared" si="56"/>
        <v>2020/21Outputs - connectionsConnections Guaranteed Standards of Performance (GSOPs)Ranking</v>
      </c>
    </row>
    <row r="635" spans="1:22">
      <c r="A635" s="900" t="s">
        <v>142</v>
      </c>
      <c r="B635" s="900"/>
      <c r="C635" s="900" t="s">
        <v>1307</v>
      </c>
      <c r="D635" t="s">
        <v>357</v>
      </c>
      <c r="E635" t="s">
        <v>359</v>
      </c>
      <c r="F635" t="s">
        <v>1299</v>
      </c>
      <c r="G635" cm="1">
        <f t="array" ref="G635:T640">TRANSPOSE('Ch2 outputs - connections'!AU85:AZ98)</f>
        <v>23267</v>
      </c>
      <c r="H635">
        <v>13831</v>
      </c>
      <c r="I635">
        <v>22883</v>
      </c>
      <c r="J635">
        <v>39994</v>
      </c>
      <c r="K635">
        <v>41395</v>
      </c>
      <c r="L635">
        <v>17926</v>
      </c>
      <c r="M635">
        <v>41978</v>
      </c>
      <c r="N635">
        <v>21287</v>
      </c>
      <c r="O635">
        <v>28487</v>
      </c>
      <c r="P635">
        <v>49445</v>
      </c>
      <c r="Q635">
        <v>14103</v>
      </c>
      <c r="R635">
        <v>13964</v>
      </c>
      <c r="S635">
        <v>16036</v>
      </c>
      <c r="T635">
        <v>52630</v>
      </c>
      <c r="U635">
        <f t="shared" si="58"/>
        <v>28373.285714285714</v>
      </c>
      <c r="V635" t="str">
        <f t="shared" si="56"/>
        <v>2021/22Outputs - connectionsConnections Guaranteed Standards of Performance (GSOPs)Total number of cases where the Connection GSOPs apply</v>
      </c>
    </row>
    <row r="636" spans="1:22">
      <c r="A636" s="900" t="s">
        <v>142</v>
      </c>
      <c r="B636" s="900"/>
      <c r="C636" s="900" t="s">
        <v>1307</v>
      </c>
      <c r="D636" t="s">
        <v>357</v>
      </c>
      <c r="E636" t="s">
        <v>360</v>
      </c>
      <c r="F636" t="s">
        <v>1299</v>
      </c>
      <c r="G636">
        <v>110</v>
      </c>
      <c r="H636">
        <v>613</v>
      </c>
      <c r="I636">
        <v>767</v>
      </c>
      <c r="J636">
        <v>6</v>
      </c>
      <c r="K636">
        <v>1</v>
      </c>
      <c r="L636">
        <v>0</v>
      </c>
      <c r="M636">
        <v>10</v>
      </c>
      <c r="N636">
        <v>6</v>
      </c>
      <c r="O636">
        <v>25</v>
      </c>
      <c r="P636">
        <v>15</v>
      </c>
      <c r="Q636">
        <v>166</v>
      </c>
      <c r="R636">
        <v>81</v>
      </c>
      <c r="S636">
        <v>48</v>
      </c>
      <c r="T636">
        <v>862</v>
      </c>
      <c r="U636">
        <f t="shared" si="58"/>
        <v>193.57142857142858</v>
      </c>
      <c r="V636" t="str">
        <f t="shared" si="56"/>
        <v>2021/22Outputs - connectionsConnections Guaranteed Standards of Performance (GSOPs)Total number of cases where the Connection GSOPs apply and the standard was not met  </v>
      </c>
    </row>
    <row r="637" spans="1:22">
      <c r="A637" s="900" t="s">
        <v>142</v>
      </c>
      <c r="B637" s="900"/>
      <c r="C637" s="900" t="s">
        <v>1307</v>
      </c>
      <c r="D637" t="s">
        <v>357</v>
      </c>
      <c r="E637" t="s">
        <v>1312</v>
      </c>
      <c r="F637" t="s">
        <v>734</v>
      </c>
      <c r="G637">
        <v>19450</v>
      </c>
      <c r="H637">
        <v>145025</v>
      </c>
      <c r="I637">
        <v>133345</v>
      </c>
      <c r="J637">
        <v>1040</v>
      </c>
      <c r="K637">
        <v>120</v>
      </c>
      <c r="L637">
        <v>0</v>
      </c>
      <c r="M637">
        <v>7015</v>
      </c>
      <c r="N637">
        <v>3050</v>
      </c>
      <c r="O637">
        <v>3650</v>
      </c>
      <c r="P637">
        <v>1705</v>
      </c>
      <c r="Q637">
        <v>39480</v>
      </c>
      <c r="R637">
        <v>16150</v>
      </c>
      <c r="S637">
        <v>6695</v>
      </c>
      <c r="T637">
        <v>252015</v>
      </c>
      <c r="U637">
        <f t="shared" si="58"/>
        <v>44910</v>
      </c>
      <c r="V637" t="str">
        <f t="shared" si="56"/>
        <v>2021/22Outputs - connectionsConnections Guaranteed Standards of Performance (GSOPs)Total penalties paid against the Connection GSOPs (£) (2018/19 prices)</v>
      </c>
    </row>
    <row r="638" spans="1:22">
      <c r="A638" s="900" t="s">
        <v>142</v>
      </c>
      <c r="B638" s="900"/>
      <c r="C638" s="900" t="s">
        <v>1307</v>
      </c>
      <c r="D638" t="s">
        <v>357</v>
      </c>
      <c r="E638" t="s">
        <v>361</v>
      </c>
      <c r="F638" t="s">
        <v>1300</v>
      </c>
      <c r="G638">
        <v>4.7277259638114069E-3</v>
      </c>
      <c r="H638">
        <v>4.4320728797628516E-2</v>
      </c>
      <c r="I638">
        <v>3.3518332386487784E-2</v>
      </c>
      <c r="J638">
        <v>1.5002250337550632E-4</v>
      </c>
      <c r="K638">
        <v>2.4157506945283247E-5</v>
      </c>
      <c r="L638">
        <v>0</v>
      </c>
      <c r="M638">
        <v>2.3822002001048167E-4</v>
      </c>
      <c r="N638">
        <v>2.8186216939916382E-4</v>
      </c>
      <c r="O638">
        <v>8.7759328816653206E-4</v>
      </c>
      <c r="P638">
        <v>3.0336737789463038E-4</v>
      </c>
      <c r="Q638">
        <v>1.1770545274055166E-2</v>
      </c>
      <c r="R638">
        <v>5.8006301919220852E-3</v>
      </c>
      <c r="S638">
        <v>2.9932651534048389E-3</v>
      </c>
      <c r="T638">
        <v>1.6378491354740642E-2</v>
      </c>
      <c r="U638">
        <f t="shared" si="58"/>
        <v>8.6703529991315736E-3</v>
      </c>
      <c r="V638" t="str">
        <f t="shared" si="56"/>
        <v>2021/22Outputs - connectionsConnections Guaranteed Standards of Performance (GSOPs)% of total cases when standard not met</v>
      </c>
    </row>
    <row r="639" spans="1:22">
      <c r="A639" s="900" t="s">
        <v>142</v>
      </c>
      <c r="B639" s="900"/>
      <c r="C639" s="900" t="s">
        <v>1307</v>
      </c>
      <c r="D639" t="s">
        <v>357</v>
      </c>
      <c r="E639" t="s">
        <v>339</v>
      </c>
      <c r="F639" t="s">
        <v>1296</v>
      </c>
      <c r="G639" t="str">
        <v>Green</v>
      </c>
      <c r="H639" t="str">
        <v>Amber</v>
      </c>
      <c r="I639" t="str">
        <v>Amber</v>
      </c>
      <c r="J639" t="str">
        <v>Green</v>
      </c>
      <c r="K639" t="str">
        <v>Green</v>
      </c>
      <c r="L639" t="str">
        <v>Green</v>
      </c>
      <c r="M639" t="str">
        <v>Green</v>
      </c>
      <c r="N639" t="str">
        <v>Green</v>
      </c>
      <c r="O639" t="str">
        <v>Green</v>
      </c>
      <c r="P639" t="str">
        <v>Green</v>
      </c>
      <c r="Q639" t="str">
        <v>Green</v>
      </c>
      <c r="R639" t="str">
        <v>Green</v>
      </c>
      <c r="S639" t="str">
        <v>Green</v>
      </c>
      <c r="T639" t="str">
        <v>Green</v>
      </c>
      <c r="V639" t="str">
        <f t="shared" si="56"/>
        <v>2021/22Outputs - connectionsConnections Guaranteed Standards of Performance (GSOPs)RAG</v>
      </c>
    </row>
    <row r="640" spans="1:22">
      <c r="A640" s="900" t="s">
        <v>142</v>
      </c>
      <c r="B640" s="900"/>
      <c r="C640" s="900" t="s">
        <v>1307</v>
      </c>
      <c r="D640" t="s">
        <v>357</v>
      </c>
      <c r="E640" t="s">
        <v>63</v>
      </c>
      <c r="F640" t="s">
        <v>1299</v>
      </c>
      <c r="G640">
        <v>9</v>
      </c>
      <c r="H640">
        <v>14</v>
      </c>
      <c r="I640">
        <v>13</v>
      </c>
      <c r="J640">
        <v>3</v>
      </c>
      <c r="K640">
        <v>2</v>
      </c>
      <c r="L640">
        <v>1</v>
      </c>
      <c r="M640">
        <v>4</v>
      </c>
      <c r="N640">
        <v>5</v>
      </c>
      <c r="O640">
        <v>7</v>
      </c>
      <c r="P640">
        <v>6</v>
      </c>
      <c r="Q640">
        <v>11</v>
      </c>
      <c r="R640">
        <v>10</v>
      </c>
      <c r="S640">
        <v>8</v>
      </c>
      <c r="T640">
        <v>12</v>
      </c>
      <c r="U640">
        <f t="shared" si="58"/>
        <v>7.5</v>
      </c>
      <c r="V640" t="str">
        <f t="shared" si="56"/>
        <v>2021/22Outputs - connectionsConnections Guaranteed Standards of Performance (GSOPs)Ranking</v>
      </c>
    </row>
    <row r="641" spans="1:22">
      <c r="A641" s="900" t="s">
        <v>138</v>
      </c>
      <c r="B641" s="900"/>
      <c r="C641" s="900" t="s">
        <v>1313</v>
      </c>
      <c r="D641" t="s">
        <v>1314</v>
      </c>
      <c r="E641" s="900" t="s">
        <v>334</v>
      </c>
      <c r="F641" s="900" t="s">
        <v>1289</v>
      </c>
      <c r="G641">
        <f>'Ch2 outputs - environment'!F28</f>
        <v>816085.76862697746</v>
      </c>
      <c r="H641">
        <f>'Ch2 outputs - environment'!$F$29</f>
        <v>410978.4446322908</v>
      </c>
      <c r="I641">
        <f>'Ch2 outputs - environment'!$F$29</f>
        <v>410978.4446322908</v>
      </c>
      <c r="J641">
        <f>'Ch2 outputs - environment'!$F$30</f>
        <v>187875.86040333295</v>
      </c>
      <c r="K641">
        <f>'Ch2 outputs - environment'!$F$30</f>
        <v>187875.86040333295</v>
      </c>
      <c r="L641">
        <f>'Ch2 outputs - environment'!$F$30</f>
        <v>187875.86040333295</v>
      </c>
      <c r="M641">
        <f>'Ch2 outputs - environment'!$F$30</f>
        <v>187875.86040333295</v>
      </c>
      <c r="N641">
        <f>'Ch2 outputs - environment'!$F$31</f>
        <v>1109641.8005071853</v>
      </c>
      <c r="O641">
        <f>'Ch2 outputs - environment'!$F$31</f>
        <v>1109641.8005071853</v>
      </c>
      <c r="P641">
        <f>'Ch2 outputs - environment'!$F$31</f>
        <v>1109641.8005071853</v>
      </c>
      <c r="Q641">
        <f>'Ch2 outputs - environment'!$F$32</f>
        <v>904152.57819103985</v>
      </c>
      <c r="R641">
        <f>'Ch2 outputs - environment'!$F$32</f>
        <v>904152.57819103985</v>
      </c>
      <c r="S641">
        <f>'Ch2 outputs - environment'!$F$33</f>
        <v>1068543.9560439561</v>
      </c>
      <c r="T641">
        <f>'Ch2 outputs - environment'!$F$33</f>
        <v>1068543.9560439561</v>
      </c>
      <c r="U641">
        <f t="shared" ref="U641:U645" si="59">AVERAGE(G641:T641)</f>
        <v>690276.04067831708</v>
      </c>
      <c r="V641" t="str">
        <f t="shared" si="56"/>
        <v>2016/17Outputs - environmentLosses Discretionary RewardReward</v>
      </c>
    </row>
    <row r="642" spans="1:22">
      <c r="A642" s="900" t="s">
        <v>138</v>
      </c>
      <c r="B642" s="900"/>
      <c r="C642" s="900" t="s">
        <v>1313</v>
      </c>
      <c r="D642" t="s">
        <v>1314</v>
      </c>
      <c r="E642" s="900" t="s">
        <v>63</v>
      </c>
      <c r="F642" s="900" t="s">
        <v>1299</v>
      </c>
      <c r="G642">
        <f>RANK(G641,$G$641:$T$641)</f>
        <v>8</v>
      </c>
      <c r="H642">
        <f t="shared" ref="H642:T642" si="60">RANK(H641,$G$641:$T$641)</f>
        <v>9</v>
      </c>
      <c r="I642">
        <f t="shared" si="60"/>
        <v>9</v>
      </c>
      <c r="J642">
        <f t="shared" si="60"/>
        <v>11</v>
      </c>
      <c r="K642">
        <f t="shared" si="60"/>
        <v>11</v>
      </c>
      <c r="L642">
        <f t="shared" si="60"/>
        <v>11</v>
      </c>
      <c r="M642">
        <f t="shared" si="60"/>
        <v>11</v>
      </c>
      <c r="N642">
        <f t="shared" si="60"/>
        <v>1</v>
      </c>
      <c r="O642">
        <f t="shared" si="60"/>
        <v>1</v>
      </c>
      <c r="P642">
        <f t="shared" si="60"/>
        <v>1</v>
      </c>
      <c r="Q642">
        <f t="shared" si="60"/>
        <v>6</v>
      </c>
      <c r="R642">
        <f t="shared" si="60"/>
        <v>6</v>
      </c>
      <c r="S642">
        <f t="shared" si="60"/>
        <v>4</v>
      </c>
      <c r="T642">
        <f t="shared" si="60"/>
        <v>4</v>
      </c>
      <c r="U642">
        <f t="shared" si="59"/>
        <v>6.6428571428571432</v>
      </c>
      <c r="V642" t="str">
        <f t="shared" si="56"/>
        <v>2016/17Outputs - environmentLosses Discretionary RewardRanking</v>
      </c>
    </row>
    <row r="643" spans="1:22">
      <c r="A643" s="900" t="s">
        <v>140</v>
      </c>
      <c r="B643" s="900"/>
      <c r="C643" s="900" t="s">
        <v>1313</v>
      </c>
      <c r="D643" t="s">
        <v>1314</v>
      </c>
      <c r="E643" s="900" t="s">
        <v>334</v>
      </c>
      <c r="F643" s="900" t="s">
        <v>1289</v>
      </c>
      <c r="G643">
        <f>'Ch2 outputs - environment'!H30</f>
        <v>0</v>
      </c>
      <c r="H643">
        <f>'Ch2 outputs - environment'!$H$29</f>
        <v>0</v>
      </c>
      <c r="I643">
        <f>'Ch2 outputs - environment'!$H$29</f>
        <v>0</v>
      </c>
      <c r="J643">
        <f>'Ch2 outputs - environment'!$H$30</f>
        <v>0</v>
      </c>
      <c r="K643">
        <f>'Ch2 outputs - environment'!$H$30</f>
        <v>0</v>
      </c>
      <c r="L643">
        <f>'Ch2 outputs - environment'!$H$30</f>
        <v>0</v>
      </c>
      <c r="M643">
        <f>'Ch2 outputs - environment'!$H$30</f>
        <v>0</v>
      </c>
      <c r="N643">
        <f>'Ch2 outputs - environment'!$H$31</f>
        <v>0</v>
      </c>
      <c r="O643">
        <f>'Ch2 outputs - environment'!$H$31</f>
        <v>0</v>
      </c>
      <c r="P643">
        <f>'Ch2 outputs - environment'!$H$31</f>
        <v>0</v>
      </c>
      <c r="Q643">
        <f>'Ch2 outputs - environment'!$H$32</f>
        <v>0</v>
      </c>
      <c r="R643">
        <f>'Ch2 outputs - environment'!$H$32</f>
        <v>0</v>
      </c>
      <c r="S643">
        <f>'Ch2 outputs - environment'!$H$33</f>
        <v>0</v>
      </c>
      <c r="T643">
        <f>'Ch2 outputs - environment'!$H$33</f>
        <v>0</v>
      </c>
      <c r="U643">
        <f t="shared" si="59"/>
        <v>0</v>
      </c>
      <c r="V643" t="str">
        <f t="shared" si="56"/>
        <v>2018/19Outputs - environmentLosses Discretionary RewardReward</v>
      </c>
    </row>
    <row r="644" spans="1:22">
      <c r="A644" s="900" t="s">
        <v>140</v>
      </c>
      <c r="B644" s="900"/>
      <c r="C644" s="900" t="s">
        <v>1313</v>
      </c>
      <c r="D644" t="s">
        <v>1314</v>
      </c>
      <c r="E644" s="900" t="s">
        <v>63</v>
      </c>
      <c r="F644" s="900" t="s">
        <v>1299</v>
      </c>
      <c r="G644">
        <f>RANK(G643,$G$643:$T$643)</f>
        <v>1</v>
      </c>
      <c r="H644">
        <f t="shared" ref="H644:T644" si="61">RANK(H643,$G$643:$T$643)</f>
        <v>1</v>
      </c>
      <c r="I644">
        <f t="shared" si="61"/>
        <v>1</v>
      </c>
      <c r="J644">
        <f t="shared" si="61"/>
        <v>1</v>
      </c>
      <c r="K644">
        <f t="shared" si="61"/>
        <v>1</v>
      </c>
      <c r="L644">
        <f t="shared" si="61"/>
        <v>1</v>
      </c>
      <c r="M644">
        <f t="shared" si="61"/>
        <v>1</v>
      </c>
      <c r="N644" t="s">
        <v>1315</v>
      </c>
      <c r="O644">
        <f t="shared" si="61"/>
        <v>1</v>
      </c>
      <c r="P644">
        <f t="shared" si="61"/>
        <v>1</v>
      </c>
      <c r="Q644">
        <f t="shared" si="61"/>
        <v>1</v>
      </c>
      <c r="R644">
        <f t="shared" si="61"/>
        <v>1</v>
      </c>
      <c r="S644">
        <f t="shared" si="61"/>
        <v>1</v>
      </c>
      <c r="T644">
        <f t="shared" si="61"/>
        <v>1</v>
      </c>
      <c r="U644">
        <f t="shared" si="59"/>
        <v>1</v>
      </c>
      <c r="V644" t="str">
        <f t="shared" si="56"/>
        <v>2018/19Outputs - environmentLosses Discretionary RewardRanking</v>
      </c>
    </row>
    <row r="645" spans="1:22">
      <c r="A645" s="900" t="s">
        <v>126</v>
      </c>
      <c r="B645" s="900"/>
      <c r="C645" s="900" t="s">
        <v>1313</v>
      </c>
      <c r="D645" t="s">
        <v>1314</v>
      </c>
      <c r="E645" s="900" t="s">
        <v>334</v>
      </c>
      <c r="F645" s="900" t="s">
        <v>1289</v>
      </c>
      <c r="G645">
        <f>'Ch2 outputs - environment'!J28</f>
        <v>0</v>
      </c>
      <c r="H645">
        <f>'Ch2 outputs - environment'!$J$29</f>
        <v>0</v>
      </c>
      <c r="I645">
        <f>'Ch2 outputs - environment'!$J$29</f>
        <v>0</v>
      </c>
      <c r="J645">
        <f>'Ch2 outputs - environment'!$J$30</f>
        <v>0</v>
      </c>
      <c r="K645">
        <f>'Ch2 outputs - environment'!$J$30</f>
        <v>0</v>
      </c>
      <c r="L645">
        <f>'Ch2 outputs - environment'!$J$30</f>
        <v>0</v>
      </c>
      <c r="M645">
        <f>'Ch2 outputs - environment'!$J$30</f>
        <v>0</v>
      </c>
      <c r="N645">
        <f>'Ch2 outputs - environment'!$J$31</f>
        <v>0</v>
      </c>
      <c r="O645">
        <f>'Ch2 outputs - environment'!$J$31</f>
        <v>0</v>
      </c>
      <c r="P645">
        <f>'Ch2 outputs - environment'!$J$31</f>
        <v>0</v>
      </c>
      <c r="Q645">
        <f>'Ch2 outputs - environment'!$J$32</f>
        <v>0</v>
      </c>
      <c r="R645">
        <f>'Ch2 outputs - environment'!$J$32</f>
        <v>0</v>
      </c>
      <c r="S645">
        <f>'Ch2 outputs - environment'!$J$33</f>
        <v>0</v>
      </c>
      <c r="T645">
        <f>'Ch2 outputs - environment'!$J$33</f>
        <v>0</v>
      </c>
      <c r="U645">
        <f t="shared" si="59"/>
        <v>0</v>
      </c>
      <c r="V645" t="str">
        <f t="shared" si="56"/>
        <v>2020/21Outputs - environmentLosses Discretionary RewardReward</v>
      </c>
    </row>
    <row r="646" spans="1:22">
      <c r="A646" s="900" t="s">
        <v>126</v>
      </c>
      <c r="B646" s="900"/>
      <c r="C646" s="900" t="s">
        <v>1313</v>
      </c>
      <c r="D646" t="s">
        <v>1314</v>
      </c>
      <c r="E646" s="900" t="s">
        <v>63</v>
      </c>
      <c r="F646" s="900" t="s">
        <v>1299</v>
      </c>
      <c r="G646">
        <f>RANK(G645,$G$645:$T$645)</f>
        <v>1</v>
      </c>
      <c r="H646">
        <f t="shared" ref="H646:T646" si="62">RANK(H645,$G$645:$T$645)</f>
        <v>1</v>
      </c>
      <c r="I646">
        <f t="shared" si="62"/>
        <v>1</v>
      </c>
      <c r="J646">
        <f t="shared" si="62"/>
        <v>1</v>
      </c>
      <c r="K646">
        <f t="shared" si="62"/>
        <v>1</v>
      </c>
      <c r="L646">
        <f t="shared" si="62"/>
        <v>1</v>
      </c>
      <c r="M646">
        <f t="shared" si="62"/>
        <v>1</v>
      </c>
      <c r="N646">
        <f t="shared" si="62"/>
        <v>1</v>
      </c>
      <c r="O646">
        <f t="shared" si="62"/>
        <v>1</v>
      </c>
      <c r="P646">
        <f t="shared" si="62"/>
        <v>1</v>
      </c>
      <c r="Q646">
        <f t="shared" si="62"/>
        <v>1</v>
      </c>
      <c r="R646">
        <f t="shared" si="62"/>
        <v>1</v>
      </c>
      <c r="S646">
        <f t="shared" si="62"/>
        <v>1</v>
      </c>
      <c r="T646">
        <f t="shared" si="62"/>
        <v>1</v>
      </c>
      <c r="U646">
        <f>AVERAGE(G646:T646)</f>
        <v>1</v>
      </c>
      <c r="V646" t="str">
        <f t="shared" si="56"/>
        <v>2020/21Outputs - environmentLosses Discretionary RewardRanking</v>
      </c>
    </row>
    <row r="647" spans="1:22">
      <c r="A647" s="900" t="s">
        <v>137</v>
      </c>
      <c r="B647" s="900"/>
      <c r="C647" s="900" t="s">
        <v>1313</v>
      </c>
      <c r="D647" t="s">
        <v>1314</v>
      </c>
      <c r="E647" t="s">
        <v>1316</v>
      </c>
      <c r="F647" t="s">
        <v>1300</v>
      </c>
      <c r="G647" s="829" cm="1">
        <f t="array" ref="G647:T653">TRANSPOSE('Ch2 outputs - environment'!E38:K51)</f>
        <v>6.5031279692656166E-2</v>
      </c>
      <c r="H647" s="829">
        <v>5.3263985095423301E-2</v>
      </c>
      <c r="I647" s="829">
        <v>5.8125547817493906E-2</v>
      </c>
      <c r="J647" s="829">
        <v>5.2407788057232257E-2</v>
      </c>
      <c r="K647" s="829">
        <v>4.7902142895028497E-2</v>
      </c>
      <c r="L647" s="829">
        <v>4.3871346345248294E-2</v>
      </c>
      <c r="M647" s="829">
        <v>4.6682448658459032E-2</v>
      </c>
      <c r="N647" s="829">
        <v>6.9381686732938819E-2</v>
      </c>
      <c r="O647" s="829">
        <v>6.2328082664551296E-2</v>
      </c>
      <c r="P647" s="829">
        <v>6.839644265150821E-2</v>
      </c>
      <c r="Q647" s="829">
        <v>6.6601264442991068E-2</v>
      </c>
      <c r="R647" s="829">
        <v>6.5958961745096772E-2</v>
      </c>
      <c r="S647" s="829">
        <v>6.7121366905957228E-2</v>
      </c>
      <c r="T647" s="829">
        <v>5.675750810528768E-2</v>
      </c>
      <c r="U647" s="829">
        <f>'Ch2 outputs - environment'!E52</f>
        <v>5.1670384917906542E-2</v>
      </c>
      <c r="V647" t="str">
        <f t="shared" si="56"/>
        <v>2015/16Outputs - environmentLosses Discretionary RewardDistribution losses</v>
      </c>
    </row>
    <row r="648" spans="1:22">
      <c r="A648" s="900" t="s">
        <v>138</v>
      </c>
      <c r="B648" s="900"/>
      <c r="C648" s="900" t="s">
        <v>1313</v>
      </c>
      <c r="D648" t="s">
        <v>1314</v>
      </c>
      <c r="E648" t="s">
        <v>1316</v>
      </c>
      <c r="F648" t="s">
        <v>1300</v>
      </c>
      <c r="G648" s="829">
        <v>6.3847467572848107E-2</v>
      </c>
      <c r="H648" s="829">
        <v>5.2881828097173698E-2</v>
      </c>
      <c r="I648" s="829">
        <v>5.8275917826251654E-2</v>
      </c>
      <c r="J648" s="829">
        <v>5.7284526025704129E-2</v>
      </c>
      <c r="K648" s="829">
        <v>4.7939998889495274E-2</v>
      </c>
      <c r="L648" s="829">
        <v>4.0161681633208102E-2</v>
      </c>
      <c r="M648" s="829">
        <v>4.6729221177262546E-2</v>
      </c>
      <c r="N648" s="829">
        <v>6.939044964424558E-2</v>
      </c>
      <c r="O648" s="829">
        <v>6.7444010684199709E-2</v>
      </c>
      <c r="P648" s="829">
        <v>7.4125244030635237E-2</v>
      </c>
      <c r="Q648" s="829">
        <v>6.7757919937642672E-2</v>
      </c>
      <c r="R648" s="829">
        <v>6.7253960949312991E-2</v>
      </c>
      <c r="S648" s="829">
        <v>7.2581012501406986E-2</v>
      </c>
      <c r="T648" s="829">
        <v>5.7917079715423141E-2</v>
      </c>
      <c r="U648" s="829">
        <f>'Ch2 outputs - environment'!F52</f>
        <v>5.3223865679834705E-2</v>
      </c>
      <c r="V648" t="str">
        <f t="shared" si="56"/>
        <v>2016/17Outputs - environmentLosses Discretionary RewardDistribution losses</v>
      </c>
    </row>
    <row r="649" spans="1:22">
      <c r="A649" s="900" t="s">
        <v>139</v>
      </c>
      <c r="B649" s="900"/>
      <c r="C649" s="900" t="s">
        <v>1313</v>
      </c>
      <c r="D649" t="s">
        <v>1314</v>
      </c>
      <c r="E649" t="s">
        <v>1316</v>
      </c>
      <c r="F649" t="s">
        <v>1300</v>
      </c>
      <c r="G649" s="829">
        <v>6.667408890210702E-2</v>
      </c>
      <c r="H649" s="829">
        <v>5.3202097305214129E-2</v>
      </c>
      <c r="I649" s="829">
        <v>6.3398247383254475E-2</v>
      </c>
      <c r="J649" s="829">
        <v>6.072177958774122E-2</v>
      </c>
      <c r="K649" s="829">
        <v>5.1500171123307556E-2</v>
      </c>
      <c r="L649" s="829">
        <v>4.0848265978858905E-2</v>
      </c>
      <c r="M649" s="829">
        <v>4.9886968922169123E-2</v>
      </c>
      <c r="N649" s="829">
        <v>6.7821708870131794E-2</v>
      </c>
      <c r="O649" s="829">
        <v>7.1904196562225783E-2</v>
      </c>
      <c r="P649" s="829">
        <v>7.2071527819730558E-2</v>
      </c>
      <c r="Q649" s="829">
        <v>6.9982616497504632E-2</v>
      </c>
      <c r="R649" s="829">
        <v>6.7336949331922205E-2</v>
      </c>
      <c r="S649" s="829">
        <v>7.0679136347316207E-2</v>
      </c>
      <c r="T649" s="829">
        <v>5.1871428152030614E-2</v>
      </c>
      <c r="U649" s="829">
        <f>'Ch2 outputs - environment'!G52</f>
        <v>5.3864914991217837E-2</v>
      </c>
      <c r="V649" t="str">
        <f t="shared" si="56"/>
        <v>2017/18Outputs - environmentLosses Discretionary RewardDistribution losses</v>
      </c>
    </row>
    <row r="650" spans="1:22">
      <c r="A650" s="900" t="s">
        <v>140</v>
      </c>
      <c r="B650" s="900"/>
      <c r="C650" s="900" t="s">
        <v>1313</v>
      </c>
      <c r="D650" t="s">
        <v>1314</v>
      </c>
      <c r="E650" t="s">
        <v>1316</v>
      </c>
      <c r="F650" t="s">
        <v>1300</v>
      </c>
      <c r="G650" s="829">
        <v>5.645994618743206E-2</v>
      </c>
      <c r="H650" s="829">
        <v>4.7729049242539727E-2</v>
      </c>
      <c r="I650" s="829">
        <v>5.7657541768700714E-2</v>
      </c>
      <c r="J650" s="829">
        <v>5.6285080360940494E-2</v>
      </c>
      <c r="K650" s="829">
        <v>4.7081451403489467E-2</v>
      </c>
      <c r="L650" s="829">
        <v>4.1539500236438424E-2</v>
      </c>
      <c r="M650" s="829">
        <v>4.4244760297102531E-2</v>
      </c>
      <c r="N650" s="829">
        <v>6.6259678379988085E-2</v>
      </c>
      <c r="O650" s="829">
        <v>6.9147014809845711E-2</v>
      </c>
      <c r="P650" s="829">
        <v>6.4648117839607208E-2</v>
      </c>
      <c r="Q650" s="829">
        <v>6.9790339395343445E-2</v>
      </c>
      <c r="R650" s="829">
        <v>6.7349027635619244E-2</v>
      </c>
      <c r="S650" s="829">
        <v>6.9865190708254005E-2</v>
      </c>
      <c r="T650" s="829">
        <v>5.2108033008059065E-2</v>
      </c>
      <c r="U650" s="829">
        <f>'Ch2 outputs - environment'!H52</f>
        <v>5.0297186983594616E-2</v>
      </c>
      <c r="V650" t="str">
        <f t="shared" si="56"/>
        <v>2018/19Outputs - environmentLosses Discretionary RewardDistribution losses</v>
      </c>
    </row>
    <row r="651" spans="1:22">
      <c r="A651" s="900" t="s">
        <v>141</v>
      </c>
      <c r="B651" s="900"/>
      <c r="C651" s="900" t="s">
        <v>1313</v>
      </c>
      <c r="D651" t="s">
        <v>1314</v>
      </c>
      <c r="E651" t="s">
        <v>1316</v>
      </c>
      <c r="F651" t="s">
        <v>1300</v>
      </c>
      <c r="G651" s="829">
        <v>5.3781803149282117E-2</v>
      </c>
      <c r="H651" s="829">
        <v>5.6026748342843422E-2</v>
      </c>
      <c r="I651" s="829">
        <v>6.5332811382600942E-2</v>
      </c>
      <c r="J651" s="829">
        <v>6.0729972049248425E-2</v>
      </c>
      <c r="K651" s="829">
        <v>5.1884278189533117E-2</v>
      </c>
      <c r="L651" s="829">
        <v>4.5947721763252625E-2</v>
      </c>
      <c r="M651" s="829">
        <v>4.6977971391321663E-2</v>
      </c>
      <c r="N651" s="829">
        <v>7.5255052562163E-2</v>
      </c>
      <c r="O651" s="829">
        <v>7.9411607951820076E-2</v>
      </c>
      <c r="P651" s="829">
        <v>5.489006349107059E-2</v>
      </c>
      <c r="Q651" s="829">
        <v>7.4287585111477178E-2</v>
      </c>
      <c r="R651" s="829">
        <v>6.9272794125386006E-2</v>
      </c>
      <c r="S651" s="829">
        <v>7.3824666940888406E-2</v>
      </c>
      <c r="T651" s="829">
        <v>5.194002624138401E-2</v>
      </c>
      <c r="U651" s="829">
        <f>'Ch2 outputs - environment'!I52</f>
        <v>5.2623256182095859E-2</v>
      </c>
      <c r="V651" t="str">
        <f t="shared" si="56"/>
        <v>2019/20Outputs - environmentLosses Discretionary RewardDistribution losses</v>
      </c>
    </row>
    <row r="652" spans="1:22">
      <c r="A652" s="900" t="s">
        <v>126</v>
      </c>
      <c r="B652" s="900"/>
      <c r="C652" s="900" t="s">
        <v>1313</v>
      </c>
      <c r="D652" t="s">
        <v>1314</v>
      </c>
      <c r="E652" t="s">
        <v>1316</v>
      </c>
      <c r="F652" t="s">
        <v>1300</v>
      </c>
      <c r="G652" s="829">
        <v>6.0390785349241353E-2</v>
      </c>
      <c r="H652" s="829">
        <v>5.5048557094875626E-2</v>
      </c>
      <c r="I652" s="829">
        <v>7.0981843185140406E-2</v>
      </c>
      <c r="J652" s="829">
        <v>6.6584322812511795E-2</v>
      </c>
      <c r="K652" s="829">
        <v>6.0175246856135879E-2</v>
      </c>
      <c r="L652" s="829">
        <v>5.547087627925551E-2</v>
      </c>
      <c r="M652" s="829">
        <v>4.5589879742427855E-2</v>
      </c>
      <c r="N652" s="829">
        <v>7.8398182238080635E-2</v>
      </c>
      <c r="O652" s="829">
        <v>7.8564782114889875E-2</v>
      </c>
      <c r="P652" s="829">
        <v>8.4971351841317599E-2</v>
      </c>
      <c r="Q652" s="829">
        <v>7.6669300871305884E-2</v>
      </c>
      <c r="R652" s="829">
        <v>7.0936780806959296E-2</v>
      </c>
      <c r="S652" s="829">
        <v>6.9613334164766991E-2</v>
      </c>
      <c r="T652" s="829">
        <v>5.1860912155591583E-2</v>
      </c>
      <c r="U652" s="829">
        <f>'Ch2 outputs - environment'!J52</f>
        <v>5.8697054480867969E-2</v>
      </c>
      <c r="V652" t="str">
        <f t="shared" si="56"/>
        <v>2020/21Outputs - environmentLosses Discretionary RewardDistribution losses</v>
      </c>
    </row>
    <row r="653" spans="1:22">
      <c r="A653" s="900" t="s">
        <v>142</v>
      </c>
      <c r="B653" s="900"/>
      <c r="C653" s="900" t="s">
        <v>1313</v>
      </c>
      <c r="D653" t="s">
        <v>1314</v>
      </c>
      <c r="E653" t="s">
        <v>1316</v>
      </c>
      <c r="F653" t="s">
        <v>1300</v>
      </c>
      <c r="G653" s="829">
        <v>6.0288216780194449E-2</v>
      </c>
      <c r="H653" s="829">
        <v>4.745876089386885E-2</v>
      </c>
      <c r="I653" s="829">
        <v>6.8872492097162369E-2</v>
      </c>
      <c r="J653" s="829">
        <v>6.0469927380106606E-2</v>
      </c>
      <c r="K653" s="829">
        <v>5.5855954190939215E-2</v>
      </c>
      <c r="L653" s="829">
        <v>4.7923115308983522E-2</v>
      </c>
      <c r="M653" s="829">
        <v>3.8241310784911831E-2</v>
      </c>
      <c r="N653" s="829">
        <v>6.7557803749427617E-2</v>
      </c>
      <c r="O653" s="829">
        <v>8.0423634091963417E-2</v>
      </c>
      <c r="P653" s="829">
        <v>7.922919216934167E-2</v>
      </c>
      <c r="Q653" s="829">
        <v>7.8851043807042831E-2</v>
      </c>
      <c r="R653" s="829">
        <v>7.9585916860748562E-2</v>
      </c>
      <c r="S653" s="829">
        <v>6.7875436078538645E-2</v>
      </c>
      <c r="T653" s="829">
        <v>5.2262893418087611E-2</v>
      </c>
      <c r="U653" s="829">
        <f>'Ch2 outputs - environment'!J52</f>
        <v>5.8697054480867969E-2</v>
      </c>
      <c r="V653" t="str">
        <f>CONCATENATE(A653,B653,C653,D653,E653)</f>
        <v>2021/22Outputs - environmentLosses Discretionary RewardDistribution losses</v>
      </c>
    </row>
    <row r="654" spans="1:22">
      <c r="A654" s="900" t="s">
        <v>135</v>
      </c>
      <c r="B654" s="900"/>
      <c r="C654" s="900" t="s">
        <v>1313</v>
      </c>
      <c r="D654" t="s">
        <v>397</v>
      </c>
      <c r="E654" t="s">
        <v>1317</v>
      </c>
      <c r="F654" t="s">
        <v>1318</v>
      </c>
      <c r="G654" cm="1">
        <f t="array" ref="G654:U662">TRANSPOSE('Ch2 outputs - environment'!E58:M72)</f>
        <v>22374.23</v>
      </c>
      <c r="H654">
        <v>23368.300672958008</v>
      </c>
      <c r="I654">
        <v>26495.100197351003</v>
      </c>
      <c r="J654">
        <v>29290.645064748202</v>
      </c>
      <c r="K654">
        <v>30151.785935251799</v>
      </c>
      <c r="L654">
        <v>13395.2243856</v>
      </c>
      <c r="M654">
        <v>23059.600361999997</v>
      </c>
      <c r="N654">
        <v>16573.197265375711</v>
      </c>
      <c r="O654">
        <v>26961.825025953352</v>
      </c>
      <c r="P654">
        <v>35454.956207434181</v>
      </c>
      <c r="Q654">
        <v>31088.837180230141</v>
      </c>
      <c r="R654">
        <v>15143.10141456255</v>
      </c>
      <c r="S654">
        <v>23653.440412354612</v>
      </c>
      <c r="T654">
        <v>35373.503623677403</v>
      </c>
      <c r="U654">
        <v>352383.74774749693</v>
      </c>
      <c r="V654" t="str">
        <f t="shared" si="56"/>
        <v>2013/14Outputs - environmentBusiness Carbon Footprint (BCF)Business Carbon Footprint (excluding losses)</v>
      </c>
    </row>
    <row r="655" spans="1:22">
      <c r="A655" s="900" t="s">
        <v>136</v>
      </c>
      <c r="B655" s="900"/>
      <c r="C655" s="900" t="s">
        <v>1313</v>
      </c>
      <c r="D655" t="s">
        <v>397</v>
      </c>
      <c r="E655" t="s">
        <v>1317</v>
      </c>
      <c r="F655" t="s">
        <v>1318</v>
      </c>
      <c r="G655">
        <v>23134.07</v>
      </c>
      <c r="H655">
        <v>22745.425991605618</v>
      </c>
      <c r="I655">
        <v>28807.022312067074</v>
      </c>
      <c r="J655">
        <v>29722.899999999998</v>
      </c>
      <c r="K655">
        <v>30172.149999999998</v>
      </c>
      <c r="L655">
        <v>18330.133000000002</v>
      </c>
      <c r="M655">
        <v>23752.9</v>
      </c>
      <c r="N655">
        <v>19776.4951</v>
      </c>
      <c r="O655">
        <v>25025.118200000004</v>
      </c>
      <c r="P655">
        <v>32539.492999999999</v>
      </c>
      <c r="Q655">
        <v>24450.95</v>
      </c>
      <c r="R655">
        <v>26026.38</v>
      </c>
      <c r="S655">
        <v>43857.570832616577</v>
      </c>
      <c r="T655">
        <v>34060.008905644878</v>
      </c>
      <c r="U655">
        <v>382400.61734193412</v>
      </c>
      <c r="V655" t="str">
        <f t="shared" si="56"/>
        <v>2014/15Outputs - environmentBusiness Carbon Footprint (BCF)Business Carbon Footprint (excluding losses)</v>
      </c>
    </row>
    <row r="656" spans="1:22">
      <c r="A656" s="900" t="s">
        <v>137</v>
      </c>
      <c r="B656" s="900"/>
      <c r="C656" s="900" t="s">
        <v>1313</v>
      </c>
      <c r="D656" t="s">
        <v>397</v>
      </c>
      <c r="E656" t="s">
        <v>1317</v>
      </c>
      <c r="F656" t="s">
        <v>1318</v>
      </c>
      <c r="G656">
        <v>15790.450116128985</v>
      </c>
      <c r="H656">
        <v>10554.830994291706</v>
      </c>
      <c r="I656">
        <v>14559.859915711191</v>
      </c>
      <c r="J656">
        <v>26708.587865428595</v>
      </c>
      <c r="K656">
        <v>22830.064457707365</v>
      </c>
      <c r="L656">
        <v>13628.275710295062</v>
      </c>
      <c r="M656">
        <v>17504.45863194601</v>
      </c>
      <c r="N656">
        <v>14176.253353684589</v>
      </c>
      <c r="O656">
        <v>17694.088929224527</v>
      </c>
      <c r="P656">
        <v>23609.29691667201</v>
      </c>
      <c r="Q656">
        <v>15639.595058514253</v>
      </c>
      <c r="R656">
        <v>12710.088810871941</v>
      </c>
      <c r="S656">
        <v>16911.071472264863</v>
      </c>
      <c r="T656">
        <v>26641.073610192081</v>
      </c>
      <c r="U656">
        <v>248957.99584293313</v>
      </c>
      <c r="V656" t="str">
        <f t="shared" si="56"/>
        <v>2015/16Outputs - environmentBusiness Carbon Footprint (BCF)Business Carbon Footprint (excluding losses)</v>
      </c>
    </row>
    <row r="657" spans="1:22">
      <c r="A657" s="900" t="s">
        <v>138</v>
      </c>
      <c r="B657" s="900"/>
      <c r="C657" s="900" t="s">
        <v>1313</v>
      </c>
      <c r="D657" t="s">
        <v>397</v>
      </c>
      <c r="E657" t="s">
        <v>1317</v>
      </c>
      <c r="F657" t="s">
        <v>1318</v>
      </c>
      <c r="G657">
        <v>15301.958916425016</v>
      </c>
      <c r="H657">
        <v>9412.9451659319311</v>
      </c>
      <c r="I657">
        <v>13872.997737456541</v>
      </c>
      <c r="J657">
        <v>22933.915431895362</v>
      </c>
      <c r="K657">
        <v>21098.219691701266</v>
      </c>
      <c r="L657">
        <v>12486.937624212418</v>
      </c>
      <c r="M657">
        <v>15669.232470650419</v>
      </c>
      <c r="N657">
        <v>14796.488736818281</v>
      </c>
      <c r="O657">
        <v>16687.61323596325</v>
      </c>
      <c r="P657">
        <v>26083.401722962924</v>
      </c>
      <c r="Q657">
        <v>13534.278910298543</v>
      </c>
      <c r="R657">
        <v>12572.995236160634</v>
      </c>
      <c r="S657">
        <v>17429.136334676459</v>
      </c>
      <c r="T657">
        <v>26558.884809643791</v>
      </c>
      <c r="U657">
        <v>238439.00602479686</v>
      </c>
      <c r="V657" t="str">
        <f t="shared" si="56"/>
        <v>2016/17Outputs - environmentBusiness Carbon Footprint (BCF)Business Carbon Footprint (excluding losses)</v>
      </c>
    </row>
    <row r="658" spans="1:22">
      <c r="A658" s="900" t="s">
        <v>139</v>
      </c>
      <c r="B658" s="900"/>
      <c r="C658" s="900" t="s">
        <v>1313</v>
      </c>
      <c r="D658" t="s">
        <v>397</v>
      </c>
      <c r="E658" t="s">
        <v>1317</v>
      </c>
      <c r="F658" t="s">
        <v>1318</v>
      </c>
      <c r="G658">
        <v>14147.271781017183</v>
      </c>
      <c r="H658">
        <v>9162.6946989533571</v>
      </c>
      <c r="I658">
        <v>12110.706380886282</v>
      </c>
      <c r="J658">
        <v>20832.016472945819</v>
      </c>
      <c r="K658">
        <v>19571.03820049364</v>
      </c>
      <c r="L658">
        <v>12144.532507177009</v>
      </c>
      <c r="M658">
        <v>15183.025734103689</v>
      </c>
      <c r="N658">
        <v>12807.221491579256</v>
      </c>
      <c r="O658">
        <v>15607.209663331123</v>
      </c>
      <c r="P658">
        <v>24848.053306042224</v>
      </c>
      <c r="Q658">
        <v>12196.568325878578</v>
      </c>
      <c r="R658">
        <v>11557.536078944036</v>
      </c>
      <c r="S658">
        <v>21468.445357248322</v>
      </c>
      <c r="T658">
        <v>25601.271109063386</v>
      </c>
      <c r="U658">
        <v>227237.59110766393</v>
      </c>
      <c r="V658" t="str">
        <f t="shared" si="56"/>
        <v>2017/18Outputs - environmentBusiness Carbon Footprint (BCF)Business Carbon Footprint (excluding losses)</v>
      </c>
    </row>
    <row r="659" spans="1:22">
      <c r="A659" s="900" t="s">
        <v>140</v>
      </c>
      <c r="B659" s="900"/>
      <c r="C659" s="900" t="s">
        <v>1313</v>
      </c>
      <c r="D659" t="s">
        <v>397</v>
      </c>
      <c r="E659" t="s">
        <v>1317</v>
      </c>
      <c r="F659" t="s">
        <v>1318</v>
      </c>
      <c r="G659">
        <v>12567.10378720886</v>
      </c>
      <c r="H659">
        <v>7564.0221328165817</v>
      </c>
      <c r="I659">
        <v>10159.428156661555</v>
      </c>
      <c r="J659">
        <v>17325.740381459083</v>
      </c>
      <c r="K659">
        <v>19027.402711826762</v>
      </c>
      <c r="L659">
        <v>12131.979108196891</v>
      </c>
      <c r="M659">
        <v>15336.214414291513</v>
      </c>
      <c r="N659">
        <v>11810.714814584871</v>
      </c>
      <c r="O659">
        <v>15901.038220167837</v>
      </c>
      <c r="P659">
        <v>22442.722376755337</v>
      </c>
      <c r="Q659">
        <v>11898.004929521874</v>
      </c>
      <c r="R659">
        <v>11798.768903918355</v>
      </c>
      <c r="S659">
        <v>24140.90693283833</v>
      </c>
      <c r="T659">
        <v>24511.394736277751</v>
      </c>
      <c r="U659">
        <v>216615.44160652559</v>
      </c>
      <c r="V659" t="str">
        <f t="shared" ref="V659:V731" si="63">CONCATENATE(A659,B659,C659,D659,E659)</f>
        <v>2018/19Outputs - environmentBusiness Carbon Footprint (BCF)Business Carbon Footprint (excluding losses)</v>
      </c>
    </row>
    <row r="660" spans="1:22">
      <c r="A660" s="900" t="s">
        <v>141</v>
      </c>
      <c r="B660" s="900"/>
      <c r="C660" s="900" t="s">
        <v>1313</v>
      </c>
      <c r="D660" t="s">
        <v>397</v>
      </c>
      <c r="E660" t="s">
        <v>1317</v>
      </c>
      <c r="F660" t="s">
        <v>1318</v>
      </c>
      <c r="G660">
        <v>12553.201785967669</v>
      </c>
      <c r="H660">
        <v>7332.9456057326779</v>
      </c>
      <c r="I660">
        <v>9439.200460453163</v>
      </c>
      <c r="J660">
        <v>14547.590891712225</v>
      </c>
      <c r="K660">
        <v>18342.347164256538</v>
      </c>
      <c r="L660">
        <v>9432.0363884317248</v>
      </c>
      <c r="M660">
        <v>14185.339312849925</v>
      </c>
      <c r="N660">
        <v>12495.697227250739</v>
      </c>
      <c r="O660">
        <v>14455.045825056626</v>
      </c>
      <c r="P660">
        <v>19958.603657978969</v>
      </c>
      <c r="Q660">
        <v>9652.4037654399744</v>
      </c>
      <c r="R660">
        <v>8237.5365874174495</v>
      </c>
      <c r="S660">
        <v>26674.97366252455</v>
      </c>
      <c r="T660">
        <v>24594.380797938844</v>
      </c>
      <c r="U660">
        <v>201901.3031330111</v>
      </c>
      <c r="V660" t="str">
        <f t="shared" si="63"/>
        <v>2019/20Outputs - environmentBusiness Carbon Footprint (BCF)Business Carbon Footprint (excluding losses)</v>
      </c>
    </row>
    <row r="661" spans="1:22">
      <c r="A661" s="900" t="s">
        <v>126</v>
      </c>
      <c r="B661" s="900"/>
      <c r="C661" s="900" t="s">
        <v>1313</v>
      </c>
      <c r="D661" t="s">
        <v>397</v>
      </c>
      <c r="E661" t="s">
        <v>1317</v>
      </c>
      <c r="F661" t="s">
        <v>1318</v>
      </c>
      <c r="G661">
        <v>10799.07427932833</v>
      </c>
      <c r="H661">
        <v>6421.9725789178256</v>
      </c>
      <c r="I661">
        <v>8300.3648839911784</v>
      </c>
      <c r="J661">
        <v>14876.638565430478</v>
      </c>
      <c r="K661">
        <v>15602.965021424819</v>
      </c>
      <c r="L661">
        <v>8297.2873829985692</v>
      </c>
      <c r="M661">
        <v>11790.796548400451</v>
      </c>
      <c r="N661">
        <v>11563.249916326415</v>
      </c>
      <c r="O661">
        <v>13492.220731941425</v>
      </c>
      <c r="P661">
        <v>20011.197546670672</v>
      </c>
      <c r="Q661">
        <v>6158.7254327832006</v>
      </c>
      <c r="R661">
        <v>6700.2838180984108</v>
      </c>
      <c r="S661">
        <v>59298.286291072087</v>
      </c>
      <c r="T661">
        <v>30777.149420529684</v>
      </c>
      <c r="U661">
        <v>224090.21241791354</v>
      </c>
      <c r="V661" t="str">
        <f t="shared" si="63"/>
        <v>2020/21Outputs - environmentBusiness Carbon Footprint (BCF)Business Carbon Footprint (excluding losses)</v>
      </c>
    </row>
    <row r="662" spans="1:22">
      <c r="A662" s="900" t="s">
        <v>142</v>
      </c>
      <c r="B662" s="900"/>
      <c r="C662" s="900" t="s">
        <v>1313</v>
      </c>
      <c r="D662" t="s">
        <v>397</v>
      </c>
      <c r="E662" t="s">
        <v>1317</v>
      </c>
      <c r="F662" t="s">
        <v>1318</v>
      </c>
      <c r="G662">
        <v>9664.1000476311801</v>
      </c>
      <c r="H662">
        <v>6028.0542138347728</v>
      </c>
      <c r="I662">
        <v>8438.6305151777069</v>
      </c>
      <c r="J662">
        <v>14043.356877497055</v>
      </c>
      <c r="K662">
        <v>14189.031906480599</v>
      </c>
      <c r="L662">
        <v>9449.4373343799925</v>
      </c>
      <c r="M662">
        <v>11725.324720493736</v>
      </c>
      <c r="N662">
        <v>11438.502012894614</v>
      </c>
      <c r="O662">
        <v>13042.100348208831</v>
      </c>
      <c r="P662">
        <v>19415.887778606379</v>
      </c>
      <c r="Q662">
        <v>6656.9481456335179</v>
      </c>
      <c r="R662">
        <v>6934.3837080851181</v>
      </c>
      <c r="S662">
        <v>46474.605593554545</v>
      </c>
      <c r="T662">
        <v>32464.131123090126</v>
      </c>
      <c r="U662">
        <v>209964.4943255682</v>
      </c>
      <c r="V662" t="str">
        <f>CONCATENATE(A662,B662,C662,D662,E662)</f>
        <v>2021/22Outputs - environmentBusiness Carbon Footprint (BCF)Business Carbon Footprint (excluding losses)</v>
      </c>
    </row>
    <row r="663" spans="1:22">
      <c r="A663" s="900" t="s">
        <v>135</v>
      </c>
      <c r="B663" s="900"/>
      <c r="C663" s="900" t="s">
        <v>1313</v>
      </c>
      <c r="D663" t="s">
        <v>397</v>
      </c>
      <c r="E663" t="s">
        <v>1319</v>
      </c>
      <c r="F663" s="900" t="s">
        <v>1300</v>
      </c>
      <c r="G663" s="829">
        <f t="array" ref="G663:U668">TRANSPOSE('Ch2 outputs - environment'!E76:J90)</f>
        <v>0.1991138438633428</v>
      </c>
      <c r="H663" s="829">
        <v>0.29383141276934277</v>
      </c>
      <c r="I663" s="829">
        <v>0.25436620229555307</v>
      </c>
      <c r="J663" s="829">
        <v>0.23381545639027365</v>
      </c>
      <c r="K663" s="829">
        <v>0.21407204630632085</v>
      </c>
      <c r="L663" s="829">
        <v>0.19490241423938232</v>
      </c>
      <c r="M663" s="829">
        <v>0.23447875386835412</v>
      </c>
      <c r="N663" s="829">
        <v>0.22866515723299274</v>
      </c>
      <c r="O663" s="829">
        <v>0.26182678526808778</v>
      </c>
      <c r="P663" s="829">
        <v>0.18816865752138826</v>
      </c>
      <c r="Q663" s="829">
        <v>0.2789525521451246</v>
      </c>
      <c r="R663" s="829">
        <v>0.16811382951328369</v>
      </c>
      <c r="S663" s="829">
        <v>0.26179730424483399</v>
      </c>
      <c r="T663" s="829">
        <v>0.2364617812110299</v>
      </c>
      <c r="U663" s="829">
        <v>0.22922542880811528</v>
      </c>
      <c r="V663" t="str">
        <f t="shared" si="63"/>
        <v>2013/14Outputs - environmentBusiness Carbon Footprint (BCF)Business Carbon Footprint (excluding losses) as % network length and customer numbers</v>
      </c>
    </row>
    <row r="664" spans="1:22">
      <c r="A664" s="900" t="s">
        <v>136</v>
      </c>
      <c r="B664" s="900"/>
      <c r="C664" s="900" t="s">
        <v>1313</v>
      </c>
      <c r="D664" t="s">
        <v>397</v>
      </c>
      <c r="E664" t="s">
        <v>1319</v>
      </c>
      <c r="F664" s="900" t="s">
        <v>1300</v>
      </c>
      <c r="G664" s="829">
        <v>0.20526132666998356</v>
      </c>
      <c r="H664" s="829">
        <v>0.28444576502161767</v>
      </c>
      <c r="I664" s="829">
        <v>0.27519349889028927</v>
      </c>
      <c r="J664" s="829">
        <v>0.23613821254543346</v>
      </c>
      <c r="K664" s="829">
        <v>0.21310841769892558</v>
      </c>
      <c r="L664" s="829">
        <v>0.26541149949721193</v>
      </c>
      <c r="M664" s="829">
        <v>0.24016064706937792</v>
      </c>
      <c r="N664" s="829">
        <v>0.27267110586618337</v>
      </c>
      <c r="O664" s="829">
        <v>0.24246330210327952</v>
      </c>
      <c r="P664" s="829">
        <v>0.17242235816030926</v>
      </c>
      <c r="Q664" s="829">
        <v>0.21825755035588834</v>
      </c>
      <c r="R664" s="829">
        <v>0.28799187273497523</v>
      </c>
      <c r="S664" s="829">
        <v>0.48193438631192825</v>
      </c>
      <c r="T664" s="829">
        <v>0.22647173498227108</v>
      </c>
      <c r="U664" s="829">
        <v>0.24770997097386926</v>
      </c>
      <c r="V664" t="str">
        <f t="shared" si="63"/>
        <v>2014/15Outputs - environmentBusiness Carbon Footprint (BCF)Business Carbon Footprint (excluding losses) as % network length and customer numbers</v>
      </c>
    </row>
    <row r="665" spans="1:22">
      <c r="A665" s="900" t="s">
        <v>137</v>
      </c>
      <c r="B665" s="900"/>
      <c r="C665" s="900" t="s">
        <v>1313</v>
      </c>
      <c r="D665" t="s">
        <v>397</v>
      </c>
      <c r="E665" t="s">
        <v>1319</v>
      </c>
      <c r="F665" s="900" t="s">
        <v>1300</v>
      </c>
      <c r="G665" s="829">
        <v>0.1395663767651798</v>
      </c>
      <c r="H665" s="829">
        <v>0.13126335844396192</v>
      </c>
      <c r="I665" s="829">
        <v>0.13830769610000274</v>
      </c>
      <c r="J665" s="829">
        <v>0.21320908774122974</v>
      </c>
      <c r="K665" s="829">
        <v>0.16077375378516412</v>
      </c>
      <c r="L665" s="829">
        <v>0.19741048686415755</v>
      </c>
      <c r="M665" s="829">
        <v>0.17968574521833433</v>
      </c>
      <c r="N665" s="829">
        <v>0.19498515580500367</v>
      </c>
      <c r="O665" s="829">
        <v>0.17130604313627559</v>
      </c>
      <c r="P665" s="829">
        <v>0.12464978949267687</v>
      </c>
      <c r="Q665" s="829">
        <v>0.13876585953825019</v>
      </c>
      <c r="R665" s="829">
        <v>0.13988964168345011</v>
      </c>
      <c r="S665" s="829">
        <v>0.18604820411161249</v>
      </c>
      <c r="T665" s="829">
        <v>0.17516496794161487</v>
      </c>
      <c r="U665" s="829">
        <v>0.1609099647752158</v>
      </c>
      <c r="V665" t="str">
        <f t="shared" si="63"/>
        <v>2015/16Outputs - environmentBusiness Carbon Footprint (BCF)Business Carbon Footprint (excluding losses) as % network length and customer numbers</v>
      </c>
    </row>
    <row r="666" spans="1:22">
      <c r="A666" s="900" t="s">
        <v>138</v>
      </c>
      <c r="B666" s="900"/>
      <c r="C666" s="900" t="s">
        <v>1313</v>
      </c>
      <c r="D666" t="s">
        <v>397</v>
      </c>
      <c r="E666" t="s">
        <v>1319</v>
      </c>
      <c r="F666" s="900" t="s">
        <v>1300</v>
      </c>
      <c r="G666" s="829">
        <v>0.137225397276139</v>
      </c>
      <c r="H666" s="829">
        <v>0.11633978353042014</v>
      </c>
      <c r="I666" s="829">
        <v>0.13124744976758251</v>
      </c>
      <c r="J666" s="829">
        <v>0.18221745896709957</v>
      </c>
      <c r="K666" s="829">
        <v>0.14777053807666743</v>
      </c>
      <c r="L666" s="829">
        <v>0.1799824165368768</v>
      </c>
      <c r="M666" s="829">
        <v>0.16018934582928152</v>
      </c>
      <c r="N666" s="829">
        <v>0.2029013953498871</v>
      </c>
      <c r="O666" s="829">
        <v>0.16130210331268741</v>
      </c>
      <c r="P666" s="829">
        <v>0.13718846529341183</v>
      </c>
      <c r="Q666" s="829">
        <v>0.11944270665760877</v>
      </c>
      <c r="R666" s="829">
        <v>0.13807317728349017</v>
      </c>
      <c r="S666" s="829">
        <v>0.18911298291174361</v>
      </c>
      <c r="T666" s="829">
        <v>0.17599523013938223</v>
      </c>
      <c r="U666" s="829">
        <v>0.15376725812998004</v>
      </c>
      <c r="V666" t="str">
        <f t="shared" si="63"/>
        <v>2016/17Outputs - environmentBusiness Carbon Footprint (BCF)Business Carbon Footprint (excluding losses) as % network length and customer numbers</v>
      </c>
    </row>
    <row r="667" spans="1:22">
      <c r="A667" s="900" t="s">
        <v>139</v>
      </c>
      <c r="B667" s="900"/>
      <c r="C667" s="900" t="s">
        <v>1313</v>
      </c>
      <c r="D667" t="s">
        <v>397</v>
      </c>
      <c r="E667" t="s">
        <v>1319</v>
      </c>
      <c r="F667" s="900" t="s">
        <v>1300</v>
      </c>
      <c r="G667" s="829">
        <v>0.12636440436895949</v>
      </c>
      <c r="H667" s="829">
        <v>0.11271097016342214</v>
      </c>
      <c r="I667" s="829">
        <v>0.11411260852282304</v>
      </c>
      <c r="J667" s="829">
        <v>0.16474237874143857</v>
      </c>
      <c r="K667" s="829">
        <v>0.13638993157400328</v>
      </c>
      <c r="L667" s="829">
        <v>0.17555203265878341</v>
      </c>
      <c r="M667" s="829">
        <v>0.1547060763899013</v>
      </c>
      <c r="N667" s="829">
        <v>0.17505684308178918</v>
      </c>
      <c r="O667" s="829">
        <v>0.15059490998559255</v>
      </c>
      <c r="P667" s="829">
        <v>0.13043698105524079</v>
      </c>
      <c r="Q667" s="829">
        <v>0.1072549081283298</v>
      </c>
      <c r="R667" s="829">
        <v>0.1266377275011249</v>
      </c>
      <c r="S667" s="829">
        <v>0.23226643731734367</v>
      </c>
      <c r="T667" s="829">
        <v>0.16939432603658891</v>
      </c>
      <c r="U667" s="829">
        <v>0.14611349868130236</v>
      </c>
      <c r="V667" t="str">
        <f t="shared" si="63"/>
        <v>2017/18Outputs - environmentBusiness Carbon Footprint (BCF)Business Carbon Footprint (excluding losses) as % network length and customer numbers</v>
      </c>
    </row>
    <row r="668" spans="1:22">
      <c r="A668" s="900" t="s">
        <v>140</v>
      </c>
      <c r="B668" s="900"/>
      <c r="C668" s="900" t="s">
        <v>1313</v>
      </c>
      <c r="D668" t="s">
        <v>397</v>
      </c>
      <c r="E668" t="s">
        <v>1319</v>
      </c>
      <c r="F668" s="900" t="s">
        <v>1300</v>
      </c>
      <c r="G668" s="829">
        <v>0.11219268730212638</v>
      </c>
      <c r="H668" s="829">
        <v>9.2748565069819086E-2</v>
      </c>
      <c r="I668" s="829">
        <v>9.5145993458880126E-2</v>
      </c>
      <c r="J668" s="829">
        <v>0.13643836231536605</v>
      </c>
      <c r="K668" s="829">
        <v>0.13194921618082242</v>
      </c>
      <c r="L668" s="829">
        <v>0.1749679178524671</v>
      </c>
      <c r="M668" s="829">
        <v>0.15567144155625445</v>
      </c>
      <c r="N668" s="829">
        <v>0.16094840380255226</v>
      </c>
      <c r="O668" s="829">
        <v>0.153080242561104</v>
      </c>
      <c r="P668" s="829">
        <v>0.11750515663844333</v>
      </c>
      <c r="Q668" s="829">
        <v>0.10452611112178353</v>
      </c>
      <c r="R668" s="829">
        <v>0.12901784676649775</v>
      </c>
      <c r="S668" s="829">
        <v>0.26006429567460815</v>
      </c>
      <c r="T668" s="829">
        <v>0.16170531493695778</v>
      </c>
      <c r="U668" s="829">
        <v>0.13885108475399421</v>
      </c>
      <c r="V668" t="str">
        <f t="shared" si="63"/>
        <v>2018/19Outputs - environmentBusiness Carbon Footprint (BCF)Business Carbon Footprint (excluding losses) as % network length and customer numbers</v>
      </c>
    </row>
    <row r="669" spans="1:22">
      <c r="A669" s="900" t="s">
        <v>141</v>
      </c>
      <c r="B669" s="900"/>
      <c r="C669" s="900" t="s">
        <v>1313</v>
      </c>
      <c r="D669" t="s">
        <v>397</v>
      </c>
      <c r="E669" t="s">
        <v>1319</v>
      </c>
      <c r="F669" s="900" t="s">
        <v>1300</v>
      </c>
      <c r="G669" s="829">
        <f t="array" ref="G669:U669">TRANSPOSE('Ch2 outputs - environment'!K76:K90)</f>
        <v>0.11190291653298794</v>
      </c>
      <c r="H669" s="829">
        <v>8.9733605708945549E-2</v>
      </c>
      <c r="I669" s="829">
        <v>8.8022633546106663E-2</v>
      </c>
      <c r="J669" s="829">
        <v>0.11419351029081042</v>
      </c>
      <c r="K669" s="829">
        <v>0.12670939939685824</v>
      </c>
      <c r="L669" s="829">
        <v>0.13574106585209353</v>
      </c>
      <c r="M669" s="829">
        <v>0.14360126679954566</v>
      </c>
      <c r="N669" s="829">
        <v>0.1694397891717635</v>
      </c>
      <c r="O669" s="829">
        <v>0.13884826278455792</v>
      </c>
      <c r="P669" s="829">
        <v>0.10415354563317811</v>
      </c>
      <c r="Q669" s="829">
        <v>8.462554113935393E-2</v>
      </c>
      <c r="R669" s="829">
        <v>8.9874302133714085E-2</v>
      </c>
      <c r="S669" s="829">
        <v>0.28708760209000939</v>
      </c>
      <c r="T669" s="829">
        <v>0.16163697676153752</v>
      </c>
      <c r="U669" s="829">
        <v>0.12904824970574022</v>
      </c>
      <c r="V669" t="str">
        <f t="shared" si="63"/>
        <v>2019/20Outputs - environmentBusiness Carbon Footprint (BCF)Business Carbon Footprint (excluding losses) as % network length and customer numbers</v>
      </c>
    </row>
    <row r="670" spans="1:22">
      <c r="A670" s="900" t="s">
        <v>126</v>
      </c>
      <c r="B670" s="900"/>
      <c r="C670" s="900" t="s">
        <v>1313</v>
      </c>
      <c r="D670" t="s">
        <v>397</v>
      </c>
      <c r="E670" t="s">
        <v>1319</v>
      </c>
      <c r="F670" s="900" t="s">
        <v>1300</v>
      </c>
      <c r="G670" s="829">
        <f t="array" ref="G670:U670">TRANSPOSE('Ch2 outputs - environment'!L76:L90)</f>
        <v>9.6287946549079614E-2</v>
      </c>
      <c r="H670" s="829">
        <v>7.8438347125381266E-2</v>
      </c>
      <c r="I670" s="829">
        <v>7.7083505979374314E-2</v>
      </c>
      <c r="J670" s="829">
        <v>0.1164100271134887</v>
      </c>
      <c r="K670" s="829">
        <v>0.1072833328333069</v>
      </c>
      <c r="L670" s="829">
        <v>0.11908898001355754</v>
      </c>
      <c r="M670" s="829">
        <v>0.11899238607501766</v>
      </c>
      <c r="N670" s="829">
        <v>0.15656449786091839</v>
      </c>
      <c r="O670" s="829">
        <v>0.12924726693588251</v>
      </c>
      <c r="P670" s="829">
        <v>0.10421280005333043</v>
      </c>
      <c r="Q670" s="829">
        <v>5.388649423382362E-2</v>
      </c>
      <c r="R670" s="829">
        <v>7.2915772361916001E-2</v>
      </c>
      <c r="S670" s="829">
        <v>0.63856862459180397</v>
      </c>
      <c r="T670" s="829">
        <v>0.20186069196679954</v>
      </c>
      <c r="U670" s="829">
        <v>0.14289825042680915</v>
      </c>
      <c r="V670" t="str">
        <f t="shared" si="63"/>
        <v>2020/21Outputs - environmentBusiness Carbon Footprint (BCF)Business Carbon Footprint (excluding losses) as % network length and customer numbers</v>
      </c>
    </row>
    <row r="671" spans="1:22">
      <c r="A671" s="900" t="s">
        <v>142</v>
      </c>
      <c r="B671" s="900"/>
      <c r="C671" s="900" t="s">
        <v>1313</v>
      </c>
      <c r="D671" t="s">
        <v>397</v>
      </c>
      <c r="E671" t="s">
        <v>1319</v>
      </c>
      <c r="F671" s="900" t="s">
        <v>1300</v>
      </c>
      <c r="G671" s="829" cm="1">
        <f t="array" ref="G671:U671">TRANSPOSE('Ch2 outputs - environment'!M76:M90)</f>
        <v>8.5755505143985125E-2</v>
      </c>
      <c r="H671" s="829">
        <v>7.3455670501911874E-2</v>
      </c>
      <c r="I671" s="829">
        <v>7.8403542827601314E-2</v>
      </c>
      <c r="J671" s="829">
        <v>0.10956030289578472</v>
      </c>
      <c r="K671" s="829">
        <v>9.714502874156937E-2</v>
      </c>
      <c r="L671" s="829">
        <v>0.13515643853203471</v>
      </c>
      <c r="M671" s="829">
        <v>0.11798953844198247</v>
      </c>
      <c r="N671" s="829">
        <v>0.15458581670323734</v>
      </c>
      <c r="O671" s="829">
        <v>0.12480727943479476</v>
      </c>
      <c r="P671" s="829">
        <v>0.10090491823330096</v>
      </c>
      <c r="Q671" s="829">
        <v>5.8068132275938052E-2</v>
      </c>
      <c r="R671" s="829">
        <v>7.5261308577667302E-2</v>
      </c>
      <c r="S671" s="829">
        <v>0.49919074336260399</v>
      </c>
      <c r="T671" s="829">
        <v>0.21143590643253987</v>
      </c>
      <c r="U671" s="829">
        <v>0.13348450169453796</v>
      </c>
      <c r="V671" t="str">
        <f t="shared" si="63"/>
        <v>2021/22Outputs - environmentBusiness Carbon Footprint (BCF)Business Carbon Footprint (excluding losses) as % network length and customer numbers</v>
      </c>
    </row>
    <row r="672" spans="1:22">
      <c r="A672" s="900" t="s">
        <v>137</v>
      </c>
      <c r="B672" s="900"/>
      <c r="C672" s="900" t="s">
        <v>1313</v>
      </c>
      <c r="D672" t="s">
        <v>397</v>
      </c>
      <c r="E672" t="s">
        <v>63</v>
      </c>
      <c r="F672" s="900" t="s">
        <v>1299</v>
      </c>
      <c r="G672" cm="1">
        <f t="array" ref="G672:T678">TRANSPOSE('Ch2 outputs - environment'!Q76:W89)</f>
        <v>5</v>
      </c>
      <c r="H672">
        <v>2</v>
      </c>
      <c r="I672">
        <v>3</v>
      </c>
      <c r="J672">
        <v>14</v>
      </c>
      <c r="K672">
        <v>7</v>
      </c>
      <c r="L672">
        <v>13</v>
      </c>
      <c r="M672">
        <v>10</v>
      </c>
      <c r="N672">
        <v>12</v>
      </c>
      <c r="O672">
        <v>8</v>
      </c>
      <c r="P672">
        <v>1</v>
      </c>
      <c r="Q672">
        <v>4</v>
      </c>
      <c r="R672">
        <v>6</v>
      </c>
      <c r="S672">
        <v>11</v>
      </c>
      <c r="T672">
        <v>9</v>
      </c>
      <c r="U672">
        <f>AVERAGE(G672:T672)</f>
        <v>7.5</v>
      </c>
      <c r="V672" t="str">
        <f t="shared" si="63"/>
        <v>2015/16Outputs - environmentBusiness Carbon Footprint (BCF)Ranking</v>
      </c>
    </row>
    <row r="673" spans="1:22">
      <c r="A673" s="900" t="s">
        <v>138</v>
      </c>
      <c r="B673" s="900"/>
      <c r="C673" s="900" t="s">
        <v>1313</v>
      </c>
      <c r="D673" t="s">
        <v>397</v>
      </c>
      <c r="E673" t="s">
        <v>63</v>
      </c>
      <c r="F673" s="900" t="s">
        <v>1299</v>
      </c>
      <c r="G673">
        <v>5</v>
      </c>
      <c r="H673">
        <v>1</v>
      </c>
      <c r="I673">
        <v>3</v>
      </c>
      <c r="J673">
        <v>12</v>
      </c>
      <c r="K673">
        <v>7</v>
      </c>
      <c r="L673">
        <v>11</v>
      </c>
      <c r="M673">
        <v>8</v>
      </c>
      <c r="N673">
        <v>14</v>
      </c>
      <c r="O673">
        <v>9</v>
      </c>
      <c r="P673">
        <v>4</v>
      </c>
      <c r="Q673">
        <v>2</v>
      </c>
      <c r="R673">
        <v>6</v>
      </c>
      <c r="S673">
        <v>13</v>
      </c>
      <c r="T673">
        <v>10</v>
      </c>
      <c r="U673">
        <f t="shared" ref="U673:U679" si="64">AVERAGE(G673:T673)</f>
        <v>7.5</v>
      </c>
      <c r="V673" t="str">
        <f t="shared" si="63"/>
        <v>2016/17Outputs - environmentBusiness Carbon Footprint (BCF)Ranking</v>
      </c>
    </row>
    <row r="674" spans="1:22">
      <c r="A674" s="900" t="s">
        <v>139</v>
      </c>
      <c r="B674" s="900"/>
      <c r="C674" s="900" t="s">
        <v>1313</v>
      </c>
      <c r="D674" t="s">
        <v>397</v>
      </c>
      <c r="E674" t="s">
        <v>63</v>
      </c>
      <c r="F674" s="900" t="s">
        <v>1299</v>
      </c>
      <c r="G674">
        <v>4</v>
      </c>
      <c r="H674">
        <v>2</v>
      </c>
      <c r="I674">
        <v>3</v>
      </c>
      <c r="J674">
        <v>10</v>
      </c>
      <c r="K674">
        <v>7</v>
      </c>
      <c r="L674">
        <v>13</v>
      </c>
      <c r="M674">
        <v>9</v>
      </c>
      <c r="N674">
        <v>12</v>
      </c>
      <c r="O674">
        <v>8</v>
      </c>
      <c r="P674">
        <v>6</v>
      </c>
      <c r="Q674">
        <v>1</v>
      </c>
      <c r="R674">
        <v>5</v>
      </c>
      <c r="S674">
        <v>14</v>
      </c>
      <c r="T674">
        <v>11</v>
      </c>
      <c r="U674">
        <f t="shared" si="64"/>
        <v>7.5</v>
      </c>
      <c r="V674" t="str">
        <f t="shared" si="63"/>
        <v>2017/18Outputs - environmentBusiness Carbon Footprint (BCF)Ranking</v>
      </c>
    </row>
    <row r="675" spans="1:22">
      <c r="A675" s="900" t="s">
        <v>140</v>
      </c>
      <c r="B675" s="900"/>
      <c r="C675" s="900" t="s">
        <v>1313</v>
      </c>
      <c r="D675" t="s">
        <v>397</v>
      </c>
      <c r="E675" t="s">
        <v>63</v>
      </c>
      <c r="F675" s="900" t="s">
        <v>1299</v>
      </c>
      <c r="G675">
        <v>4</v>
      </c>
      <c r="H675">
        <v>1</v>
      </c>
      <c r="I675">
        <v>2</v>
      </c>
      <c r="J675">
        <v>8</v>
      </c>
      <c r="K675">
        <v>7</v>
      </c>
      <c r="L675">
        <v>13</v>
      </c>
      <c r="M675">
        <v>10</v>
      </c>
      <c r="N675">
        <v>11</v>
      </c>
      <c r="O675">
        <v>9</v>
      </c>
      <c r="P675">
        <v>5</v>
      </c>
      <c r="Q675">
        <v>3</v>
      </c>
      <c r="R675">
        <v>6</v>
      </c>
      <c r="S675">
        <v>14</v>
      </c>
      <c r="T675">
        <v>12</v>
      </c>
      <c r="U675">
        <f t="shared" si="64"/>
        <v>7.5</v>
      </c>
      <c r="V675" t="str">
        <f t="shared" si="63"/>
        <v>2018/19Outputs - environmentBusiness Carbon Footprint (BCF)Ranking</v>
      </c>
    </row>
    <row r="676" spans="1:22">
      <c r="A676" s="900" t="s">
        <v>141</v>
      </c>
      <c r="B676" s="900"/>
      <c r="C676" s="900" t="s">
        <v>1313</v>
      </c>
      <c r="D676" t="s">
        <v>397</v>
      </c>
      <c r="E676" t="s">
        <v>63</v>
      </c>
      <c r="F676" s="900" t="s">
        <v>1299</v>
      </c>
      <c r="G676">
        <v>6</v>
      </c>
      <c r="H676">
        <v>3</v>
      </c>
      <c r="I676">
        <v>2</v>
      </c>
      <c r="J676">
        <v>7</v>
      </c>
      <c r="K676">
        <v>8</v>
      </c>
      <c r="L676">
        <v>9</v>
      </c>
      <c r="M676">
        <v>11</v>
      </c>
      <c r="N676">
        <v>13</v>
      </c>
      <c r="O676">
        <v>10</v>
      </c>
      <c r="P676">
        <v>5</v>
      </c>
      <c r="Q676">
        <v>1</v>
      </c>
      <c r="R676">
        <v>4</v>
      </c>
      <c r="S676">
        <v>14</v>
      </c>
      <c r="T676">
        <v>12</v>
      </c>
      <c r="U676">
        <f t="shared" si="64"/>
        <v>7.5</v>
      </c>
      <c r="V676" t="str">
        <f t="shared" si="63"/>
        <v>2019/20Outputs - environmentBusiness Carbon Footprint (BCF)Ranking</v>
      </c>
    </row>
    <row r="677" spans="1:22">
      <c r="A677" s="900" t="s">
        <v>126</v>
      </c>
      <c r="B677" s="900"/>
      <c r="C677" s="900" t="s">
        <v>1313</v>
      </c>
      <c r="D677" t="s">
        <v>397</v>
      </c>
      <c r="E677" t="s">
        <v>63</v>
      </c>
      <c r="F677" s="900" t="s">
        <v>1299</v>
      </c>
      <c r="G677">
        <v>5</v>
      </c>
      <c r="H677">
        <v>4</v>
      </c>
      <c r="I677">
        <v>3</v>
      </c>
      <c r="J677">
        <v>8</v>
      </c>
      <c r="K677">
        <v>7</v>
      </c>
      <c r="L677">
        <v>10</v>
      </c>
      <c r="M677">
        <v>9</v>
      </c>
      <c r="N677">
        <v>12</v>
      </c>
      <c r="O677">
        <v>11</v>
      </c>
      <c r="P677">
        <v>6</v>
      </c>
      <c r="Q677">
        <v>1</v>
      </c>
      <c r="R677">
        <v>2</v>
      </c>
      <c r="S677">
        <v>14</v>
      </c>
      <c r="T677">
        <v>13</v>
      </c>
      <c r="U677">
        <f>AVERAGE(G677:T677)</f>
        <v>7.5</v>
      </c>
      <c r="V677" t="str">
        <f t="shared" si="63"/>
        <v>2020/21Outputs - environmentBusiness Carbon Footprint (BCF)Ranking</v>
      </c>
    </row>
    <row r="678" spans="1:22">
      <c r="A678" s="900" t="s">
        <v>142</v>
      </c>
      <c r="B678" s="900"/>
      <c r="C678" s="900" t="s">
        <v>1313</v>
      </c>
      <c r="D678" t="s">
        <v>397</v>
      </c>
      <c r="E678" t="s">
        <v>63</v>
      </c>
      <c r="F678" s="900" t="s">
        <v>1299</v>
      </c>
      <c r="G678">
        <v>5</v>
      </c>
      <c r="H678">
        <v>2</v>
      </c>
      <c r="I678">
        <v>4</v>
      </c>
      <c r="J678">
        <v>8</v>
      </c>
      <c r="K678">
        <v>6</v>
      </c>
      <c r="L678">
        <v>11</v>
      </c>
      <c r="M678">
        <v>9</v>
      </c>
      <c r="N678">
        <v>12</v>
      </c>
      <c r="O678">
        <v>10</v>
      </c>
      <c r="P678">
        <v>7</v>
      </c>
      <c r="Q678">
        <v>1</v>
      </c>
      <c r="R678">
        <v>3</v>
      </c>
      <c r="S678">
        <v>14</v>
      </c>
      <c r="T678">
        <v>13</v>
      </c>
      <c r="U678">
        <f>AVERAGE(G678:T678)</f>
        <v>7.5</v>
      </c>
      <c r="V678" t="str">
        <f t="shared" ref="V678" si="65">CONCATENATE(A678,B678,C678,D678,E678)</f>
        <v>2021/22Outputs - environmentBusiness Carbon Footprint (BCF)Ranking</v>
      </c>
    </row>
    <row r="679" spans="1:22">
      <c r="A679" s="900" t="s">
        <v>135</v>
      </c>
      <c r="B679" s="900"/>
      <c r="C679" s="900" t="s">
        <v>1313</v>
      </c>
      <c r="D679" t="s">
        <v>418</v>
      </c>
      <c r="E679" t="s">
        <v>929</v>
      </c>
      <c r="F679" s="900" t="s">
        <v>1320</v>
      </c>
      <c r="G679" cm="1">
        <f t="array" ref="G679:T687">TRANSPOSE('Ch2 outputs - environment'!E96:M109)</f>
        <v>57.100000000000009</v>
      </c>
      <c r="H679">
        <v>25.11</v>
      </c>
      <c r="I679">
        <v>97.97999999999999</v>
      </c>
      <c r="J679">
        <v>94.660881370217623</v>
      </c>
      <c r="K679">
        <v>43.52911862978236</v>
      </c>
      <c r="L679">
        <v>41.83</v>
      </c>
      <c r="M679">
        <v>157.66999999999999</v>
      </c>
      <c r="N679">
        <v>10.42</v>
      </c>
      <c r="O679">
        <v>16.577999999999999</v>
      </c>
      <c r="P679">
        <v>71.86</v>
      </c>
      <c r="Q679">
        <v>61.7</v>
      </c>
      <c r="R679">
        <v>121.8</v>
      </c>
      <c r="S679">
        <v>9</v>
      </c>
      <c r="T679">
        <v>107</v>
      </c>
      <c r="U679">
        <f t="shared" si="64"/>
        <v>65.445571428571427</v>
      </c>
      <c r="V679" t="str">
        <f t="shared" si="63"/>
        <v>2013/14Outputs - environmentSulphur hexafluoride emissions (SF6)SF6 emissions</v>
      </c>
    </row>
    <row r="680" spans="1:22">
      <c r="A680" s="900" t="s">
        <v>136</v>
      </c>
      <c r="B680" s="900"/>
      <c r="C680" s="900" t="s">
        <v>1313</v>
      </c>
      <c r="D680" t="s">
        <v>418</v>
      </c>
      <c r="E680" t="s">
        <v>929</v>
      </c>
      <c r="F680" s="900" t="s">
        <v>1320</v>
      </c>
      <c r="G680">
        <v>36.1</v>
      </c>
      <c r="H680">
        <v>16.12</v>
      </c>
      <c r="I680">
        <v>79.105000000000004</v>
      </c>
      <c r="J680">
        <v>62</v>
      </c>
      <c r="K680">
        <v>14.14</v>
      </c>
      <c r="L680">
        <v>141.41999999999999</v>
      </c>
      <c r="M680">
        <v>128.97</v>
      </c>
      <c r="N680">
        <v>20.609000000000002</v>
      </c>
      <c r="O680">
        <v>15.138</v>
      </c>
      <c r="P680">
        <v>64.47</v>
      </c>
      <c r="Q680">
        <v>62.4</v>
      </c>
      <c r="R680">
        <v>124.2</v>
      </c>
      <c r="S680">
        <v>14</v>
      </c>
      <c r="T680">
        <v>102</v>
      </c>
      <c r="U680">
        <f t="shared" ref="U680:U684" si="66">AVERAGE(G680:T680)</f>
        <v>62.905142857142856</v>
      </c>
      <c r="V680" t="str">
        <f t="shared" si="63"/>
        <v>2014/15Outputs - environmentSulphur hexafluoride emissions (SF6)SF6 emissions</v>
      </c>
    </row>
    <row r="681" spans="1:22">
      <c r="A681" s="900" t="s">
        <v>137</v>
      </c>
      <c r="B681" s="900"/>
      <c r="C681" s="900" t="s">
        <v>1313</v>
      </c>
      <c r="D681" t="s">
        <v>418</v>
      </c>
      <c r="E681" t="s">
        <v>929</v>
      </c>
      <c r="F681" s="900" t="s">
        <v>1320</v>
      </c>
      <c r="G681">
        <v>14.627000000000001</v>
      </c>
      <c r="H681">
        <v>23.75</v>
      </c>
      <c r="I681">
        <v>84.49</v>
      </c>
      <c r="J681">
        <v>352.64</v>
      </c>
      <c r="K681">
        <v>75.61</v>
      </c>
      <c r="L681">
        <v>93.9</v>
      </c>
      <c r="M681">
        <v>105.3</v>
      </c>
      <c r="N681">
        <v>9.5500000000000007</v>
      </c>
      <c r="O681">
        <v>17.609000000000002</v>
      </c>
      <c r="P681">
        <v>66.89</v>
      </c>
      <c r="Q681">
        <v>0.8</v>
      </c>
      <c r="R681">
        <v>29.87</v>
      </c>
      <c r="S681">
        <v>5.8</v>
      </c>
      <c r="T681">
        <v>132.99999999999994</v>
      </c>
      <c r="U681">
        <f t="shared" si="66"/>
        <v>72.416857142857125</v>
      </c>
      <c r="V681" t="str">
        <f t="shared" si="63"/>
        <v>2015/16Outputs - environmentSulphur hexafluoride emissions (SF6)SF6 emissions</v>
      </c>
    </row>
    <row r="682" spans="1:22">
      <c r="A682" s="900" t="s">
        <v>138</v>
      </c>
      <c r="B682" s="900"/>
      <c r="C682" s="900" t="s">
        <v>1313</v>
      </c>
      <c r="D682" t="s">
        <v>418</v>
      </c>
      <c r="E682" t="s">
        <v>929</v>
      </c>
      <c r="F682" s="900" t="s">
        <v>1320</v>
      </c>
      <c r="G682">
        <v>55.23</v>
      </c>
      <c r="H682">
        <v>14.87</v>
      </c>
      <c r="I682">
        <v>98.75</v>
      </c>
      <c r="J682">
        <v>199.63</v>
      </c>
      <c r="K682">
        <v>56.74</v>
      </c>
      <c r="L682">
        <v>88.3</v>
      </c>
      <c r="M682">
        <v>74</v>
      </c>
      <c r="N682">
        <v>16.100000000000001</v>
      </c>
      <c r="O682">
        <v>16.5</v>
      </c>
      <c r="P682">
        <v>98.96</v>
      </c>
      <c r="Q682">
        <v>1.04</v>
      </c>
      <c r="R682">
        <v>46.690000000000012</v>
      </c>
      <c r="S682">
        <v>3.9</v>
      </c>
      <c r="T682">
        <v>132.29999999999998</v>
      </c>
      <c r="U682">
        <f t="shared" si="66"/>
        <v>64.500714285714281</v>
      </c>
      <c r="V682" t="str">
        <f t="shared" si="63"/>
        <v>2016/17Outputs - environmentSulphur hexafluoride emissions (SF6)SF6 emissions</v>
      </c>
    </row>
    <row r="683" spans="1:22">
      <c r="A683" s="900" t="s">
        <v>139</v>
      </c>
      <c r="B683" s="900"/>
      <c r="C683" s="900" t="s">
        <v>1313</v>
      </c>
      <c r="D683" t="s">
        <v>418</v>
      </c>
      <c r="E683" t="s">
        <v>929</v>
      </c>
      <c r="F683" s="900" t="s">
        <v>1320</v>
      </c>
      <c r="G683">
        <v>54.27</v>
      </c>
      <c r="H683">
        <v>36</v>
      </c>
      <c r="I683">
        <v>61.96</v>
      </c>
      <c r="J683">
        <v>186.96</v>
      </c>
      <c r="K683">
        <v>56.96</v>
      </c>
      <c r="L683">
        <v>103.64</v>
      </c>
      <c r="M683">
        <v>121.28</v>
      </c>
      <c r="N683">
        <v>7.35</v>
      </c>
      <c r="O683">
        <v>35.700000000000003</v>
      </c>
      <c r="P683">
        <v>93.28</v>
      </c>
      <c r="Q683">
        <v>36.501999999999988</v>
      </c>
      <c r="R683">
        <v>67.489999999999995</v>
      </c>
      <c r="S683">
        <v>1.56</v>
      </c>
      <c r="T683">
        <v>186.20000000000002</v>
      </c>
      <c r="U683">
        <f t="shared" si="66"/>
        <v>74.939428571428579</v>
      </c>
      <c r="V683" t="str">
        <f t="shared" si="63"/>
        <v>2017/18Outputs - environmentSulphur hexafluoride emissions (SF6)SF6 emissions</v>
      </c>
    </row>
    <row r="684" spans="1:22">
      <c r="A684" s="900" t="s">
        <v>140</v>
      </c>
      <c r="B684" s="900"/>
      <c r="C684" s="900" t="s">
        <v>1313</v>
      </c>
      <c r="D684" t="s">
        <v>418</v>
      </c>
      <c r="E684" t="s">
        <v>929</v>
      </c>
      <c r="F684" s="900" t="s">
        <v>1320</v>
      </c>
      <c r="G684">
        <v>38.03</v>
      </c>
      <c r="H684">
        <v>17.7</v>
      </c>
      <c r="I684">
        <v>47.45</v>
      </c>
      <c r="J684">
        <v>166.28399999999999</v>
      </c>
      <c r="K684">
        <v>69.100000000000009</v>
      </c>
      <c r="L684">
        <v>151.38300000000001</v>
      </c>
      <c r="M684">
        <v>92.79</v>
      </c>
      <c r="N684">
        <v>26.65</v>
      </c>
      <c r="O684">
        <v>22.68</v>
      </c>
      <c r="P684">
        <v>42.47</v>
      </c>
      <c r="Q684">
        <v>18.296000000000003</v>
      </c>
      <c r="R684">
        <v>37.5</v>
      </c>
      <c r="S684">
        <v>8.470000000000006</v>
      </c>
      <c r="T684">
        <v>211.05200000000002</v>
      </c>
      <c r="U684">
        <f t="shared" si="66"/>
        <v>67.846785714285716</v>
      </c>
      <c r="V684" t="str">
        <f t="shared" si="63"/>
        <v>2018/19Outputs - environmentSulphur hexafluoride emissions (SF6)SF6 emissions</v>
      </c>
    </row>
    <row r="685" spans="1:22">
      <c r="A685" s="900" t="s">
        <v>141</v>
      </c>
      <c r="B685" s="900"/>
      <c r="C685" s="900" t="s">
        <v>1313</v>
      </c>
      <c r="D685" t="s">
        <v>418</v>
      </c>
      <c r="E685" t="s">
        <v>929</v>
      </c>
      <c r="F685" s="900" t="s">
        <v>1320</v>
      </c>
      <c r="G685">
        <v>77.73</v>
      </c>
      <c r="H685">
        <v>14.75</v>
      </c>
      <c r="I685">
        <v>48.37</v>
      </c>
      <c r="J685">
        <v>111.521</v>
      </c>
      <c r="K685">
        <v>109.419</v>
      </c>
      <c r="L685">
        <v>72.8</v>
      </c>
      <c r="M685">
        <v>101.23400000000001</v>
      </c>
      <c r="N685">
        <v>44.88</v>
      </c>
      <c r="O685">
        <v>14.85</v>
      </c>
      <c r="P685">
        <v>56.47</v>
      </c>
      <c r="Q685">
        <v>45.599000000000011</v>
      </c>
      <c r="R685">
        <v>32.630000000000003</v>
      </c>
      <c r="S685">
        <v>10.96</v>
      </c>
      <c r="T685">
        <v>162.98999999999995</v>
      </c>
      <c r="U685">
        <f>AVERAGE(G685:T685)</f>
        <v>64.585928571428568</v>
      </c>
      <c r="V685" t="str">
        <f t="shared" si="63"/>
        <v>2019/20Outputs - environmentSulphur hexafluoride emissions (SF6)SF6 emissions</v>
      </c>
    </row>
    <row r="686" spans="1:22">
      <c r="A686" s="900" t="s">
        <v>126</v>
      </c>
      <c r="B686" s="900"/>
      <c r="C686" s="900" t="s">
        <v>1313</v>
      </c>
      <c r="D686" t="s">
        <v>418</v>
      </c>
      <c r="E686" t="s">
        <v>929</v>
      </c>
      <c r="F686" s="900" t="s">
        <v>1320</v>
      </c>
      <c r="G686">
        <v>65.260000000000005</v>
      </c>
      <c r="H686">
        <v>24.049999999999997</v>
      </c>
      <c r="I686">
        <v>49.010000000000005</v>
      </c>
      <c r="J686">
        <v>184.79600000000002</v>
      </c>
      <c r="K686">
        <v>70.53</v>
      </c>
      <c r="L686">
        <v>66.63900000000001</v>
      </c>
      <c r="M686">
        <v>58.586999999999996</v>
      </c>
      <c r="N686">
        <v>62.38</v>
      </c>
      <c r="O686">
        <v>9.93</v>
      </c>
      <c r="P686">
        <v>58.14</v>
      </c>
      <c r="Q686">
        <v>49.919000000000004</v>
      </c>
      <c r="R686">
        <v>69.494999999999976</v>
      </c>
      <c r="S686">
        <v>9.879999999999999</v>
      </c>
      <c r="T686">
        <v>161.78500000000005</v>
      </c>
      <c r="U686">
        <f>AVERAGE(G686:T686)</f>
        <v>67.171499999999995</v>
      </c>
      <c r="V686" t="str">
        <f t="shared" si="63"/>
        <v>2020/21Outputs - environmentSulphur hexafluoride emissions (SF6)SF6 emissions</v>
      </c>
    </row>
    <row r="687" spans="1:22">
      <c r="A687" s="900" t="s">
        <v>142</v>
      </c>
      <c r="B687" s="900"/>
      <c r="C687" s="900" t="s">
        <v>1313</v>
      </c>
      <c r="D687" t="s">
        <v>418</v>
      </c>
      <c r="E687" t="s">
        <v>929</v>
      </c>
      <c r="F687" s="900" t="s">
        <v>1320</v>
      </c>
      <c r="G687">
        <v>38.47</v>
      </c>
      <c r="H687">
        <v>14.5</v>
      </c>
      <c r="I687">
        <v>87.055000000000007</v>
      </c>
      <c r="J687">
        <v>135.422</v>
      </c>
      <c r="K687">
        <v>93.179000000000002</v>
      </c>
      <c r="L687">
        <v>107.90299999999999</v>
      </c>
      <c r="M687">
        <v>67.376000000000005</v>
      </c>
      <c r="N687">
        <v>107.34</v>
      </c>
      <c r="O687">
        <v>4.8879999999999999</v>
      </c>
      <c r="P687">
        <v>53.040999999999997</v>
      </c>
      <c r="Q687">
        <v>84.642000000000024</v>
      </c>
      <c r="R687">
        <v>88.892990000000012</v>
      </c>
      <c r="S687">
        <v>0.78</v>
      </c>
      <c r="T687">
        <v>155.48400000000007</v>
      </c>
      <c r="U687">
        <f>AVERAGE(G687:T687)</f>
        <v>74.212356428571439</v>
      </c>
      <c r="V687" t="str">
        <f t="shared" ref="V687" si="67">CONCATENATE(A687,B687,C687,D687,E687)</f>
        <v>2021/22Outputs - environmentSulphur hexafluoride emissions (SF6)SF6 emissions</v>
      </c>
    </row>
    <row r="688" spans="1:22">
      <c r="A688" s="900" t="s">
        <v>135</v>
      </c>
      <c r="B688" s="900"/>
      <c r="C688" s="900" t="s">
        <v>1313</v>
      </c>
      <c r="D688" t="s">
        <v>418</v>
      </c>
      <c r="E688" t="s">
        <v>931</v>
      </c>
      <c r="F688" s="900" t="s">
        <v>1320</v>
      </c>
      <c r="G688" cm="1">
        <f t="array" ref="G688:T696">TRANSPOSE('Ch2 outputs - environment'!Q96:Y109)</f>
        <v>13508.72</v>
      </c>
      <c r="H688">
        <v>14530.149807449996</v>
      </c>
      <c r="I688">
        <v>17280.803275450005</v>
      </c>
      <c r="J688">
        <v>17537</v>
      </c>
      <c r="K688">
        <v>15684</v>
      </c>
      <c r="L688">
        <v>15597</v>
      </c>
      <c r="M688">
        <v>11327</v>
      </c>
      <c r="N688">
        <v>43149.7</v>
      </c>
      <c r="O688">
        <v>19622.900000000001</v>
      </c>
      <c r="P688">
        <v>32780.699999999997</v>
      </c>
      <c r="Q688">
        <v>12564</v>
      </c>
      <c r="R688">
        <v>22193</v>
      </c>
      <c r="S688">
        <v>4887.2759999999998</v>
      </c>
      <c r="T688">
        <v>22983.677000000007</v>
      </c>
      <c r="U688">
        <f>AVERAGE(G688:T688)</f>
        <v>18831.851863064287</v>
      </c>
      <c r="V688" t="str">
        <f t="shared" si="63"/>
        <v>2013/14Outputs - environmentSulphur hexafluoride emissions (SF6)SF6 bank</v>
      </c>
    </row>
    <row r="689" spans="1:22">
      <c r="A689" s="900" t="s">
        <v>136</v>
      </c>
      <c r="B689" s="900"/>
      <c r="C689" s="900" t="s">
        <v>1313</v>
      </c>
      <c r="D689" t="s">
        <v>418</v>
      </c>
      <c r="E689" t="s">
        <v>931</v>
      </c>
      <c r="F689" s="900" t="s">
        <v>1320</v>
      </c>
      <c r="G689">
        <v>16852.099999999999</v>
      </c>
      <c r="H689">
        <v>15125.069807449996</v>
      </c>
      <c r="I689">
        <v>17816.803275450005</v>
      </c>
      <c r="J689">
        <v>19464</v>
      </c>
      <c r="K689">
        <v>16952</v>
      </c>
      <c r="L689">
        <v>16227</v>
      </c>
      <c r="M689">
        <v>11558</v>
      </c>
      <c r="N689">
        <v>40825.459000000003</v>
      </c>
      <c r="O689">
        <v>20451.965</v>
      </c>
      <c r="P689">
        <v>34185.483999999997</v>
      </c>
      <c r="Q689">
        <v>13259</v>
      </c>
      <c r="R689">
        <v>23117</v>
      </c>
      <c r="S689">
        <v>5231.978000000001</v>
      </c>
      <c r="T689">
        <v>21967.991000000009</v>
      </c>
      <c r="U689">
        <f t="shared" ref="U689:U696" si="68">AVERAGE(G689:T689)</f>
        <v>19502.417863064289</v>
      </c>
      <c r="V689" t="str">
        <f t="shared" si="63"/>
        <v>2014/15Outputs - environmentSulphur hexafluoride emissions (SF6)SF6 bank</v>
      </c>
    </row>
    <row r="690" spans="1:22">
      <c r="A690" s="900" t="s">
        <v>137</v>
      </c>
      <c r="B690" s="900"/>
      <c r="C690" s="900" t="s">
        <v>1313</v>
      </c>
      <c r="D690" t="s">
        <v>418</v>
      </c>
      <c r="E690" t="s">
        <v>931</v>
      </c>
      <c r="F690" s="900" t="s">
        <v>1320</v>
      </c>
      <c r="G690">
        <v>14736.27</v>
      </c>
      <c r="H690">
        <v>15258.789807449995</v>
      </c>
      <c r="I690">
        <v>18304.153275450004</v>
      </c>
      <c r="J690">
        <v>20866</v>
      </c>
      <c r="K690">
        <v>18231</v>
      </c>
      <c r="L690">
        <v>16632</v>
      </c>
      <c r="M690">
        <v>11684</v>
      </c>
      <c r="N690">
        <v>41889.606</v>
      </c>
      <c r="O690">
        <v>21158.534</v>
      </c>
      <c r="P690">
        <v>36058.735999999997</v>
      </c>
      <c r="Q690">
        <v>12709.962000000001</v>
      </c>
      <c r="R690">
        <v>16893.361000000001</v>
      </c>
      <c r="S690">
        <v>5510.8445555555554</v>
      </c>
      <c r="T690">
        <v>25702</v>
      </c>
      <c r="U690">
        <f t="shared" si="68"/>
        <v>19688.23261703254</v>
      </c>
      <c r="V690" t="str">
        <f t="shared" si="63"/>
        <v>2015/16Outputs - environmentSulphur hexafluoride emissions (SF6)SF6 bank</v>
      </c>
    </row>
    <row r="691" spans="1:22">
      <c r="A691" s="900" t="s">
        <v>138</v>
      </c>
      <c r="B691" s="900"/>
      <c r="C691" s="900" t="s">
        <v>1313</v>
      </c>
      <c r="D691" t="s">
        <v>418</v>
      </c>
      <c r="E691" t="s">
        <v>931</v>
      </c>
      <c r="F691" s="900" t="s">
        <v>1320</v>
      </c>
      <c r="G691">
        <v>14159.45</v>
      </c>
      <c r="H691">
        <v>15392.509807449995</v>
      </c>
      <c r="I691">
        <v>18637.593275450003</v>
      </c>
      <c r="J691">
        <v>22761</v>
      </c>
      <c r="K691">
        <v>20124</v>
      </c>
      <c r="L691">
        <v>17455</v>
      </c>
      <c r="M691">
        <v>12368</v>
      </c>
      <c r="N691">
        <v>42305</v>
      </c>
      <c r="O691">
        <v>21124</v>
      </c>
      <c r="P691">
        <v>36921</v>
      </c>
      <c r="Q691">
        <v>14314.641999999996</v>
      </c>
      <c r="R691">
        <v>16922.361000000001</v>
      </c>
      <c r="S691">
        <v>5716.13</v>
      </c>
      <c r="T691">
        <v>24272.526000000023</v>
      </c>
      <c r="U691">
        <f t="shared" si="68"/>
        <v>20176.658005921432</v>
      </c>
      <c r="V691" t="str">
        <f t="shared" si="63"/>
        <v>2016/17Outputs - environmentSulphur hexafluoride emissions (SF6)SF6 bank</v>
      </c>
    </row>
    <row r="692" spans="1:22">
      <c r="A692" s="900" t="s">
        <v>139</v>
      </c>
      <c r="B692" s="900"/>
      <c r="C692" s="900" t="s">
        <v>1313</v>
      </c>
      <c r="D692" t="s">
        <v>418</v>
      </c>
      <c r="E692" t="s">
        <v>931</v>
      </c>
      <c r="F692" s="900" t="s">
        <v>1320</v>
      </c>
      <c r="G692">
        <v>14615.28</v>
      </c>
      <c r="H692">
        <v>16174</v>
      </c>
      <c r="I692">
        <v>19101.253275450003</v>
      </c>
      <c r="J692">
        <v>24570</v>
      </c>
      <c r="K692">
        <v>22588</v>
      </c>
      <c r="L692">
        <v>18098</v>
      </c>
      <c r="M692">
        <v>13277</v>
      </c>
      <c r="N692">
        <v>46089</v>
      </c>
      <c r="O692">
        <v>21603</v>
      </c>
      <c r="P692">
        <v>41022</v>
      </c>
      <c r="Q692">
        <v>15181.751</v>
      </c>
      <c r="R692">
        <v>17833.271000000001</v>
      </c>
      <c r="S692">
        <v>5653.7699999996948</v>
      </c>
      <c r="T692">
        <v>23941.639000000556</v>
      </c>
      <c r="U692">
        <f t="shared" si="68"/>
        <v>21410.568876817873</v>
      </c>
      <c r="V692" t="str">
        <f t="shared" si="63"/>
        <v>2017/18Outputs - environmentSulphur hexafluoride emissions (SF6)SF6 bank</v>
      </c>
    </row>
    <row r="693" spans="1:22">
      <c r="A693" s="900" t="s">
        <v>140</v>
      </c>
      <c r="B693" s="900"/>
      <c r="C693" s="900" t="s">
        <v>1313</v>
      </c>
      <c r="D693" t="s">
        <v>418</v>
      </c>
      <c r="E693" t="s">
        <v>931</v>
      </c>
      <c r="F693" s="900" t="s">
        <v>1320</v>
      </c>
      <c r="G693">
        <v>15751.63</v>
      </c>
      <c r="H693">
        <v>16357.03</v>
      </c>
      <c r="I693">
        <v>19486.643275450002</v>
      </c>
      <c r="J693">
        <v>25776.7</v>
      </c>
      <c r="K693">
        <v>25327.9</v>
      </c>
      <c r="L693">
        <v>18801.099999999999</v>
      </c>
      <c r="M693">
        <v>16009.59</v>
      </c>
      <c r="N693">
        <v>46880.7</v>
      </c>
      <c r="O693">
        <v>24198.5</v>
      </c>
      <c r="P693">
        <v>42026.7</v>
      </c>
      <c r="Q693">
        <v>15274.388000000001</v>
      </c>
      <c r="R693">
        <v>18739.053</v>
      </c>
      <c r="S693">
        <v>5433.3859999997485</v>
      </c>
      <c r="T693">
        <v>22703.790000000736</v>
      </c>
      <c r="U693">
        <f t="shared" si="68"/>
        <v>22340.507876817894</v>
      </c>
      <c r="V693" t="str">
        <f t="shared" si="63"/>
        <v>2018/19Outputs - environmentSulphur hexafluoride emissions (SF6)SF6 bank</v>
      </c>
    </row>
    <row r="694" spans="1:22">
      <c r="A694" s="900" t="s">
        <v>141</v>
      </c>
      <c r="B694" s="900"/>
      <c r="C694" s="900" t="s">
        <v>1313</v>
      </c>
      <c r="D694" t="s">
        <v>418</v>
      </c>
      <c r="E694" t="s">
        <v>931</v>
      </c>
      <c r="F694" s="900" t="s">
        <v>1320</v>
      </c>
      <c r="G694">
        <v>16097.92</v>
      </c>
      <c r="H694">
        <v>16590.150000000001</v>
      </c>
      <c r="I694">
        <v>19604.743275450001</v>
      </c>
      <c r="J694">
        <v>26230.76</v>
      </c>
      <c r="K694">
        <v>26137.02</v>
      </c>
      <c r="L694">
        <v>19248.480000000003</v>
      </c>
      <c r="M694">
        <v>17172.099999999999</v>
      </c>
      <c r="N694">
        <v>47581.09</v>
      </c>
      <c r="O694">
        <v>24445.46</v>
      </c>
      <c r="P694">
        <v>44830.54</v>
      </c>
      <c r="Q694">
        <v>15584.723999999998</v>
      </c>
      <c r="R694">
        <v>19976.824999999997</v>
      </c>
      <c r="S694">
        <v>5116.9040000000132</v>
      </c>
      <c r="T694">
        <v>22038.959999999672</v>
      </c>
      <c r="U694">
        <f t="shared" si="68"/>
        <v>22903.97687681784</v>
      </c>
      <c r="V694" t="str">
        <f t="shared" si="63"/>
        <v>2019/20Outputs - environmentSulphur hexafluoride emissions (SF6)SF6 bank</v>
      </c>
    </row>
    <row r="695" spans="1:22">
      <c r="A695" s="900" t="s">
        <v>126</v>
      </c>
      <c r="B695" s="900"/>
      <c r="C695" s="900" t="s">
        <v>1313</v>
      </c>
      <c r="D695" t="s">
        <v>418</v>
      </c>
      <c r="E695" t="s">
        <v>931</v>
      </c>
      <c r="F695" s="900" t="s">
        <v>1320</v>
      </c>
      <c r="G695">
        <v>16787.41</v>
      </c>
      <c r="H695">
        <v>16620.75</v>
      </c>
      <c r="I695">
        <v>19679.06327545</v>
      </c>
      <c r="J695">
        <v>26940.35</v>
      </c>
      <c r="K695">
        <v>27320.81</v>
      </c>
      <c r="L695">
        <v>19401.39</v>
      </c>
      <c r="M695">
        <v>17012.690000000002</v>
      </c>
      <c r="N695">
        <v>48518</v>
      </c>
      <c r="O695">
        <v>25218</v>
      </c>
      <c r="P695">
        <v>48944</v>
      </c>
      <c r="Q695">
        <v>15866.572999999999</v>
      </c>
      <c r="R695">
        <v>20850.46</v>
      </c>
      <c r="S695">
        <v>6034.3279999999886</v>
      </c>
      <c r="T695">
        <v>22570.940000001174</v>
      </c>
      <c r="U695">
        <f t="shared" si="68"/>
        <v>23697.483162532222</v>
      </c>
      <c r="V695" t="str">
        <f t="shared" si="63"/>
        <v>2020/21Outputs - environmentSulphur hexafluoride emissions (SF6)SF6 bank</v>
      </c>
    </row>
    <row r="696" spans="1:22">
      <c r="A696" s="900" t="s">
        <v>142</v>
      </c>
      <c r="B696" s="900"/>
      <c r="C696" s="900" t="s">
        <v>1313</v>
      </c>
      <c r="D696" t="s">
        <v>418</v>
      </c>
      <c r="E696" t="s">
        <v>931</v>
      </c>
      <c r="F696" s="900" t="s">
        <v>1320</v>
      </c>
      <c r="G696">
        <v>15366</v>
      </c>
      <c r="H696">
        <v>17058.86</v>
      </c>
      <c r="I696">
        <v>20193.40327545</v>
      </c>
      <c r="J696">
        <v>28523.46</v>
      </c>
      <c r="K696">
        <v>29332.17</v>
      </c>
      <c r="L696">
        <v>20935.38</v>
      </c>
      <c r="M696">
        <v>18015.240000000002</v>
      </c>
      <c r="N696">
        <v>48874</v>
      </c>
      <c r="O696">
        <v>25434</v>
      </c>
      <c r="P696">
        <v>49739</v>
      </c>
      <c r="Q696">
        <v>15866.572999999999</v>
      </c>
      <c r="R696">
        <v>20850.46</v>
      </c>
      <c r="S696">
        <v>5007.6879999997618</v>
      </c>
      <c r="T696">
        <v>22133.896000001343</v>
      </c>
      <c r="U696">
        <f t="shared" si="68"/>
        <v>24095.009305389365</v>
      </c>
      <c r="V696" t="str">
        <f t="shared" ref="V696" si="69">CONCATENATE(A696,B696,C696,D696,E696)</f>
        <v>2021/22Outputs - environmentSulphur hexafluoride emissions (SF6)SF6 bank</v>
      </c>
    </row>
    <row r="697" spans="1:22">
      <c r="A697" s="900" t="s">
        <v>135</v>
      </c>
      <c r="B697" s="900"/>
      <c r="C697" s="900" t="s">
        <v>1313</v>
      </c>
      <c r="D697" t="s">
        <v>418</v>
      </c>
      <c r="E697" t="s">
        <v>421</v>
      </c>
      <c r="F697" s="900" t="s">
        <v>1300</v>
      </c>
      <c r="G697" s="829" cm="1">
        <f t="array" ref="G697:U705">TRANSPOSE('Ch2 outputs - environment'!E116:M130)</f>
        <v>4.2268993657430176E-3</v>
      </c>
      <c r="H697" s="829">
        <v>1.728130840545459E-3</v>
      </c>
      <c r="I697" s="829">
        <v>5.6698753199277141E-3</v>
      </c>
      <c r="J697" s="829">
        <v>5.3977807703836245E-3</v>
      </c>
      <c r="K697" s="829">
        <v>2.7753837432914026E-3</v>
      </c>
      <c r="L697" s="829">
        <v>2.6819260114124511E-3</v>
      </c>
      <c r="M697" s="829">
        <v>1.3919837556281451E-2</v>
      </c>
      <c r="N697" s="829">
        <v>2.4148487706751148E-4</v>
      </c>
      <c r="O697" s="829">
        <v>8.4482925561461342E-4</v>
      </c>
      <c r="P697" s="829">
        <v>2.1921435478803077E-3</v>
      </c>
      <c r="Q697" s="829">
        <v>4.9108564151544099E-3</v>
      </c>
      <c r="R697" s="829">
        <v>5.4882170053620512E-3</v>
      </c>
      <c r="S697" s="829">
        <v>1.8415166239844037E-3</v>
      </c>
      <c r="T697" s="829">
        <v>4.6554778854575778E-3</v>
      </c>
      <c r="U697" s="829">
        <v>3.4752594648927017E-3</v>
      </c>
      <c r="V697" t="str">
        <f t="shared" si="63"/>
        <v>2013/14Outputs - environmentSulphur hexafluoride emissions (SF6)SF6 emissions as a percentage of the SF6 bank</v>
      </c>
    </row>
    <row r="698" spans="1:22">
      <c r="A698" s="900" t="s">
        <v>136</v>
      </c>
      <c r="B698" s="900"/>
      <c r="C698" s="900" t="s">
        <v>1313</v>
      </c>
      <c r="D698" t="s">
        <v>418</v>
      </c>
      <c r="E698" t="s">
        <v>421</v>
      </c>
      <c r="F698" s="900" t="s">
        <v>1300</v>
      </c>
      <c r="G698" s="829">
        <v>2.142166258211143E-3</v>
      </c>
      <c r="H698" s="829">
        <v>1.0657802049984552E-3</v>
      </c>
      <c r="I698" s="829">
        <v>4.4399098298963519E-3</v>
      </c>
      <c r="J698" s="829">
        <v>3.1853678586107686E-3</v>
      </c>
      <c r="K698" s="829">
        <v>8.3411986786219923E-4</v>
      </c>
      <c r="L698" s="829">
        <v>8.7151044555370677E-3</v>
      </c>
      <c r="M698" s="829">
        <v>1.1158504931649074E-2</v>
      </c>
      <c r="N698" s="829">
        <v>5.0480755158196751E-4</v>
      </c>
      <c r="O698" s="829">
        <v>7.4017337698358075E-4</v>
      </c>
      <c r="P698" s="829">
        <v>1.8858881740565676E-3</v>
      </c>
      <c r="Q698" s="829">
        <v>4.7062372727958365E-3</v>
      </c>
      <c r="R698" s="829">
        <v>5.3726694640308E-3</v>
      </c>
      <c r="S698" s="829">
        <v>2.6758522302654936E-3</v>
      </c>
      <c r="T698" s="829">
        <v>4.6431191636959407E-3</v>
      </c>
      <c r="U698" s="829">
        <v>3.2255048219574445E-3</v>
      </c>
      <c r="V698" t="str">
        <f t="shared" si="63"/>
        <v>2014/15Outputs - environmentSulphur hexafluoride emissions (SF6)SF6 emissions as a percentage of the SF6 bank</v>
      </c>
    </row>
    <row r="699" spans="1:22">
      <c r="A699" s="900" t="s">
        <v>137</v>
      </c>
      <c r="B699" s="900"/>
      <c r="C699" s="900" t="s">
        <v>1313</v>
      </c>
      <c r="D699" t="s">
        <v>418</v>
      </c>
      <c r="E699" t="s">
        <v>421</v>
      </c>
      <c r="F699" s="900" t="s">
        <v>1300</v>
      </c>
      <c r="G699" s="829">
        <v>9.9258496213763727E-4</v>
      </c>
      <c r="H699" s="829">
        <v>1.5564799240110269E-3</v>
      </c>
      <c r="I699" s="829">
        <v>4.6158922911402915E-3</v>
      </c>
      <c r="J699" s="829">
        <v>1.6900220454327614E-2</v>
      </c>
      <c r="K699" s="829">
        <v>4.1473314683780375E-3</v>
      </c>
      <c r="L699" s="829">
        <v>5.6457431457431458E-3</v>
      </c>
      <c r="M699" s="829">
        <v>9.0123245463882232E-3</v>
      </c>
      <c r="N699" s="829">
        <v>2.2798018200505398E-4</v>
      </c>
      <c r="O699" s="829">
        <v>8.3224102388190042E-4</v>
      </c>
      <c r="P699" s="829">
        <v>1.8550289727293826E-3</v>
      </c>
      <c r="Q699" s="829">
        <v>6.2942753093990362E-5</v>
      </c>
      <c r="R699" s="829">
        <v>1.7681502218534252E-3</v>
      </c>
      <c r="S699" s="829">
        <v>1.0524702595998544E-3</v>
      </c>
      <c r="T699" s="829">
        <v>5.1746945762975623E-3</v>
      </c>
      <c r="U699" s="829">
        <v>3.6781796797853957E-3</v>
      </c>
      <c r="V699" t="str">
        <f t="shared" si="63"/>
        <v>2015/16Outputs - environmentSulphur hexafluoride emissions (SF6)SF6 emissions as a percentage of the SF6 bank</v>
      </c>
    </row>
    <row r="700" spans="1:22">
      <c r="A700" s="900" t="s">
        <v>138</v>
      </c>
      <c r="B700" s="900"/>
      <c r="C700" s="900" t="s">
        <v>1313</v>
      </c>
      <c r="D700" t="s">
        <v>418</v>
      </c>
      <c r="E700" t="s">
        <v>421</v>
      </c>
      <c r="F700" s="900" t="s">
        <v>1300</v>
      </c>
      <c r="G700" s="829">
        <v>3.900575234207543E-3</v>
      </c>
      <c r="H700" s="829">
        <v>9.6605428133642631E-4</v>
      </c>
      <c r="I700" s="829">
        <v>5.2984308939758046E-3</v>
      </c>
      <c r="J700" s="829">
        <v>8.7707042748561125E-3</v>
      </c>
      <c r="K700" s="829">
        <v>2.8195189823096802E-3</v>
      </c>
      <c r="L700" s="829">
        <v>5.0587224291034089E-3</v>
      </c>
      <c r="M700" s="829">
        <v>5.983182406209573E-3</v>
      </c>
      <c r="N700" s="829">
        <v>3.8056967261553009E-4</v>
      </c>
      <c r="O700" s="829">
        <v>7.8110206400302975E-4</v>
      </c>
      <c r="P700" s="829">
        <v>2.6803174345223584E-3</v>
      </c>
      <c r="Q700" s="829">
        <v>7.2652882272570995E-5</v>
      </c>
      <c r="R700" s="829">
        <v>2.7590712667103609E-3</v>
      </c>
      <c r="S700" s="829">
        <v>6.8227979419642308E-4</v>
      </c>
      <c r="T700" s="829">
        <v>5.4506069949209184E-3</v>
      </c>
      <c r="U700" s="829">
        <v>3.1967987100135543E-3</v>
      </c>
      <c r="V700" t="str">
        <f t="shared" si="63"/>
        <v>2016/17Outputs - environmentSulphur hexafluoride emissions (SF6)SF6 emissions as a percentage of the SF6 bank</v>
      </c>
    </row>
    <row r="701" spans="1:22">
      <c r="A701" s="900" t="s">
        <v>139</v>
      </c>
      <c r="B701" s="900"/>
      <c r="C701" s="900" t="s">
        <v>1313</v>
      </c>
      <c r="D701" t="s">
        <v>418</v>
      </c>
      <c r="E701" t="s">
        <v>421</v>
      </c>
      <c r="F701" s="900" t="s">
        <v>1300</v>
      </c>
      <c r="G701" s="829">
        <v>3.7132371052761219E-3</v>
      </c>
      <c r="H701" s="829">
        <v>2.2257944849758873E-3</v>
      </c>
      <c r="I701" s="829">
        <v>3.2437662129549609E-3</v>
      </c>
      <c r="J701" s="829">
        <v>7.6092796092796094E-3</v>
      </c>
      <c r="K701" s="829">
        <v>2.5216929343013991E-3</v>
      </c>
      <c r="L701" s="829">
        <v>5.726599624267875E-3</v>
      </c>
      <c r="M701" s="829">
        <v>9.1345936582059202E-3</v>
      </c>
      <c r="N701" s="829">
        <v>1.5947406105578337E-4</v>
      </c>
      <c r="O701" s="829">
        <v>1.6525482571865019E-3</v>
      </c>
      <c r="P701" s="829">
        <v>2.2739018087855299E-3</v>
      </c>
      <c r="Q701" s="829">
        <v>2.404333992831261E-3</v>
      </c>
      <c r="R701" s="829">
        <v>3.784499209371068E-3</v>
      </c>
      <c r="S701" s="829">
        <v>2.7592208384849125E-4</v>
      </c>
      <c r="T701" s="829">
        <v>7.7772453256017976E-3</v>
      </c>
      <c r="U701" s="829">
        <v>3.5001138457637464E-3</v>
      </c>
      <c r="V701" t="str">
        <f t="shared" si="63"/>
        <v>2017/18Outputs - environmentSulphur hexafluoride emissions (SF6)SF6 emissions as a percentage of the SF6 bank</v>
      </c>
    </row>
    <row r="702" spans="1:22">
      <c r="A702" s="900" t="s">
        <v>140</v>
      </c>
      <c r="B702" s="900"/>
      <c r="C702" s="900" t="s">
        <v>1313</v>
      </c>
      <c r="D702" t="s">
        <v>418</v>
      </c>
      <c r="E702" t="s">
        <v>421</v>
      </c>
      <c r="F702" s="900" t="s">
        <v>1300</v>
      </c>
      <c r="G702" s="829">
        <v>2.4143533081973107E-3</v>
      </c>
      <c r="H702" s="829">
        <v>1.0821035359108589E-3</v>
      </c>
      <c r="I702" s="829">
        <v>2.435001212331899E-3</v>
      </c>
      <c r="J702" s="829">
        <v>6.4509421299080169E-3</v>
      </c>
      <c r="K702" s="829">
        <v>2.728216709636409E-3</v>
      </c>
      <c r="L702" s="829">
        <v>8.0518161171420841E-3</v>
      </c>
      <c r="M702" s="829">
        <v>5.7959010817891033E-3</v>
      </c>
      <c r="N702" s="829">
        <v>5.6846420808563008E-4</v>
      </c>
      <c r="O702" s="829">
        <v>9.3724817653986813E-4</v>
      </c>
      <c r="P702" s="829">
        <v>1.0105480563546508E-3</v>
      </c>
      <c r="Q702" s="829">
        <v>1.1978221320553073E-3</v>
      </c>
      <c r="R702" s="829">
        <v>2.0011683621365497E-3</v>
      </c>
      <c r="S702" s="829">
        <v>1.5588805948998283E-3</v>
      </c>
      <c r="T702" s="829">
        <v>9.2958928883676763E-3</v>
      </c>
      <c r="U702" s="829">
        <v>3.0369401666417973E-3</v>
      </c>
      <c r="V702" t="str">
        <f t="shared" si="63"/>
        <v>2018/19Outputs - environmentSulphur hexafluoride emissions (SF6)SF6 emissions as a percentage of the SF6 bank</v>
      </c>
    </row>
    <row r="703" spans="1:22">
      <c r="A703" s="900" t="s">
        <v>141</v>
      </c>
      <c r="B703" s="900"/>
      <c r="C703" s="900" t="s">
        <v>1313</v>
      </c>
      <c r="D703" t="s">
        <v>418</v>
      </c>
      <c r="E703" t="s">
        <v>421</v>
      </c>
      <c r="F703" s="900" t="s">
        <v>1300</v>
      </c>
      <c r="G703" s="829">
        <v>4.8285741263467581E-3</v>
      </c>
      <c r="H703" s="829">
        <v>8.8908177442639151E-4</v>
      </c>
      <c r="I703" s="829">
        <v>2.4672600564257952E-3</v>
      </c>
      <c r="J703" s="829">
        <v>4.2515352204816025E-3</v>
      </c>
      <c r="K703" s="829">
        <v>4.1863609546918508E-3</v>
      </c>
      <c r="L703" s="829">
        <v>3.7821168216918936E-3</v>
      </c>
      <c r="M703" s="829">
        <v>5.8952603350784132E-3</v>
      </c>
      <c r="N703" s="829">
        <v>9.4323185954756409E-4</v>
      </c>
      <c r="O703" s="829">
        <v>6.074747621848802E-4</v>
      </c>
      <c r="P703" s="829">
        <v>1.2596323845307238E-3</v>
      </c>
      <c r="Q703" s="829">
        <v>2.9258779302090954E-3</v>
      </c>
      <c r="R703" s="829">
        <v>1.6333926937839225E-3</v>
      </c>
      <c r="S703" s="829">
        <v>2.1419201923663163E-3</v>
      </c>
      <c r="T703" s="829">
        <v>7.3955395354409819E-3</v>
      </c>
      <c r="U703" s="829">
        <v>2.8198565218077449E-3</v>
      </c>
      <c r="V703" t="str">
        <f t="shared" si="63"/>
        <v>2019/20Outputs - environmentSulphur hexafluoride emissions (SF6)SF6 emissions as a percentage of the SF6 bank</v>
      </c>
    </row>
    <row r="704" spans="1:22">
      <c r="A704" s="900" t="s">
        <v>126</v>
      </c>
      <c r="B704" s="900"/>
      <c r="C704" s="900" t="s">
        <v>1313</v>
      </c>
      <c r="D704" t="s">
        <v>418</v>
      </c>
      <c r="E704" t="s">
        <v>421</v>
      </c>
      <c r="F704" s="900" t="s">
        <v>1300</v>
      </c>
      <c r="G704" s="829">
        <v>3.8874370733782047E-3</v>
      </c>
      <c r="H704" s="829">
        <v>1.4469864476633122E-3</v>
      </c>
      <c r="I704" s="829">
        <v>2.4904640690464621E-3</v>
      </c>
      <c r="J704" s="829">
        <v>6.859450601050099E-3</v>
      </c>
      <c r="K704" s="829">
        <v>2.5815486436895538E-3</v>
      </c>
      <c r="L704" s="829">
        <v>3.434753901653439E-3</v>
      </c>
      <c r="M704" s="829">
        <v>3.4437234793557037E-3</v>
      </c>
      <c r="N704" s="829">
        <v>1.2857083968836308E-3</v>
      </c>
      <c r="O704" s="829">
        <v>3.9376635736378774E-4</v>
      </c>
      <c r="P704" s="829">
        <v>1.1878881987577639E-3</v>
      </c>
      <c r="Q704" s="829">
        <v>3.1461740351870571E-3</v>
      </c>
      <c r="R704" s="829">
        <v>3.3330199909258587E-3</v>
      </c>
      <c r="S704" s="829">
        <v>1.6372991325628997E-3</v>
      </c>
      <c r="T704" s="829">
        <v>7.1678450255058777E-3</v>
      </c>
      <c r="U704" s="829">
        <v>2.834541522375843E-3</v>
      </c>
      <c r="V704" t="str">
        <f t="shared" si="63"/>
        <v>2020/21Outputs - environmentSulphur hexafluoride emissions (SF6)SF6 emissions as a percentage of the SF6 bank</v>
      </c>
    </row>
    <row r="705" spans="1:22">
      <c r="A705" s="900" t="s">
        <v>142</v>
      </c>
      <c r="B705" s="900"/>
      <c r="C705" s="900" t="s">
        <v>1313</v>
      </c>
      <c r="D705" t="s">
        <v>418</v>
      </c>
      <c r="E705" t="s">
        <v>421</v>
      </c>
      <c r="F705" s="900" t="s">
        <v>1300</v>
      </c>
      <c r="G705" s="829">
        <v>2.5035793309904986E-3</v>
      </c>
      <c r="H705" s="829">
        <v>8.4999818276250579E-4</v>
      </c>
      <c r="I705" s="829">
        <v>4.3110613308969354E-3</v>
      </c>
      <c r="J705" s="829">
        <v>4.747740982335243E-3</v>
      </c>
      <c r="K705" s="829">
        <v>3.1766828025338737E-3</v>
      </c>
      <c r="L705" s="829">
        <v>5.1540979910562881E-3</v>
      </c>
      <c r="M705" s="829">
        <v>3.7399446246622302E-3</v>
      </c>
      <c r="N705" s="829">
        <v>2.1962597700208699E-3</v>
      </c>
      <c r="O705" s="829">
        <v>1.9218369112212E-4</v>
      </c>
      <c r="P705" s="829">
        <v>1.0663865377269345E-3</v>
      </c>
      <c r="Q705" s="829">
        <v>5.3346113240710542E-3</v>
      </c>
      <c r="R705" s="829">
        <v>4.2633586980814816E-3</v>
      </c>
      <c r="S705" s="829">
        <v>1.5576050265113104E-4</v>
      </c>
      <c r="T705" s="829">
        <v>7.0247009383251208E-3</v>
      </c>
      <c r="U705" s="829">
        <v>3.0799887017255584E-3</v>
      </c>
      <c r="V705" t="str">
        <f t="shared" si="63"/>
        <v>2021/22Outputs - environmentSulphur hexafluoride emissions (SF6)SF6 emissions as a percentage of the SF6 bank</v>
      </c>
    </row>
    <row r="706" spans="1:22">
      <c r="A706" s="900" t="s">
        <v>137</v>
      </c>
      <c r="B706" s="900"/>
      <c r="C706" s="900" t="s">
        <v>1313</v>
      </c>
      <c r="D706" t="s">
        <v>418</v>
      </c>
      <c r="E706" t="s">
        <v>1321</v>
      </c>
      <c r="F706" s="900" t="s">
        <v>1299</v>
      </c>
      <c r="G706" cm="1">
        <f t="array" ref="G706:T712">TRANSPOSE('Ch2 outputs - environment'!Q116:W129)</f>
        <v>4</v>
      </c>
      <c r="H706">
        <v>6</v>
      </c>
      <c r="I706">
        <v>10</v>
      </c>
      <c r="J706">
        <v>14</v>
      </c>
      <c r="K706">
        <v>9</v>
      </c>
      <c r="L706">
        <v>12</v>
      </c>
      <c r="M706">
        <v>13</v>
      </c>
      <c r="N706">
        <v>2</v>
      </c>
      <c r="O706">
        <v>3</v>
      </c>
      <c r="P706">
        <v>8</v>
      </c>
      <c r="Q706">
        <v>1</v>
      </c>
      <c r="R706">
        <v>7</v>
      </c>
      <c r="S706">
        <v>5</v>
      </c>
      <c r="T706">
        <v>11</v>
      </c>
      <c r="U706">
        <f t="shared" ref="U706:U713" si="70">AVERAGE(G706:T706)</f>
        <v>7.5</v>
      </c>
      <c r="V706" t="str">
        <f t="shared" si="63"/>
        <v>2015/16Outputs - environmentSulphur hexafluoride emissions (SF6)SF6 emissions as a percentage of the SF6 bank Ranking</v>
      </c>
    </row>
    <row r="707" spans="1:22">
      <c r="A707" s="900" t="s">
        <v>138</v>
      </c>
      <c r="B707" s="900"/>
      <c r="C707" s="900" t="s">
        <v>1313</v>
      </c>
      <c r="D707" t="s">
        <v>418</v>
      </c>
      <c r="E707" t="s">
        <v>1321</v>
      </c>
      <c r="F707" s="900" t="s">
        <v>1299</v>
      </c>
      <c r="G707">
        <v>9</v>
      </c>
      <c r="H707">
        <v>5</v>
      </c>
      <c r="I707">
        <v>11</v>
      </c>
      <c r="J707">
        <v>14</v>
      </c>
      <c r="K707">
        <v>8</v>
      </c>
      <c r="L707">
        <v>10</v>
      </c>
      <c r="M707">
        <v>13</v>
      </c>
      <c r="N707">
        <v>2</v>
      </c>
      <c r="O707">
        <v>4</v>
      </c>
      <c r="P707">
        <v>6</v>
      </c>
      <c r="Q707">
        <v>1</v>
      </c>
      <c r="R707">
        <v>7</v>
      </c>
      <c r="S707">
        <v>3</v>
      </c>
      <c r="T707">
        <v>12</v>
      </c>
      <c r="U707">
        <f t="shared" si="70"/>
        <v>7.5</v>
      </c>
      <c r="V707" t="str">
        <f t="shared" si="63"/>
        <v>2016/17Outputs - environmentSulphur hexafluoride emissions (SF6)SF6 emissions as a percentage of the SF6 bank Ranking</v>
      </c>
    </row>
    <row r="708" spans="1:22">
      <c r="A708" s="900" t="s">
        <v>139</v>
      </c>
      <c r="B708" s="900"/>
      <c r="C708" s="900" t="s">
        <v>1313</v>
      </c>
      <c r="D708" t="s">
        <v>418</v>
      </c>
      <c r="E708" t="s">
        <v>1321</v>
      </c>
      <c r="F708" s="900" t="s">
        <v>1299</v>
      </c>
      <c r="G708">
        <v>9</v>
      </c>
      <c r="H708">
        <v>4</v>
      </c>
      <c r="I708">
        <v>8</v>
      </c>
      <c r="J708">
        <v>12</v>
      </c>
      <c r="K708">
        <v>7</v>
      </c>
      <c r="L708">
        <v>11</v>
      </c>
      <c r="M708">
        <v>14</v>
      </c>
      <c r="N708">
        <v>1</v>
      </c>
      <c r="O708">
        <v>3</v>
      </c>
      <c r="P708">
        <v>5</v>
      </c>
      <c r="Q708">
        <v>6</v>
      </c>
      <c r="R708">
        <v>10</v>
      </c>
      <c r="S708">
        <v>2</v>
      </c>
      <c r="T708">
        <v>13</v>
      </c>
      <c r="U708">
        <f t="shared" si="70"/>
        <v>7.5</v>
      </c>
      <c r="V708" t="str">
        <f t="shared" si="63"/>
        <v>2017/18Outputs - environmentSulphur hexafluoride emissions (SF6)SF6 emissions as a percentage of the SF6 bank Ranking</v>
      </c>
    </row>
    <row r="709" spans="1:22">
      <c r="A709" s="900" t="s">
        <v>140</v>
      </c>
      <c r="B709" s="900"/>
      <c r="C709" s="900" t="s">
        <v>1313</v>
      </c>
      <c r="D709" t="s">
        <v>418</v>
      </c>
      <c r="E709" t="s">
        <v>1321</v>
      </c>
      <c r="F709" s="900" t="s">
        <v>1299</v>
      </c>
      <c r="G709">
        <v>8</v>
      </c>
      <c r="H709">
        <v>4</v>
      </c>
      <c r="I709">
        <v>9</v>
      </c>
      <c r="J709">
        <v>12</v>
      </c>
      <c r="K709">
        <v>10</v>
      </c>
      <c r="L709">
        <v>13</v>
      </c>
      <c r="M709">
        <v>11</v>
      </c>
      <c r="N709">
        <v>1</v>
      </c>
      <c r="O709">
        <v>2</v>
      </c>
      <c r="P709">
        <v>3</v>
      </c>
      <c r="Q709">
        <v>5</v>
      </c>
      <c r="R709">
        <v>7</v>
      </c>
      <c r="S709">
        <v>6</v>
      </c>
      <c r="T709">
        <v>14</v>
      </c>
      <c r="U709">
        <f t="shared" si="70"/>
        <v>7.5</v>
      </c>
      <c r="V709" t="str">
        <f t="shared" si="63"/>
        <v>2018/19Outputs - environmentSulphur hexafluoride emissions (SF6)SF6 emissions as a percentage of the SF6 bank Ranking</v>
      </c>
    </row>
    <row r="710" spans="1:22">
      <c r="A710" s="900" t="s">
        <v>141</v>
      </c>
      <c r="B710" s="900"/>
      <c r="C710" s="900" t="s">
        <v>1313</v>
      </c>
      <c r="D710" t="s">
        <v>418</v>
      </c>
      <c r="E710" t="s">
        <v>1321</v>
      </c>
      <c r="F710" s="900" t="s">
        <v>1299</v>
      </c>
      <c r="G710">
        <v>12</v>
      </c>
      <c r="H710">
        <v>2</v>
      </c>
      <c r="I710">
        <v>7</v>
      </c>
      <c r="J710">
        <v>11</v>
      </c>
      <c r="K710">
        <v>10</v>
      </c>
      <c r="L710">
        <v>9</v>
      </c>
      <c r="M710">
        <v>13</v>
      </c>
      <c r="N710">
        <v>3</v>
      </c>
      <c r="O710">
        <v>1</v>
      </c>
      <c r="P710">
        <v>4</v>
      </c>
      <c r="Q710">
        <v>8</v>
      </c>
      <c r="R710">
        <v>5</v>
      </c>
      <c r="S710">
        <v>6</v>
      </c>
      <c r="T710">
        <v>14</v>
      </c>
      <c r="U710">
        <f t="shared" si="70"/>
        <v>7.5</v>
      </c>
      <c r="V710" t="str">
        <f t="shared" si="63"/>
        <v>2019/20Outputs - environmentSulphur hexafluoride emissions (SF6)SF6 emissions as a percentage of the SF6 bank Ranking</v>
      </c>
    </row>
    <row r="711" spans="1:22">
      <c r="A711" s="900" t="s">
        <v>126</v>
      </c>
      <c r="B711" s="900"/>
      <c r="C711" s="900" t="s">
        <v>1313</v>
      </c>
      <c r="D711" t="s">
        <v>418</v>
      </c>
      <c r="E711" t="s">
        <v>1321</v>
      </c>
      <c r="F711" s="900" t="s">
        <v>1299</v>
      </c>
      <c r="G711">
        <v>12</v>
      </c>
      <c r="H711">
        <v>4</v>
      </c>
      <c r="I711">
        <v>6</v>
      </c>
      <c r="J711">
        <v>13</v>
      </c>
      <c r="K711">
        <v>7</v>
      </c>
      <c r="L711">
        <v>10</v>
      </c>
      <c r="M711">
        <v>11</v>
      </c>
      <c r="N711">
        <v>3</v>
      </c>
      <c r="O711">
        <v>1</v>
      </c>
      <c r="P711">
        <v>2</v>
      </c>
      <c r="Q711">
        <v>8</v>
      </c>
      <c r="R711">
        <v>9</v>
      </c>
      <c r="S711">
        <v>5</v>
      </c>
      <c r="T711">
        <v>14</v>
      </c>
      <c r="U711">
        <f t="shared" si="70"/>
        <v>7.5</v>
      </c>
      <c r="V711" t="str">
        <f t="shared" si="63"/>
        <v>2020/21Outputs - environmentSulphur hexafluoride emissions (SF6)SF6 emissions as a percentage of the SF6 bank Ranking</v>
      </c>
    </row>
    <row r="712" spans="1:22">
      <c r="A712" s="900" t="s">
        <v>142</v>
      </c>
      <c r="B712" s="900"/>
      <c r="C712" s="900" t="s">
        <v>1313</v>
      </c>
      <c r="D712" t="s">
        <v>418</v>
      </c>
      <c r="E712" t="s">
        <v>1321</v>
      </c>
      <c r="F712" s="900" t="s">
        <v>1299</v>
      </c>
      <c r="G712">
        <v>6</v>
      </c>
      <c r="H712">
        <v>3</v>
      </c>
      <c r="I712">
        <v>10</v>
      </c>
      <c r="J712">
        <v>11</v>
      </c>
      <c r="K712">
        <v>7</v>
      </c>
      <c r="L712">
        <v>12</v>
      </c>
      <c r="M712">
        <v>8</v>
      </c>
      <c r="N712">
        <v>5</v>
      </c>
      <c r="O712">
        <v>2</v>
      </c>
      <c r="P712">
        <v>4</v>
      </c>
      <c r="Q712">
        <v>13</v>
      </c>
      <c r="R712">
        <v>9</v>
      </c>
      <c r="S712">
        <v>1</v>
      </c>
      <c r="T712">
        <v>14</v>
      </c>
      <c r="U712">
        <f t="shared" ref="U712" si="71">AVERAGE(G712:T712)</f>
        <v>7.5</v>
      </c>
      <c r="V712" t="str">
        <f t="shared" ref="V712" si="72">CONCATENATE(A712,B712,C712,D712,E712)</f>
        <v>2021/22Outputs - environmentSulphur hexafluoride emissions (SF6)SF6 emissions as a percentage of the SF6 bank Ranking</v>
      </c>
    </row>
    <row r="713" spans="1:22">
      <c r="A713" s="900" t="s">
        <v>135</v>
      </c>
      <c r="B713" s="900"/>
      <c r="C713" s="900" t="s">
        <v>1313</v>
      </c>
      <c r="D713" t="s">
        <v>423</v>
      </c>
      <c r="E713" t="s">
        <v>937</v>
      </c>
      <c r="F713" s="900" t="s">
        <v>1322</v>
      </c>
      <c r="G713" cm="1">
        <f t="array" ref="G713:T721">TRANSPOSE('Ch2 outputs - environment'!E136:M149)</f>
        <v>33115</v>
      </c>
      <c r="H713">
        <v>16837</v>
      </c>
      <c r="I713">
        <v>42951</v>
      </c>
      <c r="J713">
        <v>11382</v>
      </c>
      <c r="K713">
        <v>10110</v>
      </c>
      <c r="L713">
        <v>0</v>
      </c>
      <c r="M713">
        <v>724</v>
      </c>
      <c r="N713">
        <v>143605</v>
      </c>
      <c r="O713">
        <v>66208</v>
      </c>
      <c r="P713">
        <v>30829</v>
      </c>
      <c r="Q713">
        <v>46</v>
      </c>
      <c r="R713">
        <v>5535</v>
      </c>
      <c r="S713">
        <v>1077</v>
      </c>
      <c r="T713">
        <v>17184</v>
      </c>
      <c r="U713">
        <f t="shared" si="70"/>
        <v>27114.5</v>
      </c>
      <c r="V713" t="str">
        <f t="shared" si="63"/>
        <v>2013/14Outputs - environmentLeakages from fluid filled cablesTop up of fluid filled cables</v>
      </c>
    </row>
    <row r="714" spans="1:22">
      <c r="A714" s="900" t="s">
        <v>136</v>
      </c>
      <c r="B714" s="900"/>
      <c r="C714" s="900" t="s">
        <v>1313</v>
      </c>
      <c r="D714" t="s">
        <v>423</v>
      </c>
      <c r="E714" t="s">
        <v>937</v>
      </c>
      <c r="F714" s="900" t="s">
        <v>1322</v>
      </c>
      <c r="G714">
        <v>28318</v>
      </c>
      <c r="H714">
        <v>15890</v>
      </c>
      <c r="I714">
        <v>28113</v>
      </c>
      <c r="J714">
        <v>19717</v>
      </c>
      <c r="K714">
        <v>9303</v>
      </c>
      <c r="L714">
        <v>0</v>
      </c>
      <c r="M714">
        <v>1930</v>
      </c>
      <c r="N714">
        <v>165221</v>
      </c>
      <c r="O714">
        <v>71297</v>
      </c>
      <c r="P714">
        <v>46916</v>
      </c>
      <c r="Q714">
        <v>37</v>
      </c>
      <c r="R714">
        <v>3555</v>
      </c>
      <c r="S714">
        <v>1623</v>
      </c>
      <c r="T714">
        <v>18804</v>
      </c>
      <c r="U714">
        <f t="shared" ref="U714:U720" si="73">AVERAGE(G714:T714)</f>
        <v>29337.428571428572</v>
      </c>
      <c r="V714" t="str">
        <f t="shared" si="63"/>
        <v>2014/15Outputs - environmentLeakages from fluid filled cablesTop up of fluid filled cables</v>
      </c>
    </row>
    <row r="715" spans="1:22">
      <c r="A715" s="900" t="s">
        <v>137</v>
      </c>
      <c r="B715" s="900"/>
      <c r="C715" s="900" t="s">
        <v>1313</v>
      </c>
      <c r="D715" t="s">
        <v>423</v>
      </c>
      <c r="E715" t="s">
        <v>937</v>
      </c>
      <c r="F715" s="900" t="s">
        <v>1322</v>
      </c>
      <c r="G715">
        <v>31220</v>
      </c>
      <c r="H715">
        <v>13021</v>
      </c>
      <c r="I715">
        <v>18732</v>
      </c>
      <c r="J715">
        <v>8392</v>
      </c>
      <c r="K715">
        <v>7255</v>
      </c>
      <c r="L715">
        <v>938</v>
      </c>
      <c r="M715">
        <v>706</v>
      </c>
      <c r="N715">
        <v>151557</v>
      </c>
      <c r="O715">
        <v>52446</v>
      </c>
      <c r="P715">
        <v>37768</v>
      </c>
      <c r="Q715">
        <v>0</v>
      </c>
      <c r="R715">
        <v>13600</v>
      </c>
      <c r="S715">
        <v>410</v>
      </c>
      <c r="T715">
        <v>14851</v>
      </c>
      <c r="U715">
        <f t="shared" si="73"/>
        <v>25064</v>
      </c>
      <c r="V715" t="str">
        <f t="shared" si="63"/>
        <v>2015/16Outputs - environmentLeakages from fluid filled cablesTop up of fluid filled cables</v>
      </c>
    </row>
    <row r="716" spans="1:22">
      <c r="A716" s="900" t="s">
        <v>138</v>
      </c>
      <c r="B716" s="900"/>
      <c r="C716" s="900" t="s">
        <v>1313</v>
      </c>
      <c r="D716" t="s">
        <v>423</v>
      </c>
      <c r="E716" t="s">
        <v>937</v>
      </c>
      <c r="F716" s="900" t="s">
        <v>1322</v>
      </c>
      <c r="G716">
        <v>21096</v>
      </c>
      <c r="H716">
        <v>18641</v>
      </c>
      <c r="I716">
        <v>18150</v>
      </c>
      <c r="J716">
        <v>9421</v>
      </c>
      <c r="K716">
        <v>7220</v>
      </c>
      <c r="L716">
        <v>400</v>
      </c>
      <c r="M716">
        <v>210</v>
      </c>
      <c r="N716">
        <v>137086</v>
      </c>
      <c r="O716">
        <v>52068</v>
      </c>
      <c r="P716">
        <v>42306</v>
      </c>
      <c r="Q716">
        <v>0</v>
      </c>
      <c r="R716">
        <v>9315</v>
      </c>
      <c r="S716">
        <v>612</v>
      </c>
      <c r="T716">
        <v>21199</v>
      </c>
      <c r="U716">
        <f t="shared" si="73"/>
        <v>24123.142857142859</v>
      </c>
      <c r="V716" t="str">
        <f t="shared" si="63"/>
        <v>2016/17Outputs - environmentLeakages from fluid filled cablesTop up of fluid filled cables</v>
      </c>
    </row>
    <row r="717" spans="1:22">
      <c r="A717" s="900" t="s">
        <v>139</v>
      </c>
      <c r="B717" s="900"/>
      <c r="C717" s="900" t="s">
        <v>1313</v>
      </c>
      <c r="D717" t="s">
        <v>423</v>
      </c>
      <c r="E717" t="s">
        <v>937</v>
      </c>
      <c r="F717" s="900" t="s">
        <v>1322</v>
      </c>
      <c r="G717">
        <v>67398</v>
      </c>
      <c r="H717">
        <v>12124</v>
      </c>
      <c r="I717">
        <v>17438</v>
      </c>
      <c r="J717">
        <v>12771</v>
      </c>
      <c r="K717">
        <v>9630</v>
      </c>
      <c r="L717">
        <v>270</v>
      </c>
      <c r="M717">
        <v>687</v>
      </c>
      <c r="N717">
        <v>114723</v>
      </c>
      <c r="O717">
        <v>72233</v>
      </c>
      <c r="P717">
        <v>55978</v>
      </c>
      <c r="Q717">
        <v>20</v>
      </c>
      <c r="R717">
        <v>4420</v>
      </c>
      <c r="S717">
        <v>3440</v>
      </c>
      <c r="T717">
        <v>31857</v>
      </c>
      <c r="U717">
        <f t="shared" si="73"/>
        <v>28784.928571428572</v>
      </c>
      <c r="V717" t="str">
        <f t="shared" si="63"/>
        <v>2017/18Outputs - environmentLeakages from fluid filled cablesTop up of fluid filled cables</v>
      </c>
    </row>
    <row r="718" spans="1:22">
      <c r="A718" s="900" t="s">
        <v>140</v>
      </c>
      <c r="B718" s="900"/>
      <c r="C718" s="900" t="s">
        <v>1313</v>
      </c>
      <c r="D718" t="s">
        <v>423</v>
      </c>
      <c r="E718" t="s">
        <v>937</v>
      </c>
      <c r="F718" s="900" t="s">
        <v>1322</v>
      </c>
      <c r="G718">
        <v>55829</v>
      </c>
      <c r="H718">
        <v>14747</v>
      </c>
      <c r="I718">
        <v>19567</v>
      </c>
      <c r="J718">
        <v>31474</v>
      </c>
      <c r="K718">
        <v>9848</v>
      </c>
      <c r="L718">
        <v>860</v>
      </c>
      <c r="M718">
        <v>3310</v>
      </c>
      <c r="N718">
        <v>96865</v>
      </c>
      <c r="O718">
        <v>80385</v>
      </c>
      <c r="P718">
        <v>63787</v>
      </c>
      <c r="Q718">
        <v>26</v>
      </c>
      <c r="R718">
        <v>5024</v>
      </c>
      <c r="S718">
        <v>1191</v>
      </c>
      <c r="T718">
        <v>31377</v>
      </c>
      <c r="U718">
        <f t="shared" si="73"/>
        <v>29592.142857142859</v>
      </c>
      <c r="V718" t="str">
        <f t="shared" si="63"/>
        <v>2018/19Outputs - environmentLeakages from fluid filled cablesTop up of fluid filled cables</v>
      </c>
    </row>
    <row r="719" spans="1:22">
      <c r="A719" s="900" t="s">
        <v>141</v>
      </c>
      <c r="B719" s="900"/>
      <c r="C719" s="900" t="s">
        <v>1313</v>
      </c>
      <c r="D719" t="s">
        <v>423</v>
      </c>
      <c r="E719" t="s">
        <v>937</v>
      </c>
      <c r="F719" s="900" t="s">
        <v>1322</v>
      </c>
      <c r="G719">
        <v>21616</v>
      </c>
      <c r="H719">
        <v>9543</v>
      </c>
      <c r="I719">
        <v>24267</v>
      </c>
      <c r="J719">
        <v>12511</v>
      </c>
      <c r="K719">
        <v>4611</v>
      </c>
      <c r="L719">
        <v>2840</v>
      </c>
      <c r="M719">
        <v>251</v>
      </c>
      <c r="N719">
        <v>68146</v>
      </c>
      <c r="O719">
        <v>53783</v>
      </c>
      <c r="P719">
        <v>56557</v>
      </c>
      <c r="Q719">
        <v>49</v>
      </c>
      <c r="R719">
        <v>3230</v>
      </c>
      <c r="S719">
        <v>221</v>
      </c>
      <c r="T719">
        <v>25936</v>
      </c>
      <c r="U719">
        <f t="shared" si="73"/>
        <v>20254.357142857141</v>
      </c>
      <c r="V719" t="str">
        <f t="shared" si="63"/>
        <v>2019/20Outputs - environmentLeakages from fluid filled cablesTop up of fluid filled cables</v>
      </c>
    </row>
    <row r="720" spans="1:22">
      <c r="A720" s="900" t="s">
        <v>126</v>
      </c>
      <c r="B720" s="900"/>
      <c r="C720" s="900" t="s">
        <v>1313</v>
      </c>
      <c r="D720" t="s">
        <v>423</v>
      </c>
      <c r="E720" t="s">
        <v>937</v>
      </c>
      <c r="F720" s="900" t="s">
        <v>1322</v>
      </c>
      <c r="G720">
        <v>16998</v>
      </c>
      <c r="H720">
        <v>7831</v>
      </c>
      <c r="I720">
        <v>20224</v>
      </c>
      <c r="J720">
        <v>8348</v>
      </c>
      <c r="K720">
        <v>4645</v>
      </c>
      <c r="L720">
        <v>5055</v>
      </c>
      <c r="M720">
        <v>363</v>
      </c>
      <c r="N720">
        <v>105153</v>
      </c>
      <c r="O720">
        <v>59404</v>
      </c>
      <c r="P720">
        <v>48996</v>
      </c>
      <c r="Q720">
        <v>39</v>
      </c>
      <c r="R720">
        <v>2067</v>
      </c>
      <c r="S720">
        <v>139</v>
      </c>
      <c r="T720">
        <v>18317</v>
      </c>
      <c r="U720">
        <f t="shared" si="73"/>
        <v>21255.642857142859</v>
      </c>
      <c r="V720" t="str">
        <f t="shared" si="63"/>
        <v>2020/21Outputs - environmentLeakages from fluid filled cablesTop up of fluid filled cables</v>
      </c>
    </row>
    <row r="721" spans="1:22">
      <c r="A721" s="900" t="s">
        <v>142</v>
      </c>
      <c r="B721" s="900"/>
      <c r="C721" s="900" t="s">
        <v>1313</v>
      </c>
      <c r="D721" t="s">
        <v>423</v>
      </c>
      <c r="E721" t="s">
        <v>937</v>
      </c>
      <c r="F721" s="900" t="s">
        <v>1322</v>
      </c>
      <c r="G721">
        <v>13266</v>
      </c>
      <c r="H721">
        <v>8979</v>
      </c>
      <c r="I721">
        <v>19383</v>
      </c>
      <c r="J721">
        <v>12728</v>
      </c>
      <c r="K721">
        <v>6684</v>
      </c>
      <c r="L721">
        <v>1090</v>
      </c>
      <c r="M721">
        <v>14731</v>
      </c>
      <c r="N721">
        <v>108024.1</v>
      </c>
      <c r="O721">
        <v>47913</v>
      </c>
      <c r="P721">
        <v>55451.5</v>
      </c>
      <c r="Q721">
        <v>74</v>
      </c>
      <c r="R721">
        <v>2195</v>
      </c>
      <c r="S721">
        <v>242</v>
      </c>
      <c r="T721">
        <v>17847</v>
      </c>
      <c r="U721">
        <f t="shared" ref="U721" si="74">AVERAGE(G721:T721)</f>
        <v>22043.399999999998</v>
      </c>
      <c r="V721" t="str">
        <f t="shared" ref="V721" si="75">CONCATENATE(A721,B721,C721,D721,E721)</f>
        <v>2021/22Outputs - environmentLeakages from fluid filled cablesTop up of fluid filled cables</v>
      </c>
    </row>
    <row r="722" spans="1:22">
      <c r="A722" s="900" t="s">
        <v>135</v>
      </c>
      <c r="B722" s="900"/>
      <c r="C722" s="900" t="s">
        <v>1313</v>
      </c>
      <c r="D722" t="s">
        <v>423</v>
      </c>
      <c r="E722" t="s">
        <v>426</v>
      </c>
      <c r="F722" s="900" t="s">
        <v>1300</v>
      </c>
      <c r="G722" s="829" cm="1">
        <f t="array" ref="G722:U730">TRANSPOSE('Ch2 outputs - environment'!E155:M169)</f>
        <v>2.5255375585529656E-2</v>
      </c>
      <c r="H722" s="829">
        <v>1.1456868239610776E-2</v>
      </c>
      <c r="I722" s="829">
        <v>3.0702830993771878E-2</v>
      </c>
      <c r="J722" s="829">
        <v>1.2398581668923154E-2</v>
      </c>
      <c r="K722" s="829">
        <v>1.2728879840303131E-2</v>
      </c>
      <c r="L722" s="829">
        <v>0</v>
      </c>
      <c r="M722" s="829">
        <v>2.3261677254258224E-3</v>
      </c>
      <c r="N722" s="829">
        <v>4.6157591444454742E-2</v>
      </c>
      <c r="O722" s="829">
        <v>3.3405656249470055E-2</v>
      </c>
      <c r="P722" s="829">
        <v>1.5862188866810765E-2</v>
      </c>
      <c r="Q722" s="829" t="str">
        <v/>
      </c>
      <c r="R722" s="829" t="str">
        <v/>
      </c>
      <c r="S722" s="829">
        <v>2.8201841918070902E-2</v>
      </c>
      <c r="T722" s="829">
        <v>3.3476443435211611E-2</v>
      </c>
      <c r="U722">
        <v>2.7239840726136576E-2</v>
      </c>
      <c r="V722" t="str">
        <f t="shared" si="63"/>
        <v>2013/14Outputs - environmentLeakages from fluid filled cablesTop up as a % of oil in service</v>
      </c>
    </row>
    <row r="723" spans="1:22">
      <c r="A723" s="900" t="s">
        <v>136</v>
      </c>
      <c r="B723" s="900"/>
      <c r="C723" s="900" t="s">
        <v>1313</v>
      </c>
      <c r="D723" t="s">
        <v>423</v>
      </c>
      <c r="E723" t="s">
        <v>426</v>
      </c>
      <c r="F723" s="900" t="s">
        <v>1300</v>
      </c>
      <c r="G723" s="829">
        <v>2.2363082080439314E-2</v>
      </c>
      <c r="H723" s="829">
        <v>1.1196864176927675E-2</v>
      </c>
      <c r="I723" s="829">
        <v>2.0629601544794856E-2</v>
      </c>
      <c r="J723" s="829">
        <v>2.2462981975223409E-2</v>
      </c>
      <c r="K723" s="829">
        <v>1.2070664605551274E-2</v>
      </c>
      <c r="L723" s="829">
        <v>0</v>
      </c>
      <c r="M723" s="829">
        <v>6.1375956490576349E-3</v>
      </c>
      <c r="N723" s="829">
        <v>5.2303222669739573E-2</v>
      </c>
      <c r="O723" s="829">
        <v>3.5612836059520731E-2</v>
      </c>
      <c r="P723" s="829">
        <v>2.358462941301288E-2</v>
      </c>
      <c r="Q723" s="829" t="str">
        <v/>
      </c>
      <c r="R723" s="829" t="str">
        <v/>
      </c>
      <c r="S723" s="829">
        <v>4.2579599649446333E-2</v>
      </c>
      <c r="T723" s="829">
        <v>3.6632393060737845E-2</v>
      </c>
      <c r="U723">
        <v>2.9640808477525177E-2</v>
      </c>
      <c r="V723" t="str">
        <f t="shared" si="63"/>
        <v>2014/15Outputs - environmentLeakages from fluid filled cablesTop up as a % of oil in service</v>
      </c>
    </row>
    <row r="724" spans="1:22">
      <c r="A724" s="900" t="s">
        <v>137</v>
      </c>
      <c r="B724" s="900"/>
      <c r="C724" s="900" t="s">
        <v>1313</v>
      </c>
      <c r="D724" t="s">
        <v>423</v>
      </c>
      <c r="E724" t="s">
        <v>426</v>
      </c>
      <c r="F724" s="900" t="s">
        <v>1300</v>
      </c>
      <c r="G724" s="829">
        <v>2.5967749269785977E-2</v>
      </c>
      <c r="H724" s="829">
        <v>9.0831215060875863E-3</v>
      </c>
      <c r="I724" s="829">
        <v>1.6349942749300021E-2</v>
      </c>
      <c r="J724" s="829">
        <v>9.697339471592065E-3</v>
      </c>
      <c r="K724" s="829">
        <v>1.02034214863945E-2</v>
      </c>
      <c r="L724" s="829">
        <v>6.4701256777077269E-3</v>
      </c>
      <c r="M724" s="829">
        <v>2.3286035634890795E-3</v>
      </c>
      <c r="N724" s="829">
        <v>4.8014313992259527E-2</v>
      </c>
      <c r="O724" s="829">
        <v>2.618749136361806E-2</v>
      </c>
      <c r="P724" s="829">
        <v>1.9550255398598185E-2</v>
      </c>
      <c r="Q724" s="829">
        <v>0</v>
      </c>
      <c r="R724" s="829">
        <v>1.9439679817038306E-2</v>
      </c>
      <c r="S724" s="829">
        <v>1.168410966500147E-2</v>
      </c>
      <c r="T724" s="829">
        <v>2.1535119860930253E-2</v>
      </c>
      <c r="U724">
        <v>2.435401676209082E-2</v>
      </c>
      <c r="V724" t="str">
        <f t="shared" si="63"/>
        <v>2015/16Outputs - environmentLeakages from fluid filled cablesTop up as a % of oil in service</v>
      </c>
    </row>
    <row r="725" spans="1:22">
      <c r="A725" s="900" t="s">
        <v>138</v>
      </c>
      <c r="B725" s="900"/>
      <c r="C725" s="900" t="s">
        <v>1313</v>
      </c>
      <c r="D725" t="s">
        <v>423</v>
      </c>
      <c r="E725" t="s">
        <v>426</v>
      </c>
      <c r="F725" s="900" t="s">
        <v>1300</v>
      </c>
      <c r="G725" s="829">
        <v>1.5983042216467926E-2</v>
      </c>
      <c r="H725" s="829">
        <v>1.3043033857195014E-2</v>
      </c>
      <c r="I725" s="829">
        <v>1.6651716843179599E-2</v>
      </c>
      <c r="J725" s="829">
        <v>1.0074319627867187E-2</v>
      </c>
      <c r="K725" s="829">
        <v>1.0395818634720883E-2</v>
      </c>
      <c r="L725" s="829">
        <v>2.1952691948850227E-3</v>
      </c>
      <c r="M725" s="829">
        <v>7.3586095732006444E-4</v>
      </c>
      <c r="N725" s="829">
        <v>4.2332544813060959E-2</v>
      </c>
      <c r="O725" s="829">
        <v>2.5111481121789819E-2</v>
      </c>
      <c r="P725" s="829">
        <v>1.9262275951501331E-2</v>
      </c>
      <c r="Q725" s="829">
        <v>0</v>
      </c>
      <c r="R725" s="829">
        <v>1.33147512864494E-2</v>
      </c>
      <c r="S725" s="829">
        <v>1.8690404294517408E-2</v>
      </c>
      <c r="T725" s="829">
        <v>3.0980332529231075E-2</v>
      </c>
      <c r="U725">
        <v>2.2593656597135265E-2</v>
      </c>
      <c r="V725" t="str">
        <f t="shared" si="63"/>
        <v>2016/17Outputs - environmentLeakages from fluid filled cablesTop up as a % of oil in service</v>
      </c>
    </row>
    <row r="726" spans="1:22">
      <c r="A726" s="900" t="s">
        <v>139</v>
      </c>
      <c r="B726" s="900"/>
      <c r="C726" s="900" t="s">
        <v>1313</v>
      </c>
      <c r="D726" t="s">
        <v>423</v>
      </c>
      <c r="E726" t="s">
        <v>426</v>
      </c>
      <c r="F726" s="900" t="s">
        <v>1300</v>
      </c>
      <c r="G726" s="829">
        <v>6.0884546276659048E-2</v>
      </c>
      <c r="H726" s="829">
        <v>8.9990454658141674E-3</v>
      </c>
      <c r="I726" s="829">
        <v>1.6167316018579105E-2</v>
      </c>
      <c r="J726" s="829">
        <v>1.9238996818357116E-2</v>
      </c>
      <c r="K726" s="829">
        <v>1.8476060742687758E-2</v>
      </c>
      <c r="L726" s="829">
        <v>1.6739929692295293E-3</v>
      </c>
      <c r="M726" s="829">
        <v>2.8499956441114609E-3</v>
      </c>
      <c r="N726" s="829">
        <v>3.5315663297133773E-2</v>
      </c>
      <c r="O726" s="829">
        <v>3.5020535159872732E-2</v>
      </c>
      <c r="P726" s="829">
        <v>2.5547718018001982E-2</v>
      </c>
      <c r="Q726" s="829">
        <v>2.306805074971165E-4</v>
      </c>
      <c r="R726" s="829">
        <v>6.3204320635918973E-3</v>
      </c>
      <c r="S726" s="829">
        <v>0.10505717446591482</v>
      </c>
      <c r="T726" s="829">
        <v>4.9288882978295895E-2</v>
      </c>
      <c r="U726">
        <v>2.8606139792626214E-2</v>
      </c>
      <c r="V726" t="str">
        <f t="shared" si="63"/>
        <v>2017/18Outputs - environmentLeakages from fluid filled cablesTop up as a % of oil in service</v>
      </c>
    </row>
    <row r="727" spans="1:22">
      <c r="A727" s="900" t="s">
        <v>140</v>
      </c>
      <c r="B727" s="900"/>
      <c r="C727" s="900" t="s">
        <v>1313</v>
      </c>
      <c r="D727" t="s">
        <v>423</v>
      </c>
      <c r="E727" t="s">
        <v>426</v>
      </c>
      <c r="F727" s="900" t="s">
        <v>1300</v>
      </c>
      <c r="G727" s="829">
        <v>5.1071364788252978E-2</v>
      </c>
      <c r="H727" s="829">
        <v>1.1299029557156842E-2</v>
      </c>
      <c r="I727" s="829">
        <v>1.8764893440802052E-2</v>
      </c>
      <c r="J727" s="829">
        <v>4.6881446869232728E-2</v>
      </c>
      <c r="K727" s="829">
        <v>1.889710594890413E-2</v>
      </c>
      <c r="L727" s="829">
        <v>4.4395804080284134E-3</v>
      </c>
      <c r="M727" s="829">
        <v>1.2098174308741022E-2</v>
      </c>
      <c r="N727" s="829">
        <v>3.0441250195306885E-2</v>
      </c>
      <c r="O727" s="829">
        <v>3.9133550453814482E-2</v>
      </c>
      <c r="P727" s="829">
        <v>2.9111656172322923E-2</v>
      </c>
      <c r="Q727" s="829">
        <v>2.9988465974625144E-4</v>
      </c>
      <c r="R727" s="829">
        <v>7.1841291148157672E-3</v>
      </c>
      <c r="S727" s="829">
        <v>3.928370922389738E-2</v>
      </c>
      <c r="T727" s="829">
        <v>4.8761547160413393E-2</v>
      </c>
      <c r="U727">
        <v>2.961766115145294E-2</v>
      </c>
      <c r="V727" t="str">
        <f t="shared" si="63"/>
        <v>2018/19Outputs - environmentLeakages from fluid filled cablesTop up as a % of oil in service</v>
      </c>
    </row>
    <row r="728" spans="1:22">
      <c r="A728" s="900" t="s">
        <v>141</v>
      </c>
      <c r="B728" s="900"/>
      <c r="C728" s="900" t="s">
        <v>1313</v>
      </c>
      <c r="D728" t="s">
        <v>423</v>
      </c>
      <c r="E728" t="s">
        <v>426</v>
      </c>
      <c r="F728" s="900" t="s">
        <v>1300</v>
      </c>
      <c r="G728" s="829">
        <v>2.027088508136473E-2</v>
      </c>
      <c r="H728" s="829">
        <v>7.6959098962493862E-3</v>
      </c>
      <c r="I728" s="829">
        <v>2.4906718823444068E-2</v>
      </c>
      <c r="J728" s="829">
        <v>1.8635501740515051E-2</v>
      </c>
      <c r="K728" s="829">
        <v>8.8479443064984706E-3</v>
      </c>
      <c r="L728" s="829">
        <v>1.466093995209383E-2</v>
      </c>
      <c r="M728" s="829">
        <v>9.1741442643323158E-4</v>
      </c>
      <c r="N728" s="829">
        <v>2.1548749132521024E-2</v>
      </c>
      <c r="O728" s="829">
        <v>2.6182991152630345E-2</v>
      </c>
      <c r="P728" s="829">
        <v>2.6014260038823005E-2</v>
      </c>
      <c r="Q728" s="829">
        <v>5.6516724336793539E-4</v>
      </c>
      <c r="R728" s="829">
        <v>4.6187772772402326E-3</v>
      </c>
      <c r="S728" s="829">
        <v>7.2894204353327633E-3</v>
      </c>
      <c r="T728" s="829">
        <v>4.0513627455023217E-2</v>
      </c>
      <c r="U728">
        <v>2.0566372345775397E-2</v>
      </c>
      <c r="V728" t="str">
        <f t="shared" si="63"/>
        <v>2019/20Outputs - environmentLeakages from fluid filled cablesTop up as a % of oil in service</v>
      </c>
    </row>
    <row r="729" spans="1:22">
      <c r="A729" s="900" t="s">
        <v>126</v>
      </c>
      <c r="B729" s="900"/>
      <c r="C729" s="900" t="s">
        <v>1313</v>
      </c>
      <c r="D729" t="s">
        <v>423</v>
      </c>
      <c r="E729" t="s">
        <v>426</v>
      </c>
      <c r="F729" s="900" t="s">
        <v>1300</v>
      </c>
      <c r="G729" s="829">
        <v>1.5887347323321258E-2</v>
      </c>
      <c r="H729" s="829">
        <v>6.4623977545455119E-3</v>
      </c>
      <c r="I729" s="829">
        <v>2.2117079839171615E-2</v>
      </c>
      <c r="J729" s="829">
        <v>1.2434591042268375E-2</v>
      </c>
      <c r="K729" s="829">
        <v>8.9136137459629675E-3</v>
      </c>
      <c r="L729" s="829">
        <v>2.609544065416701E-2</v>
      </c>
      <c r="M729" s="829">
        <v>1.3267786326504505E-3</v>
      </c>
      <c r="N729" s="829">
        <v>3.4012255072900364E-2</v>
      </c>
      <c r="O729" s="829">
        <v>2.9109001179486886E-2</v>
      </c>
      <c r="P729" s="829">
        <v>2.2640696917951262E-2</v>
      </c>
      <c r="Q729" s="829">
        <v>4.4982698961937718E-4</v>
      </c>
      <c r="R729" s="829">
        <v>2.9562894794081494E-3</v>
      </c>
      <c r="S729" s="829">
        <v>4.5843849384683191E-3</v>
      </c>
      <c r="T729" s="829">
        <v>2.8615247787096083E-2</v>
      </c>
      <c r="U729">
        <v>2.1866949747328199E-2</v>
      </c>
      <c r="V729" t="str">
        <f t="shared" si="63"/>
        <v>2020/21Outputs - environmentLeakages from fluid filled cablesTop up as a % of oil in service</v>
      </c>
    </row>
    <row r="730" spans="1:22">
      <c r="A730" s="900" t="s">
        <v>142</v>
      </c>
      <c r="B730" s="900"/>
      <c r="C730" s="900" t="s">
        <v>1313</v>
      </c>
      <c r="D730" t="s">
        <v>423</v>
      </c>
      <c r="E730" t="s">
        <v>426</v>
      </c>
      <c r="F730" s="900" t="s">
        <v>1300</v>
      </c>
      <c r="G730" s="829">
        <v>1.2498065307055391E-2</v>
      </c>
      <c r="H730" s="829">
        <v>7.4676001990139542E-3</v>
      </c>
      <c r="I730" s="829">
        <v>2.2278151403717791E-2</v>
      </c>
      <c r="J730" s="829">
        <v>1.8958729610205064E-2</v>
      </c>
      <c r="K730" s="829">
        <v>1.2826392740154248E-2</v>
      </c>
      <c r="L730" s="829">
        <v>5.6269100520360124E-3</v>
      </c>
      <c r="M730" s="829">
        <v>5.3842358230230813E-2</v>
      </c>
      <c r="N730" s="829">
        <v>3.6515958869037413E-2</v>
      </c>
      <c r="O730" s="829">
        <v>2.3506573144202497E-2</v>
      </c>
      <c r="P730" s="829">
        <v>2.601484388931222E-2</v>
      </c>
      <c r="Q730" s="829">
        <v>8.5351787773933101E-4</v>
      </c>
      <c r="R730" s="829">
        <v>3.1393591714082669E-3</v>
      </c>
      <c r="S730" s="829">
        <v>8.5002027930612626E-3</v>
      </c>
      <c r="T730" s="829">
        <v>2.835469231838068E-2</v>
      </c>
      <c r="U730">
        <v>2.3089833523315992E-2</v>
      </c>
      <c r="V730" t="str">
        <f t="shared" ref="V730" si="76">CONCATENATE(A730,B730,C730,D730,E730)</f>
        <v>2021/22Outputs - environmentLeakages from fluid filled cablesTop up as a % of oil in service</v>
      </c>
    </row>
    <row r="731" spans="1:22">
      <c r="A731" s="900" t="s">
        <v>135</v>
      </c>
      <c r="B731" s="900"/>
      <c r="C731" s="900" t="s">
        <v>1313</v>
      </c>
      <c r="D731" t="s">
        <v>423</v>
      </c>
      <c r="E731" t="s">
        <v>425</v>
      </c>
      <c r="F731" s="900" t="s">
        <v>1322</v>
      </c>
      <c r="G731" cm="1">
        <f t="array" ref="G731:T739">TRANSPOSE('Ch2 outputs - environment'!Q136:Y149)</f>
        <v>1311206</v>
      </c>
      <c r="H731">
        <v>1469598.8159999999</v>
      </c>
      <c r="I731">
        <v>1398926.3729039412</v>
      </c>
      <c r="J731">
        <v>918008.22899999935</v>
      </c>
      <c r="K731">
        <v>794256.84952959977</v>
      </c>
      <c r="L731">
        <v>144156.06823500001</v>
      </c>
      <c r="M731">
        <v>311241.52918399998</v>
      </c>
      <c r="N731">
        <v>3111189.2</v>
      </c>
      <c r="O731">
        <v>1981939.81</v>
      </c>
      <c r="P731">
        <v>1943552.7</v>
      </c>
      <c r="Q731">
        <v>0</v>
      </c>
      <c r="R731">
        <v>0</v>
      </c>
      <c r="S731">
        <v>38188.994999999995</v>
      </c>
      <c r="T731">
        <v>513316.17808375997</v>
      </c>
      <c r="U731">
        <f>AVERAGE(G731:T731)</f>
        <v>995398.62485259282</v>
      </c>
      <c r="V731" t="str">
        <f t="shared" si="63"/>
        <v>2013/14Outputs - environmentLeakages from fluid filled cablesOil in Service in Cables (litres)</v>
      </c>
    </row>
    <row r="732" spans="1:22">
      <c r="A732" s="900" t="s">
        <v>136</v>
      </c>
      <c r="B732" s="900"/>
      <c r="C732" s="900" t="s">
        <v>1313</v>
      </c>
      <c r="D732" t="s">
        <v>423</v>
      </c>
      <c r="E732" t="s">
        <v>425</v>
      </c>
      <c r="F732" s="900" t="s">
        <v>1322</v>
      </c>
      <c r="G732">
        <v>1266283.4173814249</v>
      </c>
      <c r="H732">
        <v>1419147.3388364422</v>
      </c>
      <c r="I732">
        <v>1362750.5087267822</v>
      </c>
      <c r="J732">
        <v>877755.23399999982</v>
      </c>
      <c r="K732">
        <v>770711.49799999991</v>
      </c>
      <c r="L732">
        <v>143999.39223500001</v>
      </c>
      <c r="M732">
        <v>314455.38454400003</v>
      </c>
      <c r="N732">
        <v>3158906.69</v>
      </c>
      <c r="O732">
        <v>2002002.87</v>
      </c>
      <c r="P732">
        <v>1989261.7</v>
      </c>
      <c r="Q732">
        <v>0</v>
      </c>
      <c r="R732">
        <v>0</v>
      </c>
      <c r="S732">
        <v>38116.844999999994</v>
      </c>
      <c r="T732">
        <v>513316.17808375997</v>
      </c>
      <c r="U732">
        <f t="shared" ref="U732:U738" si="77">AVERAGE(G732:T732)</f>
        <v>989764.78977195791</v>
      </c>
      <c r="V732" t="str">
        <f t="shared" ref="V732:V803" si="78">CONCATENATE(A732,B732,C732,D732,E732)</f>
        <v>2014/15Outputs - environmentLeakages from fluid filled cablesOil in Service in Cables (litres)</v>
      </c>
    </row>
    <row r="733" spans="1:22">
      <c r="A733" s="900" t="s">
        <v>137</v>
      </c>
      <c r="B733" s="900"/>
      <c r="C733" s="900" t="s">
        <v>1313</v>
      </c>
      <c r="D733" t="s">
        <v>423</v>
      </c>
      <c r="E733" t="s">
        <v>425</v>
      </c>
      <c r="F733" s="900" t="s">
        <v>1322</v>
      </c>
      <c r="G733">
        <v>1202260.53</v>
      </c>
      <c r="H733">
        <v>1433538.0178800002</v>
      </c>
      <c r="I733">
        <v>1145692.0851176656</v>
      </c>
      <c r="J733">
        <v>865392</v>
      </c>
      <c r="K733">
        <v>711036</v>
      </c>
      <c r="L733">
        <v>144974</v>
      </c>
      <c r="M733">
        <v>303186</v>
      </c>
      <c r="N733">
        <v>3156496.2070359429</v>
      </c>
      <c r="O733">
        <v>2002711.8776586039</v>
      </c>
      <c r="P733">
        <v>1931841.770348846</v>
      </c>
      <c r="Q733">
        <v>86700</v>
      </c>
      <c r="R733">
        <v>699600</v>
      </c>
      <c r="S733">
        <v>35090.393000000004</v>
      </c>
      <c r="T733">
        <v>689617.70799999998</v>
      </c>
      <c r="U733">
        <f t="shared" si="77"/>
        <v>1029152.6135029327</v>
      </c>
      <c r="V733" t="str">
        <f t="shared" si="78"/>
        <v>2015/16Outputs - environmentLeakages from fluid filled cablesOil in Service in Cables (litres)</v>
      </c>
    </row>
    <row r="734" spans="1:22">
      <c r="A734" s="900" t="s">
        <v>138</v>
      </c>
      <c r="B734" s="900"/>
      <c r="C734" s="900" t="s">
        <v>1313</v>
      </c>
      <c r="D734" t="s">
        <v>423</v>
      </c>
      <c r="E734" t="s">
        <v>425</v>
      </c>
      <c r="F734" s="900" t="s">
        <v>1322</v>
      </c>
      <c r="G734">
        <v>1319898.9099999999</v>
      </c>
      <c r="H734">
        <v>1429192.0272611226</v>
      </c>
      <c r="I734">
        <v>1089977.6984518017</v>
      </c>
      <c r="J734">
        <v>935150</v>
      </c>
      <c r="K734">
        <v>694510</v>
      </c>
      <c r="L734">
        <v>182210</v>
      </c>
      <c r="M734">
        <v>285380</v>
      </c>
      <c r="N734">
        <v>3238312.2868083408</v>
      </c>
      <c r="O734">
        <v>2073473.8722687042</v>
      </c>
      <c r="P734">
        <v>2196313.6706440239</v>
      </c>
      <c r="Q734">
        <v>86700</v>
      </c>
      <c r="R734">
        <v>699600</v>
      </c>
      <c r="S734">
        <v>32744.074999999993</v>
      </c>
      <c r="T734">
        <v>684272.83600000001</v>
      </c>
      <c r="U734">
        <f t="shared" si="77"/>
        <v>1067695.3840309994</v>
      </c>
      <c r="V734" t="str">
        <f t="shared" si="78"/>
        <v>2016/17Outputs - environmentLeakages from fluid filled cablesOil in Service in Cables (litres)</v>
      </c>
    </row>
    <row r="735" spans="1:22">
      <c r="A735" s="900" t="s">
        <v>139</v>
      </c>
      <c r="B735" s="900"/>
      <c r="C735" s="900" t="s">
        <v>1313</v>
      </c>
      <c r="D735" t="s">
        <v>423</v>
      </c>
      <c r="E735" t="s">
        <v>425</v>
      </c>
      <c r="F735" s="900" t="s">
        <v>1322</v>
      </c>
      <c r="G735">
        <v>1106980.4099999999</v>
      </c>
      <c r="H735">
        <v>1347254</v>
      </c>
      <c r="I735">
        <v>1078595.8522713762</v>
      </c>
      <c r="J735">
        <v>663808</v>
      </c>
      <c r="K735">
        <v>521215</v>
      </c>
      <c r="L735">
        <v>161291</v>
      </c>
      <c r="M735">
        <v>241053</v>
      </c>
      <c r="N735">
        <v>3248501.9192407732</v>
      </c>
      <c r="O735">
        <v>2062589.8396540238</v>
      </c>
      <c r="P735">
        <v>2191115.463250204</v>
      </c>
      <c r="Q735">
        <v>86700</v>
      </c>
      <c r="R735">
        <v>699319.28</v>
      </c>
      <c r="S735">
        <v>32744.075000000001</v>
      </c>
      <c r="T735">
        <v>646332.35884100001</v>
      </c>
      <c r="U735">
        <f t="shared" si="77"/>
        <v>1006250.0141612411</v>
      </c>
      <c r="V735" t="str">
        <f t="shared" si="78"/>
        <v>2017/18Outputs - environmentLeakages from fluid filled cablesOil in Service in Cables (litres)</v>
      </c>
    </row>
    <row r="736" spans="1:22">
      <c r="A736" s="900" t="s">
        <v>140</v>
      </c>
      <c r="B736" s="900"/>
      <c r="C736" s="900" t="s">
        <v>1313</v>
      </c>
      <c r="D736" t="s">
        <v>423</v>
      </c>
      <c r="E736" t="s">
        <v>425</v>
      </c>
      <c r="F736" s="900" t="s">
        <v>1322</v>
      </c>
      <c r="G736">
        <v>1093156.6100000001</v>
      </c>
      <c r="H736">
        <v>1305156.33448</v>
      </c>
      <c r="I736">
        <v>1042745.0633667794</v>
      </c>
      <c r="J736">
        <v>671353</v>
      </c>
      <c r="K736">
        <v>521138</v>
      </c>
      <c r="L736">
        <v>193712</v>
      </c>
      <c r="M736">
        <v>273595</v>
      </c>
      <c r="N736">
        <v>3182030.9408623972</v>
      </c>
      <c r="O736">
        <v>2054119.7787527759</v>
      </c>
      <c r="P736">
        <v>2191115.463250204</v>
      </c>
      <c r="Q736">
        <v>86700</v>
      </c>
      <c r="R736">
        <v>699319.28</v>
      </c>
      <c r="S736">
        <v>30317.911000000004</v>
      </c>
      <c r="T736">
        <v>643478.35184099991</v>
      </c>
      <c r="U736">
        <f t="shared" si="77"/>
        <v>999138.40953951119</v>
      </c>
      <c r="V736" t="str">
        <f t="shared" si="78"/>
        <v>2018/19Outputs - environmentLeakages from fluid filled cablesOil in Service in Cables (litres)</v>
      </c>
    </row>
    <row r="737" spans="1:22">
      <c r="A737" s="900" t="s">
        <v>141</v>
      </c>
      <c r="B737" s="900"/>
      <c r="C737" s="900" t="s">
        <v>1313</v>
      </c>
      <c r="D737" t="s">
        <v>423</v>
      </c>
      <c r="E737" t="s">
        <v>425</v>
      </c>
      <c r="F737" s="900" t="s">
        <v>1322</v>
      </c>
      <c r="G737">
        <v>1066356.99</v>
      </c>
      <c r="H737">
        <v>1240009.32036</v>
      </c>
      <c r="I737">
        <v>974315.41151691496</v>
      </c>
      <c r="J737">
        <v>671353</v>
      </c>
      <c r="K737">
        <v>521138</v>
      </c>
      <c r="L737">
        <v>193712</v>
      </c>
      <c r="M737">
        <v>273595</v>
      </c>
      <c r="N737">
        <v>3162410.94</v>
      </c>
      <c r="O737">
        <v>2054119.7790000001</v>
      </c>
      <c r="P737">
        <v>2174076.83</v>
      </c>
      <c r="Q737">
        <v>86700</v>
      </c>
      <c r="R737">
        <v>699319.28</v>
      </c>
      <c r="S737">
        <v>30317.911000000004</v>
      </c>
      <c r="T737">
        <v>640179.65384100005</v>
      </c>
      <c r="U737">
        <f t="shared" si="77"/>
        <v>984828.86540842254</v>
      </c>
      <c r="V737" t="str">
        <f t="shared" si="78"/>
        <v>2019/20Outputs - environmentLeakages from fluid filled cablesOil in Service in Cables (litres)</v>
      </c>
    </row>
    <row r="738" spans="1:22">
      <c r="A738" s="900" t="s">
        <v>126</v>
      </c>
      <c r="B738" s="900"/>
      <c r="C738" s="900" t="s">
        <v>1313</v>
      </c>
      <c r="D738" t="s">
        <v>423</v>
      </c>
      <c r="E738" t="s">
        <v>425</v>
      </c>
      <c r="F738" s="900" t="s">
        <v>1322</v>
      </c>
      <c r="G738">
        <v>1069908</v>
      </c>
      <c r="H738">
        <v>1211779.32672</v>
      </c>
      <c r="I738">
        <v>914406.42919691524</v>
      </c>
      <c r="J738">
        <v>671353</v>
      </c>
      <c r="K738">
        <v>521113</v>
      </c>
      <c r="L738">
        <v>193712</v>
      </c>
      <c r="M738">
        <v>273595</v>
      </c>
      <c r="N738">
        <v>3091620.94</v>
      </c>
      <c r="O738">
        <v>2040743.33</v>
      </c>
      <c r="P738">
        <v>2164067.66</v>
      </c>
      <c r="Q738">
        <v>86700</v>
      </c>
      <c r="R738">
        <v>699187.28</v>
      </c>
      <c r="S738">
        <v>30320.316000000003</v>
      </c>
      <c r="T738">
        <v>640113.27584100002</v>
      </c>
      <c r="U738">
        <f t="shared" si="77"/>
        <v>972044.25412556529</v>
      </c>
      <c r="V738" t="str">
        <f t="shared" si="78"/>
        <v>2020/21Outputs - environmentLeakages from fluid filled cablesOil in Service in Cables (litres)</v>
      </c>
    </row>
    <row r="739" spans="1:22">
      <c r="A739" s="900" t="s">
        <v>142</v>
      </c>
      <c r="B739" s="900"/>
      <c r="C739" s="900" t="s">
        <v>1313</v>
      </c>
      <c r="D739" t="s">
        <v>423</v>
      </c>
      <c r="E739" t="s">
        <v>425</v>
      </c>
      <c r="F739" s="900" t="s">
        <v>1322</v>
      </c>
      <c r="G739">
        <v>1061444.2855016205</v>
      </c>
      <c r="H739">
        <v>1202394.3115200002</v>
      </c>
      <c r="I739">
        <v>870045.25863691512</v>
      </c>
      <c r="J739">
        <v>671353</v>
      </c>
      <c r="K739">
        <v>521113</v>
      </c>
      <c r="L739">
        <v>193712</v>
      </c>
      <c r="M739">
        <v>273595</v>
      </c>
      <c r="N739">
        <v>2958270.9408624</v>
      </c>
      <c r="O739">
        <v>2038280.9398067</v>
      </c>
      <c r="P739">
        <v>2131533.0676568602</v>
      </c>
      <c r="Q739">
        <v>86700</v>
      </c>
      <c r="R739">
        <v>699187.28</v>
      </c>
      <c r="S739">
        <v>28469.909000000003</v>
      </c>
      <c r="T739">
        <v>629419.63184100005</v>
      </c>
      <c r="U739">
        <f t="shared" ref="U739" si="79">AVERAGE(G739:T739)</f>
        <v>954679.90177324961</v>
      </c>
      <c r="V739" t="str">
        <f t="shared" ref="V739" si="80">CONCATENATE(A739,B739,C739,D739,E739)</f>
        <v>2021/22Outputs - environmentLeakages from fluid filled cablesOil in Service in Cables (litres)</v>
      </c>
    </row>
    <row r="740" spans="1:22">
      <c r="A740" s="900" t="s">
        <v>137</v>
      </c>
      <c r="B740" s="900"/>
      <c r="C740" s="900" t="s">
        <v>1313</v>
      </c>
      <c r="D740" t="s">
        <v>423</v>
      </c>
      <c r="E740" t="s">
        <v>1323</v>
      </c>
      <c r="F740" s="900" t="s">
        <v>1299</v>
      </c>
      <c r="G740" cm="1">
        <f t="array" ref="G740:Q746">TRANSPOSE('Ch2 outputs - environment'!Q155:W165)</f>
        <v>11</v>
      </c>
      <c r="H740">
        <v>3</v>
      </c>
      <c r="I740">
        <v>7</v>
      </c>
      <c r="J740">
        <v>4</v>
      </c>
      <c r="K740">
        <v>5</v>
      </c>
      <c r="L740">
        <v>2</v>
      </c>
      <c r="M740">
        <v>1</v>
      </c>
      <c r="N740">
        <v>13</v>
      </c>
      <c r="O740">
        <v>12</v>
      </c>
      <c r="P740">
        <v>9</v>
      </c>
      <c r="Q740">
        <v>8</v>
      </c>
      <c r="S740" cm="1">
        <f t="array" ref="S740:T746">TRANSPOSE('Ch2 outputs - environment'!Q166:W167)</f>
        <v>6</v>
      </c>
      <c r="T740">
        <v>10</v>
      </c>
      <c r="V740" t="str">
        <f t="shared" si="78"/>
        <v>2015/16Outputs - environmentLeakages from fluid filled cablesTop up as a % of oil in service Ranking</v>
      </c>
    </row>
    <row r="741" spans="1:22">
      <c r="A741" s="900" t="s">
        <v>138</v>
      </c>
      <c r="B741" s="900"/>
      <c r="C741" s="900" t="s">
        <v>1313</v>
      </c>
      <c r="D741" t="s">
        <v>423</v>
      </c>
      <c r="E741" t="s">
        <v>1323</v>
      </c>
      <c r="F741" s="900" t="s">
        <v>1299</v>
      </c>
      <c r="G741">
        <v>7</v>
      </c>
      <c r="H741">
        <v>5</v>
      </c>
      <c r="I741">
        <v>8</v>
      </c>
      <c r="J741">
        <v>3</v>
      </c>
      <c r="K741">
        <v>4</v>
      </c>
      <c r="L741">
        <v>2</v>
      </c>
      <c r="M741">
        <v>1</v>
      </c>
      <c r="N741">
        <v>13</v>
      </c>
      <c r="O741">
        <v>11</v>
      </c>
      <c r="P741">
        <v>10</v>
      </c>
      <c r="Q741">
        <v>6</v>
      </c>
      <c r="S741">
        <v>9</v>
      </c>
      <c r="T741">
        <v>12</v>
      </c>
      <c r="V741" t="str">
        <f t="shared" si="78"/>
        <v>2016/17Outputs - environmentLeakages from fluid filled cablesTop up as a % of oil in service Ranking</v>
      </c>
    </row>
    <row r="742" spans="1:22">
      <c r="A742" s="900" t="s">
        <v>139</v>
      </c>
      <c r="B742" s="900"/>
      <c r="C742" s="900" t="s">
        <v>1313</v>
      </c>
      <c r="D742" t="s">
        <v>423</v>
      </c>
      <c r="E742" t="s">
        <v>1323</v>
      </c>
      <c r="F742" s="900" t="s">
        <v>1299</v>
      </c>
      <c r="G742">
        <v>12</v>
      </c>
      <c r="H742">
        <v>4</v>
      </c>
      <c r="I742">
        <v>5</v>
      </c>
      <c r="J742">
        <v>7</v>
      </c>
      <c r="K742">
        <v>6</v>
      </c>
      <c r="L742">
        <v>1</v>
      </c>
      <c r="M742">
        <v>2</v>
      </c>
      <c r="N742">
        <v>10</v>
      </c>
      <c r="O742">
        <v>9</v>
      </c>
      <c r="P742">
        <v>8</v>
      </c>
      <c r="Q742">
        <v>3</v>
      </c>
      <c r="S742">
        <v>13</v>
      </c>
      <c r="T742">
        <v>11</v>
      </c>
      <c r="V742" t="str">
        <f t="shared" si="78"/>
        <v>2017/18Outputs - environmentLeakages from fluid filled cablesTop up as a % of oil in service Ranking</v>
      </c>
    </row>
    <row r="743" spans="1:22">
      <c r="A743" s="900" t="s">
        <v>140</v>
      </c>
      <c r="B743" s="900"/>
      <c r="C743" s="900" t="s">
        <v>1313</v>
      </c>
      <c r="D743" t="s">
        <v>423</v>
      </c>
      <c r="E743" t="s">
        <v>1323</v>
      </c>
      <c r="F743" s="900" t="s">
        <v>1299</v>
      </c>
      <c r="G743">
        <v>13</v>
      </c>
      <c r="H743">
        <v>3</v>
      </c>
      <c r="I743">
        <v>5</v>
      </c>
      <c r="J743">
        <v>11</v>
      </c>
      <c r="K743">
        <v>6</v>
      </c>
      <c r="L743">
        <v>1</v>
      </c>
      <c r="M743">
        <v>4</v>
      </c>
      <c r="N743">
        <v>8</v>
      </c>
      <c r="O743">
        <v>9</v>
      </c>
      <c r="P743">
        <v>7</v>
      </c>
      <c r="Q743">
        <v>2</v>
      </c>
      <c r="S743">
        <v>10</v>
      </c>
      <c r="T743">
        <v>12</v>
      </c>
      <c r="V743" t="str">
        <f t="shared" si="78"/>
        <v>2018/19Outputs - environmentLeakages from fluid filled cablesTop up as a % of oil in service Ranking</v>
      </c>
    </row>
    <row r="744" spans="1:22">
      <c r="A744" s="900" t="s">
        <v>141</v>
      </c>
      <c r="B744" s="900"/>
      <c r="C744" s="900" t="s">
        <v>1313</v>
      </c>
      <c r="D744" t="s">
        <v>423</v>
      </c>
      <c r="E744" t="s">
        <v>1323</v>
      </c>
      <c r="F744" s="900" t="s">
        <v>1299</v>
      </c>
      <c r="G744">
        <v>8</v>
      </c>
      <c r="H744">
        <v>4</v>
      </c>
      <c r="I744">
        <v>10</v>
      </c>
      <c r="J744">
        <v>7</v>
      </c>
      <c r="K744">
        <v>5</v>
      </c>
      <c r="L744">
        <v>6</v>
      </c>
      <c r="M744">
        <v>1</v>
      </c>
      <c r="N744">
        <v>9</v>
      </c>
      <c r="O744">
        <v>12</v>
      </c>
      <c r="P744">
        <v>11</v>
      </c>
      <c r="Q744">
        <v>2</v>
      </c>
      <c r="S744">
        <v>3</v>
      </c>
      <c r="T744">
        <v>13</v>
      </c>
      <c r="V744" t="str">
        <f t="shared" si="78"/>
        <v>2019/20Outputs - environmentLeakages from fluid filled cablesTop up as a % of oil in service Ranking</v>
      </c>
    </row>
    <row r="745" spans="1:22">
      <c r="A745" s="900" t="s">
        <v>126</v>
      </c>
      <c r="B745" s="900"/>
      <c r="C745" s="900" t="s">
        <v>1313</v>
      </c>
      <c r="D745" t="s">
        <v>423</v>
      </c>
      <c r="E745" t="s">
        <v>1323</v>
      </c>
      <c r="F745" s="900" t="s">
        <v>1299</v>
      </c>
      <c r="G745">
        <v>7</v>
      </c>
      <c r="H745">
        <v>4</v>
      </c>
      <c r="I745">
        <v>8</v>
      </c>
      <c r="J745">
        <v>6</v>
      </c>
      <c r="K745">
        <v>5</v>
      </c>
      <c r="L745">
        <v>10</v>
      </c>
      <c r="M745">
        <v>1</v>
      </c>
      <c r="N745">
        <v>13</v>
      </c>
      <c r="O745">
        <v>12</v>
      </c>
      <c r="P745">
        <v>9</v>
      </c>
      <c r="Q745">
        <v>2</v>
      </c>
      <c r="S745">
        <v>3</v>
      </c>
      <c r="T745">
        <v>11</v>
      </c>
      <c r="V745" t="str">
        <f t="shared" si="78"/>
        <v>2020/21Outputs - environmentLeakages from fluid filled cablesTop up as a % of oil in service Ranking</v>
      </c>
    </row>
    <row r="746" spans="1:22">
      <c r="A746" s="900" t="s">
        <v>142</v>
      </c>
      <c r="B746" s="900"/>
      <c r="C746" s="900" t="s">
        <v>1313</v>
      </c>
      <c r="D746" t="s">
        <v>423</v>
      </c>
      <c r="E746" t="s">
        <v>1323</v>
      </c>
      <c r="F746" s="900" t="s">
        <v>1299</v>
      </c>
      <c r="G746">
        <v>5</v>
      </c>
      <c r="H746">
        <v>3</v>
      </c>
      <c r="I746">
        <v>8</v>
      </c>
      <c r="J746">
        <v>7</v>
      </c>
      <c r="K746">
        <v>6</v>
      </c>
      <c r="L746">
        <v>2</v>
      </c>
      <c r="M746">
        <v>13</v>
      </c>
      <c r="N746">
        <v>12</v>
      </c>
      <c r="O746">
        <v>9</v>
      </c>
      <c r="P746">
        <v>10</v>
      </c>
      <c r="Q746">
        <v>1</v>
      </c>
      <c r="S746">
        <v>4</v>
      </c>
      <c r="T746">
        <v>11</v>
      </c>
      <c r="V746" t="str">
        <f>CONCATENATE(A746,B746,C746,D746,E746)</f>
        <v>2021/22Outputs - environmentLeakages from fluid filled cablesTop up as a % of oil in service Ranking</v>
      </c>
    </row>
    <row r="747" spans="1:22">
      <c r="A747" s="900" t="s">
        <v>137</v>
      </c>
      <c r="B747" s="900"/>
      <c r="C747" s="900" t="s">
        <v>1313</v>
      </c>
      <c r="D747" t="s">
        <v>430</v>
      </c>
      <c r="E747" t="s">
        <v>944</v>
      </c>
      <c r="F747" s="900" t="s">
        <v>1285</v>
      </c>
      <c r="G747">
        <f t="array" ref="G747:T758">TRANSPOSE('Ch2 outputs - environment'!E176:P189)</f>
        <v>3.79</v>
      </c>
      <c r="H747">
        <v>9.1120000000000001</v>
      </c>
      <c r="I747">
        <v>7.7510000000000003</v>
      </c>
      <c r="J747">
        <v>4.6558569999999992</v>
      </c>
      <c r="K747">
        <v>4.1606329999999989</v>
      </c>
      <c r="L747">
        <v>0</v>
      </c>
      <c r="M747">
        <v>0</v>
      </c>
      <c r="N747" t="str">
        <v>N/A</v>
      </c>
      <c r="O747">
        <v>5.3496379999999997</v>
      </c>
      <c r="P747">
        <v>0</v>
      </c>
      <c r="Q747">
        <v>0</v>
      </c>
      <c r="R747">
        <v>1.6</v>
      </c>
      <c r="S747">
        <v>0</v>
      </c>
      <c r="T747">
        <v>2.5</v>
      </c>
      <c r="U747">
        <f>AVERAGE(G747:T747)</f>
        <v>2.9937790769230768</v>
      </c>
      <c r="V747" t="str">
        <f t="shared" si="78"/>
        <v>2015/16Outputs - environmentUndergrounding performanceLength of overhead lines removed</v>
      </c>
    </row>
    <row r="748" spans="1:22">
      <c r="A748" s="900" t="s">
        <v>137</v>
      </c>
      <c r="B748" s="900"/>
      <c r="C748" s="900" t="s">
        <v>1313</v>
      </c>
      <c r="D748" t="s">
        <v>430</v>
      </c>
      <c r="E748" t="s">
        <v>946</v>
      </c>
      <c r="F748" s="900" t="s">
        <v>1285</v>
      </c>
      <c r="G748">
        <v>3.41</v>
      </c>
      <c r="H748">
        <v>9.0670000000000002</v>
      </c>
      <c r="I748">
        <v>7.8449999999999998</v>
      </c>
      <c r="J748">
        <v>5.0293909999999995</v>
      </c>
      <c r="K748">
        <v>0</v>
      </c>
      <c r="L748">
        <v>0</v>
      </c>
      <c r="M748">
        <v>0</v>
      </c>
      <c r="N748" t="str">
        <v>N/A</v>
      </c>
      <c r="O748">
        <v>7.8831249999999997</v>
      </c>
      <c r="P748">
        <v>0.13500000000000001</v>
      </c>
      <c r="Q748">
        <v>0</v>
      </c>
      <c r="R748">
        <v>0</v>
      </c>
      <c r="S748">
        <v>0</v>
      </c>
      <c r="T748">
        <v>2.4</v>
      </c>
      <c r="U748">
        <f t="shared" ref="U748:U797" si="81">AVERAGE(G748:T748)</f>
        <v>2.7515012307692306</v>
      </c>
      <c r="V748" t="str">
        <f t="shared" si="78"/>
        <v>2015/16Outputs - environmentUndergrounding performanceLength of underground lines installed</v>
      </c>
    </row>
    <row r="749" spans="1:22">
      <c r="A749" s="900" t="s">
        <v>137</v>
      </c>
      <c r="B749" s="900"/>
      <c r="C749" s="900" t="s">
        <v>1313</v>
      </c>
      <c r="D749" t="s">
        <v>430</v>
      </c>
      <c r="E749" t="s">
        <v>433</v>
      </c>
      <c r="F749" s="900" t="s">
        <v>1289</v>
      </c>
      <c r="G749">
        <v>1.0336707352075742</v>
      </c>
      <c r="H749">
        <v>0.98397750322172928</v>
      </c>
      <c r="I749">
        <v>0.47540024745875764</v>
      </c>
      <c r="J749">
        <v>0.83021416704891049</v>
      </c>
      <c r="K749">
        <v>2.0029726364803244E-2</v>
      </c>
      <c r="L749">
        <v>0</v>
      </c>
      <c r="M749">
        <v>6.3567395049974385E-2</v>
      </c>
      <c r="N749" t="str">
        <v>N/A</v>
      </c>
      <c r="O749">
        <v>0.40595261934339716</v>
      </c>
      <c r="P749">
        <v>0.57331003955822701</v>
      </c>
      <c r="Q749">
        <v>0</v>
      </c>
      <c r="R749">
        <v>0.11176103968220732</v>
      </c>
      <c r="S749">
        <v>0</v>
      </c>
      <c r="T749">
        <v>0.29957478228290163</v>
      </c>
      <c r="U749">
        <f t="shared" si="81"/>
        <v>0.36903525040142166</v>
      </c>
      <c r="V749" t="str">
        <f t="shared" si="78"/>
        <v>2015/16Outputs - environmentUndergrounding performanceUndergrounding expenditure (£m)</v>
      </c>
    </row>
    <row r="750" spans="1:22">
      <c r="A750" s="900" t="s">
        <v>138</v>
      </c>
      <c r="B750" s="900"/>
      <c r="C750" s="900" t="s">
        <v>1313</v>
      </c>
      <c r="D750" t="s">
        <v>430</v>
      </c>
      <c r="E750" t="s">
        <v>944</v>
      </c>
      <c r="F750" t="s">
        <v>1285</v>
      </c>
      <c r="G750">
        <v>11.23</v>
      </c>
      <c r="H750">
        <v>9.1610000000000014</v>
      </c>
      <c r="I750">
        <v>3.85</v>
      </c>
      <c r="J750">
        <v>3.2930359999999999</v>
      </c>
      <c r="K750">
        <v>0</v>
      </c>
      <c r="L750">
        <v>1.171771696</v>
      </c>
      <c r="M750">
        <v>0.30572799999999994</v>
      </c>
      <c r="N750">
        <v>0</v>
      </c>
      <c r="O750">
        <v>3.1821000000000002</v>
      </c>
      <c r="P750">
        <v>1.46682782</v>
      </c>
      <c r="Q750">
        <v>0</v>
      </c>
      <c r="R750">
        <v>1.9689431949862217</v>
      </c>
      <c r="S750">
        <v>0</v>
      </c>
      <c r="T750">
        <v>6.0270000000000001</v>
      </c>
      <c r="U750">
        <f t="shared" si="81"/>
        <v>2.9754576222133018</v>
      </c>
      <c r="V750" t="str">
        <f t="shared" si="78"/>
        <v>2016/17Outputs - environmentUndergrounding performanceLength of overhead lines removed</v>
      </c>
    </row>
    <row r="751" spans="1:22">
      <c r="A751" s="900" t="s">
        <v>138</v>
      </c>
      <c r="B751" s="900"/>
      <c r="C751" s="900" t="s">
        <v>1313</v>
      </c>
      <c r="D751" t="s">
        <v>430</v>
      </c>
      <c r="E751" t="s">
        <v>946</v>
      </c>
      <c r="F751" t="s">
        <v>1285</v>
      </c>
      <c r="G751">
        <v>12.206</v>
      </c>
      <c r="H751">
        <v>8.8759999999999994</v>
      </c>
      <c r="I751">
        <v>3.645</v>
      </c>
      <c r="J751">
        <v>6.442838042</v>
      </c>
      <c r="K751">
        <v>0.28911100000000001</v>
      </c>
      <c r="L751">
        <v>1.174857</v>
      </c>
      <c r="M751">
        <v>0.68536437700000008</v>
      </c>
      <c r="N751">
        <v>0</v>
      </c>
      <c r="O751">
        <v>1.86</v>
      </c>
      <c r="P751">
        <v>1.7854460649999999</v>
      </c>
      <c r="Q751">
        <v>0</v>
      </c>
      <c r="R751">
        <v>1.623761834003534</v>
      </c>
      <c r="S751">
        <v>0</v>
      </c>
      <c r="T751">
        <v>6.9669999999999996</v>
      </c>
      <c r="U751">
        <f t="shared" si="81"/>
        <v>3.2539555941431098</v>
      </c>
      <c r="V751" t="str">
        <f t="shared" si="78"/>
        <v>2016/17Outputs - environmentUndergrounding performanceLength of underground lines installed</v>
      </c>
    </row>
    <row r="752" spans="1:22">
      <c r="A752" s="900" t="s">
        <v>138</v>
      </c>
      <c r="B752" s="900"/>
      <c r="C752" s="900" t="s">
        <v>1313</v>
      </c>
      <c r="D752" t="s">
        <v>430</v>
      </c>
      <c r="E752" t="s">
        <v>433</v>
      </c>
      <c r="F752" t="s">
        <v>1289</v>
      </c>
      <c r="G752">
        <v>1.1113371705389246</v>
      </c>
      <c r="H752">
        <v>2.6288130653255122</v>
      </c>
      <c r="I752">
        <v>0.70257459027810154</v>
      </c>
      <c r="J752">
        <v>0.53320949112496219</v>
      </c>
      <c r="K752">
        <v>2.678523832686119E-2</v>
      </c>
      <c r="L752">
        <v>8.5545191278941279E-2</v>
      </c>
      <c r="M752">
        <v>4.3840689075072457E-2</v>
      </c>
      <c r="N752" t="str">
        <v>N/A</v>
      </c>
      <c r="O752">
        <v>0.40405744134565197</v>
      </c>
      <c r="P752">
        <v>0.22192879837575011</v>
      </c>
      <c r="Q752">
        <v>0.16979182249124505</v>
      </c>
      <c r="R752">
        <v>0.24592409819911015</v>
      </c>
      <c r="S752">
        <v>0.27713487146630844</v>
      </c>
      <c r="T752">
        <v>0.53507797720534966</v>
      </c>
      <c r="U752">
        <f t="shared" si="81"/>
        <v>0.53738618807936855</v>
      </c>
      <c r="V752" t="str">
        <f t="shared" si="78"/>
        <v>2016/17Outputs - environmentUndergrounding performanceUndergrounding expenditure (£m)</v>
      </c>
    </row>
    <row r="753" spans="1:22">
      <c r="A753" s="900" t="s">
        <v>139</v>
      </c>
      <c r="B753" s="900"/>
      <c r="C753" s="900" t="s">
        <v>1313</v>
      </c>
      <c r="D753" t="s">
        <v>430</v>
      </c>
      <c r="E753" t="s">
        <v>944</v>
      </c>
      <c r="F753" t="s">
        <v>1285</v>
      </c>
      <c r="G753">
        <v>4.88</v>
      </c>
      <c r="H753">
        <v>9.995000000000001</v>
      </c>
      <c r="I753">
        <v>3.87</v>
      </c>
      <c r="J753">
        <v>0</v>
      </c>
      <c r="K753">
        <v>1.092980523</v>
      </c>
      <c r="L753">
        <v>0.11323900000000001</v>
      </c>
      <c r="M753">
        <v>1.8983159999999999</v>
      </c>
      <c r="N753">
        <v>0</v>
      </c>
      <c r="O753">
        <v>0</v>
      </c>
      <c r="P753">
        <v>2.0534879999999998</v>
      </c>
      <c r="Q753">
        <v>7.7417924221172898</v>
      </c>
      <c r="R753">
        <v>7.4369999999999994</v>
      </c>
      <c r="S753">
        <v>1.9219999999999999</v>
      </c>
      <c r="T753">
        <v>0</v>
      </c>
      <c r="U753">
        <f t="shared" si="81"/>
        <v>2.9288439960798063</v>
      </c>
      <c r="V753" t="str">
        <f t="shared" si="78"/>
        <v>2017/18Outputs - environmentUndergrounding performanceLength of overhead lines removed</v>
      </c>
    </row>
    <row r="754" spans="1:22">
      <c r="A754" s="900" t="s">
        <v>139</v>
      </c>
      <c r="B754" s="900"/>
      <c r="C754" s="900" t="s">
        <v>1313</v>
      </c>
      <c r="D754" t="s">
        <v>430</v>
      </c>
      <c r="E754" t="s">
        <v>946</v>
      </c>
      <c r="F754" t="s">
        <v>1285</v>
      </c>
      <c r="G754">
        <v>4.46</v>
      </c>
      <c r="H754">
        <v>12.030000000000001</v>
      </c>
      <c r="I754">
        <v>3.585</v>
      </c>
      <c r="J754">
        <v>0</v>
      </c>
      <c r="K754">
        <v>1.4685116000000002E-2</v>
      </c>
      <c r="L754">
        <v>0</v>
      </c>
      <c r="M754">
        <v>9.4384342359999991</v>
      </c>
      <c r="N754">
        <v>0</v>
      </c>
      <c r="O754">
        <v>0</v>
      </c>
      <c r="P754">
        <v>3.4493601669999996</v>
      </c>
      <c r="Q754">
        <v>0</v>
      </c>
      <c r="R754">
        <v>0</v>
      </c>
      <c r="S754">
        <v>2.5089999999999999</v>
      </c>
      <c r="T754">
        <v>0</v>
      </c>
      <c r="U754">
        <f t="shared" si="81"/>
        <v>2.5347485370714287</v>
      </c>
      <c r="V754" t="str">
        <f t="shared" si="78"/>
        <v>2017/18Outputs - environmentUndergrounding performanceLength of underground lines installed</v>
      </c>
    </row>
    <row r="755" spans="1:22">
      <c r="A755" s="900" t="s">
        <v>139</v>
      </c>
      <c r="B755" s="900"/>
      <c r="C755" s="900" t="s">
        <v>1313</v>
      </c>
      <c r="D755" t="s">
        <v>430</v>
      </c>
      <c r="E755" t="s">
        <v>433</v>
      </c>
      <c r="F755" t="s">
        <v>1289</v>
      </c>
      <c r="G755">
        <v>1.2177547020821511</v>
      </c>
      <c r="H755">
        <v>1.9860971388318998</v>
      </c>
      <c r="I755">
        <v>0.74712925798450736</v>
      </c>
      <c r="J755">
        <v>0</v>
      </c>
      <c r="K755">
        <v>0</v>
      </c>
      <c r="L755">
        <v>0.20102003579379282</v>
      </c>
      <c r="M755">
        <v>1.2318136540224365</v>
      </c>
      <c r="N755" t="str">
        <v>N/A</v>
      </c>
      <c r="O755">
        <v>5.4877581337546437E-2</v>
      </c>
      <c r="P755">
        <v>0.20816208876459558</v>
      </c>
      <c r="Q755">
        <v>0</v>
      </c>
      <c r="R755">
        <v>0.55877165844462628</v>
      </c>
      <c r="S755">
        <v>0.93064313870094717</v>
      </c>
      <c r="T755">
        <v>0.23040727480466189</v>
      </c>
      <c r="U755">
        <f t="shared" si="81"/>
        <v>0.56666742544362803</v>
      </c>
      <c r="V755" t="str">
        <f t="shared" si="78"/>
        <v>2017/18Outputs - environmentUndergrounding performanceUndergrounding expenditure (£m)</v>
      </c>
    </row>
    <row r="756" spans="1:22">
      <c r="A756" s="900" t="s">
        <v>140</v>
      </c>
      <c r="B756" s="900"/>
      <c r="C756" s="900" t="s">
        <v>1313</v>
      </c>
      <c r="D756" t="s">
        <v>430</v>
      </c>
      <c r="E756" t="s">
        <v>944</v>
      </c>
      <c r="F756" t="s">
        <v>1285</v>
      </c>
      <c r="G756">
        <v>7.3109999999999999</v>
      </c>
      <c r="H756">
        <v>6.93</v>
      </c>
      <c r="I756">
        <v>4.38</v>
      </c>
      <c r="J756">
        <v>0.35079300000000002</v>
      </c>
      <c r="K756">
        <v>0</v>
      </c>
      <c r="L756">
        <v>0.11675199999999999</v>
      </c>
      <c r="M756">
        <v>0.33694199999999996</v>
      </c>
      <c r="N756">
        <v>0</v>
      </c>
      <c r="O756">
        <v>0</v>
      </c>
      <c r="P756">
        <v>0.53191999999999995</v>
      </c>
      <c r="Q756">
        <v>0</v>
      </c>
      <c r="R756">
        <v>0.70589999999999997</v>
      </c>
      <c r="S756">
        <v>2.5989999999999998</v>
      </c>
      <c r="T756">
        <v>0</v>
      </c>
      <c r="U756">
        <f t="shared" ref="U756:U764" si="82">AVERAGE(G756:T756)</f>
        <v>1.6615933571428572</v>
      </c>
      <c r="V756" t="str">
        <f t="shared" si="78"/>
        <v>2018/19Outputs - environmentUndergrounding performanceLength of overhead lines removed</v>
      </c>
    </row>
    <row r="757" spans="1:22">
      <c r="A757" s="900" t="s">
        <v>140</v>
      </c>
      <c r="B757" s="900"/>
      <c r="C757" s="900" t="s">
        <v>1313</v>
      </c>
      <c r="D757" t="s">
        <v>430</v>
      </c>
      <c r="E757" t="s">
        <v>946</v>
      </c>
      <c r="F757" t="s">
        <v>1285</v>
      </c>
      <c r="G757">
        <v>9.1999999999999993</v>
      </c>
      <c r="H757">
        <v>7.5920000000000005</v>
      </c>
      <c r="I757">
        <v>5.5</v>
      </c>
      <c r="J757">
        <v>0</v>
      </c>
      <c r="K757">
        <v>0</v>
      </c>
      <c r="L757">
        <v>0.12409298299999999</v>
      </c>
      <c r="M757">
        <v>1.348525441</v>
      </c>
      <c r="N757">
        <v>0</v>
      </c>
      <c r="O757">
        <v>0</v>
      </c>
      <c r="P757">
        <v>2.6718999999999999</v>
      </c>
      <c r="Q757">
        <v>0</v>
      </c>
      <c r="R757">
        <v>0.69269999999999998</v>
      </c>
      <c r="S757">
        <v>3.1330000000000005</v>
      </c>
      <c r="T757">
        <v>0</v>
      </c>
      <c r="U757">
        <f t="shared" si="82"/>
        <v>2.1615870302857143</v>
      </c>
      <c r="V757" t="str">
        <f t="shared" si="78"/>
        <v>2018/19Outputs - environmentUndergrounding performanceLength of underground lines installed</v>
      </c>
    </row>
    <row r="758" spans="1:22">
      <c r="A758" s="900" t="s">
        <v>140</v>
      </c>
      <c r="B758" s="900"/>
      <c r="C758" s="900" t="s">
        <v>1313</v>
      </c>
      <c r="D758" t="s">
        <v>430</v>
      </c>
      <c r="E758" t="s">
        <v>433</v>
      </c>
      <c r="F758" t="s">
        <v>1289</v>
      </c>
      <c r="G758">
        <v>1.1865932073560419</v>
      </c>
      <c r="H758">
        <v>1.0338436454348603</v>
      </c>
      <c r="I758">
        <v>1.2474026777829825</v>
      </c>
      <c r="J758">
        <v>1.204651050324029E-3</v>
      </c>
      <c r="K758">
        <v>1.0214282688805117E-2</v>
      </c>
      <c r="L758">
        <v>1.4937015544919314E-2</v>
      </c>
      <c r="M758">
        <v>0.17345264489320178</v>
      </c>
      <c r="N758">
        <v>0</v>
      </c>
      <c r="O758">
        <v>4.7909606041280597E-2</v>
      </c>
      <c r="P758">
        <v>0.8552317015684362</v>
      </c>
      <c r="Q758">
        <v>0.194036554661358</v>
      </c>
      <c r="R758">
        <v>0</v>
      </c>
      <c r="S758">
        <v>0.2326169986869415</v>
      </c>
      <c r="T758">
        <v>0.15383261080943711</v>
      </c>
      <c r="U758">
        <f t="shared" si="82"/>
        <v>0.36794825689418487</v>
      </c>
      <c r="V758" t="str">
        <f t="shared" si="78"/>
        <v>2018/19Outputs - environmentUndergrounding performanceUndergrounding expenditure (£m)</v>
      </c>
    </row>
    <row r="759" spans="1:22">
      <c r="A759" s="900" t="s">
        <v>141</v>
      </c>
      <c r="B759" s="900"/>
      <c r="C759" s="900" t="s">
        <v>1313</v>
      </c>
      <c r="D759" t="s">
        <v>430</v>
      </c>
      <c r="E759" t="s">
        <v>944</v>
      </c>
      <c r="F759" t="s">
        <v>1285</v>
      </c>
      <c r="G759">
        <f t="array" ref="G759:T761">TRANSPOSE('Ch2 outputs - environment'!Q176:S189)</f>
        <v>7.1759999999999993</v>
      </c>
      <c r="H759">
        <v>3.2050000000000001</v>
      </c>
      <c r="I759">
        <v>10.417999999999999</v>
      </c>
      <c r="J759">
        <v>5.7007799999999982</v>
      </c>
      <c r="K759">
        <v>3.2819039999999999</v>
      </c>
      <c r="L759">
        <v>0</v>
      </c>
      <c r="M759">
        <v>2.6442780000000004</v>
      </c>
      <c r="N759">
        <v>0</v>
      </c>
      <c r="O759">
        <v>0</v>
      </c>
      <c r="P759">
        <v>8.4470200000000002</v>
      </c>
      <c r="Q759">
        <v>7.7417924221172898</v>
      </c>
      <c r="R759">
        <v>1.3136000000000001</v>
      </c>
      <c r="S759">
        <v>0</v>
      </c>
      <c r="T759">
        <v>2.3940000000000001</v>
      </c>
      <c r="U759">
        <f t="shared" si="82"/>
        <v>3.7373124587226636</v>
      </c>
      <c r="V759" t="str">
        <f t="shared" si="78"/>
        <v>2019/20Outputs - environmentUndergrounding performanceLength of overhead lines removed</v>
      </c>
    </row>
    <row r="760" spans="1:22">
      <c r="A760" s="900" t="s">
        <v>141</v>
      </c>
      <c r="B760" s="900"/>
      <c r="C760" s="900" t="s">
        <v>1313</v>
      </c>
      <c r="D760" t="s">
        <v>430</v>
      </c>
      <c r="E760" t="s">
        <v>946</v>
      </c>
      <c r="F760" t="s">
        <v>1285</v>
      </c>
      <c r="G760">
        <v>8.6140000000000008</v>
      </c>
      <c r="H760">
        <v>3.8779999999999997</v>
      </c>
      <c r="I760">
        <v>12.119</v>
      </c>
      <c r="J760">
        <v>5.9682199999999996</v>
      </c>
      <c r="K760">
        <v>3.304386</v>
      </c>
      <c r="L760">
        <v>0</v>
      </c>
      <c r="M760">
        <v>0.10259799999999999</v>
      </c>
      <c r="N760">
        <v>0</v>
      </c>
      <c r="O760">
        <v>0</v>
      </c>
      <c r="P760">
        <v>9.9145500000000002</v>
      </c>
      <c r="Q760">
        <v>0</v>
      </c>
      <c r="R760">
        <v>1.1731099999999999</v>
      </c>
      <c r="S760">
        <v>0</v>
      </c>
      <c r="T760">
        <v>2.7622100000000001</v>
      </c>
      <c r="U760">
        <f t="shared" si="82"/>
        <v>3.4168624285714286</v>
      </c>
      <c r="V760" t="str">
        <f t="shared" si="78"/>
        <v>2019/20Outputs - environmentUndergrounding performanceLength of underground lines installed</v>
      </c>
    </row>
    <row r="761" spans="1:22">
      <c r="A761" s="900" t="s">
        <v>141</v>
      </c>
      <c r="B761" s="900"/>
      <c r="C761" s="900" t="s">
        <v>1313</v>
      </c>
      <c r="D761" t="s">
        <v>430</v>
      </c>
      <c r="E761" t="s">
        <v>433</v>
      </c>
      <c r="F761" t="s">
        <v>1289</v>
      </c>
      <c r="G761">
        <v>1.3397038215591828</v>
      </c>
      <c r="H761">
        <v>1.8937752003271009</v>
      </c>
      <c r="I761">
        <v>0.5966525265761603</v>
      </c>
      <c r="J761">
        <v>0.53217600820991062</v>
      </c>
      <c r="K761">
        <v>0.41974950581174802</v>
      </c>
      <c r="L761">
        <v>1.9455579783788995E-4</v>
      </c>
      <c r="M761">
        <v>0.29481297272346596</v>
      </c>
      <c r="N761">
        <v>0</v>
      </c>
      <c r="O761">
        <v>4.6588706181627207E-2</v>
      </c>
      <c r="P761">
        <v>1.2351295689695361</v>
      </c>
      <c r="Q761">
        <v>6.3270691696313691E-2</v>
      </c>
      <c r="R761">
        <v>0.61277676889389243</v>
      </c>
      <c r="S761">
        <v>0.18728436713620195</v>
      </c>
      <c r="T761">
        <v>0.63266052806270268</v>
      </c>
      <c r="U761">
        <f t="shared" si="82"/>
        <v>0.56105537299612007</v>
      </c>
      <c r="V761" t="str">
        <f t="shared" si="78"/>
        <v>2019/20Outputs - environmentUndergrounding performanceUndergrounding expenditure (£m)</v>
      </c>
    </row>
    <row r="762" spans="1:22">
      <c r="A762" s="900" t="s">
        <v>126</v>
      </c>
      <c r="B762" s="900"/>
      <c r="C762" s="900" t="s">
        <v>1313</v>
      </c>
      <c r="D762" t="s">
        <v>430</v>
      </c>
      <c r="E762" t="s">
        <v>944</v>
      </c>
      <c r="F762" t="s">
        <v>1285</v>
      </c>
      <c r="G762" cm="1">
        <f t="array" ref="G762:T764">TRANSPOSE('Ch2 outputs - environment'!T176:V189)</f>
        <v>11.23</v>
      </c>
      <c r="H762">
        <v>5.3800000000000008</v>
      </c>
      <c r="I762">
        <v>0.83600000000000008</v>
      </c>
      <c r="J762">
        <v>0</v>
      </c>
      <c r="K762">
        <v>0.37509000000000003</v>
      </c>
      <c r="L762">
        <v>0</v>
      </c>
      <c r="M762">
        <v>3.1866500000000002</v>
      </c>
      <c r="N762">
        <v>0</v>
      </c>
      <c r="O762">
        <v>0</v>
      </c>
      <c r="P762">
        <v>5.4224199999999998</v>
      </c>
      <c r="Q762">
        <v>7.7417924221172898</v>
      </c>
      <c r="R762">
        <v>1.33264</v>
      </c>
      <c r="S762">
        <v>11.214</v>
      </c>
      <c r="T762">
        <v>0.57200000000000006</v>
      </c>
      <c r="U762">
        <f t="shared" si="82"/>
        <v>3.3778994587226632</v>
      </c>
      <c r="V762" t="str">
        <f t="shared" si="78"/>
        <v>2020/21Outputs - environmentUndergrounding performanceLength of overhead lines removed</v>
      </c>
    </row>
    <row r="763" spans="1:22">
      <c r="A763" s="900" t="s">
        <v>126</v>
      </c>
      <c r="B763" s="900"/>
      <c r="C763" s="900" t="s">
        <v>1313</v>
      </c>
      <c r="D763" t="s">
        <v>430</v>
      </c>
      <c r="E763" t="s">
        <v>946</v>
      </c>
      <c r="F763" t="s">
        <v>1285</v>
      </c>
      <c r="G763">
        <v>14.83</v>
      </c>
      <c r="H763">
        <v>6.4700000000000006</v>
      </c>
      <c r="I763">
        <v>1.3900000000000001</v>
      </c>
      <c r="J763">
        <v>9.3939999999999996E-2</v>
      </c>
      <c r="K763">
        <v>0.32565999999999995</v>
      </c>
      <c r="L763">
        <v>0</v>
      </c>
      <c r="M763">
        <v>3.1555639999999996</v>
      </c>
      <c r="N763">
        <v>0</v>
      </c>
      <c r="O763">
        <v>0</v>
      </c>
      <c r="P763">
        <v>5.5922600000000005</v>
      </c>
      <c r="Q763">
        <v>0</v>
      </c>
      <c r="R763">
        <v>1.7625500000000001</v>
      </c>
      <c r="S763">
        <v>10.724</v>
      </c>
      <c r="T763">
        <v>0.9890000000000001</v>
      </c>
      <c r="U763">
        <f t="shared" si="82"/>
        <v>3.2380695714285714</v>
      </c>
      <c r="V763" t="str">
        <f t="shared" si="78"/>
        <v>2020/21Outputs - environmentUndergrounding performanceLength of underground lines installed</v>
      </c>
    </row>
    <row r="764" spans="1:22">
      <c r="A764" s="900" t="s">
        <v>126</v>
      </c>
      <c r="B764" s="900"/>
      <c r="C764" s="900" t="s">
        <v>1313</v>
      </c>
      <c r="D764" t="s">
        <v>430</v>
      </c>
      <c r="E764" t="s">
        <v>433</v>
      </c>
      <c r="F764" t="s">
        <v>1289</v>
      </c>
      <c r="G764">
        <v>1.8140695591279785</v>
      </c>
      <c r="H764">
        <v>1.8783002472464303</v>
      </c>
      <c r="I764">
        <v>0.68542388834813961</v>
      </c>
      <c r="J764">
        <v>7.5418751933425593E-2</v>
      </c>
      <c r="K764">
        <v>0.27660594152301249</v>
      </c>
      <c r="L764">
        <v>0</v>
      </c>
      <c r="M764">
        <v>0.16786754462601181</v>
      </c>
      <c r="N764">
        <v>0</v>
      </c>
      <c r="O764">
        <v>0.14882662583496817</v>
      </c>
      <c r="P764">
        <v>0.64191304695696239</v>
      </c>
      <c r="Q764">
        <v>1.1562967041631889</v>
      </c>
      <c r="R764">
        <v>0.51951448883939511</v>
      </c>
      <c r="S764">
        <v>0.17453597970404572</v>
      </c>
      <c r="T764">
        <v>7.2217823551928004E-2</v>
      </c>
      <c r="U764">
        <f t="shared" si="82"/>
        <v>0.54364218584682056</v>
      </c>
      <c r="V764" t="str">
        <f t="shared" si="78"/>
        <v>2020/21Outputs - environmentUndergrounding performanceUndergrounding expenditure (£m)</v>
      </c>
    </row>
    <row r="765" spans="1:22">
      <c r="A765" s="900" t="s">
        <v>142</v>
      </c>
      <c r="B765" s="900"/>
      <c r="C765" s="900" t="s">
        <v>1313</v>
      </c>
      <c r="D765" t="s">
        <v>430</v>
      </c>
      <c r="E765" t="s">
        <v>944</v>
      </c>
      <c r="F765" t="s">
        <v>1285</v>
      </c>
      <c r="G765" cm="1">
        <f t="array" ref="G765:T767">TRANSPOSE('Ch2 outputs - environment'!W176:Y189)</f>
        <v>5.6769999999999996</v>
      </c>
      <c r="H765">
        <v>13.99</v>
      </c>
      <c r="I765">
        <v>0</v>
      </c>
      <c r="J765">
        <v>6.2429999999999999E-2</v>
      </c>
      <c r="K765">
        <v>0.81237000000000004</v>
      </c>
      <c r="L765">
        <v>1.46004</v>
      </c>
      <c r="M765">
        <v>0.45227000000000001</v>
      </c>
      <c r="N765">
        <v>0</v>
      </c>
      <c r="O765">
        <v>0</v>
      </c>
      <c r="P765">
        <v>14.271829999999998</v>
      </c>
      <c r="Q765">
        <v>7.7417924221172898</v>
      </c>
      <c r="R765">
        <v>2.3686199999999999</v>
      </c>
      <c r="S765">
        <v>0</v>
      </c>
      <c r="T765">
        <v>3.9370000000000003</v>
      </c>
      <c r="U765">
        <f t="shared" ref="U765:U767" si="83">AVERAGE(G765:T765)</f>
        <v>3.6266680301512344</v>
      </c>
      <c r="V765" t="str">
        <f t="shared" ref="V765:V767" si="84">CONCATENATE(A765,B765,C765,D765,E765)</f>
        <v>2021/22Outputs - environmentUndergrounding performanceLength of overhead lines removed</v>
      </c>
    </row>
    <row r="766" spans="1:22">
      <c r="A766" s="900" t="s">
        <v>142</v>
      </c>
      <c r="B766" s="900"/>
      <c r="C766" s="900" t="s">
        <v>1313</v>
      </c>
      <c r="D766" t="s">
        <v>430</v>
      </c>
      <c r="E766" t="s">
        <v>946</v>
      </c>
      <c r="F766" t="s">
        <v>1285</v>
      </c>
      <c r="G766">
        <v>8.1059999999999999</v>
      </c>
      <c r="H766">
        <v>11.395</v>
      </c>
      <c r="I766">
        <v>0</v>
      </c>
      <c r="J766">
        <v>0</v>
      </c>
      <c r="K766">
        <v>1.2489999999999999E-2</v>
      </c>
      <c r="L766">
        <v>2.2430300000000001</v>
      </c>
      <c r="M766">
        <v>9.8229999999999998E-2</v>
      </c>
      <c r="N766">
        <v>0</v>
      </c>
      <c r="O766">
        <v>0</v>
      </c>
      <c r="P766">
        <v>10.65568</v>
      </c>
      <c r="Q766">
        <v>8.495136490721638</v>
      </c>
      <c r="R766">
        <v>0.28968317562000001</v>
      </c>
      <c r="S766">
        <v>0</v>
      </c>
      <c r="T766">
        <v>4.0149999999999997</v>
      </c>
      <c r="U766">
        <f t="shared" si="83"/>
        <v>3.2364464047386883</v>
      </c>
      <c r="V766" t="str">
        <f t="shared" si="84"/>
        <v>2021/22Outputs - environmentUndergrounding performanceLength of underground lines installed</v>
      </c>
    </row>
    <row r="767" spans="1:22">
      <c r="A767" s="900" t="s">
        <v>142</v>
      </c>
      <c r="B767" s="900"/>
      <c r="C767" s="900" t="s">
        <v>1313</v>
      </c>
      <c r="D767" t="s">
        <v>430</v>
      </c>
      <c r="E767" t="s">
        <v>433</v>
      </c>
      <c r="F767" t="s">
        <v>1289</v>
      </c>
      <c r="G767">
        <v>1.7091443208636479</v>
      </c>
      <c r="H767">
        <v>1.5035517692698628</v>
      </c>
      <c r="I767">
        <v>1.3891629307561795</v>
      </c>
      <c r="J767">
        <v>1.468027719E-2</v>
      </c>
      <c r="K767">
        <v>4.5433486000000002E-2</v>
      </c>
      <c r="L767">
        <v>0.4453976557799999</v>
      </c>
      <c r="M767">
        <v>0.15445977339999997</v>
      </c>
      <c r="N767">
        <v>0</v>
      </c>
      <c r="O767">
        <v>2.2792287787281821E-2</v>
      </c>
      <c r="P767">
        <v>2.2775498752169647</v>
      </c>
      <c r="Q767">
        <v>0.38586689185767542</v>
      </c>
      <c r="R767">
        <v>0.24469265271968194</v>
      </c>
      <c r="S767">
        <v>0.12655253999999999</v>
      </c>
      <c r="T767">
        <v>0.84150063999999991</v>
      </c>
      <c r="U767">
        <f t="shared" si="83"/>
        <v>0.65434179291723538</v>
      </c>
      <c r="V767" t="str">
        <f t="shared" si="84"/>
        <v>2021/22Outputs - environmentUndergrounding performanceUndergrounding expenditure (£m)</v>
      </c>
    </row>
    <row r="768" spans="1:22">
      <c r="A768" s="900" t="s">
        <v>137</v>
      </c>
      <c r="B768" s="900"/>
      <c r="C768" s="900" t="s">
        <v>1313</v>
      </c>
      <c r="D768" t="s">
        <v>1324</v>
      </c>
      <c r="E768" t="s">
        <v>522</v>
      </c>
      <c r="F768" t="s">
        <v>1309</v>
      </c>
      <c r="G768">
        <f t="array" ref="G768:T775">TRANSPOSE('Ch2 outputs - environment'!E295:L308)</f>
        <v>0</v>
      </c>
      <c r="H768">
        <v>0.75700000000000001</v>
      </c>
      <c r="I768">
        <v>0.72299999999999998</v>
      </c>
      <c r="J768">
        <v>0.93103999999999998</v>
      </c>
      <c r="K768">
        <v>2.10128</v>
      </c>
      <c r="L768">
        <v>0.26495999999999997</v>
      </c>
      <c r="M768">
        <v>0.52624000000000004</v>
      </c>
      <c r="N768">
        <v>0.73119999999999985</v>
      </c>
      <c r="O768">
        <v>1.4690800000000079</v>
      </c>
      <c r="P768">
        <v>2.2806000000000082</v>
      </c>
      <c r="Q768">
        <v>2.7073300000000007</v>
      </c>
      <c r="R768">
        <v>2.6960600000000081</v>
      </c>
      <c r="S768">
        <v>0</v>
      </c>
      <c r="T768">
        <v>0.4</v>
      </c>
      <c r="U768">
        <f t="shared" si="81"/>
        <v>1.1134135714285731</v>
      </c>
      <c r="V768" t="str">
        <f t="shared" si="78"/>
        <v>2015/16Outputs - environmentElectric Vehicles connected to the distribution (Secondary) networkEV slow charge</v>
      </c>
    </row>
    <row r="769" spans="1:22">
      <c r="A769" s="900" t="s">
        <v>137</v>
      </c>
      <c r="B769" s="900"/>
      <c r="C769" s="900" t="s">
        <v>1313</v>
      </c>
      <c r="D769" t="s">
        <v>1324</v>
      </c>
      <c r="E769" t="s">
        <v>523</v>
      </c>
      <c r="F769" t="s">
        <v>1309</v>
      </c>
      <c r="G769">
        <v>0</v>
      </c>
      <c r="H769">
        <v>2.347</v>
      </c>
      <c r="I769">
        <v>2.2229999999999999</v>
      </c>
      <c r="J769">
        <v>3.0733060000000001</v>
      </c>
      <c r="K769">
        <v>3.99533</v>
      </c>
      <c r="L769">
        <v>0.38041999999999998</v>
      </c>
      <c r="M769">
        <v>2.1286499999999999</v>
      </c>
      <c r="N769">
        <v>6.3309800000000021</v>
      </c>
      <c r="O769">
        <v>8.253359999999935</v>
      </c>
      <c r="P769">
        <v>12.880899999999874</v>
      </c>
      <c r="Q769">
        <v>0</v>
      </c>
      <c r="R769">
        <v>0</v>
      </c>
      <c r="S769">
        <v>0.4</v>
      </c>
      <c r="T769">
        <v>2.4</v>
      </c>
      <c r="U769">
        <f t="shared" si="81"/>
        <v>3.1723532857142724</v>
      </c>
      <c r="V769" t="str">
        <f t="shared" si="78"/>
        <v>2015/16Outputs - environmentElectric Vehicles connected to the distribution (Secondary) networkEV fast charge</v>
      </c>
    </row>
    <row r="770" spans="1:22">
      <c r="A770" s="900" t="s">
        <v>138</v>
      </c>
      <c r="B770" s="900"/>
      <c r="C770" s="900" t="s">
        <v>1313</v>
      </c>
      <c r="D770" t="s">
        <v>1324</v>
      </c>
      <c r="E770" t="s">
        <v>522</v>
      </c>
      <c r="F770" t="s">
        <v>1309</v>
      </c>
      <c r="G770">
        <v>0.63639999999999997</v>
      </c>
      <c r="H770">
        <v>0.35</v>
      </c>
      <c r="I770">
        <v>0.18</v>
      </c>
      <c r="J770">
        <v>0.28196000000000038</v>
      </c>
      <c r="K770">
        <v>0.35661000000000037</v>
      </c>
      <c r="L770">
        <v>8.7170000000000039E-2</v>
      </c>
      <c r="M770">
        <v>0.14448000000000014</v>
      </c>
      <c r="N770">
        <v>0.92057999999999951</v>
      </c>
      <c r="O770">
        <v>1.2110600000000038</v>
      </c>
      <c r="P770">
        <v>1.8348400000000102</v>
      </c>
      <c r="Q770">
        <v>1.4357634999999997</v>
      </c>
      <c r="R770">
        <v>1.4672160000000005</v>
      </c>
      <c r="S770">
        <v>0</v>
      </c>
      <c r="T770">
        <v>0.1</v>
      </c>
      <c r="U770">
        <f t="shared" si="81"/>
        <v>0.64329139285714387</v>
      </c>
      <c r="V770" t="str">
        <f t="shared" si="78"/>
        <v>2016/17Outputs - environmentElectric Vehicles connected to the distribution (Secondary) networkEV slow charge</v>
      </c>
    </row>
    <row r="771" spans="1:22">
      <c r="A771" s="900" t="s">
        <v>138</v>
      </c>
      <c r="B771" s="900"/>
      <c r="C771" s="900" t="s">
        <v>1313</v>
      </c>
      <c r="D771" t="s">
        <v>1324</v>
      </c>
      <c r="E771" t="s">
        <v>523</v>
      </c>
      <c r="F771" t="s">
        <v>1309</v>
      </c>
      <c r="G771">
        <v>3.024</v>
      </c>
      <c r="H771">
        <v>2.27</v>
      </c>
      <c r="I771">
        <v>2.76</v>
      </c>
      <c r="J771">
        <v>3.2932500000000036</v>
      </c>
      <c r="K771">
        <v>4.766879999999988</v>
      </c>
      <c r="L771">
        <v>0.90556999999999999</v>
      </c>
      <c r="M771">
        <v>1.3137100000000002</v>
      </c>
      <c r="N771">
        <v>5.3858800000000189</v>
      </c>
      <c r="O771">
        <v>7.9915599999998825</v>
      </c>
      <c r="P771">
        <v>17.203359999999936</v>
      </c>
      <c r="Q771">
        <v>0</v>
      </c>
      <c r="R771">
        <v>0</v>
      </c>
      <c r="S771">
        <v>0.37</v>
      </c>
      <c r="T771">
        <v>11.14</v>
      </c>
      <c r="U771">
        <f t="shared" si="81"/>
        <v>4.3160149999999877</v>
      </c>
      <c r="V771" t="str">
        <f t="shared" si="78"/>
        <v>2016/17Outputs - environmentElectric Vehicles connected to the distribution (Secondary) networkEV fast charge</v>
      </c>
    </row>
    <row r="772" spans="1:22">
      <c r="A772" s="900" t="s">
        <v>139</v>
      </c>
      <c r="B772" s="900"/>
      <c r="C772" s="900" t="s">
        <v>1313</v>
      </c>
      <c r="D772" t="s">
        <v>1324</v>
      </c>
      <c r="E772" t="s">
        <v>522</v>
      </c>
      <c r="F772" t="s">
        <v>1309</v>
      </c>
      <c r="G772">
        <v>0.3478</v>
      </c>
      <c r="H772">
        <v>0.60680000000000001</v>
      </c>
      <c r="I772">
        <v>0.41070000000000001</v>
      </c>
      <c r="J772">
        <v>0.87119999999999997</v>
      </c>
      <c r="K772">
        <v>1.2529999999999999</v>
      </c>
      <c r="L772">
        <v>0.184</v>
      </c>
      <c r="M772">
        <v>0.52600000000000002</v>
      </c>
      <c r="N772">
        <v>1.3723000000000021</v>
      </c>
      <c r="O772">
        <v>1.4088600000000091</v>
      </c>
      <c r="P772">
        <v>2.1503000000000152</v>
      </c>
      <c r="Q772">
        <v>0.25191600000000025</v>
      </c>
      <c r="R772">
        <v>0.29716000000000004</v>
      </c>
      <c r="S772">
        <v>0</v>
      </c>
      <c r="T772">
        <v>0.1317900000000001</v>
      </c>
      <c r="U772">
        <f t="shared" si="81"/>
        <v>0.70084471428571615</v>
      </c>
      <c r="V772" t="str">
        <f t="shared" si="78"/>
        <v>2017/18Outputs - environmentElectric Vehicles connected to the distribution (Secondary) networkEV slow charge</v>
      </c>
    </row>
    <row r="773" spans="1:22">
      <c r="A773" s="900" t="s">
        <v>139</v>
      </c>
      <c r="B773" s="900"/>
      <c r="C773" s="900" t="s">
        <v>1313</v>
      </c>
      <c r="D773" t="s">
        <v>1324</v>
      </c>
      <c r="E773" t="s">
        <v>523</v>
      </c>
      <c r="F773" t="s">
        <v>1309</v>
      </c>
      <c r="G773">
        <v>4.774</v>
      </c>
      <c r="H773">
        <v>3.16811</v>
      </c>
      <c r="I773">
        <v>3.11972</v>
      </c>
      <c r="J773">
        <v>6.36</v>
      </c>
      <c r="K773">
        <v>8.048</v>
      </c>
      <c r="L773">
        <v>1.653</v>
      </c>
      <c r="M773">
        <v>3.4394</v>
      </c>
      <c r="N773">
        <v>14.10676000000004</v>
      </c>
      <c r="O773">
        <v>14.757739999999814</v>
      </c>
      <c r="P773">
        <v>24.562099999999759</v>
      </c>
      <c r="Q773">
        <v>6.5550899999999928</v>
      </c>
      <c r="R773">
        <v>3.4699249999999906</v>
      </c>
      <c r="S773">
        <v>2.9657695000000004</v>
      </c>
      <c r="T773">
        <v>29.392286899999991</v>
      </c>
      <c r="U773">
        <f t="shared" si="81"/>
        <v>9.0265643857142557</v>
      </c>
      <c r="V773" t="str">
        <f t="shared" si="78"/>
        <v>2017/18Outputs - environmentElectric Vehicles connected to the distribution (Secondary) networkEV fast charge</v>
      </c>
    </row>
    <row r="774" spans="1:22">
      <c r="A774" s="900" t="s">
        <v>140</v>
      </c>
      <c r="B774" s="900"/>
      <c r="C774" s="900" t="s">
        <v>1313</v>
      </c>
      <c r="D774" t="s">
        <v>1324</v>
      </c>
      <c r="E774" t="s">
        <v>522</v>
      </c>
      <c r="F774" t="s">
        <v>1309</v>
      </c>
      <c r="G774">
        <v>1.4800000000000001E-2</v>
      </c>
      <c r="H774">
        <v>0.4069799999999994</v>
      </c>
      <c r="I774">
        <v>0.76446000000000158</v>
      </c>
      <c r="J774">
        <v>0.35</v>
      </c>
      <c r="K774">
        <v>0.56000000000000005</v>
      </c>
      <c r="L774">
        <v>0.121</v>
      </c>
      <c r="M774">
        <v>0.312</v>
      </c>
      <c r="N774">
        <v>3.2997199999999696</v>
      </c>
      <c r="O774">
        <v>1.2015200000000028</v>
      </c>
      <c r="P774">
        <v>1.8868600000000069</v>
      </c>
      <c r="Q774">
        <v>0.14720000000000016</v>
      </c>
      <c r="R774">
        <v>0.14421000000000014</v>
      </c>
      <c r="S774">
        <v>0</v>
      </c>
      <c r="T774">
        <v>2.3E-2</v>
      </c>
      <c r="U774">
        <f t="shared" ref="U774:U779" si="85">AVERAGE(G774:T774)</f>
        <v>0.65941071428571274</v>
      </c>
      <c r="V774" t="str">
        <f t="shared" si="78"/>
        <v>2018/19Outputs - environmentElectric Vehicles connected to the distribution (Secondary) networkEV slow charge</v>
      </c>
    </row>
    <row r="775" spans="1:22">
      <c r="A775" s="900" t="s">
        <v>140</v>
      </c>
      <c r="B775" s="900"/>
      <c r="C775" s="900" t="s">
        <v>1313</v>
      </c>
      <c r="D775" t="s">
        <v>1324</v>
      </c>
      <c r="E775" t="s">
        <v>523</v>
      </c>
      <c r="F775" t="s">
        <v>1309</v>
      </c>
      <c r="G775">
        <v>0.46899999999999997</v>
      </c>
      <c r="H775">
        <v>3.3569100000000125</v>
      </c>
      <c r="I775">
        <v>7.8285199999998252</v>
      </c>
      <c r="J775">
        <v>5.55</v>
      </c>
      <c r="K775">
        <v>7.17</v>
      </c>
      <c r="L775">
        <v>1.31</v>
      </c>
      <c r="M775">
        <v>2.52</v>
      </c>
      <c r="N775">
        <v>17.861779999999957</v>
      </c>
      <c r="O775">
        <v>22.859179999999832</v>
      </c>
      <c r="P775">
        <v>33.223160000000782</v>
      </c>
      <c r="Q775">
        <v>5.2007699999999897</v>
      </c>
      <c r="R775">
        <v>3.5098499999999957</v>
      </c>
      <c r="S775">
        <v>6.4189945999999978</v>
      </c>
      <c r="T775">
        <v>32.591622389499797</v>
      </c>
      <c r="U775">
        <f t="shared" si="85"/>
        <v>10.704984784964299</v>
      </c>
      <c r="V775" t="str">
        <f t="shared" si="78"/>
        <v>2018/19Outputs - environmentElectric Vehicles connected to the distribution (Secondary) networkEV fast charge</v>
      </c>
    </row>
    <row r="776" spans="1:22">
      <c r="A776" s="900" t="s">
        <v>141</v>
      </c>
      <c r="B776" s="900"/>
      <c r="C776" s="900" t="s">
        <v>1313</v>
      </c>
      <c r="D776" t="s">
        <v>1324</v>
      </c>
      <c r="E776" t="s">
        <v>522</v>
      </c>
      <c r="F776" t="s">
        <v>1309</v>
      </c>
      <c r="G776">
        <f t="array" ref="G776:T777">TRANSPOSE('Ch2 outputs - environment'!M295:N308)</f>
        <v>0.3</v>
      </c>
      <c r="H776">
        <v>5.9100000000000021E-2</v>
      </c>
      <c r="I776">
        <v>0.11459999999999995</v>
      </c>
      <c r="J776">
        <v>0.22</v>
      </c>
      <c r="K776">
        <v>0.36</v>
      </c>
      <c r="L776">
        <v>0.13</v>
      </c>
      <c r="M776">
        <v>0.15</v>
      </c>
      <c r="N776">
        <v>4.7933599999999013</v>
      </c>
      <c r="O776">
        <v>2.1047600000000068</v>
      </c>
      <c r="P776">
        <v>2.3475999999999977</v>
      </c>
      <c r="Q776">
        <v>4.0480000000000002E-2</v>
      </c>
      <c r="R776">
        <v>0.29207999999999967</v>
      </c>
      <c r="S776">
        <v>0</v>
      </c>
      <c r="T776">
        <v>2.3E-3</v>
      </c>
      <c r="U776">
        <f t="shared" si="85"/>
        <v>0.77959142857142183</v>
      </c>
      <c r="V776" t="str">
        <f t="shared" si="78"/>
        <v>2019/20Outputs - environmentElectric Vehicles connected to the distribution (Secondary) networkEV slow charge</v>
      </c>
    </row>
    <row r="777" spans="1:22">
      <c r="A777" s="900" t="s">
        <v>141</v>
      </c>
      <c r="B777" s="900"/>
      <c r="C777" s="900" t="s">
        <v>1313</v>
      </c>
      <c r="D777" t="s">
        <v>1324</v>
      </c>
      <c r="E777" t="s">
        <v>523</v>
      </c>
      <c r="F777" t="s">
        <v>1309</v>
      </c>
      <c r="G777">
        <v>6.6779999999999999</v>
      </c>
      <c r="H777">
        <v>6.2295999999998823</v>
      </c>
      <c r="I777">
        <v>7.3555399999998459</v>
      </c>
      <c r="J777">
        <v>10.94</v>
      </c>
      <c r="K777">
        <v>15.21</v>
      </c>
      <c r="L777">
        <v>2.73</v>
      </c>
      <c r="M777">
        <v>7.9</v>
      </c>
      <c r="N777">
        <v>28.176419999999911</v>
      </c>
      <c r="O777">
        <v>33.116180000000433</v>
      </c>
      <c r="P777">
        <v>51.050720000001633</v>
      </c>
      <c r="Q777">
        <v>10.068079999999897</v>
      </c>
      <c r="R777">
        <v>7.4832800000000042</v>
      </c>
      <c r="S777">
        <v>7.5089438000000026</v>
      </c>
      <c r="T777">
        <v>77.437648979002333</v>
      </c>
      <c r="U777">
        <f t="shared" si="85"/>
        <v>19.42031519850028</v>
      </c>
      <c r="V777" t="str">
        <f t="shared" si="78"/>
        <v>2019/20Outputs - environmentElectric Vehicles connected to the distribution (Secondary) networkEV fast charge</v>
      </c>
    </row>
    <row r="778" spans="1:22">
      <c r="A778" s="900" t="s">
        <v>126</v>
      </c>
      <c r="B778" s="900"/>
      <c r="C778" s="900" t="s">
        <v>1313</v>
      </c>
      <c r="D778" t="s">
        <v>1324</v>
      </c>
      <c r="E778" t="s">
        <v>522</v>
      </c>
      <c r="F778" t="s">
        <v>1309</v>
      </c>
      <c r="G778" cm="1">
        <f t="array" ref="G778:T779">TRANSPOSE('Ch2 outputs - environment'!O295:P308)</f>
        <v>3.6999999999999998E-2</v>
      </c>
      <c r="H778">
        <v>0.05</v>
      </c>
      <c r="I778">
        <v>0.06</v>
      </c>
      <c r="J778">
        <v>0.11181000000000001</v>
      </c>
      <c r="K778">
        <v>0.32501999999999998</v>
      </c>
      <c r="L778">
        <v>4.768E-2</v>
      </c>
      <c r="M778">
        <v>6.9760000000000003E-2</v>
      </c>
      <c r="N778">
        <v>7.0772599999998027</v>
      </c>
      <c r="O778">
        <v>2.061840000000001</v>
      </c>
      <c r="P778">
        <v>2.9894599999999785</v>
      </c>
      <c r="Q778">
        <v>7.3600000000000002E-3</v>
      </c>
      <c r="R778">
        <v>1.406E-2</v>
      </c>
      <c r="S778">
        <v>7.3600000000000002E-3</v>
      </c>
      <c r="T778">
        <v>4.7840000000000001E-2</v>
      </c>
      <c r="U778">
        <f t="shared" si="85"/>
        <v>0.92188928571427031</v>
      </c>
      <c r="V778" t="str">
        <f t="shared" si="78"/>
        <v>2020/21Outputs - environmentElectric Vehicles connected to the distribution (Secondary) networkEV slow charge</v>
      </c>
    </row>
    <row r="779" spans="1:22">
      <c r="A779" s="900" t="s">
        <v>126</v>
      </c>
      <c r="B779" s="900"/>
      <c r="C779" s="900" t="s">
        <v>1313</v>
      </c>
      <c r="D779" t="s">
        <v>1324</v>
      </c>
      <c r="E779" t="s">
        <v>523</v>
      </c>
      <c r="F779" t="s">
        <v>1309</v>
      </c>
      <c r="G779">
        <v>16.23</v>
      </c>
      <c r="H779">
        <v>12.03</v>
      </c>
      <c r="I779">
        <v>20.190000000000001</v>
      </c>
      <c r="J779">
        <v>16.138169999999999</v>
      </c>
      <c r="K779">
        <v>17.552060000000001</v>
      </c>
      <c r="L779">
        <v>3.8443400000000003</v>
      </c>
      <c r="M779">
        <v>7.1939500000000001</v>
      </c>
      <c r="N779">
        <v>31.425059999999874</v>
      </c>
      <c r="O779">
        <v>55.532600000002091</v>
      </c>
      <c r="P779">
        <v>94.803000000003436</v>
      </c>
      <c r="Q779">
        <v>10.22633799999987</v>
      </c>
      <c r="R779">
        <v>17.894250000000248</v>
      </c>
      <c r="S779">
        <v>3.6419596000000158</v>
      </c>
      <c r="T779">
        <v>20.518439270000655</v>
      </c>
      <c r="U779">
        <f t="shared" si="85"/>
        <v>23.372869062143302</v>
      </c>
      <c r="V779" t="str">
        <f t="shared" si="78"/>
        <v>2020/21Outputs - environmentElectric Vehicles connected to the distribution (Secondary) networkEV fast charge</v>
      </c>
    </row>
    <row r="780" spans="1:22">
      <c r="A780" s="900" t="s">
        <v>142</v>
      </c>
      <c r="B780" s="900"/>
      <c r="C780" s="900" t="s">
        <v>1313</v>
      </c>
      <c r="D780" t="s">
        <v>1324</v>
      </c>
      <c r="E780" t="s">
        <v>522</v>
      </c>
      <c r="F780" t="s">
        <v>1309</v>
      </c>
      <c r="G780" cm="1">
        <f t="array" ref="G780:T781">TRANSPOSE('Ch2 outputs - environment'!Q295:R308)</f>
        <v>1.1039999999999999E-2</v>
      </c>
      <c r="H780">
        <v>0.10630000000000001</v>
      </c>
      <c r="I780">
        <v>0.101844</v>
      </c>
      <c r="J780">
        <v>0.16</v>
      </c>
      <c r="K780">
        <v>0.24</v>
      </c>
      <c r="L780">
        <v>0.21</v>
      </c>
      <c r="M780">
        <v>0.04</v>
      </c>
      <c r="N780">
        <v>6.5035999999998095</v>
      </c>
      <c r="O780">
        <v>1.6266800000000048</v>
      </c>
      <c r="P780">
        <v>2.3458000000000045</v>
      </c>
      <c r="Q780">
        <v>0</v>
      </c>
      <c r="R780">
        <v>0.13931499999999999</v>
      </c>
      <c r="S780">
        <v>0</v>
      </c>
      <c r="T780">
        <v>0.11014700000000004</v>
      </c>
      <c r="U780">
        <f t="shared" ref="U780:U781" si="86">AVERAGE(G780:T780)</f>
        <v>0.82819471428570135</v>
      </c>
      <c r="V780" t="str">
        <f t="shared" ref="V780:V781" si="87">CONCATENATE(A780,B780,C780,D780,E780)</f>
        <v>2021/22Outputs - environmentElectric Vehicles connected to the distribution (Secondary) networkEV slow charge</v>
      </c>
    </row>
    <row r="781" spans="1:22">
      <c r="A781" s="900" t="s">
        <v>142</v>
      </c>
      <c r="B781" s="900"/>
      <c r="C781" s="900" t="s">
        <v>1313</v>
      </c>
      <c r="D781" t="s">
        <v>1324</v>
      </c>
      <c r="E781" t="s">
        <v>523</v>
      </c>
      <c r="F781" t="s">
        <v>1309</v>
      </c>
      <c r="G781">
        <v>76.159499999999994</v>
      </c>
      <c r="H781">
        <v>19.184719999999999</v>
      </c>
      <c r="I781">
        <v>32.974460000000001</v>
      </c>
      <c r="J781">
        <v>62.15</v>
      </c>
      <c r="K781">
        <v>67.73</v>
      </c>
      <c r="L781">
        <v>2</v>
      </c>
      <c r="M781">
        <v>27.69</v>
      </c>
      <c r="N781">
        <v>40.233679999999914</v>
      </c>
      <c r="O781">
        <v>77.982160000001855</v>
      </c>
      <c r="P781">
        <v>136.73669999999598</v>
      </c>
      <c r="Q781">
        <v>24.500937900000007</v>
      </c>
      <c r="R781">
        <v>20.156578700000004</v>
      </c>
      <c r="S781">
        <v>4.9195750999999914</v>
      </c>
      <c r="T781">
        <v>38.807564400001887</v>
      </c>
      <c r="U781">
        <f t="shared" si="86"/>
        <v>45.087562578571401</v>
      </c>
      <c r="V781" t="str">
        <f t="shared" si="87"/>
        <v>2021/22Outputs - environmentElectric Vehicles connected to the distribution (Secondary) networkEV fast charge</v>
      </c>
    </row>
    <row r="782" spans="1:22">
      <c r="A782" t="s">
        <v>132</v>
      </c>
      <c r="B782" s="900"/>
      <c r="C782" s="900" t="s">
        <v>1313</v>
      </c>
      <c r="D782" t="s">
        <v>91</v>
      </c>
      <c r="E782" t="s">
        <v>524</v>
      </c>
      <c r="F782" t="s">
        <v>1299</v>
      </c>
      <c r="G782">
        <f t="array" ref="G782:T790">TRANSPOSE('Ch2 outputs - environment'!E314:M327)</f>
        <v>0</v>
      </c>
      <c r="H782">
        <v>0</v>
      </c>
      <c r="I782">
        <v>0</v>
      </c>
      <c r="J782">
        <v>0</v>
      </c>
      <c r="K782">
        <v>0</v>
      </c>
      <c r="L782">
        <v>0</v>
      </c>
      <c r="M782">
        <v>0</v>
      </c>
      <c r="N782">
        <v>0</v>
      </c>
      <c r="O782">
        <v>20</v>
      </c>
      <c r="P782">
        <v>13</v>
      </c>
      <c r="Q782">
        <v>0</v>
      </c>
      <c r="R782">
        <v>0</v>
      </c>
      <c r="S782">
        <v>0</v>
      </c>
      <c r="T782">
        <v>0</v>
      </c>
      <c r="U782">
        <f t="shared" si="81"/>
        <v>2.3571428571428572</v>
      </c>
      <c r="V782" t="str">
        <f t="shared" si="78"/>
        <v>2010/11Outputs - environmentNoise complaintsNoise complaints in year</v>
      </c>
    </row>
    <row r="783" spans="1:22">
      <c r="A783" t="s">
        <v>133</v>
      </c>
      <c r="B783" s="900"/>
      <c r="C783" s="900" t="s">
        <v>1313</v>
      </c>
      <c r="D783" t="s">
        <v>91</v>
      </c>
      <c r="E783" t="s">
        <v>524</v>
      </c>
      <c r="F783" t="s">
        <v>1299</v>
      </c>
      <c r="G783">
        <v>0</v>
      </c>
      <c r="H783">
        <v>7</v>
      </c>
      <c r="I783">
        <v>7</v>
      </c>
      <c r="J783">
        <v>0</v>
      </c>
      <c r="K783">
        <v>0</v>
      </c>
      <c r="L783">
        <v>0</v>
      </c>
      <c r="M783">
        <v>0</v>
      </c>
      <c r="N783">
        <v>0</v>
      </c>
      <c r="O783">
        <v>3</v>
      </c>
      <c r="P783">
        <v>1</v>
      </c>
      <c r="Q783">
        <v>0</v>
      </c>
      <c r="R783">
        <v>0</v>
      </c>
      <c r="S783">
        <v>0</v>
      </c>
      <c r="T783">
        <v>0</v>
      </c>
      <c r="U783">
        <f t="shared" si="81"/>
        <v>1.2857142857142858</v>
      </c>
      <c r="V783" t="str">
        <f t="shared" si="78"/>
        <v>2011/12Outputs - environmentNoise complaintsNoise complaints in year</v>
      </c>
    </row>
    <row r="784" spans="1:22">
      <c r="A784" t="s">
        <v>134</v>
      </c>
      <c r="B784" s="900"/>
      <c r="C784" s="900" t="s">
        <v>1313</v>
      </c>
      <c r="D784" t="s">
        <v>91</v>
      </c>
      <c r="E784" t="s">
        <v>524</v>
      </c>
      <c r="F784" t="s">
        <v>1299</v>
      </c>
      <c r="G784">
        <v>0</v>
      </c>
      <c r="H784">
        <v>18</v>
      </c>
      <c r="I784">
        <v>19</v>
      </c>
      <c r="J784">
        <v>0</v>
      </c>
      <c r="K784">
        <v>0</v>
      </c>
      <c r="L784">
        <v>0</v>
      </c>
      <c r="M784">
        <v>0</v>
      </c>
      <c r="N784">
        <v>0</v>
      </c>
      <c r="O784">
        <v>5</v>
      </c>
      <c r="P784">
        <v>2</v>
      </c>
      <c r="Q784">
        <v>0</v>
      </c>
      <c r="R784">
        <v>0</v>
      </c>
      <c r="S784">
        <v>0</v>
      </c>
      <c r="T784">
        <v>0</v>
      </c>
      <c r="U784">
        <f t="shared" si="81"/>
        <v>3.1428571428571428</v>
      </c>
      <c r="V784" t="str">
        <f t="shared" si="78"/>
        <v>2012/13Outputs - environmentNoise complaintsNoise complaints in year</v>
      </c>
    </row>
    <row r="785" spans="1:22">
      <c r="A785" t="s">
        <v>135</v>
      </c>
      <c r="B785" s="900"/>
      <c r="C785" s="900" t="s">
        <v>1313</v>
      </c>
      <c r="D785" t="s">
        <v>91</v>
      </c>
      <c r="E785" t="s">
        <v>524</v>
      </c>
      <c r="F785" t="s">
        <v>1299</v>
      </c>
      <c r="G785">
        <v>0</v>
      </c>
      <c r="H785">
        <v>13</v>
      </c>
      <c r="I785">
        <v>17</v>
      </c>
      <c r="J785">
        <v>0</v>
      </c>
      <c r="K785">
        <v>0</v>
      </c>
      <c r="L785">
        <v>0</v>
      </c>
      <c r="M785">
        <v>0</v>
      </c>
      <c r="N785">
        <v>0</v>
      </c>
      <c r="O785">
        <v>9</v>
      </c>
      <c r="P785">
        <v>12</v>
      </c>
      <c r="Q785">
        <v>0</v>
      </c>
      <c r="R785">
        <v>0</v>
      </c>
      <c r="S785">
        <v>0</v>
      </c>
      <c r="T785">
        <v>0</v>
      </c>
      <c r="U785">
        <f t="shared" si="81"/>
        <v>3.6428571428571428</v>
      </c>
      <c r="V785" t="str">
        <f t="shared" si="78"/>
        <v>2013/14Outputs - environmentNoise complaintsNoise complaints in year</v>
      </c>
    </row>
    <row r="786" spans="1:22">
      <c r="A786" t="s">
        <v>136</v>
      </c>
      <c r="B786" s="900"/>
      <c r="C786" s="900" t="s">
        <v>1313</v>
      </c>
      <c r="D786" t="s">
        <v>91</v>
      </c>
      <c r="E786" t="s">
        <v>524</v>
      </c>
      <c r="F786" t="s">
        <v>1299</v>
      </c>
      <c r="G786">
        <v>0</v>
      </c>
      <c r="H786">
        <v>17</v>
      </c>
      <c r="I786">
        <v>26</v>
      </c>
      <c r="J786">
        <v>0</v>
      </c>
      <c r="K786">
        <v>0</v>
      </c>
      <c r="L786">
        <v>0</v>
      </c>
      <c r="M786">
        <v>0</v>
      </c>
      <c r="N786">
        <v>0</v>
      </c>
      <c r="O786">
        <v>13</v>
      </c>
      <c r="P786">
        <v>0</v>
      </c>
      <c r="Q786">
        <v>0</v>
      </c>
      <c r="R786">
        <v>0</v>
      </c>
      <c r="S786">
        <v>0</v>
      </c>
      <c r="T786">
        <v>0</v>
      </c>
      <c r="U786">
        <f t="shared" si="81"/>
        <v>4</v>
      </c>
      <c r="V786" t="str">
        <f t="shared" si="78"/>
        <v>2014/15Outputs - environmentNoise complaintsNoise complaints in year</v>
      </c>
    </row>
    <row r="787" spans="1:22">
      <c r="A787" t="s">
        <v>137</v>
      </c>
      <c r="B787" s="900"/>
      <c r="C787" s="900" t="s">
        <v>1313</v>
      </c>
      <c r="D787" t="s">
        <v>91</v>
      </c>
      <c r="E787" t="s">
        <v>524</v>
      </c>
      <c r="F787" t="s">
        <v>1299</v>
      </c>
      <c r="G787">
        <v>38</v>
      </c>
      <c r="H787">
        <v>14</v>
      </c>
      <c r="I787">
        <v>11</v>
      </c>
      <c r="J787">
        <v>0</v>
      </c>
      <c r="K787">
        <v>0</v>
      </c>
      <c r="L787">
        <v>0</v>
      </c>
      <c r="M787">
        <v>0</v>
      </c>
      <c r="N787">
        <v>10</v>
      </c>
      <c r="O787">
        <v>13</v>
      </c>
      <c r="P787">
        <v>22</v>
      </c>
      <c r="Q787">
        <v>0</v>
      </c>
      <c r="R787">
        <v>8</v>
      </c>
      <c r="S787">
        <v>0</v>
      </c>
      <c r="T787">
        <v>0</v>
      </c>
      <c r="U787">
        <f t="shared" si="81"/>
        <v>8.2857142857142865</v>
      </c>
      <c r="V787" t="str">
        <f t="shared" si="78"/>
        <v>2015/16Outputs - environmentNoise complaintsNoise complaints in year</v>
      </c>
    </row>
    <row r="788" spans="1:22">
      <c r="A788" t="s">
        <v>138</v>
      </c>
      <c r="B788" s="900"/>
      <c r="C788" s="900" t="s">
        <v>1313</v>
      </c>
      <c r="D788" t="s">
        <v>91</v>
      </c>
      <c r="E788" t="s">
        <v>524</v>
      </c>
      <c r="F788" t="s">
        <v>1299</v>
      </c>
      <c r="G788">
        <v>30</v>
      </c>
      <c r="H788">
        <v>16</v>
      </c>
      <c r="I788">
        <v>18</v>
      </c>
      <c r="J788">
        <v>6</v>
      </c>
      <c r="K788">
        <v>6</v>
      </c>
      <c r="L788">
        <v>5</v>
      </c>
      <c r="M788">
        <v>7</v>
      </c>
      <c r="N788">
        <v>9</v>
      </c>
      <c r="O788">
        <v>14</v>
      </c>
      <c r="P788">
        <v>19</v>
      </c>
      <c r="Q788">
        <v>0</v>
      </c>
      <c r="R788">
        <v>2</v>
      </c>
      <c r="S788">
        <v>4</v>
      </c>
      <c r="T788">
        <v>12</v>
      </c>
      <c r="U788">
        <f t="shared" si="81"/>
        <v>10.571428571428571</v>
      </c>
      <c r="V788" t="str">
        <f t="shared" si="78"/>
        <v>2016/17Outputs - environmentNoise complaintsNoise complaints in year</v>
      </c>
    </row>
    <row r="789" spans="1:22">
      <c r="A789" t="s">
        <v>139</v>
      </c>
      <c r="B789" s="900"/>
      <c r="C789" s="900" t="s">
        <v>1313</v>
      </c>
      <c r="D789" t="s">
        <v>91</v>
      </c>
      <c r="E789" t="s">
        <v>524</v>
      </c>
      <c r="F789" t="s">
        <v>1299</v>
      </c>
      <c r="G789">
        <v>19</v>
      </c>
      <c r="H789">
        <v>17</v>
      </c>
      <c r="I789">
        <v>27</v>
      </c>
      <c r="J789">
        <v>4</v>
      </c>
      <c r="K789">
        <v>7</v>
      </c>
      <c r="L789">
        <v>1</v>
      </c>
      <c r="M789">
        <v>6</v>
      </c>
      <c r="N789">
        <v>6</v>
      </c>
      <c r="O789">
        <v>15</v>
      </c>
      <c r="P789">
        <v>14</v>
      </c>
      <c r="Q789">
        <v>4</v>
      </c>
      <c r="R789">
        <v>5</v>
      </c>
      <c r="S789">
        <v>4</v>
      </c>
      <c r="T789">
        <v>10</v>
      </c>
      <c r="U789">
        <f t="shared" si="81"/>
        <v>9.9285714285714288</v>
      </c>
      <c r="V789" t="str">
        <f t="shared" si="78"/>
        <v>2017/18Outputs - environmentNoise complaintsNoise complaints in year</v>
      </c>
    </row>
    <row r="790" spans="1:22">
      <c r="A790" t="s">
        <v>140</v>
      </c>
      <c r="B790" s="900"/>
      <c r="C790" s="900" t="s">
        <v>1313</v>
      </c>
      <c r="D790" t="s">
        <v>91</v>
      </c>
      <c r="E790" t="s">
        <v>524</v>
      </c>
      <c r="F790" t="s">
        <v>1299</v>
      </c>
      <c r="G790">
        <v>40</v>
      </c>
      <c r="H790">
        <v>23</v>
      </c>
      <c r="I790">
        <v>16</v>
      </c>
      <c r="J790">
        <v>2</v>
      </c>
      <c r="K790">
        <v>5</v>
      </c>
      <c r="L790">
        <v>6</v>
      </c>
      <c r="M790">
        <v>3</v>
      </c>
      <c r="N790">
        <v>7</v>
      </c>
      <c r="O790">
        <v>7</v>
      </c>
      <c r="P790">
        <v>12</v>
      </c>
      <c r="Q790">
        <v>1</v>
      </c>
      <c r="R790">
        <v>0</v>
      </c>
      <c r="S790">
        <v>1</v>
      </c>
      <c r="T790">
        <v>6</v>
      </c>
      <c r="U790">
        <f>AVERAGE(G790:T790)</f>
        <v>9.2142857142857135</v>
      </c>
      <c r="V790" t="str">
        <f t="shared" si="78"/>
        <v>2018/19Outputs - environmentNoise complaintsNoise complaints in year</v>
      </c>
    </row>
    <row r="791" spans="1:22">
      <c r="A791" t="s">
        <v>141</v>
      </c>
      <c r="B791" s="900"/>
      <c r="C791" s="900" t="s">
        <v>1313</v>
      </c>
      <c r="D791" t="s">
        <v>91</v>
      </c>
      <c r="E791" t="s">
        <v>524</v>
      </c>
      <c r="F791" t="s">
        <v>1299</v>
      </c>
      <c r="G791">
        <f t="array" ref="G791:T791">TRANSPOSE('Ch2 outputs - environment'!N314:N327)</f>
        <v>16</v>
      </c>
      <c r="H791">
        <v>16</v>
      </c>
      <c r="I791">
        <v>19</v>
      </c>
      <c r="J791">
        <v>1</v>
      </c>
      <c r="K791">
        <v>3</v>
      </c>
      <c r="L791">
        <v>1</v>
      </c>
      <c r="M791">
        <v>11</v>
      </c>
      <c r="N791">
        <v>6</v>
      </c>
      <c r="O791">
        <v>22</v>
      </c>
      <c r="P791">
        <v>15</v>
      </c>
      <c r="Q791">
        <v>2</v>
      </c>
      <c r="R791">
        <v>5</v>
      </c>
      <c r="S791">
        <v>2</v>
      </c>
      <c r="T791">
        <v>6</v>
      </c>
      <c r="U791">
        <f>AVERAGE(G791:T791)</f>
        <v>8.9285714285714288</v>
      </c>
      <c r="V791" t="str">
        <f t="shared" si="78"/>
        <v>2019/20Outputs - environmentNoise complaintsNoise complaints in year</v>
      </c>
    </row>
    <row r="792" spans="1:22">
      <c r="A792" t="s">
        <v>126</v>
      </c>
      <c r="B792" s="900"/>
      <c r="C792" s="900" t="s">
        <v>1313</v>
      </c>
      <c r="D792" t="s">
        <v>91</v>
      </c>
      <c r="E792" t="s">
        <v>524</v>
      </c>
      <c r="F792" t="s">
        <v>1299</v>
      </c>
      <c r="G792" cm="1">
        <f t="array" ref="G792:T792">TRANSPOSE('Ch2 outputs - environment'!O314:O327)</f>
        <v>1</v>
      </c>
      <c r="H792">
        <v>28</v>
      </c>
      <c r="I792">
        <v>39</v>
      </c>
      <c r="J792">
        <v>6</v>
      </c>
      <c r="K792">
        <v>4</v>
      </c>
      <c r="L792">
        <v>5</v>
      </c>
      <c r="M792">
        <v>11</v>
      </c>
      <c r="N792">
        <v>20</v>
      </c>
      <c r="O792">
        <v>30</v>
      </c>
      <c r="P792">
        <v>30</v>
      </c>
      <c r="Q792">
        <v>1</v>
      </c>
      <c r="R792">
        <v>4</v>
      </c>
      <c r="S792">
        <v>4</v>
      </c>
      <c r="T792">
        <v>6</v>
      </c>
      <c r="U792">
        <f>AVERAGE(G792:T792)</f>
        <v>13.5</v>
      </c>
      <c r="V792" t="str">
        <f t="shared" si="78"/>
        <v>2020/21Outputs - environmentNoise complaintsNoise complaints in year</v>
      </c>
    </row>
    <row r="793" spans="1:22">
      <c r="A793" t="s">
        <v>142</v>
      </c>
      <c r="B793" s="900"/>
      <c r="C793" s="900" t="s">
        <v>1313</v>
      </c>
      <c r="D793" t="s">
        <v>91</v>
      </c>
      <c r="E793" t="s">
        <v>524</v>
      </c>
      <c r="F793" t="s">
        <v>1299</v>
      </c>
      <c r="G793" cm="1">
        <f t="array" ref="G793:T793">TRANSPOSE('Ch2 outputs - environment'!P314:P327)</f>
        <v>18</v>
      </c>
      <c r="H793">
        <v>21</v>
      </c>
      <c r="I793">
        <v>26</v>
      </c>
      <c r="J793">
        <v>6</v>
      </c>
      <c r="K793">
        <v>2</v>
      </c>
      <c r="L793">
        <v>2</v>
      </c>
      <c r="M793">
        <v>10</v>
      </c>
      <c r="N793">
        <v>5</v>
      </c>
      <c r="O793">
        <v>15</v>
      </c>
      <c r="P793">
        <v>17</v>
      </c>
      <c r="Q793">
        <v>2</v>
      </c>
      <c r="R793">
        <v>1</v>
      </c>
      <c r="S793">
        <v>6</v>
      </c>
      <c r="T793">
        <v>10</v>
      </c>
      <c r="U793">
        <f>AVERAGE(G793:T793)</f>
        <v>10.071428571428571</v>
      </c>
      <c r="V793" t="str">
        <f t="shared" ref="V793" si="88">CONCATENATE(A793,B793,C793,D793,E793)</f>
        <v>2021/22Outputs - environmentNoise complaintsNoise complaints in year</v>
      </c>
    </row>
    <row r="794" spans="1:22">
      <c r="A794" s="900" t="s">
        <v>137</v>
      </c>
      <c r="B794" s="900"/>
      <c r="C794" s="900" t="s">
        <v>1325</v>
      </c>
      <c r="D794" t="s">
        <v>377</v>
      </c>
      <c r="E794" t="s">
        <v>375</v>
      </c>
      <c r="F794" s="900" t="s">
        <v>1299</v>
      </c>
      <c r="G794">
        <f t="array" ref="G794:T817">TRANSPOSE('Ch2 outputs - cust sat'!E23:AB36)</f>
        <v>8.08</v>
      </c>
      <c r="H794">
        <v>8.68</v>
      </c>
      <c r="I794">
        <v>8.69</v>
      </c>
      <c r="J794">
        <v>8.8800000000000008</v>
      </c>
      <c r="K794">
        <v>8.9700000000000006</v>
      </c>
      <c r="L794">
        <v>9.14</v>
      </c>
      <c r="M794">
        <v>8.86</v>
      </c>
      <c r="N794">
        <v>8.52</v>
      </c>
      <c r="O794">
        <v>8.6300000000000008</v>
      </c>
      <c r="P794">
        <v>8.8800000000000008</v>
      </c>
      <c r="Q794">
        <v>8.7899999999999991</v>
      </c>
      <c r="R794">
        <v>8.86</v>
      </c>
      <c r="S794">
        <v>9.06</v>
      </c>
      <c r="T794">
        <v>8.39</v>
      </c>
      <c r="U794">
        <f t="shared" si="81"/>
        <v>8.7449999999999992</v>
      </c>
      <c r="V794" t="str">
        <f t="shared" si="78"/>
        <v>2015/16Outputs - cust satAnnual customer satisfaction score by DNO per category (out of 10)Interruptions</v>
      </c>
    </row>
    <row r="795" spans="1:22">
      <c r="A795" s="900" t="s">
        <v>137</v>
      </c>
      <c r="B795" s="900"/>
      <c r="C795" s="900" t="s">
        <v>1325</v>
      </c>
      <c r="D795" t="s">
        <v>377</v>
      </c>
      <c r="E795" t="s">
        <v>61</v>
      </c>
      <c r="F795" s="900" t="s">
        <v>1299</v>
      </c>
      <c r="G795">
        <v>7.75</v>
      </c>
      <c r="H795">
        <v>8.0299999999999994</v>
      </c>
      <c r="I795">
        <v>7.95</v>
      </c>
      <c r="J795">
        <v>8.6999999999999993</v>
      </c>
      <c r="K795">
        <v>8.7899999999999991</v>
      </c>
      <c r="L795">
        <v>8.75</v>
      </c>
      <c r="M795">
        <v>8.73</v>
      </c>
      <c r="N795">
        <v>8.1300000000000008</v>
      </c>
      <c r="O795">
        <v>8.34</v>
      </c>
      <c r="P795">
        <v>8.1</v>
      </c>
      <c r="Q795">
        <v>8.36</v>
      </c>
      <c r="R795">
        <v>8.43</v>
      </c>
      <c r="S795">
        <v>8.5500000000000007</v>
      </c>
      <c r="T795">
        <v>7.88</v>
      </c>
      <c r="U795">
        <f t="shared" si="81"/>
        <v>8.3207142857142848</v>
      </c>
      <c r="V795" t="str">
        <f t="shared" si="78"/>
        <v>2015/16Outputs - cust satAnnual customer satisfaction score by DNO per category (out of 10)Connections</v>
      </c>
    </row>
    <row r="796" spans="1:22">
      <c r="A796" s="900" t="s">
        <v>137</v>
      </c>
      <c r="B796" s="900"/>
      <c r="C796" s="900" t="s">
        <v>1325</v>
      </c>
      <c r="D796" t="s">
        <v>377</v>
      </c>
      <c r="E796" t="s">
        <v>376</v>
      </c>
      <c r="F796" s="900" t="s">
        <v>1299</v>
      </c>
      <c r="G796">
        <v>8.52</v>
      </c>
      <c r="H796">
        <v>8.93</v>
      </c>
      <c r="I796">
        <v>8.76</v>
      </c>
      <c r="J796">
        <v>9.14</v>
      </c>
      <c r="K796">
        <v>9.35</v>
      </c>
      <c r="L796">
        <v>9.2899999999999991</v>
      </c>
      <c r="M796">
        <v>9.18</v>
      </c>
      <c r="N796">
        <v>8.86</v>
      </c>
      <c r="O796">
        <v>9.1199999999999992</v>
      </c>
      <c r="P796">
        <v>9.16</v>
      </c>
      <c r="Q796">
        <v>8.84</v>
      </c>
      <c r="R796">
        <v>9.24</v>
      </c>
      <c r="S796">
        <v>8.7200000000000006</v>
      </c>
      <c r="T796">
        <v>8.5299999999999994</v>
      </c>
      <c r="U796">
        <f t="shared" si="81"/>
        <v>8.9742857142857151</v>
      </c>
      <c r="V796" t="str">
        <f t="shared" si="78"/>
        <v>2015/16Outputs - cust satAnnual customer satisfaction score by DNO per category (out of 10)General Enquiries</v>
      </c>
    </row>
    <row r="797" spans="1:22">
      <c r="A797" s="900" t="s">
        <v>137</v>
      </c>
      <c r="B797" s="900"/>
      <c r="C797" s="900" t="s">
        <v>1325</v>
      </c>
      <c r="D797" t="s">
        <v>377</v>
      </c>
      <c r="E797" t="s">
        <v>327</v>
      </c>
      <c r="F797" s="900" t="s">
        <v>1299</v>
      </c>
      <c r="G797">
        <v>8.0030000000000001</v>
      </c>
      <c r="H797">
        <v>8.4049999999999994</v>
      </c>
      <c r="I797">
        <v>8.3339999999999996</v>
      </c>
      <c r="J797">
        <v>8.8419999999999987</v>
      </c>
      <c r="K797">
        <v>8.9559999999999995</v>
      </c>
      <c r="L797">
        <v>8.9749999999999996</v>
      </c>
      <c r="M797">
        <v>8.859</v>
      </c>
      <c r="N797">
        <v>8.3930000000000007</v>
      </c>
      <c r="O797">
        <v>8.5830000000000002</v>
      </c>
      <c r="P797">
        <v>8.5460000000000012</v>
      </c>
      <c r="Q797">
        <v>8.5849999999999991</v>
      </c>
      <c r="R797">
        <v>8.7210000000000001</v>
      </c>
      <c r="S797">
        <v>8.7370000000000001</v>
      </c>
      <c r="T797">
        <v>8.1630000000000003</v>
      </c>
      <c r="U797">
        <f t="shared" si="81"/>
        <v>8.5787142857142857</v>
      </c>
      <c r="V797" t="str">
        <f t="shared" si="78"/>
        <v>2015/16Outputs - cust satAnnual customer satisfaction score by DNO per category (out of 10)Overall</v>
      </c>
    </row>
    <row r="798" spans="1:22">
      <c r="A798" s="900" t="s">
        <v>137</v>
      </c>
      <c r="B798" s="900"/>
      <c r="C798" s="900" t="s">
        <v>1325</v>
      </c>
      <c r="D798" t="s">
        <v>377</v>
      </c>
      <c r="E798" t="s">
        <v>339</v>
      </c>
      <c r="F798" s="900" t="s">
        <v>1296</v>
      </c>
      <c r="G798" t="str">
        <v>Amber</v>
      </c>
      <c r="H798" t="str">
        <v>Green</v>
      </c>
      <c r="I798" t="str">
        <v>Green</v>
      </c>
      <c r="J798" t="str">
        <v>Green</v>
      </c>
      <c r="K798" t="str">
        <v>Green</v>
      </c>
      <c r="L798" t="str">
        <v>Green</v>
      </c>
      <c r="M798" t="str">
        <v>Green</v>
      </c>
      <c r="N798" t="str">
        <v>Green</v>
      </c>
      <c r="O798" t="str">
        <v>Green</v>
      </c>
      <c r="P798" t="str">
        <v>Green</v>
      </c>
      <c r="Q798" t="str">
        <v>Green</v>
      </c>
      <c r="R798" t="str">
        <v>Green</v>
      </c>
      <c r="S798" t="str">
        <v>Green</v>
      </c>
      <c r="T798" t="str">
        <v>Amber</v>
      </c>
      <c r="U798" t="s">
        <v>1297</v>
      </c>
      <c r="V798" t="str">
        <f t="shared" si="78"/>
        <v>2015/16Outputs - cust satAnnual customer satisfaction score by DNO per category (out of 10)RAG</v>
      </c>
    </row>
    <row r="799" spans="1:22">
      <c r="A799" s="900" t="s">
        <v>137</v>
      </c>
      <c r="B799" s="900"/>
      <c r="C799" s="900" t="s">
        <v>1325</v>
      </c>
      <c r="D799" t="s">
        <v>377</v>
      </c>
      <c r="E799" t="s">
        <v>63</v>
      </c>
      <c r="F799" s="900" t="s">
        <v>1299</v>
      </c>
      <c r="G799">
        <v>14</v>
      </c>
      <c r="H799">
        <v>10</v>
      </c>
      <c r="I799">
        <v>12</v>
      </c>
      <c r="J799">
        <v>4</v>
      </c>
      <c r="K799">
        <v>2</v>
      </c>
      <c r="L799">
        <v>1</v>
      </c>
      <c r="M799">
        <v>3</v>
      </c>
      <c r="N799">
        <v>11</v>
      </c>
      <c r="O799">
        <v>8</v>
      </c>
      <c r="P799">
        <v>9</v>
      </c>
      <c r="Q799">
        <v>7</v>
      </c>
      <c r="R799">
        <v>6</v>
      </c>
      <c r="S799">
        <v>5</v>
      </c>
      <c r="T799">
        <v>13</v>
      </c>
      <c r="U799">
        <f>AVERAGE(G799:T799)</f>
        <v>7.5</v>
      </c>
      <c r="V799" t="str">
        <f t="shared" si="78"/>
        <v>2015/16Outputs - cust satAnnual customer satisfaction score by DNO per category (out of 10)Ranking</v>
      </c>
    </row>
    <row r="800" spans="1:22">
      <c r="A800" s="900" t="s">
        <v>138</v>
      </c>
      <c r="B800" s="900"/>
      <c r="C800" s="900" t="s">
        <v>1325</v>
      </c>
      <c r="D800" t="s">
        <v>377</v>
      </c>
      <c r="E800" t="s">
        <v>375</v>
      </c>
      <c r="F800" s="900" t="s">
        <v>1299</v>
      </c>
      <c r="G800">
        <v>8.1788000000000007</v>
      </c>
      <c r="H800">
        <v>8.8097999999999992</v>
      </c>
      <c r="I800">
        <v>8.7253000000000007</v>
      </c>
      <c r="J800">
        <v>8.98</v>
      </c>
      <c r="K800">
        <v>9.02</v>
      </c>
      <c r="L800">
        <v>9.07</v>
      </c>
      <c r="M800">
        <v>8.92</v>
      </c>
      <c r="N800">
        <v>8.5501000000000005</v>
      </c>
      <c r="O800">
        <v>8.7692999999999994</v>
      </c>
      <c r="P800">
        <v>8.8178000000000001</v>
      </c>
      <c r="Q800">
        <v>8.7406000000000006</v>
      </c>
      <c r="R800">
        <v>8.7349999999999994</v>
      </c>
      <c r="S800">
        <v>9.15</v>
      </c>
      <c r="T800">
        <v>8.7100000000000009</v>
      </c>
      <c r="U800">
        <f>AVERAGE(G800:T800)</f>
        <v>8.7983357142857148</v>
      </c>
      <c r="V800" t="str">
        <f t="shared" si="78"/>
        <v>2016/17Outputs - cust satAnnual customer satisfaction score by DNO per category (out of 10)Interruptions</v>
      </c>
    </row>
    <row r="801" spans="1:22">
      <c r="A801" s="900" t="s">
        <v>138</v>
      </c>
      <c r="B801" s="900"/>
      <c r="C801" s="900" t="s">
        <v>1325</v>
      </c>
      <c r="D801" t="s">
        <v>377</v>
      </c>
      <c r="E801" t="s">
        <v>61</v>
      </c>
      <c r="F801" s="900" t="s">
        <v>1299</v>
      </c>
      <c r="G801">
        <v>8.2402999999999995</v>
      </c>
      <c r="H801">
        <v>8.4809000000000001</v>
      </c>
      <c r="I801">
        <v>8.4331999999999994</v>
      </c>
      <c r="J801">
        <v>8.66</v>
      </c>
      <c r="K801">
        <v>8.7799999999999994</v>
      </c>
      <c r="L801">
        <v>8.68</v>
      </c>
      <c r="M801">
        <v>8.77</v>
      </c>
      <c r="N801">
        <v>8.4166000000000007</v>
      </c>
      <c r="O801">
        <v>8.4118999999999993</v>
      </c>
      <c r="P801">
        <v>8.18</v>
      </c>
      <c r="Q801">
        <v>8.4311000000000007</v>
      </c>
      <c r="R801">
        <v>8.6807999999999996</v>
      </c>
      <c r="S801">
        <v>8.5299999999999994</v>
      </c>
      <c r="T801">
        <v>8.1</v>
      </c>
      <c r="U801">
        <f>AVERAGE(G801:T801)</f>
        <v>8.4853428571428573</v>
      </c>
      <c r="V801" t="str">
        <f t="shared" si="78"/>
        <v>2016/17Outputs - cust satAnnual customer satisfaction score by DNO per category (out of 10)Connections</v>
      </c>
    </row>
    <row r="802" spans="1:22">
      <c r="A802" s="900" t="s">
        <v>138</v>
      </c>
      <c r="B802" s="900"/>
      <c r="C802" s="900" t="s">
        <v>1325</v>
      </c>
      <c r="D802" t="s">
        <v>377</v>
      </c>
      <c r="E802" t="s">
        <v>376</v>
      </c>
      <c r="F802" s="900" t="s">
        <v>1299</v>
      </c>
      <c r="G802">
        <v>8.7477999999999998</v>
      </c>
      <c r="H802">
        <v>9.0074000000000005</v>
      </c>
      <c r="I802">
        <v>8.7674000000000003</v>
      </c>
      <c r="J802">
        <v>9.1999999999999993</v>
      </c>
      <c r="K802">
        <v>9.32</v>
      </c>
      <c r="L802">
        <v>9.15</v>
      </c>
      <c r="M802">
        <v>9.24</v>
      </c>
      <c r="N802">
        <v>9.3042999999999996</v>
      </c>
      <c r="O802">
        <v>9.2622</v>
      </c>
      <c r="P802">
        <v>9.3541000000000007</v>
      </c>
      <c r="Q802">
        <v>9.0449999999999999</v>
      </c>
      <c r="R802">
        <v>9.2988999999999997</v>
      </c>
      <c r="S802">
        <v>9.06</v>
      </c>
      <c r="T802">
        <v>8.5399999999999991</v>
      </c>
      <c r="U802">
        <f>AVERAGE(G802:T802)</f>
        <v>9.0926500000000008</v>
      </c>
      <c r="V802" t="str">
        <f t="shared" si="78"/>
        <v>2016/17Outputs - cust satAnnual customer satisfaction score by DNO per category (out of 10)General Enquiries</v>
      </c>
    </row>
    <row r="803" spans="1:22">
      <c r="A803" s="900" t="s">
        <v>138</v>
      </c>
      <c r="B803" s="900"/>
      <c r="C803" s="900" t="s">
        <v>1325</v>
      </c>
      <c r="D803" t="s">
        <v>377</v>
      </c>
      <c r="E803" t="s">
        <v>327</v>
      </c>
      <c r="F803" s="900" t="s">
        <v>1299</v>
      </c>
      <c r="G803">
        <v>8.3233499999999996</v>
      </c>
      <c r="H803">
        <v>8.6848700000000001</v>
      </c>
      <c r="I803">
        <v>8.5876699999999992</v>
      </c>
      <c r="J803">
        <v>8.8640000000000008</v>
      </c>
      <c r="K803">
        <v>8.9600000000000009</v>
      </c>
      <c r="L803">
        <v>8.891</v>
      </c>
      <c r="M803">
        <v>8.9090000000000007</v>
      </c>
      <c r="N803">
        <v>8.6341900000000003</v>
      </c>
      <c r="O803">
        <v>8.6891799999999986</v>
      </c>
      <c r="P803">
        <v>8.6061599999999991</v>
      </c>
      <c r="Q803">
        <v>8.6467300000000016</v>
      </c>
      <c r="R803">
        <v>8.8206799999999994</v>
      </c>
      <c r="S803">
        <v>8.8219999999999992</v>
      </c>
      <c r="T803">
        <v>8.3710000000000004</v>
      </c>
      <c r="U803">
        <f>AVERAGE(G803:T803)</f>
        <v>8.7007021428571427</v>
      </c>
      <c r="V803" t="str">
        <f t="shared" si="78"/>
        <v>2016/17Outputs - cust satAnnual customer satisfaction score by DNO per category (out of 10)Overall</v>
      </c>
    </row>
    <row r="804" spans="1:22">
      <c r="A804" s="900" t="s">
        <v>138</v>
      </c>
      <c r="B804" s="900"/>
      <c r="C804" s="900" t="s">
        <v>1325</v>
      </c>
      <c r="D804" t="s">
        <v>377</v>
      </c>
      <c r="E804" t="s">
        <v>339</v>
      </c>
      <c r="F804" s="900" t="s">
        <v>1296</v>
      </c>
      <c r="G804" t="str">
        <v>Green</v>
      </c>
      <c r="H804" t="str">
        <v>Green</v>
      </c>
      <c r="I804" t="str">
        <v>Green</v>
      </c>
      <c r="J804" t="str">
        <v>Green</v>
      </c>
      <c r="K804" t="str">
        <v>Green</v>
      </c>
      <c r="L804" t="str">
        <v>Green</v>
      </c>
      <c r="M804" t="str">
        <v>Green</v>
      </c>
      <c r="N804" t="str">
        <v>Green</v>
      </c>
      <c r="O804" t="str">
        <v>Green</v>
      </c>
      <c r="P804" t="str">
        <v>Green</v>
      </c>
      <c r="Q804" t="str">
        <v>Green</v>
      </c>
      <c r="R804" t="str">
        <v>Green</v>
      </c>
      <c r="S804" t="str">
        <v>Green</v>
      </c>
      <c r="T804" t="str">
        <v>Green</v>
      </c>
      <c r="U804" t="s">
        <v>1297</v>
      </c>
      <c r="V804" t="str">
        <f t="shared" ref="V804:V873" si="89">CONCATENATE(A804,B804,C804,D804,E804)</f>
        <v>2016/17Outputs - cust satAnnual customer satisfaction score by DNO per category (out of 10)RAG</v>
      </c>
    </row>
    <row r="805" spans="1:22">
      <c r="A805" s="900" t="s">
        <v>138</v>
      </c>
      <c r="B805" s="900"/>
      <c r="C805" s="900" t="s">
        <v>1325</v>
      </c>
      <c r="D805" t="s">
        <v>377</v>
      </c>
      <c r="E805" t="s">
        <v>63</v>
      </c>
      <c r="F805" s="900" t="s">
        <v>1299</v>
      </c>
      <c r="G805">
        <v>14</v>
      </c>
      <c r="H805">
        <v>8</v>
      </c>
      <c r="I805">
        <v>12</v>
      </c>
      <c r="J805">
        <v>4</v>
      </c>
      <c r="K805">
        <v>1</v>
      </c>
      <c r="L805">
        <v>3</v>
      </c>
      <c r="M805">
        <v>2</v>
      </c>
      <c r="N805">
        <v>10</v>
      </c>
      <c r="O805">
        <v>7</v>
      </c>
      <c r="P805">
        <v>11</v>
      </c>
      <c r="Q805">
        <v>9</v>
      </c>
      <c r="R805">
        <v>6</v>
      </c>
      <c r="S805">
        <v>5</v>
      </c>
      <c r="T805">
        <v>13</v>
      </c>
      <c r="U805">
        <f>AVERAGE(G805:T805)</f>
        <v>7.5</v>
      </c>
      <c r="V805" t="str">
        <f t="shared" si="89"/>
        <v>2016/17Outputs - cust satAnnual customer satisfaction score by DNO per category (out of 10)Ranking</v>
      </c>
    </row>
    <row r="806" spans="1:22">
      <c r="A806" s="900" t="s">
        <v>139</v>
      </c>
      <c r="B806" s="900"/>
      <c r="C806" s="900" t="s">
        <v>1325</v>
      </c>
      <c r="D806" t="s">
        <v>377</v>
      </c>
      <c r="E806" t="s">
        <v>375</v>
      </c>
      <c r="F806" s="900" t="s">
        <v>1299</v>
      </c>
      <c r="G806">
        <v>8.3228000000000009</v>
      </c>
      <c r="H806">
        <v>8.77</v>
      </c>
      <c r="I806">
        <v>8.73</v>
      </c>
      <c r="J806">
        <v>8.9862000000000002</v>
      </c>
      <c r="K806">
        <v>8.8674999999999997</v>
      </c>
      <c r="L806">
        <v>9.1036999999999999</v>
      </c>
      <c r="M806">
        <v>8.8682999999999996</v>
      </c>
      <c r="N806">
        <v>8.77</v>
      </c>
      <c r="O806">
        <v>8.7933734939759027</v>
      </c>
      <c r="P806">
        <v>8.8832931242460802</v>
      </c>
      <c r="Q806">
        <v>8.8219999999999992</v>
      </c>
      <c r="R806">
        <v>8.859</v>
      </c>
      <c r="S806">
        <v>9.2200000000000006</v>
      </c>
      <c r="T806">
        <v>8.75</v>
      </c>
      <c r="U806">
        <f>AVERAGE(G806:T806)</f>
        <v>8.8390119013015696</v>
      </c>
      <c r="V806" t="str">
        <f t="shared" si="89"/>
        <v>2017/18Outputs - cust satAnnual customer satisfaction score by DNO per category (out of 10)Interruptions</v>
      </c>
    </row>
    <row r="807" spans="1:22">
      <c r="A807" s="900" t="s">
        <v>139</v>
      </c>
      <c r="B807" s="900"/>
      <c r="C807" s="900" t="s">
        <v>1325</v>
      </c>
      <c r="D807" t="s">
        <v>377</v>
      </c>
      <c r="E807" t="s">
        <v>61</v>
      </c>
      <c r="F807" s="900" t="s">
        <v>1299</v>
      </c>
      <c r="G807">
        <v>8.3475999999999999</v>
      </c>
      <c r="H807">
        <v>8.5500000000000007</v>
      </c>
      <c r="I807">
        <v>8.34</v>
      </c>
      <c r="J807">
        <v>8.7126999999999999</v>
      </c>
      <c r="K807">
        <v>8.8072999999999997</v>
      </c>
      <c r="L807">
        <v>8.9076000000000004</v>
      </c>
      <c r="M807">
        <v>8.7658000000000005</v>
      </c>
      <c r="N807">
        <v>8.6999999999999993</v>
      </c>
      <c r="O807">
        <v>8.5034482758620697</v>
      </c>
      <c r="P807">
        <v>8.4293507910529186</v>
      </c>
      <c r="Q807">
        <v>8.5213000000000001</v>
      </c>
      <c r="R807">
        <v>8.4253</v>
      </c>
      <c r="S807">
        <v>8.59</v>
      </c>
      <c r="T807">
        <v>8.11</v>
      </c>
      <c r="U807">
        <f>AVERAGE(G807:T807)</f>
        <v>8.5507427904939259</v>
      </c>
      <c r="V807" t="str">
        <f t="shared" si="89"/>
        <v>2017/18Outputs - cust satAnnual customer satisfaction score by DNO per category (out of 10)Connections</v>
      </c>
    </row>
    <row r="808" spans="1:22">
      <c r="A808" s="900" t="s">
        <v>139</v>
      </c>
      <c r="B808" s="900"/>
      <c r="C808" s="900" t="s">
        <v>1325</v>
      </c>
      <c r="D808" t="s">
        <v>377</v>
      </c>
      <c r="E808" t="s">
        <v>376</v>
      </c>
      <c r="F808" s="900" t="s">
        <v>1299</v>
      </c>
      <c r="G808">
        <v>8.9806000000000008</v>
      </c>
      <c r="H808">
        <v>9.0500000000000007</v>
      </c>
      <c r="I808">
        <v>8.84</v>
      </c>
      <c r="J808">
        <v>9.2665000000000006</v>
      </c>
      <c r="K808">
        <v>9.1943999999999999</v>
      </c>
      <c r="L808">
        <v>9.2066999999999997</v>
      </c>
      <c r="M808">
        <v>9.2888000000000002</v>
      </c>
      <c r="N808">
        <v>8.84</v>
      </c>
      <c r="O808">
        <v>9.2549019607843146</v>
      </c>
      <c r="P808">
        <v>9.2286115007012626</v>
      </c>
      <c r="Q808">
        <v>8.9478000000000009</v>
      </c>
      <c r="R808">
        <v>9.3867999999999991</v>
      </c>
      <c r="S808">
        <v>8.9600000000000009</v>
      </c>
      <c r="T808">
        <v>8.32</v>
      </c>
      <c r="U808">
        <f>AVERAGE(G808:T808)</f>
        <v>9.0546509615346817</v>
      </c>
      <c r="V808" t="str">
        <f t="shared" si="89"/>
        <v>2017/18Outputs - cust satAnnual customer satisfaction score by DNO per category (out of 10)General Enquiries</v>
      </c>
    </row>
    <row r="809" spans="1:22">
      <c r="A809" s="900" t="s">
        <v>139</v>
      </c>
      <c r="B809" s="900"/>
      <c r="C809" s="900" t="s">
        <v>1325</v>
      </c>
      <c r="D809" t="s">
        <v>377</v>
      </c>
      <c r="E809" t="s">
        <v>327</v>
      </c>
      <c r="F809" s="900" t="s">
        <v>1299</v>
      </c>
      <c r="G809">
        <v>8.4667600000000007</v>
      </c>
      <c r="H809">
        <v>8.7160000000000011</v>
      </c>
      <c r="I809">
        <v>8.5570000000000004</v>
      </c>
      <c r="J809">
        <v>8.9055100000000014</v>
      </c>
      <c r="K809">
        <v>8.9027799999999999</v>
      </c>
      <c r="L809">
        <v>9.026250000000001</v>
      </c>
      <c r="M809">
        <v>8.9011500000000012</v>
      </c>
      <c r="N809">
        <v>8.7490000000000006</v>
      </c>
      <c r="O809">
        <v>8.7407165782806686</v>
      </c>
      <c r="P809">
        <v>8.7253856329405366</v>
      </c>
      <c r="Q809">
        <v>8.6968099999999993</v>
      </c>
      <c r="R809">
        <v>8.7477099999999997</v>
      </c>
      <c r="S809">
        <v>8.8529999999999998</v>
      </c>
      <c r="T809">
        <v>8.3439999999999994</v>
      </c>
      <c r="U809">
        <f>AVERAGE(G809:T809)</f>
        <v>8.7380051579443716</v>
      </c>
      <c r="V809" t="str">
        <f t="shared" si="89"/>
        <v>2017/18Outputs - cust satAnnual customer satisfaction score by DNO per category (out of 10)Overall</v>
      </c>
    </row>
    <row r="810" spans="1:22">
      <c r="A810" s="900" t="s">
        <v>139</v>
      </c>
      <c r="B810" s="900"/>
      <c r="C810" s="900" t="s">
        <v>1325</v>
      </c>
      <c r="D810" t="s">
        <v>377</v>
      </c>
      <c r="E810" t="s">
        <v>339</v>
      </c>
      <c r="F810" s="900" t="s">
        <v>1296</v>
      </c>
      <c r="G810" t="str">
        <v>Green</v>
      </c>
      <c r="H810" t="str">
        <v>Green</v>
      </c>
      <c r="I810" t="str">
        <v>Green</v>
      </c>
      <c r="J810" t="str">
        <v>Green</v>
      </c>
      <c r="K810" t="str">
        <v>Green</v>
      </c>
      <c r="L810" t="str">
        <v>Green</v>
      </c>
      <c r="M810" t="str">
        <v>Green</v>
      </c>
      <c r="N810" t="str">
        <v>Green</v>
      </c>
      <c r="O810" t="str">
        <v>Green</v>
      </c>
      <c r="P810" t="str">
        <v>Green</v>
      </c>
      <c r="Q810" t="str">
        <v>Green</v>
      </c>
      <c r="R810" t="str">
        <v>Green</v>
      </c>
      <c r="S810" t="str">
        <v>Green</v>
      </c>
      <c r="T810" t="str">
        <v>Green</v>
      </c>
      <c r="U810" t="s">
        <v>1297</v>
      </c>
      <c r="V810" t="str">
        <f t="shared" si="89"/>
        <v>2017/18Outputs - cust satAnnual customer satisfaction score by DNO per category (out of 10)RAG</v>
      </c>
    </row>
    <row r="811" spans="1:22">
      <c r="A811" s="900" t="s">
        <v>139</v>
      </c>
      <c r="B811" s="900"/>
      <c r="C811" s="900" t="s">
        <v>1325</v>
      </c>
      <c r="D811" t="s">
        <v>377</v>
      </c>
      <c r="E811" t="s">
        <v>63</v>
      </c>
      <c r="F811" s="900" t="s">
        <v>1299</v>
      </c>
      <c r="G811">
        <v>13</v>
      </c>
      <c r="H811">
        <v>10</v>
      </c>
      <c r="I811">
        <v>12</v>
      </c>
      <c r="J811">
        <v>2</v>
      </c>
      <c r="K811">
        <v>3</v>
      </c>
      <c r="L811">
        <v>1</v>
      </c>
      <c r="M811">
        <v>4</v>
      </c>
      <c r="N811">
        <v>6</v>
      </c>
      <c r="O811">
        <v>8</v>
      </c>
      <c r="P811">
        <v>9</v>
      </c>
      <c r="Q811">
        <v>11</v>
      </c>
      <c r="R811">
        <v>7</v>
      </c>
      <c r="S811">
        <v>5</v>
      </c>
      <c r="T811">
        <v>14</v>
      </c>
      <c r="U811">
        <f>AVERAGE(G811:T811)</f>
        <v>7.5</v>
      </c>
      <c r="V811" t="str">
        <f t="shared" si="89"/>
        <v>2017/18Outputs - cust satAnnual customer satisfaction score by DNO per category (out of 10)Ranking</v>
      </c>
    </row>
    <row r="812" spans="1:22">
      <c r="A812" s="900" t="s">
        <v>140</v>
      </c>
      <c r="B812" s="900"/>
      <c r="C812" s="900" t="s">
        <v>1325</v>
      </c>
      <c r="D812" t="s">
        <v>377</v>
      </c>
      <c r="E812" t="s">
        <v>375</v>
      </c>
      <c r="F812" s="900" t="s">
        <v>1299</v>
      </c>
      <c r="G812">
        <v>8.6774000000000004</v>
      </c>
      <c r="H812">
        <v>8.84</v>
      </c>
      <c r="I812">
        <v>8.7899999999999991</v>
      </c>
      <c r="J812">
        <v>9.0772999999999993</v>
      </c>
      <c r="K812">
        <v>9.0310000000000006</v>
      </c>
      <c r="L812">
        <v>9.234</v>
      </c>
      <c r="M812">
        <v>9.0012000000000008</v>
      </c>
      <c r="N812">
        <v>8.7891999999999992</v>
      </c>
      <c r="O812">
        <v>8.9510000000000005</v>
      </c>
      <c r="P812">
        <v>9.0434000000000001</v>
      </c>
      <c r="Q812">
        <v>8.8902000000000001</v>
      </c>
      <c r="R812">
        <v>8.9991000000000003</v>
      </c>
      <c r="S812">
        <v>9.19</v>
      </c>
      <c r="T812">
        <v>8.7899999999999991</v>
      </c>
      <c r="U812">
        <f t="shared" ref="U812:U817" si="90">AVERAGE(G812:T812)</f>
        <v>8.950271428571428</v>
      </c>
      <c r="V812" t="str">
        <f t="shared" si="89"/>
        <v>2018/19Outputs - cust satAnnual customer satisfaction score by DNO per category (out of 10)Interruptions</v>
      </c>
    </row>
    <row r="813" spans="1:22">
      <c r="A813" s="900" t="s">
        <v>140</v>
      </c>
      <c r="B813" s="900"/>
      <c r="C813" s="900" t="s">
        <v>1325</v>
      </c>
      <c r="D813" t="s">
        <v>377</v>
      </c>
      <c r="E813" t="s">
        <v>61</v>
      </c>
      <c r="F813" s="900" t="s">
        <v>1299</v>
      </c>
      <c r="G813">
        <v>8.4407999999999994</v>
      </c>
      <c r="H813">
        <v>8.5500000000000007</v>
      </c>
      <c r="I813">
        <v>8.44</v>
      </c>
      <c r="J813">
        <v>8.8674999999999997</v>
      </c>
      <c r="K813">
        <v>8.8719999999999999</v>
      </c>
      <c r="L813">
        <v>8.9811999999999994</v>
      </c>
      <c r="M813">
        <v>8.8419000000000008</v>
      </c>
      <c r="N813">
        <v>8.6432000000000002</v>
      </c>
      <c r="O813">
        <v>8.4701000000000004</v>
      </c>
      <c r="P813">
        <v>8.5070999999999994</v>
      </c>
      <c r="Q813">
        <v>8.8172999999999995</v>
      </c>
      <c r="R813">
        <v>8.8825000000000003</v>
      </c>
      <c r="S813">
        <v>8.9600000000000009</v>
      </c>
      <c r="T813">
        <v>8.42</v>
      </c>
      <c r="U813">
        <f t="shared" si="90"/>
        <v>8.692400000000001</v>
      </c>
      <c r="V813" t="str">
        <f t="shared" si="89"/>
        <v>2018/19Outputs - cust satAnnual customer satisfaction score by DNO per category (out of 10)Connections</v>
      </c>
    </row>
    <row r="814" spans="1:22">
      <c r="A814" s="900" t="s">
        <v>140</v>
      </c>
      <c r="B814" s="900"/>
      <c r="C814" s="900" t="s">
        <v>1325</v>
      </c>
      <c r="D814" t="s">
        <v>377</v>
      </c>
      <c r="E814" t="s">
        <v>376</v>
      </c>
      <c r="F814" s="900" t="s">
        <v>1299</v>
      </c>
      <c r="G814">
        <v>9.1173999999999999</v>
      </c>
      <c r="H814">
        <v>9.07</v>
      </c>
      <c r="I814">
        <v>8.8000000000000007</v>
      </c>
      <c r="J814">
        <v>9.3786000000000005</v>
      </c>
      <c r="K814">
        <v>9.2093000000000007</v>
      </c>
      <c r="L814">
        <v>9.3519000000000005</v>
      </c>
      <c r="M814">
        <v>9.2781000000000002</v>
      </c>
      <c r="N814">
        <v>9.1181000000000001</v>
      </c>
      <c r="O814">
        <v>9.0970999999999993</v>
      </c>
      <c r="P814">
        <v>9.2265999999999995</v>
      </c>
      <c r="Q814">
        <v>9.2967999999999993</v>
      </c>
      <c r="R814">
        <v>9.3294999999999995</v>
      </c>
      <c r="S814">
        <v>9.16</v>
      </c>
      <c r="T814">
        <v>8.5</v>
      </c>
      <c r="U814">
        <f t="shared" si="90"/>
        <v>9.1380999999999997</v>
      </c>
      <c r="V814" t="str">
        <f t="shared" si="89"/>
        <v>2018/19Outputs - cust satAnnual customer satisfaction score by DNO per category (out of 10)General Enquiries</v>
      </c>
    </row>
    <row r="815" spans="1:22">
      <c r="A815" s="900" t="s">
        <v>140</v>
      </c>
      <c r="B815" s="900"/>
      <c r="C815" s="900" t="s">
        <v>1325</v>
      </c>
      <c r="D815" t="s">
        <v>377</v>
      </c>
      <c r="E815" t="s">
        <v>327</v>
      </c>
      <c r="F815" s="900" t="s">
        <v>1299</v>
      </c>
      <c r="G815">
        <v>8.6471</v>
      </c>
      <c r="H815">
        <v>8.7409999999999997</v>
      </c>
      <c r="I815">
        <v>8.6169999999999991</v>
      </c>
      <c r="J815">
        <v>9.0326599999999999</v>
      </c>
      <c r="K815">
        <v>8.9871600000000011</v>
      </c>
      <c r="L815">
        <v>9.1311800000000005</v>
      </c>
      <c r="M815">
        <v>8.9769300000000012</v>
      </c>
      <c r="N815">
        <v>8.7819800000000008</v>
      </c>
      <c r="O815">
        <v>8.73977</v>
      </c>
      <c r="P815">
        <v>8.8118899999999982</v>
      </c>
      <c r="Q815">
        <v>8.9350699999999996</v>
      </c>
      <c r="R815">
        <v>9.0068800000000007</v>
      </c>
      <c r="S815">
        <v>9.0690000000000008</v>
      </c>
      <c r="T815">
        <v>8.5470000000000006</v>
      </c>
      <c r="U815">
        <f t="shared" si="90"/>
        <v>8.8589014285714303</v>
      </c>
      <c r="V815" t="str">
        <f t="shared" si="89"/>
        <v>2018/19Outputs - cust satAnnual customer satisfaction score by DNO per category (out of 10)Overall</v>
      </c>
    </row>
    <row r="816" spans="1:22">
      <c r="A816" s="900" t="s">
        <v>140</v>
      </c>
      <c r="B816" s="900"/>
      <c r="C816" s="900" t="s">
        <v>1325</v>
      </c>
      <c r="D816" t="s">
        <v>377</v>
      </c>
      <c r="E816" t="s">
        <v>339</v>
      </c>
      <c r="F816" s="900" t="s">
        <v>1296</v>
      </c>
      <c r="G816" t="str">
        <v>Green</v>
      </c>
      <c r="H816" t="str">
        <v>Green</v>
      </c>
      <c r="I816" t="str">
        <v>Green</v>
      </c>
      <c r="J816" t="str">
        <v>Green</v>
      </c>
      <c r="K816" t="str">
        <v>Green</v>
      </c>
      <c r="L816" t="str">
        <v>Green</v>
      </c>
      <c r="M816" t="str">
        <v>Green</v>
      </c>
      <c r="N816" t="str">
        <v>Green</v>
      </c>
      <c r="O816" t="str">
        <v>Green</v>
      </c>
      <c r="P816" t="str">
        <v>Green</v>
      </c>
      <c r="Q816" t="str">
        <v>Green</v>
      </c>
      <c r="R816" t="str">
        <v>Green</v>
      </c>
      <c r="S816" t="str">
        <v>Green</v>
      </c>
      <c r="T816" t="str">
        <v>Green</v>
      </c>
      <c r="U816" t="s">
        <v>1297</v>
      </c>
      <c r="V816" t="str">
        <f t="shared" si="89"/>
        <v>2018/19Outputs - cust satAnnual customer satisfaction score by DNO per category (out of 10)RAG</v>
      </c>
    </row>
    <row r="817" spans="1:22">
      <c r="A817" s="900" t="s">
        <v>140</v>
      </c>
      <c r="B817" s="900"/>
      <c r="C817" s="900" t="s">
        <v>1325</v>
      </c>
      <c r="D817" t="s">
        <v>377</v>
      </c>
      <c r="E817" t="s">
        <v>63</v>
      </c>
      <c r="F817" s="900" t="s">
        <v>1299</v>
      </c>
      <c r="G817">
        <v>12</v>
      </c>
      <c r="H817">
        <v>10</v>
      </c>
      <c r="I817">
        <v>13</v>
      </c>
      <c r="J817">
        <v>3</v>
      </c>
      <c r="K817">
        <v>5</v>
      </c>
      <c r="L817">
        <v>1</v>
      </c>
      <c r="M817">
        <v>6</v>
      </c>
      <c r="N817">
        <v>9</v>
      </c>
      <c r="O817">
        <v>11</v>
      </c>
      <c r="P817">
        <v>8</v>
      </c>
      <c r="Q817">
        <v>7</v>
      </c>
      <c r="R817">
        <v>4</v>
      </c>
      <c r="S817">
        <v>2</v>
      </c>
      <c r="T817">
        <v>14</v>
      </c>
      <c r="U817">
        <f t="shared" si="90"/>
        <v>7.5</v>
      </c>
      <c r="V817" t="str">
        <f t="shared" si="89"/>
        <v>2018/19Outputs - cust satAnnual customer satisfaction score by DNO per category (out of 10)Ranking</v>
      </c>
    </row>
    <row r="818" spans="1:22">
      <c r="A818" s="900" t="s">
        <v>141</v>
      </c>
      <c r="B818" s="900"/>
      <c r="C818" s="900" t="s">
        <v>1325</v>
      </c>
      <c r="D818" t="s">
        <v>377</v>
      </c>
      <c r="E818" t="s">
        <v>375</v>
      </c>
      <c r="F818" s="900" t="s">
        <v>1299</v>
      </c>
      <c r="G818">
        <f t="array" ref="G818:T823">TRANSPOSE('Ch2 outputs - cust sat'!AC23:AH36)</f>
        <v>8.7385000000000002</v>
      </c>
      <c r="H818">
        <v>8.9274000000000004</v>
      </c>
      <c r="I818">
        <v>8.8713999999999995</v>
      </c>
      <c r="J818">
        <v>9.0828000000000007</v>
      </c>
      <c r="K818">
        <v>9.0698000000000008</v>
      </c>
      <c r="L818">
        <v>9.1761999999999997</v>
      </c>
      <c r="M818">
        <v>9.1016999999999992</v>
      </c>
      <c r="N818">
        <v>9.0342465753424666</v>
      </c>
      <c r="O818">
        <v>8.989037758830694</v>
      </c>
      <c r="P818">
        <v>9.1252285191956126</v>
      </c>
      <c r="Q818">
        <v>9.1327999999999996</v>
      </c>
      <c r="R818">
        <v>9.0625999999999998</v>
      </c>
      <c r="S818">
        <v>9.23</v>
      </c>
      <c r="T818">
        <v>8.67</v>
      </c>
      <c r="U818">
        <f t="shared" ref="U818:U823" si="91">AVERAGE(G818:T818)</f>
        <v>9.0151223466691999</v>
      </c>
      <c r="V818" t="str">
        <f t="shared" si="89"/>
        <v>2019/20Outputs - cust satAnnual customer satisfaction score by DNO per category (out of 10)Interruptions</v>
      </c>
    </row>
    <row r="819" spans="1:22">
      <c r="A819" s="900" t="s">
        <v>141</v>
      </c>
      <c r="B819" s="900"/>
      <c r="C819" s="900" t="s">
        <v>1325</v>
      </c>
      <c r="D819" t="s">
        <v>377</v>
      </c>
      <c r="E819" t="s">
        <v>61</v>
      </c>
      <c r="F819" s="900" t="s">
        <v>1299</v>
      </c>
      <c r="G819">
        <v>8.7639999999999993</v>
      </c>
      <c r="H819">
        <v>8.9742999999999995</v>
      </c>
      <c r="I819">
        <v>8.7422000000000004</v>
      </c>
      <c r="J819">
        <v>8.9723000000000006</v>
      </c>
      <c r="K819">
        <v>9.0132999999999992</v>
      </c>
      <c r="L819">
        <v>9.0532000000000004</v>
      </c>
      <c r="M819">
        <v>8.9497999999999998</v>
      </c>
      <c r="N819">
        <v>8.9486725663716822</v>
      </c>
      <c r="O819">
        <v>8.8473926380368102</v>
      </c>
      <c r="P819">
        <v>9.0353075170842825</v>
      </c>
      <c r="Q819">
        <v>9.1242000000000001</v>
      </c>
      <c r="R819">
        <v>9.1046999999999993</v>
      </c>
      <c r="S819">
        <v>9.16</v>
      </c>
      <c r="T819">
        <v>8.64</v>
      </c>
      <c r="U819">
        <f t="shared" si="91"/>
        <v>8.9520980515351969</v>
      </c>
      <c r="V819" t="str">
        <f t="shared" si="89"/>
        <v>2019/20Outputs - cust satAnnual customer satisfaction score by DNO per category (out of 10)Connections</v>
      </c>
    </row>
    <row r="820" spans="1:22">
      <c r="A820" s="900" t="s">
        <v>141</v>
      </c>
      <c r="B820" s="900"/>
      <c r="C820" s="900" t="s">
        <v>1325</v>
      </c>
      <c r="D820" t="s">
        <v>377</v>
      </c>
      <c r="E820" t="s">
        <v>376</v>
      </c>
      <c r="F820" s="900" t="s">
        <v>1299</v>
      </c>
      <c r="G820">
        <v>9.2296999999999993</v>
      </c>
      <c r="H820">
        <v>9.2921999999999993</v>
      </c>
      <c r="I820">
        <v>8.8167000000000009</v>
      </c>
      <c r="J820">
        <v>9.4833999999999996</v>
      </c>
      <c r="K820">
        <v>9.4920000000000009</v>
      </c>
      <c r="L820">
        <v>9.4123999999999999</v>
      </c>
      <c r="M820">
        <v>9.3491</v>
      </c>
      <c r="N820">
        <v>9.3333333333333339</v>
      </c>
      <c r="O820">
        <v>9.2840722495894905</v>
      </c>
      <c r="P820">
        <v>9.4502427184466011</v>
      </c>
      <c r="Q820">
        <v>9.3217999999999996</v>
      </c>
      <c r="R820">
        <v>9.4415999999999993</v>
      </c>
      <c r="S820">
        <v>9.2100000000000009</v>
      </c>
      <c r="T820">
        <v>8.73</v>
      </c>
      <c r="U820">
        <f t="shared" si="91"/>
        <v>9.2747534500978155</v>
      </c>
      <c r="V820" t="str">
        <f t="shared" si="89"/>
        <v>2019/20Outputs - cust satAnnual customer satisfaction score by DNO per category (out of 10)General Enquiries</v>
      </c>
    </row>
    <row r="821" spans="1:22">
      <c r="A821" s="900" t="s">
        <v>141</v>
      </c>
      <c r="B821" s="900"/>
      <c r="C821" s="900" t="s">
        <v>1325</v>
      </c>
      <c r="D821" t="s">
        <v>377</v>
      </c>
      <c r="E821" t="s">
        <v>327</v>
      </c>
      <c r="F821" s="900" t="s">
        <v>1299</v>
      </c>
      <c r="G821">
        <v>8.8494899999999994</v>
      </c>
      <c r="H821">
        <v>9.0238099999999992</v>
      </c>
      <c r="I821">
        <v>8.7958600000000011</v>
      </c>
      <c r="J821">
        <v>9.1076700000000006</v>
      </c>
      <c r="K821">
        <v>9.1259899999999998</v>
      </c>
      <c r="L821">
        <v>9.1619400000000013</v>
      </c>
      <c r="M821">
        <v>9.0752299999999995</v>
      </c>
      <c r="N821">
        <v>9.0512769224552478</v>
      </c>
      <c r="O821">
        <v>8.9772220965855123</v>
      </c>
      <c r="P821">
        <v>9.1452708579901447</v>
      </c>
      <c r="Q821">
        <v>9.1662999999999997</v>
      </c>
      <c r="R821">
        <v>9.1594499999999996</v>
      </c>
      <c r="S821">
        <v>9.1910000000000007</v>
      </c>
      <c r="T821">
        <v>8.6669999999999998</v>
      </c>
      <c r="U821">
        <f t="shared" si="91"/>
        <v>9.0355364197879204</v>
      </c>
      <c r="V821" t="str">
        <f t="shared" si="89"/>
        <v>2019/20Outputs - cust satAnnual customer satisfaction score by DNO per category (out of 10)Overall</v>
      </c>
    </row>
    <row r="822" spans="1:22">
      <c r="A822" s="900" t="s">
        <v>141</v>
      </c>
      <c r="B822" s="900"/>
      <c r="C822" s="900" t="s">
        <v>1325</v>
      </c>
      <c r="D822" t="s">
        <v>377</v>
      </c>
      <c r="E822" t="s">
        <v>339</v>
      </c>
      <c r="F822" s="900" t="s">
        <v>1296</v>
      </c>
      <c r="G822" t="str">
        <v>Green</v>
      </c>
      <c r="H822" t="str">
        <v>Green</v>
      </c>
      <c r="I822" t="str">
        <v>Green</v>
      </c>
      <c r="J822" t="str">
        <v>Green</v>
      </c>
      <c r="K822" t="str">
        <v>Green</v>
      </c>
      <c r="L822" t="str">
        <v>Green</v>
      </c>
      <c r="M822" t="str">
        <v>Green</v>
      </c>
      <c r="N822" t="str">
        <v>Green</v>
      </c>
      <c r="O822" t="str">
        <v>Green</v>
      </c>
      <c r="P822" t="str">
        <v>Green</v>
      </c>
      <c r="Q822" t="str">
        <v>Green</v>
      </c>
      <c r="R822" t="str">
        <v>Green</v>
      </c>
      <c r="S822" t="str">
        <v>Green</v>
      </c>
      <c r="T822" t="str">
        <v>Green</v>
      </c>
      <c r="U822" t="s">
        <v>1297</v>
      </c>
      <c r="V822" t="str">
        <f t="shared" si="89"/>
        <v>2019/20Outputs - cust satAnnual customer satisfaction score by DNO per category (out of 10)RAG</v>
      </c>
    </row>
    <row r="823" spans="1:22">
      <c r="A823" s="900" t="s">
        <v>141</v>
      </c>
      <c r="B823" s="900"/>
      <c r="C823" s="900" t="s">
        <v>1325</v>
      </c>
      <c r="D823" t="s">
        <v>377</v>
      </c>
      <c r="E823" t="s">
        <v>63</v>
      </c>
      <c r="F823" s="900" t="s">
        <v>1299</v>
      </c>
      <c r="G823">
        <v>12</v>
      </c>
      <c r="H823">
        <v>10</v>
      </c>
      <c r="I823">
        <v>13</v>
      </c>
      <c r="J823">
        <v>7</v>
      </c>
      <c r="K823">
        <v>6</v>
      </c>
      <c r="L823">
        <v>3</v>
      </c>
      <c r="M823">
        <v>8</v>
      </c>
      <c r="N823">
        <v>9</v>
      </c>
      <c r="O823">
        <v>11</v>
      </c>
      <c r="P823">
        <v>5</v>
      </c>
      <c r="Q823">
        <v>2</v>
      </c>
      <c r="R823">
        <v>4</v>
      </c>
      <c r="S823">
        <v>1</v>
      </c>
      <c r="T823">
        <v>14</v>
      </c>
      <c r="U823">
        <f t="shared" si="91"/>
        <v>7.5</v>
      </c>
      <c r="V823" t="str">
        <f t="shared" si="89"/>
        <v>2019/20Outputs - cust satAnnual customer satisfaction score by DNO per category (out of 10)Ranking</v>
      </c>
    </row>
    <row r="824" spans="1:22">
      <c r="A824" s="900" t="s">
        <v>126</v>
      </c>
      <c r="B824" s="900"/>
      <c r="C824" s="900" t="s">
        <v>1325</v>
      </c>
      <c r="D824" t="s">
        <v>377</v>
      </c>
      <c r="E824" t="s">
        <v>375</v>
      </c>
      <c r="F824" s="900" t="s">
        <v>1299</v>
      </c>
      <c r="G824" cm="1">
        <f t="array" ref="G824:T829">TRANSPOSE('Ch2 outputs - cust sat'!AI23:AN36)</f>
        <v>8.9091000000000005</v>
      </c>
      <c r="H824">
        <v>9.1300000000000008</v>
      </c>
      <c r="I824">
        <v>9.01</v>
      </c>
      <c r="J824">
        <v>9.1259999999999994</v>
      </c>
      <c r="K824">
        <v>9.0931999999999995</v>
      </c>
      <c r="L824">
        <v>9.2446999999999999</v>
      </c>
      <c r="M824">
        <v>9.1472999999999995</v>
      </c>
      <c r="N824">
        <v>9.2423999999999999</v>
      </c>
      <c r="O824">
        <v>9.1478000000000002</v>
      </c>
      <c r="P824">
        <v>9.1745000000000001</v>
      </c>
      <c r="Q824">
        <v>9.1793999999999993</v>
      </c>
      <c r="R824">
        <v>9.1969999999999992</v>
      </c>
      <c r="S824">
        <v>9.25</v>
      </c>
      <c r="T824">
        <v>8.56</v>
      </c>
      <c r="U824">
        <f>AVERAGE(G824:T824)</f>
        <v>9.1008142857142857</v>
      </c>
      <c r="V824" t="str">
        <f t="shared" si="89"/>
        <v>2020/21Outputs - cust satAnnual customer satisfaction score by DNO per category (out of 10)Interruptions</v>
      </c>
    </row>
    <row r="825" spans="1:22">
      <c r="A825" s="900" t="s">
        <v>126</v>
      </c>
      <c r="B825" s="900"/>
      <c r="C825" s="900" t="s">
        <v>1325</v>
      </c>
      <c r="D825" t="s">
        <v>377</v>
      </c>
      <c r="E825" t="s">
        <v>61</v>
      </c>
      <c r="F825" s="900" t="s">
        <v>1299</v>
      </c>
      <c r="G825">
        <v>9.0946999999999996</v>
      </c>
      <c r="H825">
        <v>8.99</v>
      </c>
      <c r="I825">
        <v>8.82</v>
      </c>
      <c r="J825">
        <v>9.0374999999999996</v>
      </c>
      <c r="K825">
        <v>9.1306999999999992</v>
      </c>
      <c r="L825">
        <v>9.1721000000000004</v>
      </c>
      <c r="M825">
        <v>9.0114999999999998</v>
      </c>
      <c r="N825">
        <v>9.0660000000000007</v>
      </c>
      <c r="O825">
        <v>9.1245999999999992</v>
      </c>
      <c r="P825">
        <v>9.3530999999999995</v>
      </c>
      <c r="Q825">
        <v>9.1582000000000008</v>
      </c>
      <c r="R825">
        <v>9.1045999999999996</v>
      </c>
      <c r="S825">
        <v>9.31</v>
      </c>
      <c r="T825">
        <v>8.5399999999999991</v>
      </c>
      <c r="U825">
        <f>AVERAGE(G825:T825)</f>
        <v>9.0652142857142852</v>
      </c>
      <c r="V825" t="str">
        <f t="shared" si="89"/>
        <v>2020/21Outputs - cust satAnnual customer satisfaction score by DNO per category (out of 10)Connections</v>
      </c>
    </row>
    <row r="826" spans="1:22">
      <c r="A826" s="900" t="s">
        <v>126</v>
      </c>
      <c r="B826" s="900"/>
      <c r="C826" s="900" t="s">
        <v>1325</v>
      </c>
      <c r="D826" t="s">
        <v>377</v>
      </c>
      <c r="E826" t="s">
        <v>376</v>
      </c>
      <c r="F826" s="900" t="s">
        <v>1299</v>
      </c>
      <c r="G826">
        <v>9.3010999999999999</v>
      </c>
      <c r="H826">
        <v>9.52</v>
      </c>
      <c r="I826">
        <v>9.2799999999999994</v>
      </c>
      <c r="J826">
        <v>9.3294999999999995</v>
      </c>
      <c r="K826">
        <v>9.5006000000000004</v>
      </c>
      <c r="L826">
        <v>9.5983000000000001</v>
      </c>
      <c r="M826">
        <v>9.4372000000000007</v>
      </c>
      <c r="N826">
        <v>9.5726999999999993</v>
      </c>
      <c r="O826">
        <v>9.4941999999999993</v>
      </c>
      <c r="P826">
        <v>9.5418000000000003</v>
      </c>
      <c r="Q826">
        <v>9.4666999999999994</v>
      </c>
      <c r="R826">
        <v>9.6294000000000004</v>
      </c>
      <c r="S826">
        <v>9.1300000000000008</v>
      </c>
      <c r="T826">
        <v>8.67</v>
      </c>
      <c r="U826">
        <f>AVERAGE(G826:T826)</f>
        <v>9.390821428571428</v>
      </c>
      <c r="V826" t="str">
        <f t="shared" si="89"/>
        <v>2020/21Outputs - cust satAnnual customer satisfaction score by DNO per category (out of 10)General Enquiries</v>
      </c>
    </row>
    <row r="827" spans="1:22">
      <c r="A827" s="900" t="s">
        <v>126</v>
      </c>
      <c r="B827" s="900"/>
      <c r="C827" s="900" t="s">
        <v>1325</v>
      </c>
      <c r="D827" t="s">
        <v>377</v>
      </c>
      <c r="E827" t="s">
        <v>327</v>
      </c>
      <c r="F827" s="900" t="s">
        <v>1299</v>
      </c>
      <c r="G827">
        <v>9.0802999999999994</v>
      </c>
      <c r="H827">
        <v>9.1379999999999999</v>
      </c>
      <c r="I827">
        <v>8.9689999999999994</v>
      </c>
      <c r="J827">
        <v>9.1224499999999988</v>
      </c>
      <c r="K827">
        <v>9.1934299999999993</v>
      </c>
      <c r="L827">
        <v>9.2791200000000007</v>
      </c>
      <c r="M827">
        <v>9.1373800000000003</v>
      </c>
      <c r="N827">
        <v>9.2202600000000015</v>
      </c>
      <c r="O827">
        <v>9.2054799999999997</v>
      </c>
      <c r="P827">
        <v>9.3372600000000006</v>
      </c>
      <c r="Q827">
        <v>9.2262599999999999</v>
      </c>
      <c r="R827">
        <v>9.2372799999999984</v>
      </c>
      <c r="S827">
        <v>9.2560000000000002</v>
      </c>
      <c r="T827">
        <v>8.5719999999999992</v>
      </c>
      <c r="U827">
        <f>AVERAGE(G827:T827)</f>
        <v>9.1410157142857127</v>
      </c>
      <c r="V827" t="str">
        <f t="shared" si="89"/>
        <v>2020/21Outputs - cust satAnnual customer satisfaction score by DNO per category (out of 10)Overall</v>
      </c>
    </row>
    <row r="828" spans="1:22">
      <c r="A828" s="900" t="s">
        <v>126</v>
      </c>
      <c r="B828" s="900"/>
      <c r="C828" s="900" t="s">
        <v>1325</v>
      </c>
      <c r="D828" t="s">
        <v>377</v>
      </c>
      <c r="E828" t="s">
        <v>339</v>
      </c>
      <c r="F828" s="900" t="s">
        <v>1296</v>
      </c>
      <c r="G828" t="str">
        <v>Green</v>
      </c>
      <c r="H828" t="str">
        <v>Green</v>
      </c>
      <c r="I828" t="str">
        <v>Green</v>
      </c>
      <c r="J828" t="str">
        <v>Green</v>
      </c>
      <c r="K828" t="str">
        <v>Green</v>
      </c>
      <c r="L828" t="str">
        <v>Green</v>
      </c>
      <c r="M828" t="str">
        <v>Green</v>
      </c>
      <c r="N828" t="str">
        <v>Green</v>
      </c>
      <c r="O828" t="str">
        <v>Green</v>
      </c>
      <c r="P828" t="str">
        <v>Green</v>
      </c>
      <c r="Q828" t="str">
        <v>Green</v>
      </c>
      <c r="R828" t="str">
        <v>Green</v>
      </c>
      <c r="S828" t="str">
        <v>Green</v>
      </c>
      <c r="T828" t="str">
        <v>Green</v>
      </c>
      <c r="U828" t="s">
        <v>1297</v>
      </c>
      <c r="V828" t="str">
        <f t="shared" si="89"/>
        <v>2020/21Outputs - cust satAnnual customer satisfaction score by DNO per category (out of 10)RAG</v>
      </c>
    </row>
    <row r="829" spans="1:22">
      <c r="A829" s="900" t="s">
        <v>126</v>
      </c>
      <c r="B829" s="900"/>
      <c r="C829" s="900" t="s">
        <v>1325</v>
      </c>
      <c r="D829" t="s">
        <v>377</v>
      </c>
      <c r="E829" t="s">
        <v>63</v>
      </c>
      <c r="F829" s="900" t="s">
        <v>1299</v>
      </c>
      <c r="G829">
        <v>12</v>
      </c>
      <c r="H829">
        <v>9</v>
      </c>
      <c r="I829">
        <v>13</v>
      </c>
      <c r="J829">
        <v>11</v>
      </c>
      <c r="K829">
        <v>8</v>
      </c>
      <c r="L829">
        <v>2</v>
      </c>
      <c r="M829">
        <v>10</v>
      </c>
      <c r="N829">
        <v>6</v>
      </c>
      <c r="O829">
        <v>7</v>
      </c>
      <c r="P829">
        <v>1</v>
      </c>
      <c r="Q829">
        <v>5</v>
      </c>
      <c r="R829">
        <v>4</v>
      </c>
      <c r="S829">
        <v>3</v>
      </c>
      <c r="T829">
        <v>14</v>
      </c>
      <c r="U829">
        <f t="shared" ref="U829:U840" si="92">AVERAGE(G829:T829)</f>
        <v>7.5</v>
      </c>
      <c r="V829" t="str">
        <f t="shared" si="89"/>
        <v>2020/21Outputs - cust satAnnual customer satisfaction score by DNO per category (out of 10)Ranking</v>
      </c>
    </row>
    <row r="830" spans="1:22">
      <c r="A830" s="900" t="s">
        <v>142</v>
      </c>
      <c r="B830" s="900"/>
      <c r="C830" s="900" t="s">
        <v>1325</v>
      </c>
      <c r="D830" t="s">
        <v>377</v>
      </c>
      <c r="E830" t="s">
        <v>375</v>
      </c>
      <c r="F830" s="900" t="s">
        <v>1299</v>
      </c>
      <c r="G830" cm="1">
        <f t="array" ref="G830:T835">TRANSPOSE('Ch2 outputs - cust sat'!AO23:AT36)</f>
        <v>8.7111999999999998</v>
      </c>
      <c r="H830">
        <v>8.7838999999999992</v>
      </c>
      <c r="I830">
        <v>8.7928999999999995</v>
      </c>
      <c r="J830">
        <v>8.9253999999999998</v>
      </c>
      <c r="K830">
        <v>9.0075000000000003</v>
      </c>
      <c r="L830">
        <v>9.1873000000000005</v>
      </c>
      <c r="M830">
        <v>8.9425000000000008</v>
      </c>
      <c r="N830">
        <v>9.1649999999999991</v>
      </c>
      <c r="O830">
        <v>9.0451999999999995</v>
      </c>
      <c r="P830">
        <v>9.1692999999999998</v>
      </c>
      <c r="Q830">
        <v>9.0310000000000006</v>
      </c>
      <c r="R830">
        <v>8.9585000000000008</v>
      </c>
      <c r="S830">
        <v>8.91</v>
      </c>
      <c r="T830">
        <v>8.35</v>
      </c>
      <c r="U830">
        <f t="shared" ref="U830:U835" si="93">AVERAGE(G830:T830)</f>
        <v>8.9271214285714287</v>
      </c>
      <c r="V830" t="str">
        <f t="shared" ref="V830:V835" si="94">CONCATENATE(A830,B830,C830,D830,E830)</f>
        <v>2021/22Outputs - cust satAnnual customer satisfaction score by DNO per category (out of 10)Interruptions</v>
      </c>
    </row>
    <row r="831" spans="1:22">
      <c r="A831" s="900" t="s">
        <v>142</v>
      </c>
      <c r="B831" s="900"/>
      <c r="C831" s="900" t="s">
        <v>1325</v>
      </c>
      <c r="D831" t="s">
        <v>377</v>
      </c>
      <c r="E831" t="s">
        <v>61</v>
      </c>
      <c r="F831" s="900" t="s">
        <v>1299</v>
      </c>
      <c r="G831">
        <v>8.8314000000000004</v>
      </c>
      <c r="H831">
        <v>8.7410999999999994</v>
      </c>
      <c r="I831">
        <v>8.5397999999999996</v>
      </c>
      <c r="J831">
        <v>8.8796999999999997</v>
      </c>
      <c r="K831">
        <v>9.0996000000000006</v>
      </c>
      <c r="L831">
        <v>9.0447000000000006</v>
      </c>
      <c r="M831">
        <v>8.8229000000000006</v>
      </c>
      <c r="N831">
        <v>9.2820999999999998</v>
      </c>
      <c r="O831">
        <v>9.1265000000000001</v>
      </c>
      <c r="P831">
        <v>9.3071000000000002</v>
      </c>
      <c r="Q831">
        <v>9.1226000000000003</v>
      </c>
      <c r="R831">
        <v>9.0093999999999994</v>
      </c>
      <c r="S831">
        <v>9.14</v>
      </c>
      <c r="T831">
        <v>8.33</v>
      </c>
      <c r="U831">
        <f t="shared" si="93"/>
        <v>8.9483499999999996</v>
      </c>
      <c r="V831" t="str">
        <f t="shared" si="94"/>
        <v>2021/22Outputs - cust satAnnual customer satisfaction score by DNO per category (out of 10)Connections</v>
      </c>
    </row>
    <row r="832" spans="1:22">
      <c r="A832" s="900" t="s">
        <v>142</v>
      </c>
      <c r="B832" s="900"/>
      <c r="C832" s="900" t="s">
        <v>1325</v>
      </c>
      <c r="D832" t="s">
        <v>377</v>
      </c>
      <c r="E832" t="s">
        <v>376</v>
      </c>
      <c r="F832" s="900" t="s">
        <v>1299</v>
      </c>
      <c r="G832">
        <v>9.2164000000000001</v>
      </c>
      <c r="H832">
        <v>9.3520000000000003</v>
      </c>
      <c r="I832">
        <v>9.3308</v>
      </c>
      <c r="J832">
        <v>9.1877999999999993</v>
      </c>
      <c r="K832">
        <v>9.3442000000000007</v>
      </c>
      <c r="L832">
        <v>9.4076000000000004</v>
      </c>
      <c r="M832">
        <v>9.0923999999999996</v>
      </c>
      <c r="N832">
        <v>9.7232000000000003</v>
      </c>
      <c r="O832">
        <v>9.6233000000000004</v>
      </c>
      <c r="P832">
        <v>9.6340000000000003</v>
      </c>
      <c r="Q832">
        <v>9.3794000000000004</v>
      </c>
      <c r="R832">
        <v>9.4833999999999996</v>
      </c>
      <c r="S832">
        <v>9.23</v>
      </c>
      <c r="T832">
        <v>8.1999999999999993</v>
      </c>
      <c r="U832">
        <f t="shared" si="93"/>
        <v>9.3003214285714311</v>
      </c>
      <c r="V832" t="str">
        <f t="shared" si="94"/>
        <v>2021/22Outputs - cust satAnnual customer satisfaction score by DNO per category (out of 10)General Enquiries</v>
      </c>
    </row>
    <row r="833" spans="1:22">
      <c r="A833" s="900" t="s">
        <v>142</v>
      </c>
      <c r="B833" s="900"/>
      <c r="C833" s="900" t="s">
        <v>1325</v>
      </c>
      <c r="D833" t="s">
        <v>377</v>
      </c>
      <c r="E833" t="s">
        <v>327</v>
      </c>
      <c r="F833" s="900" t="s">
        <v>1299</v>
      </c>
      <c r="G833">
        <v>8.8723399999999994</v>
      </c>
      <c r="H833">
        <v>8.8761200000000002</v>
      </c>
      <c r="I833">
        <v>8.77393</v>
      </c>
      <c r="J833">
        <v>8.9550299999999989</v>
      </c>
      <c r="K833">
        <v>9.1208900000000011</v>
      </c>
      <c r="L833">
        <v>9.1600600000000014</v>
      </c>
      <c r="M833">
        <v>8.9126800000000017</v>
      </c>
      <c r="N833">
        <v>9.335189999999999</v>
      </c>
      <c r="O833">
        <v>9.2014700000000005</v>
      </c>
      <c r="P833">
        <v>9.3311399999999995</v>
      </c>
      <c r="Q833">
        <v>9.1464800000000004</v>
      </c>
      <c r="R833">
        <v>9.0889299999999995</v>
      </c>
      <c r="S833">
        <v>9.0890000000000004</v>
      </c>
      <c r="T833">
        <v>8.31</v>
      </c>
      <c r="U833">
        <f t="shared" si="93"/>
        <v>9.0123757142857155</v>
      </c>
      <c r="V833" t="str">
        <f t="shared" si="94"/>
        <v>2021/22Outputs - cust satAnnual customer satisfaction score by DNO per category (out of 10)Overall</v>
      </c>
    </row>
    <row r="834" spans="1:22">
      <c r="A834" s="900" t="s">
        <v>142</v>
      </c>
      <c r="B834" s="900"/>
      <c r="C834" s="900" t="s">
        <v>1325</v>
      </c>
      <c r="D834" t="s">
        <v>377</v>
      </c>
      <c r="E834" t="s">
        <v>339</v>
      </c>
      <c r="F834" s="900" t="s">
        <v>1296</v>
      </c>
      <c r="G834" t="str">
        <v>Green</v>
      </c>
      <c r="H834" t="str">
        <v>Green</v>
      </c>
      <c r="I834" t="str">
        <v>Green</v>
      </c>
      <c r="J834" t="str">
        <v>Green</v>
      </c>
      <c r="K834" t="str">
        <v>Green</v>
      </c>
      <c r="L834" t="str">
        <v>Green</v>
      </c>
      <c r="M834" t="str">
        <v>Green</v>
      </c>
      <c r="N834" t="str">
        <v>Green</v>
      </c>
      <c r="O834" t="str">
        <v>Green</v>
      </c>
      <c r="P834" t="str">
        <v>Green</v>
      </c>
      <c r="Q834" t="str">
        <v>Green</v>
      </c>
      <c r="R834" t="str">
        <v>Green</v>
      </c>
      <c r="S834" t="str">
        <v>Green</v>
      </c>
      <c r="T834" t="str">
        <v>Green</v>
      </c>
      <c r="V834" t="str">
        <f t="shared" si="94"/>
        <v>2021/22Outputs - cust satAnnual customer satisfaction score by DNO per category (out of 10)RAG</v>
      </c>
    </row>
    <row r="835" spans="1:22">
      <c r="A835" s="900" t="s">
        <v>142</v>
      </c>
      <c r="B835" s="900"/>
      <c r="C835" s="900" t="s">
        <v>1325</v>
      </c>
      <c r="D835" t="s">
        <v>377</v>
      </c>
      <c r="E835" t="s">
        <v>63</v>
      </c>
      <c r="F835" s="900" t="s">
        <v>1299</v>
      </c>
      <c r="G835">
        <v>12</v>
      </c>
      <c r="H835">
        <v>11</v>
      </c>
      <c r="I835">
        <v>13</v>
      </c>
      <c r="J835">
        <v>9</v>
      </c>
      <c r="K835">
        <v>6</v>
      </c>
      <c r="L835">
        <v>4</v>
      </c>
      <c r="M835">
        <v>10</v>
      </c>
      <c r="N835">
        <v>1</v>
      </c>
      <c r="O835">
        <v>3</v>
      </c>
      <c r="P835">
        <v>2</v>
      </c>
      <c r="Q835">
        <v>5</v>
      </c>
      <c r="R835">
        <v>8</v>
      </c>
      <c r="S835">
        <v>7</v>
      </c>
      <c r="T835">
        <v>14</v>
      </c>
      <c r="U835">
        <f t="shared" si="93"/>
        <v>7.5</v>
      </c>
      <c r="V835" t="str">
        <f t="shared" si="94"/>
        <v>2021/22Outputs - cust satAnnual customer satisfaction score by DNO per category (out of 10)Ranking</v>
      </c>
    </row>
    <row r="836" spans="1:22">
      <c r="A836" s="900" t="s">
        <v>137</v>
      </c>
      <c r="B836" s="900"/>
      <c r="C836" s="900" t="s">
        <v>1325</v>
      </c>
      <c r="D836" t="s">
        <v>379</v>
      </c>
      <c r="E836" t="s">
        <v>380</v>
      </c>
      <c r="F836" s="900" t="s">
        <v>1300</v>
      </c>
      <c r="G836" s="829">
        <f t="array" ref="G836:T863">TRANSPOSE('Ch2 outputs - cust sat'!E43:AF56)</f>
        <v>0.48796266836355923</v>
      </c>
      <c r="H836" s="829">
        <v>0.49855491329479767</v>
      </c>
      <c r="I836" s="829">
        <v>0.47331691297208539</v>
      </c>
      <c r="J836" s="829">
        <v>0.14805057955742887</v>
      </c>
      <c r="K836" s="829">
        <v>0.15886699507389163</v>
      </c>
      <c r="L836" s="829">
        <v>0.24392819429778248</v>
      </c>
      <c r="M836" s="829">
        <v>0.19540662650602408</v>
      </c>
      <c r="N836" s="829">
        <v>0.35900962861072905</v>
      </c>
      <c r="O836" s="829">
        <v>0.40195341848234412</v>
      </c>
      <c r="P836" s="829">
        <v>0.38535286284953396</v>
      </c>
      <c r="Q836" s="829">
        <v>0.23314285714285715</v>
      </c>
      <c r="R836" s="829">
        <v>0.21101256467110124</v>
      </c>
      <c r="S836" s="829">
        <v>0.30415944540727902</v>
      </c>
      <c r="T836" s="829">
        <v>0.32495069033530571</v>
      </c>
      <c r="U836" s="829">
        <f t="shared" si="92"/>
        <v>0.31611916839748</v>
      </c>
      <c r="V836" t="str">
        <f t="shared" si="89"/>
        <v>2015/16Outputs - cust satDNO complaint metric scoresThe percentage of total complaints outstanding after one day</v>
      </c>
    </row>
    <row r="837" spans="1:22">
      <c r="A837" s="900" t="s">
        <v>137</v>
      </c>
      <c r="B837" s="900"/>
      <c r="C837" s="900" t="s">
        <v>1325</v>
      </c>
      <c r="D837" t="s">
        <v>379</v>
      </c>
      <c r="E837" t="s">
        <v>381</v>
      </c>
      <c r="F837" s="900" t="s">
        <v>1300</v>
      </c>
      <c r="G837" s="829">
        <v>9.2480644819174881E-2</v>
      </c>
      <c r="H837" s="829">
        <v>9.9710982658959543E-2</v>
      </c>
      <c r="I837" s="829">
        <v>8.1280788177339899E-2</v>
      </c>
      <c r="J837" s="829">
        <v>7.3761854583772393E-3</v>
      </c>
      <c r="K837" s="829">
        <v>1.1083743842364532E-2</v>
      </c>
      <c r="L837" s="829">
        <v>2.0063357972544878E-2</v>
      </c>
      <c r="M837" s="829">
        <v>1.4683734939759037E-2</v>
      </c>
      <c r="N837" s="829">
        <v>5.2957359009628613E-2</v>
      </c>
      <c r="O837" s="829">
        <v>6.9496619083395939E-2</v>
      </c>
      <c r="P837" s="829">
        <v>5.8322237017310256E-2</v>
      </c>
      <c r="Q837" s="829">
        <v>4.2285714285714288E-2</v>
      </c>
      <c r="R837" s="829">
        <v>4.2128603104212861E-2</v>
      </c>
      <c r="S837" s="829">
        <v>3.4662045060658578E-2</v>
      </c>
      <c r="T837" s="829">
        <v>4.6844181459566078E-2</v>
      </c>
      <c r="U837" s="829">
        <f t="shared" si="92"/>
        <v>4.8098299777786187E-2</v>
      </c>
      <c r="V837" t="str">
        <f t="shared" si="89"/>
        <v>2015/16Outputs - cust satDNO complaint metric scoresThe percentage of total complaints outstanding after 31 days</v>
      </c>
    </row>
    <row r="838" spans="1:22">
      <c r="A838" s="900" t="s">
        <v>137</v>
      </c>
      <c r="B838" s="900"/>
      <c r="C838" s="900" t="s">
        <v>1325</v>
      </c>
      <c r="D838" t="s">
        <v>379</v>
      </c>
      <c r="E838" t="s">
        <v>382</v>
      </c>
      <c r="F838" s="900" t="s">
        <v>1300</v>
      </c>
      <c r="G838" s="829">
        <v>0</v>
      </c>
      <c r="H838" s="829">
        <v>4.8169556840077071E-4</v>
      </c>
      <c r="I838" s="829">
        <v>4.1050903119868636E-4</v>
      </c>
      <c r="J838" s="829">
        <v>0</v>
      </c>
      <c r="K838" s="829">
        <v>0</v>
      </c>
      <c r="L838" s="829">
        <v>0</v>
      </c>
      <c r="M838" s="829">
        <v>3.7650602409638556E-4</v>
      </c>
      <c r="N838" s="829">
        <v>0</v>
      </c>
      <c r="O838" s="829">
        <v>0</v>
      </c>
      <c r="P838" s="829">
        <v>0</v>
      </c>
      <c r="Q838" s="829">
        <v>0</v>
      </c>
      <c r="R838" s="829">
        <v>0</v>
      </c>
      <c r="S838" s="829">
        <v>0</v>
      </c>
      <c r="T838" s="829">
        <v>0</v>
      </c>
      <c r="U838" s="829">
        <f t="shared" si="92"/>
        <v>9.0622187406845888E-5</v>
      </c>
      <c r="V838" t="str">
        <f t="shared" si="89"/>
        <v>2015/16Outputs - cust satDNO complaint metric scoresThe percentage of total complaints that are repeat complaints</v>
      </c>
    </row>
    <row r="839" spans="1:22">
      <c r="A839" s="900" t="s">
        <v>137</v>
      </c>
      <c r="B839" s="900"/>
      <c r="C839" s="900" t="s">
        <v>1325</v>
      </c>
      <c r="D839" t="s">
        <v>379</v>
      </c>
      <c r="E839" t="s">
        <v>383</v>
      </c>
      <c r="F839" s="900" t="s">
        <v>1300</v>
      </c>
      <c r="G839" s="829">
        <v>0</v>
      </c>
      <c r="H839" s="829">
        <v>0</v>
      </c>
      <c r="I839" s="829">
        <v>0</v>
      </c>
      <c r="J839" s="829">
        <v>0</v>
      </c>
      <c r="K839" s="829">
        <v>0</v>
      </c>
      <c r="L839" s="829">
        <v>0</v>
      </c>
      <c r="M839" s="829">
        <v>0</v>
      </c>
      <c r="N839" s="829">
        <v>0</v>
      </c>
      <c r="O839" s="829">
        <v>0</v>
      </c>
      <c r="P839" s="829">
        <v>0</v>
      </c>
      <c r="Q839" s="829">
        <v>0</v>
      </c>
      <c r="R839" s="829">
        <v>0</v>
      </c>
      <c r="S839" s="829">
        <v>0</v>
      </c>
      <c r="T839" s="829">
        <v>0</v>
      </c>
      <c r="U839" s="829">
        <f t="shared" si="92"/>
        <v>0</v>
      </c>
      <c r="V839" t="str">
        <f t="shared" si="89"/>
        <v>2015/16Outputs - cust satDNO complaint metric scoresThe number of Energy Ombudsman (EO) Findings Against the Licensee as a percentage of the total complaints</v>
      </c>
    </row>
    <row r="840" spans="1:22">
      <c r="A840" s="900" t="s">
        <v>137</v>
      </c>
      <c r="B840" s="900"/>
      <c r="C840" s="900" t="s">
        <v>1325</v>
      </c>
      <c r="D840" t="s">
        <v>379</v>
      </c>
      <c r="E840" t="s">
        <v>384</v>
      </c>
      <c r="F840" s="900" t="s">
        <v>1299</v>
      </c>
      <c r="G840">
        <v>7.6540460282108391</v>
      </c>
      <c r="H840">
        <v>8.0009633911368017</v>
      </c>
      <c r="I840">
        <v>7.1921182266009849</v>
      </c>
      <c r="J840">
        <v>1.7017913593256058</v>
      </c>
      <c r="K840">
        <v>1.9211822660098523</v>
      </c>
      <c r="L840">
        <v>3.0411826821541714</v>
      </c>
      <c r="M840">
        <v>2.4134036144578315</v>
      </c>
      <c r="N840">
        <v>5.1788170563961486</v>
      </c>
      <c r="O840">
        <v>6.1044327573253199</v>
      </c>
      <c r="P840">
        <v>5.6031957390146472</v>
      </c>
      <c r="Q840">
        <v>3.6</v>
      </c>
      <c r="R840">
        <v>3.3739837398373984</v>
      </c>
      <c r="S840">
        <v>4.0814558058925474</v>
      </c>
      <c r="T840">
        <v>4.6548323471400392</v>
      </c>
      <c r="U840">
        <f t="shared" si="92"/>
        <v>4.6086717866787268</v>
      </c>
      <c r="V840" t="str">
        <f t="shared" si="89"/>
        <v>2015/16Outputs - cust satDNO complaint metric scoresComplaints Metric Score</v>
      </c>
    </row>
    <row r="841" spans="1:22">
      <c r="A841" s="900" t="s">
        <v>137</v>
      </c>
      <c r="B841" s="900"/>
      <c r="C841" s="900" t="s">
        <v>1325</v>
      </c>
      <c r="D841" t="s">
        <v>379</v>
      </c>
      <c r="E841" t="s">
        <v>339</v>
      </c>
      <c r="F841" s="900" t="s">
        <v>1296</v>
      </c>
      <c r="G841" t="str">
        <v>Green</v>
      </c>
      <c r="H841" t="str">
        <v>Green</v>
      </c>
      <c r="I841" t="str">
        <v>Green</v>
      </c>
      <c r="J841" t="str">
        <v>Green</v>
      </c>
      <c r="K841" t="str">
        <v>Green</v>
      </c>
      <c r="L841" t="str">
        <v>Green</v>
      </c>
      <c r="M841" t="str">
        <v>Green</v>
      </c>
      <c r="N841" t="str">
        <v>Green</v>
      </c>
      <c r="O841" t="str">
        <v>Green</v>
      </c>
      <c r="P841" t="str">
        <v>Green</v>
      </c>
      <c r="Q841" t="str">
        <v>Green</v>
      </c>
      <c r="R841" t="str">
        <v>Green</v>
      </c>
      <c r="S841" t="str">
        <v>Green</v>
      </c>
      <c r="T841" t="str">
        <v>Green</v>
      </c>
      <c r="U841" t="s">
        <v>1297</v>
      </c>
      <c r="V841" t="str">
        <f t="shared" si="89"/>
        <v>2015/16Outputs - cust satDNO complaint metric scoresRAG</v>
      </c>
    </row>
    <row r="842" spans="1:22">
      <c r="A842" s="900" t="s">
        <v>137</v>
      </c>
      <c r="B842" s="900"/>
      <c r="C842" s="900" t="s">
        <v>1325</v>
      </c>
      <c r="D842" t="s">
        <v>379</v>
      </c>
      <c r="E842" t="s">
        <v>63</v>
      </c>
      <c r="F842" s="900" t="s">
        <v>1299</v>
      </c>
      <c r="G842">
        <v>13</v>
      </c>
      <c r="H842">
        <v>14</v>
      </c>
      <c r="I842">
        <v>12</v>
      </c>
      <c r="J842">
        <v>1</v>
      </c>
      <c r="K842">
        <v>2</v>
      </c>
      <c r="L842">
        <v>4</v>
      </c>
      <c r="M842">
        <v>3</v>
      </c>
      <c r="N842">
        <v>9</v>
      </c>
      <c r="O842">
        <v>11</v>
      </c>
      <c r="P842">
        <v>10</v>
      </c>
      <c r="Q842">
        <v>6</v>
      </c>
      <c r="R842">
        <v>5</v>
      </c>
      <c r="S842">
        <v>7</v>
      </c>
      <c r="T842">
        <v>8</v>
      </c>
      <c r="U842" s="229">
        <f t="shared" ref="U842:U847" si="95">AVERAGE(G842:T842)</f>
        <v>7.5</v>
      </c>
      <c r="V842" t="str">
        <f t="shared" si="89"/>
        <v>2015/16Outputs - cust satDNO complaint metric scoresRanking</v>
      </c>
    </row>
    <row r="843" spans="1:22">
      <c r="A843" s="900" t="s">
        <v>138</v>
      </c>
      <c r="B843" s="900"/>
      <c r="C843" s="900" t="s">
        <v>1325</v>
      </c>
      <c r="D843" t="s">
        <v>379</v>
      </c>
      <c r="E843" t="s">
        <v>380</v>
      </c>
      <c r="F843" t="s">
        <v>1300</v>
      </c>
      <c r="G843" s="829">
        <v>0.23305684806797491</v>
      </c>
      <c r="H843" s="829">
        <v>0.38580931263858093</v>
      </c>
      <c r="I843" s="829">
        <v>0.31706204379562042</v>
      </c>
      <c r="J843" s="829">
        <v>0.12523992322456814</v>
      </c>
      <c r="K843" s="829">
        <v>0.14310344827586208</v>
      </c>
      <c r="L843" s="829">
        <v>0.1983663943990665</v>
      </c>
      <c r="M843" s="829">
        <v>0.18145695364238409</v>
      </c>
      <c r="N843" s="829">
        <v>0.34560906515580736</v>
      </c>
      <c r="O843" s="829">
        <v>0.33904619970193739</v>
      </c>
      <c r="P843" s="829">
        <v>0.32334424578191889</v>
      </c>
      <c r="Q843" s="829">
        <v>0.18925759280089988</v>
      </c>
      <c r="R843" s="829">
        <v>0.19093539054966249</v>
      </c>
      <c r="S843" s="829">
        <v>0.1479680444598819</v>
      </c>
      <c r="T843" s="829">
        <v>0.23433303491495075</v>
      </c>
      <c r="U843" s="829">
        <f t="shared" si="95"/>
        <v>0.23961346410065112</v>
      </c>
      <c r="V843" t="str">
        <f t="shared" si="89"/>
        <v>2016/17Outputs - cust satDNO complaint metric scoresThe percentage of total complaints outstanding after one day</v>
      </c>
    </row>
    <row r="844" spans="1:22">
      <c r="A844" s="900" t="s">
        <v>138</v>
      </c>
      <c r="B844" s="900"/>
      <c r="C844" s="900" t="s">
        <v>1325</v>
      </c>
      <c r="D844" t="s">
        <v>379</v>
      </c>
      <c r="E844" t="s">
        <v>381</v>
      </c>
      <c r="F844" t="s">
        <v>1300</v>
      </c>
      <c r="G844" s="829">
        <v>3.7224357677523773E-2</v>
      </c>
      <c r="H844" s="829">
        <v>0.10753880266075388</v>
      </c>
      <c r="I844" s="829">
        <v>7.4361313868613138E-2</v>
      </c>
      <c r="J844" s="829">
        <v>5.7581573896353169E-3</v>
      </c>
      <c r="K844" s="829">
        <v>1.0344827586206896E-2</v>
      </c>
      <c r="L844" s="829">
        <v>2.1003500583430573E-2</v>
      </c>
      <c r="M844" s="829">
        <v>1.5894039735099338E-2</v>
      </c>
      <c r="N844" s="829">
        <v>7.5070821529745049E-2</v>
      </c>
      <c r="O844" s="829">
        <v>6.3338301043219081E-2</v>
      </c>
      <c r="P844" s="829">
        <v>6.0941828254847646E-2</v>
      </c>
      <c r="Q844" s="829">
        <v>3.2058492688413945E-2</v>
      </c>
      <c r="R844" s="829">
        <v>3.0536804885888783E-2</v>
      </c>
      <c r="S844" s="829">
        <v>2.327196943383119E-2</v>
      </c>
      <c r="T844" s="829">
        <v>3.3049835869889584E-2</v>
      </c>
      <c r="U844" s="829">
        <f t="shared" si="95"/>
        <v>4.2170932371935588E-2</v>
      </c>
      <c r="V844" t="str">
        <f t="shared" si="89"/>
        <v>2016/17Outputs - cust satDNO complaint metric scoresThe percentage of total complaints outstanding after 31 days</v>
      </c>
    </row>
    <row r="845" spans="1:22">
      <c r="A845" s="900" t="s">
        <v>138</v>
      </c>
      <c r="B845" s="900"/>
      <c r="C845" s="900" t="s">
        <v>1325</v>
      </c>
      <c r="D845" t="s">
        <v>379</v>
      </c>
      <c r="E845" t="s">
        <v>382</v>
      </c>
      <c r="F845" t="s">
        <v>1300</v>
      </c>
      <c r="G845" s="829">
        <v>0</v>
      </c>
      <c r="H845" s="829">
        <v>0</v>
      </c>
      <c r="I845" s="829">
        <v>0</v>
      </c>
      <c r="J845" s="829">
        <v>0</v>
      </c>
      <c r="K845" s="829">
        <v>0</v>
      </c>
      <c r="L845" s="829">
        <v>0</v>
      </c>
      <c r="M845" s="829">
        <v>0</v>
      </c>
      <c r="N845" s="829">
        <v>0</v>
      </c>
      <c r="O845" s="829">
        <v>0</v>
      </c>
      <c r="P845" s="829">
        <v>0</v>
      </c>
      <c r="Q845" s="829">
        <v>0</v>
      </c>
      <c r="R845" s="829">
        <v>0</v>
      </c>
      <c r="S845" s="829">
        <v>0</v>
      </c>
      <c r="T845" s="829">
        <v>0</v>
      </c>
      <c r="U845" s="829">
        <f t="shared" si="95"/>
        <v>0</v>
      </c>
      <c r="V845" t="str">
        <f t="shared" si="89"/>
        <v>2016/17Outputs - cust satDNO complaint metric scoresThe percentage of total complaints that are repeat complaints</v>
      </c>
    </row>
    <row r="846" spans="1:22">
      <c r="A846" s="900" t="s">
        <v>138</v>
      </c>
      <c r="B846" s="900"/>
      <c r="C846" s="900" t="s">
        <v>1325</v>
      </c>
      <c r="D846" t="s">
        <v>379</v>
      </c>
      <c r="E846" t="s">
        <v>383</v>
      </c>
      <c r="F846" t="s">
        <v>1300</v>
      </c>
      <c r="G846" s="829">
        <v>0</v>
      </c>
      <c r="H846" s="829">
        <v>0</v>
      </c>
      <c r="I846" s="829">
        <v>0</v>
      </c>
      <c r="J846" s="829">
        <v>0</v>
      </c>
      <c r="K846" s="829">
        <v>0</v>
      </c>
      <c r="L846" s="829">
        <v>0</v>
      </c>
      <c r="M846" s="829">
        <v>0</v>
      </c>
      <c r="N846" s="829">
        <v>0</v>
      </c>
      <c r="O846" s="829">
        <v>0</v>
      </c>
      <c r="P846" s="829">
        <v>0</v>
      </c>
      <c r="Q846" s="829">
        <v>0</v>
      </c>
      <c r="R846" s="829">
        <v>0</v>
      </c>
      <c r="S846" s="829">
        <v>0</v>
      </c>
      <c r="T846" s="829">
        <v>0</v>
      </c>
      <c r="U846" s="829">
        <f t="shared" si="95"/>
        <v>0</v>
      </c>
      <c r="V846" t="str">
        <f t="shared" si="89"/>
        <v>2016/17Outputs - cust satDNO complaint metric scoresThe number of Energy Ombudsman (EO) Findings Against the Licensee as a percentage of the total complaints</v>
      </c>
    </row>
    <row r="847" spans="1:22">
      <c r="A847" s="900" t="s">
        <v>138</v>
      </c>
      <c r="B847" s="900"/>
      <c r="C847" s="900" t="s">
        <v>1325</v>
      </c>
      <c r="D847" t="s">
        <v>379</v>
      </c>
      <c r="E847" t="s">
        <v>384</v>
      </c>
      <c r="F847" t="s">
        <v>1299</v>
      </c>
      <c r="G847">
        <v>3.4472992110054625</v>
      </c>
      <c r="H847">
        <v>7.0842572062084255</v>
      </c>
      <c r="I847">
        <v>5.4014598540145986</v>
      </c>
      <c r="J847">
        <v>1.4251439539347408</v>
      </c>
      <c r="K847">
        <v>1.7413793103448276</v>
      </c>
      <c r="L847">
        <v>2.6137689614935824</v>
      </c>
      <c r="M847">
        <v>2.2913907284768209</v>
      </c>
      <c r="N847">
        <v>5.7082152974504252</v>
      </c>
      <c r="O847">
        <v>5.2906110283159462</v>
      </c>
      <c r="P847">
        <v>5.0616973054646186</v>
      </c>
      <c r="Q847">
        <v>2.8543307086614171</v>
      </c>
      <c r="R847">
        <v>2.8254580520732882</v>
      </c>
      <c r="S847">
        <v>2.1778395276137545</v>
      </c>
      <c r="T847">
        <v>3.3348254252461951</v>
      </c>
      <c r="U847">
        <f t="shared" si="95"/>
        <v>3.6612626121645788</v>
      </c>
      <c r="V847" t="str">
        <f t="shared" si="89"/>
        <v>2016/17Outputs - cust satDNO complaint metric scoresComplaints Metric Score</v>
      </c>
    </row>
    <row r="848" spans="1:22">
      <c r="A848" s="900" t="s">
        <v>138</v>
      </c>
      <c r="B848" s="900"/>
      <c r="C848" s="900" t="s">
        <v>1325</v>
      </c>
      <c r="D848" t="s">
        <v>379</v>
      </c>
      <c r="E848" t="s">
        <v>339</v>
      </c>
      <c r="F848" t="s">
        <v>1296</v>
      </c>
      <c r="G848" t="str">
        <v>Green</v>
      </c>
      <c r="H848" t="str">
        <v>Green</v>
      </c>
      <c r="I848" t="str">
        <v>Green</v>
      </c>
      <c r="J848" t="str">
        <v>Green</v>
      </c>
      <c r="K848" t="str">
        <v>Green</v>
      </c>
      <c r="L848" t="str">
        <v>Green</v>
      </c>
      <c r="M848" t="str">
        <v>Green</v>
      </c>
      <c r="N848" t="str">
        <v>Green</v>
      </c>
      <c r="O848" t="str">
        <v>Green</v>
      </c>
      <c r="P848" t="str">
        <v>Green</v>
      </c>
      <c r="Q848" t="str">
        <v>Green</v>
      </c>
      <c r="R848" t="str">
        <v>Green</v>
      </c>
      <c r="S848" t="str">
        <v>Green</v>
      </c>
      <c r="T848" t="str">
        <v>Green</v>
      </c>
      <c r="U848" t="s">
        <v>1297</v>
      </c>
      <c r="V848" t="str">
        <f t="shared" si="89"/>
        <v>2016/17Outputs - cust satDNO complaint metric scoresRAG</v>
      </c>
    </row>
    <row r="849" spans="1:22">
      <c r="A849" s="900" t="s">
        <v>138</v>
      </c>
      <c r="B849" s="900"/>
      <c r="C849" s="900" t="s">
        <v>1325</v>
      </c>
      <c r="D849" t="s">
        <v>379</v>
      </c>
      <c r="E849" t="s">
        <v>63</v>
      </c>
      <c r="F849" t="s">
        <v>1299</v>
      </c>
      <c r="G849">
        <v>9</v>
      </c>
      <c r="H849">
        <v>14</v>
      </c>
      <c r="I849">
        <v>12</v>
      </c>
      <c r="J849">
        <v>1</v>
      </c>
      <c r="K849">
        <v>2</v>
      </c>
      <c r="L849">
        <v>5</v>
      </c>
      <c r="M849">
        <v>4</v>
      </c>
      <c r="N849">
        <v>13</v>
      </c>
      <c r="O849">
        <v>11</v>
      </c>
      <c r="P849">
        <v>10</v>
      </c>
      <c r="Q849">
        <v>7</v>
      </c>
      <c r="R849">
        <v>6</v>
      </c>
      <c r="S849">
        <v>3</v>
      </c>
      <c r="T849">
        <v>8</v>
      </c>
      <c r="U849" s="229">
        <f t="shared" ref="U849:U854" si="96">AVERAGE(G849:T849)</f>
        <v>7.5</v>
      </c>
      <c r="V849" t="str">
        <f t="shared" si="89"/>
        <v>2016/17Outputs - cust satDNO complaint metric scoresRanking</v>
      </c>
    </row>
    <row r="850" spans="1:22">
      <c r="A850" s="900" t="s">
        <v>139</v>
      </c>
      <c r="B850" s="900"/>
      <c r="C850" s="900" t="s">
        <v>1325</v>
      </c>
      <c r="D850" t="s">
        <v>379</v>
      </c>
      <c r="E850" t="s">
        <v>380</v>
      </c>
      <c r="F850" t="s">
        <v>1300</v>
      </c>
      <c r="G850" s="829">
        <v>0.1792799412196914</v>
      </c>
      <c r="H850" s="829">
        <v>0.28203434610303829</v>
      </c>
      <c r="I850" s="829">
        <v>0.28202424881391669</v>
      </c>
      <c r="J850" s="829">
        <v>0.11629098360655737</v>
      </c>
      <c r="K850" s="829">
        <v>0.12536443148688048</v>
      </c>
      <c r="L850" s="829">
        <v>0.20547945205479451</v>
      </c>
      <c r="M850" s="829">
        <v>0.16354208216992422</v>
      </c>
      <c r="N850" s="829">
        <v>0.25651302605210419</v>
      </c>
      <c r="O850" s="829">
        <v>0.24314516129032257</v>
      </c>
      <c r="P850" s="829">
        <v>0.2247032221594121</v>
      </c>
      <c r="Q850" s="829">
        <v>0.12915254237288135</v>
      </c>
      <c r="R850" s="829">
        <v>0.18560606060606061</v>
      </c>
      <c r="S850" s="829">
        <v>0.13212996389891696</v>
      </c>
      <c r="T850" s="829">
        <v>0.19577549788774895</v>
      </c>
      <c r="U850" s="829">
        <f t="shared" si="96"/>
        <v>0.1943600685515893</v>
      </c>
      <c r="V850" t="str">
        <f t="shared" si="89"/>
        <v>2017/18Outputs - cust satDNO complaint metric scoresThe percentage of total complaints outstanding after one day</v>
      </c>
    </row>
    <row r="851" spans="1:22">
      <c r="A851" s="900" t="s">
        <v>139</v>
      </c>
      <c r="B851" s="900"/>
      <c r="C851" s="900" t="s">
        <v>1325</v>
      </c>
      <c r="D851" t="s">
        <v>379</v>
      </c>
      <c r="E851" t="s">
        <v>381</v>
      </c>
      <c r="F851" t="s">
        <v>1300</v>
      </c>
      <c r="G851" s="829">
        <v>1.6531961792799411E-2</v>
      </c>
      <c r="H851" s="829">
        <v>7.5297225891677672E-2</v>
      </c>
      <c r="I851" s="829">
        <v>6.062203479177649E-2</v>
      </c>
      <c r="J851" s="829">
        <v>6.1475409836065573E-3</v>
      </c>
      <c r="K851" s="829">
        <v>8.1632653061224497E-3</v>
      </c>
      <c r="L851" s="829">
        <v>1.5981735159817351E-2</v>
      </c>
      <c r="M851" s="829">
        <v>9.9720781810929398E-3</v>
      </c>
      <c r="N851" s="829">
        <v>5.9118236472945888E-2</v>
      </c>
      <c r="O851" s="829">
        <v>5.7258064516129033E-2</v>
      </c>
      <c r="P851" s="829">
        <v>4.6636517806670434E-2</v>
      </c>
      <c r="Q851" s="829">
        <v>2.6779661016949154E-2</v>
      </c>
      <c r="R851" s="829">
        <v>2.8409090909090908E-2</v>
      </c>
      <c r="S851" s="829">
        <v>9.3862815884476532E-3</v>
      </c>
      <c r="T851" s="829">
        <v>2.6976463488231746E-2</v>
      </c>
      <c r="U851" s="829">
        <f t="shared" si="96"/>
        <v>3.1948582707525548E-2</v>
      </c>
      <c r="V851" t="str">
        <f t="shared" si="89"/>
        <v>2017/18Outputs - cust satDNO complaint metric scoresThe percentage of total complaints outstanding after 31 days</v>
      </c>
    </row>
    <row r="852" spans="1:22">
      <c r="A852" s="900" t="s">
        <v>139</v>
      </c>
      <c r="B852" s="900"/>
      <c r="C852" s="900" t="s">
        <v>1325</v>
      </c>
      <c r="D852" t="s">
        <v>379</v>
      </c>
      <c r="E852" t="s">
        <v>382</v>
      </c>
      <c r="F852" t="s">
        <v>1300</v>
      </c>
      <c r="G852" s="829">
        <v>0</v>
      </c>
      <c r="H852" s="829">
        <v>0</v>
      </c>
      <c r="I852" s="829">
        <v>0</v>
      </c>
      <c r="J852" s="829">
        <v>0</v>
      </c>
      <c r="K852" s="829">
        <v>0</v>
      </c>
      <c r="L852" s="829">
        <v>0</v>
      </c>
      <c r="M852" s="829">
        <v>0</v>
      </c>
      <c r="N852" s="829">
        <v>0</v>
      </c>
      <c r="O852" s="829">
        <v>0</v>
      </c>
      <c r="P852" s="829">
        <v>0</v>
      </c>
      <c r="Q852" s="829">
        <v>0</v>
      </c>
      <c r="R852" s="829">
        <v>0</v>
      </c>
      <c r="S852" s="829">
        <v>0</v>
      </c>
      <c r="T852" s="829">
        <v>0</v>
      </c>
      <c r="U852" s="829">
        <f t="shared" si="96"/>
        <v>0</v>
      </c>
      <c r="V852" t="str">
        <f t="shared" si="89"/>
        <v>2017/18Outputs - cust satDNO complaint metric scoresThe percentage of total complaints that are repeat complaints</v>
      </c>
    </row>
    <row r="853" spans="1:22">
      <c r="A853" s="900" t="s">
        <v>139</v>
      </c>
      <c r="B853" s="900"/>
      <c r="C853" s="900" t="s">
        <v>1325</v>
      </c>
      <c r="D853" t="s">
        <v>379</v>
      </c>
      <c r="E853" t="s">
        <v>383</v>
      </c>
      <c r="F853" t="s">
        <v>1300</v>
      </c>
      <c r="G853" s="829">
        <v>0</v>
      </c>
      <c r="H853" s="829">
        <v>0</v>
      </c>
      <c r="I853" s="829">
        <v>0</v>
      </c>
      <c r="J853" s="829">
        <v>0</v>
      </c>
      <c r="K853" s="829">
        <v>0</v>
      </c>
      <c r="L853" s="829">
        <v>0</v>
      </c>
      <c r="M853" s="829">
        <v>0</v>
      </c>
      <c r="N853" s="829">
        <v>0</v>
      </c>
      <c r="O853" s="829">
        <v>0</v>
      </c>
      <c r="P853" s="829">
        <v>0</v>
      </c>
      <c r="Q853" s="829">
        <v>0</v>
      </c>
      <c r="R853" s="829">
        <v>0</v>
      </c>
      <c r="S853" s="829">
        <v>0</v>
      </c>
      <c r="T853" s="829">
        <v>0</v>
      </c>
      <c r="U853" s="829">
        <f t="shared" si="96"/>
        <v>0</v>
      </c>
      <c r="V853" t="str">
        <f t="shared" si="89"/>
        <v>2017/18Outputs - cust satDNO complaint metric scoresThe number of Energy Ombudsman (EO) Findings Against the Licensee as a percentage of the total complaints</v>
      </c>
    </row>
    <row r="854" spans="1:22">
      <c r="A854" s="900" t="s">
        <v>139</v>
      </c>
      <c r="B854" s="900"/>
      <c r="C854" s="900" t="s">
        <v>1325</v>
      </c>
      <c r="D854" t="s">
        <v>379</v>
      </c>
      <c r="E854" t="s">
        <v>384</v>
      </c>
      <c r="F854" t="s">
        <v>1299</v>
      </c>
      <c r="G854">
        <v>2.2887582659808965</v>
      </c>
      <c r="H854">
        <v>5.079260237780713</v>
      </c>
      <c r="I854">
        <v>4.6389035318924616</v>
      </c>
      <c r="J854">
        <v>1.3473360655737703</v>
      </c>
      <c r="K854">
        <v>1.4985422740524783</v>
      </c>
      <c r="L854">
        <v>2.5342465753424657</v>
      </c>
      <c r="M854">
        <v>1.9345831671320304</v>
      </c>
      <c r="N854">
        <v>4.3386773547094188</v>
      </c>
      <c r="O854">
        <v>4.1491935483870961</v>
      </c>
      <c r="P854">
        <v>3.6461277557942342</v>
      </c>
      <c r="Q854">
        <v>2.094915254237288</v>
      </c>
      <c r="R854">
        <v>2.708333333333333</v>
      </c>
      <c r="S854">
        <v>1.6028880866425992</v>
      </c>
      <c r="T854">
        <v>2.767048883524442</v>
      </c>
      <c r="U854">
        <f t="shared" si="96"/>
        <v>2.9020581667416585</v>
      </c>
      <c r="V854" t="str">
        <f t="shared" si="89"/>
        <v>2017/18Outputs - cust satDNO complaint metric scoresComplaints Metric Score</v>
      </c>
    </row>
    <row r="855" spans="1:22">
      <c r="A855" s="900" t="s">
        <v>139</v>
      </c>
      <c r="B855" s="900"/>
      <c r="C855" s="900" t="s">
        <v>1325</v>
      </c>
      <c r="D855" t="s">
        <v>379</v>
      </c>
      <c r="E855" t="s">
        <v>339</v>
      </c>
      <c r="F855" t="s">
        <v>1296</v>
      </c>
      <c r="G855" t="str">
        <v>Green</v>
      </c>
      <c r="H855" t="str">
        <v>Green</v>
      </c>
      <c r="I855" t="str">
        <v>Green</v>
      </c>
      <c r="J855" t="str">
        <v>Green</v>
      </c>
      <c r="K855" t="str">
        <v>Green</v>
      </c>
      <c r="L855" t="str">
        <v>Green</v>
      </c>
      <c r="M855" t="str">
        <v>Green</v>
      </c>
      <c r="N855" t="str">
        <v>Green</v>
      </c>
      <c r="O855" t="str">
        <v>Green</v>
      </c>
      <c r="P855" t="str">
        <v>Green</v>
      </c>
      <c r="Q855" t="str">
        <v>Green</v>
      </c>
      <c r="R855" t="str">
        <v>Green</v>
      </c>
      <c r="S855" t="str">
        <v>Green</v>
      </c>
      <c r="T855" t="str">
        <v>Green</v>
      </c>
      <c r="U855" t="s">
        <v>1297</v>
      </c>
      <c r="V855" t="str">
        <f t="shared" si="89"/>
        <v>2017/18Outputs - cust satDNO complaint metric scoresRAG</v>
      </c>
    </row>
    <row r="856" spans="1:22">
      <c r="A856" s="900" t="s">
        <v>139</v>
      </c>
      <c r="B856" s="900"/>
      <c r="C856" s="900" t="s">
        <v>1325</v>
      </c>
      <c r="D856" t="s">
        <v>379</v>
      </c>
      <c r="E856" t="s">
        <v>63</v>
      </c>
      <c r="F856" t="s">
        <v>1299</v>
      </c>
      <c r="G856">
        <v>6</v>
      </c>
      <c r="H856">
        <v>14</v>
      </c>
      <c r="I856">
        <v>13</v>
      </c>
      <c r="J856">
        <v>1</v>
      </c>
      <c r="K856">
        <v>2</v>
      </c>
      <c r="L856">
        <v>7</v>
      </c>
      <c r="M856">
        <v>4</v>
      </c>
      <c r="N856">
        <v>12</v>
      </c>
      <c r="O856">
        <v>11</v>
      </c>
      <c r="P856">
        <v>10</v>
      </c>
      <c r="Q856">
        <v>5</v>
      </c>
      <c r="R856">
        <v>8</v>
      </c>
      <c r="S856">
        <v>3</v>
      </c>
      <c r="T856">
        <v>9</v>
      </c>
      <c r="U856" s="229">
        <f>AVERAGE(G856:T856)</f>
        <v>7.5</v>
      </c>
      <c r="V856" t="str">
        <f t="shared" si="89"/>
        <v>2017/18Outputs - cust satDNO complaint metric scoresRanking</v>
      </c>
    </row>
    <row r="857" spans="1:22">
      <c r="A857" s="900" t="s">
        <v>140</v>
      </c>
      <c r="B857" s="900"/>
      <c r="C857" s="900" t="s">
        <v>1325</v>
      </c>
      <c r="D857" t="s">
        <v>379</v>
      </c>
      <c r="E857" t="s">
        <v>380</v>
      </c>
      <c r="F857" t="s">
        <v>1300</v>
      </c>
      <c r="G857" s="829">
        <v>0.17900815217391305</v>
      </c>
      <c r="H857" s="829">
        <v>0.21719457013574661</v>
      </c>
      <c r="I857" s="829">
        <v>0.18111587982832619</v>
      </c>
      <c r="J857" s="829">
        <v>0.11609249646059462</v>
      </c>
      <c r="K857" s="829">
        <v>0.10617662072485962</v>
      </c>
      <c r="L857" s="829">
        <v>0.15824175824175823</v>
      </c>
      <c r="M857" s="829">
        <v>0.16735537190082644</v>
      </c>
      <c r="N857" s="829">
        <v>0.19315673289183222</v>
      </c>
      <c r="O857" s="829">
        <v>0.15764139590854392</v>
      </c>
      <c r="P857" s="829">
        <v>0.19032663316582915</v>
      </c>
      <c r="Q857" s="829">
        <v>0.10683012259194395</v>
      </c>
      <c r="R857" s="829">
        <v>0.12694483734087694</v>
      </c>
      <c r="S857" s="829">
        <v>8.2552431950022306E-2</v>
      </c>
      <c r="T857" s="829">
        <v>0.1133586468760787</v>
      </c>
      <c r="U857" s="829">
        <f t="shared" ref="U857:U863" si="97">AVERAGE(G857:T857)</f>
        <v>0.14971397501365372</v>
      </c>
      <c r="V857" t="str">
        <f t="shared" si="89"/>
        <v>2018/19Outputs - cust satDNO complaint metric scoresThe percentage of total complaints outstanding after one day</v>
      </c>
    </row>
    <row r="858" spans="1:22">
      <c r="A858" s="900" t="s">
        <v>140</v>
      </c>
      <c r="B858" s="900"/>
      <c r="C858" s="900" t="s">
        <v>1325</v>
      </c>
      <c r="D858" t="s">
        <v>379</v>
      </c>
      <c r="E858" t="s">
        <v>381</v>
      </c>
      <c r="F858" t="s">
        <v>1300</v>
      </c>
      <c r="G858" s="829">
        <v>8.8315217391304341E-3</v>
      </c>
      <c r="H858" s="829">
        <v>4.5248868778280542E-2</v>
      </c>
      <c r="I858" s="829">
        <v>2.8326180257510731E-2</v>
      </c>
      <c r="J858" s="829">
        <v>3.7753657385559227E-3</v>
      </c>
      <c r="K858" s="829">
        <v>5.6151097498723839E-3</v>
      </c>
      <c r="L858" s="829">
        <v>8.7912087912087912E-3</v>
      </c>
      <c r="M858" s="829">
        <v>1.2396694214876033E-2</v>
      </c>
      <c r="N858" s="829">
        <v>2.8697571743929361E-2</v>
      </c>
      <c r="O858" s="829">
        <v>3.04853590052146E-2</v>
      </c>
      <c r="P858" s="829">
        <v>3.8630653266331659E-2</v>
      </c>
      <c r="Q858" s="829">
        <v>1.7513134851138354E-2</v>
      </c>
      <c r="R858" s="829">
        <v>1.9448373408769447E-2</v>
      </c>
      <c r="S858" s="829">
        <v>1.3386880856760375E-2</v>
      </c>
      <c r="T858" s="829">
        <v>2.0918191232309286E-2</v>
      </c>
      <c r="U858" s="829">
        <f t="shared" si="97"/>
        <v>2.0147508116706285E-2</v>
      </c>
      <c r="V858" t="str">
        <f t="shared" si="89"/>
        <v>2018/19Outputs - cust satDNO complaint metric scoresThe percentage of total complaints outstanding after 31 days</v>
      </c>
    </row>
    <row r="859" spans="1:22">
      <c r="A859" s="900" t="s">
        <v>140</v>
      </c>
      <c r="B859" s="900"/>
      <c r="C859" s="900" t="s">
        <v>1325</v>
      </c>
      <c r="D859" t="s">
        <v>379</v>
      </c>
      <c r="E859" t="s">
        <v>382</v>
      </c>
      <c r="F859" t="s">
        <v>1300</v>
      </c>
      <c r="G859" s="829">
        <v>0</v>
      </c>
      <c r="H859" s="829">
        <v>0</v>
      </c>
      <c r="I859" s="829">
        <v>0</v>
      </c>
      <c r="J859" s="829">
        <v>0</v>
      </c>
      <c r="K859" s="829">
        <v>0</v>
      </c>
      <c r="L859" s="829">
        <v>0</v>
      </c>
      <c r="M859" s="829">
        <v>4.1322314049586776E-4</v>
      </c>
      <c r="N859" s="829">
        <v>0</v>
      </c>
      <c r="O859" s="829">
        <v>0</v>
      </c>
      <c r="P859" s="829">
        <v>0</v>
      </c>
      <c r="Q859" s="829">
        <v>0</v>
      </c>
      <c r="R859" s="829">
        <v>0</v>
      </c>
      <c r="S859" s="829">
        <v>0</v>
      </c>
      <c r="T859" s="829">
        <v>0</v>
      </c>
      <c r="U859" s="829">
        <f t="shared" si="97"/>
        <v>2.9515938606847696E-5</v>
      </c>
      <c r="V859" t="str">
        <f t="shared" si="89"/>
        <v>2018/19Outputs - cust satDNO complaint metric scoresThe percentage of total complaints that are repeat complaints</v>
      </c>
    </row>
    <row r="860" spans="1:22">
      <c r="A860" s="900" t="s">
        <v>140</v>
      </c>
      <c r="B860" s="900"/>
      <c r="C860" s="900" t="s">
        <v>1325</v>
      </c>
      <c r="D860" t="s">
        <v>379</v>
      </c>
      <c r="E860" t="s">
        <v>383</v>
      </c>
      <c r="F860" t="s">
        <v>1300</v>
      </c>
      <c r="G860" s="829">
        <v>0</v>
      </c>
      <c r="H860" s="829">
        <v>0</v>
      </c>
      <c r="I860" s="829">
        <v>0</v>
      </c>
      <c r="J860" s="829">
        <v>0</v>
      </c>
      <c r="K860" s="829">
        <v>0</v>
      </c>
      <c r="L860" s="829">
        <v>0</v>
      </c>
      <c r="M860" s="829">
        <v>0</v>
      </c>
      <c r="N860" s="829">
        <v>0</v>
      </c>
      <c r="O860" s="829">
        <v>0</v>
      </c>
      <c r="P860" s="829">
        <v>0</v>
      </c>
      <c r="Q860" s="829">
        <v>0</v>
      </c>
      <c r="R860" s="829">
        <v>0</v>
      </c>
      <c r="S860" s="829">
        <v>0</v>
      </c>
      <c r="T860" s="829">
        <v>0</v>
      </c>
      <c r="U860" s="829">
        <f t="shared" si="97"/>
        <v>0</v>
      </c>
      <c r="V860" t="str">
        <f t="shared" si="89"/>
        <v>2018/19Outputs - cust satDNO complaint metric scoresThe number of Energy Ombudsman (EO) Findings Against the Licensee as a percentage of the total complaints</v>
      </c>
    </row>
    <row r="861" spans="1:22">
      <c r="A861" s="900" t="s">
        <v>140</v>
      </c>
      <c r="B861" s="900"/>
      <c r="C861" s="900" t="s">
        <v>1325</v>
      </c>
      <c r="D861" t="s">
        <v>379</v>
      </c>
      <c r="E861" t="s">
        <v>384</v>
      </c>
      <c r="F861" t="s">
        <v>1299</v>
      </c>
      <c r="G861">
        <v>2.0550271739130435</v>
      </c>
      <c r="H861">
        <v>3.5294117647058827</v>
      </c>
      <c r="I861">
        <v>2.6609442060085842</v>
      </c>
      <c r="J861">
        <v>1.274185936762624</v>
      </c>
      <c r="K861">
        <v>1.2302194997447675</v>
      </c>
      <c r="L861">
        <v>1.846153846153846</v>
      </c>
      <c r="M861">
        <v>2.0661157024793386</v>
      </c>
      <c r="N861">
        <v>2.7924944812362029</v>
      </c>
      <c r="O861">
        <v>2.4909747292418771</v>
      </c>
      <c r="P861">
        <v>3.0621859296482414</v>
      </c>
      <c r="Q861">
        <v>1.5936952714535901</v>
      </c>
      <c r="R861">
        <v>1.8528995756718527</v>
      </c>
      <c r="S861">
        <v>1.2271307452030342</v>
      </c>
      <c r="T861">
        <v>1.7611322057300656</v>
      </c>
      <c r="U861" s="229">
        <f t="shared" si="97"/>
        <v>2.1030407905680679</v>
      </c>
      <c r="V861" t="str">
        <f t="shared" si="89"/>
        <v>2018/19Outputs - cust satDNO complaint metric scoresComplaints Metric Score</v>
      </c>
    </row>
    <row r="862" spans="1:22">
      <c r="A862" s="900" t="s">
        <v>140</v>
      </c>
      <c r="B862" s="900"/>
      <c r="C862" s="900" t="s">
        <v>1325</v>
      </c>
      <c r="D862" t="s">
        <v>379</v>
      </c>
      <c r="E862" t="s">
        <v>339</v>
      </c>
      <c r="F862" t="s">
        <v>1296</v>
      </c>
      <c r="G862" t="str">
        <v>Green</v>
      </c>
      <c r="H862" t="str">
        <v>Green</v>
      </c>
      <c r="I862" t="str">
        <v>Green</v>
      </c>
      <c r="J862" t="str">
        <v>Green</v>
      </c>
      <c r="K862" t="str">
        <v>Green</v>
      </c>
      <c r="L862" t="str">
        <v>Green</v>
      </c>
      <c r="M862" t="str">
        <v>Green</v>
      </c>
      <c r="N862" t="str">
        <v>Green</v>
      </c>
      <c r="O862" t="str">
        <v>Green</v>
      </c>
      <c r="P862" t="str">
        <v>Green</v>
      </c>
      <c r="Q862" t="str">
        <v>Green</v>
      </c>
      <c r="R862" t="str">
        <v>Green</v>
      </c>
      <c r="S862" t="str">
        <v>Green</v>
      </c>
      <c r="T862" t="str">
        <v>Green</v>
      </c>
      <c r="U862" s="229" t="s">
        <v>1297</v>
      </c>
      <c r="V862" t="str">
        <f t="shared" si="89"/>
        <v>2018/19Outputs - cust satDNO complaint metric scoresRAG</v>
      </c>
    </row>
    <row r="863" spans="1:22">
      <c r="A863" s="900" t="s">
        <v>140</v>
      </c>
      <c r="B863" s="900"/>
      <c r="C863" s="900" t="s">
        <v>1325</v>
      </c>
      <c r="D863" t="s">
        <v>379</v>
      </c>
      <c r="E863" t="s">
        <v>63</v>
      </c>
      <c r="F863" t="s">
        <v>1299</v>
      </c>
      <c r="G863">
        <v>8</v>
      </c>
      <c r="H863">
        <v>14</v>
      </c>
      <c r="I863">
        <v>11</v>
      </c>
      <c r="J863">
        <v>3</v>
      </c>
      <c r="K863">
        <v>2</v>
      </c>
      <c r="L863">
        <v>6</v>
      </c>
      <c r="M863">
        <v>9</v>
      </c>
      <c r="N863">
        <v>12</v>
      </c>
      <c r="O863">
        <v>10</v>
      </c>
      <c r="P863">
        <v>13</v>
      </c>
      <c r="Q863">
        <v>4</v>
      </c>
      <c r="R863">
        <v>7</v>
      </c>
      <c r="S863">
        <v>1</v>
      </c>
      <c r="T863">
        <v>5</v>
      </c>
      <c r="U863" s="229">
        <f t="shared" si="97"/>
        <v>7.5</v>
      </c>
      <c r="V863" t="str">
        <f t="shared" si="89"/>
        <v>2018/19Outputs - cust satDNO complaint metric scoresRanking</v>
      </c>
    </row>
    <row r="864" spans="1:22">
      <c r="A864" s="900" t="s">
        <v>141</v>
      </c>
      <c r="B864" s="900"/>
      <c r="C864" s="900" t="s">
        <v>1325</v>
      </c>
      <c r="D864" t="s">
        <v>379</v>
      </c>
      <c r="E864" t="s">
        <v>380</v>
      </c>
      <c r="F864" t="s">
        <v>1300</v>
      </c>
      <c r="G864">
        <f t="array" ref="G864:T870">TRANSPOSE('Ch2 outputs - cust sat'!AG43:AM56)</f>
        <v>0.15584198192166052</v>
      </c>
      <c r="H864">
        <v>0.16434540389972144</v>
      </c>
      <c r="I864">
        <v>0.14516129032258066</v>
      </c>
      <c r="J864">
        <v>8.5074626865671646E-2</v>
      </c>
      <c r="K864">
        <v>8.0246913580246909E-2</v>
      </c>
      <c r="L864">
        <v>0.16987542468856173</v>
      </c>
      <c r="M864">
        <v>0.14548566538296961</v>
      </c>
      <c r="N864">
        <v>0.1701534170153417</v>
      </c>
      <c r="O864">
        <v>0.15016424213984045</v>
      </c>
      <c r="P864">
        <v>0.13378176382660686</v>
      </c>
      <c r="Q864">
        <v>0.10706787963610917</v>
      </c>
      <c r="R864">
        <v>0.10225062517365935</v>
      </c>
      <c r="S864">
        <v>0.1011541072640869</v>
      </c>
      <c r="T864">
        <v>0.11760063141278611</v>
      </c>
      <c r="U864" s="229">
        <f t="shared" ref="U864:U870" si="98">AVERAGE(G864:T864)</f>
        <v>0.13058599808070306</v>
      </c>
      <c r="V864" t="str">
        <f t="shared" si="89"/>
        <v>2019/20Outputs - cust satDNO complaint metric scoresThe percentage of total complaints outstanding after one day</v>
      </c>
    </row>
    <row r="865" spans="1:22">
      <c r="A865" s="900" t="s">
        <v>141</v>
      </c>
      <c r="B865" s="900"/>
      <c r="C865" s="900" t="s">
        <v>1325</v>
      </c>
      <c r="D865" t="s">
        <v>379</v>
      </c>
      <c r="E865" t="s">
        <v>381</v>
      </c>
      <c r="F865" t="s">
        <v>1300</v>
      </c>
      <c r="G865">
        <v>1.1047874121191832E-2</v>
      </c>
      <c r="H865">
        <v>3.6211699164345405E-2</v>
      </c>
      <c r="I865">
        <v>2.2849462365591398E-2</v>
      </c>
      <c r="J865">
        <v>8.4577114427860697E-3</v>
      </c>
      <c r="K865">
        <v>7.1225071225071226E-3</v>
      </c>
      <c r="L865">
        <v>1.698754246885617E-2</v>
      </c>
      <c r="M865">
        <v>2.2250748823277707E-2</v>
      </c>
      <c r="N865">
        <v>1.5341701534170154E-2</v>
      </c>
      <c r="O865">
        <v>1.642421398404505E-2</v>
      </c>
      <c r="P865">
        <v>1.3079222720478326E-2</v>
      </c>
      <c r="Q865">
        <v>1.2946116165150455E-2</v>
      </c>
      <c r="R865">
        <v>1.2503473186996388E-2</v>
      </c>
      <c r="S865">
        <v>2.9871011541072641E-2</v>
      </c>
      <c r="T865">
        <v>3.1254932912391474E-2</v>
      </c>
      <c r="U865" s="229">
        <f t="shared" si="98"/>
        <v>1.8310586968061444E-2</v>
      </c>
      <c r="V865" t="str">
        <f t="shared" si="89"/>
        <v>2019/20Outputs - cust satDNO complaint metric scoresThe percentage of total complaints outstanding after 31 days</v>
      </c>
    </row>
    <row r="866" spans="1:22">
      <c r="A866" s="900" t="s">
        <v>141</v>
      </c>
      <c r="B866" s="900"/>
      <c r="C866" s="900" t="s">
        <v>1325</v>
      </c>
      <c r="D866" t="s">
        <v>379</v>
      </c>
      <c r="E866" t="s">
        <v>382</v>
      </c>
      <c r="F866" t="s">
        <v>1300</v>
      </c>
      <c r="G866">
        <v>0</v>
      </c>
      <c r="H866">
        <v>0</v>
      </c>
      <c r="I866">
        <v>0</v>
      </c>
      <c r="J866">
        <v>0</v>
      </c>
      <c r="K866">
        <v>0</v>
      </c>
      <c r="L866">
        <v>0</v>
      </c>
      <c r="M866">
        <v>0</v>
      </c>
      <c r="N866">
        <v>0</v>
      </c>
      <c r="O866">
        <v>0</v>
      </c>
      <c r="P866">
        <v>0</v>
      </c>
      <c r="Q866">
        <v>0</v>
      </c>
      <c r="R866">
        <v>0</v>
      </c>
      <c r="S866">
        <v>0</v>
      </c>
      <c r="T866">
        <v>0</v>
      </c>
      <c r="U866" s="229">
        <f t="shared" si="98"/>
        <v>0</v>
      </c>
      <c r="V866" t="str">
        <f t="shared" si="89"/>
        <v>2019/20Outputs - cust satDNO complaint metric scoresThe percentage of total complaints that are repeat complaints</v>
      </c>
    </row>
    <row r="867" spans="1:22">
      <c r="A867" s="900" t="s">
        <v>141</v>
      </c>
      <c r="B867" s="900"/>
      <c r="C867" s="900" t="s">
        <v>1325</v>
      </c>
      <c r="D867" t="s">
        <v>379</v>
      </c>
      <c r="E867" t="s">
        <v>383</v>
      </c>
      <c r="F867" t="s">
        <v>1300</v>
      </c>
      <c r="G867">
        <v>0</v>
      </c>
      <c r="H867">
        <v>0</v>
      </c>
      <c r="I867">
        <v>0</v>
      </c>
      <c r="J867">
        <v>0</v>
      </c>
      <c r="K867">
        <v>0</v>
      </c>
      <c r="L867">
        <v>0</v>
      </c>
      <c r="M867">
        <v>0</v>
      </c>
      <c r="N867">
        <v>0</v>
      </c>
      <c r="O867">
        <v>0</v>
      </c>
      <c r="P867">
        <v>0</v>
      </c>
      <c r="Q867">
        <v>0</v>
      </c>
      <c r="R867">
        <v>0</v>
      </c>
      <c r="S867">
        <v>0</v>
      </c>
      <c r="T867">
        <v>0</v>
      </c>
      <c r="U867" s="229">
        <f t="shared" si="98"/>
        <v>0</v>
      </c>
      <c r="V867" t="str">
        <f t="shared" si="89"/>
        <v>2019/20Outputs - cust satDNO complaint metric scoresThe number of Energy Ombudsman (EO) Findings Against the Licensee as a percentage of the total complaints</v>
      </c>
    </row>
    <row r="868" spans="1:22">
      <c r="A868" s="900" t="s">
        <v>141</v>
      </c>
      <c r="B868" s="900"/>
      <c r="C868" s="900" t="s">
        <v>1325</v>
      </c>
      <c r="D868" t="s">
        <v>379</v>
      </c>
      <c r="E868" t="s">
        <v>384</v>
      </c>
      <c r="F868" t="s">
        <v>1299</v>
      </c>
      <c r="G868">
        <v>1.8898560428523603</v>
      </c>
      <c r="H868">
        <v>2.7298050139275762</v>
      </c>
      <c r="I868">
        <v>2.1370967741935485</v>
      </c>
      <c r="J868">
        <v>1.1044776119402986</v>
      </c>
      <c r="K868">
        <v>1.016144349477683</v>
      </c>
      <c r="L868">
        <v>2.2083805209513026</v>
      </c>
      <c r="M868">
        <v>2.1223791185280274</v>
      </c>
      <c r="N868">
        <v>2.1617852161785214</v>
      </c>
      <c r="O868">
        <v>1.994368840919756</v>
      </c>
      <c r="P868">
        <v>1.7301943198804186</v>
      </c>
      <c r="Q868">
        <v>1.4590622813156053</v>
      </c>
      <c r="R868">
        <v>1.3976104473464852</v>
      </c>
      <c r="S868">
        <v>1.9076714188730481</v>
      </c>
      <c r="T868">
        <v>2.1136543014996052</v>
      </c>
      <c r="U868" s="229">
        <f t="shared" si="98"/>
        <v>1.8551775898488736</v>
      </c>
      <c r="V868" t="str">
        <f t="shared" si="89"/>
        <v>2019/20Outputs - cust satDNO complaint metric scoresComplaints Metric Score</v>
      </c>
    </row>
    <row r="869" spans="1:22">
      <c r="A869" s="900" t="s">
        <v>141</v>
      </c>
      <c r="B869" s="900"/>
      <c r="C869" s="900" t="s">
        <v>1325</v>
      </c>
      <c r="D869" t="s">
        <v>379</v>
      </c>
      <c r="E869" t="s">
        <v>339</v>
      </c>
      <c r="F869" t="s">
        <v>1296</v>
      </c>
      <c r="G869" t="str">
        <v>Green</v>
      </c>
      <c r="H869" t="str">
        <v>Green</v>
      </c>
      <c r="I869" t="str">
        <v>Green</v>
      </c>
      <c r="J869" t="str">
        <v>Green</v>
      </c>
      <c r="K869" t="str">
        <v>Green</v>
      </c>
      <c r="L869" t="str">
        <v>Green</v>
      </c>
      <c r="M869" t="str">
        <v>Green</v>
      </c>
      <c r="N869" t="str">
        <v>Green</v>
      </c>
      <c r="O869" t="str">
        <v>Green</v>
      </c>
      <c r="P869" t="str">
        <v>Green</v>
      </c>
      <c r="Q869" t="str">
        <v>Green</v>
      </c>
      <c r="R869" t="str">
        <v>Green</v>
      </c>
      <c r="S869" t="str">
        <v>Green</v>
      </c>
      <c r="T869" t="str">
        <v>Green</v>
      </c>
      <c r="U869" s="229" t="s">
        <v>1297</v>
      </c>
      <c r="V869" t="str">
        <f t="shared" si="89"/>
        <v>2019/20Outputs - cust satDNO complaint metric scoresRAG</v>
      </c>
    </row>
    <row r="870" spans="1:22">
      <c r="A870" s="900" t="s">
        <v>141</v>
      </c>
      <c r="B870" s="900"/>
      <c r="C870" s="900" t="s">
        <v>1325</v>
      </c>
      <c r="D870" t="s">
        <v>379</v>
      </c>
      <c r="E870" t="s">
        <v>63</v>
      </c>
      <c r="F870" t="s">
        <v>1299</v>
      </c>
      <c r="G870">
        <v>6</v>
      </c>
      <c r="H870">
        <v>14</v>
      </c>
      <c r="I870">
        <v>11</v>
      </c>
      <c r="J870">
        <v>2</v>
      </c>
      <c r="K870">
        <v>1</v>
      </c>
      <c r="L870">
        <v>13</v>
      </c>
      <c r="M870">
        <v>10</v>
      </c>
      <c r="N870">
        <v>12</v>
      </c>
      <c r="O870">
        <v>8</v>
      </c>
      <c r="P870">
        <v>5</v>
      </c>
      <c r="Q870">
        <v>4</v>
      </c>
      <c r="R870">
        <v>3</v>
      </c>
      <c r="S870">
        <v>7</v>
      </c>
      <c r="T870">
        <v>9</v>
      </c>
      <c r="U870" s="229">
        <f t="shared" si="98"/>
        <v>7.5</v>
      </c>
      <c r="V870" t="str">
        <f t="shared" si="89"/>
        <v>2019/20Outputs - cust satDNO complaint metric scoresRanking</v>
      </c>
    </row>
    <row r="871" spans="1:22">
      <c r="A871" s="900" t="s">
        <v>126</v>
      </c>
      <c r="B871" s="900"/>
      <c r="C871" s="900" t="s">
        <v>1325</v>
      </c>
      <c r="D871" t="s">
        <v>379</v>
      </c>
      <c r="E871" t="s">
        <v>380</v>
      </c>
      <c r="F871" t="s">
        <v>1300</v>
      </c>
      <c r="G871" cm="1">
        <f t="array" ref="G871:T877">TRANSPOSE('Ch2 outputs - cust sat'!AN43:AT56)</f>
        <v>0.1424388563554943</v>
      </c>
      <c r="H871">
        <v>0.17508055853920515</v>
      </c>
      <c r="I871">
        <v>0.162109375</v>
      </c>
      <c r="J871">
        <v>9.1089108910891087E-2</v>
      </c>
      <c r="K871">
        <v>8.2468879668049791E-2</v>
      </c>
      <c r="L871">
        <v>0.18988648090815274</v>
      </c>
      <c r="M871">
        <v>0.14245416078984485</v>
      </c>
      <c r="N871">
        <v>0.13387096774193549</v>
      </c>
      <c r="O871">
        <v>0.14674735249621784</v>
      </c>
      <c r="P871">
        <v>0.10855499640546369</v>
      </c>
      <c r="Q871">
        <v>0.11716230741669652</v>
      </c>
      <c r="R871">
        <v>0.11131588647253962</v>
      </c>
      <c r="S871">
        <v>0.13933895009721323</v>
      </c>
      <c r="T871">
        <v>0.18123175120526924</v>
      </c>
      <c r="U871" s="229">
        <f>AVERAGE(G871:T871)</f>
        <v>0.1374106880004981</v>
      </c>
      <c r="V871" t="str">
        <f t="shared" si="89"/>
        <v>2020/21Outputs - cust satDNO complaint metric scoresThe percentage of total complaints outstanding after one day</v>
      </c>
    </row>
    <row r="872" spans="1:22">
      <c r="A872" s="900" t="s">
        <v>126</v>
      </c>
      <c r="B872" s="900"/>
      <c r="C872" s="900" t="s">
        <v>1325</v>
      </c>
      <c r="D872" t="s">
        <v>379</v>
      </c>
      <c r="E872" t="s">
        <v>381</v>
      </c>
      <c r="F872" t="s">
        <v>1300</v>
      </c>
      <c r="G872">
        <v>1.0850843954529796E-2</v>
      </c>
      <c r="H872">
        <v>3.2223415682062301E-2</v>
      </c>
      <c r="I872">
        <v>3.90625E-2</v>
      </c>
      <c r="J872">
        <v>7.9207920792079209E-3</v>
      </c>
      <c r="K872">
        <v>8.8174273858921161E-3</v>
      </c>
      <c r="L872">
        <v>2.2703818369453045E-2</v>
      </c>
      <c r="M872">
        <v>1.8335684062059238E-2</v>
      </c>
      <c r="N872">
        <v>6.4516129032258064E-3</v>
      </c>
      <c r="O872">
        <v>1.5632879475542108E-2</v>
      </c>
      <c r="P872">
        <v>6.8296189791516894E-3</v>
      </c>
      <c r="Q872">
        <v>8.9573629523468298E-3</v>
      </c>
      <c r="R872">
        <v>1.0320678215997052E-2</v>
      </c>
      <c r="S872">
        <v>3.1108230719377836E-2</v>
      </c>
      <c r="T872">
        <v>4.739593943097712E-2</v>
      </c>
      <c r="U872" s="229">
        <f>AVERAGE(G872:T872)</f>
        <v>1.9043628872130205E-2</v>
      </c>
      <c r="V872" t="str">
        <f t="shared" si="89"/>
        <v>2020/21Outputs - cust satDNO complaint metric scoresThe percentage of total complaints outstanding after 31 days</v>
      </c>
    </row>
    <row r="873" spans="1:22">
      <c r="A873" s="900" t="s">
        <v>126</v>
      </c>
      <c r="B873" s="900"/>
      <c r="C873" s="900" t="s">
        <v>1325</v>
      </c>
      <c r="D873" t="s">
        <v>379</v>
      </c>
      <c r="E873" t="s">
        <v>382</v>
      </c>
      <c r="F873" t="s">
        <v>1300</v>
      </c>
      <c r="G873">
        <v>0</v>
      </c>
      <c r="H873">
        <v>0</v>
      </c>
      <c r="I873">
        <v>0</v>
      </c>
      <c r="J873">
        <v>0</v>
      </c>
      <c r="K873">
        <v>0</v>
      </c>
      <c r="L873">
        <v>0</v>
      </c>
      <c r="M873">
        <v>0</v>
      </c>
      <c r="N873">
        <v>0</v>
      </c>
      <c r="O873">
        <v>0</v>
      </c>
      <c r="P873">
        <v>0</v>
      </c>
      <c r="Q873">
        <v>0</v>
      </c>
      <c r="R873">
        <v>0</v>
      </c>
      <c r="S873">
        <v>0</v>
      </c>
      <c r="T873">
        <v>0</v>
      </c>
      <c r="U873" s="229">
        <f>AVERAGE(G873:T873)</f>
        <v>0</v>
      </c>
      <c r="V873" t="str">
        <f t="shared" si="89"/>
        <v>2020/21Outputs - cust satDNO complaint metric scoresThe percentage of total complaints that are repeat complaints</v>
      </c>
    </row>
    <row r="874" spans="1:22">
      <c r="A874" s="900" t="s">
        <v>126</v>
      </c>
      <c r="B874" s="900"/>
      <c r="C874" s="900" t="s">
        <v>1325</v>
      </c>
      <c r="D874" t="s">
        <v>379</v>
      </c>
      <c r="E874" t="s">
        <v>383</v>
      </c>
      <c r="F874" t="s">
        <v>1300</v>
      </c>
      <c r="G874">
        <v>0</v>
      </c>
      <c r="H874">
        <v>0</v>
      </c>
      <c r="I874">
        <v>0</v>
      </c>
      <c r="J874">
        <v>0</v>
      </c>
      <c r="K874">
        <v>0</v>
      </c>
      <c r="L874">
        <v>0</v>
      </c>
      <c r="M874">
        <v>0</v>
      </c>
      <c r="N874">
        <v>0</v>
      </c>
      <c r="O874">
        <v>0</v>
      </c>
      <c r="P874">
        <v>0</v>
      </c>
      <c r="Q874">
        <v>0</v>
      </c>
      <c r="R874">
        <v>0</v>
      </c>
      <c r="S874">
        <v>0</v>
      </c>
      <c r="T874">
        <v>0</v>
      </c>
      <c r="U874" s="229">
        <f>AVERAGE(G874:T874)</f>
        <v>0</v>
      </c>
      <c r="V874" t="str">
        <f t="shared" ref="V874:V952" si="99">CONCATENATE(A874,B874,C874,D874,E874)</f>
        <v>2020/21Outputs - cust satDNO complaint metric scoresThe number of Energy Ombudsman (EO) Findings Against the Licensee as a percentage of the total complaints</v>
      </c>
    </row>
    <row r="875" spans="1:22">
      <c r="A875" s="900" t="s">
        <v>126</v>
      </c>
      <c r="B875" s="900"/>
      <c r="C875" s="900" t="s">
        <v>1325</v>
      </c>
      <c r="D875" t="s">
        <v>379</v>
      </c>
      <c r="E875" t="s">
        <v>384</v>
      </c>
      <c r="F875" t="s">
        <v>1299</v>
      </c>
      <c r="G875">
        <v>1.7499138821908371</v>
      </c>
      <c r="H875">
        <v>2.7175080558539202</v>
      </c>
      <c r="I875">
        <v>2.79296875</v>
      </c>
      <c r="J875">
        <v>1.1485148514851484</v>
      </c>
      <c r="K875">
        <v>1.0892116182572613</v>
      </c>
      <c r="L875">
        <v>2.5799793601651189</v>
      </c>
      <c r="M875">
        <v>1.9746121297602257</v>
      </c>
      <c r="N875">
        <v>1.5322580645161292</v>
      </c>
      <c r="O875">
        <v>1.9364599092284416</v>
      </c>
      <c r="P875">
        <v>1.2904385334291875</v>
      </c>
      <c r="Q875">
        <v>1.44034396273737</v>
      </c>
      <c r="R875">
        <v>1.4227792112053077</v>
      </c>
      <c r="S875">
        <v>2.3266364225534675</v>
      </c>
      <c r="T875">
        <v>3.2341956949820059</v>
      </c>
      <c r="U875" s="229">
        <f>AVERAGE(G875:T875)</f>
        <v>1.9454157461688875</v>
      </c>
      <c r="V875" t="str">
        <f t="shared" si="99"/>
        <v>2020/21Outputs - cust satDNO complaint metric scoresComplaints Metric Score</v>
      </c>
    </row>
    <row r="876" spans="1:22">
      <c r="A876" s="900" t="s">
        <v>126</v>
      </c>
      <c r="B876" s="900"/>
      <c r="C876" s="900" t="s">
        <v>1325</v>
      </c>
      <c r="D876" t="s">
        <v>379</v>
      </c>
      <c r="E876" t="s">
        <v>339</v>
      </c>
      <c r="F876" t="s">
        <v>1296</v>
      </c>
      <c r="G876" t="str">
        <v>Green</v>
      </c>
      <c r="H876" t="str">
        <v>Green</v>
      </c>
      <c r="I876" t="str">
        <v>Green</v>
      </c>
      <c r="J876" t="str">
        <v>Green</v>
      </c>
      <c r="K876" t="str">
        <v>Green</v>
      </c>
      <c r="L876" t="str">
        <v>Green</v>
      </c>
      <c r="M876" t="str">
        <v>Green</v>
      </c>
      <c r="N876" t="str">
        <v>Green</v>
      </c>
      <c r="O876" t="str">
        <v>Green</v>
      </c>
      <c r="P876" t="str">
        <v>Green</v>
      </c>
      <c r="Q876" t="str">
        <v>Green</v>
      </c>
      <c r="R876" t="str">
        <v>Green</v>
      </c>
      <c r="S876" t="str">
        <v>Green</v>
      </c>
      <c r="T876" t="str">
        <v>Green</v>
      </c>
      <c r="U876" s="229" t="s">
        <v>1297</v>
      </c>
      <c r="V876" t="str">
        <f t="shared" si="99"/>
        <v>2020/21Outputs - cust satDNO complaint metric scoresRAG</v>
      </c>
    </row>
    <row r="877" spans="1:22">
      <c r="A877" s="900" t="s">
        <v>126</v>
      </c>
      <c r="B877" s="900"/>
      <c r="C877" s="900" t="s">
        <v>1325</v>
      </c>
      <c r="D877" t="s">
        <v>379</v>
      </c>
      <c r="E877" t="s">
        <v>63</v>
      </c>
      <c r="F877" t="s">
        <v>1299</v>
      </c>
      <c r="G877">
        <v>7</v>
      </c>
      <c r="H877">
        <v>12</v>
      </c>
      <c r="I877">
        <v>13</v>
      </c>
      <c r="J877">
        <v>2</v>
      </c>
      <c r="K877">
        <v>1</v>
      </c>
      <c r="L877">
        <v>11</v>
      </c>
      <c r="M877">
        <v>9</v>
      </c>
      <c r="N877">
        <v>6</v>
      </c>
      <c r="O877">
        <v>8</v>
      </c>
      <c r="P877">
        <v>3</v>
      </c>
      <c r="Q877">
        <v>5</v>
      </c>
      <c r="R877">
        <v>4</v>
      </c>
      <c r="S877">
        <v>10</v>
      </c>
      <c r="T877">
        <v>14</v>
      </c>
      <c r="U877" s="229">
        <f>AVERAGE(G877:T877)</f>
        <v>7.5</v>
      </c>
      <c r="V877" t="str">
        <f t="shared" si="99"/>
        <v>2020/21Outputs - cust satDNO complaint metric scoresRanking</v>
      </c>
    </row>
    <row r="878" spans="1:22">
      <c r="A878" s="900" t="s">
        <v>142</v>
      </c>
      <c r="B878" s="900"/>
      <c r="C878" s="900" t="s">
        <v>1325</v>
      </c>
      <c r="D878" t="s">
        <v>379</v>
      </c>
      <c r="E878" t="s">
        <v>380</v>
      </c>
      <c r="F878" t="s">
        <v>1300</v>
      </c>
      <c r="G878" cm="1">
        <f t="array" ref="G878:T884">TRANSPOSE('Ch2 outputs - cust sat'!AU43:BA56)</f>
        <v>0.19116360454943132</v>
      </c>
      <c r="H878">
        <v>0.39598044541010319</v>
      </c>
      <c r="I878">
        <v>0.26977475117862754</v>
      </c>
      <c r="J878">
        <v>0.11962310528471938</v>
      </c>
      <c r="K878">
        <v>0.12044534412955465</v>
      </c>
      <c r="L878">
        <v>0.22717391304347825</v>
      </c>
      <c r="M878">
        <v>0.16276978417266186</v>
      </c>
      <c r="N878">
        <v>0.12978369384359401</v>
      </c>
      <c r="O878">
        <v>0.16892464013547842</v>
      </c>
      <c r="P878">
        <v>0.14523913997367266</v>
      </c>
      <c r="Q878">
        <v>0.11403258073735353</v>
      </c>
      <c r="R878">
        <v>0.12291933418693982</v>
      </c>
      <c r="S878">
        <v>0.14505372360133384</v>
      </c>
      <c r="T878">
        <v>0.16090225563909774</v>
      </c>
      <c r="U878" s="229">
        <f t="shared" ref="U878:U884" si="100">AVERAGE(G878:T878)</f>
        <v>0.17669902256328901</v>
      </c>
      <c r="V878" t="str">
        <f t="shared" ref="V878:V884" si="101">CONCATENATE(A878,B878,C878,D878,E878)</f>
        <v>2021/22Outputs - cust satDNO complaint metric scoresThe percentage of total complaints outstanding after one day</v>
      </c>
    </row>
    <row r="879" spans="1:22">
      <c r="A879" s="900" t="s">
        <v>142</v>
      </c>
      <c r="B879" s="900"/>
      <c r="C879" s="900" t="s">
        <v>1325</v>
      </c>
      <c r="D879" t="s">
        <v>379</v>
      </c>
      <c r="E879" t="s">
        <v>381</v>
      </c>
      <c r="F879" t="s">
        <v>1300</v>
      </c>
      <c r="G879">
        <v>3.5433070866141732E-2</v>
      </c>
      <c r="H879">
        <v>6.7354698533405755E-2</v>
      </c>
      <c r="I879">
        <v>6.2336301728653745E-2</v>
      </c>
      <c r="J879">
        <v>7.7836952068824255E-3</v>
      </c>
      <c r="K879">
        <v>6.0728744939271256E-3</v>
      </c>
      <c r="L879">
        <v>2.717391304347826E-2</v>
      </c>
      <c r="M879">
        <v>2.1133093525179857E-2</v>
      </c>
      <c r="N879">
        <v>1.3311148086522463E-2</v>
      </c>
      <c r="O879">
        <v>1.4817950889077053E-2</v>
      </c>
      <c r="P879">
        <v>8.7757788503729714E-3</v>
      </c>
      <c r="Q879">
        <v>2.1434695627322094E-2</v>
      </c>
      <c r="R879">
        <v>1.1203585147247119E-2</v>
      </c>
      <c r="S879">
        <v>2.426824749907373E-2</v>
      </c>
      <c r="T879">
        <v>4.1269841269841269E-2</v>
      </c>
      <c r="U879" s="229">
        <f t="shared" si="100"/>
        <v>2.5883492483366112E-2</v>
      </c>
      <c r="V879" t="str">
        <f t="shared" si="101"/>
        <v>2021/22Outputs - cust satDNO complaint metric scoresThe percentage of total complaints outstanding after 31 days</v>
      </c>
    </row>
    <row r="880" spans="1:22">
      <c r="A880" s="900" t="s">
        <v>142</v>
      </c>
      <c r="B880" s="900"/>
      <c r="C880" s="900" t="s">
        <v>1325</v>
      </c>
      <c r="D880" t="s">
        <v>379</v>
      </c>
      <c r="E880" t="s">
        <v>382</v>
      </c>
      <c r="F880" t="s">
        <v>1300</v>
      </c>
      <c r="G880">
        <v>0</v>
      </c>
      <c r="H880">
        <v>0</v>
      </c>
      <c r="I880">
        <v>0</v>
      </c>
      <c r="J880">
        <v>0</v>
      </c>
      <c r="K880">
        <v>0</v>
      </c>
      <c r="L880">
        <v>0</v>
      </c>
      <c r="M880">
        <v>0</v>
      </c>
      <c r="N880">
        <v>0</v>
      </c>
      <c r="O880">
        <v>0</v>
      </c>
      <c r="P880">
        <v>0</v>
      </c>
      <c r="Q880">
        <v>0</v>
      </c>
      <c r="R880">
        <v>0</v>
      </c>
      <c r="S880">
        <v>0</v>
      </c>
      <c r="T880">
        <v>0</v>
      </c>
      <c r="U880" s="229">
        <f t="shared" si="100"/>
        <v>0</v>
      </c>
      <c r="V880" t="str">
        <f t="shared" si="101"/>
        <v>2021/22Outputs - cust satDNO complaint metric scoresThe percentage of total complaints that are repeat complaints</v>
      </c>
    </row>
    <row r="881" spans="1:22">
      <c r="A881" s="900" t="s">
        <v>142</v>
      </c>
      <c r="B881" s="900"/>
      <c r="C881" s="900" t="s">
        <v>1325</v>
      </c>
      <c r="D881" t="s">
        <v>379</v>
      </c>
      <c r="E881" t="s">
        <v>383</v>
      </c>
      <c r="F881" t="s">
        <v>1300</v>
      </c>
      <c r="G881">
        <v>0</v>
      </c>
      <c r="H881">
        <v>0</v>
      </c>
      <c r="I881">
        <v>0</v>
      </c>
      <c r="J881">
        <v>0</v>
      </c>
      <c r="K881">
        <v>0</v>
      </c>
      <c r="L881">
        <v>0</v>
      </c>
      <c r="M881">
        <v>0</v>
      </c>
      <c r="N881">
        <v>0</v>
      </c>
      <c r="O881">
        <v>0</v>
      </c>
      <c r="P881">
        <v>0</v>
      </c>
      <c r="Q881">
        <v>0</v>
      </c>
      <c r="R881">
        <v>0</v>
      </c>
      <c r="S881">
        <v>0</v>
      </c>
      <c r="T881">
        <v>0</v>
      </c>
      <c r="U881" s="229">
        <f t="shared" si="100"/>
        <v>0</v>
      </c>
      <c r="V881" t="str">
        <f t="shared" si="101"/>
        <v>2021/22Outputs - cust satDNO complaint metric scoresThe number of Energy Ombudsman (EO) Findings Against the Licensee as a percentage of the total complaints</v>
      </c>
    </row>
    <row r="882" spans="1:22">
      <c r="A882" s="900" t="s">
        <v>142</v>
      </c>
      <c r="B882" s="900"/>
      <c r="C882" s="900" t="s">
        <v>1325</v>
      </c>
      <c r="D882" t="s">
        <v>379</v>
      </c>
      <c r="E882" t="s">
        <v>384</v>
      </c>
      <c r="F882" t="s">
        <v>1299</v>
      </c>
      <c r="G882">
        <v>2.9746281714785652</v>
      </c>
      <c r="H882">
        <v>5.9804454101032043</v>
      </c>
      <c r="I882">
        <v>4.5678365636458871</v>
      </c>
      <c r="J882">
        <v>1.4297419090536665</v>
      </c>
      <c r="K882">
        <v>1.3866396761133604</v>
      </c>
      <c r="L882">
        <v>3.0869565217391304</v>
      </c>
      <c r="M882">
        <v>2.2616906474820144</v>
      </c>
      <c r="N882">
        <v>1.697171381031614</v>
      </c>
      <c r="O882">
        <v>2.133784928027096</v>
      </c>
      <c r="P882">
        <v>1.7156647652479158</v>
      </c>
      <c r="Q882">
        <v>1.7833666761931983</v>
      </c>
      <c r="R882">
        <v>1.5653008962868116</v>
      </c>
      <c r="S882">
        <v>2.1785846609855501</v>
      </c>
      <c r="T882">
        <v>2.8471177944862154</v>
      </c>
      <c r="U882" s="229">
        <f t="shared" si="100"/>
        <v>2.5434950001338739</v>
      </c>
      <c r="V882" t="str">
        <f t="shared" si="101"/>
        <v>2021/22Outputs - cust satDNO complaint metric scoresComplaints Metric Score</v>
      </c>
    </row>
    <row r="883" spans="1:22">
      <c r="A883" s="900" t="s">
        <v>142</v>
      </c>
      <c r="B883" s="900"/>
      <c r="C883" s="900" t="s">
        <v>1325</v>
      </c>
      <c r="D883" t="s">
        <v>379</v>
      </c>
      <c r="E883" t="s">
        <v>339</v>
      </c>
      <c r="F883" t="s">
        <v>1296</v>
      </c>
      <c r="G883" t="str">
        <v>Green</v>
      </c>
      <c r="H883" t="str">
        <v>Green</v>
      </c>
      <c r="I883" t="str">
        <v>Green</v>
      </c>
      <c r="J883" t="str">
        <v>Green</v>
      </c>
      <c r="K883" t="str">
        <v>Green</v>
      </c>
      <c r="L883" t="str">
        <v>Green</v>
      </c>
      <c r="M883" t="str">
        <v>Green</v>
      </c>
      <c r="N883" t="str">
        <v>Green</v>
      </c>
      <c r="O883" t="str">
        <v>Green</v>
      </c>
      <c r="P883" t="str">
        <v>Green</v>
      </c>
      <c r="Q883" t="str">
        <v>Green</v>
      </c>
      <c r="R883" t="str">
        <v>Green</v>
      </c>
      <c r="S883" t="str">
        <v>Green</v>
      </c>
      <c r="T883" t="str">
        <v>Green</v>
      </c>
      <c r="U883" s="229" t="e">
        <f t="shared" si="100"/>
        <v>#DIV/0!</v>
      </c>
      <c r="V883" t="str">
        <f t="shared" si="101"/>
        <v>2021/22Outputs - cust satDNO complaint metric scoresRAG</v>
      </c>
    </row>
    <row r="884" spans="1:22">
      <c r="A884" s="900" t="s">
        <v>142</v>
      </c>
      <c r="B884" s="900"/>
      <c r="C884" s="900" t="s">
        <v>1325</v>
      </c>
      <c r="D884" t="s">
        <v>379</v>
      </c>
      <c r="E884" t="s">
        <v>63</v>
      </c>
      <c r="F884" t="s">
        <v>1299</v>
      </c>
      <c r="G884">
        <v>11</v>
      </c>
      <c r="H884">
        <v>14</v>
      </c>
      <c r="I884">
        <v>13</v>
      </c>
      <c r="J884">
        <v>2</v>
      </c>
      <c r="K884">
        <v>1</v>
      </c>
      <c r="L884">
        <v>12</v>
      </c>
      <c r="M884">
        <v>9</v>
      </c>
      <c r="N884">
        <v>4</v>
      </c>
      <c r="O884">
        <v>7</v>
      </c>
      <c r="P884">
        <v>5</v>
      </c>
      <c r="Q884">
        <v>6</v>
      </c>
      <c r="R884">
        <v>3</v>
      </c>
      <c r="S884">
        <v>8</v>
      </c>
      <c r="T884">
        <v>10</v>
      </c>
      <c r="U884" s="229">
        <f t="shared" si="100"/>
        <v>7.5</v>
      </c>
      <c r="V884" t="str">
        <f t="shared" si="101"/>
        <v>2021/22Outputs - cust satDNO complaint metric scoresRanking</v>
      </c>
    </row>
    <row r="885" spans="1:22">
      <c r="A885" s="900" t="s">
        <v>137</v>
      </c>
      <c r="B885" s="900"/>
      <c r="C885" s="900" t="s">
        <v>1325</v>
      </c>
      <c r="D885" t="s">
        <v>1326</v>
      </c>
      <c r="E885" t="s">
        <v>408</v>
      </c>
      <c r="F885" s="900" t="s">
        <v>1299</v>
      </c>
      <c r="G885">
        <v>6.9</v>
      </c>
      <c r="H885">
        <v>6.5</v>
      </c>
      <c r="I885">
        <v>6.5</v>
      </c>
      <c r="J885">
        <v>8.75</v>
      </c>
      <c r="K885">
        <v>8.75</v>
      </c>
      <c r="L885">
        <v>8.75</v>
      </c>
      <c r="M885">
        <v>8.75</v>
      </c>
      <c r="N885">
        <v>7.53</v>
      </c>
      <c r="O885">
        <v>7.53</v>
      </c>
      <c r="P885">
        <v>7.53</v>
      </c>
      <c r="Q885">
        <v>6.78</v>
      </c>
      <c r="R885">
        <v>6.78</v>
      </c>
      <c r="S885">
        <v>5.73</v>
      </c>
      <c r="T885">
        <v>5.73</v>
      </c>
      <c r="U885">
        <f>AVERAGE(G885:T885)</f>
        <v>7.3221428571428575</v>
      </c>
      <c r="V885" t="str">
        <f t="shared" si="99"/>
        <v>2015/16Outputs - cust satStakeholder Engagement and Customer Vulnerability IncentiveScore</v>
      </c>
    </row>
    <row r="886" spans="1:22">
      <c r="A886" s="900" t="s">
        <v>137</v>
      </c>
      <c r="B886" s="900"/>
      <c r="C886" s="900" t="s">
        <v>1325</v>
      </c>
      <c r="D886" t="s">
        <v>1326</v>
      </c>
      <c r="E886" t="s">
        <v>339</v>
      </c>
      <c r="F886" s="900" t="s">
        <v>1296</v>
      </c>
      <c r="G886" s="900" t="s">
        <v>1297</v>
      </c>
      <c r="H886" s="900" t="s">
        <v>1297</v>
      </c>
      <c r="I886" s="900" t="s">
        <v>1297</v>
      </c>
      <c r="J886" s="900" t="s">
        <v>1297</v>
      </c>
      <c r="K886" s="900" t="s">
        <v>1297</v>
      </c>
      <c r="L886" s="900" t="s">
        <v>1297</v>
      </c>
      <c r="M886" s="900" t="s">
        <v>1297</v>
      </c>
      <c r="N886" s="900" t="s">
        <v>1297</v>
      </c>
      <c r="O886" s="900" t="s">
        <v>1297</v>
      </c>
      <c r="P886" s="900" t="s">
        <v>1297</v>
      </c>
      <c r="Q886" s="900" t="s">
        <v>1297</v>
      </c>
      <c r="R886" s="900" t="s">
        <v>1297</v>
      </c>
      <c r="S886" s="900" t="s">
        <v>1297</v>
      </c>
      <c r="T886" s="900" t="s">
        <v>1297</v>
      </c>
      <c r="U886" s="900" t="s">
        <v>1297</v>
      </c>
      <c r="V886" t="str">
        <f t="shared" si="99"/>
        <v>2015/16Outputs - cust satStakeholder Engagement and Customer Vulnerability IncentiveRAG</v>
      </c>
    </row>
    <row r="887" spans="1:22">
      <c r="A887" s="900" t="s">
        <v>137</v>
      </c>
      <c r="B887" s="900"/>
      <c r="C887" s="900" t="s">
        <v>1325</v>
      </c>
      <c r="D887" t="s">
        <v>1326</v>
      </c>
      <c r="E887" t="s">
        <v>63</v>
      </c>
      <c r="F887" s="900" t="s">
        <v>1299</v>
      </c>
      <c r="G887">
        <v>3</v>
      </c>
      <c r="H887">
        <v>5</v>
      </c>
      <c r="I887">
        <v>5</v>
      </c>
      <c r="J887">
        <v>1</v>
      </c>
      <c r="K887">
        <v>1</v>
      </c>
      <c r="L887">
        <v>1</v>
      </c>
      <c r="M887">
        <v>1</v>
      </c>
      <c r="N887">
        <v>2</v>
      </c>
      <c r="O887">
        <v>2</v>
      </c>
      <c r="P887">
        <v>2</v>
      </c>
      <c r="Q887">
        <v>4</v>
      </c>
      <c r="R887">
        <v>4</v>
      </c>
      <c r="S887">
        <v>6</v>
      </c>
      <c r="T887">
        <v>6</v>
      </c>
      <c r="U887">
        <f>AVERAGE(G887:T887)</f>
        <v>3.0714285714285716</v>
      </c>
      <c r="V887" t="str">
        <f t="shared" si="99"/>
        <v>2015/16Outputs - cust satStakeholder Engagement and Customer Vulnerability IncentiveRanking</v>
      </c>
    </row>
    <row r="888" spans="1:22">
      <c r="A888" s="900" t="s">
        <v>138</v>
      </c>
      <c r="B888" s="900"/>
      <c r="C888" s="900" t="s">
        <v>1325</v>
      </c>
      <c r="D888" t="s">
        <v>1326</v>
      </c>
      <c r="E888" t="s">
        <v>408</v>
      </c>
      <c r="F888" t="s">
        <v>1299</v>
      </c>
      <c r="G888">
        <v>6.38</v>
      </c>
      <c r="H888">
        <v>6.5</v>
      </c>
      <c r="I888">
        <v>6.5</v>
      </c>
      <c r="J888">
        <v>8.5299999999999994</v>
      </c>
      <c r="K888">
        <v>8.5299999999999994</v>
      </c>
      <c r="L888">
        <v>8.5299999999999994</v>
      </c>
      <c r="M888">
        <v>8.5299999999999994</v>
      </c>
      <c r="N888">
        <v>7.53</v>
      </c>
      <c r="O888">
        <v>7.53</v>
      </c>
      <c r="P888">
        <v>7.53</v>
      </c>
      <c r="Q888">
        <v>6.28</v>
      </c>
      <c r="R888">
        <v>6.28</v>
      </c>
      <c r="S888">
        <v>5.23</v>
      </c>
      <c r="T888">
        <v>5.23</v>
      </c>
      <c r="U888">
        <f>AVERAGE(G888:T888)</f>
        <v>7.0792857142857155</v>
      </c>
      <c r="V888" t="str">
        <f t="shared" si="99"/>
        <v>2016/17Outputs - cust satStakeholder Engagement and Customer Vulnerability IncentiveScore</v>
      </c>
    </row>
    <row r="889" spans="1:22">
      <c r="A889" s="900" t="s">
        <v>138</v>
      </c>
      <c r="B889" s="900"/>
      <c r="C889" s="900" t="s">
        <v>1325</v>
      </c>
      <c r="D889" t="s">
        <v>1326</v>
      </c>
      <c r="E889" t="s">
        <v>339</v>
      </c>
      <c r="F889" t="s">
        <v>1296</v>
      </c>
      <c r="G889" t="s">
        <v>1297</v>
      </c>
      <c r="H889" t="s">
        <v>1297</v>
      </c>
      <c r="I889" t="s">
        <v>1297</v>
      </c>
      <c r="J889" t="s">
        <v>1297</v>
      </c>
      <c r="K889" t="s">
        <v>1297</v>
      </c>
      <c r="L889" t="s">
        <v>1297</v>
      </c>
      <c r="M889" t="s">
        <v>1297</v>
      </c>
      <c r="N889" t="s">
        <v>1297</v>
      </c>
      <c r="O889" t="s">
        <v>1297</v>
      </c>
      <c r="P889" t="s">
        <v>1297</v>
      </c>
      <c r="Q889" t="s">
        <v>1297</v>
      </c>
      <c r="R889" t="s">
        <v>1297</v>
      </c>
      <c r="S889" t="s">
        <v>1297</v>
      </c>
      <c r="T889" t="s">
        <v>1297</v>
      </c>
      <c r="U889" t="s">
        <v>1297</v>
      </c>
      <c r="V889" t="str">
        <f t="shared" si="99"/>
        <v>2016/17Outputs - cust satStakeholder Engagement and Customer Vulnerability IncentiveRAG</v>
      </c>
    </row>
    <row r="890" spans="1:22">
      <c r="A890" s="900" t="s">
        <v>138</v>
      </c>
      <c r="B890" s="900"/>
      <c r="C890" s="900" t="s">
        <v>1325</v>
      </c>
      <c r="D890" t="s">
        <v>1326</v>
      </c>
      <c r="E890" t="s">
        <v>63</v>
      </c>
      <c r="F890" t="s">
        <v>1299</v>
      </c>
      <c r="G890">
        <v>4</v>
      </c>
      <c r="H890">
        <v>3</v>
      </c>
      <c r="I890">
        <v>3</v>
      </c>
      <c r="J890">
        <v>1</v>
      </c>
      <c r="K890">
        <v>1</v>
      </c>
      <c r="L890">
        <v>1</v>
      </c>
      <c r="M890">
        <v>1</v>
      </c>
      <c r="N890">
        <v>2</v>
      </c>
      <c r="O890">
        <v>2</v>
      </c>
      <c r="P890">
        <v>2</v>
      </c>
      <c r="Q890">
        <v>5</v>
      </c>
      <c r="R890">
        <v>5</v>
      </c>
      <c r="S890">
        <v>6</v>
      </c>
      <c r="T890">
        <v>6</v>
      </c>
      <c r="U890">
        <f>AVERAGE(G890:T890)</f>
        <v>3</v>
      </c>
      <c r="V890" t="str">
        <f t="shared" si="99"/>
        <v>2016/17Outputs - cust satStakeholder Engagement and Customer Vulnerability IncentiveRanking</v>
      </c>
    </row>
    <row r="891" spans="1:22">
      <c r="A891" s="900" t="s">
        <v>139</v>
      </c>
      <c r="B891" s="900"/>
      <c r="C891" s="900" t="s">
        <v>1325</v>
      </c>
      <c r="D891" t="s">
        <v>1326</v>
      </c>
      <c r="E891" t="s">
        <v>408</v>
      </c>
      <c r="F891" t="s">
        <v>1299</v>
      </c>
      <c r="G891">
        <v>5.75</v>
      </c>
      <c r="H891">
        <v>7.5</v>
      </c>
      <c r="I891">
        <v>7.5</v>
      </c>
      <c r="J891">
        <v>8.75</v>
      </c>
      <c r="K891">
        <v>8.75</v>
      </c>
      <c r="L891">
        <v>8.75</v>
      </c>
      <c r="M891">
        <v>8.75</v>
      </c>
      <c r="N891">
        <v>7.25</v>
      </c>
      <c r="O891">
        <v>7.25</v>
      </c>
      <c r="P891">
        <v>7.25</v>
      </c>
      <c r="Q891">
        <v>6.35</v>
      </c>
      <c r="R891">
        <v>6.35</v>
      </c>
      <c r="S891">
        <v>5.5</v>
      </c>
      <c r="T891">
        <v>5.5</v>
      </c>
      <c r="U891">
        <f>AVERAGE(G891:T891)</f>
        <v>7.2285714285714278</v>
      </c>
      <c r="V891" t="str">
        <f t="shared" si="99"/>
        <v>2017/18Outputs - cust satStakeholder Engagement and Customer Vulnerability IncentiveScore</v>
      </c>
    </row>
    <row r="892" spans="1:22">
      <c r="A892" s="900" t="s">
        <v>139</v>
      </c>
      <c r="B892" s="900"/>
      <c r="C892" s="900" t="s">
        <v>1325</v>
      </c>
      <c r="D892" t="s">
        <v>1326</v>
      </c>
      <c r="E892" t="s">
        <v>339</v>
      </c>
      <c r="F892" t="s">
        <v>1296</v>
      </c>
      <c r="G892" t="s">
        <v>1297</v>
      </c>
      <c r="H892" t="s">
        <v>1297</v>
      </c>
      <c r="I892" t="s">
        <v>1297</v>
      </c>
      <c r="J892" t="s">
        <v>1297</v>
      </c>
      <c r="K892" t="s">
        <v>1297</v>
      </c>
      <c r="L892" t="s">
        <v>1297</v>
      </c>
      <c r="M892" t="s">
        <v>1297</v>
      </c>
      <c r="N892" t="s">
        <v>1297</v>
      </c>
      <c r="O892" t="s">
        <v>1297</v>
      </c>
      <c r="P892" t="s">
        <v>1297</v>
      </c>
      <c r="Q892" t="s">
        <v>1297</v>
      </c>
      <c r="R892" t="s">
        <v>1297</v>
      </c>
      <c r="S892" t="s">
        <v>1297</v>
      </c>
      <c r="T892" t="s">
        <v>1297</v>
      </c>
      <c r="U892" t="s">
        <v>1297</v>
      </c>
      <c r="V892" t="str">
        <f t="shared" si="99"/>
        <v>2017/18Outputs - cust satStakeholder Engagement and Customer Vulnerability IncentiveRAG</v>
      </c>
    </row>
    <row r="893" spans="1:22">
      <c r="A893" s="900" t="s">
        <v>139</v>
      </c>
      <c r="B893" s="900"/>
      <c r="C893" s="900" t="s">
        <v>1325</v>
      </c>
      <c r="D893" t="s">
        <v>1326</v>
      </c>
      <c r="E893" t="s">
        <v>63</v>
      </c>
      <c r="F893" t="s">
        <v>1299</v>
      </c>
      <c r="G893">
        <v>5</v>
      </c>
      <c r="H893">
        <v>2</v>
      </c>
      <c r="I893">
        <v>2</v>
      </c>
      <c r="J893">
        <v>1</v>
      </c>
      <c r="K893">
        <v>1</v>
      </c>
      <c r="L893">
        <v>1</v>
      </c>
      <c r="M893">
        <v>1</v>
      </c>
      <c r="N893">
        <v>3</v>
      </c>
      <c r="O893">
        <v>3</v>
      </c>
      <c r="P893">
        <v>3</v>
      </c>
      <c r="Q893">
        <v>4</v>
      </c>
      <c r="R893">
        <v>4</v>
      </c>
      <c r="S893">
        <v>6</v>
      </c>
      <c r="T893">
        <v>6</v>
      </c>
      <c r="U893">
        <f>AVERAGE(G893:T893)</f>
        <v>3</v>
      </c>
      <c r="V893" t="str">
        <f t="shared" si="99"/>
        <v>2017/18Outputs - cust satStakeholder Engagement and Customer Vulnerability IncentiveRanking</v>
      </c>
    </row>
    <row r="894" spans="1:22">
      <c r="A894" s="900" t="s">
        <v>140</v>
      </c>
      <c r="B894" s="900"/>
      <c r="C894" s="900" t="s">
        <v>1325</v>
      </c>
      <c r="D894" t="s">
        <v>1326</v>
      </c>
      <c r="E894" t="s">
        <v>408</v>
      </c>
      <c r="F894" t="s">
        <v>1299</v>
      </c>
      <c r="G894">
        <v>4.5</v>
      </c>
      <c r="H894">
        <v>7</v>
      </c>
      <c r="I894">
        <v>7</v>
      </c>
      <c r="J894">
        <v>8.4</v>
      </c>
      <c r="K894">
        <v>8.4</v>
      </c>
      <c r="L894">
        <v>8.4</v>
      </c>
      <c r="M894">
        <v>8.4</v>
      </c>
      <c r="N894">
        <v>8</v>
      </c>
      <c r="O894">
        <v>8</v>
      </c>
      <c r="P894">
        <v>8</v>
      </c>
      <c r="Q894">
        <v>6.7</v>
      </c>
      <c r="R894">
        <v>6.7</v>
      </c>
      <c r="S894">
        <v>4</v>
      </c>
      <c r="T894">
        <v>4</v>
      </c>
      <c r="U894">
        <f>AVERAGE(G894:T894)</f>
        <v>6.9642857142857144</v>
      </c>
      <c r="V894" t="str">
        <f t="shared" si="99"/>
        <v>2018/19Outputs - cust satStakeholder Engagement and Customer Vulnerability IncentiveScore</v>
      </c>
    </row>
    <row r="895" spans="1:22">
      <c r="A895" s="900" t="s">
        <v>140</v>
      </c>
      <c r="B895" s="900"/>
      <c r="C895" s="900" t="s">
        <v>1325</v>
      </c>
      <c r="D895" t="s">
        <v>1326</v>
      </c>
      <c r="E895" t="s">
        <v>339</v>
      </c>
      <c r="F895" t="s">
        <v>1296</v>
      </c>
      <c r="G895" t="s">
        <v>1327</v>
      </c>
      <c r="H895" t="s">
        <v>1297</v>
      </c>
      <c r="I895" t="s">
        <v>1297</v>
      </c>
      <c r="J895" t="s">
        <v>1297</v>
      </c>
      <c r="K895" t="s">
        <v>1297</v>
      </c>
      <c r="L895" t="s">
        <v>1297</v>
      </c>
      <c r="M895" t="s">
        <v>1297</v>
      </c>
      <c r="N895" t="s">
        <v>1297</v>
      </c>
      <c r="O895" t="s">
        <v>1297</v>
      </c>
      <c r="P895" t="s">
        <v>1297</v>
      </c>
      <c r="Q895" t="s">
        <v>1297</v>
      </c>
      <c r="R895" t="s">
        <v>1297</v>
      </c>
      <c r="S895" t="s">
        <v>1327</v>
      </c>
      <c r="T895" t="s">
        <v>1327</v>
      </c>
      <c r="U895" t="s">
        <v>1297</v>
      </c>
      <c r="V895" t="str">
        <f t="shared" si="99"/>
        <v>2018/19Outputs - cust satStakeholder Engagement and Customer Vulnerability IncentiveRAG</v>
      </c>
    </row>
    <row r="896" spans="1:22">
      <c r="A896" s="900" t="s">
        <v>140</v>
      </c>
      <c r="B896" s="900"/>
      <c r="C896" s="900" t="s">
        <v>1325</v>
      </c>
      <c r="D896" t="s">
        <v>1326</v>
      </c>
      <c r="E896" t="s">
        <v>63</v>
      </c>
      <c r="F896" t="s">
        <v>1299</v>
      </c>
      <c r="G896">
        <v>5</v>
      </c>
      <c r="H896">
        <v>3</v>
      </c>
      <c r="I896">
        <v>3</v>
      </c>
      <c r="J896">
        <v>1</v>
      </c>
      <c r="K896">
        <v>1</v>
      </c>
      <c r="L896">
        <v>1</v>
      </c>
      <c r="M896">
        <v>1</v>
      </c>
      <c r="N896">
        <v>2</v>
      </c>
      <c r="O896">
        <v>2</v>
      </c>
      <c r="P896">
        <v>2</v>
      </c>
      <c r="Q896">
        <v>4</v>
      </c>
      <c r="R896">
        <v>4</v>
      </c>
      <c r="S896">
        <v>6</v>
      </c>
      <c r="T896">
        <v>6</v>
      </c>
      <c r="U896">
        <f t="shared" ref="U896:U943" si="102">AVERAGE(G896:T896)</f>
        <v>2.9285714285714284</v>
      </c>
      <c r="V896" t="str">
        <f t="shared" si="99"/>
        <v>2018/19Outputs - cust satStakeholder Engagement and Customer Vulnerability IncentiveRanking</v>
      </c>
    </row>
    <row r="897" spans="1:22">
      <c r="A897" s="900" t="s">
        <v>141</v>
      </c>
      <c r="B897" s="900"/>
      <c r="C897" s="900" t="s">
        <v>1325</v>
      </c>
      <c r="D897" t="s">
        <v>1326</v>
      </c>
      <c r="E897" t="s">
        <v>408</v>
      </c>
      <c r="F897" t="s">
        <v>1299</v>
      </c>
      <c r="G897">
        <v>6.0250000000000004</v>
      </c>
      <c r="H897">
        <v>6.7125000000000004</v>
      </c>
      <c r="I897">
        <v>6.7125000000000004</v>
      </c>
      <c r="J897">
        <v>0</v>
      </c>
      <c r="K897">
        <v>0</v>
      </c>
      <c r="L897">
        <v>0</v>
      </c>
      <c r="M897">
        <v>0</v>
      </c>
      <c r="N897">
        <v>8.3000000000000007</v>
      </c>
      <c r="O897">
        <v>8.3000000000000007</v>
      </c>
      <c r="P897">
        <v>8.3000000000000007</v>
      </c>
      <c r="Q897">
        <v>6.85</v>
      </c>
      <c r="R897">
        <v>6.85</v>
      </c>
      <c r="S897">
        <v>5.5374999999999996</v>
      </c>
      <c r="T897">
        <v>5.5374999999999996</v>
      </c>
      <c r="U897">
        <f t="shared" si="102"/>
        <v>4.9375000000000009</v>
      </c>
      <c r="V897" t="str">
        <f t="shared" si="99"/>
        <v>2019/20Outputs - cust satStakeholder Engagement and Customer Vulnerability IncentiveScore</v>
      </c>
    </row>
    <row r="898" spans="1:22">
      <c r="A898" s="900" t="s">
        <v>141</v>
      </c>
      <c r="B898" s="900"/>
      <c r="C898" s="900" t="s">
        <v>1325</v>
      </c>
      <c r="D898" t="s">
        <v>1326</v>
      </c>
      <c r="E898" t="s">
        <v>339</v>
      </c>
      <c r="F898" t="s">
        <v>1296</v>
      </c>
      <c r="G898" t="s">
        <v>1297</v>
      </c>
      <c r="H898" t="s">
        <v>1297</v>
      </c>
      <c r="I898" t="s">
        <v>1297</v>
      </c>
      <c r="J898" t="s">
        <v>1327</v>
      </c>
      <c r="K898" t="s">
        <v>1327</v>
      </c>
      <c r="L898" t="s">
        <v>1327</v>
      </c>
      <c r="M898" t="s">
        <v>1327</v>
      </c>
      <c r="N898" t="s">
        <v>1297</v>
      </c>
      <c r="O898" t="s">
        <v>1297</v>
      </c>
      <c r="P898" t="s">
        <v>1297</v>
      </c>
      <c r="Q898" t="s">
        <v>1297</v>
      </c>
      <c r="R898" t="s">
        <v>1297</v>
      </c>
      <c r="S898" t="s">
        <v>1297</v>
      </c>
      <c r="T898" t="s">
        <v>1297</v>
      </c>
      <c r="U898" t="s">
        <v>1297</v>
      </c>
      <c r="V898" t="str">
        <f t="shared" si="99"/>
        <v>2019/20Outputs - cust satStakeholder Engagement and Customer Vulnerability IncentiveRAG</v>
      </c>
    </row>
    <row r="899" spans="1:22">
      <c r="A899" s="900" t="s">
        <v>141</v>
      </c>
      <c r="B899" s="900"/>
      <c r="C899" s="900" t="s">
        <v>1325</v>
      </c>
      <c r="D899" t="s">
        <v>1326</v>
      </c>
      <c r="E899" t="s">
        <v>63</v>
      </c>
      <c r="F899" t="s">
        <v>1299</v>
      </c>
      <c r="G899">
        <v>4</v>
      </c>
      <c r="H899">
        <v>3</v>
      </c>
      <c r="I899">
        <v>3</v>
      </c>
      <c r="J899">
        <v>6</v>
      </c>
      <c r="K899">
        <v>6</v>
      </c>
      <c r="L899">
        <v>6</v>
      </c>
      <c r="M899">
        <v>6</v>
      </c>
      <c r="N899">
        <v>1</v>
      </c>
      <c r="O899">
        <v>1</v>
      </c>
      <c r="P899">
        <v>1</v>
      </c>
      <c r="Q899">
        <v>2</v>
      </c>
      <c r="R899">
        <v>2</v>
      </c>
      <c r="S899">
        <v>5</v>
      </c>
      <c r="T899">
        <v>5</v>
      </c>
      <c r="U899">
        <f>AVERAGE(G899:T899)</f>
        <v>3.6428571428571428</v>
      </c>
      <c r="V899" t="str">
        <f t="shared" si="99"/>
        <v>2019/20Outputs - cust satStakeholder Engagement and Customer Vulnerability IncentiveRanking</v>
      </c>
    </row>
    <row r="900" spans="1:22">
      <c r="A900" s="900" t="s">
        <v>126</v>
      </c>
      <c r="B900" s="900"/>
      <c r="C900" s="900" t="s">
        <v>1325</v>
      </c>
      <c r="D900" t="s">
        <v>1326</v>
      </c>
      <c r="E900" t="s">
        <v>408</v>
      </c>
      <c r="F900" t="s">
        <v>1299</v>
      </c>
      <c r="G900">
        <v>6.6124999999999998</v>
      </c>
      <c r="H900">
        <v>5.0125000000000002</v>
      </c>
      <c r="I900">
        <v>5.0125000000000002</v>
      </c>
      <c r="J900">
        <v>0</v>
      </c>
      <c r="K900">
        <v>0</v>
      </c>
      <c r="L900">
        <v>0</v>
      </c>
      <c r="M900">
        <v>0</v>
      </c>
      <c r="N900">
        <v>8.0500000000000007</v>
      </c>
      <c r="O900">
        <v>8.0500000000000007</v>
      </c>
      <c r="P900">
        <v>8.0500000000000007</v>
      </c>
      <c r="Q900">
        <v>7.0750000000000002</v>
      </c>
      <c r="R900">
        <v>7.0750000000000002</v>
      </c>
      <c r="S900">
        <v>6.2833333333333323</v>
      </c>
      <c r="T900">
        <v>6.2833333333333323</v>
      </c>
      <c r="U900">
        <f>AVERAGE(G900:T900)</f>
        <v>4.8217261904761903</v>
      </c>
      <c r="V900" t="str">
        <f t="shared" si="99"/>
        <v>2020/21Outputs - cust satStakeholder Engagement and Customer Vulnerability IncentiveScore</v>
      </c>
    </row>
    <row r="901" spans="1:22">
      <c r="A901" s="900" t="s">
        <v>126</v>
      </c>
      <c r="B901" s="900"/>
      <c r="C901" s="900" t="s">
        <v>1325</v>
      </c>
      <c r="D901" t="s">
        <v>1326</v>
      </c>
      <c r="E901" t="s">
        <v>339</v>
      </c>
      <c r="F901" t="s">
        <v>1296</v>
      </c>
      <c r="G901" t="str">
        <f>IF(G876&lt;4,"Red","Green")</f>
        <v>Green</v>
      </c>
      <c r="H901" t="str">
        <f>IF(H876&lt;4,"Red","Green")</f>
        <v>Green</v>
      </c>
      <c r="I901" t="str">
        <f>IF(I876&lt;4,"Red","Green")</f>
        <v>Green</v>
      </c>
      <c r="J901" t="s">
        <v>1327</v>
      </c>
      <c r="K901" t="s">
        <v>1327</v>
      </c>
      <c r="L901" t="s">
        <v>1327</v>
      </c>
      <c r="M901" t="s">
        <v>1327</v>
      </c>
      <c r="N901" t="s">
        <v>1297</v>
      </c>
      <c r="O901" t="s">
        <v>1297</v>
      </c>
      <c r="P901" t="s">
        <v>1297</v>
      </c>
      <c r="Q901" t="s">
        <v>1297</v>
      </c>
      <c r="R901" t="s">
        <v>1297</v>
      </c>
      <c r="S901" t="s">
        <v>1297</v>
      </c>
      <c r="T901" t="s">
        <v>1297</v>
      </c>
      <c r="U901" t="s">
        <v>1297</v>
      </c>
      <c r="V901" t="str">
        <f t="shared" si="99"/>
        <v>2020/21Outputs - cust satStakeholder Engagement and Customer Vulnerability IncentiveRAG</v>
      </c>
    </row>
    <row r="902" spans="1:22">
      <c r="A902" s="900" t="s">
        <v>126</v>
      </c>
      <c r="B902" s="900"/>
      <c r="C902" s="900" t="s">
        <v>1325</v>
      </c>
      <c r="D902" t="s">
        <v>1326</v>
      </c>
      <c r="E902" t="s">
        <v>63</v>
      </c>
      <c r="F902" t="s">
        <v>1299</v>
      </c>
      <c r="G902">
        <v>3</v>
      </c>
      <c r="H902">
        <v>5</v>
      </c>
      <c r="I902">
        <v>5</v>
      </c>
      <c r="J902">
        <v>6</v>
      </c>
      <c r="K902">
        <v>6</v>
      </c>
      <c r="L902">
        <v>6</v>
      </c>
      <c r="M902">
        <v>6</v>
      </c>
      <c r="N902">
        <v>1</v>
      </c>
      <c r="O902">
        <v>1</v>
      </c>
      <c r="P902">
        <v>1</v>
      </c>
      <c r="Q902">
        <v>2</v>
      </c>
      <c r="R902">
        <v>2</v>
      </c>
      <c r="S902">
        <v>4</v>
      </c>
      <c r="T902">
        <v>4</v>
      </c>
      <c r="U902">
        <f>AVERAGE(G902:T902)</f>
        <v>3.7142857142857144</v>
      </c>
      <c r="V902" t="str">
        <f t="shared" si="99"/>
        <v>2020/21Outputs - cust satStakeholder Engagement and Customer Vulnerability IncentiveRanking</v>
      </c>
    </row>
    <row r="903" spans="1:22">
      <c r="A903" s="1088" t="s">
        <v>142</v>
      </c>
      <c r="B903" s="1088"/>
      <c r="C903" s="1088" t="s">
        <v>1325</v>
      </c>
      <c r="D903" s="1087" t="s">
        <v>1326</v>
      </c>
      <c r="E903" s="1087" t="s">
        <v>408</v>
      </c>
      <c r="F903" s="1087" t="s">
        <v>1299</v>
      </c>
      <c r="G903" s="1087">
        <v>4.3125</v>
      </c>
      <c r="H903" s="1087">
        <v>3.7</v>
      </c>
      <c r="I903" s="1087">
        <v>3.7</v>
      </c>
      <c r="J903" s="1087">
        <v>5.35</v>
      </c>
      <c r="K903" s="1087">
        <v>5.35</v>
      </c>
      <c r="L903" s="1087">
        <v>5.35</v>
      </c>
      <c r="M903" s="1087">
        <v>5.35</v>
      </c>
      <c r="N903" s="1087">
        <v>8.5374999999999996</v>
      </c>
      <c r="O903" s="1087">
        <v>8.5374999999999996</v>
      </c>
      <c r="P903" s="1087">
        <v>8.5374999999999996</v>
      </c>
      <c r="Q903" s="1087">
        <v>5.2874999999999996</v>
      </c>
      <c r="R903" s="1087">
        <v>5.2874999999999996</v>
      </c>
      <c r="S903" s="1087">
        <v>5.875</v>
      </c>
      <c r="T903" s="1087">
        <v>5.875</v>
      </c>
      <c r="U903" s="1087">
        <f>AVERAGE(G903:T903)</f>
        <v>5.7892857142857137</v>
      </c>
      <c r="V903" s="1087" t="str">
        <f>CONCATENATE(A903,B903,C903,D903,E903)</f>
        <v>2021/22Outputs - cust satStakeholder Engagement and Customer Vulnerability IncentiveScore</v>
      </c>
    </row>
    <row r="904" spans="1:22">
      <c r="A904" s="1088" t="s">
        <v>142</v>
      </c>
      <c r="B904" s="1088"/>
      <c r="C904" s="1088" t="s">
        <v>1325</v>
      </c>
      <c r="D904" s="1087" t="s">
        <v>1326</v>
      </c>
      <c r="E904" s="1087" t="s">
        <v>339</v>
      </c>
      <c r="F904" s="1087" t="s">
        <v>1296</v>
      </c>
      <c r="G904" s="1087" t="str">
        <f>IF(G903&lt;4,"Red","Green")</f>
        <v>Green</v>
      </c>
      <c r="H904" s="1087" t="str">
        <f t="shared" ref="H904:T904" si="103">IF(H903&lt;4,"Red","Green")</f>
        <v>Red</v>
      </c>
      <c r="I904" s="1087" t="str">
        <f t="shared" si="103"/>
        <v>Red</v>
      </c>
      <c r="J904" s="1087" t="str">
        <f t="shared" si="103"/>
        <v>Green</v>
      </c>
      <c r="K904" s="1087" t="str">
        <f t="shared" si="103"/>
        <v>Green</v>
      </c>
      <c r="L904" s="1087" t="str">
        <f t="shared" si="103"/>
        <v>Green</v>
      </c>
      <c r="M904" s="1087" t="str">
        <f t="shared" si="103"/>
        <v>Green</v>
      </c>
      <c r="N904" s="1087" t="str">
        <f t="shared" si="103"/>
        <v>Green</v>
      </c>
      <c r="O904" s="1087" t="str">
        <f t="shared" si="103"/>
        <v>Green</v>
      </c>
      <c r="P904" s="1087" t="str">
        <f t="shared" si="103"/>
        <v>Green</v>
      </c>
      <c r="Q904" s="1087" t="str">
        <f t="shared" si="103"/>
        <v>Green</v>
      </c>
      <c r="R904" s="1087" t="str">
        <f t="shared" si="103"/>
        <v>Green</v>
      </c>
      <c r="S904" s="1087" t="str">
        <f t="shared" si="103"/>
        <v>Green</v>
      </c>
      <c r="T904" s="1087" t="str">
        <f t="shared" si="103"/>
        <v>Green</v>
      </c>
      <c r="U904" s="1087" t="s">
        <v>1311</v>
      </c>
      <c r="V904" s="1087" t="str">
        <f t="shared" si="99"/>
        <v>2021/22Outputs - cust satStakeholder Engagement and Customer Vulnerability IncentiveRAG</v>
      </c>
    </row>
    <row r="905" spans="1:22">
      <c r="A905" s="1088" t="s">
        <v>142</v>
      </c>
      <c r="B905" s="1088"/>
      <c r="C905" s="1088" t="s">
        <v>1325</v>
      </c>
      <c r="D905" s="1087" t="s">
        <v>1326</v>
      </c>
      <c r="E905" s="1087" t="s">
        <v>63</v>
      </c>
      <c r="F905" s="1087" t="s">
        <v>1299</v>
      </c>
      <c r="G905" s="1087">
        <v>5</v>
      </c>
      <c r="H905" s="1087">
        <v>6</v>
      </c>
      <c r="I905" s="1087">
        <v>6</v>
      </c>
      <c r="J905" s="1087">
        <v>3</v>
      </c>
      <c r="K905" s="1087">
        <v>3</v>
      </c>
      <c r="L905" s="1087">
        <v>3</v>
      </c>
      <c r="M905" s="1087">
        <v>3</v>
      </c>
      <c r="N905" s="1087">
        <v>1</v>
      </c>
      <c r="O905" s="1087">
        <v>1</v>
      </c>
      <c r="P905" s="1087">
        <v>1</v>
      </c>
      <c r="Q905" s="1087">
        <v>4</v>
      </c>
      <c r="R905" s="1087">
        <v>4</v>
      </c>
      <c r="S905" s="1087">
        <v>2</v>
      </c>
      <c r="T905" s="1087">
        <v>2</v>
      </c>
      <c r="U905" s="1087">
        <f>AVERAGE(G905:T905)</f>
        <v>3.1428571428571428</v>
      </c>
      <c r="V905" s="1087" t="str">
        <f t="shared" si="99"/>
        <v>2021/22Outputs - cust satStakeholder Engagement and Customer Vulnerability IncentiveRanking</v>
      </c>
    </row>
    <row r="906" spans="1:22">
      <c r="A906" s="900" t="s">
        <v>137</v>
      </c>
      <c r="B906" s="900"/>
      <c r="C906" s="900" t="s">
        <v>1325</v>
      </c>
      <c r="D906" t="s">
        <v>388</v>
      </c>
      <c r="E906" t="s">
        <v>1328</v>
      </c>
      <c r="F906" t="s">
        <v>1289</v>
      </c>
      <c r="G906">
        <f t="array" ref="G906:T909">TRANSPOSE('Ch2 outputs - cust sat'!E99:H112)</f>
        <v>-0.70668679909527909</v>
      </c>
      <c r="H906">
        <v>0.83407436538086155</v>
      </c>
      <c r="I906">
        <v>0.8839347806347434</v>
      </c>
      <c r="J906">
        <v>4.3213334838974857</v>
      </c>
      <c r="K906">
        <v>4.6518531276182689</v>
      </c>
      <c r="L906">
        <v>2.2089911923980803</v>
      </c>
      <c r="M906">
        <v>3.0887222919549564</v>
      </c>
      <c r="N906">
        <v>1.0792741993905672</v>
      </c>
      <c r="O906">
        <v>1.82599864675749</v>
      </c>
      <c r="P906">
        <v>2.4898955989537992</v>
      </c>
      <c r="Q906">
        <v>2.1363515909080242</v>
      </c>
      <c r="R906">
        <v>2.7425860640962636</v>
      </c>
      <c r="S906">
        <v>1.7565104403800995</v>
      </c>
      <c r="T906">
        <v>0.26138954021741517</v>
      </c>
      <c r="U906">
        <f t="shared" si="102"/>
        <v>1.9695877516780553</v>
      </c>
      <c r="V906" t="str">
        <f t="shared" si="99"/>
        <v>2015/16Outputs - cust satBroad Measure of Customer ServiceCustomer Satisfaction Survey Reward/Penalty</v>
      </c>
    </row>
    <row r="907" spans="1:22">
      <c r="A907" s="900" t="s">
        <v>137</v>
      </c>
      <c r="B907" s="900"/>
      <c r="C907" s="900" t="s">
        <v>1325</v>
      </c>
      <c r="D907" t="s">
        <v>388</v>
      </c>
      <c r="E907" t="s">
        <v>1329</v>
      </c>
      <c r="F907" t="s">
        <v>1289</v>
      </c>
      <c r="G907">
        <v>0</v>
      </c>
      <c r="H907">
        <v>0</v>
      </c>
      <c r="I907">
        <v>0</v>
      </c>
      <c r="J907">
        <v>0</v>
      </c>
      <c r="K907">
        <v>0</v>
      </c>
      <c r="L907">
        <v>0</v>
      </c>
      <c r="M907">
        <v>0</v>
      </c>
      <c r="N907">
        <v>0</v>
      </c>
      <c r="O907">
        <v>0</v>
      </c>
      <c r="P907">
        <v>0</v>
      </c>
      <c r="Q907">
        <v>0</v>
      </c>
      <c r="R907">
        <v>0</v>
      </c>
      <c r="S907">
        <v>0</v>
      </c>
      <c r="T907">
        <v>0</v>
      </c>
      <c r="U907">
        <f t="shared" si="102"/>
        <v>0</v>
      </c>
      <c r="V907" t="str">
        <f t="shared" si="99"/>
        <v xml:space="preserve">2015/16Outputs - cust satBroad Measure of Customer ServiceComplaints Metric Penalty </v>
      </c>
    </row>
    <row r="908" spans="1:22">
      <c r="A908" s="900" t="s">
        <v>137</v>
      </c>
      <c r="B908" s="900"/>
      <c r="C908" s="900" t="s">
        <v>1325</v>
      </c>
      <c r="D908" t="s">
        <v>388</v>
      </c>
      <c r="E908" t="s">
        <v>1330</v>
      </c>
      <c r="F908" t="s">
        <v>1289</v>
      </c>
      <c r="G908">
        <v>1.180163400429141</v>
      </c>
      <c r="H908">
        <v>0.69945029120261581</v>
      </c>
      <c r="I908">
        <v>1.0173822417492593</v>
      </c>
      <c r="J908">
        <v>2.4162828241544911</v>
      </c>
      <c r="K908">
        <v>2.4162828241544911</v>
      </c>
      <c r="L908">
        <v>1.087327270869521</v>
      </c>
      <c r="M908">
        <v>1.6913979769081438</v>
      </c>
      <c r="N908">
        <v>1.3448521508123024</v>
      </c>
      <c r="O908">
        <v>1.4345089608664556</v>
      </c>
      <c r="P908">
        <v>2.0621066312455296</v>
      </c>
      <c r="Q908">
        <v>1.1292942883416779</v>
      </c>
      <c r="R908">
        <v>1.1998751813630326</v>
      </c>
      <c r="S908">
        <v>0.43874609175436807</v>
      </c>
      <c r="T908">
        <v>0.92136679268417276</v>
      </c>
      <c r="U908">
        <f t="shared" si="102"/>
        <v>1.3599312090382287</v>
      </c>
      <c r="V908" t="str">
        <f t="shared" si="99"/>
        <v xml:space="preserve">2015/16Outputs - cust satBroad Measure of Customer ServiceStakeholder Engagement and Consumer Vulnerability Financial Reward </v>
      </c>
    </row>
    <row r="909" spans="1:22">
      <c r="A909" s="900" t="s">
        <v>137</v>
      </c>
      <c r="B909" s="900"/>
      <c r="C909" s="900" t="s">
        <v>1325</v>
      </c>
      <c r="D909" t="s">
        <v>388</v>
      </c>
      <c r="E909" t="s">
        <v>1331</v>
      </c>
      <c r="F909" t="s">
        <v>1289</v>
      </c>
      <c r="G909">
        <v>0.49892080497149283</v>
      </c>
      <c r="H909">
        <v>1.6316058757175844</v>
      </c>
      <c r="I909">
        <v>2.0226519120465927</v>
      </c>
      <c r="J909">
        <v>7.1467034225646255</v>
      </c>
      <c r="K909">
        <v>7.4972964206527015</v>
      </c>
      <c r="L909">
        <v>3.4924456348004491</v>
      </c>
      <c r="M909">
        <v>5.070114126196791</v>
      </c>
      <c r="N909">
        <v>2.5755101013393276</v>
      </c>
      <c r="O909">
        <v>3.451992596559518</v>
      </c>
      <c r="P909">
        <v>4.8273958967512005</v>
      </c>
      <c r="Q909">
        <v>3.4654769426398282</v>
      </c>
      <c r="R909">
        <v>4.1801472848962913</v>
      </c>
      <c r="S909">
        <v>2.3327918718937366</v>
      </c>
      <c r="T909">
        <v>1.2540441854688873</v>
      </c>
      <c r="U909">
        <f t="shared" si="102"/>
        <v>3.5319355054642161</v>
      </c>
      <c r="V909" t="str">
        <f t="shared" si="99"/>
        <v xml:space="preserve">2015/16Outputs - cust satBroad Measure of Customer ServiceBroad Measure of Customer Service reward </v>
      </c>
    </row>
    <row r="910" spans="1:22">
      <c r="A910" s="900" t="s">
        <v>137</v>
      </c>
      <c r="B910" s="900"/>
      <c r="C910" s="900" t="s">
        <v>1325</v>
      </c>
      <c r="D910" t="s">
        <v>388</v>
      </c>
      <c r="E910" t="s">
        <v>992</v>
      </c>
      <c r="F910" t="s">
        <v>1299</v>
      </c>
      <c r="G910">
        <f>RANK(G909,$G$909:$T$909)</f>
        <v>14</v>
      </c>
      <c r="H910">
        <f t="shared" ref="H910:T910" si="104">RANK(H909,$G$909:$T$909)</f>
        <v>12</v>
      </c>
      <c r="I910">
        <f t="shared" si="104"/>
        <v>11</v>
      </c>
      <c r="J910">
        <f t="shared" si="104"/>
        <v>2</v>
      </c>
      <c r="K910">
        <f t="shared" si="104"/>
        <v>1</v>
      </c>
      <c r="L910">
        <f t="shared" si="104"/>
        <v>6</v>
      </c>
      <c r="M910">
        <f t="shared" si="104"/>
        <v>3</v>
      </c>
      <c r="N910">
        <f t="shared" si="104"/>
        <v>9</v>
      </c>
      <c r="O910">
        <f t="shared" si="104"/>
        <v>8</v>
      </c>
      <c r="P910">
        <f t="shared" si="104"/>
        <v>4</v>
      </c>
      <c r="Q910">
        <f t="shared" si="104"/>
        <v>7</v>
      </c>
      <c r="R910">
        <f t="shared" si="104"/>
        <v>5</v>
      </c>
      <c r="S910">
        <f t="shared" si="104"/>
        <v>10</v>
      </c>
      <c r="T910">
        <f t="shared" si="104"/>
        <v>13</v>
      </c>
      <c r="U910">
        <f t="shared" si="102"/>
        <v>7.5</v>
      </c>
      <c r="V910" t="str">
        <f t="shared" si="99"/>
        <v>2015/16Outputs - cust satBroad Measure of Customer ServiceBroad Measure of Customer Service ranking</v>
      </c>
    </row>
    <row r="911" spans="1:22">
      <c r="A911" s="900" t="s">
        <v>138</v>
      </c>
      <c r="B911" s="900"/>
      <c r="C911" s="900" t="s">
        <v>1325</v>
      </c>
      <c r="D911" t="s">
        <v>388</v>
      </c>
      <c r="E911" t="s">
        <v>1328</v>
      </c>
      <c r="F911" t="s">
        <v>1289</v>
      </c>
      <c r="G911">
        <f t="array" ref="G911:T914">TRANSPOSE('Ch2 outputs - cust sat'!J99:M112)</f>
        <v>0.46242837295434769</v>
      </c>
      <c r="H911">
        <v>1.8540268214240367</v>
      </c>
      <c r="I911">
        <v>2.0861483421457088</v>
      </c>
      <c r="J911">
        <v>4.2399404924900406</v>
      </c>
      <c r="K911">
        <v>4.6161175763768272</v>
      </c>
      <c r="L911">
        <v>2.0897031245529796</v>
      </c>
      <c r="M911">
        <v>3.2301886175538987</v>
      </c>
      <c r="N911">
        <v>1.9086479862881318</v>
      </c>
      <c r="O911">
        <v>2.2998349109634262</v>
      </c>
      <c r="P911">
        <v>2.5935470270610477</v>
      </c>
      <c r="Q911">
        <v>2.2870929235102677</v>
      </c>
      <c r="R911">
        <v>3.1779254016493752</v>
      </c>
      <c r="S911">
        <v>1.8592660467967717</v>
      </c>
      <c r="T911">
        <v>1.4113783237091313</v>
      </c>
      <c r="U911">
        <f t="shared" si="102"/>
        <v>2.4368747119625707</v>
      </c>
      <c r="V911" t="str">
        <f t="shared" si="99"/>
        <v>2016/17Outputs - cust satBroad Measure of Customer ServiceCustomer Satisfaction Survey Reward/Penalty</v>
      </c>
    </row>
    <row r="912" spans="1:22">
      <c r="A912" s="900" t="s">
        <v>138</v>
      </c>
      <c r="B912" s="900"/>
      <c r="C912" s="900" t="s">
        <v>1325</v>
      </c>
      <c r="D912" t="s">
        <v>388</v>
      </c>
      <c r="E912" t="s">
        <v>1329</v>
      </c>
      <c r="F912" t="s">
        <v>1289</v>
      </c>
      <c r="G912">
        <v>0</v>
      </c>
      <c r="H912">
        <v>0</v>
      </c>
      <c r="I912">
        <v>0</v>
      </c>
      <c r="J912">
        <v>0</v>
      </c>
      <c r="K912">
        <v>0</v>
      </c>
      <c r="L912">
        <v>0</v>
      </c>
      <c r="M912">
        <v>0</v>
      </c>
      <c r="N912">
        <v>0</v>
      </c>
      <c r="O912">
        <v>0</v>
      </c>
      <c r="P912">
        <v>0</v>
      </c>
      <c r="Q912">
        <v>0</v>
      </c>
      <c r="R912">
        <v>0</v>
      </c>
      <c r="S912">
        <v>0</v>
      </c>
      <c r="T912">
        <v>0</v>
      </c>
      <c r="U912">
        <f t="shared" si="102"/>
        <v>0</v>
      </c>
      <c r="V912" t="str">
        <f t="shared" si="99"/>
        <v xml:space="preserve">2016/17Outputs - cust satBroad Measure of Customer ServiceComplaints Metric Penalty </v>
      </c>
    </row>
    <row r="913" spans="1:22">
      <c r="A913" s="900" t="s">
        <v>138</v>
      </c>
      <c r="B913" s="900"/>
      <c r="C913" s="900" t="s">
        <v>1325</v>
      </c>
      <c r="D913" t="s">
        <v>388</v>
      </c>
      <c r="E913" t="s">
        <v>1330</v>
      </c>
      <c r="F913" t="s">
        <v>1289</v>
      </c>
      <c r="G913">
        <v>0.96651312966179659</v>
      </c>
      <c r="H913">
        <v>0.69945029120261593</v>
      </c>
      <c r="I913">
        <v>1.0173822417492595</v>
      </c>
      <c r="J913">
        <v>2.301827321957699</v>
      </c>
      <c r="K913">
        <v>2.301827321957699</v>
      </c>
      <c r="L913">
        <v>1.0358222948809646</v>
      </c>
      <c r="M913">
        <v>1.6112791253703891</v>
      </c>
      <c r="N913">
        <v>1.3448521508123024</v>
      </c>
      <c r="O913">
        <v>1.4345089608664559</v>
      </c>
      <c r="P913">
        <v>2.0621066312455301</v>
      </c>
      <c r="Q913">
        <v>0.92581783999182643</v>
      </c>
      <c r="R913">
        <v>0.98368145499131532</v>
      </c>
      <c r="S913">
        <v>0.31157331153571066</v>
      </c>
      <c r="T913">
        <v>0.65430395422499232</v>
      </c>
      <c r="U913">
        <f t="shared" si="102"/>
        <v>1.2607818593177542</v>
      </c>
      <c r="V913" t="str">
        <f t="shared" si="99"/>
        <v xml:space="preserve">2016/17Outputs - cust satBroad Measure of Customer ServiceStakeholder Engagement and Consumer Vulnerability Financial Reward </v>
      </c>
    </row>
    <row r="914" spans="1:22">
      <c r="A914" s="900" t="s">
        <v>138</v>
      </c>
      <c r="B914" s="900"/>
      <c r="C914" s="900" t="s">
        <v>1325</v>
      </c>
      <c r="D914" t="s">
        <v>388</v>
      </c>
      <c r="E914" t="s">
        <v>1331</v>
      </c>
      <c r="F914" t="s">
        <v>1289</v>
      </c>
      <c r="G914">
        <v>1.4289415026161443</v>
      </c>
      <c r="H914">
        <v>2.5534771126266529</v>
      </c>
      <c r="I914">
        <v>3.1035305838949681</v>
      </c>
      <c r="J914">
        <v>6.5417678144477396</v>
      </c>
      <c r="K914">
        <v>6.9179448983345262</v>
      </c>
      <c r="L914">
        <v>3.1255254194339441</v>
      </c>
      <c r="M914">
        <v>4.8414677429242881</v>
      </c>
      <c r="N914">
        <v>3.253500137100434</v>
      </c>
      <c r="O914">
        <v>3.734343871829882</v>
      </c>
      <c r="P914">
        <v>4.6556536583065782</v>
      </c>
      <c r="Q914">
        <v>3.2129107635020944</v>
      </c>
      <c r="R914">
        <v>4.1616068566406907</v>
      </c>
      <c r="S914">
        <v>2.1708393583324823</v>
      </c>
      <c r="T914">
        <v>2.0656822779341235</v>
      </c>
      <c r="U914">
        <f t="shared" si="102"/>
        <v>3.6976565712803242</v>
      </c>
      <c r="V914" t="str">
        <f t="shared" si="99"/>
        <v xml:space="preserve">2016/17Outputs - cust satBroad Measure of Customer ServiceBroad Measure of Customer Service reward </v>
      </c>
    </row>
    <row r="915" spans="1:22">
      <c r="A915" s="900" t="s">
        <v>138</v>
      </c>
      <c r="B915" s="900"/>
      <c r="C915" s="900" t="s">
        <v>1325</v>
      </c>
      <c r="D915" t="s">
        <v>388</v>
      </c>
      <c r="E915" t="s">
        <v>992</v>
      </c>
      <c r="F915" t="s">
        <v>1299</v>
      </c>
      <c r="G915">
        <f>RANK(G914,$G$914:$T$914)</f>
        <v>14</v>
      </c>
      <c r="H915">
        <f t="shared" ref="H915:T915" si="105">RANK(H914,$G$914:$T$914)</f>
        <v>11</v>
      </c>
      <c r="I915">
        <f t="shared" si="105"/>
        <v>10</v>
      </c>
      <c r="J915">
        <f t="shared" si="105"/>
        <v>2</v>
      </c>
      <c r="K915">
        <f t="shared" si="105"/>
        <v>1</v>
      </c>
      <c r="L915">
        <f t="shared" si="105"/>
        <v>9</v>
      </c>
      <c r="M915">
        <f t="shared" si="105"/>
        <v>3</v>
      </c>
      <c r="N915">
        <f t="shared" si="105"/>
        <v>7</v>
      </c>
      <c r="O915">
        <f t="shared" si="105"/>
        <v>6</v>
      </c>
      <c r="P915">
        <f t="shared" si="105"/>
        <v>4</v>
      </c>
      <c r="Q915">
        <f t="shared" si="105"/>
        <v>8</v>
      </c>
      <c r="R915">
        <f t="shared" si="105"/>
        <v>5</v>
      </c>
      <c r="S915">
        <f t="shared" si="105"/>
        <v>12</v>
      </c>
      <c r="T915">
        <f t="shared" si="105"/>
        <v>13</v>
      </c>
      <c r="U915">
        <f t="shared" si="102"/>
        <v>7.5</v>
      </c>
      <c r="V915" t="str">
        <f t="shared" si="99"/>
        <v>2016/17Outputs - cust satBroad Measure of Customer ServiceBroad Measure of Customer Service ranking</v>
      </c>
    </row>
    <row r="916" spans="1:22">
      <c r="A916" s="900" t="s">
        <v>139</v>
      </c>
      <c r="B916" s="900"/>
      <c r="C916" s="900" t="s">
        <v>1325</v>
      </c>
      <c r="D916" t="s">
        <v>388</v>
      </c>
      <c r="E916" t="s">
        <v>1328</v>
      </c>
      <c r="F916" t="s">
        <v>1289</v>
      </c>
      <c r="G916">
        <f t="array" ref="G916:T919">TRANSPOSE('Ch2 outputs - cust sat'!O99:R113)</f>
        <v>1.1568338365916635</v>
      </c>
      <c r="H916">
        <v>1.9388227665480842</v>
      </c>
      <c r="I916">
        <v>1.8331654498263055</v>
      </c>
      <c r="J916">
        <v>4.4342986524982138</v>
      </c>
      <c r="K916">
        <v>4.5829663330156096</v>
      </c>
      <c r="L916">
        <v>2.4162828241544907</v>
      </c>
      <c r="M916">
        <v>3.1942439913213954</v>
      </c>
      <c r="N916">
        <v>2.9737776998847454</v>
      </c>
      <c r="O916">
        <v>2.5864380160831191</v>
      </c>
      <c r="P916">
        <v>3.8002047195230197</v>
      </c>
      <c r="Q916">
        <v>2.6485808366150909</v>
      </c>
      <c r="R916">
        <v>2.6717131793643412</v>
      </c>
      <c r="S916">
        <v>1.9660911821804445</v>
      </c>
      <c r="T916">
        <v>1.1646205705646835</v>
      </c>
      <c r="U916">
        <f t="shared" si="102"/>
        <v>2.6691457184408001</v>
      </c>
      <c r="V916" t="str">
        <f t="shared" si="99"/>
        <v>2017/18Outputs - cust satBroad Measure of Customer ServiceCustomer Satisfaction Survey Reward/Penalty</v>
      </c>
    </row>
    <row r="917" spans="1:22">
      <c r="A917" s="900" t="s">
        <v>139</v>
      </c>
      <c r="B917" s="900"/>
      <c r="C917" s="900" t="s">
        <v>1325</v>
      </c>
      <c r="D917" t="s">
        <v>388</v>
      </c>
      <c r="E917" t="s">
        <v>1329</v>
      </c>
      <c r="F917" t="s">
        <v>1289</v>
      </c>
      <c r="G917">
        <v>0</v>
      </c>
      <c r="H917">
        <v>0</v>
      </c>
      <c r="I917">
        <v>0</v>
      </c>
      <c r="J917">
        <v>0</v>
      </c>
      <c r="K917">
        <v>0</v>
      </c>
      <c r="L917">
        <v>0</v>
      </c>
      <c r="M917">
        <v>0</v>
      </c>
      <c r="N917">
        <v>0</v>
      </c>
      <c r="O917">
        <v>0</v>
      </c>
      <c r="P917">
        <v>0</v>
      </c>
      <c r="Q917">
        <v>0</v>
      </c>
      <c r="R917">
        <v>0</v>
      </c>
      <c r="S917">
        <v>0</v>
      </c>
      <c r="T917">
        <v>0</v>
      </c>
      <c r="U917">
        <f t="shared" si="102"/>
        <v>0</v>
      </c>
      <c r="V917" t="str">
        <f t="shared" si="99"/>
        <v xml:space="preserve">2017/18Outputs - cust satBroad Measure of Customer ServiceComplaints Metric Penalty </v>
      </c>
    </row>
    <row r="918" spans="1:22">
      <c r="A918" s="900" t="s">
        <v>139</v>
      </c>
      <c r="B918" s="900"/>
      <c r="C918" s="900" t="s">
        <v>1325</v>
      </c>
      <c r="D918" t="s">
        <v>388</v>
      </c>
      <c r="E918" t="s">
        <v>1330</v>
      </c>
      <c r="F918" t="s">
        <v>1289</v>
      </c>
      <c r="G918">
        <v>0.71216756922448132</v>
      </c>
      <c r="H918">
        <v>0.9792304076836621</v>
      </c>
      <c r="I918">
        <v>1.4243351384489626</v>
      </c>
      <c r="J918">
        <v>2.4162828241544907</v>
      </c>
      <c r="K918">
        <v>1.0873272708695207</v>
      </c>
      <c r="L918">
        <v>1.0873272708695207</v>
      </c>
      <c r="M918">
        <v>1.6913979769081433</v>
      </c>
      <c r="N918">
        <v>1.2399346071319095</v>
      </c>
      <c r="O918">
        <v>1.3225969142740368</v>
      </c>
      <c r="P918">
        <v>1.9012330642689277</v>
      </c>
      <c r="Q918">
        <v>0.95633930724430349</v>
      </c>
      <c r="R918">
        <v>1.0161105139470725</v>
      </c>
      <c r="S918">
        <v>0.38151834065597218</v>
      </c>
      <c r="T918">
        <v>0.80118851537754165</v>
      </c>
      <c r="U918">
        <f t="shared" si="102"/>
        <v>1.2154992657898962</v>
      </c>
      <c r="V918" t="str">
        <f t="shared" si="99"/>
        <v xml:space="preserve">2017/18Outputs - cust satBroad Measure of Customer ServiceStakeholder Engagement and Consumer Vulnerability Financial Reward </v>
      </c>
    </row>
    <row r="919" spans="1:22">
      <c r="A919" s="900" t="s">
        <v>139</v>
      </c>
      <c r="B919" s="900"/>
      <c r="C919" s="900" t="s">
        <v>1325</v>
      </c>
      <c r="D919" t="s">
        <v>388</v>
      </c>
      <c r="E919" t="s">
        <v>1331</v>
      </c>
      <c r="F919" t="s">
        <v>1289</v>
      </c>
      <c r="G919">
        <v>1.8690014058161448</v>
      </c>
      <c r="H919">
        <v>2.9180531742317464</v>
      </c>
      <c r="I919">
        <v>3.2575005882752679</v>
      </c>
      <c r="J919">
        <v>6.8505814766527049</v>
      </c>
      <c r="K919">
        <v>5.6702936038851304</v>
      </c>
      <c r="L919">
        <v>3.5036100950240114</v>
      </c>
      <c r="M919">
        <v>4.8856419682295389</v>
      </c>
      <c r="N919">
        <v>4.2137123070166549</v>
      </c>
      <c r="O919">
        <v>3.9090349303571559</v>
      </c>
      <c r="P919">
        <v>5.7014377837919472</v>
      </c>
      <c r="Q919">
        <v>3.6049201438593945</v>
      </c>
      <c r="R919">
        <v>3.6878236933114135</v>
      </c>
      <c r="S919">
        <v>2.3476095228364167</v>
      </c>
      <c r="T919">
        <v>1.965809085942225</v>
      </c>
      <c r="U919">
        <f t="shared" si="102"/>
        <v>3.8846449842306967</v>
      </c>
      <c r="V919" t="str">
        <f t="shared" si="99"/>
        <v xml:space="preserve">2017/18Outputs - cust satBroad Measure of Customer ServiceBroad Measure of Customer Service reward </v>
      </c>
    </row>
    <row r="920" spans="1:22">
      <c r="A920" s="900" t="s">
        <v>139</v>
      </c>
      <c r="B920" s="900"/>
      <c r="C920" s="900" t="s">
        <v>1325</v>
      </c>
      <c r="D920" t="s">
        <v>388</v>
      </c>
      <c r="E920" t="s">
        <v>992</v>
      </c>
      <c r="F920" t="s">
        <v>1299</v>
      </c>
      <c r="G920">
        <f>RANK(G919,$G$919:$T$919)</f>
        <v>14</v>
      </c>
      <c r="H920">
        <f t="shared" ref="H920:T920" si="106">RANK(H919,$G$919:$T$919)</f>
        <v>11</v>
      </c>
      <c r="I920">
        <f t="shared" si="106"/>
        <v>10</v>
      </c>
      <c r="J920">
        <f t="shared" si="106"/>
        <v>1</v>
      </c>
      <c r="K920">
        <f t="shared" si="106"/>
        <v>3</v>
      </c>
      <c r="L920">
        <f t="shared" si="106"/>
        <v>9</v>
      </c>
      <c r="M920">
        <f t="shared" si="106"/>
        <v>4</v>
      </c>
      <c r="N920">
        <f t="shared" si="106"/>
        <v>5</v>
      </c>
      <c r="O920">
        <f t="shared" si="106"/>
        <v>6</v>
      </c>
      <c r="P920">
        <f t="shared" si="106"/>
        <v>2</v>
      </c>
      <c r="Q920">
        <f t="shared" si="106"/>
        <v>8</v>
      </c>
      <c r="R920">
        <f t="shared" si="106"/>
        <v>7</v>
      </c>
      <c r="S920">
        <f t="shared" si="106"/>
        <v>12</v>
      </c>
      <c r="T920">
        <f t="shared" si="106"/>
        <v>13</v>
      </c>
      <c r="U920">
        <f t="shared" si="102"/>
        <v>7.5</v>
      </c>
      <c r="V920" t="str">
        <f t="shared" si="99"/>
        <v>2017/18Outputs - cust satBroad Measure of Customer ServiceBroad Measure of Customer Service ranking</v>
      </c>
    </row>
    <row r="921" spans="1:22">
      <c r="A921" s="900" t="s">
        <v>140</v>
      </c>
      <c r="B921" s="900"/>
      <c r="C921" s="900" t="s">
        <v>1325</v>
      </c>
      <c r="D921" t="s">
        <v>388</v>
      </c>
      <c r="E921" t="s">
        <v>1328</v>
      </c>
      <c r="F921" t="s">
        <v>1289</v>
      </c>
      <c r="G921">
        <f t="array" ref="G921:T924">TRANSPOSE('Ch2 outputs - cust sat'!T99:W112)</f>
        <v>2.1108119860322714</v>
      </c>
      <c r="H921">
        <v>1.9974956757185507</v>
      </c>
      <c r="I921">
        <v>2.2205170326465815</v>
      </c>
      <c r="J921">
        <v>5.005202697455811</v>
      </c>
      <c r="K921">
        <v>4.9448846477981023</v>
      </c>
      <c r="L921">
        <v>2.4162828241544907</v>
      </c>
      <c r="M921">
        <v>3.4130630755083313</v>
      </c>
      <c r="N921">
        <v>2.940851404537657</v>
      </c>
      <c r="O921">
        <v>2.6701476714825825</v>
      </c>
      <c r="P921">
        <v>4.2215920037600911</v>
      </c>
      <c r="Q921">
        <v>3.5830742203155528</v>
      </c>
      <c r="R921">
        <v>4.2189887769490175</v>
      </c>
      <c r="S921">
        <v>2.5434556043731482</v>
      </c>
      <c r="T921">
        <v>2.5681697681442004</v>
      </c>
      <c r="U921">
        <f t="shared" si="102"/>
        <v>3.203895527776885</v>
      </c>
      <c r="V921" t="str">
        <f t="shared" si="99"/>
        <v>2018/19Outputs - cust satBroad Measure of Customer ServiceCustomer Satisfaction Survey Reward/Penalty</v>
      </c>
    </row>
    <row r="922" spans="1:22">
      <c r="A922" s="900" t="s">
        <v>140</v>
      </c>
      <c r="B922" s="900"/>
      <c r="C922" s="900" t="s">
        <v>1325</v>
      </c>
      <c r="D922" t="s">
        <v>388</v>
      </c>
      <c r="E922" t="s">
        <v>1329</v>
      </c>
      <c r="F922" t="s">
        <v>1289</v>
      </c>
      <c r="G922">
        <v>0</v>
      </c>
      <c r="H922">
        <v>0</v>
      </c>
      <c r="I922">
        <v>0</v>
      </c>
      <c r="J922">
        <v>0</v>
      </c>
      <c r="K922">
        <v>0</v>
      </c>
      <c r="L922">
        <v>0</v>
      </c>
      <c r="M922">
        <v>0</v>
      </c>
      <c r="N922">
        <v>0</v>
      </c>
      <c r="O922">
        <v>0</v>
      </c>
      <c r="P922">
        <v>0</v>
      </c>
      <c r="Q922">
        <v>0</v>
      </c>
      <c r="R922">
        <v>0</v>
      </c>
      <c r="S922">
        <v>0</v>
      </c>
      <c r="T922">
        <v>0</v>
      </c>
      <c r="U922">
        <f t="shared" si="102"/>
        <v>0</v>
      </c>
      <c r="V922" t="str">
        <f t="shared" si="99"/>
        <v xml:space="preserve">2018/19Outputs - cust satBroad Measure of Customer ServiceComplaints Metric Penalty </v>
      </c>
    </row>
    <row r="923" spans="1:22">
      <c r="A923" s="900" t="s">
        <v>140</v>
      </c>
      <c r="B923" s="900"/>
      <c r="C923" s="900" t="s">
        <v>1325</v>
      </c>
      <c r="D923" t="s">
        <v>388</v>
      </c>
      <c r="E923" t="s">
        <v>1330</v>
      </c>
      <c r="F923" t="s">
        <v>1289</v>
      </c>
      <c r="G923">
        <v>0.21873718197609066</v>
      </c>
      <c r="H923">
        <v>0.84283760089915216</v>
      </c>
      <c r="I923">
        <v>1.2259456013078578</v>
      </c>
      <c r="J923">
        <v>2.212806375804639</v>
      </c>
      <c r="K923">
        <v>2.212806375804639</v>
      </c>
      <c r="L923">
        <v>0.99576286911208767</v>
      </c>
      <c r="M923">
        <v>1.5489644630632473</v>
      </c>
      <c r="N923">
        <v>1.5069974455910906</v>
      </c>
      <c r="O923">
        <v>1.6074639419638299</v>
      </c>
      <c r="P923">
        <v>2.3107294165730052</v>
      </c>
      <c r="Q923">
        <v>1.1038597322979469</v>
      </c>
      <c r="R923">
        <v>1.1728509655665682</v>
      </c>
      <c r="S923">
        <v>0</v>
      </c>
      <c r="T923">
        <v>0</v>
      </c>
      <c r="U923">
        <f t="shared" si="102"/>
        <v>1.2114115692828684</v>
      </c>
      <c r="V923" t="str">
        <f t="shared" si="99"/>
        <v xml:space="preserve">2018/19Outputs - cust satBroad Measure of Customer ServiceStakeholder Engagement and Consumer Vulnerability Financial Reward </v>
      </c>
    </row>
    <row r="924" spans="1:22">
      <c r="A924" s="900" t="s">
        <v>140</v>
      </c>
      <c r="B924" s="900"/>
      <c r="C924" s="900" t="s">
        <v>1325</v>
      </c>
      <c r="D924" t="s">
        <v>388</v>
      </c>
      <c r="E924" t="s">
        <v>1331</v>
      </c>
      <c r="F924" t="s">
        <v>1289</v>
      </c>
      <c r="G924">
        <v>2.329549168008362</v>
      </c>
      <c r="H924">
        <v>2.8403332766177027</v>
      </c>
      <c r="I924">
        <v>3.4464626339544395</v>
      </c>
      <c r="J924">
        <v>7.2180090732604505</v>
      </c>
      <c r="K924">
        <v>7.1576910236027409</v>
      </c>
      <c r="L924">
        <v>3.4120456932665784</v>
      </c>
      <c r="M924">
        <v>4.9620275385715784</v>
      </c>
      <c r="N924">
        <v>4.4478488501287474</v>
      </c>
      <c r="O924">
        <v>4.2776116134464122</v>
      </c>
      <c r="P924">
        <v>6.5323214203330959</v>
      </c>
      <c r="Q924">
        <v>4.6869339526134999</v>
      </c>
      <c r="R924">
        <v>5.391839742515586</v>
      </c>
      <c r="S924">
        <v>2.5434556043731482</v>
      </c>
      <c r="T924">
        <v>2.5681697681442004</v>
      </c>
      <c r="U924">
        <f t="shared" si="102"/>
        <v>4.4153070970597534</v>
      </c>
      <c r="V924" t="str">
        <f t="shared" si="99"/>
        <v xml:space="preserve">2018/19Outputs - cust satBroad Measure of Customer ServiceBroad Measure of Customer Service reward </v>
      </c>
    </row>
    <row r="925" spans="1:22">
      <c r="A925" s="900" t="s">
        <v>140</v>
      </c>
      <c r="B925" s="900"/>
      <c r="C925" s="900" t="s">
        <v>1325</v>
      </c>
      <c r="D925" t="s">
        <v>388</v>
      </c>
      <c r="E925" t="s">
        <v>992</v>
      </c>
      <c r="F925" t="s">
        <v>1299</v>
      </c>
      <c r="G925">
        <f>RANK(G924,$G$924:$T$924)</f>
        <v>14</v>
      </c>
      <c r="H925">
        <f t="shared" ref="H925:T925" si="107">RANK(H924,$G$924:$T$924)</f>
        <v>11</v>
      </c>
      <c r="I925">
        <f t="shared" si="107"/>
        <v>9</v>
      </c>
      <c r="J925">
        <f t="shared" si="107"/>
        <v>1</v>
      </c>
      <c r="K925">
        <f t="shared" si="107"/>
        <v>2</v>
      </c>
      <c r="L925">
        <f t="shared" si="107"/>
        <v>10</v>
      </c>
      <c r="M925">
        <f t="shared" si="107"/>
        <v>5</v>
      </c>
      <c r="N925">
        <f t="shared" si="107"/>
        <v>7</v>
      </c>
      <c r="O925">
        <f t="shared" si="107"/>
        <v>8</v>
      </c>
      <c r="P925">
        <f t="shared" si="107"/>
        <v>3</v>
      </c>
      <c r="Q925">
        <f t="shared" si="107"/>
        <v>6</v>
      </c>
      <c r="R925">
        <f t="shared" si="107"/>
        <v>4</v>
      </c>
      <c r="S925">
        <f t="shared" si="107"/>
        <v>13</v>
      </c>
      <c r="T925">
        <f t="shared" si="107"/>
        <v>12</v>
      </c>
      <c r="U925">
        <f t="shared" si="102"/>
        <v>7.5</v>
      </c>
      <c r="V925" t="str">
        <f t="shared" si="99"/>
        <v>2018/19Outputs - cust satBroad Measure of Customer ServiceBroad Measure of Customer Service ranking</v>
      </c>
    </row>
    <row r="926" spans="1:22">
      <c r="A926" s="900" t="s">
        <v>141</v>
      </c>
      <c r="B926" s="900"/>
      <c r="C926" s="900" t="s">
        <v>1325</v>
      </c>
      <c r="D926" t="s">
        <v>388</v>
      </c>
      <c r="E926" t="s">
        <v>1328</v>
      </c>
      <c r="F926" t="s">
        <v>1289</v>
      </c>
      <c r="G926">
        <f t="array" ref="G926:T929">TRANSPOSE('Ch2 outputs - cust sat'!Y99:AB112)</f>
        <v>3.1469193114107554</v>
      </c>
      <c r="H926">
        <v>2.5517184497210881</v>
      </c>
      <c r="I926">
        <v>3.1346410809355265</v>
      </c>
      <c r="J926">
        <v>5.0869112087462964</v>
      </c>
      <c r="K926">
        <v>5.0869112087462964</v>
      </c>
      <c r="L926">
        <v>2.4162828241544907</v>
      </c>
      <c r="M926">
        <v>3.5608378461224079</v>
      </c>
      <c r="N926">
        <v>3.8151834065597221</v>
      </c>
      <c r="O926">
        <v>3.7353337244034162</v>
      </c>
      <c r="P926">
        <v>5.8499478900582407</v>
      </c>
      <c r="Q926">
        <v>3.9423561867783801</v>
      </c>
      <c r="R926">
        <v>4.3238745274343522</v>
      </c>
      <c r="S926">
        <v>2.5434556043731482</v>
      </c>
      <c r="T926">
        <v>3.4784264535592522</v>
      </c>
      <c r="U926">
        <f t="shared" ref="U926:U935" si="108">AVERAGE(G926:T926)</f>
        <v>3.7623428373573842</v>
      </c>
      <c r="V926" t="str">
        <f t="shared" si="99"/>
        <v>2019/20Outputs - cust satBroad Measure of Customer ServiceCustomer Satisfaction Survey Reward/Penalty</v>
      </c>
    </row>
    <row r="927" spans="1:22">
      <c r="A927" s="900" t="s">
        <v>141</v>
      </c>
      <c r="B927" s="900"/>
      <c r="C927" s="900" t="s">
        <v>1325</v>
      </c>
      <c r="D927" t="s">
        <v>388</v>
      </c>
      <c r="E927" t="s">
        <v>1329</v>
      </c>
      <c r="F927" t="s">
        <v>1289</v>
      </c>
      <c r="G927">
        <v>0</v>
      </c>
      <c r="H927">
        <v>0</v>
      </c>
      <c r="I927">
        <v>0</v>
      </c>
      <c r="J927">
        <v>0</v>
      </c>
      <c r="K927">
        <v>0</v>
      </c>
      <c r="L927">
        <v>0</v>
      </c>
      <c r="M927">
        <v>0</v>
      </c>
      <c r="N927">
        <v>0</v>
      </c>
      <c r="O927">
        <v>0</v>
      </c>
      <c r="P927">
        <v>0</v>
      </c>
      <c r="Q927">
        <v>0</v>
      </c>
      <c r="R927">
        <v>0</v>
      </c>
      <c r="S927">
        <v>0</v>
      </c>
      <c r="T927">
        <v>0</v>
      </c>
      <c r="U927">
        <f t="shared" si="108"/>
        <v>0</v>
      </c>
      <c r="V927" t="str">
        <f t="shared" si="99"/>
        <v xml:space="preserve">2019/20Outputs - cust satBroad Measure of Customer ServiceComplaints Metric Penalty </v>
      </c>
    </row>
    <row r="928" spans="1:22">
      <c r="A928" s="900" t="s">
        <v>141</v>
      </c>
      <c r="B928" s="900"/>
      <c r="C928" s="900" t="s">
        <v>1325</v>
      </c>
      <c r="D928" t="s">
        <v>388</v>
      </c>
      <c r="E928" t="s">
        <v>1330</v>
      </c>
      <c r="F928" t="s">
        <v>1289</v>
      </c>
      <c r="G928">
        <v>0.82407961581690026</v>
      </c>
      <c r="H928">
        <v>0.75890356595483832</v>
      </c>
      <c r="I928">
        <v>1.1038597322979466</v>
      </c>
      <c r="J928">
        <v>0</v>
      </c>
      <c r="K928">
        <v>0</v>
      </c>
      <c r="L928">
        <v>0</v>
      </c>
      <c r="M928">
        <v>0</v>
      </c>
      <c r="N928">
        <v>1.6405288648206811</v>
      </c>
      <c r="O928">
        <v>1.7498974558087264</v>
      </c>
      <c r="P928">
        <v>2.5154775927250443</v>
      </c>
      <c r="Q928">
        <v>1.1598157555941557</v>
      </c>
      <c r="R928">
        <v>1.2323042403187903</v>
      </c>
      <c r="S928">
        <v>0.3910562991723715</v>
      </c>
      <c r="T928">
        <v>0.82121822826198032</v>
      </c>
      <c r="U928">
        <f t="shared" si="108"/>
        <v>0.87122438219795961</v>
      </c>
      <c r="V928" t="str">
        <f t="shared" si="99"/>
        <v xml:space="preserve">2019/20Outputs - cust satBroad Measure of Customer ServiceStakeholder Engagement and Consumer Vulnerability Financial Reward </v>
      </c>
    </row>
    <row r="929" spans="1:22">
      <c r="A929" s="900" t="s">
        <v>141</v>
      </c>
      <c r="B929" s="900"/>
      <c r="C929" s="900" t="s">
        <v>1325</v>
      </c>
      <c r="D929" t="s">
        <v>388</v>
      </c>
      <c r="E929" t="s">
        <v>1331</v>
      </c>
      <c r="F929" t="s">
        <v>1289</v>
      </c>
      <c r="G929">
        <v>3.9709989272276558</v>
      </c>
      <c r="H929">
        <v>3.3106220156759263</v>
      </c>
      <c r="I929">
        <v>4.2385008132334736</v>
      </c>
      <c r="J929">
        <v>5.0869112087462964</v>
      </c>
      <c r="K929">
        <v>5.0869112087462964</v>
      </c>
      <c r="L929">
        <v>2.4162828241544907</v>
      </c>
      <c r="M929">
        <v>3.5608378461224079</v>
      </c>
      <c r="N929">
        <v>5.4557122713804027</v>
      </c>
      <c r="O929">
        <v>5.4852311802121427</v>
      </c>
      <c r="P929">
        <v>8.3654254827832855</v>
      </c>
      <c r="Q929">
        <v>5.1021719423725358</v>
      </c>
      <c r="R929">
        <v>5.556178767753142</v>
      </c>
      <c r="S929">
        <v>2.9345119035455198</v>
      </c>
      <c r="T929">
        <v>4.2996446818212322</v>
      </c>
      <c r="U929">
        <f t="shared" si="108"/>
        <v>4.6335672195553439</v>
      </c>
      <c r="V929" t="str">
        <f t="shared" si="99"/>
        <v xml:space="preserve">2019/20Outputs - cust satBroad Measure of Customer ServiceBroad Measure of Customer Service reward </v>
      </c>
    </row>
    <row r="930" spans="1:22">
      <c r="A930" s="900" t="s">
        <v>141</v>
      </c>
      <c r="B930" s="900"/>
      <c r="C930" s="900" t="s">
        <v>1325</v>
      </c>
      <c r="D930" t="s">
        <v>388</v>
      </c>
      <c r="E930" t="s">
        <v>992</v>
      </c>
      <c r="F930" t="s">
        <v>1299</v>
      </c>
      <c r="G930">
        <f t="shared" ref="G930:T930" si="109">RANK(G929,$G$929:$T$929)</f>
        <v>10</v>
      </c>
      <c r="H930">
        <f t="shared" si="109"/>
        <v>12</v>
      </c>
      <c r="I930">
        <f t="shared" si="109"/>
        <v>9</v>
      </c>
      <c r="J930">
        <f t="shared" si="109"/>
        <v>6</v>
      </c>
      <c r="K930">
        <f t="shared" si="109"/>
        <v>6</v>
      </c>
      <c r="L930">
        <f t="shared" si="109"/>
        <v>14</v>
      </c>
      <c r="M930">
        <f t="shared" si="109"/>
        <v>11</v>
      </c>
      <c r="N930">
        <f t="shared" si="109"/>
        <v>4</v>
      </c>
      <c r="O930">
        <f t="shared" si="109"/>
        <v>3</v>
      </c>
      <c r="P930">
        <f t="shared" si="109"/>
        <v>1</v>
      </c>
      <c r="Q930">
        <f t="shared" si="109"/>
        <v>5</v>
      </c>
      <c r="R930">
        <f t="shared" si="109"/>
        <v>2</v>
      </c>
      <c r="S930">
        <f t="shared" si="109"/>
        <v>13</v>
      </c>
      <c r="T930">
        <f t="shared" si="109"/>
        <v>8</v>
      </c>
      <c r="U930">
        <f t="shared" si="108"/>
        <v>7.4285714285714288</v>
      </c>
      <c r="V930" t="str">
        <f t="shared" si="99"/>
        <v>2019/20Outputs - cust satBroad Measure of Customer ServiceBroad Measure of Customer Service ranking</v>
      </c>
    </row>
    <row r="931" spans="1:22">
      <c r="A931" s="900" t="s">
        <v>126</v>
      </c>
      <c r="B931" s="900"/>
      <c r="C931" s="900" t="s">
        <v>1325</v>
      </c>
      <c r="D931" t="s">
        <v>388</v>
      </c>
      <c r="E931" t="s">
        <v>1328</v>
      </c>
      <c r="F931" t="s">
        <v>1289</v>
      </c>
      <c r="G931" cm="1">
        <f t="array" ref="G931:T934">TRANSPOSE('Ch2 outputs - cust sat'!AD99:AG112)</f>
        <v>3.8373409901833235</v>
      </c>
      <c r="H931">
        <v>2.9249739450291203</v>
      </c>
      <c r="I931">
        <v>3.657997850209465</v>
      </c>
      <c r="J931">
        <v>5.0869112087462964</v>
      </c>
      <c r="K931">
        <v>5.0869112087462964</v>
      </c>
      <c r="L931">
        <v>2.4162828241544907</v>
      </c>
      <c r="M931">
        <v>3.5608378461224079</v>
      </c>
      <c r="N931">
        <v>3.8151834065597221</v>
      </c>
      <c r="O931">
        <v>3.9423561867783801</v>
      </c>
      <c r="P931">
        <v>5.8499478900582407</v>
      </c>
      <c r="Q931">
        <v>3.9423561867783801</v>
      </c>
      <c r="R931">
        <v>4.3238745274343522</v>
      </c>
      <c r="S931">
        <v>2.5434556043731482</v>
      </c>
      <c r="T931">
        <v>2.5899971293937032</v>
      </c>
      <c r="U931">
        <f t="shared" si="108"/>
        <v>3.827030486040524</v>
      </c>
      <c r="V931" t="str">
        <f t="shared" si="99"/>
        <v>2020/21Outputs - cust satBroad Measure of Customer ServiceCustomer Satisfaction Survey Reward/Penalty</v>
      </c>
    </row>
    <row r="932" spans="1:22">
      <c r="A932" s="900" t="s">
        <v>126</v>
      </c>
      <c r="B932" s="900"/>
      <c r="C932" s="900" t="s">
        <v>1325</v>
      </c>
      <c r="D932" t="s">
        <v>388</v>
      </c>
      <c r="E932" t="s">
        <v>1329</v>
      </c>
      <c r="F932" t="s">
        <v>1289</v>
      </c>
      <c r="G932">
        <v>0</v>
      </c>
      <c r="H932">
        <v>0</v>
      </c>
      <c r="I932">
        <v>0</v>
      </c>
      <c r="J932">
        <v>0</v>
      </c>
      <c r="K932">
        <v>0</v>
      </c>
      <c r="L932">
        <v>0</v>
      </c>
      <c r="M932">
        <v>0</v>
      </c>
      <c r="N932">
        <v>0</v>
      </c>
      <c r="O932">
        <v>0</v>
      </c>
      <c r="P932">
        <v>0</v>
      </c>
      <c r="Q932">
        <v>0</v>
      </c>
      <c r="R932">
        <v>0</v>
      </c>
      <c r="S932">
        <v>0</v>
      </c>
      <c r="T932">
        <v>0</v>
      </c>
      <c r="U932">
        <f t="shared" si="108"/>
        <v>0</v>
      </c>
      <c r="V932" t="str">
        <f t="shared" si="99"/>
        <v xml:space="preserve">2020/21Outputs - cust satBroad Measure of Customer ServiceComplaints Metric Penalty </v>
      </c>
    </row>
    <row r="933" spans="1:22">
      <c r="A933" s="900" t="s">
        <v>126</v>
      </c>
      <c r="B933" s="900"/>
      <c r="C933" s="900" t="s">
        <v>1325</v>
      </c>
      <c r="D933" t="s">
        <v>388</v>
      </c>
      <c r="E933" t="s">
        <v>1330</v>
      </c>
      <c r="F933" t="s">
        <v>1289</v>
      </c>
      <c r="G933">
        <v>1.063164442627976</v>
      </c>
      <c r="H933">
        <v>0.28327736793705949</v>
      </c>
      <c r="I933">
        <v>0.41203980790845013</v>
      </c>
      <c r="J933">
        <v>0</v>
      </c>
      <c r="K933">
        <v>0</v>
      </c>
      <c r="L933">
        <v>0</v>
      </c>
      <c r="M933">
        <v>0</v>
      </c>
      <c r="N933">
        <v>1.5451492796566879</v>
      </c>
      <c r="O933">
        <v>1.6481592316338005</v>
      </c>
      <c r="P933">
        <v>2.3692288954735878</v>
      </c>
      <c r="Q933">
        <v>1.2513801573515893</v>
      </c>
      <c r="R933">
        <v>1.3295914171860634</v>
      </c>
      <c r="S933">
        <v>0.55956023296209279</v>
      </c>
      <c r="T933">
        <v>1.1750764892203949</v>
      </c>
      <c r="U933">
        <f t="shared" si="108"/>
        <v>0.83118766585412174</v>
      </c>
      <c r="V933" t="str">
        <f t="shared" si="99"/>
        <v xml:space="preserve">2020/21Outputs - cust satBroad Measure of Customer ServiceStakeholder Engagement and Consumer Vulnerability Financial Reward </v>
      </c>
    </row>
    <row r="934" spans="1:22">
      <c r="A934" s="900" t="s">
        <v>126</v>
      </c>
      <c r="B934" s="900"/>
      <c r="C934" s="900" t="s">
        <v>1325</v>
      </c>
      <c r="D934" t="s">
        <v>388</v>
      </c>
      <c r="E934" t="s">
        <v>1331</v>
      </c>
      <c r="F934" t="s">
        <v>1289</v>
      </c>
      <c r="G934">
        <v>4.9005054328112996</v>
      </c>
      <c r="H934">
        <v>3.2082513129661798</v>
      </c>
      <c r="I934">
        <v>4.070037658117915</v>
      </c>
      <c r="J934">
        <v>5.0869112087462964</v>
      </c>
      <c r="K934">
        <v>5.0869112087462964</v>
      </c>
      <c r="L934">
        <v>2.4162828241544907</v>
      </c>
      <c r="M934">
        <v>3.5608378461224079</v>
      </c>
      <c r="N934">
        <v>5.3603326862164096</v>
      </c>
      <c r="O934">
        <v>5.5905154184121804</v>
      </c>
      <c r="P934">
        <v>8.219176785531829</v>
      </c>
      <c r="Q934">
        <v>5.1937363441299693</v>
      </c>
      <c r="R934">
        <v>5.6534659446204154</v>
      </c>
      <c r="S934">
        <v>3.1030158373352412</v>
      </c>
      <c r="T934">
        <v>3.7650736186140978</v>
      </c>
      <c r="U934">
        <f t="shared" si="108"/>
        <v>4.6582181518946451</v>
      </c>
      <c r="V934" t="str">
        <f t="shared" si="99"/>
        <v xml:space="preserve">2020/21Outputs - cust satBroad Measure of Customer ServiceBroad Measure of Customer Service reward </v>
      </c>
    </row>
    <row r="935" spans="1:22">
      <c r="A935" s="900" t="s">
        <v>126</v>
      </c>
      <c r="B935" s="900"/>
      <c r="C935" s="900" t="s">
        <v>1325</v>
      </c>
      <c r="D935" t="s">
        <v>388</v>
      </c>
      <c r="E935" t="s">
        <v>992</v>
      </c>
      <c r="F935" t="s">
        <v>1299</v>
      </c>
      <c r="G935">
        <f>RANK(G934,$G$934:$T$934)</f>
        <v>8</v>
      </c>
      <c r="H935">
        <f t="shared" ref="H935:T935" si="110">RANK(H934,$G$934:$T$934)</f>
        <v>12</v>
      </c>
      <c r="I935">
        <f t="shared" si="110"/>
        <v>9</v>
      </c>
      <c r="J935">
        <f t="shared" si="110"/>
        <v>6</v>
      </c>
      <c r="K935">
        <f t="shared" si="110"/>
        <v>6</v>
      </c>
      <c r="L935">
        <f t="shared" si="110"/>
        <v>14</v>
      </c>
      <c r="M935">
        <f t="shared" si="110"/>
        <v>11</v>
      </c>
      <c r="N935">
        <f t="shared" si="110"/>
        <v>4</v>
      </c>
      <c r="O935">
        <f t="shared" si="110"/>
        <v>3</v>
      </c>
      <c r="P935">
        <f t="shared" si="110"/>
        <v>1</v>
      </c>
      <c r="Q935">
        <f t="shared" si="110"/>
        <v>5</v>
      </c>
      <c r="R935">
        <f t="shared" si="110"/>
        <v>2</v>
      </c>
      <c r="S935">
        <f t="shared" si="110"/>
        <v>13</v>
      </c>
      <c r="T935">
        <f t="shared" si="110"/>
        <v>10</v>
      </c>
      <c r="U935">
        <f t="shared" si="108"/>
        <v>7.4285714285714288</v>
      </c>
      <c r="V935" t="str">
        <f t="shared" si="99"/>
        <v>2020/21Outputs - cust satBroad Measure of Customer ServiceBroad Measure of Customer Service ranking</v>
      </c>
    </row>
    <row r="936" spans="1:22">
      <c r="A936" s="900" t="s">
        <v>142</v>
      </c>
      <c r="B936" s="900"/>
      <c r="C936" s="900" t="s">
        <v>1325</v>
      </c>
      <c r="D936" t="s">
        <v>388</v>
      </c>
      <c r="E936" t="s">
        <v>1328</v>
      </c>
      <c r="F936" t="s">
        <v>1289</v>
      </c>
      <c r="G936" cm="1">
        <f t="array" ref="G936:U939">TRANSPOSE('Ch2 outputs - cust sat'!AI99:AL113)</f>
        <v>3.0550332192847218</v>
      </c>
      <c r="H936">
        <v>0.87419077813426005</v>
      </c>
      <c r="I936">
        <v>1.1961760061191802</v>
      </c>
      <c r="J936">
        <v>4.4555074234479797</v>
      </c>
      <c r="K936">
        <v>4.6802722094098153</v>
      </c>
      <c r="L936">
        <v>2.2938088423978837</v>
      </c>
      <c r="M936">
        <v>2.7688779191283475</v>
      </c>
      <c r="N936">
        <v>3.8151834065597221</v>
      </c>
      <c r="O936">
        <v>3.9423561867783801</v>
      </c>
      <c r="P936">
        <v>5.8499478900582407</v>
      </c>
      <c r="Q936">
        <v>3.7869593874083405</v>
      </c>
      <c r="R936">
        <v>3.7867793908542144</v>
      </c>
      <c r="S936">
        <v>2.1677160512149798</v>
      </c>
      <c r="T936">
        <v>0.14292237479379208</v>
      </c>
      <c r="U936">
        <v>42.815731085589853</v>
      </c>
      <c r="V936" t="str">
        <f t="shared" si="99"/>
        <v>2021/22Outputs - cust satBroad Measure of Customer ServiceCustomer Satisfaction Survey Reward/Penalty</v>
      </c>
    </row>
    <row r="937" spans="1:22">
      <c r="A937" s="900" t="s">
        <v>142</v>
      </c>
      <c r="B937" s="900"/>
      <c r="C937" s="900" t="s">
        <v>1325</v>
      </c>
      <c r="D937" t="s">
        <v>388</v>
      </c>
      <c r="E937" t="s">
        <v>1329</v>
      </c>
      <c r="F937" t="s">
        <v>1289</v>
      </c>
      <c r="G937">
        <v>0</v>
      </c>
      <c r="H937">
        <v>0</v>
      </c>
      <c r="I937">
        <v>0</v>
      </c>
      <c r="J937">
        <v>0</v>
      </c>
      <c r="K937">
        <v>0</v>
      </c>
      <c r="L937">
        <v>0</v>
      </c>
      <c r="M937">
        <v>0</v>
      </c>
      <c r="N937">
        <v>0</v>
      </c>
      <c r="O937">
        <v>0</v>
      </c>
      <c r="P937">
        <v>0</v>
      </c>
      <c r="Q937">
        <v>0</v>
      </c>
      <c r="R937">
        <v>0</v>
      </c>
      <c r="S937">
        <v>0</v>
      </c>
      <c r="T937">
        <v>0</v>
      </c>
      <c r="U937">
        <v>0</v>
      </c>
      <c r="V937" t="str">
        <f t="shared" si="99"/>
        <v xml:space="preserve">2021/22Outputs - cust satBroad Measure of Customer ServiceComplaints Metric Penalty </v>
      </c>
    </row>
    <row r="938" spans="1:22">
      <c r="A938" s="900" t="s">
        <v>142</v>
      </c>
      <c r="B938" s="900"/>
      <c r="C938" s="900" t="s">
        <v>1325</v>
      </c>
      <c r="D938" t="s">
        <v>388</v>
      </c>
      <c r="E938" t="s">
        <v>1330</v>
      </c>
      <c r="F938" t="s">
        <v>1289</v>
      </c>
      <c r="G938">
        <v>0.12717278021865741</v>
      </c>
      <c r="H938">
        <v>0</v>
      </c>
      <c r="I938">
        <v>0</v>
      </c>
      <c r="J938">
        <v>0.68673301318074997</v>
      </c>
      <c r="K938">
        <v>0.68673301318074997</v>
      </c>
      <c r="L938">
        <v>0.30902985593133747</v>
      </c>
      <c r="M938">
        <v>0.48071310922652494</v>
      </c>
      <c r="N938">
        <v>1.731139470726474</v>
      </c>
      <c r="O938">
        <v>1.8465487687749056</v>
      </c>
      <c r="P938">
        <v>2.6544138551139262</v>
      </c>
      <c r="Q938">
        <v>0.52395185450086845</v>
      </c>
      <c r="R938">
        <v>0.55669884540717274</v>
      </c>
      <c r="S938">
        <v>0.47689792581996526</v>
      </c>
      <c r="T938">
        <v>1.0014856442219273</v>
      </c>
      <c r="U938">
        <v>11.081518136303259</v>
      </c>
      <c r="V938" t="str">
        <f t="shared" si="99"/>
        <v xml:space="preserve">2021/22Outputs - cust satBroad Measure of Customer ServiceStakeholder Engagement and Consumer Vulnerability Financial Reward </v>
      </c>
    </row>
    <row r="939" spans="1:22">
      <c r="A939" s="900" t="s">
        <v>142</v>
      </c>
      <c r="B939" s="900"/>
      <c r="C939" s="900" t="s">
        <v>1325</v>
      </c>
      <c r="D939" t="s">
        <v>388</v>
      </c>
      <c r="E939" t="s">
        <v>1331</v>
      </c>
      <c r="F939" t="s">
        <v>1289</v>
      </c>
      <c r="G939">
        <v>3.1822059995033793</v>
      </c>
      <c r="H939">
        <v>0.87419077813426005</v>
      </c>
      <c r="I939">
        <v>1.1961760061191802</v>
      </c>
      <c r="J939">
        <v>5.1422404366287298</v>
      </c>
      <c r="K939">
        <v>5.3670052225905653</v>
      </c>
      <c r="L939">
        <v>2.6028386983292213</v>
      </c>
      <c r="M939">
        <v>3.2495910283548723</v>
      </c>
      <c r="N939">
        <v>5.5463228772861957</v>
      </c>
      <c r="O939">
        <v>5.7889049555532859</v>
      </c>
      <c r="P939">
        <v>8.5043617451721669</v>
      </c>
      <c r="Q939">
        <v>4.310911241909209</v>
      </c>
      <c r="R939">
        <v>4.3434782362613875</v>
      </c>
      <c r="S939">
        <v>2.6446139770349451</v>
      </c>
      <c r="T939">
        <v>1.1444080190157193</v>
      </c>
      <c r="U939">
        <v>53.897249221893119</v>
      </c>
      <c r="V939" t="str">
        <f t="shared" si="99"/>
        <v xml:space="preserve">2021/22Outputs - cust satBroad Measure of Customer ServiceBroad Measure of Customer Service reward </v>
      </c>
    </row>
    <row r="940" spans="1:22">
      <c r="A940" s="900" t="s">
        <v>142</v>
      </c>
      <c r="B940" s="900"/>
      <c r="C940" s="900" t="s">
        <v>1325</v>
      </c>
      <c r="D940" t="s">
        <v>388</v>
      </c>
      <c r="E940" t="s">
        <v>992</v>
      </c>
      <c r="F940" t="s">
        <v>1299</v>
      </c>
      <c r="G940">
        <f>RANK(G939,$G$939:$T$939)</f>
        <v>9</v>
      </c>
      <c r="H940">
        <f t="shared" ref="H940:T940" si="111">RANK(H939,$G$939:$T$939)</f>
        <v>14</v>
      </c>
      <c r="I940">
        <f t="shared" si="111"/>
        <v>12</v>
      </c>
      <c r="J940">
        <f t="shared" si="111"/>
        <v>5</v>
      </c>
      <c r="K940">
        <f t="shared" si="111"/>
        <v>4</v>
      </c>
      <c r="L940">
        <f t="shared" si="111"/>
        <v>11</v>
      </c>
      <c r="M940">
        <f t="shared" si="111"/>
        <v>8</v>
      </c>
      <c r="N940">
        <f t="shared" si="111"/>
        <v>3</v>
      </c>
      <c r="O940">
        <f t="shared" si="111"/>
        <v>2</v>
      </c>
      <c r="P940">
        <f t="shared" si="111"/>
        <v>1</v>
      </c>
      <c r="Q940">
        <f t="shared" si="111"/>
        <v>7</v>
      </c>
      <c r="R940">
        <f t="shared" si="111"/>
        <v>6</v>
      </c>
      <c r="S940">
        <f t="shared" si="111"/>
        <v>10</v>
      </c>
      <c r="T940">
        <f t="shared" si="111"/>
        <v>13</v>
      </c>
      <c r="U940">
        <f t="shared" ref="U940" si="112">AVERAGE(G940:T940)</f>
        <v>7.5</v>
      </c>
      <c r="V940" t="str">
        <f t="shared" ref="V940" si="113">CONCATENATE(A940,B940,C940,D940,E940)</f>
        <v>2021/22Outputs - cust satBroad Measure of Customer ServiceBroad Measure of Customer Service ranking</v>
      </c>
    </row>
    <row r="941" spans="1:22">
      <c r="A941" s="900" t="s">
        <v>137</v>
      </c>
      <c r="B941" s="900"/>
      <c r="C941" s="900" t="s">
        <v>18</v>
      </c>
      <c r="D941" t="s">
        <v>995</v>
      </c>
      <c r="E941" t="s">
        <v>533</v>
      </c>
      <c r="F941" s="900" t="s">
        <v>1299</v>
      </c>
      <c r="G941">
        <v>18</v>
      </c>
      <c r="H941">
        <v>16</v>
      </c>
      <c r="I941">
        <v>16</v>
      </c>
      <c r="J941">
        <v>14</v>
      </c>
      <c r="K941">
        <v>14</v>
      </c>
      <c r="L941">
        <v>14</v>
      </c>
      <c r="M941">
        <v>14</v>
      </c>
      <c r="N941">
        <v>31</v>
      </c>
      <c r="O941">
        <v>31</v>
      </c>
      <c r="P941">
        <v>31</v>
      </c>
      <c r="Q941">
        <v>21</v>
      </c>
      <c r="R941">
        <v>21</v>
      </c>
      <c r="S941">
        <v>35</v>
      </c>
      <c r="T941">
        <v>35</v>
      </c>
      <c r="U941" s="229">
        <f>AVERAGE(G941:T941)</f>
        <v>22.214285714285715</v>
      </c>
      <c r="V941" t="str">
        <f t="shared" si="99"/>
        <v>2015/16InnovationNetwork Innovation AllowanceNumber of projects</v>
      </c>
    </row>
    <row r="942" spans="1:22">
      <c r="A942" s="900" t="s">
        <v>137</v>
      </c>
      <c r="B942" s="900"/>
      <c r="C942" s="900" t="s">
        <v>18</v>
      </c>
      <c r="D942" t="s">
        <v>995</v>
      </c>
      <c r="E942" t="s">
        <v>997</v>
      </c>
      <c r="F942" s="900" t="s">
        <v>1289</v>
      </c>
      <c r="G942" s="229">
        <v>2.8251020000000002</v>
      </c>
      <c r="H942" s="229">
        <v>1.6171572000000001</v>
      </c>
      <c r="I942" s="229">
        <v>2.1008112000000003</v>
      </c>
      <c r="J942" s="229">
        <v>1.5521289999999999</v>
      </c>
      <c r="K942" s="229">
        <v>2.0882600000000004</v>
      </c>
      <c r="L942" s="229">
        <v>1.074967</v>
      </c>
      <c r="M942" s="229">
        <v>1.5521289999999999</v>
      </c>
      <c r="N942" s="229">
        <v>1.9849289999999999</v>
      </c>
      <c r="O942" s="229">
        <v>1.232</v>
      </c>
      <c r="P942" s="229">
        <v>2.6866060000000007</v>
      </c>
      <c r="Q942" s="229">
        <v>1.8302030000000002</v>
      </c>
      <c r="R942" s="229">
        <v>1.6478860000000004</v>
      </c>
      <c r="S942" s="229">
        <v>1.232</v>
      </c>
      <c r="T942" s="229">
        <v>2.5627170000000001</v>
      </c>
      <c r="U942" s="229">
        <f t="shared" si="102"/>
        <v>1.8562068857142859</v>
      </c>
      <c r="V942" t="str">
        <f t="shared" si="99"/>
        <v>2015/16InnovationNetwork Innovation AllowanceNIA allowance</v>
      </c>
    </row>
    <row r="943" spans="1:22">
      <c r="A943" s="900" t="s">
        <v>137</v>
      </c>
      <c r="B943" s="900"/>
      <c r="C943" s="900" t="s">
        <v>18</v>
      </c>
      <c r="D943" t="s">
        <v>995</v>
      </c>
      <c r="E943" t="s">
        <v>999</v>
      </c>
      <c r="F943" t="s">
        <v>1289</v>
      </c>
      <c r="G943" s="229">
        <v>2.5253786443801003</v>
      </c>
      <c r="H943" s="229">
        <v>0.56927227077149622</v>
      </c>
      <c r="I943" s="229">
        <v>0.73822394229707533</v>
      </c>
      <c r="J943" s="229">
        <v>0.34716923099999997</v>
      </c>
      <c r="K943" s="229">
        <v>0.51183992700000003</v>
      </c>
      <c r="L943" s="229">
        <v>0.21694374899999996</v>
      </c>
      <c r="M943" s="229">
        <v>0.45862408100000007</v>
      </c>
      <c r="N943" s="229">
        <v>1.0959229434190012</v>
      </c>
      <c r="O943" s="229">
        <v>0.54978236441877071</v>
      </c>
      <c r="P943" s="229">
        <v>0.82446736216222583</v>
      </c>
      <c r="Q943" s="229">
        <v>1.6166</v>
      </c>
      <c r="R943" s="229">
        <v>1.4572999999999998</v>
      </c>
      <c r="S943" s="229">
        <v>1.0527371891998223</v>
      </c>
      <c r="T943" s="229">
        <v>2.03284049166</v>
      </c>
      <c r="U943" s="229">
        <f t="shared" si="102"/>
        <v>0.99979301402203524</v>
      </c>
      <c r="V943" t="str">
        <f t="shared" si="99"/>
        <v>2015/16InnovationNetwork Innovation AllowanceNIA expenditure</v>
      </c>
    </row>
    <row r="944" spans="1:22">
      <c r="A944" s="900" t="s">
        <v>137</v>
      </c>
      <c r="B944" s="900"/>
      <c r="C944" s="900" t="s">
        <v>18</v>
      </c>
      <c r="D944" t="s">
        <v>995</v>
      </c>
      <c r="E944" t="s">
        <v>536</v>
      </c>
      <c r="F944" s="900" t="s">
        <v>606</v>
      </c>
      <c r="G944" s="829">
        <f>G943/G942</f>
        <v>0.89390706756078187</v>
      </c>
      <c r="H944" s="829">
        <f t="shared" ref="H944:U944" si="114">H943/H942</f>
        <v>0.35202036683353738</v>
      </c>
      <c r="I944" s="829">
        <f t="shared" si="114"/>
        <v>0.35139947002237765</v>
      </c>
      <c r="J944" s="829">
        <f t="shared" si="114"/>
        <v>0.22367292344901743</v>
      </c>
      <c r="K944" s="829">
        <f t="shared" si="114"/>
        <v>0.24510354409891486</v>
      </c>
      <c r="L944" s="829">
        <f t="shared" si="114"/>
        <v>0.20181433383536421</v>
      </c>
      <c r="M944" s="829">
        <f t="shared" si="114"/>
        <v>0.29548064690499315</v>
      </c>
      <c r="N944" s="829">
        <f t="shared" si="114"/>
        <v>0.55212198694210279</v>
      </c>
      <c r="O944" s="829">
        <f t="shared" si="114"/>
        <v>0.44625191917108015</v>
      </c>
      <c r="P944" s="829">
        <f t="shared" si="114"/>
        <v>0.30688063756361206</v>
      </c>
      <c r="Q944" s="829">
        <f t="shared" si="114"/>
        <v>0.8832899956999305</v>
      </c>
      <c r="R944" s="829">
        <f t="shared" si="114"/>
        <v>0.88434515494397026</v>
      </c>
      <c r="S944" s="829">
        <f t="shared" si="114"/>
        <v>0.85449447175310256</v>
      </c>
      <c r="T944" s="829">
        <f t="shared" si="114"/>
        <v>0.7932364329186562</v>
      </c>
      <c r="U944" s="829">
        <f t="shared" si="114"/>
        <v>0.53862154144380592</v>
      </c>
      <c r="V944" t="str">
        <f t="shared" si="99"/>
        <v>2015/16InnovationNetwork Innovation Allowance% of allowance</v>
      </c>
    </row>
    <row r="945" spans="1:22">
      <c r="A945" s="900" t="s">
        <v>138</v>
      </c>
      <c r="B945" s="900"/>
      <c r="C945" s="900" t="s">
        <v>18</v>
      </c>
      <c r="D945" t="s">
        <v>995</v>
      </c>
      <c r="E945" t="s">
        <v>533</v>
      </c>
      <c r="F945" t="s">
        <v>1299</v>
      </c>
      <c r="G945">
        <v>18</v>
      </c>
      <c r="H945">
        <v>18</v>
      </c>
      <c r="I945">
        <v>18</v>
      </c>
      <c r="J945">
        <v>22</v>
      </c>
      <c r="K945">
        <v>22</v>
      </c>
      <c r="L945">
        <v>22</v>
      </c>
      <c r="M945">
        <v>22</v>
      </c>
      <c r="N945">
        <v>22</v>
      </c>
      <c r="O945">
        <v>20</v>
      </c>
      <c r="P945">
        <v>20</v>
      </c>
      <c r="Q945">
        <v>22</v>
      </c>
      <c r="R945">
        <v>22</v>
      </c>
      <c r="S945">
        <v>30</v>
      </c>
      <c r="T945">
        <v>30</v>
      </c>
      <c r="U945">
        <f>AVERAGE(G945:T945)</f>
        <v>22</v>
      </c>
      <c r="V945" t="str">
        <f t="shared" si="99"/>
        <v>2016/17InnovationNetwork Innovation AllowanceNumber of projects</v>
      </c>
    </row>
    <row r="946" spans="1:22">
      <c r="A946" s="900" t="s">
        <v>138</v>
      </c>
      <c r="B946" s="900"/>
      <c r="C946" s="900" t="s">
        <v>18</v>
      </c>
      <c r="D946" t="s">
        <v>995</v>
      </c>
      <c r="E946" t="s">
        <v>997</v>
      </c>
      <c r="F946" t="s">
        <v>1289</v>
      </c>
      <c r="G946" s="229">
        <v>2.865936317365958</v>
      </c>
      <c r="H946" s="229">
        <v>1.601151</v>
      </c>
      <c r="I946" s="229">
        <v>2.1079104000000002</v>
      </c>
      <c r="J946" s="229">
        <v>1.5772369999999998</v>
      </c>
      <c r="K946" s="229">
        <v>2.200088</v>
      </c>
      <c r="L946" s="229">
        <v>1.1060224999999999</v>
      </c>
      <c r="M946" s="229">
        <v>1.5772369999999998</v>
      </c>
      <c r="N946" s="229">
        <v>2.0962795000000001</v>
      </c>
      <c r="O946" s="229">
        <v>1.276</v>
      </c>
      <c r="P946" s="229">
        <v>2.7631540000000001</v>
      </c>
      <c r="Q946" s="229">
        <v>1.8821405000000002</v>
      </c>
      <c r="R946" s="229">
        <v>1.6705349386418018</v>
      </c>
      <c r="S946" s="229">
        <v>1.276</v>
      </c>
      <c r="T946" s="229">
        <v>2.5310795000000001</v>
      </c>
      <c r="U946" s="229">
        <f>AVERAGE(G946:T946)</f>
        <v>1.8950550468576972</v>
      </c>
      <c r="V946" t="str">
        <f t="shared" si="99"/>
        <v>2016/17InnovationNetwork Innovation AllowanceNIA allowance</v>
      </c>
    </row>
    <row r="947" spans="1:22">
      <c r="A947" s="900" t="s">
        <v>138</v>
      </c>
      <c r="B947" s="900"/>
      <c r="C947" s="900" t="s">
        <v>18</v>
      </c>
      <c r="D947" t="s">
        <v>995</v>
      </c>
      <c r="E947" t="s">
        <v>999</v>
      </c>
      <c r="F947" t="s">
        <v>1289</v>
      </c>
      <c r="G947" s="229">
        <v>2.8649822704817343</v>
      </c>
      <c r="H947" s="229">
        <v>0.55490768199774976</v>
      </c>
      <c r="I947" s="229">
        <v>0.70427741300225</v>
      </c>
      <c r="J947" s="229">
        <v>1.6326712410000002</v>
      </c>
      <c r="K947" s="229">
        <v>1.5652139399999996</v>
      </c>
      <c r="L947" s="229">
        <v>0.76123361700000014</v>
      </c>
      <c r="M947" s="229">
        <v>1.1017892250000003</v>
      </c>
      <c r="N947" s="229">
        <v>1.4181538548325252</v>
      </c>
      <c r="O947" s="229">
        <v>1.464460680723376</v>
      </c>
      <c r="P947" s="229">
        <v>1.6412843934440988</v>
      </c>
      <c r="Q947" s="229">
        <v>1.599</v>
      </c>
      <c r="R947" s="229">
        <v>1.4421999999999999</v>
      </c>
      <c r="S947" s="229">
        <v>0.97665738870599572</v>
      </c>
      <c r="T947" s="229">
        <v>1.8137923282940047</v>
      </c>
      <c r="U947" s="229">
        <f>AVERAGE(G947:T947)</f>
        <v>1.3957588596058383</v>
      </c>
      <c r="V947" t="str">
        <f t="shared" si="99"/>
        <v>2016/17InnovationNetwork Innovation AllowanceNIA expenditure</v>
      </c>
    </row>
    <row r="948" spans="1:22">
      <c r="A948" s="900" t="s">
        <v>138</v>
      </c>
      <c r="B948" s="900"/>
      <c r="C948" s="900" t="s">
        <v>18</v>
      </c>
      <c r="D948" t="s">
        <v>995</v>
      </c>
      <c r="E948" t="s">
        <v>536</v>
      </c>
      <c r="F948" t="s">
        <v>606</v>
      </c>
      <c r="G948" s="829">
        <f>G947/G946</f>
        <v>0.99966710813550086</v>
      </c>
      <c r="H948" s="829">
        <f t="shared" ref="H948:U948" si="115">H947/H946</f>
        <v>0.34656798890157753</v>
      </c>
      <c r="I948" s="829">
        <f t="shared" si="115"/>
        <v>0.33411164582813857</v>
      </c>
      <c r="J948" s="829">
        <f t="shared" si="115"/>
        <v>1.0351464244118038</v>
      </c>
      <c r="K948" s="829">
        <f t="shared" si="115"/>
        <v>0.71143242452120081</v>
      </c>
      <c r="L948" s="829">
        <f t="shared" si="115"/>
        <v>0.68826232468146009</v>
      </c>
      <c r="M948" s="829">
        <f t="shared" si="115"/>
        <v>0.69855654223176378</v>
      </c>
      <c r="N948" s="829">
        <f t="shared" si="115"/>
        <v>0.67650990950039114</v>
      </c>
      <c r="O948" s="829">
        <f t="shared" si="115"/>
        <v>1.1476964582471598</v>
      </c>
      <c r="P948" s="829">
        <f t="shared" si="115"/>
        <v>0.59398947486969556</v>
      </c>
      <c r="Q948" s="829">
        <f t="shared" si="115"/>
        <v>0.84956463133331428</v>
      </c>
      <c r="R948" s="829">
        <f t="shared" si="115"/>
        <v>0.86331627470931827</v>
      </c>
      <c r="S948" s="829">
        <f t="shared" si="115"/>
        <v>0.76540547704231643</v>
      </c>
      <c r="T948" s="829">
        <f t="shared" si="115"/>
        <v>0.71660820147846194</v>
      </c>
      <c r="U948" s="829">
        <f t="shared" si="115"/>
        <v>0.73652681589393865</v>
      </c>
      <c r="V948" t="str">
        <f t="shared" si="99"/>
        <v>2016/17InnovationNetwork Innovation Allowance% of allowance</v>
      </c>
    </row>
    <row r="949" spans="1:22">
      <c r="A949" s="900" t="s">
        <v>139</v>
      </c>
      <c r="B949" s="900"/>
      <c r="C949" s="900" t="s">
        <v>18</v>
      </c>
      <c r="D949" t="s">
        <v>995</v>
      </c>
      <c r="E949" t="s">
        <v>533</v>
      </c>
      <c r="F949" t="s">
        <v>1299</v>
      </c>
      <c r="G949" s="901">
        <v>21</v>
      </c>
      <c r="H949" s="901">
        <v>26</v>
      </c>
      <c r="I949" s="901">
        <v>26</v>
      </c>
      <c r="J949" s="901">
        <v>33</v>
      </c>
      <c r="K949" s="901">
        <v>33</v>
      </c>
      <c r="L949" s="901">
        <v>33</v>
      </c>
      <c r="M949" s="901">
        <v>33</v>
      </c>
      <c r="N949" s="901">
        <v>46</v>
      </c>
      <c r="O949" s="901">
        <v>46</v>
      </c>
      <c r="P949" s="901">
        <v>46</v>
      </c>
      <c r="Q949" s="901">
        <v>39</v>
      </c>
      <c r="R949" s="901">
        <v>39</v>
      </c>
      <c r="S949" s="901">
        <v>32</v>
      </c>
      <c r="T949" s="901">
        <v>32</v>
      </c>
      <c r="U949" s="901">
        <f>AVERAGE(G949:T949)</f>
        <v>34.642857142857146</v>
      </c>
      <c r="V949" t="str">
        <f t="shared" si="99"/>
        <v>2017/18InnovationNetwork Innovation AllowanceNumber of projects</v>
      </c>
    </row>
    <row r="950" spans="1:22">
      <c r="A950" s="900" t="s">
        <v>139</v>
      </c>
      <c r="B950" s="900"/>
      <c r="C950" s="900" t="s">
        <v>18</v>
      </c>
      <c r="D950" t="s">
        <v>995</v>
      </c>
      <c r="E950" t="s">
        <v>997</v>
      </c>
      <c r="F950" t="s">
        <v>1289</v>
      </c>
      <c r="G950" s="1035">
        <v>2.7290368793360802</v>
      </c>
      <c r="H950" s="1035">
        <v>1.6009253073238243</v>
      </c>
      <c r="I950" s="1035">
        <v>2.099060829265313</v>
      </c>
      <c r="J950" s="1035">
        <v>1.6040021478773456</v>
      </c>
      <c r="K950" s="1035">
        <v>2.2509015563982411</v>
      </c>
      <c r="L950" s="1035">
        <v>1.1261475178920479</v>
      </c>
      <c r="M950" s="1035">
        <v>1.6040021478773456</v>
      </c>
      <c r="N950" s="1035">
        <v>2.0129374543249212</v>
      </c>
      <c r="O950" s="1035">
        <v>1.2405863272568318</v>
      </c>
      <c r="P950" s="1035">
        <v>2.6884468110522484</v>
      </c>
      <c r="Q950" s="1035">
        <v>1.8746384039463726</v>
      </c>
      <c r="R950" s="1035">
        <v>1.6677249289788043</v>
      </c>
      <c r="S950" s="1035">
        <v>1.2405863272568318</v>
      </c>
      <c r="T950" s="1035">
        <v>2.5193341018309101</v>
      </c>
      <c r="U950" s="1035">
        <f>AVERAGE(G950:T950)</f>
        <v>1.8755950529012224</v>
      </c>
      <c r="V950" t="str">
        <f t="shared" si="99"/>
        <v>2017/18InnovationNetwork Innovation AllowanceNIA allowance</v>
      </c>
    </row>
    <row r="951" spans="1:22">
      <c r="A951" s="900" t="s">
        <v>139</v>
      </c>
      <c r="B951" s="900"/>
      <c r="C951" s="900" t="s">
        <v>18</v>
      </c>
      <c r="D951" t="s">
        <v>995</v>
      </c>
      <c r="E951" t="s">
        <v>999</v>
      </c>
      <c r="F951" t="s">
        <v>1289</v>
      </c>
      <c r="G951" s="1035">
        <v>2.7290368793360802</v>
      </c>
      <c r="H951" s="1035">
        <v>1.6000591305686231</v>
      </c>
      <c r="I951" s="1035">
        <v>2.0979214020467616</v>
      </c>
      <c r="J951" s="1035">
        <v>1.8481499999999997</v>
      </c>
      <c r="K951" s="1035">
        <v>1.8563399999999999</v>
      </c>
      <c r="L951" s="1035">
        <v>1.0520399999999999</v>
      </c>
      <c r="M951" s="1035">
        <v>1.4480200000000001</v>
      </c>
      <c r="N951" s="1035">
        <v>1.0482516137747324</v>
      </c>
      <c r="O951" s="1035">
        <v>1.7455539785316225</v>
      </c>
      <c r="P951" s="1035">
        <v>2.6797655313236537</v>
      </c>
      <c r="Q951" s="1035">
        <v>1.46</v>
      </c>
      <c r="R951" s="1035">
        <v>1.31</v>
      </c>
      <c r="S951" s="1035">
        <v>0.58472401734000001</v>
      </c>
      <c r="T951" s="1035">
        <v>1.2290266806600005</v>
      </c>
      <c r="U951" s="1035">
        <f>AVERAGE(G951:T951)</f>
        <v>1.6206349452558197</v>
      </c>
      <c r="V951" t="str">
        <f t="shared" si="99"/>
        <v>2017/18InnovationNetwork Innovation AllowanceNIA expenditure</v>
      </c>
    </row>
    <row r="952" spans="1:22">
      <c r="A952" s="900" t="s">
        <v>139</v>
      </c>
      <c r="B952" s="900"/>
      <c r="C952" s="900" t="s">
        <v>18</v>
      </c>
      <c r="D952" t="s">
        <v>995</v>
      </c>
      <c r="E952" t="s">
        <v>536</v>
      </c>
      <c r="F952" t="s">
        <v>606</v>
      </c>
      <c r="G952" s="1033">
        <f>G951/G950</f>
        <v>1</v>
      </c>
      <c r="H952" s="1033">
        <f t="shared" ref="H952:U952" si="116">H951/H950</f>
        <v>0.99945895242505156</v>
      </c>
      <c r="I952" s="1033">
        <f t="shared" si="116"/>
        <v>0.99945717284479541</v>
      </c>
      <c r="J952" s="1033">
        <f t="shared" si="116"/>
        <v>1.1522116740590074</v>
      </c>
      <c r="K952" s="1033">
        <f t="shared" si="116"/>
        <v>0.82470954570328026</v>
      </c>
      <c r="L952" s="1033">
        <f t="shared" si="116"/>
        <v>0.93419377415956617</v>
      </c>
      <c r="M952" s="1033">
        <f t="shared" si="116"/>
        <v>0.90275440211612912</v>
      </c>
      <c r="N952" s="1033">
        <f t="shared" si="116"/>
        <v>0.52075717083136319</v>
      </c>
      <c r="O952" s="1033">
        <f t="shared" si="116"/>
        <v>1.4070395104155053</v>
      </c>
      <c r="P952" s="1033">
        <f t="shared" si="116"/>
        <v>0.99677089399987173</v>
      </c>
      <c r="Q952" s="1033">
        <f t="shared" si="116"/>
        <v>0.77881686245544657</v>
      </c>
      <c r="R952" s="1033">
        <f t="shared" si="116"/>
        <v>0.78550124018482503</v>
      </c>
      <c r="S952" s="1033">
        <f t="shared" si="116"/>
        <v>0.47132876164525694</v>
      </c>
      <c r="T952" s="1033">
        <f t="shared" si="116"/>
        <v>0.48783790913909081</v>
      </c>
      <c r="U952" s="1033">
        <f t="shared" si="116"/>
        <v>0.86406441664951972</v>
      </c>
      <c r="V952" t="str">
        <f t="shared" si="99"/>
        <v>2017/18InnovationNetwork Innovation Allowance% of allowance</v>
      </c>
    </row>
    <row r="953" spans="1:22">
      <c r="A953" s="900" t="s">
        <v>140</v>
      </c>
      <c r="B953" s="900"/>
      <c r="C953" s="900" t="s">
        <v>18</v>
      </c>
      <c r="D953" t="s">
        <v>995</v>
      </c>
      <c r="E953" t="s">
        <v>533</v>
      </c>
      <c r="F953" t="s">
        <v>1299</v>
      </c>
      <c r="G953" s="943">
        <v>23</v>
      </c>
      <c r="H953" s="943">
        <v>220</v>
      </c>
      <c r="I953" s="943">
        <v>30</v>
      </c>
      <c r="J953" s="943">
        <v>39</v>
      </c>
      <c r="K953" s="943">
        <v>39</v>
      </c>
      <c r="L953" s="943">
        <v>39</v>
      </c>
      <c r="M953" s="943">
        <v>39</v>
      </c>
      <c r="N953" s="943">
        <v>51</v>
      </c>
      <c r="O953" s="943">
        <v>51</v>
      </c>
      <c r="P953" s="943">
        <v>51</v>
      </c>
      <c r="Q953" s="943">
        <v>42</v>
      </c>
      <c r="R953" s="943">
        <v>42</v>
      </c>
      <c r="S953" s="943">
        <v>37</v>
      </c>
      <c r="T953" s="943">
        <v>37</v>
      </c>
      <c r="U953" s="1035">
        <f>AVERAGE(G953:T953)</f>
        <v>52.857142857142854</v>
      </c>
      <c r="V953" t="str">
        <f t="shared" ref="V953:V1021" si="117">CONCATENATE(A953,B953,C953,D953,E953)</f>
        <v>2018/19InnovationNetwork Innovation AllowanceNumber of projects</v>
      </c>
    </row>
    <row r="954" spans="1:22">
      <c r="A954" s="900" t="s">
        <v>140</v>
      </c>
      <c r="B954" s="900"/>
      <c r="C954" s="900" t="s">
        <v>18</v>
      </c>
      <c r="D954" t="s">
        <v>995</v>
      </c>
      <c r="E954" t="s">
        <v>997</v>
      </c>
      <c r="F954" t="s">
        <v>1289</v>
      </c>
      <c r="G954" s="1035">
        <v>2.7926601254017229</v>
      </c>
      <c r="H954" s="1035">
        <v>1.665033362104426</v>
      </c>
      <c r="I954" s="1035">
        <v>2.1754333439444884</v>
      </c>
      <c r="J954" s="1035">
        <v>1.6837790728283801</v>
      </c>
      <c r="K954" s="1035">
        <v>2.3174548758819005</v>
      </c>
      <c r="L954" s="1035">
        <v>1.1862285857014989</v>
      </c>
      <c r="M954" s="1035">
        <v>1.6837790728283801</v>
      </c>
      <c r="N954" s="1035">
        <v>2.1257007259338079</v>
      </c>
      <c r="O954" s="1035">
        <v>1.7654591669941002</v>
      </c>
      <c r="P954" s="1035">
        <v>2.7392338776443137</v>
      </c>
      <c r="Q954" s="1035">
        <v>1.9739936684756736</v>
      </c>
      <c r="R954" s="1035">
        <v>1.6874334715754404</v>
      </c>
      <c r="S954" s="1035">
        <v>1.462061479334885</v>
      </c>
      <c r="T954" s="1035">
        <v>2.6214829732611942</v>
      </c>
      <c r="U954" s="1035">
        <f>AVERAGE(G954:T954)</f>
        <v>1.9914095572793009</v>
      </c>
      <c r="V954" t="str">
        <f t="shared" si="117"/>
        <v>2018/19InnovationNetwork Innovation AllowanceNIA allowance</v>
      </c>
    </row>
    <row r="955" spans="1:22">
      <c r="A955" s="900" t="s">
        <v>140</v>
      </c>
      <c r="B955" s="900"/>
      <c r="C955" s="900" t="s">
        <v>18</v>
      </c>
      <c r="D955" t="s">
        <v>995</v>
      </c>
      <c r="E955" t="s">
        <v>999</v>
      </c>
      <c r="F955" t="s">
        <v>1289</v>
      </c>
      <c r="G955" s="1035">
        <v>2.7926601254017229</v>
      </c>
      <c r="H955" s="1035">
        <v>1.6614372605995029</v>
      </c>
      <c r="I955" s="1035">
        <v>2.1707300613004969</v>
      </c>
      <c r="J955" s="1035">
        <v>1.28952</v>
      </c>
      <c r="K955" s="1035">
        <v>1.2692700000000001</v>
      </c>
      <c r="L955" s="1035">
        <v>0.64313999999999993</v>
      </c>
      <c r="M955" s="1035">
        <v>0.90603</v>
      </c>
      <c r="N955" s="1035">
        <v>1.1344523576028334</v>
      </c>
      <c r="O955" s="1035">
        <v>1.5520158791507874</v>
      </c>
      <c r="P955" s="1035">
        <v>2.3161311382463801</v>
      </c>
      <c r="Q955" s="1035">
        <v>1.5862994680070253</v>
      </c>
      <c r="R955" s="1035">
        <v>1.3559869960060054</v>
      </c>
      <c r="S955" s="1035">
        <v>0.82642934795356193</v>
      </c>
      <c r="T955" s="1035">
        <v>1.4818128898876659</v>
      </c>
      <c r="U955" s="1035">
        <f>AVERAGE(G955:T955)</f>
        <v>1.4989939660111415</v>
      </c>
      <c r="V955" t="str">
        <f t="shared" si="117"/>
        <v>2018/19InnovationNetwork Innovation AllowanceNIA expenditure</v>
      </c>
    </row>
    <row r="956" spans="1:22">
      <c r="A956" s="900" t="s">
        <v>140</v>
      </c>
      <c r="B956" s="900"/>
      <c r="C956" s="900" t="s">
        <v>18</v>
      </c>
      <c r="D956" t="s">
        <v>995</v>
      </c>
      <c r="E956" t="s">
        <v>536</v>
      </c>
      <c r="F956" t="s">
        <v>606</v>
      </c>
      <c r="G956" s="1033">
        <f>G955/G954</f>
        <v>1</v>
      </c>
      <c r="H956" s="1033">
        <f>H7764/H954</f>
        <v>0</v>
      </c>
      <c r="I956" s="1033">
        <f t="shared" ref="I956:U956" si="118">I955/I954</f>
        <v>0.99783800195161876</v>
      </c>
      <c r="J956" s="1033">
        <f t="shared" si="118"/>
        <v>0.76584869167775604</v>
      </c>
      <c r="K956" s="1033">
        <f t="shared" si="118"/>
        <v>0.54769998467261771</v>
      </c>
      <c r="L956" s="1033">
        <f t="shared" si="118"/>
        <v>0.54217206342204849</v>
      </c>
      <c r="M956" s="1033">
        <f t="shared" si="118"/>
        <v>0.53809315878838426</v>
      </c>
      <c r="N956" s="1033">
        <f t="shared" si="118"/>
        <v>0.53368394890323756</v>
      </c>
      <c r="O956" s="1033">
        <f t="shared" si="118"/>
        <v>0.87910041091081992</v>
      </c>
      <c r="P956" s="1033">
        <f t="shared" si="118"/>
        <v>0.84553975370595458</v>
      </c>
      <c r="Q956" s="1033">
        <f t="shared" si="118"/>
        <v>0.80359906586325203</v>
      </c>
      <c r="R956" s="1033">
        <f t="shared" si="118"/>
        <v>0.80357953000660443</v>
      </c>
      <c r="S956" s="1033">
        <f t="shared" si="118"/>
        <v>0.56524938221443177</v>
      </c>
      <c r="T956" s="1033">
        <f t="shared" si="118"/>
        <v>0.56525749165719408</v>
      </c>
      <c r="U956" s="1033">
        <f t="shared" si="118"/>
        <v>0.75273012551927976</v>
      </c>
      <c r="V956" t="str">
        <f t="shared" si="117"/>
        <v>2018/19InnovationNetwork Innovation Allowance% of allowance</v>
      </c>
    </row>
    <row r="957" spans="1:22">
      <c r="A957" s="900" t="s">
        <v>141</v>
      </c>
      <c r="B957" s="900"/>
      <c r="C957" s="900" t="s">
        <v>18</v>
      </c>
      <c r="D957" t="s">
        <v>995</v>
      </c>
      <c r="E957" t="s">
        <v>533</v>
      </c>
      <c r="F957" t="s">
        <v>1299</v>
      </c>
      <c r="G957" s="1036">
        <v>23</v>
      </c>
      <c r="H957" s="1036">
        <v>22</v>
      </c>
      <c r="I957" s="1036">
        <v>32</v>
      </c>
      <c r="J957" s="1036">
        <v>50</v>
      </c>
      <c r="K957" s="1036">
        <v>50</v>
      </c>
      <c r="L957" s="1036">
        <v>50</v>
      </c>
      <c r="M957" s="1036">
        <v>50</v>
      </c>
      <c r="N957" s="1036">
        <v>55</v>
      </c>
      <c r="O957" s="1036">
        <v>55</v>
      </c>
      <c r="P957" s="1036">
        <v>55</v>
      </c>
      <c r="Q957" s="1036">
        <v>47</v>
      </c>
      <c r="R957" s="1036">
        <v>47</v>
      </c>
      <c r="S957" s="1036">
        <v>45</v>
      </c>
      <c r="T957" s="1036">
        <v>45</v>
      </c>
      <c r="U957" s="1036">
        <f>AVERAGE(G957:T957)</f>
        <v>44.714285714285715</v>
      </c>
      <c r="V957" t="str">
        <f t="shared" si="117"/>
        <v>2019/20InnovationNetwork Innovation AllowanceNumber of projects</v>
      </c>
    </row>
    <row r="958" spans="1:22">
      <c r="A958" s="900" t="s">
        <v>141</v>
      </c>
      <c r="B958" s="900"/>
      <c r="C958" s="900" t="s">
        <v>18</v>
      </c>
      <c r="D958" t="s">
        <v>995</v>
      </c>
      <c r="E958" t="s">
        <v>997</v>
      </c>
      <c r="F958" t="s">
        <v>1289</v>
      </c>
      <c r="G958" s="1035">
        <v>2.8722691589586375</v>
      </c>
      <c r="H958" s="1035">
        <v>1.70646489013188</v>
      </c>
      <c r="I958" s="1035">
        <v>2.2347446511210642</v>
      </c>
      <c r="J958" s="1035">
        <v>1.7755039607626066</v>
      </c>
      <c r="K958" s="1035">
        <v>2.4506868660611172</v>
      </c>
      <c r="L958" s="1035">
        <v>1.2447915111302741</v>
      </c>
      <c r="M958" s="1035">
        <v>1.7755039607626066</v>
      </c>
      <c r="N958" s="1035">
        <v>2.2871972120538864</v>
      </c>
      <c r="O958" s="1035">
        <v>1.948954410272983</v>
      </c>
      <c r="P958" s="1035">
        <v>2.9943736262924761</v>
      </c>
      <c r="Q958" s="1035">
        <v>2.033234722324508</v>
      </c>
      <c r="R958" s="1035">
        <v>1.7851534039284056</v>
      </c>
      <c r="S958" s="1035">
        <v>1.4416191756014121</v>
      </c>
      <c r="T958" s="1035">
        <v>2.7304162296143533</v>
      </c>
      <c r="U958" s="1035">
        <f>AVERAGE(G958:T958)</f>
        <v>2.0914938413583006</v>
      </c>
      <c r="V958" t="str">
        <f t="shared" si="117"/>
        <v>2019/20InnovationNetwork Innovation AllowanceNIA allowance</v>
      </c>
    </row>
    <row r="959" spans="1:22">
      <c r="A959" s="900" t="s">
        <v>141</v>
      </c>
      <c r="B959" s="900"/>
      <c r="C959" s="900" t="s">
        <v>18</v>
      </c>
      <c r="D959" t="s">
        <v>995</v>
      </c>
      <c r="E959" t="s">
        <v>999</v>
      </c>
      <c r="F959" t="s">
        <v>1289</v>
      </c>
      <c r="G959" s="1035">
        <v>2.8722691589586375</v>
      </c>
      <c r="H959" s="1035">
        <v>1.6051603707933626</v>
      </c>
      <c r="I959" s="1035">
        <v>2.1020787332066373</v>
      </c>
      <c r="J959" s="1035">
        <v>1.8924228000000007</v>
      </c>
      <c r="K959" s="1035">
        <v>1.9027575000000003</v>
      </c>
      <c r="L959" s="1035">
        <v>0.97612109999999996</v>
      </c>
      <c r="M959" s="1035">
        <v>1.3501413000000002</v>
      </c>
      <c r="N959" s="1035">
        <v>2.1182318368556738</v>
      </c>
      <c r="O959" s="1035">
        <v>1.8043558671821431</v>
      </c>
      <c r="P959" s="1035">
        <v>2.7682573389621825</v>
      </c>
      <c r="Q959" s="1035">
        <v>1.7864643528152184</v>
      </c>
      <c r="R959" s="1035">
        <v>1.607817917533696</v>
      </c>
      <c r="S959" s="1035">
        <v>0.67781784944596635</v>
      </c>
      <c r="T959" s="1035">
        <v>1.2836394415540335</v>
      </c>
      <c r="U959" s="1035">
        <f>AVERAGE(G959:T959)</f>
        <v>1.7676811119505396</v>
      </c>
      <c r="V959" t="str">
        <f t="shared" si="117"/>
        <v>2019/20InnovationNetwork Innovation AllowanceNIA expenditure</v>
      </c>
    </row>
    <row r="960" spans="1:22">
      <c r="A960" s="900" t="s">
        <v>141</v>
      </c>
      <c r="B960" s="900"/>
      <c r="C960" s="900" t="s">
        <v>18</v>
      </c>
      <c r="D960" t="s">
        <v>995</v>
      </c>
      <c r="E960" t="s">
        <v>536</v>
      </c>
      <c r="F960" t="s">
        <v>606</v>
      </c>
      <c r="G960" s="1033">
        <f>G959/G958</f>
        <v>1</v>
      </c>
      <c r="H960" s="1033">
        <f t="shared" ref="H960:T960" si="119">H959/H958</f>
        <v>0.94063486455283107</v>
      </c>
      <c r="I960" s="1033">
        <f t="shared" si="119"/>
        <v>0.94063486499548177</v>
      </c>
      <c r="J960" s="1033">
        <f t="shared" si="119"/>
        <v>1.0658510720455818</v>
      </c>
      <c r="K960" s="1033">
        <f t="shared" si="119"/>
        <v>0.776418042774359</v>
      </c>
      <c r="L960" s="1033">
        <f t="shared" si="119"/>
        <v>0.78416432894347055</v>
      </c>
      <c r="M960" s="1033">
        <f t="shared" si="119"/>
        <v>0.76042708427419869</v>
      </c>
      <c r="N960" s="1033">
        <f t="shared" si="119"/>
        <v>0.9261255766193931</v>
      </c>
      <c r="O960" s="1033">
        <f t="shared" si="119"/>
        <v>0.92580711876652544</v>
      </c>
      <c r="P960" s="1033">
        <f t="shared" si="119"/>
        <v>0.9244862814229825</v>
      </c>
      <c r="Q960" s="1033">
        <f t="shared" si="119"/>
        <v>0.87863163716426806</v>
      </c>
      <c r="R960" s="1033">
        <f t="shared" si="119"/>
        <v>0.90066092583165935</v>
      </c>
      <c r="S960" s="1033">
        <f t="shared" si="119"/>
        <v>0.47017815864109574</v>
      </c>
      <c r="T960" s="1033">
        <f t="shared" si="119"/>
        <v>0.47012591986216551</v>
      </c>
      <c r="U960" s="1033">
        <f>U959/U958</f>
        <v>0.84517634094611338</v>
      </c>
      <c r="V960" t="str">
        <f t="shared" si="117"/>
        <v>2019/20InnovationNetwork Innovation Allowance% of allowance</v>
      </c>
    </row>
    <row r="961" spans="1:22">
      <c r="A961" s="900" t="s">
        <v>126</v>
      </c>
      <c r="B961" s="900"/>
      <c r="C961" s="900" t="s">
        <v>18</v>
      </c>
      <c r="D961" t="s">
        <v>995</v>
      </c>
      <c r="E961" t="s">
        <v>533</v>
      </c>
      <c r="F961" t="s">
        <v>1299</v>
      </c>
      <c r="G961" s="1035">
        <v>23</v>
      </c>
      <c r="H961" s="1035">
        <v>34</v>
      </c>
      <c r="I961" s="1035">
        <v>34</v>
      </c>
      <c r="J961" s="1035">
        <v>65</v>
      </c>
      <c r="K961" s="1035">
        <v>65</v>
      </c>
      <c r="L961" s="1035">
        <v>65</v>
      </c>
      <c r="M961" s="1035">
        <v>65</v>
      </c>
      <c r="N961" s="1035">
        <v>50</v>
      </c>
      <c r="O961" s="1035">
        <v>50</v>
      </c>
      <c r="P961" s="1035">
        <v>50</v>
      </c>
      <c r="Q961" s="1035">
        <v>61</v>
      </c>
      <c r="R961" s="1035">
        <v>61</v>
      </c>
      <c r="S961" s="1035">
        <v>52</v>
      </c>
      <c r="T961" s="1035">
        <v>52</v>
      </c>
      <c r="U961" s="1036">
        <f>AVERAGE(G961:T961)</f>
        <v>51.928571428571431</v>
      </c>
      <c r="V961" t="str">
        <f t="shared" si="117"/>
        <v>2020/21InnovationNetwork Innovation AllowanceNumber of projects</v>
      </c>
    </row>
    <row r="962" spans="1:22">
      <c r="A962" s="900" t="s">
        <v>126</v>
      </c>
      <c r="B962" s="900"/>
      <c r="C962" s="900" t="s">
        <v>18</v>
      </c>
      <c r="D962" t="s">
        <v>995</v>
      </c>
      <c r="E962" t="s">
        <v>997</v>
      </c>
      <c r="F962" t="s">
        <v>1289</v>
      </c>
      <c r="G962" s="1035">
        <v>2.91</v>
      </c>
      <c r="H962" s="1035">
        <v>4.01</v>
      </c>
      <c r="I962" s="1035">
        <v>4.01</v>
      </c>
      <c r="J962" s="1035">
        <v>7.89</v>
      </c>
      <c r="K962" s="1035">
        <v>7.89</v>
      </c>
      <c r="L962" s="1035">
        <v>7.89</v>
      </c>
      <c r="M962" s="1035">
        <v>7.89</v>
      </c>
      <c r="N962" s="1035">
        <v>7.48</v>
      </c>
      <c r="O962" s="1035">
        <v>7.48</v>
      </c>
      <c r="P962" s="1035">
        <v>7.48</v>
      </c>
      <c r="Q962" s="1035">
        <v>3.98</v>
      </c>
      <c r="R962" s="1035">
        <v>3.98</v>
      </c>
      <c r="S962" s="1035">
        <v>4.25</v>
      </c>
      <c r="T962" s="1035">
        <v>4.25</v>
      </c>
      <c r="U962" s="1036">
        <f>AVERAGE(G962:T962)</f>
        <v>5.8135714285714295</v>
      </c>
      <c r="V962" t="str">
        <f t="shared" si="117"/>
        <v>2020/21InnovationNetwork Innovation AllowanceNIA allowance</v>
      </c>
    </row>
    <row r="963" spans="1:22">
      <c r="A963" s="900" t="s">
        <v>126</v>
      </c>
      <c r="B963" s="900"/>
      <c r="C963" s="900" t="s">
        <v>18</v>
      </c>
      <c r="D963" t="s">
        <v>995</v>
      </c>
      <c r="E963" t="s">
        <v>999</v>
      </c>
      <c r="F963" t="s">
        <v>1289</v>
      </c>
      <c r="G963" s="1035">
        <v>2.87</v>
      </c>
      <c r="H963" s="1035">
        <v>3.71</v>
      </c>
      <c r="I963" s="1035">
        <v>3.71</v>
      </c>
      <c r="J963" s="1035">
        <v>6.12</v>
      </c>
      <c r="K963" s="1035">
        <v>6.12</v>
      </c>
      <c r="L963" s="1035">
        <v>6.12</v>
      </c>
      <c r="M963" s="1035">
        <v>6.12</v>
      </c>
      <c r="N963" s="1035">
        <v>6.69</v>
      </c>
      <c r="O963" s="1035">
        <v>6.69</v>
      </c>
      <c r="P963" s="1035">
        <v>6.69</v>
      </c>
      <c r="Q963" s="1035">
        <v>3.39</v>
      </c>
      <c r="R963" s="1035">
        <v>3.39</v>
      </c>
      <c r="S963" s="1035">
        <v>1.96</v>
      </c>
      <c r="T963" s="1035">
        <v>1.96</v>
      </c>
      <c r="U963" s="1036">
        <f>AVERAGE(G963:T963)</f>
        <v>4.6814285714285706</v>
      </c>
      <c r="V963" t="str">
        <f t="shared" si="117"/>
        <v>2020/21InnovationNetwork Innovation AllowanceNIA expenditure</v>
      </c>
    </row>
    <row r="964" spans="1:22">
      <c r="A964" s="900" t="s">
        <v>126</v>
      </c>
      <c r="B964" s="900"/>
      <c r="C964" s="900" t="s">
        <v>18</v>
      </c>
      <c r="D964" t="s">
        <v>995</v>
      </c>
      <c r="E964" t="s">
        <v>536</v>
      </c>
      <c r="F964" t="s">
        <v>606</v>
      </c>
      <c r="G964" s="1033">
        <f>G963/G962</f>
        <v>0.98625429553264599</v>
      </c>
      <c r="H964" s="1033">
        <f t="shared" ref="H964:U964" si="120">H963/H962</f>
        <v>0.92518703241895262</v>
      </c>
      <c r="I964" s="1033">
        <f t="shared" si="120"/>
        <v>0.92518703241895262</v>
      </c>
      <c r="J964" s="1033">
        <f t="shared" si="120"/>
        <v>0.77566539923954381</v>
      </c>
      <c r="K964" s="1033">
        <f t="shared" si="120"/>
        <v>0.77566539923954381</v>
      </c>
      <c r="L964" s="1033">
        <f t="shared" si="120"/>
        <v>0.77566539923954381</v>
      </c>
      <c r="M964" s="1033">
        <f t="shared" si="120"/>
        <v>0.77566539923954381</v>
      </c>
      <c r="N964" s="1033">
        <f t="shared" si="120"/>
        <v>0.89438502673796794</v>
      </c>
      <c r="O964" s="1033">
        <f t="shared" si="120"/>
        <v>0.89438502673796794</v>
      </c>
      <c r="P964" s="1033">
        <f t="shared" si="120"/>
        <v>0.89438502673796794</v>
      </c>
      <c r="Q964" s="1033">
        <f t="shared" si="120"/>
        <v>0.85175879396984933</v>
      </c>
      <c r="R964" s="1033">
        <f t="shared" si="120"/>
        <v>0.85175879396984933</v>
      </c>
      <c r="S964" s="1033">
        <f t="shared" si="120"/>
        <v>0.4611764705882353</v>
      </c>
      <c r="T964" s="1033">
        <f t="shared" si="120"/>
        <v>0.4611764705882353</v>
      </c>
      <c r="U964" s="1033">
        <f t="shared" si="120"/>
        <v>0.80525863128148389</v>
      </c>
      <c r="V964" t="str">
        <f t="shared" si="117"/>
        <v>2020/21InnovationNetwork Innovation Allowance% of allowance</v>
      </c>
    </row>
    <row r="965" spans="1:22">
      <c r="A965" s="1088" t="s">
        <v>142</v>
      </c>
      <c r="B965" s="1088"/>
      <c r="C965" s="1088" t="s">
        <v>18</v>
      </c>
      <c r="D965" s="1087" t="s">
        <v>995</v>
      </c>
      <c r="E965" s="1087" t="s">
        <v>533</v>
      </c>
      <c r="F965" s="1087" t="s">
        <v>1299</v>
      </c>
      <c r="G965" s="1109">
        <v>12</v>
      </c>
      <c r="H965" s="1109">
        <v>27</v>
      </c>
      <c r="I965" s="1109">
        <v>27</v>
      </c>
      <c r="J965" s="1109">
        <v>21</v>
      </c>
      <c r="K965" s="1109">
        <v>21</v>
      </c>
      <c r="L965" s="1109">
        <v>21</v>
      </c>
      <c r="M965" s="1109">
        <v>21</v>
      </c>
      <c r="N965" s="1109">
        <v>36</v>
      </c>
      <c r="O965" s="1109">
        <v>36</v>
      </c>
      <c r="P965" s="1109">
        <v>36</v>
      </c>
      <c r="Q965" s="1109">
        <v>29</v>
      </c>
      <c r="R965" s="1109">
        <v>29</v>
      </c>
      <c r="S965" s="1109">
        <v>22</v>
      </c>
      <c r="T965" s="1109">
        <v>22</v>
      </c>
      <c r="U965" s="1110">
        <f>AVERAGE(G965:T965)</f>
        <v>25.714285714285715</v>
      </c>
      <c r="V965" s="1087" t="str">
        <f t="shared" si="117"/>
        <v>2021/22InnovationNetwork Innovation AllowanceNumber of projects</v>
      </c>
    </row>
    <row r="966" spans="1:22">
      <c r="A966" s="1088" t="s">
        <v>142</v>
      </c>
      <c r="B966" s="1088"/>
      <c r="C966" s="1088" t="s">
        <v>18</v>
      </c>
      <c r="D966" s="1087" t="s">
        <v>995</v>
      </c>
      <c r="E966" s="1087" t="s">
        <v>997</v>
      </c>
      <c r="F966" s="1087" t="s">
        <v>1289</v>
      </c>
      <c r="G966" s="1109">
        <v>2.89</v>
      </c>
      <c r="H966" s="1109">
        <v>4.0999999999999996</v>
      </c>
      <c r="I966" s="1109">
        <v>4.0999999999999996</v>
      </c>
      <c r="J966" s="1109">
        <v>7.829581639050895</v>
      </c>
      <c r="K966" s="1109">
        <v>7.829581639050895</v>
      </c>
      <c r="L966" s="1109">
        <v>7.829581639050895</v>
      </c>
      <c r="M966" s="1109">
        <v>7.829581639050895</v>
      </c>
      <c r="N966" s="1109">
        <v>7.3656590086089615</v>
      </c>
      <c r="O966" s="1109">
        <v>7.3656590086089615</v>
      </c>
      <c r="P966" s="1109">
        <v>7.3656590086089615</v>
      </c>
      <c r="Q966" s="1109">
        <v>3.9715070325374486</v>
      </c>
      <c r="R966" s="1109">
        <v>3.9715070325374486</v>
      </c>
      <c r="S966" s="1109">
        <v>4.6672482468066203</v>
      </c>
      <c r="T966" s="1109">
        <v>4.6672482468066203</v>
      </c>
      <c r="U966" s="1110">
        <f>AVERAGE(G966:T966)</f>
        <v>5.8416295814798991</v>
      </c>
      <c r="V966" s="1087" t="str">
        <f t="shared" si="117"/>
        <v>2021/22InnovationNetwork Innovation AllowanceNIA allowance</v>
      </c>
    </row>
    <row r="967" spans="1:22">
      <c r="A967" s="1088" t="s">
        <v>142</v>
      </c>
      <c r="B967" s="1088"/>
      <c r="C967" s="1088" t="s">
        <v>18</v>
      </c>
      <c r="D967" s="1087" t="s">
        <v>995</v>
      </c>
      <c r="E967" s="1087" t="s">
        <v>999</v>
      </c>
      <c r="F967" s="1087" t="s">
        <v>1289</v>
      </c>
      <c r="G967" s="1109">
        <v>2.89</v>
      </c>
      <c r="H967" s="1109">
        <v>1.5305622840000037</v>
      </c>
      <c r="I967" s="1109">
        <v>1.5305622840000037</v>
      </c>
      <c r="J967" s="1109">
        <v>5.6327589000000007</v>
      </c>
      <c r="K967" s="1109">
        <v>5.6327589000000007</v>
      </c>
      <c r="L967" s="1109">
        <v>5.6327589000000007</v>
      </c>
      <c r="M967" s="1109">
        <v>5.6327589000000007</v>
      </c>
      <c r="N967" s="1109">
        <v>7.0783893179999993</v>
      </c>
      <c r="O967" s="1109">
        <v>7.0783893179999993</v>
      </c>
      <c r="P967" s="1109">
        <v>7.0783893179999993</v>
      </c>
      <c r="Q967" s="1109">
        <v>3.9715070325374491</v>
      </c>
      <c r="R967" s="1109">
        <v>3.9715070325374491</v>
      </c>
      <c r="S967" s="1109">
        <v>3.3196815000000002</v>
      </c>
      <c r="T967" s="1109">
        <v>3.3196815000000002</v>
      </c>
      <c r="U967" s="1110">
        <f>AVERAGE(G967:T967)</f>
        <v>4.592836084791065</v>
      </c>
      <c r="V967" s="1087" t="str">
        <f t="shared" ref="V967" si="121">CONCATENATE(A967,B967,C967,D967,E967)</f>
        <v>2021/22InnovationNetwork Innovation AllowanceNIA expenditure</v>
      </c>
    </row>
    <row r="968" spans="1:22">
      <c r="A968" s="1088" t="s">
        <v>142</v>
      </c>
      <c r="B968" s="1088"/>
      <c r="C968" s="1088" t="s">
        <v>18</v>
      </c>
      <c r="D968" s="1087" t="s">
        <v>995</v>
      </c>
      <c r="E968" s="1087" t="s">
        <v>536</v>
      </c>
      <c r="F968" s="1087" t="s">
        <v>606</v>
      </c>
      <c r="G968" s="1111">
        <v>1</v>
      </c>
      <c r="H968" s="1111">
        <v>0.37</v>
      </c>
      <c r="I968" s="1111">
        <v>0.37</v>
      </c>
      <c r="J968" s="1111">
        <v>0.72</v>
      </c>
      <c r="K968" s="1111">
        <v>0.72</v>
      </c>
      <c r="L968" s="1111">
        <v>0.72</v>
      </c>
      <c r="M968" s="1111">
        <v>0.72</v>
      </c>
      <c r="N968" s="1111">
        <v>0.96</v>
      </c>
      <c r="O968" s="1111">
        <v>0.96</v>
      </c>
      <c r="P968" s="1111">
        <v>0.96</v>
      </c>
      <c r="Q968" s="1111">
        <v>1</v>
      </c>
      <c r="R968" s="1111">
        <v>1</v>
      </c>
      <c r="S968" s="1111">
        <v>0.71</v>
      </c>
      <c r="T968" s="1111">
        <v>0.71</v>
      </c>
      <c r="U968" s="1111">
        <f>U967/U966</f>
        <v>0.78622514843324443</v>
      </c>
      <c r="V968" s="1087" t="str">
        <f>CONCATENATE(A968,B968,C968,D968,E968)</f>
        <v>2021/22InnovationNetwork Innovation Allowance% of allowance</v>
      </c>
    </row>
    <row r="969" spans="1:22">
      <c r="A969" s="900" t="s">
        <v>137</v>
      </c>
      <c r="B969" s="900"/>
      <c r="C969" s="900" t="s">
        <v>18</v>
      </c>
      <c r="D969" t="s">
        <v>1002</v>
      </c>
      <c r="E969" t="s">
        <v>1332</v>
      </c>
      <c r="F969" s="900" t="s">
        <v>1289</v>
      </c>
      <c r="G969" s="229">
        <f>'Ch2 - innovation'!G18</f>
        <v>5.703399497491632</v>
      </c>
      <c r="H969" s="229">
        <v>0</v>
      </c>
      <c r="I969" s="229">
        <v>0</v>
      </c>
      <c r="J969" s="229">
        <v>0</v>
      </c>
      <c r="K969" s="229">
        <v>0</v>
      </c>
      <c r="L969" s="229">
        <v>0</v>
      </c>
      <c r="M969" s="229">
        <v>0</v>
      </c>
      <c r="N969" s="229">
        <v>0</v>
      </c>
      <c r="O969" s="229">
        <v>0</v>
      </c>
      <c r="P969" s="229">
        <v>0</v>
      </c>
      <c r="Q969" s="229">
        <v>0</v>
      </c>
      <c r="R969" s="229">
        <f>'Ch2 - innovation'!G19</f>
        <v>15.775594256718268</v>
      </c>
      <c r="S969" s="229">
        <v>0</v>
      </c>
      <c r="T969" s="229">
        <v>0</v>
      </c>
      <c r="U969" s="229">
        <f t="shared" ref="U969:U977" si="122">AVERAGE(G969:T969)</f>
        <v>1.5342138395864213</v>
      </c>
      <c r="V969" t="str">
        <f t="shared" si="117"/>
        <v>2015/16InnovationNetwork Innovation CompetitionFunding Awarded</v>
      </c>
    </row>
    <row r="970" spans="1:22">
      <c r="A970" s="900" t="s">
        <v>138</v>
      </c>
      <c r="B970" s="900"/>
      <c r="C970" s="900" t="s">
        <v>18</v>
      </c>
      <c r="D970" t="s">
        <v>1002</v>
      </c>
      <c r="E970" t="s">
        <v>1332</v>
      </c>
      <c r="F970" s="900" t="s">
        <v>1289</v>
      </c>
      <c r="G970" s="229">
        <v>0</v>
      </c>
      <c r="H970" s="229">
        <v>0</v>
      </c>
      <c r="I970" s="229">
        <v>0</v>
      </c>
      <c r="J970" s="229">
        <f>'Ch2 - innovation'!G24</f>
        <v>5.7003632312724557</v>
      </c>
      <c r="K970" s="229">
        <v>0</v>
      </c>
      <c r="L970" s="229">
        <v>0</v>
      </c>
      <c r="M970" s="229">
        <v>0</v>
      </c>
      <c r="N970" s="229">
        <f>'Ch2 - innovation'!G25</f>
        <v>5.3948925006995463</v>
      </c>
      <c r="O970" s="229">
        <v>0</v>
      </c>
      <c r="P970" s="229">
        <v>0</v>
      </c>
      <c r="Q970" s="229">
        <v>0</v>
      </c>
      <c r="R970" s="229">
        <v>0</v>
      </c>
      <c r="S970" s="229">
        <v>0</v>
      </c>
      <c r="T970" s="229">
        <v>0</v>
      </c>
      <c r="U970" s="229">
        <f t="shared" si="122"/>
        <v>0.79251826656942881</v>
      </c>
      <c r="V970" t="str">
        <f t="shared" si="117"/>
        <v>2016/17InnovationNetwork Innovation CompetitionFunding Awarded</v>
      </c>
    </row>
    <row r="971" spans="1:22">
      <c r="A971" s="900" t="s">
        <v>139</v>
      </c>
      <c r="B971" s="900"/>
      <c r="C971" s="900" t="s">
        <v>18</v>
      </c>
      <c r="D971" t="s">
        <v>1002</v>
      </c>
      <c r="E971" t="s">
        <v>1332</v>
      </c>
      <c r="F971" s="900" t="s">
        <v>1289</v>
      </c>
      <c r="G971" s="229">
        <v>0</v>
      </c>
      <c r="H971" s="229">
        <v>0</v>
      </c>
      <c r="I971" s="229">
        <v>0</v>
      </c>
      <c r="J971" s="229">
        <v>0</v>
      </c>
      <c r="K971" s="229">
        <f>'Ch2 - innovation'!G32</f>
        <v>3.3307575404523764</v>
      </c>
      <c r="L971" s="229">
        <v>0</v>
      </c>
      <c r="M971" s="229">
        <v>0</v>
      </c>
      <c r="N971" s="229">
        <f>'Ch2 - innovation'!G30</f>
        <v>15.658339671526473</v>
      </c>
      <c r="O971" s="229">
        <v>0</v>
      </c>
      <c r="P971" s="229">
        <v>0</v>
      </c>
      <c r="Q971" s="229">
        <f>'Ch2 - innovation'!G31+'Ch2 - innovation'!G34</f>
        <v>14.243873211341525</v>
      </c>
      <c r="R971" s="229">
        <v>0</v>
      </c>
      <c r="S971" s="229">
        <v>0</v>
      </c>
      <c r="T971" s="229">
        <f>'Ch2 - innovation'!G33</f>
        <v>14.827491378934042</v>
      </c>
      <c r="U971" s="229">
        <f t="shared" si="122"/>
        <v>3.4328901287324585</v>
      </c>
      <c r="V971" t="str">
        <f t="shared" si="117"/>
        <v>2017/18InnovationNetwork Innovation CompetitionFunding Awarded</v>
      </c>
    </row>
    <row r="972" spans="1:22">
      <c r="A972" s="900" t="s">
        <v>140</v>
      </c>
      <c r="B972" s="900"/>
      <c r="C972" s="900" t="s">
        <v>18</v>
      </c>
      <c r="D972" t="s">
        <v>1002</v>
      </c>
      <c r="E972" t="s">
        <v>1332</v>
      </c>
      <c r="F972" s="900" t="s">
        <v>1289</v>
      </c>
      <c r="G972" s="229">
        <v>0</v>
      </c>
      <c r="H972" s="229">
        <v>0</v>
      </c>
      <c r="I972" s="229">
        <v>0</v>
      </c>
      <c r="J972" s="229">
        <v>0</v>
      </c>
      <c r="K972" s="229">
        <v>0</v>
      </c>
      <c r="L972" s="229">
        <v>0</v>
      </c>
      <c r="M972" s="229">
        <v>0</v>
      </c>
      <c r="N972" s="229">
        <f>'Ch2 - innovation'!G40</f>
        <v>18.012283451226228</v>
      </c>
      <c r="O972" s="229">
        <v>0</v>
      </c>
      <c r="P972" s="229">
        <v>0</v>
      </c>
      <c r="Q972" s="229">
        <v>0</v>
      </c>
      <c r="R972" s="229">
        <f>'Ch2 - innovation'!G39</f>
        <v>7.5234232707865658</v>
      </c>
      <c r="S972" s="229">
        <v>0</v>
      </c>
      <c r="T972" s="229">
        <v>0</v>
      </c>
      <c r="U972" s="229">
        <f t="shared" si="122"/>
        <v>1.8239790515723424</v>
      </c>
      <c r="V972" t="str">
        <f t="shared" si="117"/>
        <v>2018/19InnovationNetwork Innovation CompetitionFunding Awarded</v>
      </c>
    </row>
    <row r="973" spans="1:22">
      <c r="A973" s="900" t="s">
        <v>141</v>
      </c>
      <c r="B973" s="900"/>
      <c r="C973" s="900" t="s">
        <v>18</v>
      </c>
      <c r="D973" t="s">
        <v>1002</v>
      </c>
      <c r="E973" t="s">
        <v>1332</v>
      </c>
      <c r="F973" s="900" t="s">
        <v>1289</v>
      </c>
      <c r="G973" s="229">
        <v>8</v>
      </c>
      <c r="H973" s="229">
        <v>0</v>
      </c>
      <c r="I973" s="229">
        <v>0</v>
      </c>
      <c r="J973" s="229">
        <v>0</v>
      </c>
      <c r="K973" s="229">
        <v>0</v>
      </c>
      <c r="L973" s="229">
        <v>0</v>
      </c>
      <c r="M973" s="229">
        <v>0</v>
      </c>
      <c r="N973" s="229">
        <v>0</v>
      </c>
      <c r="O973" s="229">
        <v>14.4</v>
      </c>
      <c r="P973" s="229">
        <v>0</v>
      </c>
      <c r="Q973" s="229">
        <v>0</v>
      </c>
      <c r="R973" s="229">
        <v>0</v>
      </c>
      <c r="S973" s="229">
        <v>0</v>
      </c>
      <c r="T973" s="229">
        <v>0</v>
      </c>
      <c r="U973" s="229">
        <f t="shared" si="122"/>
        <v>1.5999999999999999</v>
      </c>
      <c r="V973" t="str">
        <f t="shared" si="117"/>
        <v>2019/20InnovationNetwork Innovation CompetitionFunding Awarded</v>
      </c>
    </row>
    <row r="974" spans="1:22">
      <c r="A974" s="900" t="s">
        <v>126</v>
      </c>
      <c r="B974" s="900"/>
      <c r="C974" s="900" t="s">
        <v>18</v>
      </c>
      <c r="D974" t="s">
        <v>1002</v>
      </c>
      <c r="E974" t="s">
        <v>1332</v>
      </c>
      <c r="F974" s="900" t="s">
        <v>1289</v>
      </c>
      <c r="G974" s="229">
        <v>7.95</v>
      </c>
      <c r="H974" s="229">
        <v>0</v>
      </c>
      <c r="I974" s="229">
        <v>0</v>
      </c>
      <c r="J974" s="229">
        <v>0</v>
      </c>
      <c r="K974" s="229">
        <v>0</v>
      </c>
      <c r="L974" s="229">
        <v>0</v>
      </c>
      <c r="M974" s="229">
        <v>0</v>
      </c>
      <c r="N974" s="229">
        <v>14.38</v>
      </c>
      <c r="O974" s="229">
        <v>14.38</v>
      </c>
      <c r="P974" s="229">
        <v>14.38</v>
      </c>
      <c r="Q974" s="229">
        <v>0</v>
      </c>
      <c r="R974" s="229">
        <v>0</v>
      </c>
      <c r="S974" s="229">
        <v>0</v>
      </c>
      <c r="T974" s="229">
        <v>0</v>
      </c>
      <c r="U974" s="229">
        <f t="shared" si="122"/>
        <v>3.6492857142857145</v>
      </c>
      <c r="V974" t="str">
        <f t="shared" si="117"/>
        <v>2020/21InnovationNetwork Innovation CompetitionFunding Awarded</v>
      </c>
    </row>
    <row r="975" spans="1:22">
      <c r="A975" s="1088" t="s">
        <v>142</v>
      </c>
      <c r="B975" s="1088"/>
      <c r="C975" s="1088" t="s">
        <v>18</v>
      </c>
      <c r="D975" s="1087" t="s">
        <v>1002</v>
      </c>
      <c r="E975" s="1087" t="s">
        <v>1332</v>
      </c>
      <c r="F975" s="1088" t="s">
        <v>1289</v>
      </c>
      <c r="G975" s="1112">
        <v>6.79</v>
      </c>
      <c r="H975" s="1112">
        <v>0</v>
      </c>
      <c r="I975" s="1112">
        <v>0</v>
      </c>
      <c r="J975" s="1112">
        <v>6.98</v>
      </c>
      <c r="K975" s="1112">
        <v>6.98</v>
      </c>
      <c r="L975" s="1112">
        <v>6.98</v>
      </c>
      <c r="M975" s="1112">
        <v>6.98</v>
      </c>
      <c r="N975" s="1112">
        <v>0</v>
      </c>
      <c r="O975" s="1112">
        <v>0</v>
      </c>
      <c r="P975" s="1112">
        <v>0</v>
      </c>
      <c r="Q975" s="1112">
        <v>0</v>
      </c>
      <c r="R975" s="1112">
        <v>0</v>
      </c>
      <c r="S975" s="1112">
        <v>0</v>
      </c>
      <c r="T975" s="1112">
        <v>0</v>
      </c>
      <c r="U975" s="1112">
        <f t="shared" ref="U975" si="123">AVERAGE(G975:T975)</f>
        <v>2.4792857142857145</v>
      </c>
      <c r="V975" s="1087" t="str">
        <f t="shared" ref="V975" si="124">CONCATENATE(A975,B975,C975,D975,E975)</f>
        <v>2021/22InnovationNetwork Innovation CompetitionFunding Awarded</v>
      </c>
    </row>
    <row r="976" spans="1:22">
      <c r="A976" s="900" t="s">
        <v>142</v>
      </c>
      <c r="B976" s="900"/>
      <c r="C976" s="900" t="s">
        <v>1333</v>
      </c>
      <c r="D976" t="s">
        <v>608</v>
      </c>
      <c r="E976" t="s">
        <v>1007</v>
      </c>
      <c r="F976" t="s">
        <v>1289</v>
      </c>
      <c r="G976">
        <f t="array" ref="G976:T987">TRANSPOSE('Ch3 financial performance '!E5:P18)</f>
        <v>314.29989152659925</v>
      </c>
      <c r="H976">
        <v>182.38781366471173</v>
      </c>
      <c r="I976">
        <v>249.68891564320504</v>
      </c>
      <c r="J976">
        <v>333.7184336711083</v>
      </c>
      <c r="K976">
        <v>345.31213598615403</v>
      </c>
      <c r="L976">
        <v>153.42656264854816</v>
      </c>
      <c r="M976">
        <v>267.88499090331271</v>
      </c>
      <c r="N976">
        <v>255.38109991132197</v>
      </c>
      <c r="O976">
        <v>258.06156400658494</v>
      </c>
      <c r="P976">
        <v>393.20021769593268</v>
      </c>
      <c r="Q976">
        <v>235.03445780538499</v>
      </c>
      <c r="R976">
        <v>259.63119134170529</v>
      </c>
      <c r="S976">
        <v>220.47329113900599</v>
      </c>
      <c r="T976">
        <v>363.70457432710828</v>
      </c>
      <c r="U976" s="229">
        <f t="shared" si="122"/>
        <v>273.72893859076311</v>
      </c>
      <c r="V976" t="str">
        <f t="shared" si="117"/>
        <v>2021/22Financial performanceTotex performanceAnnual allowance</v>
      </c>
    </row>
    <row r="977" spans="1:22">
      <c r="A977" s="900" t="s">
        <v>142</v>
      </c>
      <c r="B977" s="900"/>
      <c r="C977" s="900" t="s">
        <v>1333</v>
      </c>
      <c r="D977" t="s">
        <v>608</v>
      </c>
      <c r="E977" t="s">
        <v>1009</v>
      </c>
      <c r="F977" t="s">
        <v>1289</v>
      </c>
      <c r="G977">
        <v>264.17710060360514</v>
      </c>
      <c r="H977">
        <v>205.33640353041304</v>
      </c>
      <c r="I977">
        <v>280.38473500706385</v>
      </c>
      <c r="J977">
        <v>349.4748775023474</v>
      </c>
      <c r="K977">
        <v>317.80340000417584</v>
      </c>
      <c r="L977">
        <v>166.79459154369209</v>
      </c>
      <c r="M977">
        <v>238.37711022269144</v>
      </c>
      <c r="N977">
        <v>253.58585868941921</v>
      </c>
      <c r="O977">
        <v>238.5925083962272</v>
      </c>
      <c r="P977">
        <v>382.81013964467286</v>
      </c>
      <c r="Q977">
        <v>242.90577148796288</v>
      </c>
      <c r="R977">
        <v>266.02569500649952</v>
      </c>
      <c r="S977">
        <v>274.89966435286476</v>
      </c>
      <c r="T977">
        <v>365.26276604256975</v>
      </c>
      <c r="U977" s="229">
        <f t="shared" si="122"/>
        <v>274.74504443101461</v>
      </c>
      <c r="V977" t="str">
        <f t="shared" si="117"/>
        <v>2021/22Financial performanceTotex performanceAnnual Actual allowance</v>
      </c>
    </row>
    <row r="978" spans="1:22">
      <c r="A978" s="900" t="s">
        <v>142</v>
      </c>
      <c r="B978" s="900"/>
      <c r="C978" s="900" t="s">
        <v>1333</v>
      </c>
      <c r="D978" t="s">
        <v>608</v>
      </c>
      <c r="E978" t="s">
        <v>1011</v>
      </c>
      <c r="F978" t="s">
        <v>1289</v>
      </c>
      <c r="G978">
        <v>-50.122790922994113</v>
      </c>
      <c r="H978">
        <v>22.948589865701308</v>
      </c>
      <c r="I978">
        <v>30.695819363858817</v>
      </c>
      <c r="J978">
        <v>15.756443831239096</v>
      </c>
      <c r="K978">
        <v>-27.508735981978191</v>
      </c>
      <c r="L978">
        <v>13.368028895143937</v>
      </c>
      <c r="M978">
        <v>-29.50788068062127</v>
      </c>
      <c r="N978">
        <v>-1.7952412219027565</v>
      </c>
      <c r="O978">
        <v>-19.469055610357742</v>
      </c>
      <c r="P978">
        <v>-10.39007805125982</v>
      </c>
      <c r="Q978">
        <v>7.8713136825778918</v>
      </c>
      <c r="R978">
        <v>6.3945036647942288</v>
      </c>
      <c r="S978">
        <v>54.426373213858767</v>
      </c>
      <c r="T978">
        <v>1.5581917154614757</v>
      </c>
      <c r="U978" s="229">
        <f>U977-U976</f>
        <v>1.0161058402514982</v>
      </c>
      <c r="V978" t="str">
        <f t="shared" si="117"/>
        <v>2021/22Financial performanceTotex performanceAnnual Difference</v>
      </c>
    </row>
    <row r="979" spans="1:22">
      <c r="A979" s="900" t="s">
        <v>142</v>
      </c>
      <c r="B979" s="900"/>
      <c r="C979" s="900" t="s">
        <v>1333</v>
      </c>
      <c r="D979" t="s">
        <v>608</v>
      </c>
      <c r="E979" t="s">
        <v>1013</v>
      </c>
      <c r="F979" t="s">
        <v>1300</v>
      </c>
      <c r="G979" s="829">
        <v>-0.15947441368668819</v>
      </c>
      <c r="H979" s="829">
        <v>0.12582304379111808</v>
      </c>
      <c r="I979" s="829">
        <v>0.12293625163450128</v>
      </c>
      <c r="J979" s="829">
        <v>4.7214784205680552E-2</v>
      </c>
      <c r="K979" s="829">
        <v>-7.9663391798894687E-2</v>
      </c>
      <c r="L979" s="829">
        <v>8.7129820706248057E-2</v>
      </c>
      <c r="M979" s="829">
        <v>-0.11015130254636588</v>
      </c>
      <c r="N979" s="829">
        <v>-7.0296557675024992E-3</v>
      </c>
      <c r="O979" s="829">
        <v>-7.544345352359777E-2</v>
      </c>
      <c r="P979" s="829">
        <v>-2.6424395469929814E-2</v>
      </c>
      <c r="Q979" s="829">
        <v>3.3490041230871591E-2</v>
      </c>
      <c r="R979" s="829">
        <v>2.4629181231072914E-2</v>
      </c>
      <c r="S979" s="829">
        <v>0.24686152654900739</v>
      </c>
      <c r="T979" s="829">
        <v>4.2842235854313746E-3</v>
      </c>
      <c r="U979" s="829">
        <f>U978/U976</f>
        <v>3.7120877517836048E-3</v>
      </c>
      <c r="V979" t="str">
        <f t="shared" si="117"/>
        <v>2021/22Financial performanceTotex performanceAnnual Difference %</v>
      </c>
    </row>
    <row r="980" spans="1:22">
      <c r="A980" s="900" t="s">
        <v>1006</v>
      </c>
      <c r="B980" s="900"/>
      <c r="C980" s="900" t="s">
        <v>1333</v>
      </c>
      <c r="D980" t="s">
        <v>608</v>
      </c>
      <c r="E980" t="s">
        <v>1015</v>
      </c>
      <c r="F980" t="s">
        <v>1289</v>
      </c>
      <c r="G980">
        <v>2085.0127522983307</v>
      </c>
      <c r="H980">
        <v>1472.0886170740189</v>
      </c>
      <c r="I980">
        <v>1952.824626572203</v>
      </c>
      <c r="J980">
        <v>2318.0641912166989</v>
      </c>
      <c r="K980">
        <v>2345.7496287822278</v>
      </c>
      <c r="L980">
        <v>1228.3449331308952</v>
      </c>
      <c r="M980">
        <v>1889.8712357362335</v>
      </c>
      <c r="N980">
        <v>2007.4330244756575</v>
      </c>
      <c r="O980">
        <v>1941.2665443156475</v>
      </c>
      <c r="P980">
        <v>2889.3232822194818</v>
      </c>
      <c r="Q980">
        <v>1747.0942970913939</v>
      </c>
      <c r="R980">
        <v>1951.8867009029896</v>
      </c>
      <c r="S980">
        <v>1492.4409708464127</v>
      </c>
      <c r="T980">
        <v>2635.1960775981984</v>
      </c>
      <c r="U980">
        <f>AVERAGE(G980:T980)</f>
        <v>1996.8997773043131</v>
      </c>
      <c r="V980" t="str">
        <f t="shared" si="117"/>
        <v>CumulativeFinancial performanceTotex performanceCumulative Allowance</v>
      </c>
    </row>
    <row r="981" spans="1:22">
      <c r="A981" s="900" t="s">
        <v>1006</v>
      </c>
      <c r="B981" s="900"/>
      <c r="C981" s="900" t="s">
        <v>1333</v>
      </c>
      <c r="D981" t="s">
        <v>608</v>
      </c>
      <c r="E981" t="s">
        <v>1017</v>
      </c>
      <c r="F981" t="s">
        <v>1289</v>
      </c>
      <c r="G981">
        <v>1916.9273903074281</v>
      </c>
      <c r="H981">
        <v>1514.7033224446532</v>
      </c>
      <c r="I981">
        <v>1920.5479262181611</v>
      </c>
      <c r="J981">
        <v>2328.8575841136262</v>
      </c>
      <c r="K981">
        <v>2312.1848665690386</v>
      </c>
      <c r="L981">
        <v>1163.297467161055</v>
      </c>
      <c r="M981">
        <v>1830.5035310690728</v>
      </c>
      <c r="N981">
        <v>1740.5724914144191</v>
      </c>
      <c r="O981">
        <v>1657.1361763803384</v>
      </c>
      <c r="P981">
        <v>2621.8049640262784</v>
      </c>
      <c r="Q981">
        <v>1791.745865843001</v>
      </c>
      <c r="R981">
        <v>2036.5733342662993</v>
      </c>
      <c r="S981">
        <v>1518.9101804566712</v>
      </c>
      <c r="T981">
        <v>2669.6359130060032</v>
      </c>
      <c r="U981">
        <f>AVERAGE(G981:T981)</f>
        <v>1930.2429295197178</v>
      </c>
      <c r="V981" t="str">
        <f t="shared" si="117"/>
        <v>CumulativeFinancial performanceTotex performanceCumulative Actual and Forecast</v>
      </c>
    </row>
    <row r="982" spans="1:22">
      <c r="A982" s="900" t="s">
        <v>1006</v>
      </c>
      <c r="B982" s="900"/>
      <c r="C982" s="900" t="s">
        <v>1333</v>
      </c>
      <c r="D982" t="s">
        <v>608</v>
      </c>
      <c r="E982" t="s">
        <v>1019</v>
      </c>
      <c r="F982" t="s">
        <v>1289</v>
      </c>
      <c r="G982">
        <v>-168.08536199090258</v>
      </c>
      <c r="H982">
        <v>42.614705370634283</v>
      </c>
      <c r="I982">
        <v>-32.27670035404185</v>
      </c>
      <c r="J982">
        <v>10.793392896927344</v>
      </c>
      <c r="K982">
        <v>-33.564762213189169</v>
      </c>
      <c r="L982">
        <v>-65.047465969840232</v>
      </c>
      <c r="M982">
        <v>-59.367704667160751</v>
      </c>
      <c r="N982">
        <v>-266.86053306123836</v>
      </c>
      <c r="O982">
        <v>-284.1303679353091</v>
      </c>
      <c r="P982">
        <v>-267.51831819320341</v>
      </c>
      <c r="Q982">
        <v>44.651568751607101</v>
      </c>
      <c r="R982">
        <v>84.686633363309738</v>
      </c>
      <c r="S982">
        <v>26.469209610258531</v>
      </c>
      <c r="T982">
        <v>34.439835407804821</v>
      </c>
      <c r="U982">
        <f>U981-U980</f>
        <v>-66.656847784595357</v>
      </c>
      <c r="V982" t="str">
        <f t="shared" si="117"/>
        <v>CumulativeFinancial performanceTotex performanceCumulative Difference</v>
      </c>
    </row>
    <row r="983" spans="1:22">
      <c r="A983" s="900" t="s">
        <v>1006</v>
      </c>
      <c r="B983" s="900"/>
      <c r="C983" s="900" t="s">
        <v>1333</v>
      </c>
      <c r="D983" t="s">
        <v>608</v>
      </c>
      <c r="E983" t="s">
        <v>1021</v>
      </c>
      <c r="F983" t="s">
        <v>1300</v>
      </c>
      <c r="G983" s="829">
        <v>-8.0615987506848757E-2</v>
      </c>
      <c r="H983" s="829">
        <v>2.8948464702713988E-2</v>
      </c>
      <c r="I983" s="829">
        <v>-1.6528212474817672E-2</v>
      </c>
      <c r="J983" s="829">
        <v>4.6562096674562488E-3</v>
      </c>
      <c r="K983" s="829">
        <v>-1.4308757337676305E-2</v>
      </c>
      <c r="L983" s="829">
        <v>-5.2955374516865147E-2</v>
      </c>
      <c r="M983" s="829">
        <v>-3.1413624137219584E-2</v>
      </c>
      <c r="N983" s="829">
        <v>-0.13293620748863713</v>
      </c>
      <c r="O983" s="829">
        <v>-0.14636339804407089</v>
      </c>
      <c r="P983" s="829">
        <v>-9.2588572500514638E-2</v>
      </c>
      <c r="Q983" s="829">
        <v>2.5557618055272773E-2</v>
      </c>
      <c r="R983" s="829">
        <v>4.338706407709611E-2</v>
      </c>
      <c r="S983" s="829">
        <v>1.7735515258098928E-2</v>
      </c>
      <c r="T983" s="829">
        <v>1.3069173751652813E-2</v>
      </c>
      <c r="U983" s="829">
        <f>U982/U980</f>
        <v>-3.3380166867752289E-2</v>
      </c>
      <c r="V983" t="str">
        <f t="shared" si="117"/>
        <v>CumulativeFinancial performanceTotex performanceCumulative Difference %</v>
      </c>
    </row>
    <row r="984" spans="1:22">
      <c r="A984" s="900" t="s">
        <v>719</v>
      </c>
      <c r="B984" s="900"/>
      <c r="C984" s="900" t="s">
        <v>1333</v>
      </c>
      <c r="D984" t="s">
        <v>608</v>
      </c>
      <c r="E984" t="s">
        <v>1334</v>
      </c>
      <c r="F984" t="s">
        <v>1289</v>
      </c>
      <c r="G984">
        <v>2380.9591413155226</v>
      </c>
      <c r="H984">
        <v>1685.2711746018624</v>
      </c>
      <c r="I984">
        <v>2238.0841861708927</v>
      </c>
      <c r="J984">
        <v>2657.1196925675022</v>
      </c>
      <c r="K984">
        <v>2682.246281867021</v>
      </c>
      <c r="L984">
        <v>1385.5913675110787</v>
      </c>
      <c r="M984">
        <v>2172.1662685943352</v>
      </c>
      <c r="N984">
        <v>2250.8111398175902</v>
      </c>
      <c r="O984">
        <v>2194.137265346254</v>
      </c>
      <c r="P984">
        <v>3267.27722415776</v>
      </c>
      <c r="Q984">
        <v>1985.507770597</v>
      </c>
      <c r="R984">
        <v>2194.5046665667419</v>
      </c>
      <c r="S984">
        <v>1711.2566112728546</v>
      </c>
      <c r="T984">
        <v>3001.9716021904578</v>
      </c>
      <c r="U984">
        <f>AVERAGE(G984:T984)</f>
        <v>2271.9217423269197</v>
      </c>
      <c r="V984" t="str">
        <f t="shared" si="117"/>
        <v>ED1Financial performanceTotex performanceForecast Allowance</v>
      </c>
    </row>
    <row r="985" spans="1:22">
      <c r="A985" s="900" t="s">
        <v>719</v>
      </c>
      <c r="B985" s="900"/>
      <c r="C985" s="900" t="s">
        <v>1333</v>
      </c>
      <c r="D985" t="s">
        <v>608</v>
      </c>
      <c r="E985" t="s">
        <v>1335</v>
      </c>
      <c r="F985" t="s">
        <v>1289</v>
      </c>
      <c r="G985">
        <v>2211.177713376986</v>
      </c>
      <c r="H985">
        <v>1691.3876893705799</v>
      </c>
      <c r="I985">
        <v>2247.0603014700787</v>
      </c>
      <c r="J985">
        <v>2676.1444675031398</v>
      </c>
      <c r="K985">
        <v>2656.9235628978167</v>
      </c>
      <c r="L985">
        <v>1342.5325889114483</v>
      </c>
      <c r="M985">
        <v>2134.3339688603987</v>
      </c>
      <c r="N985">
        <v>1960.617234192614</v>
      </c>
      <c r="O985">
        <v>1889.5725004735968</v>
      </c>
      <c r="P985">
        <v>3010.9551378748929</v>
      </c>
      <c r="Q985">
        <v>2049.3247693252265</v>
      </c>
      <c r="R985">
        <v>2316.1148029163933</v>
      </c>
      <c r="S985">
        <v>1771.732047840248</v>
      </c>
      <c r="T985">
        <v>3066.3495941497576</v>
      </c>
      <c r="U985">
        <f>AVERAGE(G985:T985)</f>
        <v>2216.016169940227</v>
      </c>
      <c r="V985" t="str">
        <f t="shared" si="117"/>
        <v>ED1Financial performanceTotex performanceForecast Actual and Forecast</v>
      </c>
    </row>
    <row r="986" spans="1:22">
      <c r="A986" s="900" t="s">
        <v>719</v>
      </c>
      <c r="B986" s="900"/>
      <c r="C986" s="900" t="s">
        <v>1333</v>
      </c>
      <c r="D986" t="s">
        <v>608</v>
      </c>
      <c r="E986" t="s">
        <v>1336</v>
      </c>
      <c r="F986" t="s">
        <v>1289</v>
      </c>
      <c r="G986">
        <v>-169.78142793853658</v>
      </c>
      <c r="H986">
        <v>6.1165147687174795</v>
      </c>
      <c r="I986">
        <v>8.976115299185949</v>
      </c>
      <c r="J986">
        <v>19.024774935637652</v>
      </c>
      <c r="K986">
        <v>-25.322718969204288</v>
      </c>
      <c r="L986">
        <v>-43.058778599630386</v>
      </c>
      <c r="M986">
        <v>-37.832299733936452</v>
      </c>
      <c r="N986">
        <v>-290.1939056249762</v>
      </c>
      <c r="O986">
        <v>-304.56476487265718</v>
      </c>
      <c r="P986">
        <v>-256.32208628286708</v>
      </c>
      <c r="Q986">
        <v>63.816998728226508</v>
      </c>
      <c r="R986">
        <v>121.61013634965138</v>
      </c>
      <c r="S986">
        <v>60.475436567393444</v>
      </c>
      <c r="T986">
        <v>64.377991959299834</v>
      </c>
      <c r="U986">
        <f>U985-U984</f>
        <v>-55.905572386692711</v>
      </c>
      <c r="V986" t="str">
        <f t="shared" si="117"/>
        <v>ED1Financial performanceTotex performanceForecast Difference</v>
      </c>
    </row>
    <row r="987" spans="1:22">
      <c r="A987" s="900" t="s">
        <v>719</v>
      </c>
      <c r="B987" s="900"/>
      <c r="C987" s="900" t="s">
        <v>1333</v>
      </c>
      <c r="D987" t="s">
        <v>608</v>
      </c>
      <c r="E987" t="s">
        <v>1337</v>
      </c>
      <c r="F987" t="s">
        <v>1300</v>
      </c>
      <c r="G987" s="829">
        <v>-7.1307997265643672E-2</v>
      </c>
      <c r="H987" s="829">
        <v>3.6293949964239305E-3</v>
      </c>
      <c r="I987" s="829">
        <v>4.0106245129871813E-3</v>
      </c>
      <c r="J987" s="829">
        <v>7.1599239540671693E-3</v>
      </c>
      <c r="K987" s="829">
        <v>-9.4408627352362291E-3</v>
      </c>
      <c r="L987" s="829">
        <v>-3.1076101951310768E-2</v>
      </c>
      <c r="M987" s="829">
        <v>-1.7416852605127098E-2</v>
      </c>
      <c r="N987" s="829">
        <v>-0.12892858956104777</v>
      </c>
      <c r="O987" s="829">
        <v>-0.13880843723083761</v>
      </c>
      <c r="P987" s="829">
        <v>-7.8451281815837312E-2</v>
      </c>
      <c r="Q987" s="829">
        <v>3.2141399632517227E-2</v>
      </c>
      <c r="R987" s="829">
        <v>5.5415756549703758E-2</v>
      </c>
      <c r="S987" s="829">
        <v>3.5339782572066172E-2</v>
      </c>
      <c r="T987" s="829">
        <v>2.144523682779842E-2</v>
      </c>
      <c r="U987" s="829">
        <f>U986/U984</f>
        <v>-2.4607173453709632E-2</v>
      </c>
      <c r="V987" t="str">
        <f t="shared" si="117"/>
        <v>ED1Financial performanceTotex performanceForecast Difference %</v>
      </c>
    </row>
    <row r="988" spans="1:22">
      <c r="A988" s="900" t="s">
        <v>607</v>
      </c>
      <c r="B988" s="900"/>
      <c r="C988" s="900" t="s">
        <v>1333</v>
      </c>
      <c r="D988" t="s">
        <v>608</v>
      </c>
      <c r="E988" t="s">
        <v>607</v>
      </c>
      <c r="F988" t="s">
        <v>1300</v>
      </c>
      <c r="G988" s="829">
        <f t="array" ref="G988:T997">TRANSPOSE('Ch3 financial performance '!E35:N48)</f>
        <v>0.58114666186475283</v>
      </c>
      <c r="H988" s="829">
        <v>0.55843703457782867</v>
      </c>
      <c r="I988" s="829">
        <v>0.55843703457782867</v>
      </c>
      <c r="J988" s="829">
        <v>0.7</v>
      </c>
      <c r="K988" s="829">
        <v>0.7</v>
      </c>
      <c r="L988" s="829">
        <v>0.7</v>
      </c>
      <c r="M988" s="829">
        <v>0.7</v>
      </c>
      <c r="N988" s="829">
        <v>0.53284185719504162</v>
      </c>
      <c r="O988" s="829">
        <v>0.53284185719504162</v>
      </c>
      <c r="P988" s="829">
        <v>0.53284185719504162</v>
      </c>
      <c r="Q988" s="829">
        <v>0.53504574557495777</v>
      </c>
      <c r="R988" s="829">
        <v>0.53504574557495777</v>
      </c>
      <c r="S988" s="829">
        <v>0.56471375271214463</v>
      </c>
      <c r="T988" s="829">
        <v>0.56471375271214463</v>
      </c>
      <c r="U988" s="829">
        <f>AVERAGE(G988:T988)</f>
        <v>0.59257609279855283</v>
      </c>
      <c r="V988" t="str">
        <f t="shared" si="117"/>
        <v>Sharing factorFinancial performanceTotex performanceSharing factor</v>
      </c>
    </row>
    <row r="989" spans="1:22">
      <c r="A989" s="900" t="s">
        <v>142</v>
      </c>
      <c r="B989" s="900"/>
      <c r="C989" s="900" t="s">
        <v>1333</v>
      </c>
      <c r="D989" t="s">
        <v>608</v>
      </c>
      <c r="E989" t="s">
        <v>1032</v>
      </c>
      <c r="F989" t="s">
        <v>1289</v>
      </c>
      <c r="G989">
        <v>-50.122790922994113</v>
      </c>
      <c r="H989">
        <v>22.948589865701308</v>
      </c>
      <c r="I989">
        <v>30.695819363858817</v>
      </c>
      <c r="J989">
        <v>15.756443831239096</v>
      </c>
      <c r="K989">
        <v>-27.508735981978191</v>
      </c>
      <c r="L989">
        <v>13.368028895143937</v>
      </c>
      <c r="M989">
        <v>-29.50788068062127</v>
      </c>
      <c r="N989">
        <v>-1.7952412219027565</v>
      </c>
      <c r="O989">
        <v>-19.469055610357742</v>
      </c>
      <c r="P989">
        <v>-10.39007805125982</v>
      </c>
      <c r="Q989">
        <v>7.8713136825778918</v>
      </c>
      <c r="R989">
        <v>6.3945036647942288</v>
      </c>
      <c r="S989">
        <v>54.426373213858767</v>
      </c>
      <c r="T989">
        <v>1.5581917154614757</v>
      </c>
      <c r="U989">
        <f>AVERAGE(G989:T989)</f>
        <v>1.0161058402515448</v>
      </c>
      <c r="V989" t="str">
        <f t="shared" si="117"/>
        <v>2021/22Financial performanceTotex performanceAnnual totex performance</v>
      </c>
    </row>
    <row r="990" spans="1:22">
      <c r="A990" s="900" t="s">
        <v>142</v>
      </c>
      <c r="B990" s="900"/>
      <c r="C990" s="900" t="s">
        <v>1333</v>
      </c>
      <c r="D990" t="s">
        <v>608</v>
      </c>
      <c r="E990" t="s">
        <v>1034</v>
      </c>
      <c r="F990" t="s">
        <v>1289</v>
      </c>
      <c r="G990">
        <v>-20.994098294751151</v>
      </c>
      <c r="H990">
        <v>10.133247393356259</v>
      </c>
      <c r="I990">
        <v>13.554137024368808</v>
      </c>
      <c r="J990">
        <v>4.7269331493717299</v>
      </c>
      <c r="K990">
        <v>-8.252620794593458</v>
      </c>
      <c r="L990">
        <v>4.0104086685431817</v>
      </c>
      <c r="M990">
        <v>-8.852364204186383</v>
      </c>
      <c r="N990">
        <v>-0.83866155511099583</v>
      </c>
      <c r="O990">
        <v>-9.0951278611011777</v>
      </c>
      <c r="P990">
        <v>-4.8538095660250988</v>
      </c>
      <c r="Q990">
        <v>3.6598007846286373</v>
      </c>
      <c r="R990">
        <v>2.9731516838826009</v>
      </c>
      <c r="S990">
        <v>23.691051749748834</v>
      </c>
      <c r="T990">
        <v>0.67825942437825149</v>
      </c>
      <c r="U990">
        <f t="shared" ref="U990:U997" si="125">AVERAGE(G990:T990)</f>
        <v>0.75287911446500277</v>
      </c>
      <c r="V990" t="str">
        <f t="shared" si="117"/>
        <v>2021/22Financial performanceTotex performanceAnnual customer share</v>
      </c>
    </row>
    <row r="991" spans="1:22">
      <c r="A991" s="900" t="s">
        <v>142</v>
      </c>
      <c r="B991" s="900"/>
      <c r="C991" s="900" t="s">
        <v>1333</v>
      </c>
      <c r="D991" t="s">
        <v>608</v>
      </c>
      <c r="E991" t="s">
        <v>1036</v>
      </c>
      <c r="F991" t="s">
        <v>1289</v>
      </c>
      <c r="G991">
        <v>-29.128692628242963</v>
      </c>
      <c r="H991">
        <v>12.81534247234505</v>
      </c>
      <c r="I991">
        <v>17.141682339490011</v>
      </c>
      <c r="J991">
        <v>11.029510681867366</v>
      </c>
      <c r="K991">
        <v>-19.256115187384733</v>
      </c>
      <c r="L991">
        <v>9.3576202266007549</v>
      </c>
      <c r="M991">
        <v>-20.655516476434887</v>
      </c>
      <c r="N991">
        <v>-0.95657966679176065</v>
      </c>
      <c r="O991">
        <v>-10.373927749256564</v>
      </c>
      <c r="P991">
        <v>-5.5362684852347215</v>
      </c>
      <c r="Q991">
        <v>4.2115128979492544</v>
      </c>
      <c r="R991">
        <v>3.421351980911628</v>
      </c>
      <c r="S991">
        <v>30.735321464109933</v>
      </c>
      <c r="T991">
        <v>0.87993229108322424</v>
      </c>
      <c r="U991">
        <f t="shared" si="125"/>
        <v>0.26322672578654221</v>
      </c>
      <c r="V991" t="str">
        <f t="shared" si="117"/>
        <v>2021/22Financial performanceTotex performanceAnnual DNO share</v>
      </c>
    </row>
    <row r="992" spans="1:22">
      <c r="A992" s="900" t="s">
        <v>1006</v>
      </c>
      <c r="B992" s="900"/>
      <c r="C992" s="900" t="s">
        <v>1333</v>
      </c>
      <c r="D992" t="s">
        <v>608</v>
      </c>
      <c r="E992" t="s">
        <v>1038</v>
      </c>
      <c r="F992" t="s">
        <v>1289</v>
      </c>
      <c r="G992">
        <v>-168.08536199090258</v>
      </c>
      <c r="H992">
        <v>42.614705370634283</v>
      </c>
      <c r="I992">
        <v>-32.27670035404185</v>
      </c>
      <c r="J992">
        <v>10.793392896927344</v>
      </c>
      <c r="K992">
        <v>-33.564762213189169</v>
      </c>
      <c r="L992">
        <v>-65.047465969840232</v>
      </c>
      <c r="M992">
        <v>-59.367704667160751</v>
      </c>
      <c r="N992">
        <v>-266.86053306123836</v>
      </c>
      <c r="O992">
        <v>-284.1303679353091</v>
      </c>
      <c r="P992">
        <v>-267.51831819320341</v>
      </c>
      <c r="Q992">
        <v>44.651568751607101</v>
      </c>
      <c r="R992">
        <v>84.686633363309738</v>
      </c>
      <c r="S992">
        <v>26.469209610258531</v>
      </c>
      <c r="T992">
        <v>34.439835407804821</v>
      </c>
      <c r="U992">
        <f t="shared" si="125"/>
        <v>-66.656847784595968</v>
      </c>
      <c r="V992" t="str">
        <f t="shared" si="117"/>
        <v>CumulativeFinancial performanceTotex performanceCumulative totex performance</v>
      </c>
    </row>
    <row r="993" spans="1:22">
      <c r="A993" s="900" t="s">
        <v>1006</v>
      </c>
      <c r="B993" s="900"/>
      <c r="C993" s="900" t="s">
        <v>1333</v>
      </c>
      <c r="D993" t="s">
        <v>608</v>
      </c>
      <c r="E993" t="s">
        <v>1040</v>
      </c>
      <c r="F993" t="s">
        <v>1289</v>
      </c>
      <c r="G993">
        <v>-70.403114961560945</v>
      </c>
      <c r="H993">
        <v>18.817075674049406</v>
      </c>
      <c r="I993">
        <v>-14.252195522373567</v>
      </c>
      <c r="J993">
        <v>3.2380178690782038</v>
      </c>
      <c r="K993">
        <v>-10.069428663956753</v>
      </c>
      <c r="L993">
        <v>-19.514239790952072</v>
      </c>
      <c r="M993">
        <v>-17.81031140014823</v>
      </c>
      <c r="N993">
        <v>-124.66607101282931</v>
      </c>
      <c r="O993">
        <v>-132.73381499914851</v>
      </c>
      <c r="P993">
        <v>-124.97336069344281</v>
      </c>
      <c r="Q993">
        <v>20.760936857811995</v>
      </c>
      <c r="R993">
        <v>39.375410475204589</v>
      </c>
      <c r="S993">
        <v>11.521682919925073</v>
      </c>
      <c r="T993">
        <v>14.991186711874766</v>
      </c>
      <c r="U993">
        <f t="shared" si="125"/>
        <v>-28.979873324033438</v>
      </c>
      <c r="V993" t="str">
        <f t="shared" si="117"/>
        <v>CumulativeFinancial performanceTotex performanceCumulative customer share</v>
      </c>
    </row>
    <row r="994" spans="1:22">
      <c r="A994" s="900" t="s">
        <v>1006</v>
      </c>
      <c r="B994" s="900"/>
      <c r="C994" s="900" t="s">
        <v>1333</v>
      </c>
      <c r="D994" t="s">
        <v>608</v>
      </c>
      <c r="E994" t="s">
        <v>1042</v>
      </c>
      <c r="F994" t="s">
        <v>1289</v>
      </c>
      <c r="G994">
        <v>-97.682247029341639</v>
      </c>
      <c r="H994">
        <v>23.797629696584877</v>
      </c>
      <c r="I994">
        <v>-18.024504831668285</v>
      </c>
      <c r="J994">
        <v>7.5553750278491405</v>
      </c>
      <c r="K994">
        <v>-23.495333549232416</v>
      </c>
      <c r="L994">
        <v>-45.533226178888157</v>
      </c>
      <c r="M994">
        <v>-41.557393267012522</v>
      </c>
      <c r="N994">
        <v>-142.19446204840906</v>
      </c>
      <c r="O994">
        <v>-151.39655293616059</v>
      </c>
      <c r="P994">
        <v>-142.54495749976059</v>
      </c>
      <c r="Q994">
        <v>23.890631893795106</v>
      </c>
      <c r="R994">
        <v>45.311222888105149</v>
      </c>
      <c r="S994">
        <v>14.947526690333458</v>
      </c>
      <c r="T994">
        <v>19.448648695930054</v>
      </c>
      <c r="U994">
        <f t="shared" si="125"/>
        <v>-37.676974460562533</v>
      </c>
      <c r="V994" t="str">
        <f t="shared" si="117"/>
        <v>CumulativeFinancial performanceTotex performanceCumulative DNO share</v>
      </c>
    </row>
    <row r="995" spans="1:22">
      <c r="A995" s="900" t="s">
        <v>719</v>
      </c>
      <c r="B995" s="900"/>
      <c r="C995" s="900" t="s">
        <v>1333</v>
      </c>
      <c r="D995" t="s">
        <v>608</v>
      </c>
      <c r="E995" t="s">
        <v>1338</v>
      </c>
      <c r="F995" t="s">
        <v>1289</v>
      </c>
      <c r="G995">
        <v>-169.78142793853658</v>
      </c>
      <c r="H995">
        <v>6.1165147687174795</v>
      </c>
      <c r="I995">
        <v>8.976115299185949</v>
      </c>
      <c r="J995">
        <v>19.024774935637652</v>
      </c>
      <c r="K995">
        <v>-25.322718969204288</v>
      </c>
      <c r="L995">
        <v>-43.058778599630386</v>
      </c>
      <c r="M995">
        <v>-37.832299733936452</v>
      </c>
      <c r="N995">
        <v>-290.1939056249762</v>
      </c>
      <c r="O995">
        <v>-304.56476487265718</v>
      </c>
      <c r="P995">
        <v>-256.32208628286708</v>
      </c>
      <c r="Q995">
        <v>63.816998728226508</v>
      </c>
      <c r="R995">
        <v>121.61013634965138</v>
      </c>
      <c r="S995">
        <v>60.475436567393444</v>
      </c>
      <c r="T995">
        <v>64.377991959299834</v>
      </c>
      <c r="U995">
        <f t="shared" si="125"/>
        <v>-55.905572386692562</v>
      </c>
      <c r="V995" t="str">
        <f t="shared" si="117"/>
        <v>ED1Financial performanceTotex performanceForecast totex performance</v>
      </c>
    </row>
    <row r="996" spans="1:22">
      <c r="A996" s="900" t="s">
        <v>719</v>
      </c>
      <c r="B996" s="900"/>
      <c r="C996" s="900" t="s">
        <v>1333</v>
      </c>
      <c r="D996" t="s">
        <v>608</v>
      </c>
      <c r="E996" t="s">
        <v>1339</v>
      </c>
      <c r="F996" t="s">
        <v>1289</v>
      </c>
      <c r="G996">
        <v>-71.113517845424965</v>
      </c>
      <c r="H996">
        <v>2.7008263993233967</v>
      </c>
      <c r="I996">
        <v>3.9635200894798683</v>
      </c>
      <c r="J996">
        <v>5.7074324806912964</v>
      </c>
      <c r="K996">
        <v>-7.5968156907612876</v>
      </c>
      <c r="L996">
        <v>-12.917633579889118</v>
      </c>
      <c r="M996">
        <v>-11.349689920180937</v>
      </c>
      <c r="N996">
        <v>-135.56644600508125</v>
      </c>
      <c r="O996">
        <v>-142.27990992173935</v>
      </c>
      <c r="P996">
        <v>-119.74294978779648</v>
      </c>
      <c r="Q996">
        <v>29.671985063326424</v>
      </c>
      <c r="R996">
        <v>56.543150276979887</v>
      </c>
      <c r="S996">
        <v>26.324125836515435</v>
      </c>
      <c r="T996">
        <v>28.022854527891351</v>
      </c>
      <c r="U996">
        <f t="shared" si="125"/>
        <v>-24.830933434047552</v>
      </c>
      <c r="V996" t="str">
        <f t="shared" si="117"/>
        <v>ED1Financial performanceTotex performanceForecast customer share</v>
      </c>
    </row>
    <row r="997" spans="1:22">
      <c r="A997" s="900" t="s">
        <v>719</v>
      </c>
      <c r="B997" s="900"/>
      <c r="C997" s="900" t="s">
        <v>1333</v>
      </c>
      <c r="D997" t="s">
        <v>608</v>
      </c>
      <c r="E997" t="s">
        <v>1340</v>
      </c>
      <c r="F997" t="s">
        <v>1289</v>
      </c>
      <c r="G997">
        <v>-98.667910093111615</v>
      </c>
      <c r="H997">
        <v>3.4156883693940827</v>
      </c>
      <c r="I997">
        <v>5.0125952097060811</v>
      </c>
      <c r="J997">
        <v>13.317342454946356</v>
      </c>
      <c r="K997">
        <v>-17.725903278442999</v>
      </c>
      <c r="L997">
        <v>-30.14114501974127</v>
      </c>
      <c r="M997">
        <v>-26.482609813755516</v>
      </c>
      <c r="N997">
        <v>-154.62745961989495</v>
      </c>
      <c r="O997">
        <v>-162.28485495091783</v>
      </c>
      <c r="P997">
        <v>-136.5791364950706</v>
      </c>
      <c r="Q997">
        <v>34.145013664900084</v>
      </c>
      <c r="R997">
        <v>65.066986072671497</v>
      </c>
      <c r="S997">
        <v>34.151310730878009</v>
      </c>
      <c r="T997">
        <v>36.35513743140848</v>
      </c>
      <c r="U997">
        <f t="shared" si="125"/>
        <v>-31.074638952645021</v>
      </c>
      <c r="V997" t="str">
        <f t="shared" si="117"/>
        <v>ED1Financial performanceTotex performanceForecast DNO share</v>
      </c>
    </row>
    <row r="998" spans="1:22">
      <c r="A998" s="900" t="s">
        <v>137</v>
      </c>
      <c r="B998" s="900"/>
      <c r="C998" s="900" t="s">
        <v>1333</v>
      </c>
      <c r="D998" t="s">
        <v>608</v>
      </c>
      <c r="E998" t="s">
        <v>34</v>
      </c>
      <c r="F998" t="s">
        <v>1289</v>
      </c>
      <c r="G998">
        <f>'Ch3 financial performance '!E54</f>
        <v>301.87346100614377</v>
      </c>
      <c r="H998">
        <f>'Ch3 financial performance '!F54</f>
        <v>233.00177265685329</v>
      </c>
      <c r="I998">
        <f>'Ch3 financial performance '!G54</f>
        <v>307.36345191589129</v>
      </c>
      <c r="J998">
        <f>'Ch3 financial performance '!H54</f>
        <v>331.21096045064189</v>
      </c>
      <c r="K998">
        <f>'Ch3 financial performance '!I54</f>
        <v>362.5893268996</v>
      </c>
      <c r="L998">
        <f>'Ch3 financial performance '!J54</f>
        <v>186.84444740452849</v>
      </c>
      <c r="M998">
        <f>'Ch3 financial performance '!K54</f>
        <v>273.00086274751908</v>
      </c>
      <c r="N998">
        <f>'Ch3 financial performance '!L54</f>
        <v>314.35795066480654</v>
      </c>
      <c r="O998">
        <f>'Ch3 financial performance '!M54</f>
        <v>283.46034161206234</v>
      </c>
      <c r="P998">
        <f>'Ch3 financial performance '!N54</f>
        <v>424.67248560458847</v>
      </c>
      <c r="Q998">
        <f>'Ch3 financial performance '!O54</f>
        <v>260.80363292337768</v>
      </c>
      <c r="R998">
        <f>'Ch3 financial performance '!P54</f>
        <v>300.51616552263732</v>
      </c>
      <c r="S998">
        <f>'Ch3 financial performance '!Q54</f>
        <v>205.1175413608012</v>
      </c>
      <c r="T998">
        <f>'Ch3 financial performance '!R54</f>
        <v>391.09642872990474</v>
      </c>
      <c r="U998">
        <f t="shared" ref="U998:U1007" si="126">AVERAGE(G998:T998)</f>
        <v>298.27920210709686</v>
      </c>
      <c r="V998" t="str">
        <f t="shared" si="117"/>
        <v xml:space="preserve">2015/16Financial performanceTotex performanceAllowed totex </v>
      </c>
    </row>
    <row r="999" spans="1:22">
      <c r="A999" s="900" t="s">
        <v>137</v>
      </c>
      <c r="B999" s="900"/>
      <c r="C999" s="900" t="s">
        <v>1333</v>
      </c>
      <c r="D999" t="s">
        <v>608</v>
      </c>
      <c r="E999" t="s">
        <v>36</v>
      </c>
      <c r="F999" t="s">
        <v>1289</v>
      </c>
      <c r="G999">
        <f>'Ch3 financial performance '!E55</f>
        <v>293.15141527205401</v>
      </c>
      <c r="H999">
        <f>'Ch3 financial performance '!F55</f>
        <v>226.15238928983544</v>
      </c>
      <c r="I999">
        <f>'Ch3 financial performance '!G55</f>
        <v>299.28442563515034</v>
      </c>
      <c r="J999">
        <f>'Ch3 financial performance '!H55</f>
        <v>374.02107204480535</v>
      </c>
      <c r="K999">
        <f>'Ch3 financial performance '!I55</f>
        <v>369.29588607154835</v>
      </c>
      <c r="L999">
        <f>'Ch3 financial performance '!J55</f>
        <v>170.30759070203101</v>
      </c>
      <c r="M999">
        <f>'Ch3 financial performance '!K55</f>
        <v>267.63884168783466</v>
      </c>
      <c r="N999">
        <f>'Ch3 financial performance '!L55</f>
        <v>226.72122338777444</v>
      </c>
      <c r="O999">
        <f>'Ch3 financial performance '!M55</f>
        <v>207.45004016973718</v>
      </c>
      <c r="P999">
        <f>'Ch3 financial performance '!N55</f>
        <v>336.88757074038125</v>
      </c>
      <c r="Q999">
        <f>'Ch3 financial performance '!O55</f>
        <v>231.44466693213451</v>
      </c>
      <c r="R999">
        <f>'Ch3 financial performance '!P55</f>
        <v>287.99643360118461</v>
      </c>
      <c r="S999">
        <f>'Ch3 financial performance '!Q55</f>
        <v>181.49509966876872</v>
      </c>
      <c r="T999">
        <f>'Ch3 financial performance '!R55</f>
        <v>336.79685610322178</v>
      </c>
      <c r="U999">
        <f t="shared" si="126"/>
        <v>272.04596509331867</v>
      </c>
      <c r="V999" t="str">
        <f t="shared" si="117"/>
        <v>2015/16Financial performanceTotex performanceActual totex</v>
      </c>
    </row>
    <row r="1000" spans="1:22">
      <c r="A1000" s="900" t="s">
        <v>137</v>
      </c>
      <c r="B1000" s="900"/>
      <c r="C1000" s="900" t="s">
        <v>1333</v>
      </c>
      <c r="D1000" t="s">
        <v>608</v>
      </c>
      <c r="E1000" t="s">
        <v>1052</v>
      </c>
      <c r="F1000" t="s">
        <v>1289</v>
      </c>
      <c r="G1000">
        <f>'Ch3 financial performance '!E56</f>
        <v>-8.722045734089761</v>
      </c>
      <c r="H1000">
        <f>'Ch3 financial performance '!F56</f>
        <v>-6.8493833670178503</v>
      </c>
      <c r="I1000">
        <f>'Ch3 financial performance '!G56</f>
        <v>-8.0790262807409476</v>
      </c>
      <c r="J1000">
        <f>'Ch3 financial performance '!H56</f>
        <v>42.810111594163459</v>
      </c>
      <c r="K1000">
        <f>'Ch3 financial performance '!I56</f>
        <v>6.7065591719483564</v>
      </c>
      <c r="L1000">
        <f>'Ch3 financial performance '!J56</f>
        <v>-16.536856702497488</v>
      </c>
      <c r="M1000">
        <f>'Ch3 financial performance '!K56</f>
        <v>-5.3620210596844231</v>
      </c>
      <c r="N1000">
        <f>'Ch3 financial performance '!L56</f>
        <v>-87.636727277032094</v>
      </c>
      <c r="O1000">
        <f>'Ch3 financial performance '!M56</f>
        <v>-76.010301442325158</v>
      </c>
      <c r="P1000">
        <f>'Ch3 financial performance '!N56</f>
        <v>-87.784914864207224</v>
      </c>
      <c r="Q1000">
        <f>'Ch3 financial performance '!O56</f>
        <v>-29.358965991243167</v>
      </c>
      <c r="R1000">
        <f>'Ch3 financial performance '!P56</f>
        <v>-12.519731921452717</v>
      </c>
      <c r="S1000">
        <f>'Ch3 financial performance '!Q56</f>
        <v>-23.622441692032481</v>
      </c>
      <c r="T1000">
        <f>'Ch3 financial performance '!R56</f>
        <v>-54.299572626682959</v>
      </c>
      <c r="U1000">
        <f>U999-U998</f>
        <v>-26.233237013778194</v>
      </c>
      <c r="V1000" t="str">
        <f t="shared" si="117"/>
        <v>2015/16Financial performanceTotex performanceOverspend</v>
      </c>
    </row>
    <row r="1001" spans="1:22">
      <c r="A1001" s="900" t="s">
        <v>137</v>
      </c>
      <c r="B1001" s="900"/>
      <c r="C1001" s="900" t="s">
        <v>1333</v>
      </c>
      <c r="D1001" t="s">
        <v>608</v>
      </c>
      <c r="E1001" t="s">
        <v>615</v>
      </c>
      <c r="F1001" t="s">
        <v>1300</v>
      </c>
      <c r="G1001" s="829">
        <f>'Ch3 financial performance '!E57</f>
        <v>0.58114666186475283</v>
      </c>
      <c r="H1001" s="829">
        <f>'Ch3 financial performance '!F57</f>
        <v>0.55843703457782867</v>
      </c>
      <c r="I1001" s="829">
        <f>'Ch3 financial performance '!G57</f>
        <v>0.55843703457782867</v>
      </c>
      <c r="J1001" s="829">
        <f>'Ch3 financial performance '!H57</f>
        <v>0.7</v>
      </c>
      <c r="K1001" s="829">
        <f>'Ch3 financial performance '!I57</f>
        <v>0.7</v>
      </c>
      <c r="L1001" s="829">
        <f>'Ch3 financial performance '!J57</f>
        <v>0.7</v>
      </c>
      <c r="M1001" s="829">
        <f>'Ch3 financial performance '!K57</f>
        <v>0.7</v>
      </c>
      <c r="N1001" s="829">
        <f>'Ch3 financial performance '!L57</f>
        <v>0.53284185719504162</v>
      </c>
      <c r="O1001" s="829">
        <f>'Ch3 financial performance '!M57</f>
        <v>0.53284185719504162</v>
      </c>
      <c r="P1001" s="829">
        <f>'Ch3 financial performance '!N57</f>
        <v>0.53284185719504162</v>
      </c>
      <c r="Q1001" s="829">
        <f>'Ch3 financial performance '!O57</f>
        <v>0.53504574557495777</v>
      </c>
      <c r="R1001" s="829">
        <f>'Ch3 financial performance '!P57</f>
        <v>0.53504574557495777</v>
      </c>
      <c r="S1001" s="829">
        <f>'Ch3 financial performance '!Q57</f>
        <v>0.56471375271214463</v>
      </c>
      <c r="T1001" s="829">
        <f>'Ch3 financial performance '!R57</f>
        <v>0.56471375271214463</v>
      </c>
      <c r="U1001" s="829">
        <f t="shared" si="126"/>
        <v>0.59257609279855283</v>
      </c>
      <c r="V1001" t="str">
        <f t="shared" si="117"/>
        <v>2015/16Financial performanceTotex performanceTotex incentive rate</v>
      </c>
    </row>
    <row r="1002" spans="1:22">
      <c r="A1002" s="900" t="s">
        <v>137</v>
      </c>
      <c r="B1002" s="900"/>
      <c r="C1002" s="900" t="s">
        <v>1333</v>
      </c>
      <c r="D1002" t="s">
        <v>608</v>
      </c>
      <c r="E1002" t="s">
        <v>40</v>
      </c>
      <c r="F1002" t="s">
        <v>1289</v>
      </c>
      <c r="G1002">
        <f>'Ch3 financial performance '!E58</f>
        <v>298.22020303505201</v>
      </c>
      <c r="H1002">
        <f>'Ch3 financial performance '!F58</f>
        <v>229.97733862599958</v>
      </c>
      <c r="I1002">
        <f>'Ch3 financial performance '!G58</f>
        <v>303.79605311364367</v>
      </c>
      <c r="J1002">
        <f>'Ch3 financial performance '!H58</f>
        <v>344.05399392889092</v>
      </c>
      <c r="K1002">
        <f>'Ch3 financial performance '!I58</f>
        <v>364.6012946511845</v>
      </c>
      <c r="L1002">
        <f>'Ch3 financial performance '!J58</f>
        <v>181.88339039377925</v>
      </c>
      <c r="M1002">
        <f>'Ch3 financial performance '!K58</f>
        <v>271.39225642961372</v>
      </c>
      <c r="N1002">
        <f>'Ch3 financial performance '!L58</f>
        <v>273.41773990856359</v>
      </c>
      <c r="O1002">
        <f>'Ch3 financial performance '!M58</f>
        <v>247.95151035622067</v>
      </c>
      <c r="P1002">
        <f>'Ch3 financial performance '!N58</f>
        <v>383.66304781033404</v>
      </c>
      <c r="Q1002">
        <f>'Ch3 financial performance '!O58</f>
        <v>247.15305678022904</v>
      </c>
      <c r="R1002">
        <f>'Ch3 financial performance '!P58</f>
        <v>294.6950629014969</v>
      </c>
      <c r="S1002">
        <f>'Ch3 financial performance '!Q58</f>
        <v>194.83501736490021</v>
      </c>
      <c r="T1002">
        <f>'Ch3 financial performance '!R58</f>
        <v>367.46057153190156</v>
      </c>
      <c r="U1002">
        <f t="shared" si="126"/>
        <v>285.93575263084352</v>
      </c>
      <c r="V1002" t="str">
        <f t="shared" si="117"/>
        <v>2015/16Financial performanceTotex performanceAllowed totex after totex incentive rate</v>
      </c>
    </row>
    <row r="1003" spans="1:22">
      <c r="A1003" s="900" t="s">
        <v>138</v>
      </c>
      <c r="B1003" s="900"/>
      <c r="C1003" s="900" t="s">
        <v>1333</v>
      </c>
      <c r="D1003" t="s">
        <v>608</v>
      </c>
      <c r="E1003" t="s">
        <v>34</v>
      </c>
      <c r="F1003" t="s">
        <v>1289</v>
      </c>
      <c r="G1003" s="229">
        <f>'Ch3 financial performance '!E63</f>
        <v>288.51641461593755</v>
      </c>
      <c r="H1003" s="229">
        <f>'Ch3 financial performance '!F63</f>
        <v>228.86321811532517</v>
      </c>
      <c r="I1003" s="229">
        <f>'Ch3 financial performance '!G63</f>
        <v>289.80276319326106</v>
      </c>
      <c r="J1003" s="229">
        <f>'Ch3 financial performance '!H63</f>
        <v>332.36394927064146</v>
      </c>
      <c r="K1003" s="229">
        <f>'Ch3 financial performance '!I63</f>
        <v>355.09376556347479</v>
      </c>
      <c r="L1003" s="229">
        <f>'Ch3 financial performance '!J63</f>
        <v>188.52806218585917</v>
      </c>
      <c r="M1003" s="229">
        <f>'Ch3 financial performance '!K63</f>
        <v>273.80532842777171</v>
      </c>
      <c r="N1003" s="229">
        <f>'Ch3 financial performance '!L63</f>
        <v>308.47688704861355</v>
      </c>
      <c r="O1003" s="229">
        <f>'Ch3 financial performance '!M63</f>
        <v>310.52821908291014</v>
      </c>
      <c r="P1003" s="229">
        <f>'Ch3 financial performance '!N63</f>
        <v>438.60197064137367</v>
      </c>
      <c r="Q1003" s="229">
        <f>'Ch3 financial performance '!O63</f>
        <v>259.30687439251801</v>
      </c>
      <c r="R1003" s="229">
        <f>'Ch3 financial performance '!P63</f>
        <v>312.36542774722517</v>
      </c>
      <c r="S1003" s="229">
        <f>'Ch3 financial performance '!Q63</f>
        <v>213.02007499490506</v>
      </c>
      <c r="T1003" s="229">
        <f>'Ch3 financial performance '!R63</f>
        <v>399.74627155084198</v>
      </c>
      <c r="U1003">
        <f t="shared" si="126"/>
        <v>299.92994477361844</v>
      </c>
      <c r="V1003" t="str">
        <f t="shared" si="117"/>
        <v xml:space="preserve">2016/17Financial performanceTotex performanceAllowed totex </v>
      </c>
    </row>
    <row r="1004" spans="1:22">
      <c r="A1004" s="900" t="s">
        <v>138</v>
      </c>
      <c r="B1004" s="900"/>
      <c r="C1004" s="900" t="s">
        <v>1333</v>
      </c>
      <c r="D1004" t="s">
        <v>608</v>
      </c>
      <c r="E1004" t="s">
        <v>36</v>
      </c>
      <c r="F1004" t="s">
        <v>1289</v>
      </c>
      <c r="G1004">
        <f>'Ch3 financial performance '!E64</f>
        <v>248.47412178639325</v>
      </c>
      <c r="H1004">
        <f>'Ch3 financial performance '!F64</f>
        <v>221.47358479840952</v>
      </c>
      <c r="I1004">
        <f>'Ch3 financial performance '!G64</f>
        <v>258.10647031489032</v>
      </c>
      <c r="J1004">
        <f>'Ch3 financial performance '!H64</f>
        <v>376.67411861792056</v>
      </c>
      <c r="K1004">
        <f>'Ch3 financial performance '!I64</f>
        <v>372.67227109120273</v>
      </c>
      <c r="L1004">
        <f>'Ch3 financial performance '!J64</f>
        <v>177.04544040952177</v>
      </c>
      <c r="M1004">
        <f>'Ch3 financial performance '!K64</f>
        <v>306.5427417318258</v>
      </c>
      <c r="N1004">
        <f>'Ch3 financial performance '!L64</f>
        <v>244.24287282557077</v>
      </c>
      <c r="O1004">
        <f>'Ch3 financial performance '!M64</f>
        <v>242.01288824180875</v>
      </c>
      <c r="P1004">
        <f>'Ch3 financial performance '!N64</f>
        <v>365.34277472381899</v>
      </c>
      <c r="Q1004">
        <f>'Ch3 financial performance '!O64</f>
        <v>249.56083905698563</v>
      </c>
      <c r="R1004">
        <f>'Ch3 financial performance '!P64</f>
        <v>301.32026631748334</v>
      </c>
      <c r="S1004">
        <f>'Ch3 financial performance '!Q64</f>
        <v>204.24379206833947</v>
      </c>
      <c r="T1004">
        <f>'Ch3 financial performance '!R64</f>
        <v>361.86941954004357</v>
      </c>
      <c r="U1004">
        <f t="shared" si="126"/>
        <v>280.68440010887247</v>
      </c>
      <c r="V1004" t="str">
        <f t="shared" si="117"/>
        <v>2016/17Financial performanceTotex performanceActual totex</v>
      </c>
    </row>
    <row r="1005" spans="1:22">
      <c r="A1005" s="900" t="s">
        <v>138</v>
      </c>
      <c r="B1005" s="900"/>
      <c r="C1005" s="900" t="s">
        <v>1333</v>
      </c>
      <c r="D1005" t="s">
        <v>608</v>
      </c>
      <c r="E1005" t="s">
        <v>1052</v>
      </c>
      <c r="F1005" t="s">
        <v>1289</v>
      </c>
      <c r="G1005" s="229">
        <f>'Ch3 financial performance '!E65</f>
        <v>-40.042292829544294</v>
      </c>
      <c r="H1005" s="229">
        <f>'Ch3 financial performance '!F65</f>
        <v>-7.3896333169156492</v>
      </c>
      <c r="I1005" s="229">
        <f>'Ch3 financial performance '!G65</f>
        <v>-31.696292878370741</v>
      </c>
      <c r="J1005" s="229">
        <f>'Ch3 financial performance '!H65</f>
        <v>44.3101693472791</v>
      </c>
      <c r="K1005" s="229">
        <f>'Ch3 financial performance '!I65</f>
        <v>17.578505527727941</v>
      </c>
      <c r="L1005" s="229">
        <f>'Ch3 financial performance '!J65</f>
        <v>-11.482621776337396</v>
      </c>
      <c r="M1005" s="229">
        <f>'Ch3 financial performance '!K65</f>
        <v>32.737413304054087</v>
      </c>
      <c r="N1005" s="229">
        <f>'Ch3 financial performance '!L65</f>
        <v>-64.234014223042777</v>
      </c>
      <c r="O1005" s="229">
        <f>'Ch3 financial performance '!M65</f>
        <v>-68.515330841101388</v>
      </c>
      <c r="P1005" s="229">
        <f>'Ch3 financial performance '!N65</f>
        <v>-73.259195917554678</v>
      </c>
      <c r="Q1005" s="229">
        <f>'Ch3 financial performance '!O65</f>
        <v>-9.7460353355323832</v>
      </c>
      <c r="R1005" s="229">
        <f>'Ch3 financial performance '!P65</f>
        <v>-11.045161429741825</v>
      </c>
      <c r="S1005" s="229">
        <f>'Ch3 financial performance '!Q65</f>
        <v>-8.7762829265655853</v>
      </c>
      <c r="T1005" s="229">
        <f>'Ch3 financial performance '!R65</f>
        <v>-37.876852010798416</v>
      </c>
      <c r="U1005">
        <f>U1004-U1003</f>
        <v>-19.245544664745978</v>
      </c>
      <c r="V1005" t="str">
        <f t="shared" si="117"/>
        <v>2016/17Financial performanceTotex performanceOverspend</v>
      </c>
    </row>
    <row r="1006" spans="1:22">
      <c r="A1006" s="900" t="s">
        <v>138</v>
      </c>
      <c r="B1006" s="900"/>
      <c r="C1006" s="900" t="s">
        <v>1333</v>
      </c>
      <c r="D1006" t="s">
        <v>608</v>
      </c>
      <c r="E1006" t="s">
        <v>615</v>
      </c>
      <c r="F1006" t="s">
        <v>1300</v>
      </c>
      <c r="G1006" s="829">
        <f>'Ch3 financial performance '!E66</f>
        <v>0.58114666186475283</v>
      </c>
      <c r="H1006" s="829">
        <f>'Ch3 financial performance '!F66</f>
        <v>0.55843703457782867</v>
      </c>
      <c r="I1006" s="829">
        <f>'Ch3 financial performance '!G66</f>
        <v>0.55843703457782867</v>
      </c>
      <c r="J1006" s="829">
        <f>'Ch3 financial performance '!H66</f>
        <v>0.7</v>
      </c>
      <c r="K1006" s="829">
        <f>'Ch3 financial performance '!I66</f>
        <v>0.7</v>
      </c>
      <c r="L1006" s="829">
        <f>'Ch3 financial performance '!J66</f>
        <v>0.7</v>
      </c>
      <c r="M1006" s="829">
        <f>'Ch3 financial performance '!K66</f>
        <v>0.7</v>
      </c>
      <c r="N1006" s="829">
        <f>'Ch3 financial performance '!L66</f>
        <v>0.53284185719504162</v>
      </c>
      <c r="O1006" s="829">
        <f>'Ch3 financial performance '!M66</f>
        <v>0.53284185719504162</v>
      </c>
      <c r="P1006" s="829">
        <f>'Ch3 financial performance '!N66</f>
        <v>0.53284185719504162</v>
      </c>
      <c r="Q1006" s="829">
        <f>'Ch3 financial performance '!O66</f>
        <v>0.53504574557495777</v>
      </c>
      <c r="R1006" s="829">
        <f>'Ch3 financial performance '!P66</f>
        <v>0.53504574557495777</v>
      </c>
      <c r="S1006" s="829">
        <f>'Ch3 financial performance '!Q66</f>
        <v>0.56471375271214463</v>
      </c>
      <c r="T1006" s="829">
        <f>'Ch3 financial performance '!R66</f>
        <v>0.56471375271214463</v>
      </c>
      <c r="U1006" s="829">
        <f t="shared" si="126"/>
        <v>0.59257609279855283</v>
      </c>
      <c r="V1006" t="str">
        <f t="shared" si="117"/>
        <v>2016/17Financial performanceTotex performanceTotex incentive rate</v>
      </c>
    </row>
    <row r="1007" spans="1:22">
      <c r="A1007" s="900" t="s">
        <v>138</v>
      </c>
      <c r="B1007" s="900"/>
      <c r="C1007" s="900" t="s">
        <v>1333</v>
      </c>
      <c r="D1007" t="s">
        <v>608</v>
      </c>
      <c r="E1007" t="s">
        <v>40</v>
      </c>
      <c r="F1007" t="s">
        <v>1289</v>
      </c>
      <c r="G1007">
        <f>'Ch3 financial performance '!E67</f>
        <v>271.74456659769385</v>
      </c>
      <c r="H1007">
        <f>'Ch3 financial performance '!F67</f>
        <v>225.60022971452543</v>
      </c>
      <c r="I1007">
        <f>'Ch3 financial performance '!G67</f>
        <v>275.80685411699801</v>
      </c>
      <c r="J1007">
        <f>'Ch3 financial performance '!H67</f>
        <v>345.65700007482519</v>
      </c>
      <c r="K1007">
        <f>'Ch3 financial performance '!I67</f>
        <v>360.3673172217932</v>
      </c>
      <c r="L1007">
        <f>'Ch3 financial performance '!J67</f>
        <v>185.08327565295795</v>
      </c>
      <c r="M1007">
        <f>'Ch3 financial performance '!K67</f>
        <v>283.62655241898796</v>
      </c>
      <c r="N1007">
        <f>'Ch3 financial performance '!L67</f>
        <v>278.46944425926961</v>
      </c>
      <c r="O1007">
        <f>'Ch3 financial performance '!M67</f>
        <v>278.52072437351393</v>
      </c>
      <c r="P1007">
        <f>'Ch3 financial performance '!N67</f>
        <v>404.37834073314423</v>
      </c>
      <c r="Q1007">
        <f>'Ch3 financial performance '!O67</f>
        <v>254.77541379948545</v>
      </c>
      <c r="R1007">
        <f>'Ch3 financial performance '!P67</f>
        <v>307.22993294965534</v>
      </c>
      <c r="S1007">
        <f>'Ch3 financial performance '!Q67</f>
        <v>209.19987973466385</v>
      </c>
      <c r="T1007">
        <f>'Ch3 financial performance '!R67</f>
        <v>383.2589987799841</v>
      </c>
      <c r="U1007">
        <f t="shared" si="126"/>
        <v>290.26560931624988</v>
      </c>
      <c r="V1007" t="str">
        <f t="shared" si="117"/>
        <v>2016/17Financial performanceTotex performanceAllowed totex after totex incentive rate</v>
      </c>
    </row>
    <row r="1008" spans="1:22">
      <c r="A1008" s="900" t="s">
        <v>139</v>
      </c>
      <c r="B1008" s="900"/>
      <c r="C1008" s="900" t="s">
        <v>1333</v>
      </c>
      <c r="D1008" t="s">
        <v>608</v>
      </c>
      <c r="E1008" t="s">
        <v>34</v>
      </c>
      <c r="F1008" t="s">
        <v>1289</v>
      </c>
      <c r="G1008" s="841">
        <f>'Ch3 financial performance '!E72</f>
        <v>291.09643654236214</v>
      </c>
      <c r="H1008" s="841">
        <f>'Ch3 financial performance '!F72</f>
        <v>213.62488976306801</v>
      </c>
      <c r="I1008" s="841">
        <f>'Ch3 financial performance '!G72</f>
        <v>284.97050799372431</v>
      </c>
      <c r="J1008" s="841">
        <f>'Ch3 financial performance '!H72</f>
        <v>321.77650538573533</v>
      </c>
      <c r="K1008" s="841">
        <f>'Ch3 financial performance '!I72</f>
        <v>316.03412320842483</v>
      </c>
      <c r="L1008" s="841">
        <f>'Ch3 financial performance '!J72</f>
        <v>178.46476266408251</v>
      </c>
      <c r="M1008" s="841">
        <f>'Ch3 financial performance '!K72</f>
        <v>268.74440770410911</v>
      </c>
      <c r="N1008" s="841">
        <f>'Ch3 financial performance '!L72</f>
        <v>292.26300950469721</v>
      </c>
      <c r="O1008" s="841">
        <f>'Ch3 financial performance '!M72</f>
        <v>291.87648867149221</v>
      </c>
      <c r="P1008" s="841">
        <f>'Ch3 financial performance '!N72</f>
        <v>417.096362583558</v>
      </c>
      <c r="Q1008" s="841">
        <f>'Ch3 financial performance '!O72</f>
        <v>265.30586436634758</v>
      </c>
      <c r="R1008" s="841">
        <f>'Ch3 financial performance '!P72</f>
        <v>286.32303980841584</v>
      </c>
      <c r="S1008" s="841">
        <f>'Ch3 financial performance '!Q72</f>
        <v>211.13425364045091</v>
      </c>
      <c r="T1008" s="841">
        <f>'Ch3 financial performance '!R72</f>
        <v>386.72442349586044</v>
      </c>
      <c r="U1008">
        <f>AVERAGE(G1008:T1008)</f>
        <v>287.53107680945203</v>
      </c>
      <c r="V1008" t="str">
        <f t="shared" si="117"/>
        <v xml:space="preserve">2017/18Financial performanceTotex performanceAllowed totex </v>
      </c>
    </row>
    <row r="1009" spans="1:22">
      <c r="A1009" s="900" t="s">
        <v>139</v>
      </c>
      <c r="B1009" s="900"/>
      <c r="C1009" s="900" t="s">
        <v>1333</v>
      </c>
      <c r="D1009" t="s">
        <v>608</v>
      </c>
      <c r="E1009" t="s">
        <v>36</v>
      </c>
      <c r="F1009" t="s">
        <v>1289</v>
      </c>
      <c r="G1009" s="841">
        <f>'Ch3 financial performance '!E73</f>
        <v>288.19413832001061</v>
      </c>
      <c r="H1009" s="841">
        <f>'Ch3 financial performance '!F73</f>
        <v>200.03702720418104</v>
      </c>
      <c r="I1009" s="841">
        <f>'Ch3 financial performance '!G73</f>
        <v>250.16925848601696</v>
      </c>
      <c r="J1009" s="841">
        <f>'Ch3 financial performance '!H73</f>
        <v>318.39139237344864</v>
      </c>
      <c r="K1009" s="841">
        <f>'Ch3 financial performance '!I73</f>
        <v>323.91397488687119</v>
      </c>
      <c r="L1009" s="841">
        <f>'Ch3 financial performance '!J73</f>
        <v>155.65755124332503</v>
      </c>
      <c r="M1009" s="841">
        <f>'Ch3 financial performance '!K73</f>
        <v>264.40959708848055</v>
      </c>
      <c r="N1009" s="841">
        <f>'Ch3 financial performance '!L73</f>
        <v>266.11808940875665</v>
      </c>
      <c r="O1009" s="841">
        <f>'Ch3 financial performance '!M73</f>
        <v>242.4371991794178</v>
      </c>
      <c r="P1009" s="841">
        <f>'Ch3 financial performance '!N73</f>
        <v>391.13391382207038</v>
      </c>
      <c r="Q1009" s="841">
        <f>'Ch3 financial performance '!O73</f>
        <v>254.08786346571719</v>
      </c>
      <c r="R1009" s="841">
        <f>'Ch3 financial performance '!P73</f>
        <v>306.10397105291844</v>
      </c>
      <c r="S1009" s="841">
        <f>'Ch3 financial performance '!Q73</f>
        <v>193.4773249410197</v>
      </c>
      <c r="T1009" s="841">
        <f>'Ch3 financial performance '!R73</f>
        <v>407.08659053855689</v>
      </c>
      <c r="U1009">
        <f>AVERAGE(G1009:T1009)</f>
        <v>275.80127800077076</v>
      </c>
      <c r="V1009" t="str">
        <f t="shared" si="117"/>
        <v>2017/18Financial performanceTotex performanceActual totex</v>
      </c>
    </row>
    <row r="1010" spans="1:22">
      <c r="A1010" s="900" t="s">
        <v>139</v>
      </c>
      <c r="B1010" s="900"/>
      <c r="C1010" s="900" t="s">
        <v>1333</v>
      </c>
      <c r="D1010" t="s">
        <v>608</v>
      </c>
      <c r="E1010" t="s">
        <v>1052</v>
      </c>
      <c r="F1010" t="s">
        <v>1289</v>
      </c>
      <c r="G1010" s="841">
        <f>'Ch3 financial performance '!E74</f>
        <v>-2.9022982223515328</v>
      </c>
      <c r="H1010" s="841">
        <f>'Ch3 financial performance '!F74</f>
        <v>-13.587862558886968</v>
      </c>
      <c r="I1010" s="841">
        <f>'Ch3 financial performance '!G74</f>
        <v>-34.801249507707354</v>
      </c>
      <c r="J1010" s="841">
        <f>'Ch3 financial performance '!H74</f>
        <v>-3.3851130122866948</v>
      </c>
      <c r="K1010" s="841">
        <f>'Ch3 financial performance '!I74</f>
        <v>7.8798516784463573</v>
      </c>
      <c r="L1010" s="841">
        <f>'Ch3 financial performance '!J74</f>
        <v>-22.807211420757483</v>
      </c>
      <c r="M1010" s="841">
        <f>'Ch3 financial performance '!K74</f>
        <v>-4.3348106156285553</v>
      </c>
      <c r="N1010" s="841">
        <f>'Ch3 financial performance '!L74</f>
        <v>-26.144920095940563</v>
      </c>
      <c r="O1010" s="841">
        <f>'Ch3 financial performance '!M74</f>
        <v>-49.439289492074408</v>
      </c>
      <c r="P1010" s="841">
        <f>'Ch3 financial performance '!N74</f>
        <v>-25.962448761487622</v>
      </c>
      <c r="Q1010" s="841">
        <f>'Ch3 financial performance '!O74</f>
        <v>-11.218000900630386</v>
      </c>
      <c r="R1010" s="841">
        <f>'Ch3 financial performance '!P74</f>
        <v>19.780931244502597</v>
      </c>
      <c r="S1010" s="841">
        <f>'Ch3 financial performance '!Q74</f>
        <v>-17.656928699431205</v>
      </c>
      <c r="T1010" s="841">
        <f>'Ch3 financial performance '!R74</f>
        <v>20.362167042696456</v>
      </c>
      <c r="U1010">
        <f>U1009-U1008</f>
        <v>-11.729798808681267</v>
      </c>
      <c r="V1010" t="str">
        <f t="shared" si="117"/>
        <v>2017/18Financial performanceTotex performanceOverspend</v>
      </c>
    </row>
    <row r="1011" spans="1:22">
      <c r="A1011" s="900" t="s">
        <v>139</v>
      </c>
      <c r="B1011" s="900"/>
      <c r="C1011" s="900" t="s">
        <v>1333</v>
      </c>
      <c r="D1011" t="s">
        <v>608</v>
      </c>
      <c r="E1011" t="s">
        <v>615</v>
      </c>
      <c r="F1011" t="s">
        <v>1300</v>
      </c>
      <c r="G1011" s="857">
        <f>'Ch3 financial performance '!E75</f>
        <v>0.58114666186475283</v>
      </c>
      <c r="H1011" s="857">
        <f>'Ch3 financial performance '!F75</f>
        <v>0.55843703457782867</v>
      </c>
      <c r="I1011" s="857">
        <f>'Ch3 financial performance '!G75</f>
        <v>0.55843703457782867</v>
      </c>
      <c r="J1011" s="857">
        <f>'Ch3 financial performance '!H75</f>
        <v>0.7</v>
      </c>
      <c r="K1011" s="857">
        <f>'Ch3 financial performance '!I75</f>
        <v>0.7</v>
      </c>
      <c r="L1011" s="857">
        <f>'Ch3 financial performance '!J75</f>
        <v>0.7</v>
      </c>
      <c r="M1011" s="857">
        <f>'Ch3 financial performance '!K75</f>
        <v>0.7</v>
      </c>
      <c r="N1011" s="857">
        <f>'Ch3 financial performance '!L75</f>
        <v>0.53284185719504162</v>
      </c>
      <c r="O1011" s="857">
        <f>'Ch3 financial performance '!M75</f>
        <v>0.53284185719504162</v>
      </c>
      <c r="P1011" s="857">
        <f>'Ch3 financial performance '!N75</f>
        <v>0.53284185719504162</v>
      </c>
      <c r="Q1011" s="857">
        <f>'Ch3 financial performance '!O75</f>
        <v>0.53504574557495777</v>
      </c>
      <c r="R1011" s="857">
        <f>'Ch3 financial performance '!P75</f>
        <v>0.53504574557495777</v>
      </c>
      <c r="S1011" s="857">
        <f>'Ch3 financial performance '!Q75</f>
        <v>0.56471375271214463</v>
      </c>
      <c r="T1011" s="857">
        <f>'Ch3 financial performance '!R75</f>
        <v>0.56471375271214463</v>
      </c>
      <c r="U1011" s="829">
        <f t="shared" ref="U1011:U1017" si="127">AVERAGE(G1011:T1011)</f>
        <v>0.59257609279855283</v>
      </c>
      <c r="V1011" t="str">
        <f t="shared" si="117"/>
        <v>2017/18Financial performanceTotex performanceTotex incentive rate</v>
      </c>
    </row>
    <row r="1012" spans="1:22">
      <c r="A1012" s="900" t="s">
        <v>139</v>
      </c>
      <c r="B1012" s="900"/>
      <c r="C1012" s="900" t="s">
        <v>1333</v>
      </c>
      <c r="D1012" t="s">
        <v>608</v>
      </c>
      <c r="E1012" t="s">
        <v>40</v>
      </c>
      <c r="F1012" t="s">
        <v>1289</v>
      </c>
      <c r="G1012" s="841">
        <f>'Ch3 financial performance '!E76</f>
        <v>289.88079924366622</v>
      </c>
      <c r="H1012" s="841">
        <f>'Ch3 financial performance '!F76</f>
        <v>207.62499287781699</v>
      </c>
      <c r="I1012" s="841">
        <f>'Ch3 financial performance '!G76</f>
        <v>269.60356506070417</v>
      </c>
      <c r="J1012" s="841">
        <f>'Ch3 financial performance '!H76</f>
        <v>320.76097148204934</v>
      </c>
      <c r="K1012" s="841">
        <f>'Ch3 financial performance '!I76</f>
        <v>318.39807871195876</v>
      </c>
      <c r="L1012" s="841">
        <f>'Ch3 financial performance '!J76</f>
        <v>171.62259923785527</v>
      </c>
      <c r="M1012" s="841">
        <f>'Ch3 financial performance '!K76</f>
        <v>267.44396451942055</v>
      </c>
      <c r="N1012" s="841">
        <f>'Ch3 financial performance '!L76</f>
        <v>280.04919718889357</v>
      </c>
      <c r="O1012" s="841">
        <f>'Ch3 financial performance '!M76</f>
        <v>268.78052201077804</v>
      </c>
      <c r="P1012" s="841">
        <f>'Ch3 financial performance '!N76</f>
        <v>404.96779323747256</v>
      </c>
      <c r="Q1012" s="841">
        <f>'Ch3 financial performance '!O76</f>
        <v>260.09000712145553</v>
      </c>
      <c r="R1012" s="841">
        <f>'Ch3 financial performance '!P76</f>
        <v>295.52026794703659</v>
      </c>
      <c r="S1012" s="841">
        <f>'Ch3 financial performance '!Q76</f>
        <v>203.44843540824627</v>
      </c>
      <c r="T1012" s="841">
        <f>'Ch3 financial performance '!R76</f>
        <v>395.58779477452424</v>
      </c>
      <c r="U1012">
        <f t="shared" si="127"/>
        <v>282.41278491584842</v>
      </c>
      <c r="V1012" t="str">
        <f t="shared" si="117"/>
        <v>2017/18Financial performanceTotex performanceAllowed totex after totex incentive rate</v>
      </c>
    </row>
    <row r="1013" spans="1:22">
      <c r="A1013" s="900" t="s">
        <v>140</v>
      </c>
      <c r="B1013" s="900"/>
      <c r="C1013" s="900" t="s">
        <v>1333</v>
      </c>
      <c r="D1013" t="s">
        <v>608</v>
      </c>
      <c r="E1013" t="s">
        <v>34</v>
      </c>
      <c r="F1013" t="s">
        <v>1289</v>
      </c>
      <c r="G1013" s="841">
        <f>'Ch3 financial performance '!E81</f>
        <v>294.06625586241353</v>
      </c>
      <c r="H1013" s="841">
        <f>'Ch3 financial performance '!F81</f>
        <v>210.53287527134191</v>
      </c>
      <c r="I1013" s="841">
        <f>'Ch3 financial performance '!G81</f>
        <v>287.61856247454432</v>
      </c>
      <c r="J1013" s="841">
        <f>'Ch3 financial performance '!H81</f>
        <v>327.56823781053492</v>
      </c>
      <c r="K1013" s="841">
        <f>'Ch3 financial performance '!I81</f>
        <v>322.28806784565512</v>
      </c>
      <c r="L1013" s="841">
        <f>'Ch3 financial performance '!J81</f>
        <v>189.95214992316619</v>
      </c>
      <c r="M1013" s="841">
        <f>'Ch3 financial performance '!K81</f>
        <v>272.53212590136781</v>
      </c>
      <c r="N1013" s="841">
        <f>'Ch3 financial performance '!L81</f>
        <v>280.56237232448888</v>
      </c>
      <c r="O1013" s="841">
        <f>'Ch3 financial performance '!M81</f>
        <v>276.6367078990674</v>
      </c>
      <c r="P1013" s="841">
        <f>'Ch3 financial performance '!N81</f>
        <v>415.28819819154972</v>
      </c>
      <c r="Q1013" s="841">
        <f>'Ch3 financial performance '!O81</f>
        <v>252.01987186796529</v>
      </c>
      <c r="R1013" s="841">
        <f>'Ch3 financial performance '!P81</f>
        <v>263.68644346843428</v>
      </c>
      <c r="S1013" s="841">
        <f>'Ch3 financial performance '!Q81</f>
        <v>215.83254152787904</v>
      </c>
      <c r="T1013" s="841">
        <f>'Ch3 financial performance '!R81</f>
        <v>390.44854232367049</v>
      </c>
      <c r="U1013">
        <f t="shared" si="127"/>
        <v>285.64521090657712</v>
      </c>
      <c r="V1013" t="str">
        <f t="shared" si="117"/>
        <v xml:space="preserve">2018/19Financial performanceTotex performanceAllowed totex </v>
      </c>
    </row>
    <row r="1014" spans="1:22">
      <c r="A1014" s="900" t="s">
        <v>140</v>
      </c>
      <c r="B1014" s="900"/>
      <c r="C1014" s="900" t="s">
        <v>1333</v>
      </c>
      <c r="D1014" t="s">
        <v>608</v>
      </c>
      <c r="E1014" t="s">
        <v>36</v>
      </c>
      <c r="F1014" t="s">
        <v>1289</v>
      </c>
      <c r="G1014" s="841">
        <f>'Ch3 financial performance '!E82</f>
        <v>295.90136826950197</v>
      </c>
      <c r="H1014" s="841">
        <f>'Ch3 financial performance '!F82</f>
        <v>205.38342691430455</v>
      </c>
      <c r="I1014" s="841">
        <f>'Ch3 financial performance '!G82</f>
        <v>263.18008329283123</v>
      </c>
      <c r="J1014" s="841">
        <f>'Ch3 financial performance '!H82</f>
        <v>287.81445035226676</v>
      </c>
      <c r="K1014" s="841">
        <f>'Ch3 financial performance '!I82</f>
        <v>292.3373715539272</v>
      </c>
      <c r="L1014" s="841">
        <f>'Ch3 financial performance '!J82</f>
        <v>162.45492534979596</v>
      </c>
      <c r="M1014" s="841">
        <f>'Ch3 financial performance '!K82</f>
        <v>243.91078011422195</v>
      </c>
      <c r="N1014" s="841">
        <f>'Ch3 financial performance '!L82</f>
        <v>251.05159275631789</v>
      </c>
      <c r="O1014" s="841">
        <f>'Ch3 financial performance '!M82</f>
        <v>249.9843488728965</v>
      </c>
      <c r="P1014" s="841">
        <f>'Ch3 financial performance '!N82</f>
        <v>374.47990408755402</v>
      </c>
      <c r="Q1014" s="841">
        <f>'Ch3 financial performance '!O82</f>
        <v>280.22737336517105</v>
      </c>
      <c r="R1014" s="841">
        <f>'Ch3 financial performance '!P82</f>
        <v>319.48398921620293</v>
      </c>
      <c r="S1014" s="841">
        <f>'Ch3 financial performance '!Q82</f>
        <v>208.7896619284025</v>
      </c>
      <c r="T1014" s="841">
        <f>'Ch3 financial performance '!R82</f>
        <v>380.88083590800142</v>
      </c>
      <c r="U1014">
        <f t="shared" si="127"/>
        <v>272.56286514152828</v>
      </c>
      <c r="V1014" t="str">
        <f t="shared" si="117"/>
        <v>2018/19Financial performanceTotex performanceActual totex</v>
      </c>
    </row>
    <row r="1015" spans="1:22">
      <c r="A1015" s="900" t="s">
        <v>140</v>
      </c>
      <c r="B1015" s="900"/>
      <c r="C1015" s="900" t="s">
        <v>1333</v>
      </c>
      <c r="D1015" t="s">
        <v>608</v>
      </c>
      <c r="E1015" t="s">
        <v>1052</v>
      </c>
      <c r="F1015" t="s">
        <v>1289</v>
      </c>
      <c r="G1015" s="841">
        <f>'Ch3 financial performance '!E83</f>
        <v>1.8351124070884453</v>
      </c>
      <c r="H1015" s="841">
        <f>'Ch3 financial performance '!F83</f>
        <v>-5.1494483570373575</v>
      </c>
      <c r="I1015" s="841">
        <f>'Ch3 financial performance '!G83</f>
        <v>-24.438479181713092</v>
      </c>
      <c r="J1015" s="841">
        <f>'Ch3 financial performance '!H83</f>
        <v>-39.753787458268164</v>
      </c>
      <c r="K1015" s="841">
        <f>'Ch3 financial performance '!I83</f>
        <v>-29.950696291727922</v>
      </c>
      <c r="L1015" s="841">
        <f>'Ch3 financial performance '!J83</f>
        <v>-27.497224573370232</v>
      </c>
      <c r="M1015" s="841">
        <f>'Ch3 financial performance '!K83</f>
        <v>-28.621345787145856</v>
      </c>
      <c r="N1015" s="841">
        <f>'Ch3 financial performance '!L83</f>
        <v>-29.510779568170989</v>
      </c>
      <c r="O1015" s="841">
        <f>'Ch3 financial performance '!M83</f>
        <v>-26.652359026170899</v>
      </c>
      <c r="P1015" s="841">
        <f>'Ch3 financial performance '!N83</f>
        <v>-40.808294103995706</v>
      </c>
      <c r="Q1015" s="841">
        <f>'Ch3 financial performance '!O83</f>
        <v>28.207501497205755</v>
      </c>
      <c r="R1015" s="841">
        <f>'Ch3 financial performance '!P83</f>
        <v>55.797545747768652</v>
      </c>
      <c r="S1015" s="841">
        <f>'Ch3 financial performance '!Q83</f>
        <v>-7.0428795994765494</v>
      </c>
      <c r="T1015" s="841">
        <f>'Ch3 financial performance '!R83</f>
        <v>-9.567706415669079</v>
      </c>
      <c r="U1015">
        <f t="shared" si="127"/>
        <v>-13.082345765048785</v>
      </c>
      <c r="V1015" t="str">
        <f t="shared" si="117"/>
        <v>2018/19Financial performanceTotex performanceOverspend</v>
      </c>
    </row>
    <row r="1016" spans="1:22">
      <c r="A1016" s="900" t="s">
        <v>140</v>
      </c>
      <c r="B1016" s="900"/>
      <c r="C1016" s="900" t="s">
        <v>1333</v>
      </c>
      <c r="D1016" t="s">
        <v>608</v>
      </c>
      <c r="E1016" t="s">
        <v>615</v>
      </c>
      <c r="F1016" t="s">
        <v>1300</v>
      </c>
      <c r="G1016" s="1033">
        <f>'Ch3 financial performance '!E84</f>
        <v>0.58114666186475283</v>
      </c>
      <c r="H1016" s="1033">
        <f>'Ch3 financial performance '!F84</f>
        <v>0.55843703457782867</v>
      </c>
      <c r="I1016" s="1033">
        <f>'Ch3 financial performance '!G84</f>
        <v>0.55843703457782867</v>
      </c>
      <c r="J1016" s="1033">
        <f>'Ch3 financial performance '!H84</f>
        <v>0.7</v>
      </c>
      <c r="K1016" s="1033">
        <f>'Ch3 financial performance '!I84</f>
        <v>0.7</v>
      </c>
      <c r="L1016" s="1033">
        <f>'Ch3 financial performance '!J84</f>
        <v>0.7</v>
      </c>
      <c r="M1016" s="1033">
        <f>'Ch3 financial performance '!K84</f>
        <v>0.7</v>
      </c>
      <c r="N1016" s="1033">
        <f>'Ch3 financial performance '!L84</f>
        <v>0.53284185719504162</v>
      </c>
      <c r="O1016" s="1033">
        <f>'Ch3 financial performance '!M84</f>
        <v>0.53284185719504162</v>
      </c>
      <c r="P1016" s="1033">
        <f>'Ch3 financial performance '!N84</f>
        <v>0.53284185719504162</v>
      </c>
      <c r="Q1016" s="1033">
        <f>'Ch3 financial performance '!O84</f>
        <v>0.53504574557495777</v>
      </c>
      <c r="R1016" s="1033">
        <f>'Ch3 financial performance '!P84</f>
        <v>0.53504574557495777</v>
      </c>
      <c r="S1016" s="1033">
        <f>'Ch3 financial performance '!Q84</f>
        <v>0.56471375271214463</v>
      </c>
      <c r="T1016" s="1033">
        <f>'Ch3 financial performance '!R84</f>
        <v>0.56471375271214463</v>
      </c>
      <c r="U1016" s="829">
        <f t="shared" si="127"/>
        <v>0.59257609279855283</v>
      </c>
      <c r="V1016" t="str">
        <f t="shared" si="117"/>
        <v>2018/19Financial performanceTotex performanceTotex incentive rate</v>
      </c>
    </row>
    <row r="1017" spans="1:22">
      <c r="A1017" s="900" t="s">
        <v>140</v>
      </c>
      <c r="B1017" s="900"/>
      <c r="C1017" s="900" t="s">
        <v>1333</v>
      </c>
      <c r="D1017" t="s">
        <v>608</v>
      </c>
      <c r="E1017" t="s">
        <v>40</v>
      </c>
      <c r="F1017" t="s">
        <v>1289</v>
      </c>
      <c r="G1017" s="841">
        <f>'Ch3 financial performance '!E85</f>
        <v>294.83489881997593</v>
      </c>
      <c r="H1017" s="841">
        <f>'Ch3 financial performance '!F85</f>
        <v>208.25906958452018</v>
      </c>
      <c r="I1017" s="841">
        <f>'Ch3 financial performance '!G85</f>
        <v>276.82743513665906</v>
      </c>
      <c r="J1017" s="841">
        <f>'Ch3 financial performance '!H85</f>
        <v>315.64210157305445</v>
      </c>
      <c r="K1017" s="841">
        <f>'Ch3 financial performance '!I85</f>
        <v>313.30285895813677</v>
      </c>
      <c r="L1017" s="841">
        <f>'Ch3 financial performance '!J85</f>
        <v>181.70298255115512</v>
      </c>
      <c r="M1017" s="841">
        <f>'Ch3 financial performance '!K85</f>
        <v>263.94572216522403</v>
      </c>
      <c r="N1017" s="841">
        <f>'Ch3 financial performance '!L85</f>
        <v>266.77617134869558</v>
      </c>
      <c r="O1017" s="841">
        <f>'Ch3 financial performance '!M85</f>
        <v>264.18584135503045</v>
      </c>
      <c r="P1017" s="841">
        <f>'Ch3 financial performance '!N85</f>
        <v>396.22427130688857</v>
      </c>
      <c r="Q1017" s="841">
        <f>'Ch3 financial performance '!O85</f>
        <v>265.13506969579186</v>
      </c>
      <c r="R1017" s="841">
        <f>'Ch3 financial performance '!P85</f>
        <v>289.62974975033524</v>
      </c>
      <c r="S1017" s="841">
        <f>'Ch3 financial performance '!Q85</f>
        <v>212.76687289692271</v>
      </c>
      <c r="T1017" s="841">
        <f>'Ch3 financial performance '!R85</f>
        <v>386.28385130284198</v>
      </c>
      <c r="U1017">
        <f t="shared" si="127"/>
        <v>281.10834974608798</v>
      </c>
      <c r="V1017" t="str">
        <f t="shared" si="117"/>
        <v>2018/19Financial performanceTotex performanceAllowed totex after totex incentive rate</v>
      </c>
    </row>
    <row r="1018" spans="1:22">
      <c r="A1018" s="900" t="s">
        <v>141</v>
      </c>
      <c r="B1018" s="900"/>
      <c r="C1018" s="900" t="s">
        <v>1333</v>
      </c>
      <c r="D1018" t="s">
        <v>608</v>
      </c>
      <c r="E1018" t="s">
        <v>34</v>
      </c>
      <c r="F1018" t="s">
        <v>1289</v>
      </c>
      <c r="G1018" s="841">
        <f>'Ch3 financial performance '!E90</f>
        <v>294.34248948224803</v>
      </c>
      <c r="H1018" s="841">
        <f>'Ch3 financial performance '!F90</f>
        <v>209.46013354972649</v>
      </c>
      <c r="I1018" s="841">
        <f>'Ch3 financial performance '!G90</f>
        <v>273.32585122556657</v>
      </c>
      <c r="J1018" s="841">
        <f>'Ch3 financial performance '!H90</f>
        <v>336.78272656456994</v>
      </c>
      <c r="K1018" s="841">
        <f>'Ch3 financial performance '!I90</f>
        <v>317.77804500738574</v>
      </c>
      <c r="L1018" s="841">
        <f>'Ch3 financial performance '!J90</f>
        <v>173.42945563217108</v>
      </c>
      <c r="M1018" s="841">
        <f>'Ch3 financial performance '!K90</f>
        <v>267.23881914387334</v>
      </c>
      <c r="N1018" s="841">
        <f>'Ch3 financial performance '!L90</f>
        <v>285.25916969683476</v>
      </c>
      <c r="O1018" s="841">
        <f>'Ch3 financial performance '!M90</f>
        <v>264.6578534706951</v>
      </c>
      <c r="P1018" s="841">
        <f>'Ch3 financial performance '!N90</f>
        <v>409.99190790488967</v>
      </c>
      <c r="Q1018" s="841">
        <f>'Ch3 financial performance '!O90</f>
        <v>243.23198975490428</v>
      </c>
      <c r="R1018" s="841">
        <f>'Ch3 financial performance '!P90</f>
        <v>262.58246759894166</v>
      </c>
      <c r="S1018" s="841">
        <f>'Ch3 financial performance '!Q90</f>
        <v>221.43773502180079</v>
      </c>
      <c r="T1018" s="841">
        <f>'Ch3 financial performance '!R90</f>
        <v>349.20591355258347</v>
      </c>
      <c r="U1018">
        <f t="shared" ref="U1018:U1027" si="128">AVERAGE(G1018:T1018)</f>
        <v>279.19461125758505</v>
      </c>
      <c r="V1018" t="str">
        <f t="shared" si="117"/>
        <v xml:space="preserve">2019/20Financial performanceTotex performanceAllowed totex </v>
      </c>
    </row>
    <row r="1019" spans="1:22">
      <c r="A1019" s="900" t="s">
        <v>141</v>
      </c>
      <c r="B1019" s="900"/>
      <c r="C1019" s="900" t="s">
        <v>1333</v>
      </c>
      <c r="D1019" t="s">
        <v>608</v>
      </c>
      <c r="E1019" t="s">
        <v>36</v>
      </c>
      <c r="F1019" t="s">
        <v>1289</v>
      </c>
      <c r="G1019" s="841">
        <f>'Ch3 financial performance '!E91</f>
        <v>270.47184557614565</v>
      </c>
      <c r="H1019" s="841">
        <f>'Ch3 financial performance '!F91</f>
        <v>230.59931481234182</v>
      </c>
      <c r="I1019" s="841">
        <f>'Ch3 financial performance '!G91</f>
        <v>288.35221241254862</v>
      </c>
      <c r="J1019" s="841">
        <f>'Ch3 financial performance '!H91</f>
        <v>287.89198339516167</v>
      </c>
      <c r="K1019" s="841">
        <f>'Ch3 financial performance '!I91</f>
        <v>312.79054049380335</v>
      </c>
      <c r="L1019" s="841">
        <f>'Ch3 financial performance '!J91</f>
        <v>153.57912442301978</v>
      </c>
      <c r="M1019" s="841">
        <f>'Ch3 financial performance '!K91</f>
        <v>259.79524837008972</v>
      </c>
      <c r="N1019" s="841">
        <f>'Ch3 financial performance '!L91</f>
        <v>251.27105200931155</v>
      </c>
      <c r="O1019" s="841">
        <f>'Ch3 financial performance '!M91</f>
        <v>243.00691232756617</v>
      </c>
      <c r="P1019" s="841">
        <f>'Ch3 financial performance '!N91</f>
        <v>389.03268385463633</v>
      </c>
      <c r="Q1019" s="841">
        <f>'Ch3 financial performance '!O91</f>
        <v>269.4931389460221</v>
      </c>
      <c r="R1019" s="841">
        <f>'Ch3 financial performance '!P91</f>
        <v>291.51071288244037</v>
      </c>
      <c r="S1019" s="841">
        <f>'Ch3 financial performance '!Q91</f>
        <v>216.26855739674397</v>
      </c>
      <c r="T1019" s="841">
        <f>'Ch3 financial performance '!R91</f>
        <v>415.00212925872518</v>
      </c>
      <c r="U1019">
        <f t="shared" si="128"/>
        <v>277.07610401132541</v>
      </c>
      <c r="V1019" t="str">
        <f t="shared" si="117"/>
        <v>2019/20Financial performanceTotex performanceActual totex</v>
      </c>
    </row>
    <row r="1020" spans="1:22">
      <c r="A1020" s="900" t="s">
        <v>141</v>
      </c>
      <c r="B1020" s="900"/>
      <c r="C1020" s="900" t="s">
        <v>1333</v>
      </c>
      <c r="D1020" t="s">
        <v>608</v>
      </c>
      <c r="E1020" t="s">
        <v>1052</v>
      </c>
      <c r="F1020" t="s">
        <v>1289</v>
      </c>
      <c r="G1020" s="841">
        <f>'Ch3 financial performance '!E92</f>
        <v>-23.870643906102373</v>
      </c>
      <c r="H1020" s="841">
        <f>'Ch3 financial performance '!F92</f>
        <v>21.139181262615324</v>
      </c>
      <c r="I1020" s="841">
        <f>'Ch3 financial performance '!G92</f>
        <v>15.026361186982058</v>
      </c>
      <c r="J1020" s="841">
        <f>'Ch3 financial performance '!H92</f>
        <v>-48.890743169408267</v>
      </c>
      <c r="K1020" s="841">
        <f>'Ch3 financial performance '!I92</f>
        <v>-4.9875045135823939</v>
      </c>
      <c r="L1020" s="841">
        <f>'Ch3 financial performance '!J92</f>
        <v>-19.850331209151307</v>
      </c>
      <c r="M1020" s="841">
        <f>'Ch3 financial performance '!K92</f>
        <v>-7.4435707737836196</v>
      </c>
      <c r="N1020" s="841">
        <f>'Ch3 financial performance '!L92</f>
        <v>-33.988117687523214</v>
      </c>
      <c r="O1020" s="841">
        <f>'Ch3 financial performance '!M92</f>
        <v>-21.650941143128932</v>
      </c>
      <c r="P1020" s="841">
        <f>'Ch3 financial performance '!N92</f>
        <v>-20.95922405025334</v>
      </c>
      <c r="Q1020" s="841">
        <f>'Ch3 financial performance '!O92</f>
        <v>26.261149191117823</v>
      </c>
      <c r="R1020" s="841">
        <f>'Ch3 financial performance '!P92</f>
        <v>28.928245283498711</v>
      </c>
      <c r="S1020" s="841">
        <f>'Ch3 financial performance '!Q92</f>
        <v>-5.1691776250568182</v>
      </c>
      <c r="T1020" s="841">
        <f>'Ch3 financial performance '!R92</f>
        <v>65.796215706141709</v>
      </c>
      <c r="U1020">
        <f t="shared" si="128"/>
        <v>-2.1185072462596173</v>
      </c>
      <c r="V1020" t="str">
        <f t="shared" si="117"/>
        <v>2019/20Financial performanceTotex performanceOverspend</v>
      </c>
    </row>
    <row r="1021" spans="1:22">
      <c r="A1021" s="900" t="s">
        <v>141</v>
      </c>
      <c r="B1021" s="900"/>
      <c r="C1021" s="900" t="s">
        <v>1333</v>
      </c>
      <c r="D1021" t="s">
        <v>608</v>
      </c>
      <c r="E1021" t="s">
        <v>615</v>
      </c>
      <c r="F1021" t="s">
        <v>1300</v>
      </c>
      <c r="G1021" s="1033">
        <f>'Ch3 financial performance '!E93</f>
        <v>0.58114666186475283</v>
      </c>
      <c r="H1021" s="1033">
        <f>'Ch3 financial performance '!F93</f>
        <v>0.55843703457782867</v>
      </c>
      <c r="I1021" s="1033">
        <f>'Ch3 financial performance '!G93</f>
        <v>0.55843703457782867</v>
      </c>
      <c r="J1021" s="1033">
        <f>'Ch3 financial performance '!H93</f>
        <v>0.7</v>
      </c>
      <c r="K1021" s="1033">
        <f>'Ch3 financial performance '!I93</f>
        <v>0.7</v>
      </c>
      <c r="L1021" s="1033">
        <f>'Ch3 financial performance '!J93</f>
        <v>0.7</v>
      </c>
      <c r="M1021" s="1033">
        <f>'Ch3 financial performance '!K93</f>
        <v>0.7</v>
      </c>
      <c r="N1021" s="1033">
        <f>'Ch3 financial performance '!L93</f>
        <v>0.53284185719504162</v>
      </c>
      <c r="O1021" s="1033">
        <f>'Ch3 financial performance '!M93</f>
        <v>0.53284185719504162</v>
      </c>
      <c r="P1021" s="1033">
        <f>'Ch3 financial performance '!N93</f>
        <v>0.53284185719504162</v>
      </c>
      <c r="Q1021" s="1033">
        <f>'Ch3 financial performance '!O93</f>
        <v>0.53504574557495777</v>
      </c>
      <c r="R1021" s="1033">
        <f>'Ch3 financial performance '!P93</f>
        <v>0.53504574557495777</v>
      </c>
      <c r="S1021" s="1033">
        <f>'Ch3 financial performance '!Q93</f>
        <v>0.56471375271214463</v>
      </c>
      <c r="T1021" s="1033">
        <f>'Ch3 financial performance '!R93</f>
        <v>0.56471375271214463</v>
      </c>
      <c r="U1021" s="829">
        <f t="shared" si="128"/>
        <v>0.59257609279855283</v>
      </c>
      <c r="V1021" t="str">
        <f t="shared" si="117"/>
        <v>2019/20Financial performanceTotex performanceTotex incentive rate</v>
      </c>
    </row>
    <row r="1022" spans="1:22">
      <c r="A1022" s="900" t="s">
        <v>141</v>
      </c>
      <c r="B1022" s="900"/>
      <c r="C1022" s="900" t="s">
        <v>1333</v>
      </c>
      <c r="D1022" t="s">
        <v>608</v>
      </c>
      <c r="E1022" t="s">
        <v>40</v>
      </c>
      <c r="F1022" t="s">
        <v>1289</v>
      </c>
      <c r="G1022" s="841">
        <f>'Ch3 financial performance '!E94</f>
        <v>284.34419059873926</v>
      </c>
      <c r="H1022" s="841">
        <f>'Ch3 financial performance '!F94</f>
        <v>218.7944131146437</v>
      </c>
      <c r="I1022" s="841">
        <f>'Ch3 financial performance '!G94</f>
        <v>279.96093583079499</v>
      </c>
      <c r="J1022" s="841">
        <f>'Ch3 financial performance '!H94</f>
        <v>322.11550361374748</v>
      </c>
      <c r="K1022" s="841">
        <f>'Ch3 financial performance '!I94</f>
        <v>316.28179365331101</v>
      </c>
      <c r="L1022" s="841">
        <f>'Ch3 financial performance '!J94</f>
        <v>167.4743562694257</v>
      </c>
      <c r="M1022" s="841">
        <f>'Ch3 financial performance '!K94</f>
        <v>265.00574791173824</v>
      </c>
      <c r="N1022" s="841">
        <f>'Ch3 financial performance '!L94</f>
        <v>269.38134376049504</v>
      </c>
      <c r="O1022" s="841">
        <f>'Ch3 financial performance '!M94</f>
        <v>254.54344001629153</v>
      </c>
      <c r="P1022" s="841">
        <f>'Ch3 financial performance '!N94</f>
        <v>400.20063572294032</v>
      </c>
      <c r="Q1022" s="841">
        <f>'Ch3 financial performance '!O94</f>
        <v>255.44222279740526</v>
      </c>
      <c r="R1022" s="841">
        <f>'Ch3 financial performance '!P94</f>
        <v>276.03277831655555</v>
      </c>
      <c r="S1022" s="841">
        <f>'Ch3 financial performance '!Q94</f>
        <v>219.18766309182547</v>
      </c>
      <c r="T1022" s="841">
        <f>'Ch3 financial performance '!R94</f>
        <v>377.84610137305214</v>
      </c>
      <c r="U1022">
        <f t="shared" si="128"/>
        <v>279.04365186221179</v>
      </c>
      <c r="V1022" t="str">
        <f t="shared" ref="V1022:V1095" si="129">CONCATENATE(A1022,B1022,C1022,D1022,E1022)</f>
        <v>2019/20Financial performanceTotex performanceAllowed totex after totex incentive rate</v>
      </c>
    </row>
    <row r="1023" spans="1:22">
      <c r="A1023" s="900" t="s">
        <v>126</v>
      </c>
      <c r="B1023" s="900"/>
      <c r="C1023" s="900" t="s">
        <v>1333</v>
      </c>
      <c r="D1023" t="s">
        <v>608</v>
      </c>
      <c r="E1023" t="s">
        <v>34</v>
      </c>
      <c r="F1023" t="s">
        <v>1289</v>
      </c>
      <c r="G1023" s="841">
        <f>'Ch3 financial performance '!E99</f>
        <v>300.81780326262634</v>
      </c>
      <c r="H1023" s="841">
        <f>'Ch3 financial performance '!F99</f>
        <v>194.21791405299226</v>
      </c>
      <c r="I1023" s="841">
        <f>'Ch3 financial performance '!G99</f>
        <v>260.05457412601027</v>
      </c>
      <c r="J1023" s="841">
        <f>'Ch3 financial performance '!H99</f>
        <v>334.64337806346703</v>
      </c>
      <c r="K1023" s="841">
        <f>'Ch3 financial performance '!I99</f>
        <v>326.65416427153332</v>
      </c>
      <c r="L1023" s="841">
        <f>'Ch3 financial performance '!J99</f>
        <v>157.69949267253949</v>
      </c>
      <c r="M1023" s="841">
        <f>'Ch3 financial performance '!K99</f>
        <v>266.66470090827983</v>
      </c>
      <c r="N1023" s="841">
        <f>'Ch3 financial performance '!L99</f>
        <v>271.13253532489449</v>
      </c>
      <c r="O1023" s="841">
        <f>'Ch3 financial performance '!M99</f>
        <v>256.04536957283545</v>
      </c>
      <c r="P1023" s="841">
        <f>'Ch3 financial performance '!N99</f>
        <v>390.47213959758955</v>
      </c>
      <c r="Q1023" s="841">
        <f>'Ch3 financial performance '!O99</f>
        <v>231.39160598089606</v>
      </c>
      <c r="R1023" s="841">
        <f>'Ch3 financial performance '!P99</f>
        <v>266.78196541563</v>
      </c>
      <c r="S1023" s="841">
        <f>'Ch3 financial performance '!Q99</f>
        <v>205.4255331615696</v>
      </c>
      <c r="T1023" s="841">
        <f>'Ch3 financial performance '!R99</f>
        <v>354.26992361822926</v>
      </c>
      <c r="U1023">
        <f t="shared" si="128"/>
        <v>272.59079285922093</v>
      </c>
      <c r="V1023" t="str">
        <f t="shared" si="129"/>
        <v xml:space="preserve">2020/21Financial performanceTotex performanceAllowed totex </v>
      </c>
    </row>
    <row r="1024" spans="1:22">
      <c r="A1024" s="900" t="s">
        <v>126</v>
      </c>
      <c r="B1024" s="900"/>
      <c r="C1024" s="900" t="s">
        <v>1333</v>
      </c>
      <c r="D1024" t="s">
        <v>608</v>
      </c>
      <c r="E1024" t="s">
        <v>36</v>
      </c>
      <c r="F1024" t="s">
        <v>1289</v>
      </c>
      <c r="G1024" s="841">
        <f>'Ch3 financial performance '!E100</f>
        <v>256.55740047971778</v>
      </c>
      <c r="H1024" s="841">
        <f>'Ch3 financial performance '!F100</f>
        <v>225.72117589516776</v>
      </c>
      <c r="I1024" s="841">
        <f>'Ch3 financial performance '!G100</f>
        <v>281.07074106965985</v>
      </c>
      <c r="J1024" s="841">
        <f>'Ch3 financial performance '!H100</f>
        <v>334.58968982767612</v>
      </c>
      <c r="K1024" s="841">
        <f>'Ch3 financial performance '!I100</f>
        <v>323.37142246751006</v>
      </c>
      <c r="L1024" s="841">
        <f>'Ch3 financial performance '!J100</f>
        <v>177.45824348966934</v>
      </c>
      <c r="M1024" s="841">
        <f>'Ch3 financial performance '!K100</f>
        <v>249.82921185392854</v>
      </c>
      <c r="N1024" s="841">
        <f>'Ch3 financial performance '!L100</f>
        <v>247.58180233726867</v>
      </c>
      <c r="O1024" s="841">
        <f>'Ch3 financial performance '!M100</f>
        <v>233.65227919268469</v>
      </c>
      <c r="P1024" s="841">
        <f>'Ch3 financial performance '!N100</f>
        <v>382.1179771531443</v>
      </c>
      <c r="Q1024" s="841">
        <f>'Ch3 financial performance '!O100</f>
        <v>264.02621258900734</v>
      </c>
      <c r="R1024" s="841">
        <f>'Ch3 financial performance '!P100</f>
        <v>264.13226618957009</v>
      </c>
      <c r="S1024" s="841">
        <f>'Ch3 financial performance '!Q100</f>
        <v>239.73608010053192</v>
      </c>
      <c r="T1024" s="841">
        <f>'Ch3 financial performance '!R100</f>
        <v>402.73731561488484</v>
      </c>
      <c r="U1024">
        <f t="shared" si="128"/>
        <v>277.3272727328872</v>
      </c>
      <c r="V1024" t="str">
        <f t="shared" si="129"/>
        <v>2020/21Financial performanceTotex performanceActual totex</v>
      </c>
    </row>
    <row r="1025" spans="1:22">
      <c r="A1025" s="900" t="s">
        <v>126</v>
      </c>
      <c r="B1025" s="900"/>
      <c r="C1025" s="900" t="s">
        <v>1333</v>
      </c>
      <c r="D1025" t="s">
        <v>608</v>
      </c>
      <c r="E1025" t="s">
        <v>1052</v>
      </c>
      <c r="F1025" t="s">
        <v>1289</v>
      </c>
      <c r="G1025" s="841">
        <f>'Ch3 financial performance '!E101</f>
        <v>-44.260402782908557</v>
      </c>
      <c r="H1025" s="841">
        <f>'Ch3 financial performance '!F101</f>
        <v>31.503261842175505</v>
      </c>
      <c r="I1025" s="841">
        <f>'Ch3 financial performance '!G101</f>
        <v>21.01616694364958</v>
      </c>
      <c r="J1025" s="841">
        <f>'Ch3 financial performance '!H101</f>
        <v>-5.3688235790900762E-2</v>
      </c>
      <c r="K1025" s="841">
        <f>'Ch3 financial performance '!I101</f>
        <v>-3.2827418040232601</v>
      </c>
      <c r="L1025" s="841">
        <f>'Ch3 financial performance '!J101</f>
        <v>19.758750817129851</v>
      </c>
      <c r="M1025" s="841">
        <f>'Ch3 financial performance '!K101</f>
        <v>-16.835489054351285</v>
      </c>
      <c r="N1025" s="841">
        <f>'Ch3 financial performance '!L101</f>
        <v>-23.550732987625821</v>
      </c>
      <c r="O1025" s="841">
        <f>'Ch3 financial performance '!M101</f>
        <v>-22.393090380150767</v>
      </c>
      <c r="P1025" s="841">
        <f>'Ch3 financial performance '!N101</f>
        <v>-8.3541624444452509</v>
      </c>
      <c r="Q1025" s="841">
        <f>'Ch3 financial performance '!O101</f>
        <v>32.634606608111284</v>
      </c>
      <c r="R1025" s="841">
        <f>'Ch3 financial performance '!P101</f>
        <v>-2.6496992260599086</v>
      </c>
      <c r="S1025" s="841">
        <f>'Ch3 financial performance '!Q101</f>
        <v>34.310546938962318</v>
      </c>
      <c r="T1025" s="841">
        <f>'Ch3 financial performance '!R101</f>
        <v>48.467391996655579</v>
      </c>
      <c r="U1025">
        <f t="shared" si="128"/>
        <v>4.7364798736663118</v>
      </c>
      <c r="V1025" t="str">
        <f t="shared" si="129"/>
        <v>2020/21Financial performanceTotex performanceOverspend</v>
      </c>
    </row>
    <row r="1026" spans="1:22">
      <c r="A1026" s="900" t="s">
        <v>126</v>
      </c>
      <c r="B1026" s="900"/>
      <c r="C1026" s="900" t="s">
        <v>1333</v>
      </c>
      <c r="D1026" t="s">
        <v>608</v>
      </c>
      <c r="E1026" t="s">
        <v>615</v>
      </c>
      <c r="F1026" t="s">
        <v>1300</v>
      </c>
      <c r="G1026" s="1037">
        <f>'Ch3 financial performance '!E102</f>
        <v>0.58114666186475283</v>
      </c>
      <c r="H1026" s="1037">
        <f>'Ch3 financial performance '!F102</f>
        <v>0.55843703457782867</v>
      </c>
      <c r="I1026" s="1037">
        <f>'Ch3 financial performance '!G102</f>
        <v>0.55843703457782867</v>
      </c>
      <c r="J1026" s="1037">
        <f>'Ch3 financial performance '!H102</f>
        <v>0.7</v>
      </c>
      <c r="K1026" s="1037">
        <f>'Ch3 financial performance '!I102</f>
        <v>0.7</v>
      </c>
      <c r="L1026" s="1037">
        <f>'Ch3 financial performance '!J102</f>
        <v>0.7</v>
      </c>
      <c r="M1026" s="1037">
        <f>'Ch3 financial performance '!K102</f>
        <v>0.7</v>
      </c>
      <c r="N1026" s="1037">
        <f>'Ch3 financial performance '!L102</f>
        <v>0.53284185719504162</v>
      </c>
      <c r="O1026" s="1037">
        <f>'Ch3 financial performance '!M102</f>
        <v>0.53284185719504162</v>
      </c>
      <c r="P1026" s="1037">
        <f>'Ch3 financial performance '!N102</f>
        <v>0.53284185719504162</v>
      </c>
      <c r="Q1026" s="1037">
        <f>'Ch3 financial performance '!O102</f>
        <v>0.53504574557495777</v>
      </c>
      <c r="R1026" s="1037">
        <f>'Ch3 financial performance '!P102</f>
        <v>0.53504574557495777</v>
      </c>
      <c r="S1026" s="1037">
        <f>'Ch3 financial performance '!Q102</f>
        <v>0.56471375271214463</v>
      </c>
      <c r="T1026" s="1037">
        <f>'Ch3 financial performance '!R102</f>
        <v>0.56471375271214463</v>
      </c>
      <c r="U1026">
        <f t="shared" si="128"/>
        <v>0.59257609279855283</v>
      </c>
      <c r="V1026" t="str">
        <f t="shared" si="129"/>
        <v>2020/21Financial performanceTotex performanceTotex incentive rate</v>
      </c>
    </row>
    <row r="1027" spans="1:22">
      <c r="A1027" s="900" t="s">
        <v>126</v>
      </c>
      <c r="B1027" s="900"/>
      <c r="C1027" s="900" t="s">
        <v>1333</v>
      </c>
      <c r="D1027" t="s">
        <v>608</v>
      </c>
      <c r="E1027" t="s">
        <v>40</v>
      </c>
      <c r="F1027" t="s">
        <v>1289</v>
      </c>
      <c r="G1027" s="841">
        <f>'Ch3 financial performance '!E103</f>
        <v>282.27918580979451</v>
      </c>
      <c r="H1027" s="841">
        <f>'Ch3 financial performance '!F103</f>
        <v>208.1285877724944</v>
      </c>
      <c r="I1027" s="841">
        <f>'Ch3 financial performance '!G103</f>
        <v>269.33453512345557</v>
      </c>
      <c r="J1027" s="841">
        <f>'Ch3 financial performance '!H103</f>
        <v>334.62727159272976</v>
      </c>
      <c r="K1027" s="841">
        <f>'Ch3 financial performance '!I103</f>
        <v>325.66934173032632</v>
      </c>
      <c r="L1027" s="841">
        <f>'Ch3 financial performance '!J103</f>
        <v>163.62711791767845</v>
      </c>
      <c r="M1027" s="841">
        <f>'Ch3 financial performance '!K103</f>
        <v>261.61405419197445</v>
      </c>
      <c r="N1027" s="841">
        <f>'Ch3 financial performance '!L103</f>
        <v>260.13061864069977</v>
      </c>
      <c r="O1027" s="841">
        <f>'Ch3 financial performance '!M103</f>
        <v>245.58425505918063</v>
      </c>
      <c r="P1027" s="841">
        <f>'Ch3 financial performance '!N103</f>
        <v>386.56942458535156</v>
      </c>
      <c r="Q1027" s="841">
        <f>'Ch3 financial performance '!O103</f>
        <v>246.56520516482499</v>
      </c>
      <c r="R1027" s="841">
        <f>'Ch3 financial performance '!P103</f>
        <v>265.54997648752669</v>
      </c>
      <c r="S1027" s="841">
        <f>'Ch3 financial performance '!Q103</f>
        <v>220.36044238102431</v>
      </c>
      <c r="T1027" s="841">
        <f>'Ch3 financial performance '!R103</f>
        <v>375.36711279628292</v>
      </c>
      <c r="U1027">
        <f t="shared" si="128"/>
        <v>274.67193780381029</v>
      </c>
      <c r="V1027" t="str">
        <f t="shared" si="129"/>
        <v>2020/21Financial performanceTotex performanceAllowed totex after totex incentive rate</v>
      </c>
    </row>
    <row r="1028" spans="1:22">
      <c r="A1028" s="900" t="s">
        <v>142</v>
      </c>
      <c r="B1028" s="900"/>
      <c r="C1028" s="900" t="s">
        <v>1333</v>
      </c>
      <c r="D1028" t="s">
        <v>608</v>
      </c>
      <c r="E1028" t="s">
        <v>34</v>
      </c>
      <c r="F1028" t="s">
        <v>1289</v>
      </c>
      <c r="G1028" s="841">
        <f>'Ch3 financial performance '!E108</f>
        <v>314.29989152659925</v>
      </c>
      <c r="H1028" s="841">
        <f>'Ch3 financial performance '!F108</f>
        <v>182.38781366471173</v>
      </c>
      <c r="I1028" s="841">
        <f>'Ch3 financial performance '!G108</f>
        <v>249.68891564320504</v>
      </c>
      <c r="J1028" s="841">
        <f>'Ch3 financial performance '!H108</f>
        <v>333.7184336711083</v>
      </c>
      <c r="K1028" s="841">
        <f>'Ch3 financial performance '!I108</f>
        <v>345.31213598615403</v>
      </c>
      <c r="L1028" s="841">
        <f>'Ch3 financial performance '!J108</f>
        <v>153.42656264854816</v>
      </c>
      <c r="M1028" s="841">
        <f>'Ch3 financial performance '!K108</f>
        <v>267.88499090331271</v>
      </c>
      <c r="N1028" s="841">
        <f>'Ch3 financial performance '!L108</f>
        <v>255.38109991132197</v>
      </c>
      <c r="O1028" s="841">
        <f>'Ch3 financial performance '!M108</f>
        <v>258.06156400658494</v>
      </c>
      <c r="P1028" s="841">
        <f>'Ch3 financial performance '!N108</f>
        <v>393.20021769593268</v>
      </c>
      <c r="Q1028" s="841">
        <f>'Ch3 financial performance '!O108</f>
        <v>235.03445780538499</v>
      </c>
      <c r="R1028" s="841">
        <f>'Ch3 financial performance '!P108</f>
        <v>259.63119134170529</v>
      </c>
      <c r="S1028" s="841">
        <f>'Ch3 financial performance '!Q108</f>
        <v>220.47329113900599</v>
      </c>
      <c r="T1028" s="841">
        <f>'Ch3 financial performance '!R108</f>
        <v>363.70457432710828</v>
      </c>
      <c r="U1028">
        <f t="shared" ref="U1028:U1032" si="130">AVERAGE(G1028:T1028)</f>
        <v>273.72893859076311</v>
      </c>
      <c r="V1028" t="str">
        <f t="shared" ref="V1028:V1032" si="131">CONCATENATE(A1028,B1028,C1028,D1028,E1028)</f>
        <v xml:space="preserve">2021/22Financial performanceTotex performanceAllowed totex </v>
      </c>
    </row>
    <row r="1029" spans="1:22">
      <c r="A1029" s="900" t="s">
        <v>142</v>
      </c>
      <c r="B1029" s="900"/>
      <c r="C1029" s="900" t="s">
        <v>1333</v>
      </c>
      <c r="D1029" t="s">
        <v>608</v>
      </c>
      <c r="E1029" t="s">
        <v>36</v>
      </c>
      <c r="F1029" t="s">
        <v>1289</v>
      </c>
      <c r="G1029" s="841">
        <f>'Ch3 financial performance '!E109</f>
        <v>264.17710060360514</v>
      </c>
      <c r="H1029" s="841">
        <f>'Ch3 financial performance '!F109</f>
        <v>205.33640353041304</v>
      </c>
      <c r="I1029" s="841">
        <f>'Ch3 financial performance '!G109</f>
        <v>280.38473500706385</v>
      </c>
      <c r="J1029" s="841">
        <f>'Ch3 financial performance '!H109</f>
        <v>349.4748775023474</v>
      </c>
      <c r="K1029" s="841">
        <f>'Ch3 financial performance '!I109</f>
        <v>317.80340000417584</v>
      </c>
      <c r="L1029" s="841">
        <f>'Ch3 financial performance '!J109</f>
        <v>166.79459154369209</v>
      </c>
      <c r="M1029" s="841">
        <f>'Ch3 financial performance '!K109</f>
        <v>238.37711022269144</v>
      </c>
      <c r="N1029" s="841">
        <f>'Ch3 financial performance '!L109</f>
        <v>253.58585868941921</v>
      </c>
      <c r="O1029" s="841">
        <f>'Ch3 financial performance '!M109</f>
        <v>238.5925083962272</v>
      </c>
      <c r="P1029" s="841">
        <f>'Ch3 financial performance '!N109</f>
        <v>382.81013964467286</v>
      </c>
      <c r="Q1029" s="841">
        <f>'Ch3 financial performance '!O109</f>
        <v>242.90577148796288</v>
      </c>
      <c r="R1029" s="841">
        <f>'Ch3 financial performance '!P109</f>
        <v>266.02569500649952</v>
      </c>
      <c r="S1029" s="841">
        <f>'Ch3 financial performance '!Q109</f>
        <v>274.89966435286476</v>
      </c>
      <c r="T1029" s="841">
        <f>'Ch3 financial performance '!R109</f>
        <v>365.26276604256975</v>
      </c>
      <c r="U1029">
        <f t="shared" si="130"/>
        <v>274.74504443101461</v>
      </c>
      <c r="V1029" t="str">
        <f t="shared" si="131"/>
        <v>2021/22Financial performanceTotex performanceActual totex</v>
      </c>
    </row>
    <row r="1030" spans="1:22">
      <c r="A1030" s="900" t="s">
        <v>142</v>
      </c>
      <c r="B1030" s="900"/>
      <c r="C1030" s="900" t="s">
        <v>1333</v>
      </c>
      <c r="D1030" t="s">
        <v>608</v>
      </c>
      <c r="E1030" t="s">
        <v>1052</v>
      </c>
      <c r="F1030" t="s">
        <v>1289</v>
      </c>
      <c r="G1030" s="841">
        <f>'Ch3 financial performance '!E110</f>
        <v>-50.122790922994113</v>
      </c>
      <c r="H1030" s="841">
        <f>'Ch3 financial performance '!F110</f>
        <v>22.948589865701308</v>
      </c>
      <c r="I1030" s="841">
        <f>'Ch3 financial performance '!G110</f>
        <v>30.695819363858817</v>
      </c>
      <c r="J1030" s="841">
        <f>'Ch3 financial performance '!H110</f>
        <v>15.756443831239096</v>
      </c>
      <c r="K1030" s="841">
        <f>'Ch3 financial performance '!I110</f>
        <v>-27.508735981978191</v>
      </c>
      <c r="L1030" s="841">
        <f>'Ch3 financial performance '!J110</f>
        <v>13.368028895143937</v>
      </c>
      <c r="M1030" s="841">
        <f>'Ch3 financial performance '!K110</f>
        <v>-29.50788068062127</v>
      </c>
      <c r="N1030" s="841">
        <f>'Ch3 financial performance '!L110</f>
        <v>-1.7952412219027565</v>
      </c>
      <c r="O1030" s="841">
        <f>'Ch3 financial performance '!M110</f>
        <v>-19.469055610357742</v>
      </c>
      <c r="P1030" s="841">
        <f>'Ch3 financial performance '!N110</f>
        <v>-10.39007805125982</v>
      </c>
      <c r="Q1030" s="841">
        <f>'Ch3 financial performance '!O110</f>
        <v>7.8713136825778918</v>
      </c>
      <c r="R1030" s="841">
        <f>'Ch3 financial performance '!P110</f>
        <v>6.3945036647942288</v>
      </c>
      <c r="S1030" s="841">
        <f>'Ch3 financial performance '!Q110</f>
        <v>54.426373213858767</v>
      </c>
      <c r="T1030" s="841">
        <f>'Ch3 financial performance '!R110</f>
        <v>1.5581917154614757</v>
      </c>
      <c r="U1030">
        <f t="shared" si="130"/>
        <v>1.0161058402515448</v>
      </c>
      <c r="V1030" t="str">
        <f t="shared" si="131"/>
        <v>2021/22Financial performanceTotex performanceOverspend</v>
      </c>
    </row>
    <row r="1031" spans="1:22">
      <c r="A1031" s="900" t="s">
        <v>142</v>
      </c>
      <c r="B1031" s="900"/>
      <c r="C1031" s="900" t="s">
        <v>1333</v>
      </c>
      <c r="D1031" t="s">
        <v>608</v>
      </c>
      <c r="E1031" t="s">
        <v>615</v>
      </c>
      <c r="F1031" t="s">
        <v>1300</v>
      </c>
      <c r="G1031" s="841">
        <f>'Ch3 financial performance '!E111</f>
        <v>0.58114666186475283</v>
      </c>
      <c r="H1031" s="841">
        <f>'Ch3 financial performance '!F111</f>
        <v>0.55843703457782867</v>
      </c>
      <c r="I1031" s="841">
        <f>'Ch3 financial performance '!G111</f>
        <v>0.55843703457782867</v>
      </c>
      <c r="J1031" s="841">
        <f>'Ch3 financial performance '!H111</f>
        <v>0.7</v>
      </c>
      <c r="K1031" s="841">
        <f>'Ch3 financial performance '!I111</f>
        <v>0.7</v>
      </c>
      <c r="L1031" s="841">
        <f>'Ch3 financial performance '!J111</f>
        <v>0.7</v>
      </c>
      <c r="M1031" s="841">
        <f>'Ch3 financial performance '!K111</f>
        <v>0.7</v>
      </c>
      <c r="N1031" s="841">
        <f>'Ch3 financial performance '!L111</f>
        <v>0.53284185719504162</v>
      </c>
      <c r="O1031" s="841">
        <f>'Ch3 financial performance '!M111</f>
        <v>0.53284185719504162</v>
      </c>
      <c r="P1031" s="841">
        <f>'Ch3 financial performance '!N111</f>
        <v>0.53284185719504162</v>
      </c>
      <c r="Q1031" s="841">
        <f>'Ch3 financial performance '!O111</f>
        <v>0.53504574557495777</v>
      </c>
      <c r="R1031" s="841">
        <f>'Ch3 financial performance '!P111</f>
        <v>0.53504574557495777</v>
      </c>
      <c r="S1031" s="841">
        <f>'Ch3 financial performance '!Q111</f>
        <v>0.56471375271214463</v>
      </c>
      <c r="T1031" s="841">
        <f>'Ch3 financial performance '!R111</f>
        <v>0.56471375271214463</v>
      </c>
      <c r="U1031">
        <f t="shared" si="130"/>
        <v>0.59257609279855283</v>
      </c>
      <c r="V1031" t="str">
        <f t="shared" si="131"/>
        <v>2021/22Financial performanceTotex performanceTotex incentive rate</v>
      </c>
    </row>
    <row r="1032" spans="1:22">
      <c r="A1032" s="900" t="s">
        <v>142</v>
      </c>
      <c r="B1032" s="900"/>
      <c r="C1032" s="900" t="s">
        <v>1333</v>
      </c>
      <c r="D1032" t="s">
        <v>608</v>
      </c>
      <c r="E1032" t="s">
        <v>40</v>
      </c>
      <c r="F1032" t="s">
        <v>1289</v>
      </c>
      <c r="G1032" s="841">
        <f>'Ch3 financial performance '!E112</f>
        <v>293.3057932318481</v>
      </c>
      <c r="H1032" s="841">
        <f>'Ch3 financial performance '!F112</f>
        <v>192.521061058068</v>
      </c>
      <c r="I1032" s="841">
        <f>'Ch3 financial performance '!G112</f>
        <v>263.24305266757386</v>
      </c>
      <c r="J1032" s="841">
        <f>'Ch3 financial performance '!H112</f>
        <v>338.44536682048005</v>
      </c>
      <c r="K1032" s="841">
        <f>'Ch3 financial performance '!I112</f>
        <v>337.05951519156059</v>
      </c>
      <c r="L1032" s="841">
        <f>'Ch3 financial performance '!J112</f>
        <v>157.43697131709135</v>
      </c>
      <c r="M1032" s="841">
        <f>'Ch3 financial performance '!K112</f>
        <v>259.03262669912635</v>
      </c>
      <c r="N1032" s="841">
        <f>'Ch3 financial performance '!L112</f>
        <v>254.54243835621097</v>
      </c>
      <c r="O1032" s="841">
        <f>'Ch3 financial performance '!M112</f>
        <v>248.96643614548375</v>
      </c>
      <c r="P1032" s="841">
        <f>'Ch3 financial performance '!N112</f>
        <v>388.34640812990756</v>
      </c>
      <c r="Q1032" s="841">
        <f>'Ch3 financial performance '!O112</f>
        <v>238.69425859001362</v>
      </c>
      <c r="R1032" s="841">
        <f>'Ch3 financial performance '!P112</f>
        <v>262.60434302558787</v>
      </c>
      <c r="S1032" s="841">
        <f>'Ch3 financial performance '!Q112</f>
        <v>244.16434288875482</v>
      </c>
      <c r="T1032" s="841">
        <f>'Ch3 financial performance '!R112</f>
        <v>364.38283375148654</v>
      </c>
      <c r="U1032">
        <f t="shared" si="130"/>
        <v>274.48181770522808</v>
      </c>
      <c r="V1032" t="str">
        <f t="shared" si="131"/>
        <v>2021/22Financial performanceTotex performanceAllowed totex after totex incentive rate</v>
      </c>
    </row>
    <row r="1033" spans="1:22">
      <c r="A1033" s="900" t="s">
        <v>137</v>
      </c>
      <c r="B1033" s="900"/>
      <c r="C1033" s="900" t="s">
        <v>1333</v>
      </c>
      <c r="D1033" t="s">
        <v>1056</v>
      </c>
      <c r="E1033" t="s">
        <v>634</v>
      </c>
      <c r="F1033" t="s">
        <v>1341</v>
      </c>
      <c r="G1033">
        <f t="array" ref="G1033:T1037">TRANSPOSE('Ch3 financial performance '!F161:J174)</f>
        <v>104.84855963639788</v>
      </c>
      <c r="H1033">
        <v>114.97664097183159</v>
      </c>
      <c r="I1033">
        <v>98.541883792893785</v>
      </c>
      <c r="J1033">
        <v>93.850368220600458</v>
      </c>
      <c r="K1033">
        <v>89.252057660305411</v>
      </c>
      <c r="L1033">
        <v>113.02995401237378</v>
      </c>
      <c r="M1033">
        <v>126.06744749448808</v>
      </c>
      <c r="N1033">
        <v>77.39968360290348</v>
      </c>
      <c r="O1033">
        <v>101.24482914084402</v>
      </c>
      <c r="P1033">
        <v>89.870278246218078</v>
      </c>
      <c r="Q1033">
        <v>113.54553110406047</v>
      </c>
      <c r="R1033">
        <v>142.61652828940856</v>
      </c>
      <c r="S1033">
        <v>144.24891379068481</v>
      </c>
      <c r="T1033">
        <v>94.585390024080596</v>
      </c>
      <c r="U1033">
        <f t="shared" ref="U1033:U1038" si="132">AVERAGE(G1033:T1033)</f>
        <v>107.4341475705065</v>
      </c>
      <c r="V1033" t="str">
        <f t="shared" si="129"/>
        <v>2015/16Financial performanceCustomer Bill ImpactRegional estimates of typical GB customer cost to meet Allowed Revenue</v>
      </c>
    </row>
    <row r="1034" spans="1:22">
      <c r="A1034" s="900" t="s">
        <v>138</v>
      </c>
      <c r="B1034" s="900"/>
      <c r="C1034" s="900" t="s">
        <v>1333</v>
      </c>
      <c r="D1034" t="s">
        <v>1056</v>
      </c>
      <c r="E1034" t="s">
        <v>634</v>
      </c>
      <c r="F1034" t="s">
        <v>1341</v>
      </c>
      <c r="G1034">
        <v>106.67327724810714</v>
      </c>
      <c r="H1034">
        <v>112.22218658402376</v>
      </c>
      <c r="I1034">
        <v>92.281804335773046</v>
      </c>
      <c r="J1034">
        <v>107.19651953144816</v>
      </c>
      <c r="K1034">
        <v>95.72908158661464</v>
      </c>
      <c r="L1034">
        <v>129.39331193534269</v>
      </c>
      <c r="M1034">
        <v>140.46571928215715</v>
      </c>
      <c r="N1034">
        <v>87.441408943788829</v>
      </c>
      <c r="O1034">
        <v>118.7735726919308</v>
      </c>
      <c r="P1034">
        <v>91.144070011069076</v>
      </c>
      <c r="Q1034">
        <v>110.29150341271138</v>
      </c>
      <c r="R1034">
        <v>125.18196234359586</v>
      </c>
      <c r="S1034">
        <v>158.34085384251884</v>
      </c>
      <c r="T1034">
        <v>99.887875937981789</v>
      </c>
      <c r="U1034">
        <f t="shared" si="132"/>
        <v>112.50165340621878</v>
      </c>
      <c r="V1034" t="str">
        <f t="shared" si="129"/>
        <v>2016/17Financial performanceCustomer Bill ImpactRegional estimates of typical GB customer cost to meet Allowed Revenue</v>
      </c>
    </row>
    <row r="1035" spans="1:22">
      <c r="A1035" s="900" t="s">
        <v>139</v>
      </c>
      <c r="B1035" s="900"/>
      <c r="C1035" s="900" t="s">
        <v>1333</v>
      </c>
      <c r="D1035" t="s">
        <v>1056</v>
      </c>
      <c r="E1035" t="s">
        <v>634</v>
      </c>
      <c r="F1035" t="s">
        <v>1341</v>
      </c>
      <c r="G1035">
        <v>87.997882123508958</v>
      </c>
      <c r="H1035">
        <v>100.91439977082982</v>
      </c>
      <c r="I1035">
        <v>84.17113691586809</v>
      </c>
      <c r="J1035">
        <v>92.714788167201291</v>
      </c>
      <c r="K1035">
        <v>84.091529036221218</v>
      </c>
      <c r="L1035">
        <v>113.9962568604942</v>
      </c>
      <c r="M1035">
        <v>125.86618140476517</v>
      </c>
      <c r="N1035">
        <v>74.594810022961738</v>
      </c>
      <c r="O1035">
        <v>101.47555181757144</v>
      </c>
      <c r="P1035">
        <v>88.021263458789861</v>
      </c>
      <c r="Q1035">
        <v>101.66037570598239</v>
      </c>
      <c r="R1035">
        <v>115.68862017606422</v>
      </c>
      <c r="S1035">
        <v>139.08888320457402</v>
      </c>
      <c r="T1035">
        <v>90.048202548260392</v>
      </c>
      <c r="U1035">
        <f t="shared" si="132"/>
        <v>100.02356294379233</v>
      </c>
      <c r="V1035" t="str">
        <f t="shared" si="129"/>
        <v>2017/18Financial performanceCustomer Bill ImpactRegional estimates of typical GB customer cost to meet Allowed Revenue</v>
      </c>
    </row>
    <row r="1036" spans="1:22">
      <c r="A1036" s="900" t="s">
        <v>140</v>
      </c>
      <c r="B1036" s="900"/>
      <c r="C1036" s="900" t="s">
        <v>1333</v>
      </c>
      <c r="D1036" t="s">
        <v>1056</v>
      </c>
      <c r="E1036" t="s">
        <v>634</v>
      </c>
      <c r="F1036" t="s">
        <v>1341</v>
      </c>
      <c r="G1036">
        <v>86.902389867175344</v>
      </c>
      <c r="H1036">
        <v>94.964763098031924</v>
      </c>
      <c r="I1036">
        <v>80.879783558912678</v>
      </c>
      <c r="J1036">
        <v>88.790902886610823</v>
      </c>
      <c r="K1036">
        <v>78.596389813731406</v>
      </c>
      <c r="L1036">
        <v>109.72822443131908</v>
      </c>
      <c r="M1036">
        <v>110.99713664031621</v>
      </c>
      <c r="N1036">
        <v>71.942298459782222</v>
      </c>
      <c r="O1036">
        <v>90.716148996813359</v>
      </c>
      <c r="P1036">
        <v>84.151729599736697</v>
      </c>
      <c r="Q1036">
        <v>101.02788384464058</v>
      </c>
      <c r="R1036">
        <v>109.80223080536445</v>
      </c>
      <c r="S1036">
        <v>136.52285337583825</v>
      </c>
      <c r="T1036">
        <v>82.072528623819309</v>
      </c>
      <c r="U1036">
        <f t="shared" si="132"/>
        <v>94.792518857292293</v>
      </c>
      <c r="V1036" t="str">
        <f t="shared" si="129"/>
        <v>2018/19Financial performanceCustomer Bill ImpactRegional estimates of typical GB customer cost to meet Allowed Revenue</v>
      </c>
    </row>
    <row r="1037" spans="1:22">
      <c r="A1037" s="900" t="s">
        <v>141</v>
      </c>
      <c r="B1037" s="900"/>
      <c r="C1037" s="900" t="s">
        <v>1333</v>
      </c>
      <c r="D1037" t="s">
        <v>1056</v>
      </c>
      <c r="E1037" t="s">
        <v>634</v>
      </c>
      <c r="F1037" t="s">
        <v>1341</v>
      </c>
      <c r="G1037">
        <v>91.902341767174889</v>
      </c>
      <c r="H1037">
        <v>98.293744105815549</v>
      </c>
      <c r="I1037">
        <v>82.026682609059435</v>
      </c>
      <c r="J1037">
        <v>87.913639121335137</v>
      </c>
      <c r="K1037">
        <v>79.206946283188557</v>
      </c>
      <c r="L1037">
        <v>110.75534632580812</v>
      </c>
      <c r="M1037">
        <v>109.38260074195274</v>
      </c>
      <c r="N1037">
        <v>79.246438388592907</v>
      </c>
      <c r="O1037">
        <v>97.499689506485325</v>
      </c>
      <c r="P1037">
        <v>87.963662454847309</v>
      </c>
      <c r="Q1037">
        <v>103.2665900183318</v>
      </c>
      <c r="R1037">
        <v>123.7082303370308</v>
      </c>
      <c r="S1037">
        <v>135.66433360784762</v>
      </c>
      <c r="T1037">
        <v>80.213205128891488</v>
      </c>
      <c r="U1037">
        <f t="shared" si="132"/>
        <v>97.645960742597254</v>
      </c>
      <c r="V1037" t="str">
        <f t="shared" si="129"/>
        <v>2019/20Financial performanceCustomer Bill ImpactRegional estimates of typical GB customer cost to meet Allowed Revenue</v>
      </c>
    </row>
    <row r="1038" spans="1:22">
      <c r="A1038" s="900" t="s">
        <v>126</v>
      </c>
      <c r="B1038" s="900"/>
      <c r="C1038" s="900" t="s">
        <v>1333</v>
      </c>
      <c r="D1038" t="s">
        <v>1056</v>
      </c>
      <c r="E1038" t="s">
        <v>634</v>
      </c>
      <c r="F1038" t="s">
        <v>1341</v>
      </c>
      <c r="G1038">
        <f t="array" ref="G1038:T1038">TRANSPOSE('Ch3 financial performance '!K161:K174)</f>
        <v>85.591797464901873</v>
      </c>
      <c r="H1038">
        <v>103.62736057404214</v>
      </c>
      <c r="I1038">
        <v>86.665076568780393</v>
      </c>
      <c r="J1038">
        <v>83.231936090596065</v>
      </c>
      <c r="K1038">
        <v>79.975681165159486</v>
      </c>
      <c r="L1038">
        <v>109.60088974066019</v>
      </c>
      <c r="M1038">
        <v>108.38818320108636</v>
      </c>
      <c r="N1038">
        <v>85.958574861040702</v>
      </c>
      <c r="O1038">
        <v>101.40744688705735</v>
      </c>
      <c r="P1038">
        <v>89.150318584886861</v>
      </c>
      <c r="Q1038">
        <v>105.01279065335794</v>
      </c>
      <c r="R1038">
        <v>125.89933267149199</v>
      </c>
      <c r="S1038">
        <v>143.67372946451636</v>
      </c>
      <c r="T1038">
        <v>75.712739343937741</v>
      </c>
      <c r="U1038">
        <f t="shared" si="132"/>
        <v>98.849704090822542</v>
      </c>
      <c r="V1038" t="str">
        <f t="shared" si="129"/>
        <v>2020/21Financial performanceCustomer Bill ImpactRegional estimates of typical GB customer cost to meet Allowed Revenue</v>
      </c>
    </row>
    <row r="1039" spans="1:22">
      <c r="A1039" s="900" t="s">
        <v>142</v>
      </c>
      <c r="B1039" s="900"/>
      <c r="C1039" s="900" t="s">
        <v>1333</v>
      </c>
      <c r="D1039" t="s">
        <v>1056</v>
      </c>
      <c r="E1039" t="s">
        <v>634</v>
      </c>
      <c r="F1039" t="s">
        <v>1341</v>
      </c>
      <c r="G1039" cm="1">
        <f t="array" ref="G1039:T1039">TRANSPOSE('Ch3 financial performance '!L161:L174)</f>
        <v>78.776578049152718</v>
      </c>
      <c r="H1039">
        <v>98.31468797851889</v>
      </c>
      <c r="I1039">
        <v>82.866819881722748</v>
      </c>
      <c r="J1039">
        <v>83.747619033776502</v>
      </c>
      <c r="K1039">
        <v>79.215175745952564</v>
      </c>
      <c r="L1039">
        <v>104.72040283073248</v>
      </c>
      <c r="M1039">
        <v>108.19542980934459</v>
      </c>
      <c r="N1039">
        <v>82.881798249949767</v>
      </c>
      <c r="O1039">
        <v>100.88415748238974</v>
      </c>
      <c r="P1039">
        <v>84.625424947984598</v>
      </c>
      <c r="Q1039">
        <v>97.554145330870597</v>
      </c>
      <c r="R1039">
        <v>115.05703471404195</v>
      </c>
      <c r="S1039">
        <v>130.83013235960991</v>
      </c>
      <c r="T1039">
        <v>77.886706130919947</v>
      </c>
      <c r="U1039">
        <f t="shared" ref="U1039" si="133">AVERAGE(G1039:T1039)</f>
        <v>94.682579467497632</v>
      </c>
      <c r="V1039" t="str">
        <f t="shared" ref="V1039" si="134">CONCATENATE(A1039,B1039,C1039,D1039,E1039)</f>
        <v>2021/22Financial performanceCustomer Bill ImpactRegional estimates of typical GB customer cost to meet Allowed Revenue</v>
      </c>
    </row>
    <row r="1040" spans="1:22">
      <c r="A1040" s="1088" t="s">
        <v>137</v>
      </c>
      <c r="B1040" s="1088"/>
      <c r="C1040" s="1088" t="s">
        <v>1333</v>
      </c>
      <c r="D1040" s="1087" t="s">
        <v>653</v>
      </c>
      <c r="E1040" s="1087" t="s">
        <v>1342</v>
      </c>
      <c r="F1040" s="1087" t="s">
        <v>1289</v>
      </c>
      <c r="G1040" s="1089">
        <f>'Ch3 financial performance '!E180</f>
        <v>1940.9416511094648</v>
      </c>
      <c r="H1040" s="1089">
        <f>'Ch3 financial performance '!F180</f>
        <v>1436.0290345326769</v>
      </c>
      <c r="I1040" s="1089">
        <f>'Ch3 financial performance '!G180</f>
        <v>1892.8801145394998</v>
      </c>
      <c r="J1040" s="1089">
        <f>'Ch3 financial performance '!H180</f>
        <v>2497.1769965078047</v>
      </c>
      <c r="K1040" s="1089">
        <f>'Ch3 financial performance '!I180</f>
        <v>2453.115130298957</v>
      </c>
      <c r="L1040" s="1089">
        <f>'Ch3 financial performance '!J180</f>
        <v>1069.4602771061636</v>
      </c>
      <c r="M1040" s="1089">
        <f>'Ch3 financial performance '!K180</f>
        <v>1534.5951722130117</v>
      </c>
      <c r="N1040" s="1089">
        <f>'Ch3 financial performance '!L180</f>
        <v>1799.9612417702187</v>
      </c>
      <c r="O1040" s="1089">
        <f>'Ch3 financial performance '!M180</f>
        <v>1835.5435804299668</v>
      </c>
      <c r="P1040" s="1089">
        <f>'Ch3 financial performance '!N180</f>
        <v>2925.9211097214557</v>
      </c>
      <c r="Q1040" s="1089">
        <f>'Ch3 financial performance '!O180</f>
        <v>1936.0867365410049</v>
      </c>
      <c r="R1040" s="1089">
        <f>'Ch3 financial performance '!P180</f>
        <v>1939.4401141093201</v>
      </c>
      <c r="S1040" s="1089">
        <f>'Ch3 financial performance '!Q180</f>
        <v>1212.1612579358546</v>
      </c>
      <c r="T1040" s="1089">
        <f>'Ch3 financial performance '!R180</f>
        <v>2562.5262991637933</v>
      </c>
      <c r="U1040" s="1087">
        <f t="shared" ref="U1040:U1051" si="135">AVERAGE(G1040:T1040)</f>
        <v>1931.1313368556566</v>
      </c>
      <c r="V1040" s="1087" t="str">
        <f t="shared" si="129"/>
        <v>2015/16Financial performanceRAVRAV at 1st April</v>
      </c>
    </row>
    <row r="1041" spans="1:22">
      <c r="A1041" s="900" t="s">
        <v>137</v>
      </c>
      <c r="B1041" s="900"/>
      <c r="C1041" s="900" t="s">
        <v>1333</v>
      </c>
      <c r="D1041" t="s">
        <v>653</v>
      </c>
      <c r="E1041" t="s">
        <v>655</v>
      </c>
      <c r="F1041" t="s">
        <v>1289</v>
      </c>
      <c r="G1041" s="901">
        <f>'Ch3 financial performance '!E181</f>
        <v>202.79104151570269</v>
      </c>
      <c r="H1041" s="901">
        <f>'Ch3 financial performance '!F181</f>
        <v>160.93632205065279</v>
      </c>
      <c r="I1041" s="901">
        <f>'Ch3 financial performance '!G181</f>
        <v>218.73456417166128</v>
      </c>
      <c r="J1041" s="901">
        <f>'Ch3 financial performance '!H181</f>
        <v>275.24300690100262</v>
      </c>
      <c r="K1041" s="901">
        <f>'Ch3 financial performance '!I181</f>
        <v>291.68124098710086</v>
      </c>
      <c r="L1041" s="901">
        <f>'Ch3 financial performance '!J181</f>
        <v>145.50842477571825</v>
      </c>
      <c r="M1041" s="901">
        <f>'Ch3 financial performance '!K181</f>
        <v>217.11278270518903</v>
      </c>
      <c r="N1041" s="901">
        <f>'Ch3 financial performance '!L181</f>
        <v>185.92525818383294</v>
      </c>
      <c r="O1041" s="901">
        <f>'Ch3 financial performance '!M181</f>
        <v>168.60811078121182</v>
      </c>
      <c r="P1041" s="901">
        <f>'Ch3 financial performance '!N181</f>
        <v>260.89254941390294</v>
      </c>
      <c r="Q1041" s="901">
        <f>'Ch3 financial performance '!O181</f>
        <v>197.72371630550674</v>
      </c>
      <c r="R1041" s="901">
        <f>'Ch3 financial performance '!P181</f>
        <v>235.75756566742243</v>
      </c>
      <c r="S1041" s="901">
        <f>'Ch3 financial performance '!Q181</f>
        <v>120.79848720592965</v>
      </c>
      <c r="T1041" s="901">
        <f>'Ch3 financial performance '!R181</f>
        <v>257.22405339572356</v>
      </c>
      <c r="U1041">
        <f t="shared" si="135"/>
        <v>209.92408029003985</v>
      </c>
      <c r="V1041" t="str">
        <f t="shared" si="129"/>
        <v>2015/16Financial performanceRAVSlow Money</v>
      </c>
    </row>
    <row r="1042" spans="1:22">
      <c r="A1042" s="900" t="s">
        <v>137</v>
      </c>
      <c r="B1042" s="900"/>
      <c r="C1042" s="900" t="s">
        <v>1333</v>
      </c>
      <c r="D1042" t="s">
        <v>653</v>
      </c>
      <c r="E1042" t="s">
        <v>656</v>
      </c>
      <c r="F1042" t="s">
        <v>1289</v>
      </c>
      <c r="G1042" s="901">
        <f>'Ch3 financial performance '!E182</f>
        <v>-187.81385439285339</v>
      </c>
      <c r="H1042" s="901">
        <f>'Ch3 financial performance '!F182</f>
        <v>-129.10896278116203</v>
      </c>
      <c r="I1042" s="901">
        <f>'Ch3 financial performance '!G182</f>
        <v>-171.97337015078716</v>
      </c>
      <c r="J1042" s="901">
        <f>'Ch3 financial performance '!H182</f>
        <v>-218.49205145422354</v>
      </c>
      <c r="K1042" s="901">
        <f>'Ch3 financial performance '!I182</f>
        <v>-212.35112250118621</v>
      </c>
      <c r="L1042" s="901">
        <f>'Ch3 financial performance '!J182</f>
        <v>-108.23855897411778</v>
      </c>
      <c r="M1042" s="901">
        <f>'Ch3 financial performance '!K182</f>
        <v>-142.35415782959919</v>
      </c>
      <c r="N1042" s="901">
        <f>'Ch3 financial performance '!L182</f>
        <v>-175.21536207865941</v>
      </c>
      <c r="O1042" s="901">
        <f>'Ch3 financial performance '!M182</f>
        <v>-154.91908369876387</v>
      </c>
      <c r="P1042" s="901">
        <f>'Ch3 financial performance '!N182</f>
        <v>-264.54780682680178</v>
      </c>
      <c r="Q1042" s="901">
        <f>'Ch3 financial performance '!O182</f>
        <v>-177.14224363508805</v>
      </c>
      <c r="R1042" s="901">
        <f>'Ch3 financial performance '!P182</f>
        <v>-168.38051334741107</v>
      </c>
      <c r="S1042" s="901">
        <f>'Ch3 financial performance '!Q182</f>
        <v>-115.90020473303495</v>
      </c>
      <c r="T1042" s="901">
        <f>'Ch3 financial performance '!R182</f>
        <v>-250.33479235712721</v>
      </c>
      <c r="U1042">
        <f t="shared" si="135"/>
        <v>-176.9122917686297</v>
      </c>
      <c r="V1042" t="str">
        <f t="shared" si="129"/>
        <v>2015/16Financial performanceRAVDepreciation</v>
      </c>
    </row>
    <row r="1043" spans="1:22">
      <c r="A1043" s="900" t="s">
        <v>137</v>
      </c>
      <c r="B1043" s="900"/>
      <c r="C1043" s="900" t="s">
        <v>1333</v>
      </c>
      <c r="D1043" t="s">
        <v>653</v>
      </c>
      <c r="E1043" t="s">
        <v>1343</v>
      </c>
      <c r="F1043" t="s">
        <v>1289</v>
      </c>
      <c r="G1043" s="901">
        <f>'Ch3 financial performance '!E183</f>
        <v>1955.9188382323143</v>
      </c>
      <c r="H1043" s="901">
        <f>'Ch3 financial performance '!F183</f>
        <v>1467.8563938021673</v>
      </c>
      <c r="I1043" s="901">
        <f>'Ch3 financial performance '!G183</f>
        <v>1939.6413085603738</v>
      </c>
      <c r="J1043" s="901">
        <f>'Ch3 financial performance '!H183</f>
        <v>2553.9279519545839</v>
      </c>
      <c r="K1043" s="901">
        <f>'Ch3 financial performance '!I183</f>
        <v>2532.4452487848716</v>
      </c>
      <c r="L1043" s="901">
        <f>'Ch3 financial performance '!J183</f>
        <v>1106.730142907764</v>
      </c>
      <c r="M1043" s="901">
        <f>'Ch3 financial performance '!K183</f>
        <v>1609.3537970886018</v>
      </c>
      <c r="N1043" s="901">
        <f>'Ch3 financial performance '!L183</f>
        <v>1810.6711378753919</v>
      </c>
      <c r="O1043" s="901">
        <f>'Ch3 financial performance '!M183</f>
        <v>1849.2326075124147</v>
      </c>
      <c r="P1043" s="901">
        <f>'Ch3 financial performance '!N183</f>
        <v>2922.265852308557</v>
      </c>
      <c r="Q1043" s="901">
        <f>'Ch3 financial performance '!O183</f>
        <v>1956.6682092114238</v>
      </c>
      <c r="R1043" s="901">
        <f>'Ch3 financial performance '!P183</f>
        <v>2006.8171664293316</v>
      </c>
      <c r="S1043" s="901">
        <f>'Ch3 financial performance '!Q183</f>
        <v>1217.0595404087492</v>
      </c>
      <c r="T1043" s="901">
        <f>'Ch3 financial performance '!R183</f>
        <v>2569.4155602023898</v>
      </c>
      <c r="U1043">
        <f t="shared" si="135"/>
        <v>1964.1431253770666</v>
      </c>
      <c r="V1043" t="str">
        <f t="shared" si="129"/>
        <v>2015/16Financial performanceRAVRAV at 31st March</v>
      </c>
    </row>
    <row r="1044" spans="1:22">
      <c r="A1044" s="900" t="s">
        <v>138</v>
      </c>
      <c r="B1044" s="900"/>
      <c r="C1044" s="900" t="s">
        <v>1333</v>
      </c>
      <c r="D1044" t="s">
        <v>653</v>
      </c>
      <c r="E1044" t="s">
        <v>1342</v>
      </c>
      <c r="F1044" t="s">
        <v>1289</v>
      </c>
      <c r="G1044" s="901">
        <f>'Ch3 financial performance '!E186</f>
        <v>1955.9188382323143</v>
      </c>
      <c r="H1044" s="901">
        <f>'Ch3 financial performance '!F186</f>
        <v>1467.8563938021673</v>
      </c>
      <c r="I1044" s="901">
        <f>'Ch3 financial performance '!G186</f>
        <v>1939.6413085603738</v>
      </c>
      <c r="J1044" s="901">
        <f>'Ch3 financial performance '!H186</f>
        <v>2553.9279519545839</v>
      </c>
      <c r="K1044" s="901">
        <f>'Ch3 financial performance '!I186</f>
        <v>2532.4452487848716</v>
      </c>
      <c r="L1044" s="901">
        <f>'Ch3 financial performance '!J186</f>
        <v>1106.730142907764</v>
      </c>
      <c r="M1044" s="901">
        <f>'Ch3 financial performance '!K186</f>
        <v>1609.3537970886018</v>
      </c>
      <c r="N1044" s="901">
        <f>'Ch3 financial performance '!L186</f>
        <v>1810.6711378753919</v>
      </c>
      <c r="O1044" s="901">
        <f>'Ch3 financial performance '!M186</f>
        <v>1849.2326075124147</v>
      </c>
      <c r="P1044" s="901">
        <f>'Ch3 financial performance '!N186</f>
        <v>2922.265852308557</v>
      </c>
      <c r="Q1044" s="901">
        <f>'Ch3 financial performance '!O186</f>
        <v>1956.6682092114238</v>
      </c>
      <c r="R1044" s="901">
        <f>'Ch3 financial performance '!P186</f>
        <v>2006.8171664293316</v>
      </c>
      <c r="S1044" s="901">
        <f>'Ch3 financial performance '!Q186</f>
        <v>1217.0595404087492</v>
      </c>
      <c r="T1044" s="901">
        <f>'Ch3 financial performance '!R186</f>
        <v>2569.4155602023898</v>
      </c>
      <c r="U1044">
        <f t="shared" si="135"/>
        <v>1964.1431253770666</v>
      </c>
      <c r="V1044" t="str">
        <f t="shared" si="129"/>
        <v>2016/17Financial performanceRAVRAV at 1st April</v>
      </c>
    </row>
    <row r="1045" spans="1:22">
      <c r="A1045" s="900" t="s">
        <v>138</v>
      </c>
      <c r="B1045" s="900"/>
      <c r="C1045" s="900" t="s">
        <v>1333</v>
      </c>
      <c r="D1045" t="s">
        <v>653</v>
      </c>
      <c r="E1045" t="s">
        <v>655</v>
      </c>
      <c r="F1045" t="s">
        <v>1289</v>
      </c>
      <c r="G1045" s="901">
        <f>'Ch3 financial performance '!E187</f>
        <v>184.78749301938609</v>
      </c>
      <c r="H1045" s="901">
        <f>'Ch3 financial performance '!F187</f>
        <v>157.81010803398246</v>
      </c>
      <c r="I1045" s="901">
        <f>'Ch3 financial performance '!G187</f>
        <v>198.58221136359174</v>
      </c>
      <c r="J1045" s="901">
        <f>'Ch3 financial performance '!H187</f>
        <v>276.52577807456237</v>
      </c>
      <c r="K1045" s="901">
        <f>'Ch3 financial performance '!I187</f>
        <v>288.29494565858522</v>
      </c>
      <c r="L1045" s="901">
        <f>'Ch3 financial performance '!J187</f>
        <v>148.0665514961014</v>
      </c>
      <c r="M1045" s="901">
        <f>'Ch3 financial performance '!K187</f>
        <v>226.90141957198907</v>
      </c>
      <c r="N1045" s="901">
        <f>'Ch3 financial performance '!L187</f>
        <v>189.36043922215001</v>
      </c>
      <c r="O1045" s="901">
        <f>'Ch3 financial performance '!M187</f>
        <v>189.39530992396973</v>
      </c>
      <c r="P1045" s="901">
        <f>'Ch3 financial performance '!N187</f>
        <v>274.9790391431913</v>
      </c>
      <c r="Q1045" s="901">
        <f>'Ch3 financial performance '!O187</f>
        <v>203.8216411156979</v>
      </c>
      <c r="R1045" s="901">
        <f>'Ch3 financial performance '!P187</f>
        <v>245.78552616128081</v>
      </c>
      <c r="S1045" s="901">
        <f>'Ch3 financial performance '!Q187</f>
        <v>129.70475912079252</v>
      </c>
      <c r="T1045" s="901">
        <f>'Ch3 financial performance '!R187</f>
        <v>268.28302355159076</v>
      </c>
      <c r="U1045">
        <f t="shared" si="135"/>
        <v>213.02130324691936</v>
      </c>
      <c r="V1045" t="str">
        <f t="shared" si="129"/>
        <v>2016/17Financial performanceRAVSlow Money</v>
      </c>
    </row>
    <row r="1046" spans="1:22">
      <c r="A1046" s="900" t="s">
        <v>138</v>
      </c>
      <c r="B1046" s="900"/>
      <c r="C1046" s="900" t="s">
        <v>1333</v>
      </c>
      <c r="D1046" t="s">
        <v>653</v>
      </c>
      <c r="E1046" t="s">
        <v>656</v>
      </c>
      <c r="F1046" t="s">
        <v>1289</v>
      </c>
      <c r="G1046" s="901">
        <f>'Ch3 financial performance '!E188</f>
        <v>-189.58834213455509</v>
      </c>
      <c r="H1046" s="901">
        <f>'Ch3 financial performance '!F188</f>
        <v>-131.96354766791131</v>
      </c>
      <c r="I1046" s="901">
        <f>'Ch3 financial performance '!G188</f>
        <v>-175.38758888728171</v>
      </c>
      <c r="J1046" s="901">
        <f>'Ch3 financial performance '!H188</f>
        <v>-223.5563446004177</v>
      </c>
      <c r="K1046" s="901">
        <f>'Ch3 financial performance '!I188</f>
        <v>-219.27247387123811</v>
      </c>
      <c r="L1046" s="901">
        <f>'Ch3 financial performance '!J188</f>
        <v>-109.49530361008375</v>
      </c>
      <c r="M1046" s="901">
        <f>'Ch3 financial performance '!K188</f>
        <v>-147.01100530143751</v>
      </c>
      <c r="N1046" s="901">
        <f>'Ch3 financial performance '!L188</f>
        <v>-176.32909565507785</v>
      </c>
      <c r="O1046" s="901">
        <f>'Ch3 financial performance '!M188</f>
        <v>-159.08509312347985</v>
      </c>
      <c r="P1046" s="901">
        <f>'Ch3 financial performance '!N188</f>
        <v>-267.68857653856151</v>
      </c>
      <c r="Q1046" s="901">
        <f>'Ch3 financial performance '!O188</f>
        <v>-179.5009344397927</v>
      </c>
      <c r="R1046" s="901">
        <f>'Ch3 financial performance '!P188</f>
        <v>-173.89260527969176</v>
      </c>
      <c r="S1046" s="901">
        <f>'Ch3 financial performance '!Q188</f>
        <v>-116.53906042356422</v>
      </c>
      <c r="T1046" s="901">
        <f>'Ch3 financial performance '!R188</f>
        <v>-248.83002887928154</v>
      </c>
      <c r="U1046">
        <f t="shared" si="135"/>
        <v>-179.8671428865982</v>
      </c>
      <c r="V1046" t="str">
        <f t="shared" si="129"/>
        <v>2016/17Financial performanceRAVDepreciation</v>
      </c>
    </row>
    <row r="1047" spans="1:22">
      <c r="A1047" s="900" t="s">
        <v>138</v>
      </c>
      <c r="B1047" s="900"/>
      <c r="C1047" s="900" t="s">
        <v>1333</v>
      </c>
      <c r="D1047" t="s">
        <v>653</v>
      </c>
      <c r="E1047" t="s">
        <v>1343</v>
      </c>
      <c r="F1047" t="s">
        <v>1289</v>
      </c>
      <c r="G1047" s="901">
        <f>'Ch3 financial performance '!E189</f>
        <v>1951.1179891171453</v>
      </c>
      <c r="H1047" s="901">
        <f>'Ch3 financial performance '!F189</f>
        <v>1493.7029541682384</v>
      </c>
      <c r="I1047" s="901">
        <f>'Ch3 financial performance '!G189</f>
        <v>1962.8359310366839</v>
      </c>
      <c r="J1047" s="901">
        <f>'Ch3 financial performance '!H189</f>
        <v>2606.8973854287283</v>
      </c>
      <c r="K1047" s="901">
        <f>'Ch3 financial performance '!I189</f>
        <v>2601.4677205722192</v>
      </c>
      <c r="L1047" s="901">
        <f>'Ch3 financial performance '!J189</f>
        <v>1145.3013907937818</v>
      </c>
      <c r="M1047" s="901">
        <f>'Ch3 financial performance '!K189</f>
        <v>1689.2442113591535</v>
      </c>
      <c r="N1047" s="901">
        <f>'Ch3 financial performance '!L189</f>
        <v>1823.7024814424642</v>
      </c>
      <c r="O1047" s="901">
        <f>'Ch3 financial performance '!M189</f>
        <v>1879.5428243129049</v>
      </c>
      <c r="P1047" s="901">
        <f>'Ch3 financial performance '!N189</f>
        <v>2929.5563149131867</v>
      </c>
      <c r="Q1047" s="901">
        <f>'Ch3 financial performance '!O189</f>
        <v>1980.9889158873289</v>
      </c>
      <c r="R1047" s="901">
        <f>'Ch3 financial performance '!P189</f>
        <v>2078.7100873109207</v>
      </c>
      <c r="S1047" s="901">
        <f>'Ch3 financial performance '!Q189</f>
        <v>1230.2252391059774</v>
      </c>
      <c r="T1047" s="901">
        <f>'Ch3 financial performance '!R189</f>
        <v>2588.8685548746989</v>
      </c>
      <c r="U1047">
        <f t="shared" si="135"/>
        <v>1997.2972857373877</v>
      </c>
      <c r="V1047" t="str">
        <f t="shared" si="129"/>
        <v>2016/17Financial performanceRAVRAV at 31st March</v>
      </c>
    </row>
    <row r="1048" spans="1:22">
      <c r="A1048" s="900" t="s">
        <v>139</v>
      </c>
      <c r="B1048" s="900"/>
      <c r="C1048" s="900" t="s">
        <v>1333</v>
      </c>
      <c r="D1048" t="s">
        <v>653</v>
      </c>
      <c r="E1048" t="s">
        <v>1342</v>
      </c>
      <c r="F1048" t="s">
        <v>1289</v>
      </c>
      <c r="G1048" s="901">
        <f>'Ch3 financial performance '!E192</f>
        <v>1951.1179891171453</v>
      </c>
      <c r="H1048" s="901">
        <f>'Ch3 financial performance '!F192</f>
        <v>1493.7029541682384</v>
      </c>
      <c r="I1048" s="901">
        <f>'Ch3 financial performance '!G192</f>
        <v>1962.8359310366839</v>
      </c>
      <c r="J1048" s="901">
        <f>'Ch3 financial performance '!H192</f>
        <v>2606.8973854287283</v>
      </c>
      <c r="K1048" s="901">
        <f>'Ch3 financial performance '!I192</f>
        <v>2601.4677205722192</v>
      </c>
      <c r="L1048" s="901">
        <f>'Ch3 financial performance '!J192</f>
        <v>1145.3013907937818</v>
      </c>
      <c r="M1048" s="901">
        <f>'Ch3 financial performance '!K192</f>
        <v>1689.2442113591535</v>
      </c>
      <c r="N1048" s="901">
        <f>'Ch3 financial performance '!L192</f>
        <v>1823.7024814424642</v>
      </c>
      <c r="O1048" s="901">
        <f>'Ch3 financial performance '!M192</f>
        <v>1879.5428243129049</v>
      </c>
      <c r="P1048" s="901">
        <f>'Ch3 financial performance '!N192</f>
        <v>2929.5563149131867</v>
      </c>
      <c r="Q1048" s="901">
        <f>'Ch3 financial performance '!O192</f>
        <v>1980.9889158873289</v>
      </c>
      <c r="R1048" s="901">
        <f>'Ch3 financial performance '!P192</f>
        <v>2078.7100873109207</v>
      </c>
      <c r="S1048" s="901">
        <f>'Ch3 financial performance '!Q192</f>
        <v>1230.2252391059774</v>
      </c>
      <c r="T1048" s="901">
        <f>'Ch3 financial performance '!R192</f>
        <v>2588.8685548746989</v>
      </c>
      <c r="U1048">
        <f t="shared" si="135"/>
        <v>1997.2972857373877</v>
      </c>
      <c r="V1048" t="str">
        <f t="shared" si="129"/>
        <v>2017/18Financial performanceRAVRAV at 1st April</v>
      </c>
    </row>
    <row r="1049" spans="1:22">
      <c r="A1049" s="900" t="s">
        <v>139</v>
      </c>
      <c r="B1049" s="900"/>
      <c r="C1049" s="900" t="s">
        <v>1333</v>
      </c>
      <c r="D1049" t="s">
        <v>653</v>
      </c>
      <c r="E1049" t="s">
        <v>655</v>
      </c>
      <c r="F1049" t="s">
        <v>1289</v>
      </c>
      <c r="G1049" s="901">
        <f>'Ch3 financial performance '!E193</f>
        <v>197.12021048794583</v>
      </c>
      <c r="H1049" s="901">
        <f>'Ch3 financial performance '!F193</f>
        <v>145.29796285599505</v>
      </c>
      <c r="I1049" s="901">
        <f>'Ch3 financial performance '!G193</f>
        <v>194.11581453502038</v>
      </c>
      <c r="J1049" s="901">
        <f>'Ch3 financial performance '!H193</f>
        <v>256.60895651046116</v>
      </c>
      <c r="K1049" s="901">
        <f>'Ch3 financial performance '!I193</f>
        <v>254.71851128761389</v>
      </c>
      <c r="L1049" s="901">
        <f>'Ch3 financial performance '!J193</f>
        <v>137.29883378269906</v>
      </c>
      <c r="M1049" s="901">
        <f>'Ch3 financial performance '!K193</f>
        <v>213.95489570253139</v>
      </c>
      <c r="N1049" s="901">
        <f>'Ch3 financial performance '!L193</f>
        <v>190.43467811903076</v>
      </c>
      <c r="O1049" s="901">
        <f>'Ch3 financial performance '!M193</f>
        <v>182.77192974512667</v>
      </c>
      <c r="P1049" s="901">
        <f>'Ch3 financial performance '!N193</f>
        <v>275.3798694224958</v>
      </c>
      <c r="Q1049" s="901">
        <f>'Ch3 financial performance '!O193</f>
        <v>208.07334310134945</v>
      </c>
      <c r="R1049" s="901">
        <f>'Ch3 financial performance '!P193</f>
        <v>236.41773394712629</v>
      </c>
      <c r="S1049" s="901">
        <f>'Ch3 financial performance '!Q193</f>
        <v>126.13884071825423</v>
      </c>
      <c r="T1049" s="901">
        <f>'Ch3 financial performance '!R193</f>
        <v>276.91323621899062</v>
      </c>
      <c r="U1049">
        <f t="shared" si="135"/>
        <v>206.80320117390289</v>
      </c>
      <c r="V1049" t="str">
        <f t="shared" si="129"/>
        <v>2017/18Financial performanceRAVSlow Money</v>
      </c>
    </row>
    <row r="1050" spans="1:22">
      <c r="A1050" s="900" t="s">
        <v>139</v>
      </c>
      <c r="B1050" s="900"/>
      <c r="C1050" s="900" t="s">
        <v>1333</v>
      </c>
      <c r="D1050" t="s">
        <v>653</v>
      </c>
      <c r="E1050" t="s">
        <v>656</v>
      </c>
      <c r="F1050" t="s">
        <v>1289</v>
      </c>
      <c r="G1050" s="901">
        <f>'Ch3 financial performance '!E194</f>
        <v>-178.85328235170215</v>
      </c>
      <c r="H1050" s="901">
        <f>'Ch3 financial performance '!F194</f>
        <v>-133.57663621940688</v>
      </c>
      <c r="I1050" s="901">
        <f>'Ch3 financial performance '!G194</f>
        <v>-176.13411178866474</v>
      </c>
      <c r="J1050" s="901">
        <f>'Ch3 financial performance '!H194</f>
        <v>-226.19450757068876</v>
      </c>
      <c r="K1050" s="901">
        <f>'Ch3 financial performance '!I194</f>
        <v>-224.10280137377444</v>
      </c>
      <c r="L1050" s="901">
        <f>'Ch3 financial performance '!J194</f>
        <v>-101.42388666552166</v>
      </c>
      <c r="M1050" s="901">
        <f>'Ch3 financial performance '!K194</f>
        <v>-150.26667558938752</v>
      </c>
      <c r="N1050" s="901">
        <f>'Ch3 financial performance '!L194</f>
        <v>-175.47033341599368</v>
      </c>
      <c r="O1050" s="901">
        <f>'Ch3 financial performance '!M194</f>
        <v>-162.30309278109067</v>
      </c>
      <c r="P1050" s="901">
        <f>'Ch3 financial performance '!N194</f>
        <v>-269.59184277784232</v>
      </c>
      <c r="Q1050" s="901">
        <f>'Ch3 financial performance '!O194</f>
        <v>-182.46517797933319</v>
      </c>
      <c r="R1050" s="901">
        <f>'Ch3 financial performance '!P194</f>
        <v>-178.36730257538468</v>
      </c>
      <c r="S1050" s="901">
        <f>'Ch3 financial performance '!Q194</f>
        <v>-115.78830262091195</v>
      </c>
      <c r="T1050" s="901">
        <f>'Ch3 financial performance '!R194</f>
        <v>-245.61903811187977</v>
      </c>
      <c r="U1050">
        <f t="shared" si="135"/>
        <v>-180.01121370154166</v>
      </c>
      <c r="V1050" t="str">
        <f t="shared" si="129"/>
        <v>2017/18Financial performanceRAVDepreciation</v>
      </c>
    </row>
    <row r="1051" spans="1:22">
      <c r="A1051" s="900" t="s">
        <v>139</v>
      </c>
      <c r="B1051" s="900"/>
      <c r="C1051" s="900" t="s">
        <v>1333</v>
      </c>
      <c r="D1051" t="s">
        <v>653</v>
      </c>
      <c r="E1051" t="s">
        <v>1343</v>
      </c>
      <c r="F1051" t="s">
        <v>1289</v>
      </c>
      <c r="G1051" s="901">
        <f>'Ch3 financial performance '!E195</f>
        <v>1969.3849172533889</v>
      </c>
      <c r="H1051" s="901">
        <f>'Ch3 financial performance '!F195</f>
        <v>1505.4242808048266</v>
      </c>
      <c r="I1051" s="901">
        <f>'Ch3 financial performance '!G195</f>
        <v>1980.8176337830394</v>
      </c>
      <c r="J1051" s="901">
        <f>'Ch3 financial performance '!H195</f>
        <v>2637.3118343685005</v>
      </c>
      <c r="K1051" s="901">
        <f>'Ch3 financial performance '!I195</f>
        <v>2632.0834304860587</v>
      </c>
      <c r="L1051" s="901">
        <f>'Ch3 financial performance '!J195</f>
        <v>1181.1763379109591</v>
      </c>
      <c r="M1051" s="901">
        <f>'Ch3 financial performance '!K195</f>
        <v>1752.9324314722974</v>
      </c>
      <c r="N1051" s="901">
        <f>'Ch3 financial performance '!L195</f>
        <v>1838.6668261455011</v>
      </c>
      <c r="O1051" s="901">
        <f>'Ch3 financial performance '!M195</f>
        <v>1900.0116612769409</v>
      </c>
      <c r="P1051" s="901">
        <f>'Ch3 financial performance '!N195</f>
        <v>2935.3443415578404</v>
      </c>
      <c r="Q1051" s="901">
        <f>'Ch3 financial performance '!O195</f>
        <v>2006.5970810093454</v>
      </c>
      <c r="R1051" s="901">
        <f>'Ch3 financial performance '!P195</f>
        <v>2136.7605186826622</v>
      </c>
      <c r="S1051" s="901">
        <f>'Ch3 financial performance '!Q195</f>
        <v>1240.5757772033196</v>
      </c>
      <c r="T1051" s="901">
        <f>'Ch3 financial performance '!R195</f>
        <v>2620.1627529818097</v>
      </c>
      <c r="U1051">
        <f t="shared" si="135"/>
        <v>2024.0892732097495</v>
      </c>
      <c r="V1051" t="str">
        <f t="shared" si="129"/>
        <v>2017/18Financial performanceRAVRAV at 31st March</v>
      </c>
    </row>
    <row r="1052" spans="1:22">
      <c r="A1052" s="900" t="s">
        <v>140</v>
      </c>
      <c r="B1052" s="900"/>
      <c r="C1052" s="900" t="s">
        <v>1333</v>
      </c>
      <c r="D1052" t="s">
        <v>653</v>
      </c>
      <c r="E1052" t="s">
        <v>1342</v>
      </c>
      <c r="F1052" t="s">
        <v>1289</v>
      </c>
      <c r="G1052" s="901">
        <f>'Ch3 financial performance '!E198</f>
        <v>1969.3849172533889</v>
      </c>
      <c r="H1052" s="901">
        <f>'Ch3 financial performance '!F198</f>
        <v>1505.4242808048266</v>
      </c>
      <c r="I1052" s="901">
        <f>'Ch3 financial performance '!G198</f>
        <v>1980.8176337830394</v>
      </c>
      <c r="J1052" s="901">
        <f>'Ch3 financial performance '!H198</f>
        <v>2637.3118343685005</v>
      </c>
      <c r="K1052" s="901">
        <f>'Ch3 financial performance '!I198</f>
        <v>2632.0834304860587</v>
      </c>
      <c r="L1052" s="901">
        <f>'Ch3 financial performance '!J198</f>
        <v>1181.1763379109591</v>
      </c>
      <c r="M1052" s="901">
        <f>'Ch3 financial performance '!K198</f>
        <v>1752.9324314722974</v>
      </c>
      <c r="N1052" s="901">
        <f>'Ch3 financial performance '!L198</f>
        <v>1838.6668261455011</v>
      </c>
      <c r="O1052" s="901">
        <f>'Ch3 financial performance '!M198</f>
        <v>1900.0116612769409</v>
      </c>
      <c r="P1052" s="901">
        <f>'Ch3 financial performance '!N198</f>
        <v>2935.3443415578404</v>
      </c>
      <c r="Q1052" s="901">
        <f>'Ch3 financial performance '!O198</f>
        <v>2006.5970810093454</v>
      </c>
      <c r="R1052" s="901">
        <f>'Ch3 financial performance '!P198</f>
        <v>2136.7605186826622</v>
      </c>
      <c r="S1052" s="901">
        <f>'Ch3 financial performance '!Q198</f>
        <v>1240.5757772033196</v>
      </c>
      <c r="T1052" s="901">
        <f>'Ch3 financial performance '!R198</f>
        <v>2620.1627529818097</v>
      </c>
      <c r="U1052">
        <f t="shared" ref="U1052:U1068" si="136">AVERAGE(G1052:T1052)</f>
        <v>2024.0892732097495</v>
      </c>
      <c r="V1052" t="str">
        <f t="shared" si="129"/>
        <v>2018/19Financial performanceRAVRAV at 1st April</v>
      </c>
    </row>
    <row r="1053" spans="1:22">
      <c r="A1053" s="900" t="s">
        <v>140</v>
      </c>
      <c r="B1053" s="900"/>
      <c r="C1053" s="900" t="s">
        <v>1333</v>
      </c>
      <c r="D1053" t="s">
        <v>653</v>
      </c>
      <c r="E1053" t="s">
        <v>655</v>
      </c>
      <c r="F1053" t="s">
        <v>1289</v>
      </c>
      <c r="G1053" s="901">
        <f>'Ch3 financial performance '!E199</f>
        <v>200.48901985306543</v>
      </c>
      <c r="H1053" s="901">
        <f>'Ch3 financial performance '!F199</f>
        <v>145.63306651105262</v>
      </c>
      <c r="I1053" s="901">
        <f>'Ch3 financial performance '!G199</f>
        <v>199.31703442086803</v>
      </c>
      <c r="J1053" s="901">
        <f>'Ch3 financial performance '!H199</f>
        <v>252.51395287487247</v>
      </c>
      <c r="K1053" s="901">
        <f>'Ch3 financial performance '!I199</f>
        <v>250.64200539098323</v>
      </c>
      <c r="L1053" s="901">
        <f>'Ch3 financial performance '!J199</f>
        <v>145.36176589846849</v>
      </c>
      <c r="M1053" s="901">
        <f>'Ch3 financial performance '!K199</f>
        <v>211.15614564713189</v>
      </c>
      <c r="N1053" s="901">
        <f>'Ch3 financial performance '!L199</f>
        <v>181.40896253435517</v>
      </c>
      <c r="O1053" s="901">
        <f>'Ch3 financial performance '!M199</f>
        <v>179.64752681692667</v>
      </c>
      <c r="P1053" s="901">
        <f>'Ch3 financial performance '!N199</f>
        <v>269.43423629377673</v>
      </c>
      <c r="Q1053" s="901">
        <f>'Ch3 financial performance '!O199</f>
        <v>212.10941910294474</v>
      </c>
      <c r="R1053" s="901">
        <f>'Ch3 financial performance '!P199</f>
        <v>231.70528910023671</v>
      </c>
      <c r="S1053" s="901">
        <f>'Ch3 financial performance '!Q199</f>
        <v>131.91630909626625</v>
      </c>
      <c r="T1053" s="901">
        <f>'Ch3 financial performance '!R199</f>
        <v>270.40043392737653</v>
      </c>
      <c r="U1053">
        <f t="shared" si="136"/>
        <v>205.83822624773751</v>
      </c>
      <c r="V1053" t="str">
        <f t="shared" si="129"/>
        <v>2018/19Financial performanceRAVSlow Money</v>
      </c>
    </row>
    <row r="1054" spans="1:22">
      <c r="A1054" s="900" t="s">
        <v>140</v>
      </c>
      <c r="B1054" s="900"/>
      <c r="C1054" s="900" t="s">
        <v>1333</v>
      </c>
      <c r="D1054" t="s">
        <v>653</v>
      </c>
      <c r="E1054" t="s">
        <v>656</v>
      </c>
      <c r="F1054" t="s">
        <v>1289</v>
      </c>
      <c r="G1054" s="901">
        <f>'Ch3 financial performance '!E200</f>
        <v>-176.65854356027134</v>
      </c>
      <c r="H1054" s="901">
        <f>'Ch3 financial performance '!F200</f>
        <v>-134.48670322001172</v>
      </c>
      <c r="I1054" s="901">
        <f>'Ch3 financial performance '!G200</f>
        <v>-173.98404641496526</v>
      </c>
      <c r="J1054" s="901">
        <f>'Ch3 financial performance '!H200</f>
        <v>-228.19978833617702</v>
      </c>
      <c r="K1054" s="901">
        <f>'Ch3 financial performance '!I200</f>
        <v>-225.41673678966885</v>
      </c>
      <c r="L1054" s="901">
        <f>'Ch3 financial performance '!J200</f>
        <v>-100.29823416795844</v>
      </c>
      <c r="M1054" s="901">
        <f>'Ch3 financial performance '!K200</f>
        <v>-151.9563221746541</v>
      </c>
      <c r="N1054" s="901">
        <f>'Ch3 financial performance '!L200</f>
        <v>-174.22360784741721</v>
      </c>
      <c r="O1054" s="901">
        <f>'Ch3 financial performance '!M200</f>
        <v>-165.70366196742256</v>
      </c>
      <c r="P1054" s="901">
        <f>'Ch3 financial performance '!N200</f>
        <v>-267.79822139622593</v>
      </c>
      <c r="Q1054" s="901">
        <f>'Ch3 financial performance '!O200</f>
        <v>-184.2387062357418</v>
      </c>
      <c r="R1054" s="901">
        <f>'Ch3 financial performance '!P200</f>
        <v>-182.29114879409542</v>
      </c>
      <c r="S1054" s="901">
        <f>'Ch3 financial performance '!Q200</f>
        <v>-114.80196136707937</v>
      </c>
      <c r="T1054" s="901">
        <f>'Ch3 financial performance '!R200</f>
        <v>-242.6628237763874</v>
      </c>
      <c r="U1054">
        <f t="shared" si="136"/>
        <v>-180.19432186057693</v>
      </c>
      <c r="V1054" t="str">
        <f t="shared" si="129"/>
        <v>2018/19Financial performanceRAVDepreciation</v>
      </c>
    </row>
    <row r="1055" spans="1:22">
      <c r="A1055" s="900" t="s">
        <v>140</v>
      </c>
      <c r="B1055" s="900"/>
      <c r="C1055" s="900" t="s">
        <v>1333</v>
      </c>
      <c r="D1055" t="s">
        <v>653</v>
      </c>
      <c r="E1055" t="s">
        <v>1343</v>
      </c>
      <c r="F1055" t="s">
        <v>1289</v>
      </c>
      <c r="G1055" s="901">
        <f>'Ch3 financial performance '!E201</f>
        <v>1993.2153935461831</v>
      </c>
      <c r="H1055" s="901">
        <f>'Ch3 financial performance '!F201</f>
        <v>1516.5706440958675</v>
      </c>
      <c r="I1055" s="901">
        <f>'Ch3 financial performance '!G201</f>
        <v>2006.1506217889421</v>
      </c>
      <c r="J1055" s="901">
        <f>'Ch3 financial performance '!H201</f>
        <v>2661.6259989071964</v>
      </c>
      <c r="K1055" s="901">
        <f>'Ch3 financial performance '!I201</f>
        <v>2657.3086990873735</v>
      </c>
      <c r="L1055" s="901">
        <f>'Ch3 financial performance '!J201</f>
        <v>1226.2398696414691</v>
      </c>
      <c r="M1055" s="901">
        <f>'Ch3 financial performance '!K201</f>
        <v>1812.1322549447752</v>
      </c>
      <c r="N1055" s="901">
        <f>'Ch3 financial performance '!L201</f>
        <v>1845.8521808324392</v>
      </c>
      <c r="O1055" s="901">
        <f>'Ch3 financial performance '!M201</f>
        <v>1913.9555261264454</v>
      </c>
      <c r="P1055" s="901">
        <f>'Ch3 financial performance '!N201</f>
        <v>2936.9803564553908</v>
      </c>
      <c r="Q1055" s="901">
        <f>'Ch3 financial performance '!O201</f>
        <v>2034.4677938765483</v>
      </c>
      <c r="R1055" s="901">
        <f>'Ch3 financial performance '!P201</f>
        <v>2186.1746589888035</v>
      </c>
      <c r="S1055" s="901">
        <f>'Ch3 financial performance '!Q201</f>
        <v>1257.6901249325065</v>
      </c>
      <c r="T1055" s="901">
        <f>'Ch3 financial performance '!R201</f>
        <v>2647.9003631327992</v>
      </c>
      <c r="U1055">
        <f t="shared" si="136"/>
        <v>2049.7331775969101</v>
      </c>
      <c r="V1055" t="str">
        <f t="shared" si="129"/>
        <v>2018/19Financial performanceRAVRAV at 31st March</v>
      </c>
    </row>
    <row r="1056" spans="1:22">
      <c r="A1056" s="900" t="s">
        <v>141</v>
      </c>
      <c r="B1056" s="900"/>
      <c r="C1056" s="900" t="s">
        <v>1333</v>
      </c>
      <c r="D1056" t="s">
        <v>653</v>
      </c>
      <c r="E1056" t="s">
        <v>1342</v>
      </c>
      <c r="F1056" t="s">
        <v>1289</v>
      </c>
      <c r="G1056" s="901">
        <f>'Ch3 financial performance '!E204</f>
        <v>1993.2153935461831</v>
      </c>
      <c r="H1056" s="901">
        <f>'Ch3 financial performance '!F204</f>
        <v>1516.5706440958675</v>
      </c>
      <c r="I1056" s="901">
        <f>'Ch3 financial performance '!G204</f>
        <v>2006.1506217889421</v>
      </c>
      <c r="J1056" s="901">
        <f>'Ch3 financial performance '!H204</f>
        <v>2661.6259989071964</v>
      </c>
      <c r="K1056" s="901">
        <f>'Ch3 financial performance '!I204</f>
        <v>2657.3086990873735</v>
      </c>
      <c r="L1056" s="901">
        <f>'Ch3 financial performance '!J204</f>
        <v>1226.2398696414691</v>
      </c>
      <c r="M1056" s="901">
        <f>'Ch3 financial performance '!K204</f>
        <v>1812.1322549447752</v>
      </c>
      <c r="N1056" s="901">
        <f>'Ch3 financial performance '!L204</f>
        <v>1845.8521808324392</v>
      </c>
      <c r="O1056" s="901">
        <f>'Ch3 financial performance '!M204</f>
        <v>1913.9555261264454</v>
      </c>
      <c r="P1056" s="901">
        <f>'Ch3 financial performance '!N204</f>
        <v>2936.9803564553908</v>
      </c>
      <c r="Q1056" s="901">
        <f>'Ch3 financial performance '!O204</f>
        <v>2034.4677938765483</v>
      </c>
      <c r="R1056" s="901">
        <f>'Ch3 financial performance '!P204</f>
        <v>2186.1746589888035</v>
      </c>
      <c r="S1056" s="901">
        <f>'Ch3 financial performance '!Q204</f>
        <v>1257.6901249325065</v>
      </c>
      <c r="T1056" s="901">
        <f>'Ch3 financial performance '!R204</f>
        <v>2647.9003631327992</v>
      </c>
      <c r="U1056">
        <f t="shared" si="136"/>
        <v>2049.7331775969101</v>
      </c>
      <c r="V1056" t="str">
        <f t="shared" si="129"/>
        <v>2019/20Financial performanceRAVRAV at 1st April</v>
      </c>
    </row>
    <row r="1057" spans="1:22">
      <c r="A1057" s="900" t="s">
        <v>141</v>
      </c>
      <c r="B1057" s="900"/>
      <c r="C1057" s="900" t="s">
        <v>1333</v>
      </c>
      <c r="D1057" t="s">
        <v>653</v>
      </c>
      <c r="E1057" t="s">
        <v>655</v>
      </c>
      <c r="F1057" t="s">
        <v>1289</v>
      </c>
      <c r="G1057" s="901">
        <f>'Ch3 financial performance '!E205</f>
        <v>193.35529241015348</v>
      </c>
      <c r="H1057" s="901">
        <f>'Ch3 financial performance '!F205</f>
        <v>152.66602954288314</v>
      </c>
      <c r="I1057" s="901">
        <f>'Ch3 financial performance '!G205</f>
        <v>201.57316942209206</v>
      </c>
      <c r="J1057" s="901">
        <f>'Ch3 financial performance '!H205</f>
        <v>257.69203076007346</v>
      </c>
      <c r="K1057" s="901">
        <f>'Ch3 financial performance '!I205</f>
        <v>253.02665920636747</v>
      </c>
      <c r="L1057" s="901">
        <f>'Ch3 financial performance '!J205</f>
        <v>133.97885161419131</v>
      </c>
      <c r="M1057" s="901">
        <f>'Ch3 financial performance '!K205</f>
        <v>212.00472836334947</v>
      </c>
      <c r="N1057" s="901">
        <f>'Ch3 financial performance '!L205</f>
        <v>183.18049116098777</v>
      </c>
      <c r="O1057" s="901">
        <f>'Ch3 financial performance '!M205</f>
        <v>173.09065176186732</v>
      </c>
      <c r="P1057" s="901">
        <f>'Ch3 financial performance '!N205</f>
        <v>272.1381814764656</v>
      </c>
      <c r="Q1057" s="901">
        <f>'Ch3 financial performance '!O205</f>
        <v>204.35509174282038</v>
      </c>
      <c r="R1057" s="901">
        <f>'Ch3 financial performance '!P205</f>
        <v>220.8276420364688</v>
      </c>
      <c r="S1057" s="901">
        <f>'Ch3 financial performance '!Q205</f>
        <v>135.89722460468477</v>
      </c>
      <c r="T1057" s="901">
        <f>'Ch3 financial performance '!R205</f>
        <v>264.49397101237071</v>
      </c>
      <c r="U1057">
        <f t="shared" si="136"/>
        <v>204.16285822248398</v>
      </c>
      <c r="V1057" t="str">
        <f t="shared" si="129"/>
        <v>2019/20Financial performanceRAVSlow Money</v>
      </c>
    </row>
    <row r="1058" spans="1:22">
      <c r="A1058" s="900" t="s">
        <v>141</v>
      </c>
      <c r="B1058" s="900"/>
      <c r="C1058" s="900" t="s">
        <v>1333</v>
      </c>
      <c r="D1058" t="s">
        <v>653</v>
      </c>
      <c r="E1058" t="s">
        <v>656</v>
      </c>
      <c r="F1058" t="s">
        <v>1289</v>
      </c>
      <c r="G1058" s="901">
        <f>'Ch3 financial performance '!E206</f>
        <v>-173.29195311667038</v>
      </c>
      <c r="H1058" s="901">
        <f>'Ch3 financial performance '!F206</f>
        <v>-134.66395555010834</v>
      </c>
      <c r="I1058" s="901">
        <f>'Ch3 financial performance '!G206</f>
        <v>-172.51828993908092</v>
      </c>
      <c r="J1058" s="901">
        <f>'Ch3 financial performance '!H206</f>
        <v>-228.84400951567326</v>
      </c>
      <c r="K1058" s="901">
        <f>'Ch3 financial performance '!I206</f>
        <v>-225.98595020342054</v>
      </c>
      <c r="L1058" s="901">
        <f>'Ch3 financial performance '!J206</f>
        <v>-98.396011210693828</v>
      </c>
      <c r="M1058" s="901">
        <f>'Ch3 financial performance '!K206</f>
        <v>-153.15983880544994</v>
      </c>
      <c r="N1058" s="901">
        <f>'Ch3 financial performance '!L206</f>
        <v>-171.93514261305154</v>
      </c>
      <c r="O1058" s="901">
        <f>'Ch3 financial performance '!M206</f>
        <v>-157.45796143929675</v>
      </c>
      <c r="P1058" s="901">
        <f>'Ch3 financial performance '!N206</f>
        <v>-259.6906293301422</v>
      </c>
      <c r="Q1058" s="901">
        <f>'Ch3 financial performance '!O206</f>
        <v>-184.88428765425172</v>
      </c>
      <c r="R1058" s="901">
        <f>'Ch3 financial performance '!P206</f>
        <v>-182.3828647866624</v>
      </c>
      <c r="S1058" s="901">
        <f>'Ch3 financial performance '!Q206</f>
        <v>-113.10282493626154</v>
      </c>
      <c r="T1058" s="901">
        <f>'Ch3 financial performance '!R206</f>
        <v>-239.79967833193996</v>
      </c>
      <c r="U1058">
        <f t="shared" si="136"/>
        <v>-178.29381410233597</v>
      </c>
      <c r="V1058" t="str">
        <f t="shared" si="129"/>
        <v>2019/20Financial performanceRAVDepreciation</v>
      </c>
    </row>
    <row r="1059" spans="1:22">
      <c r="A1059" s="900" t="s">
        <v>141</v>
      </c>
      <c r="B1059" s="900"/>
      <c r="C1059" s="900" t="s">
        <v>1333</v>
      </c>
      <c r="D1059" t="s">
        <v>653</v>
      </c>
      <c r="E1059" t="s">
        <v>1343</v>
      </c>
      <c r="F1059" t="s">
        <v>1289</v>
      </c>
      <c r="G1059" s="901">
        <f>'Ch3 financial performance '!E207</f>
        <v>2013.2787328396664</v>
      </c>
      <c r="H1059" s="901">
        <f>'Ch3 financial performance '!F207</f>
        <v>1534.572718088642</v>
      </c>
      <c r="I1059" s="901">
        <f>'Ch3 financial performance '!G207</f>
        <v>2035.2055012719532</v>
      </c>
      <c r="J1059" s="901">
        <f>'Ch3 financial performance '!H207</f>
        <v>2690.4740201515965</v>
      </c>
      <c r="K1059" s="901">
        <f>'Ch3 financial performance '!I207</f>
        <v>2684.3494080903206</v>
      </c>
      <c r="L1059" s="901">
        <f>'Ch3 financial performance '!J207</f>
        <v>1261.8227100449667</v>
      </c>
      <c r="M1059" s="901">
        <f>'Ch3 financial performance '!K207</f>
        <v>1870.9771445026749</v>
      </c>
      <c r="N1059" s="901">
        <f>'Ch3 financial performance '!L207</f>
        <v>1857.0975293803756</v>
      </c>
      <c r="O1059" s="901">
        <f>'Ch3 financial performance '!M207</f>
        <v>1929.588216449016</v>
      </c>
      <c r="P1059" s="901">
        <f>'Ch3 financial performance '!N207</f>
        <v>2949.4279086017141</v>
      </c>
      <c r="Q1059" s="901">
        <f>'Ch3 financial performance '!O207</f>
        <v>2053.938597965117</v>
      </c>
      <c r="R1059" s="901">
        <f>'Ch3 financial performance '!P207</f>
        <v>2224.61943623861</v>
      </c>
      <c r="S1059" s="901">
        <f>'Ch3 financial performance '!Q207</f>
        <v>1280.4845246009295</v>
      </c>
      <c r="T1059" s="901">
        <f>'Ch3 financial performance '!R207</f>
        <v>2672.5946558132296</v>
      </c>
      <c r="U1059">
        <f t="shared" si="136"/>
        <v>2075.602221717058</v>
      </c>
      <c r="V1059" t="str">
        <f t="shared" si="129"/>
        <v>2019/20Financial performanceRAVRAV at 31st March</v>
      </c>
    </row>
    <row r="1060" spans="1:22">
      <c r="A1060" s="900" t="s">
        <v>126</v>
      </c>
      <c r="B1060" s="900"/>
      <c r="C1060" s="900" t="s">
        <v>1333</v>
      </c>
      <c r="D1060" t="s">
        <v>653</v>
      </c>
      <c r="E1060" t="s">
        <v>1342</v>
      </c>
      <c r="F1060" t="s">
        <v>1289</v>
      </c>
      <c r="G1060" s="901">
        <f>'Ch3 financial performance '!E210</f>
        <v>2013.2787328396664</v>
      </c>
      <c r="H1060" s="901">
        <f>'Ch3 financial performance '!F210</f>
        <v>1534.572718088642</v>
      </c>
      <c r="I1060" s="901">
        <f>'Ch3 financial performance '!G210</f>
        <v>2035.2055012719532</v>
      </c>
      <c r="J1060" s="901">
        <f>'Ch3 financial performance '!H210</f>
        <v>2690.4740201515965</v>
      </c>
      <c r="K1060" s="901">
        <f>'Ch3 financial performance '!I210</f>
        <v>2684.3494080903206</v>
      </c>
      <c r="L1060" s="901">
        <f>'Ch3 financial performance '!J210</f>
        <v>1261.8227100449667</v>
      </c>
      <c r="M1060" s="901">
        <f>'Ch3 financial performance '!K210</f>
        <v>1870.9771445026749</v>
      </c>
      <c r="N1060" s="901">
        <f>'Ch3 financial performance '!L210</f>
        <v>1857.0975293803756</v>
      </c>
      <c r="O1060" s="901">
        <f>'Ch3 financial performance '!M210</f>
        <v>1929.588216449016</v>
      </c>
      <c r="P1060" s="901">
        <f>'Ch3 financial performance '!N210</f>
        <v>2949.4279086017141</v>
      </c>
      <c r="Q1060" s="901">
        <f>'Ch3 financial performance '!O210</f>
        <v>2053.938597965117</v>
      </c>
      <c r="R1060" s="901">
        <f>'Ch3 financial performance '!P210</f>
        <v>2224.61943623861</v>
      </c>
      <c r="S1060" s="901">
        <f>'Ch3 financial performance '!Q210</f>
        <v>1280.4845246009295</v>
      </c>
      <c r="T1060" s="901">
        <f>'Ch3 financial performance '!R210</f>
        <v>2672.5946558132296</v>
      </c>
      <c r="U1060">
        <f t="shared" si="136"/>
        <v>2075.602221717058</v>
      </c>
      <c r="V1060" t="str">
        <f t="shared" si="129"/>
        <v>2020/21Financial performanceRAVRAV at 1st April</v>
      </c>
    </row>
    <row r="1061" spans="1:22">
      <c r="A1061" s="900" t="s">
        <v>126</v>
      </c>
      <c r="B1061" s="900"/>
      <c r="C1061" s="900" t="s">
        <v>1333</v>
      </c>
      <c r="D1061" t="s">
        <v>653</v>
      </c>
      <c r="E1061" t="s">
        <v>655</v>
      </c>
      <c r="F1061" t="s">
        <v>1289</v>
      </c>
      <c r="G1061" s="901">
        <f>'Ch3 financial performance '!E211</f>
        <v>191.95108012801037</v>
      </c>
      <c r="H1061" s="901">
        <f>'Ch3 financial performance '!F211</f>
        <v>144.39643526037688</v>
      </c>
      <c r="I1061" s="901">
        <f>'Ch3 financial performance '!G211</f>
        <v>193.92211173516475</v>
      </c>
      <c r="J1061" s="901">
        <f>'Ch3 financial performance '!H211</f>
        <v>267.70273169437303</v>
      </c>
      <c r="K1061" s="901">
        <f>'Ch3 financial performance '!I211</f>
        <v>260.53568817095237</v>
      </c>
      <c r="L1061" s="901">
        <f>'Ch3 financial performance '!J211</f>
        <v>130.90293174252648</v>
      </c>
      <c r="M1061" s="901">
        <f>'Ch3 financial performance '!K211</f>
        <v>209.29183301999987</v>
      </c>
      <c r="N1061" s="901">
        <f>'Ch3 financial performance '!L211</f>
        <v>176.88995764673672</v>
      </c>
      <c r="O1061" s="901">
        <f>'Ch3 financial performance '!M211</f>
        <v>167.00901679634734</v>
      </c>
      <c r="P1061" s="901">
        <f>'Ch3 financial performance '!N211</f>
        <v>262.8688983240188</v>
      </c>
      <c r="Q1061" s="901">
        <f>'Ch3 financial performance '!O211</f>
        <v>197.26743947883836</v>
      </c>
      <c r="R1061" s="901">
        <f>'Ch3 financial performance '!P211</f>
        <v>212.44134666981745</v>
      </c>
      <c r="S1061" s="901">
        <f>'Ch3 financial performance '!Q211</f>
        <v>136.62435243764682</v>
      </c>
      <c r="T1061" s="901">
        <f>'Ch3 financial performance '!R211</f>
        <v>262.75866785486465</v>
      </c>
      <c r="U1061">
        <f t="shared" si="136"/>
        <v>201.04017792569101</v>
      </c>
      <c r="V1061" t="str">
        <f t="shared" si="129"/>
        <v>2020/21Financial performanceRAVSlow Money</v>
      </c>
    </row>
    <row r="1062" spans="1:22">
      <c r="A1062" s="900" t="s">
        <v>126</v>
      </c>
      <c r="B1062" s="900"/>
      <c r="C1062" s="900" t="s">
        <v>1333</v>
      </c>
      <c r="D1062" t="s">
        <v>653</v>
      </c>
      <c r="E1062" t="s">
        <v>656</v>
      </c>
      <c r="F1062" t="s">
        <v>1289</v>
      </c>
      <c r="G1062" s="901">
        <f>'Ch3 financial performance '!E212</f>
        <v>-169.95523906521032</v>
      </c>
      <c r="H1062" s="901">
        <f>'Ch3 financial performance '!F212</f>
        <v>-123.03578307821286</v>
      </c>
      <c r="I1062" s="901">
        <f>'Ch3 financial performance '!G212</f>
        <v>-171.9188232120575</v>
      </c>
      <c r="J1062" s="901">
        <f>'Ch3 financial performance '!H212</f>
        <v>-229.69710983738179</v>
      </c>
      <c r="K1062" s="901">
        <f>'Ch3 financial performance '!I212</f>
        <v>-225.98049980707449</v>
      </c>
      <c r="L1062" s="901">
        <f>'Ch3 financial performance '!J212</f>
        <v>-97.056038620294458</v>
      </c>
      <c r="M1062" s="901">
        <f>'Ch3 financial performance '!K212</f>
        <v>-153.99253780208696</v>
      </c>
      <c r="N1062" s="901">
        <f>'Ch3 financial performance '!L212</f>
        <v>-168.22517779516065</v>
      </c>
      <c r="O1062" s="901">
        <f>'Ch3 financial performance '!M212</f>
        <v>-158.51015045874306</v>
      </c>
      <c r="P1062" s="901">
        <f>'Ch3 financial performance '!N212</f>
        <v>-240.58440372444733</v>
      </c>
      <c r="Q1062" s="901">
        <f>'Ch3 financial performance '!O212</f>
        <v>-185.16802268958403</v>
      </c>
      <c r="R1062" s="901">
        <f>'Ch3 financial performance '!P212</f>
        <v>-183.00748450435097</v>
      </c>
      <c r="S1062" s="901">
        <f>'Ch3 financial performance '!Q212</f>
        <v>-112.86840913602931</v>
      </c>
      <c r="T1062" s="901">
        <f>'Ch3 financial performance '!R212</f>
        <v>-237.87150061793102</v>
      </c>
      <c r="U1062">
        <f t="shared" si="136"/>
        <v>-175.5622271677546</v>
      </c>
      <c r="V1062" t="str">
        <f t="shared" si="129"/>
        <v>2020/21Financial performanceRAVDepreciation</v>
      </c>
    </row>
    <row r="1063" spans="1:22">
      <c r="A1063" s="900" t="s">
        <v>126</v>
      </c>
      <c r="B1063" s="900"/>
      <c r="C1063" s="900" t="s">
        <v>1333</v>
      </c>
      <c r="D1063" t="s">
        <v>653</v>
      </c>
      <c r="E1063" t="s">
        <v>1343</v>
      </c>
      <c r="F1063" t="s">
        <v>1289</v>
      </c>
      <c r="G1063" s="901">
        <f>'Ch3 financial performance '!E213</f>
        <v>2035.2745739024663</v>
      </c>
      <c r="H1063" s="901">
        <f>'Ch3 financial performance '!F213</f>
        <v>1555.9333702708061</v>
      </c>
      <c r="I1063" s="901">
        <f>'Ch3 financial performance '!G213</f>
        <v>2057.2087897950605</v>
      </c>
      <c r="J1063" s="901">
        <f>'Ch3 financial performance '!H213</f>
        <v>2728.4796420085881</v>
      </c>
      <c r="K1063" s="901">
        <f>'Ch3 financial performance '!I213</f>
        <v>2718.9045964541983</v>
      </c>
      <c r="L1063" s="901">
        <f>'Ch3 financial performance '!J213</f>
        <v>1295.6696031671988</v>
      </c>
      <c r="M1063" s="901">
        <f>'Ch3 financial performance '!K213</f>
        <v>1926.2764397205879</v>
      </c>
      <c r="N1063" s="901">
        <f>'Ch3 financial performance '!L213</f>
        <v>1865.7623092319513</v>
      </c>
      <c r="O1063" s="901">
        <f>'Ch3 financial performance '!M213</f>
        <v>1938.0870827866204</v>
      </c>
      <c r="P1063" s="901">
        <f>'Ch3 financial performance '!N213</f>
        <v>2971.7124032012853</v>
      </c>
      <c r="Q1063" s="901">
        <f>'Ch3 financial performance '!O213</f>
        <v>2066.0380147543715</v>
      </c>
      <c r="R1063" s="901">
        <f>'Ch3 financial performance '!P213</f>
        <v>2254.0532984040765</v>
      </c>
      <c r="S1063" s="901">
        <f>'Ch3 financial performance '!Q213</f>
        <v>1304.2404679025469</v>
      </c>
      <c r="T1063" s="901">
        <f>'Ch3 financial performance '!R213</f>
        <v>2697.4818230501633</v>
      </c>
      <c r="U1063">
        <f t="shared" si="136"/>
        <v>2101.0801724749945</v>
      </c>
      <c r="V1063" t="str">
        <f t="shared" si="129"/>
        <v>2020/21Financial performanceRAVRAV at 31st March</v>
      </c>
    </row>
    <row r="1064" spans="1:22">
      <c r="A1064" s="900" t="s">
        <v>142</v>
      </c>
      <c r="B1064" s="900"/>
      <c r="C1064" s="900" t="s">
        <v>1333</v>
      </c>
      <c r="D1064" t="s">
        <v>653</v>
      </c>
      <c r="E1064" t="s">
        <v>1342</v>
      </c>
      <c r="F1064" t="s">
        <v>1289</v>
      </c>
      <c r="G1064" s="901">
        <f>'Ch3 financial performance '!E216</f>
        <v>2035.2745739024663</v>
      </c>
      <c r="H1064" s="901">
        <f>'Ch3 financial performance '!F216</f>
        <v>1555.9333702708061</v>
      </c>
      <c r="I1064" s="901">
        <f>'Ch3 financial performance '!G216</f>
        <v>2057.2087897950605</v>
      </c>
      <c r="J1064" s="901">
        <f>'Ch3 financial performance '!H216</f>
        <v>2728.4796420085881</v>
      </c>
      <c r="K1064" s="901">
        <f>'Ch3 financial performance '!I216</f>
        <v>2718.9045964541983</v>
      </c>
      <c r="L1064" s="901">
        <f>'Ch3 financial performance '!J216</f>
        <v>1295.6696031671988</v>
      </c>
      <c r="M1064" s="901">
        <f>'Ch3 financial performance '!K216</f>
        <v>1926.2764397205879</v>
      </c>
      <c r="N1064" s="901">
        <f>'Ch3 financial performance '!L216</f>
        <v>1865.7623092319513</v>
      </c>
      <c r="O1064" s="901">
        <f>'Ch3 financial performance '!M216</f>
        <v>1938.0870827866204</v>
      </c>
      <c r="P1064" s="901">
        <f>'Ch3 financial performance '!N216</f>
        <v>2971.7124032012853</v>
      </c>
      <c r="Q1064" s="901">
        <f>'Ch3 financial performance '!O216</f>
        <v>2066.0380147543715</v>
      </c>
      <c r="R1064" s="901">
        <f>'Ch3 financial performance '!P216</f>
        <v>2254.0532984040765</v>
      </c>
      <c r="S1064" s="901">
        <f>'Ch3 financial performance '!Q216</f>
        <v>1304.2404679025469</v>
      </c>
      <c r="T1064" s="901">
        <f>'Ch3 financial performance '!R216</f>
        <v>2697.4818230501633</v>
      </c>
      <c r="U1064">
        <f t="shared" si="136"/>
        <v>2101.0801724749945</v>
      </c>
      <c r="V1064" t="str">
        <f t="shared" si="129"/>
        <v>2021/22Financial performanceRAVRAV at 1st April</v>
      </c>
    </row>
    <row r="1065" spans="1:22">
      <c r="A1065" s="900" t="s">
        <v>142</v>
      </c>
      <c r="B1065" s="900"/>
      <c r="C1065" s="900" t="s">
        <v>1333</v>
      </c>
      <c r="D1065" t="s">
        <v>653</v>
      </c>
      <c r="E1065" t="s">
        <v>655</v>
      </c>
      <c r="F1065" t="s">
        <v>1289</v>
      </c>
      <c r="G1065" s="901">
        <f>'Ch3 financial performance '!E217</f>
        <v>199.44899536524267</v>
      </c>
      <c r="H1065" s="901">
        <f>'Ch3 financial performance '!F217</f>
        <v>134.76545624613925</v>
      </c>
      <c r="I1065" s="901">
        <f>'Ch3 financial performance '!G217</f>
        <v>189.53600140464403</v>
      </c>
      <c r="J1065" s="901">
        <f>'Ch3 financial performance '!H217</f>
        <v>270.75772696264369</v>
      </c>
      <c r="K1065" s="901">
        <f>'Ch3 financial performance '!I217</f>
        <v>269.64903978964827</v>
      </c>
      <c r="L1065" s="901">
        <f>'Ch3 financial performance '!J217</f>
        <v>125.95024388769117</v>
      </c>
      <c r="M1065" s="901">
        <f>'Ch3 financial performance '!K217</f>
        <v>207.22719850799385</v>
      </c>
      <c r="N1065" s="901">
        <f>'Ch3 financial performance '!L217</f>
        <v>173.08977449291277</v>
      </c>
      <c r="O1065" s="901">
        <f>'Ch3 financial performance '!M217</f>
        <v>169.29807291474168</v>
      </c>
      <c r="P1065" s="901">
        <f>'Ch3 financial performance '!N217</f>
        <v>264.07695566375952</v>
      </c>
      <c r="Q1065" s="901">
        <f>'Ch3 financial performance '!O217</f>
        <v>190.95641787628912</v>
      </c>
      <c r="R1065" s="901">
        <f>'Ch3 financial performance '!P217</f>
        <v>210.08458669738829</v>
      </c>
      <c r="S1065" s="901">
        <f>'Ch3 financial performance '!Q217</f>
        <v>151.38269407522557</v>
      </c>
      <c r="T1065" s="901">
        <f>'Ch3 financial performance '!R217</f>
        <v>255.06933407129324</v>
      </c>
      <c r="U1065">
        <f t="shared" si="136"/>
        <v>200.80660699682949</v>
      </c>
      <c r="V1065" t="str">
        <f t="shared" si="129"/>
        <v>2021/22Financial performanceRAVSlow Money</v>
      </c>
    </row>
    <row r="1066" spans="1:22">
      <c r="A1066" s="900" t="s">
        <v>142</v>
      </c>
      <c r="B1066" s="900"/>
      <c r="C1066" s="900" t="s">
        <v>1333</v>
      </c>
      <c r="D1066" t="s">
        <v>653</v>
      </c>
      <c r="E1066" t="s">
        <v>656</v>
      </c>
      <c r="F1066" t="s">
        <v>1289</v>
      </c>
      <c r="G1066" s="901">
        <f>'Ch3 financial performance '!E218</f>
        <v>-167.29838895987064</v>
      </c>
      <c r="H1066" s="901">
        <f>'Ch3 financial performance '!F218</f>
        <v>-122.12640893881846</v>
      </c>
      <c r="I1066" s="901">
        <f>'Ch3 financial performance '!G218</f>
        <v>-156.13581483717945</v>
      </c>
      <c r="J1066" s="901">
        <f>'Ch3 financial performance '!H218</f>
        <v>-209.79732048435488</v>
      </c>
      <c r="K1066" s="901">
        <f>'Ch3 financial performance '!I218</f>
        <v>-202.47495718107157</v>
      </c>
      <c r="L1066" s="901">
        <f>'Ch3 financial performance '!J218</f>
        <v>-96.10462896477884</v>
      </c>
      <c r="M1066" s="901">
        <f>'Ch3 financial performance '!K218</f>
        <v>-138.89783443197604</v>
      </c>
      <c r="N1066" s="901">
        <f>'Ch3 financial performance '!L218</f>
        <v>-147.14273208987925</v>
      </c>
      <c r="O1066" s="901">
        <f>'Ch3 financial performance '!M218</f>
        <v>-158.02461260155235</v>
      </c>
      <c r="P1066" s="901">
        <f>'Ch3 financial performance '!N218</f>
        <v>-238.177442047787</v>
      </c>
      <c r="Q1066" s="901">
        <f>'Ch3 financial performance '!O218</f>
        <v>-184.49151790407817</v>
      </c>
      <c r="R1066" s="901">
        <f>'Ch3 financial performance '!P218</f>
        <v>-168.76664786352688</v>
      </c>
      <c r="S1066" s="901">
        <f>'Ch3 financial performance '!Q218</f>
        <v>-111.93509081387141</v>
      </c>
      <c r="T1066" s="901">
        <f>'Ch3 financial performance '!R218</f>
        <v>-205.18820027269211</v>
      </c>
      <c r="U1066">
        <f t="shared" si="136"/>
        <v>-164.7543998136741</v>
      </c>
      <c r="V1066" t="str">
        <f t="shared" si="129"/>
        <v>2021/22Financial performanceRAVDepreciation</v>
      </c>
    </row>
    <row r="1067" spans="1:22">
      <c r="A1067" s="900" t="s">
        <v>142</v>
      </c>
      <c r="B1067" s="900"/>
      <c r="C1067" s="900" t="s">
        <v>1333</v>
      </c>
      <c r="D1067" t="s">
        <v>653</v>
      </c>
      <c r="E1067" t="s">
        <v>1343</v>
      </c>
      <c r="F1067" t="s">
        <v>1289</v>
      </c>
      <c r="G1067" s="901">
        <f>'Ch3 financial performance '!E219</f>
        <v>2067.4228740503117</v>
      </c>
      <c r="H1067" s="901">
        <f>'Ch3 financial performance '!F219</f>
        <v>1570.6512260346617</v>
      </c>
      <c r="I1067" s="901">
        <f>'Ch3 financial performance '!G219</f>
        <v>2090.6066452503906</v>
      </c>
      <c r="J1067" s="901">
        <f>'Ch3 financial performance '!H219</f>
        <v>2789.4452125544726</v>
      </c>
      <c r="K1067" s="901">
        <f>'Ch3 financial performance '!I219</f>
        <v>2786.0826054518275</v>
      </c>
      <c r="L1067" s="901">
        <f>'Ch3 financial performance '!J219</f>
        <v>1325.5166363755677</v>
      </c>
      <c r="M1067" s="901">
        <f>'Ch3 financial performance '!K219</f>
        <v>1994.6117171544522</v>
      </c>
      <c r="N1067" s="901">
        <f>'Ch3 financial performance '!L219</f>
        <v>1891.7072374591276</v>
      </c>
      <c r="O1067" s="901">
        <f>'Ch3 financial performance '!M219</f>
        <v>1949.3476970178426</v>
      </c>
      <c r="P1067" s="901">
        <f>'Ch3 financial performance '!N219</f>
        <v>2997.6085494415797</v>
      </c>
      <c r="Q1067" s="901">
        <f>'Ch3 financial performance '!O219</f>
        <v>2072.4865661371068</v>
      </c>
      <c r="R1067" s="901">
        <f>'Ch3 financial performance '!P219</f>
        <v>2295.3686830727884</v>
      </c>
      <c r="S1067" s="901">
        <f>'Ch3 financial performance '!Q219</f>
        <v>1343.6865932726946</v>
      </c>
      <c r="T1067" s="901">
        <f>'Ch3 financial performance '!R219</f>
        <v>2747.359900215602</v>
      </c>
      <c r="U1067">
        <f t="shared" si="136"/>
        <v>2137.2787245348873</v>
      </c>
      <c r="V1067" t="str">
        <f t="shared" si="129"/>
        <v>2021/22Financial performanceRAVRAV at 31st March</v>
      </c>
    </row>
    <row r="1068" spans="1:22">
      <c r="A1068" s="900" t="s">
        <v>720</v>
      </c>
      <c r="B1068" s="900"/>
      <c r="C1068" s="900" t="s">
        <v>1344</v>
      </c>
      <c r="D1068" t="s">
        <v>297</v>
      </c>
      <c r="E1068" s="900" t="s">
        <v>297</v>
      </c>
      <c r="F1068" t="s">
        <v>1289</v>
      </c>
      <c r="G1068">
        <f t="array" ref="G1068:T1085">TRANSPOSE('Ch4 expenditure drivers'!E75:V88)</f>
        <v>298.99914546990897</v>
      </c>
      <c r="H1068">
        <v>190.39328866773073</v>
      </c>
      <c r="I1068">
        <v>254.44199763402494</v>
      </c>
      <c r="J1068">
        <v>322.59234806121492</v>
      </c>
      <c r="K1068">
        <v>325.15149187869685</v>
      </c>
      <c r="L1068">
        <v>152.60209640409352</v>
      </c>
      <c r="M1068">
        <v>205.15218657403068</v>
      </c>
      <c r="N1068">
        <v>279.1570166932683</v>
      </c>
      <c r="O1068">
        <v>290.37518137264107</v>
      </c>
      <c r="P1068">
        <v>428.04309604731952</v>
      </c>
      <c r="Q1068">
        <v>273.62681207398367</v>
      </c>
      <c r="R1068">
        <v>246.32635662379121</v>
      </c>
      <c r="S1068">
        <v>165.68703379964322</v>
      </c>
      <c r="T1068">
        <v>369.18278824523514</v>
      </c>
      <c r="U1068">
        <f t="shared" si="136"/>
        <v>271.55220282468451</v>
      </c>
      <c r="V1068" t="str">
        <f t="shared" si="129"/>
        <v>2005/06Expenditure driversAllowanceAllowance</v>
      </c>
    </row>
    <row r="1069" spans="1:22">
      <c r="A1069" s="900" t="s">
        <v>721</v>
      </c>
      <c r="B1069" s="900"/>
      <c r="C1069" s="900" t="s">
        <v>1344</v>
      </c>
      <c r="D1069" t="s">
        <v>297</v>
      </c>
      <c r="E1069" t="s">
        <v>297</v>
      </c>
      <c r="F1069" t="s">
        <v>1289</v>
      </c>
      <c r="G1069">
        <v>294.09119842268336</v>
      </c>
      <c r="H1069">
        <v>192.4966945451132</v>
      </c>
      <c r="I1069">
        <v>251.46217264106656</v>
      </c>
      <c r="J1069">
        <v>317.33383336775893</v>
      </c>
      <c r="K1069">
        <v>328.83245216411603</v>
      </c>
      <c r="L1069">
        <v>155.05606992770632</v>
      </c>
      <c r="M1069">
        <v>208.48257921321942</v>
      </c>
      <c r="N1069">
        <v>283.18854462491794</v>
      </c>
      <c r="O1069">
        <v>282.66269315557224</v>
      </c>
      <c r="P1069">
        <v>428.56894751666516</v>
      </c>
      <c r="Q1069">
        <v>280.97996845366634</v>
      </c>
      <c r="R1069">
        <v>244.0257564454042</v>
      </c>
      <c r="S1069">
        <v>166.76919230260071</v>
      </c>
      <c r="T1069">
        <v>376.71999263918883</v>
      </c>
      <c r="U1069">
        <f t="shared" ref="U1069:U1105" si="137">AVERAGE(G1069:T1069)</f>
        <v>272.1907211014057</v>
      </c>
      <c r="V1069" t="str">
        <f t="shared" si="129"/>
        <v>2006/07Expenditure driversAllowanceAllowance</v>
      </c>
    </row>
    <row r="1070" spans="1:22">
      <c r="A1070" s="900" t="s">
        <v>722</v>
      </c>
      <c r="B1070" s="900"/>
      <c r="C1070" s="900" t="s">
        <v>1344</v>
      </c>
      <c r="D1070" t="s">
        <v>297</v>
      </c>
      <c r="E1070" t="s">
        <v>297</v>
      </c>
      <c r="F1070" t="s">
        <v>1289</v>
      </c>
      <c r="G1070">
        <v>290.58552196037931</v>
      </c>
      <c r="H1070">
        <v>191.44499160642195</v>
      </c>
      <c r="I1070">
        <v>248.30706382499298</v>
      </c>
      <c r="J1070">
        <v>313.1270216129941</v>
      </c>
      <c r="K1070">
        <v>328.83245216411603</v>
      </c>
      <c r="L1070">
        <v>155.93248904328235</v>
      </c>
      <c r="M1070">
        <v>209.53428215191067</v>
      </c>
      <c r="N1070">
        <v>285.64251814853071</v>
      </c>
      <c r="O1070">
        <v>275.30077258473381</v>
      </c>
      <c r="P1070">
        <v>426.64082546239797</v>
      </c>
      <c r="Q1070">
        <v>279.75298169185993</v>
      </c>
      <c r="R1070">
        <v>241.61231730588682</v>
      </c>
      <c r="S1070">
        <v>169.24716327712187</v>
      </c>
      <c r="T1070">
        <v>379.52453380903199</v>
      </c>
      <c r="U1070">
        <f t="shared" si="137"/>
        <v>271.10606676026151</v>
      </c>
      <c r="V1070" t="str">
        <f t="shared" si="129"/>
        <v>2007/08Expenditure driversAllowanceAllowance</v>
      </c>
    </row>
    <row r="1071" spans="1:22">
      <c r="A1071" s="900" t="s">
        <v>723</v>
      </c>
      <c r="B1071" s="900"/>
      <c r="C1071" s="900" t="s">
        <v>1344</v>
      </c>
      <c r="D1071" t="s">
        <v>297</v>
      </c>
      <c r="E1071" t="s">
        <v>297</v>
      </c>
      <c r="F1071" t="s">
        <v>1289</v>
      </c>
      <c r="G1071">
        <v>287.25512932119051</v>
      </c>
      <c r="H1071">
        <v>190.39328866773073</v>
      </c>
      <c r="I1071">
        <v>246.9047932400714</v>
      </c>
      <c r="J1071">
        <v>309.97191279692044</v>
      </c>
      <c r="K1071">
        <v>325.85262717115768</v>
      </c>
      <c r="L1071">
        <v>155.05606992770635</v>
      </c>
      <c r="M1071">
        <v>208.48257921321945</v>
      </c>
      <c r="N1071">
        <v>284.24024756360905</v>
      </c>
      <c r="O1071">
        <v>270.74339318373865</v>
      </c>
      <c r="P1071">
        <v>424.71270340813061</v>
      </c>
      <c r="Q1071">
        <v>278.35071110693838</v>
      </c>
      <c r="R1071">
        <v>238.52622649516482</v>
      </c>
      <c r="S1071">
        <v>171.05597730166181</v>
      </c>
      <c r="T1071">
        <v>377.94697940099519</v>
      </c>
      <c r="U1071">
        <f t="shared" si="137"/>
        <v>269.24947419987387</v>
      </c>
      <c r="V1071" t="str">
        <f t="shared" si="129"/>
        <v>2008/09Expenditure driversAllowanceAllowance</v>
      </c>
    </row>
    <row r="1072" spans="1:22">
      <c r="A1072" s="900" t="s">
        <v>131</v>
      </c>
      <c r="B1072" s="900"/>
      <c r="C1072" s="900" t="s">
        <v>1344</v>
      </c>
      <c r="D1072" t="s">
        <v>297</v>
      </c>
      <c r="E1072" t="s">
        <v>297</v>
      </c>
      <c r="F1072" t="s">
        <v>1289</v>
      </c>
      <c r="G1072">
        <v>283.92473668200176</v>
      </c>
      <c r="H1072">
        <v>189.51686955215473</v>
      </c>
      <c r="I1072">
        <v>245.67780647826496</v>
      </c>
      <c r="J1072">
        <v>308.56964221199888</v>
      </c>
      <c r="K1072">
        <v>324.27507276312082</v>
      </c>
      <c r="L1072">
        <v>154.17965081213035</v>
      </c>
      <c r="M1072">
        <v>207.43087627452826</v>
      </c>
      <c r="N1072">
        <v>282.83797697868749</v>
      </c>
      <c r="O1072">
        <v>262.68033732043938</v>
      </c>
      <c r="P1072">
        <v>422.95986517697867</v>
      </c>
      <c r="Q1072">
        <v>277.12372434513185</v>
      </c>
      <c r="R1072">
        <v>237.4745235564736</v>
      </c>
      <c r="S1072">
        <v>170.17955818608584</v>
      </c>
      <c r="T1072">
        <v>376.36942499295844</v>
      </c>
      <c r="U1072">
        <f t="shared" si="137"/>
        <v>267.37143323792537</v>
      </c>
      <c r="V1072" t="str">
        <f t="shared" si="129"/>
        <v>2009/10Expenditure driversAllowanceAllowance</v>
      </c>
    </row>
    <row r="1073" spans="1:22">
      <c r="A1073" s="900" t="s">
        <v>132</v>
      </c>
      <c r="B1073" s="900"/>
      <c r="C1073" s="900" t="s">
        <v>1344</v>
      </c>
      <c r="D1073" t="s">
        <v>297</v>
      </c>
      <c r="E1073" s="900" t="s">
        <v>297</v>
      </c>
      <c r="F1073" t="s">
        <v>1289</v>
      </c>
      <c r="G1073">
        <v>336.35155835280244</v>
      </c>
      <c r="H1073">
        <v>218.73649069026268</v>
      </c>
      <c r="I1073">
        <v>293.24646226790622</v>
      </c>
      <c r="J1073">
        <v>322.09104359703224</v>
      </c>
      <c r="K1073">
        <v>321.15092922659227</v>
      </c>
      <c r="L1073">
        <v>158.22009057865193</v>
      </c>
      <c r="M1073">
        <v>217.35504750287086</v>
      </c>
      <c r="N1073">
        <v>308.84151773282093</v>
      </c>
      <c r="O1073">
        <v>306.15419594690866</v>
      </c>
      <c r="P1073">
        <v>454.83455250930126</v>
      </c>
      <c r="Q1073">
        <v>231.45303604011428</v>
      </c>
      <c r="R1073">
        <v>304.92362850783195</v>
      </c>
      <c r="S1073">
        <v>172.12451479149215</v>
      </c>
      <c r="T1073">
        <v>405.16440916851155</v>
      </c>
      <c r="U1073">
        <f t="shared" si="137"/>
        <v>289.33196263664996</v>
      </c>
      <c r="V1073" t="str">
        <f t="shared" si="129"/>
        <v>2010/11Expenditure driversAllowanceAllowance</v>
      </c>
    </row>
    <row r="1074" spans="1:22">
      <c r="A1074" s="900" t="s">
        <v>133</v>
      </c>
      <c r="B1074" s="900"/>
      <c r="C1074" s="900" t="s">
        <v>1344</v>
      </c>
      <c r="D1074" t="s">
        <v>297</v>
      </c>
      <c r="E1074" t="s">
        <v>297</v>
      </c>
      <c r="F1074" t="s">
        <v>1289</v>
      </c>
      <c r="G1074">
        <v>356.93365079737669</v>
      </c>
      <c r="H1074">
        <v>217.70199719484728</v>
      </c>
      <c r="I1074">
        <v>296.05178103412118</v>
      </c>
      <c r="J1074">
        <v>331.98174431634141</v>
      </c>
      <c r="K1074">
        <v>335.30847847117377</v>
      </c>
      <c r="L1074">
        <v>163.81918737648601</v>
      </c>
      <c r="M1074">
        <v>236.37489591087356</v>
      </c>
      <c r="N1074">
        <v>310.68355637390005</v>
      </c>
      <c r="O1074">
        <v>312.30284332201563</v>
      </c>
      <c r="P1074">
        <v>435.80319390107582</v>
      </c>
      <c r="Q1074">
        <v>245.48654741226119</v>
      </c>
      <c r="R1074">
        <v>297.83863233225776</v>
      </c>
      <c r="S1074">
        <v>167.22800347702344</v>
      </c>
      <c r="T1074">
        <v>409.3825840817247</v>
      </c>
      <c r="U1074">
        <f t="shared" si="137"/>
        <v>294.0640782858199</v>
      </c>
      <c r="V1074" t="str">
        <f t="shared" si="129"/>
        <v>2011/12Expenditure driversAllowanceAllowance</v>
      </c>
    </row>
    <row r="1075" spans="1:22">
      <c r="A1075" s="900" t="s">
        <v>134</v>
      </c>
      <c r="B1075" s="900"/>
      <c r="C1075" s="900" t="s">
        <v>1344</v>
      </c>
      <c r="D1075" t="s">
        <v>297</v>
      </c>
      <c r="E1075" t="s">
        <v>297</v>
      </c>
      <c r="F1075" t="s">
        <v>1289</v>
      </c>
      <c r="G1075">
        <v>353.14033707490142</v>
      </c>
      <c r="H1075">
        <v>228.28229489137161</v>
      </c>
      <c r="I1075">
        <v>291.54483435871163</v>
      </c>
      <c r="J1075">
        <v>350.20889556295913</v>
      </c>
      <c r="K1075">
        <v>367.27954079887144</v>
      </c>
      <c r="L1075">
        <v>169.37035278439464</v>
      </c>
      <c r="M1075">
        <v>242.23914511255958</v>
      </c>
      <c r="N1075">
        <v>303.06900594349179</v>
      </c>
      <c r="O1075">
        <v>300.06615580713208</v>
      </c>
      <c r="P1075">
        <v>425.74127899103178</v>
      </c>
      <c r="Q1075">
        <v>264.67152454227789</v>
      </c>
      <c r="R1075">
        <v>325.51500112668742</v>
      </c>
      <c r="S1075">
        <v>162.36410127897361</v>
      </c>
      <c r="T1075">
        <v>414.291069694984</v>
      </c>
      <c r="U1075">
        <f t="shared" si="137"/>
        <v>299.8416812834534</v>
      </c>
      <c r="V1075" t="str">
        <f t="shared" si="129"/>
        <v>2012/13Expenditure driversAllowanceAllowance</v>
      </c>
    </row>
    <row r="1076" spans="1:22">
      <c r="A1076" s="900" t="s">
        <v>135</v>
      </c>
      <c r="B1076" s="900"/>
      <c r="C1076" s="900" t="s">
        <v>1344</v>
      </c>
      <c r="D1076" t="s">
        <v>297</v>
      </c>
      <c r="E1076" t="s">
        <v>297</v>
      </c>
      <c r="F1076" t="s">
        <v>1289</v>
      </c>
      <c r="G1076">
        <v>307.30158946537529</v>
      </c>
      <c r="H1076">
        <v>235.85558226610888</v>
      </c>
      <c r="I1076">
        <v>296.83038383408586</v>
      </c>
      <c r="J1076">
        <v>355.54447320681624</v>
      </c>
      <c r="K1076">
        <v>360.88416766459318</v>
      </c>
      <c r="L1076">
        <v>168.32210347897256</v>
      </c>
      <c r="M1076">
        <v>246.14519178425061</v>
      </c>
      <c r="N1076">
        <v>279.24726514655003</v>
      </c>
      <c r="O1076">
        <v>297.49469330871869</v>
      </c>
      <c r="P1076">
        <v>424.92529598441706</v>
      </c>
      <c r="Q1076">
        <v>278.38773306947519</v>
      </c>
      <c r="R1076">
        <v>314.93808170355476</v>
      </c>
      <c r="S1076">
        <v>161.1261167024376</v>
      </c>
      <c r="T1076">
        <v>408.51781385784381</v>
      </c>
      <c r="U1076">
        <f t="shared" si="137"/>
        <v>295.39432081951423</v>
      </c>
      <c r="V1076" t="str">
        <f t="shared" si="129"/>
        <v>2013/14Expenditure driversAllowanceAllowance</v>
      </c>
    </row>
    <row r="1077" spans="1:22">
      <c r="A1077" s="900" t="s">
        <v>136</v>
      </c>
      <c r="B1077" s="900"/>
      <c r="C1077" s="900" t="s">
        <v>1344</v>
      </c>
      <c r="D1077" t="s">
        <v>297</v>
      </c>
      <c r="E1077" t="s">
        <v>297</v>
      </c>
      <c r="F1077" t="s">
        <v>1289</v>
      </c>
      <c r="G1077">
        <v>314.72700255764647</v>
      </c>
      <c r="H1077">
        <v>231.02808821962205</v>
      </c>
      <c r="I1077">
        <v>307.56909763401455</v>
      </c>
      <c r="J1077">
        <v>359.74196300105166</v>
      </c>
      <c r="K1077">
        <v>358.68244458366445</v>
      </c>
      <c r="L1077">
        <v>171.533168920501</v>
      </c>
      <c r="M1077">
        <v>248.46729704623405</v>
      </c>
      <c r="N1077">
        <v>278.75079839693637</v>
      </c>
      <c r="O1077">
        <v>312.47277388827712</v>
      </c>
      <c r="P1077">
        <v>441.52339145425702</v>
      </c>
      <c r="Q1077">
        <v>272.20895125056563</v>
      </c>
      <c r="R1077">
        <v>318.78437256322746</v>
      </c>
      <c r="S1077">
        <v>167.96542408254948</v>
      </c>
      <c r="T1077">
        <v>395.93272680925998</v>
      </c>
      <c r="U1077">
        <f t="shared" si="137"/>
        <v>298.52767860055764</v>
      </c>
      <c r="V1077" t="str">
        <f t="shared" si="129"/>
        <v>2014/15Expenditure driversAllowanceAllowance</v>
      </c>
    </row>
    <row r="1078" spans="1:22">
      <c r="A1078" s="900" t="s">
        <v>137</v>
      </c>
      <c r="B1078" s="900"/>
      <c r="C1078" s="900" t="s">
        <v>1344</v>
      </c>
      <c r="D1078" t="s">
        <v>297</v>
      </c>
      <c r="E1078" t="s">
        <v>297</v>
      </c>
      <c r="F1078" t="s">
        <v>1289</v>
      </c>
      <c r="G1078">
        <v>301.88601380907079</v>
      </c>
      <c r="H1078">
        <v>233.00177265685323</v>
      </c>
      <c r="I1078">
        <v>307.36139767401318</v>
      </c>
      <c r="J1078">
        <v>331.21096045064183</v>
      </c>
      <c r="K1078">
        <v>362.5893268996</v>
      </c>
      <c r="L1078">
        <v>186.84444740452849</v>
      </c>
      <c r="M1078">
        <v>273.00086274751908</v>
      </c>
      <c r="N1078">
        <v>314.31612421155899</v>
      </c>
      <c r="O1078">
        <v>283.44528168253356</v>
      </c>
      <c r="P1078">
        <v>424.67304097533798</v>
      </c>
      <c r="Q1078">
        <v>260.80363292337768</v>
      </c>
      <c r="R1078">
        <v>300.51616552263738</v>
      </c>
      <c r="S1078">
        <v>205.1175413608012</v>
      </c>
      <c r="T1078">
        <v>391.09642872990474</v>
      </c>
      <c r="U1078">
        <f t="shared" si="137"/>
        <v>298.27592836059841</v>
      </c>
      <c r="V1078" t="str">
        <f t="shared" si="129"/>
        <v>2015/16Expenditure driversAllowanceAllowance</v>
      </c>
    </row>
    <row r="1079" spans="1:22">
      <c r="A1079" s="900" t="s">
        <v>138</v>
      </c>
      <c r="B1079" s="900"/>
      <c r="C1079" s="900" t="s">
        <v>1344</v>
      </c>
      <c r="D1079" t="s">
        <v>297</v>
      </c>
      <c r="E1079" t="s">
        <v>297</v>
      </c>
      <c r="F1079" s="900" t="s">
        <v>1289</v>
      </c>
      <c r="G1079">
        <v>288.51658294990392</v>
      </c>
      <c r="H1079">
        <v>228.86321811532517</v>
      </c>
      <c r="I1079">
        <v>289.80276310816424</v>
      </c>
      <c r="J1079">
        <v>332.3639492706414</v>
      </c>
      <c r="K1079">
        <v>355.09376556347485</v>
      </c>
      <c r="L1079">
        <v>188.52806218585917</v>
      </c>
      <c r="M1079">
        <v>273.80532842777177</v>
      </c>
      <c r="N1079">
        <v>308.45963593202862</v>
      </c>
      <c r="O1079">
        <v>310.54959183344243</v>
      </c>
      <c r="P1079">
        <v>438.62680559441645</v>
      </c>
      <c r="Q1079">
        <v>259.30687439251801</v>
      </c>
      <c r="R1079">
        <v>312.36542774722523</v>
      </c>
      <c r="S1079">
        <v>213.02007499490509</v>
      </c>
      <c r="T1079">
        <v>399.74627155084198</v>
      </c>
      <c r="U1079">
        <f t="shared" si="137"/>
        <v>299.93202511903701</v>
      </c>
      <c r="V1079" t="str">
        <f t="shared" si="129"/>
        <v>2016/17Expenditure driversAllowanceAllowance</v>
      </c>
    </row>
    <row r="1080" spans="1:22">
      <c r="A1080" s="900" t="s">
        <v>139</v>
      </c>
      <c r="B1080" s="900"/>
      <c r="C1080" s="900" t="s">
        <v>1344</v>
      </c>
      <c r="D1080" t="s">
        <v>297</v>
      </c>
      <c r="E1080" t="s">
        <v>297</v>
      </c>
      <c r="F1080" s="900" t="s">
        <v>1289</v>
      </c>
      <c r="G1080">
        <v>291.10831140305049</v>
      </c>
      <c r="H1080">
        <v>213.62488976306801</v>
      </c>
      <c r="I1080">
        <v>284.97058710949995</v>
      </c>
      <c r="J1080">
        <v>321.77650538573533</v>
      </c>
      <c r="K1080">
        <v>316.03412320842483</v>
      </c>
      <c r="L1080">
        <v>178.46476266408246</v>
      </c>
      <c r="M1080">
        <v>268.74440770410911</v>
      </c>
      <c r="N1080">
        <v>292.26301957358493</v>
      </c>
      <c r="O1080">
        <v>291.87876359120628</v>
      </c>
      <c r="P1080">
        <v>417.09810551842361</v>
      </c>
      <c r="Q1080">
        <v>265.30586436634763</v>
      </c>
      <c r="R1080">
        <v>286.32303980841573</v>
      </c>
      <c r="S1080">
        <v>211.13425364045096</v>
      </c>
      <c r="T1080">
        <v>386.72442349586055</v>
      </c>
      <c r="U1080">
        <f t="shared" si="137"/>
        <v>287.53221837373286</v>
      </c>
      <c r="V1080" t="str">
        <f t="shared" si="129"/>
        <v>2017/18Expenditure driversAllowanceAllowance</v>
      </c>
    </row>
    <row r="1081" spans="1:22">
      <c r="A1081" s="900" t="s">
        <v>140</v>
      </c>
      <c r="B1081" s="900"/>
      <c r="C1081" s="900" t="s">
        <v>1344</v>
      </c>
      <c r="D1081" t="s">
        <v>297</v>
      </c>
      <c r="E1081" t="s">
        <v>297</v>
      </c>
      <c r="F1081" s="900" t="s">
        <v>1289</v>
      </c>
      <c r="G1081">
        <v>294.06952713340007</v>
      </c>
      <c r="H1081">
        <v>210.53287527134188</v>
      </c>
      <c r="I1081">
        <v>287.6185623889163</v>
      </c>
      <c r="J1081">
        <v>327.56823781053487</v>
      </c>
      <c r="K1081">
        <v>322.28806784565512</v>
      </c>
      <c r="L1081">
        <v>189.95214992316625</v>
      </c>
      <c r="M1081">
        <v>272.53212590136781</v>
      </c>
      <c r="N1081">
        <v>280.56830164226773</v>
      </c>
      <c r="O1081">
        <v>276.63907788763214</v>
      </c>
      <c r="P1081">
        <v>415.28833249284997</v>
      </c>
      <c r="Q1081">
        <v>252.01987186796529</v>
      </c>
      <c r="R1081">
        <v>263.68644346843428</v>
      </c>
      <c r="S1081">
        <v>215.83254152787904</v>
      </c>
      <c r="T1081">
        <v>390.44854232367049</v>
      </c>
      <c r="U1081">
        <f t="shared" si="137"/>
        <v>285.6460469632201</v>
      </c>
      <c r="V1081" t="str">
        <f t="shared" si="129"/>
        <v>2018/19Expenditure driversAllowanceAllowance</v>
      </c>
    </row>
    <row r="1082" spans="1:22">
      <c r="A1082" s="900" t="s">
        <v>141</v>
      </c>
      <c r="B1082" s="900"/>
      <c r="C1082" s="900" t="s">
        <v>1344</v>
      </c>
      <c r="D1082" t="s">
        <v>297</v>
      </c>
      <c r="E1082" t="s">
        <v>297</v>
      </c>
      <c r="F1082" s="900" t="s">
        <v>1289</v>
      </c>
      <c r="G1082">
        <v>294.34130136111446</v>
      </c>
      <c r="H1082">
        <v>209.46013354972644</v>
      </c>
      <c r="I1082">
        <v>273.32585113967036</v>
      </c>
      <c r="J1082">
        <v>336.78272656456994</v>
      </c>
      <c r="K1082">
        <v>317.77804500738569</v>
      </c>
      <c r="L1082">
        <v>173.42945563217114</v>
      </c>
      <c r="M1082">
        <v>267.2388191438734</v>
      </c>
      <c r="N1082">
        <v>285.2616586810318</v>
      </c>
      <c r="O1082">
        <v>264.66117753843662</v>
      </c>
      <c r="P1082">
        <v>409.99414835926825</v>
      </c>
      <c r="Q1082">
        <v>243.23198975490428</v>
      </c>
      <c r="R1082">
        <v>262.58246759894166</v>
      </c>
      <c r="S1082">
        <v>222.0238761280938</v>
      </c>
      <c r="T1082">
        <v>349.20591355258347</v>
      </c>
      <c r="U1082">
        <f t="shared" si="137"/>
        <v>279.23696885798364</v>
      </c>
      <c r="V1082" t="str">
        <f t="shared" si="129"/>
        <v>2019/20Expenditure driversAllowanceAllowance</v>
      </c>
    </row>
    <row r="1083" spans="1:22">
      <c r="A1083" s="900" t="s">
        <v>126</v>
      </c>
      <c r="B1083" s="900"/>
      <c r="C1083" s="900" t="s">
        <v>1344</v>
      </c>
      <c r="D1083" t="s">
        <v>297</v>
      </c>
      <c r="E1083" t="s">
        <v>297</v>
      </c>
      <c r="F1083" s="900" t="s">
        <v>1289</v>
      </c>
      <c r="G1083">
        <v>300.81001952875249</v>
      </c>
      <c r="H1083">
        <v>194.21926461923726</v>
      </c>
      <c r="I1083">
        <v>260.05547196006773</v>
      </c>
      <c r="J1083">
        <v>334.64337806346697</v>
      </c>
      <c r="K1083">
        <v>326.65416427153343</v>
      </c>
      <c r="L1083">
        <v>157.69949267253946</v>
      </c>
      <c r="M1083">
        <v>266.66470090827983</v>
      </c>
      <c r="N1083">
        <v>271.13526634308317</v>
      </c>
      <c r="O1083">
        <v>256.04713759943581</v>
      </c>
      <c r="P1083">
        <v>390.4625957834582</v>
      </c>
      <c r="Q1083">
        <v>231.39160598089606</v>
      </c>
      <c r="R1083">
        <v>266.78196541563</v>
      </c>
      <c r="S1083">
        <v>206.18856493841639</v>
      </c>
      <c r="T1083">
        <v>358.28797987666235</v>
      </c>
      <c r="U1083">
        <f t="shared" si="137"/>
        <v>272.93154342581857</v>
      </c>
      <c r="V1083" t="str">
        <f t="shared" si="129"/>
        <v>2020/21Expenditure driversAllowanceAllowance</v>
      </c>
    </row>
    <row r="1084" spans="1:22">
      <c r="A1084" s="900" t="s">
        <v>142</v>
      </c>
      <c r="B1084" s="900"/>
      <c r="C1084" s="900" t="s">
        <v>1344</v>
      </c>
      <c r="D1084" t="s">
        <v>297</v>
      </c>
      <c r="E1084" t="s">
        <v>297</v>
      </c>
      <c r="F1084" s="900" t="s">
        <v>1289</v>
      </c>
      <c r="G1084">
        <v>314.25606927441413</v>
      </c>
      <c r="H1084">
        <v>181.79584768471167</v>
      </c>
      <c r="I1084">
        <v>247.78035809320502</v>
      </c>
      <c r="J1084">
        <v>333.71843367110824</v>
      </c>
      <c r="K1084">
        <v>345.31213598615403</v>
      </c>
      <c r="L1084">
        <v>153.42656264854818</v>
      </c>
      <c r="M1084">
        <v>267.88499090331271</v>
      </c>
      <c r="N1084">
        <v>255.39379269547783</v>
      </c>
      <c r="O1084">
        <v>258.05591658448037</v>
      </c>
      <c r="P1084">
        <v>393.19135711429618</v>
      </c>
      <c r="Q1084">
        <v>235.03445780538499</v>
      </c>
      <c r="R1084">
        <v>259.63119134170535</v>
      </c>
      <c r="S1084">
        <v>214.91525694149703</v>
      </c>
      <c r="T1084">
        <v>359.10706612265346</v>
      </c>
      <c r="U1084">
        <f t="shared" si="137"/>
        <v>272.82167406192497</v>
      </c>
      <c r="V1084" t="str">
        <f t="shared" si="129"/>
        <v>2021/22Expenditure driversAllowanceAllowance</v>
      </c>
    </row>
    <row r="1085" spans="1:22">
      <c r="A1085" s="900" t="s">
        <v>143</v>
      </c>
      <c r="B1085" s="900"/>
      <c r="C1085" s="900" t="s">
        <v>1344</v>
      </c>
      <c r="D1085" t="s">
        <v>297</v>
      </c>
      <c r="E1085" t="s">
        <v>297</v>
      </c>
      <c r="F1085" s="900" t="s">
        <v>1289</v>
      </c>
      <c r="G1085">
        <v>295.86294183904386</v>
      </c>
      <c r="H1085">
        <v>179.17295663649753</v>
      </c>
      <c r="I1085">
        <v>254.21623068092791</v>
      </c>
      <c r="J1085">
        <v>339.03842255087659</v>
      </c>
      <c r="K1085">
        <v>336.47941278217183</v>
      </c>
      <c r="L1085">
        <v>157.23752840661652</v>
      </c>
      <c r="M1085">
        <v>282.28107112607546</v>
      </c>
      <c r="N1085">
        <v>243.36364811516955</v>
      </c>
      <c r="O1085">
        <v>252.84615687225977</v>
      </c>
      <c r="P1085">
        <v>377.92314179754061</v>
      </c>
      <c r="Q1085">
        <v>238.40071153253376</v>
      </c>
      <c r="R1085">
        <v>244.86640217500832</v>
      </c>
      <c r="S1085">
        <v>209.50354763414174</v>
      </c>
      <c r="T1085">
        <v>351.66265125821042</v>
      </c>
      <c r="U1085">
        <f t="shared" si="137"/>
        <v>268.77534452907673</v>
      </c>
      <c r="V1085" t="str">
        <f t="shared" si="129"/>
        <v>2022/23Expenditure driversAllowanceAllowance</v>
      </c>
    </row>
    <row r="1086" spans="1:22">
      <c r="A1086" s="900" t="s">
        <v>720</v>
      </c>
      <c r="B1086" s="900"/>
      <c r="C1086" s="900" t="s">
        <v>1344</v>
      </c>
      <c r="D1086" t="s">
        <v>1345</v>
      </c>
      <c r="E1086" t="s">
        <v>1345</v>
      </c>
      <c r="F1086" s="900" t="s">
        <v>1289</v>
      </c>
      <c r="G1086">
        <f t="array" ref="G1086:T1103">TRANSPOSE('Ch4 expenditure drivers'!E95:V108)</f>
        <v>265.58386973043753</v>
      </c>
      <c r="H1086">
        <v>168.40976810305841</v>
      </c>
      <c r="I1086">
        <v>232.9150505077163</v>
      </c>
      <c r="J1086">
        <v>240.64098072663103</v>
      </c>
      <c r="K1086">
        <v>228.61121784635301</v>
      </c>
      <c r="L1086">
        <v>125.70532729342848</v>
      </c>
      <c r="M1086">
        <v>183.10027053901484</v>
      </c>
      <c r="N1086">
        <v>215.99941704286684</v>
      </c>
      <c r="O1086">
        <v>241.06012288761937</v>
      </c>
      <c r="P1086">
        <v>314.601360872518</v>
      </c>
      <c r="Q1086">
        <v>209.79092711381486</v>
      </c>
      <c r="R1086">
        <v>235.29378899813474</v>
      </c>
      <c r="S1086">
        <v>116.35337473304689</v>
      </c>
      <c r="T1086">
        <v>253.66753951779771</v>
      </c>
      <c r="U1086">
        <f t="shared" si="137"/>
        <v>216.5523582794599</v>
      </c>
      <c r="V1086" t="str">
        <f t="shared" si="129"/>
        <v>2005/06Expenditure driversActual/ForecastsActual/Forecasts</v>
      </c>
    </row>
    <row r="1087" spans="1:22">
      <c r="A1087" s="900" t="s">
        <v>721</v>
      </c>
      <c r="B1087" s="900"/>
      <c r="C1087" s="900" t="s">
        <v>1344</v>
      </c>
      <c r="D1087" t="s">
        <v>1345</v>
      </c>
      <c r="E1087" t="s">
        <v>1345</v>
      </c>
      <c r="F1087" s="900" t="s">
        <v>1289</v>
      </c>
      <c r="G1087">
        <v>251.69181918560309</v>
      </c>
      <c r="H1087">
        <v>173.81515256413886</v>
      </c>
      <c r="I1087">
        <v>206.12873269095979</v>
      </c>
      <c r="J1087">
        <v>307.46617458368968</v>
      </c>
      <c r="K1087">
        <v>280.6311047462379</v>
      </c>
      <c r="L1087">
        <v>130.86244132184473</v>
      </c>
      <c r="M1087">
        <v>191.52145549717716</v>
      </c>
      <c r="N1087">
        <v>241.65680636011345</v>
      </c>
      <c r="O1087">
        <v>194.96632463744953</v>
      </c>
      <c r="P1087">
        <v>345.6289014422116</v>
      </c>
      <c r="Q1087">
        <v>236.74740738163905</v>
      </c>
      <c r="R1087">
        <v>223.93955172328231</v>
      </c>
      <c r="S1087">
        <v>122.59837211471186</v>
      </c>
      <c r="T1087">
        <v>285.03290448863879</v>
      </c>
      <c r="U1087">
        <f t="shared" si="137"/>
        <v>228.04908205269274</v>
      </c>
      <c r="V1087" t="str">
        <f t="shared" si="129"/>
        <v>2006/07Expenditure driversActual/ForecastsActual/Forecasts</v>
      </c>
    </row>
    <row r="1088" spans="1:22">
      <c r="A1088" s="900" t="s">
        <v>722</v>
      </c>
      <c r="B1088" s="900"/>
      <c r="C1088" s="900" t="s">
        <v>1344</v>
      </c>
      <c r="D1088" t="s">
        <v>1345</v>
      </c>
      <c r="E1088" t="s">
        <v>1345</v>
      </c>
      <c r="F1088" s="900" t="s">
        <v>1289</v>
      </c>
      <c r="G1088">
        <v>275.1235375881455</v>
      </c>
      <c r="H1088">
        <v>188.0377511002321</v>
      </c>
      <c r="I1088">
        <v>223.3498860896419</v>
      </c>
      <c r="J1088">
        <v>324.28021828593643</v>
      </c>
      <c r="K1088">
        <v>310.60263763386536</v>
      </c>
      <c r="L1088">
        <v>136.91739425516425</v>
      </c>
      <c r="M1088">
        <v>190.99142175372188</v>
      </c>
      <c r="N1088">
        <v>256.72306404058963</v>
      </c>
      <c r="O1088">
        <v>239.27007247013699</v>
      </c>
      <c r="P1088">
        <v>428.26956238264535</v>
      </c>
      <c r="Q1088">
        <v>238.01610160892639</v>
      </c>
      <c r="R1088">
        <v>245.69619133649871</v>
      </c>
      <c r="S1088">
        <v>132.21306232148424</v>
      </c>
      <c r="T1088">
        <v>329.23680847825915</v>
      </c>
      <c r="U1088">
        <f t="shared" si="137"/>
        <v>251.33769352466055</v>
      </c>
      <c r="V1088" t="str">
        <f t="shared" si="129"/>
        <v>2007/08Expenditure driversActual/ForecastsActual/Forecasts</v>
      </c>
    </row>
    <row r="1089" spans="1:22">
      <c r="A1089" s="900" t="s">
        <v>723</v>
      </c>
      <c r="B1089" s="900"/>
      <c r="C1089" s="900" t="s">
        <v>1344</v>
      </c>
      <c r="D1089" t="s">
        <v>1345</v>
      </c>
      <c r="E1089" t="s">
        <v>1345</v>
      </c>
      <c r="F1089" s="900" t="s">
        <v>1289</v>
      </c>
      <c r="G1089">
        <v>287.32955658684608</v>
      </c>
      <c r="H1089">
        <v>185.20829161210258</v>
      </c>
      <c r="I1089">
        <v>237.56389254272278</v>
      </c>
      <c r="J1089">
        <v>363.84807383120335</v>
      </c>
      <c r="K1089">
        <v>347.10399001189887</v>
      </c>
      <c r="L1089">
        <v>130.65915291948244</v>
      </c>
      <c r="M1089">
        <v>194.33043408799568</v>
      </c>
      <c r="N1089">
        <v>273.31896770040993</v>
      </c>
      <c r="O1089">
        <v>302.2910489378329</v>
      </c>
      <c r="P1089">
        <v>488.52734163635421</v>
      </c>
      <c r="Q1089">
        <v>235.05815174652977</v>
      </c>
      <c r="R1089">
        <v>259.70359818053566</v>
      </c>
      <c r="S1089">
        <v>152.27563743092449</v>
      </c>
      <c r="T1089">
        <v>362.6912789526242</v>
      </c>
      <c r="U1089">
        <f t="shared" si="137"/>
        <v>272.85067258410453</v>
      </c>
      <c r="V1089" t="str">
        <f t="shared" si="129"/>
        <v>2008/09Expenditure driversActual/ForecastsActual/Forecasts</v>
      </c>
    </row>
    <row r="1090" spans="1:22">
      <c r="A1090" s="900" t="s">
        <v>131</v>
      </c>
      <c r="B1090" s="900"/>
      <c r="C1090" s="900" t="s">
        <v>1344</v>
      </c>
      <c r="D1090" t="s">
        <v>1345</v>
      </c>
      <c r="E1090" t="s">
        <v>1345</v>
      </c>
      <c r="F1090" s="900" t="s">
        <v>1289</v>
      </c>
      <c r="G1090">
        <v>271.11538756390792</v>
      </c>
      <c r="H1090">
        <v>177.20162988673144</v>
      </c>
      <c r="I1090">
        <v>254.7687261098153</v>
      </c>
      <c r="J1090">
        <v>336.52110934056486</v>
      </c>
      <c r="K1090">
        <v>308.34955028703843</v>
      </c>
      <c r="L1090">
        <v>135.22260880936537</v>
      </c>
      <c r="M1090">
        <v>208.75486869204386</v>
      </c>
      <c r="N1090">
        <v>267.38433430392342</v>
      </c>
      <c r="O1090">
        <v>350.07489851628679</v>
      </c>
      <c r="P1090">
        <v>537.59493217878787</v>
      </c>
      <c r="Q1090">
        <v>208.14038418452563</v>
      </c>
      <c r="R1090">
        <v>225.24390148399269</v>
      </c>
      <c r="S1090">
        <v>161.92954586435962</v>
      </c>
      <c r="T1090">
        <v>369.39785578248103</v>
      </c>
      <c r="U1090">
        <f t="shared" si="137"/>
        <v>272.26426664313033</v>
      </c>
      <c r="V1090" t="str">
        <f t="shared" si="129"/>
        <v>2009/10Expenditure driversActual/ForecastsActual/Forecasts</v>
      </c>
    </row>
    <row r="1091" spans="1:22">
      <c r="A1091" s="900" t="s">
        <v>132</v>
      </c>
      <c r="B1091" s="900"/>
      <c r="C1091" s="900" t="s">
        <v>1344</v>
      </c>
      <c r="D1091" t="s">
        <v>1345</v>
      </c>
      <c r="E1091" t="s">
        <v>1345</v>
      </c>
      <c r="F1091" s="900" t="s">
        <v>1289</v>
      </c>
      <c r="G1091">
        <v>275.83618042753625</v>
      </c>
      <c r="H1091">
        <v>156.99297493576123</v>
      </c>
      <c r="I1091">
        <v>217.84935106000279</v>
      </c>
      <c r="J1091">
        <v>296.46851398095271</v>
      </c>
      <c r="K1091">
        <v>277.25845428713552</v>
      </c>
      <c r="L1091">
        <v>148.21568486805913</v>
      </c>
      <c r="M1091">
        <v>209.08116866359148</v>
      </c>
      <c r="N1091">
        <v>258.25274269178641</v>
      </c>
      <c r="O1091">
        <v>310.28149685258603</v>
      </c>
      <c r="P1091">
        <v>461.30278834998234</v>
      </c>
      <c r="Q1091">
        <v>216.58175530350388</v>
      </c>
      <c r="R1091">
        <v>237.7557893749339</v>
      </c>
      <c r="S1091">
        <v>125.47028163814993</v>
      </c>
      <c r="T1091">
        <v>285.88189958361852</v>
      </c>
      <c r="U1091">
        <f t="shared" si="137"/>
        <v>248.37350585839999</v>
      </c>
      <c r="V1091" t="str">
        <f t="shared" si="129"/>
        <v>2010/11Expenditure driversActual/ForecastsActual/Forecasts</v>
      </c>
    </row>
    <row r="1092" spans="1:22">
      <c r="A1092" s="900" t="s">
        <v>133</v>
      </c>
      <c r="B1092" s="900"/>
      <c r="C1092" s="900" t="s">
        <v>1344</v>
      </c>
      <c r="D1092" t="s">
        <v>1345</v>
      </c>
      <c r="E1092" t="s">
        <v>1345</v>
      </c>
      <c r="F1092" s="900" t="s">
        <v>1289</v>
      </c>
      <c r="G1092">
        <v>302.75363923059962</v>
      </c>
      <c r="H1092">
        <v>158.66110132704645</v>
      </c>
      <c r="I1092">
        <v>229.4689142805976</v>
      </c>
      <c r="J1092">
        <v>361.13851856952539</v>
      </c>
      <c r="K1092">
        <v>332.32736485803514</v>
      </c>
      <c r="L1092">
        <v>146.46391527685677</v>
      </c>
      <c r="M1092">
        <v>210.97868303325382</v>
      </c>
      <c r="N1092">
        <v>229.39777407847623</v>
      </c>
      <c r="O1092">
        <v>277.97481438684247</v>
      </c>
      <c r="P1092">
        <v>403.0044506631549</v>
      </c>
      <c r="Q1092">
        <v>242.42040352390367</v>
      </c>
      <c r="R1092">
        <v>270.51904928026079</v>
      </c>
      <c r="S1092">
        <v>156.62933987991994</v>
      </c>
      <c r="T1092">
        <v>319.56989613005163</v>
      </c>
      <c r="U1092">
        <f t="shared" si="137"/>
        <v>260.09341889418033</v>
      </c>
      <c r="V1092" t="str">
        <f t="shared" si="129"/>
        <v>2011/12Expenditure driversActual/ForecastsActual/Forecasts</v>
      </c>
    </row>
    <row r="1093" spans="1:22">
      <c r="A1093" s="900" t="s">
        <v>134</v>
      </c>
      <c r="B1093" s="900"/>
      <c r="C1093" s="900" t="s">
        <v>1344</v>
      </c>
      <c r="D1093" t="s">
        <v>1345</v>
      </c>
      <c r="E1093" t="s">
        <v>1345</v>
      </c>
      <c r="F1093" s="900" t="s">
        <v>1289</v>
      </c>
      <c r="G1093">
        <v>300.96819304163159</v>
      </c>
      <c r="H1093">
        <v>221.09457991070266</v>
      </c>
      <c r="I1093">
        <v>291.0943699305617</v>
      </c>
      <c r="J1093">
        <v>340.69002240794651</v>
      </c>
      <c r="K1093">
        <v>381.56842213941655</v>
      </c>
      <c r="L1093">
        <v>168.80852321498102</v>
      </c>
      <c r="M1093">
        <v>222.42971572278955</v>
      </c>
      <c r="N1093">
        <v>258.42351969830548</v>
      </c>
      <c r="O1093">
        <v>269.52023428929664</v>
      </c>
      <c r="P1093">
        <v>392.86785386003021</v>
      </c>
      <c r="Q1093">
        <v>227.73385897038926</v>
      </c>
      <c r="R1093">
        <v>287.17788485161253</v>
      </c>
      <c r="S1093">
        <v>153.46845410524165</v>
      </c>
      <c r="T1093">
        <v>353.27862580157358</v>
      </c>
      <c r="U1093">
        <f t="shared" si="137"/>
        <v>276.36601842460561</v>
      </c>
      <c r="V1093" t="str">
        <f t="shared" si="129"/>
        <v>2012/13Expenditure driversActual/ForecastsActual/Forecasts</v>
      </c>
    </row>
    <row r="1094" spans="1:22">
      <c r="A1094" s="900" t="s">
        <v>135</v>
      </c>
      <c r="B1094" s="900"/>
      <c r="C1094" s="900" t="s">
        <v>1344</v>
      </c>
      <c r="D1094" t="s">
        <v>1345</v>
      </c>
      <c r="E1094" t="s">
        <v>1345</v>
      </c>
      <c r="F1094" s="900" t="s">
        <v>1289</v>
      </c>
      <c r="G1094">
        <v>310.91169028089132</v>
      </c>
      <c r="H1094">
        <v>252.90972215896375</v>
      </c>
      <c r="I1094">
        <v>297.35735372069769</v>
      </c>
      <c r="J1094">
        <v>406.21815119351879</v>
      </c>
      <c r="K1094">
        <v>411.98448881738335</v>
      </c>
      <c r="L1094">
        <v>164.72117365065367</v>
      </c>
      <c r="M1094">
        <v>244.02794019314817</v>
      </c>
      <c r="N1094">
        <v>276.22279732416894</v>
      </c>
      <c r="O1094">
        <v>285.9144756065981</v>
      </c>
      <c r="P1094">
        <v>451.57986182998934</v>
      </c>
      <c r="Q1094">
        <v>260.05079879542302</v>
      </c>
      <c r="R1094">
        <v>319.00347103499809</v>
      </c>
      <c r="S1094">
        <v>146.34730082010441</v>
      </c>
      <c r="T1094">
        <v>391.72211039463025</v>
      </c>
      <c r="U1094">
        <f t="shared" si="137"/>
        <v>301.35509541579773</v>
      </c>
      <c r="V1094" t="str">
        <f t="shared" si="129"/>
        <v>2013/14Expenditure driversActual/ForecastsActual/Forecasts</v>
      </c>
    </row>
    <row r="1095" spans="1:22">
      <c r="A1095" s="900" t="s">
        <v>136</v>
      </c>
      <c r="B1095" s="900"/>
      <c r="C1095" s="900" t="s">
        <v>1344</v>
      </c>
      <c r="D1095" t="s">
        <v>1345</v>
      </c>
      <c r="E1095" t="s">
        <v>1345</v>
      </c>
      <c r="F1095" s="900" t="s">
        <v>1289</v>
      </c>
      <c r="G1095">
        <v>328.49699361282978</v>
      </c>
      <c r="H1095">
        <v>264.82926537636922</v>
      </c>
      <c r="I1095">
        <v>344.42040126466389</v>
      </c>
      <c r="J1095">
        <v>403.47392420453224</v>
      </c>
      <c r="K1095">
        <v>448.36552815671678</v>
      </c>
      <c r="L1095">
        <v>170.65325198876366</v>
      </c>
      <c r="M1095">
        <v>228.72350303934675</v>
      </c>
      <c r="N1095">
        <v>265.45856657792933</v>
      </c>
      <c r="O1095">
        <v>234.96308778554493</v>
      </c>
      <c r="P1095">
        <v>439.80465242448332</v>
      </c>
      <c r="Q1095">
        <v>266.40912511490393</v>
      </c>
      <c r="R1095">
        <v>354.98584992677695</v>
      </c>
      <c r="S1095">
        <v>156.83874456074216</v>
      </c>
      <c r="T1095">
        <v>368.48130794730923</v>
      </c>
      <c r="U1095">
        <f t="shared" si="137"/>
        <v>305.42172871292229</v>
      </c>
      <c r="V1095" t="str">
        <f t="shared" si="129"/>
        <v>2014/15Expenditure driversActual/ForecastsActual/Forecasts</v>
      </c>
    </row>
    <row r="1096" spans="1:22">
      <c r="A1096" s="900" t="s">
        <v>137</v>
      </c>
      <c r="B1096" s="900"/>
      <c r="C1096" s="900" t="s">
        <v>1344</v>
      </c>
      <c r="D1096" t="s">
        <v>1345</v>
      </c>
      <c r="E1096" t="s">
        <v>1345</v>
      </c>
      <c r="F1096" s="900" t="s">
        <v>1289</v>
      </c>
      <c r="G1096">
        <v>293.15141527205401</v>
      </c>
      <c r="H1096">
        <v>226.15238928983541</v>
      </c>
      <c r="I1096">
        <v>299.2844256351504</v>
      </c>
      <c r="J1096">
        <v>374.02107204480541</v>
      </c>
      <c r="K1096">
        <v>369.2946866944452</v>
      </c>
      <c r="L1096">
        <v>170.30759070203095</v>
      </c>
      <c r="M1096">
        <v>267.63884168783466</v>
      </c>
      <c r="N1096">
        <v>226.72122338777444</v>
      </c>
      <c r="O1096">
        <v>207.45004016973718</v>
      </c>
      <c r="P1096">
        <v>336.88757074038131</v>
      </c>
      <c r="Q1096">
        <v>231.4446669321344</v>
      </c>
      <c r="R1096">
        <v>287.99013787455635</v>
      </c>
      <c r="S1096">
        <v>181.49509966876869</v>
      </c>
      <c r="T1096">
        <v>336.80004872259315</v>
      </c>
      <c r="U1096">
        <f t="shared" si="137"/>
        <v>272.04565777300724</v>
      </c>
      <c r="V1096" t="str">
        <f t="shared" ref="V1096:V1164" si="138">CONCATENATE(A1096,B1096,C1096,D1096,E1096)</f>
        <v>2015/16Expenditure driversActual/ForecastsActual/Forecasts</v>
      </c>
    </row>
    <row r="1097" spans="1:22">
      <c r="A1097" s="900" t="s">
        <v>138</v>
      </c>
      <c r="B1097" s="900"/>
      <c r="C1097" s="900" t="s">
        <v>1344</v>
      </c>
      <c r="D1097" t="s">
        <v>1345</v>
      </c>
      <c r="E1097" t="s">
        <v>1345</v>
      </c>
      <c r="F1097" t="s">
        <v>1289</v>
      </c>
      <c r="G1097">
        <v>248.47412178639323</v>
      </c>
      <c r="H1097">
        <v>221.47358479840949</v>
      </c>
      <c r="I1097">
        <v>258.10647031489032</v>
      </c>
      <c r="J1097">
        <v>376.6741186179205</v>
      </c>
      <c r="K1097">
        <v>372.67227109120256</v>
      </c>
      <c r="L1097">
        <v>177.0454404095218</v>
      </c>
      <c r="M1097">
        <v>306.54274173182586</v>
      </c>
      <c r="N1097">
        <v>244.24287500244972</v>
      </c>
      <c r="O1097">
        <v>242.0128968306025</v>
      </c>
      <c r="P1097">
        <v>365.34277472478607</v>
      </c>
      <c r="Q1097">
        <v>249.56083905698566</v>
      </c>
      <c r="R1097">
        <v>301.3202663174834</v>
      </c>
      <c r="S1097">
        <v>204.24379206833942</v>
      </c>
      <c r="T1097">
        <v>361.8694195400434</v>
      </c>
      <c r="U1097">
        <f t="shared" si="137"/>
        <v>280.68440087791816</v>
      </c>
      <c r="V1097" t="str">
        <f t="shared" si="138"/>
        <v>2016/17Expenditure driversActual/ForecastsActual/Forecasts</v>
      </c>
    </row>
    <row r="1098" spans="1:22">
      <c r="A1098" s="900" t="s">
        <v>139</v>
      </c>
      <c r="B1098" s="900"/>
      <c r="C1098" s="900" t="s">
        <v>1344</v>
      </c>
      <c r="D1098" t="s">
        <v>1345</v>
      </c>
      <c r="E1098" t="s">
        <v>1345</v>
      </c>
      <c r="F1098" t="s">
        <v>1289</v>
      </c>
      <c r="G1098">
        <v>288.19413832001067</v>
      </c>
      <c r="H1098">
        <v>200.03702720418096</v>
      </c>
      <c r="I1098">
        <v>250.16925848601696</v>
      </c>
      <c r="J1098">
        <v>318.39139237344847</v>
      </c>
      <c r="K1098">
        <v>323.91397488687119</v>
      </c>
      <c r="L1098">
        <v>155.657551243325</v>
      </c>
      <c r="M1098">
        <v>264.4095970884805</v>
      </c>
      <c r="N1098">
        <v>266.1180894087567</v>
      </c>
      <c r="O1098">
        <v>242.4371991794178</v>
      </c>
      <c r="P1098">
        <v>391.13391382207044</v>
      </c>
      <c r="Q1098">
        <v>254.08786346571719</v>
      </c>
      <c r="R1098">
        <v>306.10397105291844</v>
      </c>
      <c r="S1098">
        <v>193.47732494101973</v>
      </c>
      <c r="T1098">
        <v>407.08659053855689</v>
      </c>
      <c r="U1098">
        <f t="shared" si="137"/>
        <v>275.80127800077076</v>
      </c>
      <c r="V1098" t="str">
        <f t="shared" si="138"/>
        <v>2017/18Expenditure driversActual/ForecastsActual/Forecasts</v>
      </c>
    </row>
    <row r="1099" spans="1:22">
      <c r="A1099" s="900" t="s">
        <v>140</v>
      </c>
      <c r="B1099" s="900"/>
      <c r="C1099" s="900" t="s">
        <v>1344</v>
      </c>
      <c r="D1099" t="s">
        <v>1345</v>
      </c>
      <c r="E1099" t="s">
        <v>1345</v>
      </c>
      <c r="F1099" t="s">
        <v>1289</v>
      </c>
      <c r="G1099">
        <v>295.90136826950197</v>
      </c>
      <c r="H1099">
        <v>205.38342691430461</v>
      </c>
      <c r="I1099">
        <v>263.18008329283123</v>
      </c>
      <c r="J1099">
        <v>287.81445035226687</v>
      </c>
      <c r="K1099">
        <v>292.33737155392714</v>
      </c>
      <c r="L1099">
        <v>162.45492534979596</v>
      </c>
      <c r="M1099">
        <v>243.91078011422192</v>
      </c>
      <c r="N1099">
        <v>251.05159275631792</v>
      </c>
      <c r="O1099">
        <v>249.9843488728965</v>
      </c>
      <c r="P1099">
        <v>374.47990408755402</v>
      </c>
      <c r="Q1099">
        <v>280.22737336517099</v>
      </c>
      <c r="R1099">
        <v>319.48398921620293</v>
      </c>
      <c r="S1099">
        <v>208.7896619284025</v>
      </c>
      <c r="T1099">
        <v>380.88083590800142</v>
      </c>
      <c r="U1099">
        <f t="shared" si="137"/>
        <v>272.56286514152828</v>
      </c>
      <c r="V1099" t="str">
        <f t="shared" si="138"/>
        <v>2018/19Expenditure driversActual/ForecastsActual/Forecasts</v>
      </c>
    </row>
    <row r="1100" spans="1:22">
      <c r="A1100" s="900" t="s">
        <v>141</v>
      </c>
      <c r="B1100" s="900"/>
      <c r="C1100" s="900" t="s">
        <v>1344</v>
      </c>
      <c r="D1100" t="s">
        <v>1345</v>
      </c>
      <c r="E1100" t="s">
        <v>1345</v>
      </c>
      <c r="F1100" t="s">
        <v>1289</v>
      </c>
      <c r="G1100">
        <v>270.47184557614565</v>
      </c>
      <c r="H1100">
        <v>230.59991225873071</v>
      </c>
      <c r="I1100">
        <v>288.35221241254862</v>
      </c>
      <c r="J1100">
        <v>287.89198339516162</v>
      </c>
      <c r="K1100">
        <v>312.79054049380341</v>
      </c>
      <c r="L1100">
        <v>153.57912442301975</v>
      </c>
      <c r="M1100">
        <v>259.79524837008967</v>
      </c>
      <c r="N1100">
        <v>251.27105200931155</v>
      </c>
      <c r="O1100">
        <v>243.00691232756611</v>
      </c>
      <c r="P1100">
        <v>389.03268385463645</v>
      </c>
      <c r="Q1100">
        <v>269.49313894602204</v>
      </c>
      <c r="R1100">
        <v>291.51071288244032</v>
      </c>
      <c r="S1100">
        <v>216.268557396744</v>
      </c>
      <c r="T1100">
        <v>415.00212925872523</v>
      </c>
      <c r="U1100">
        <f t="shared" si="137"/>
        <v>277.07614668606755</v>
      </c>
      <c r="V1100" t="str">
        <f t="shared" si="138"/>
        <v>2019/20Expenditure driversActual/ForecastsActual/Forecasts</v>
      </c>
    </row>
    <row r="1101" spans="1:22">
      <c r="A1101" s="900" t="s">
        <v>126</v>
      </c>
      <c r="B1101" s="900"/>
      <c r="C1101" s="900" t="s">
        <v>1344</v>
      </c>
      <c r="D1101" t="s">
        <v>1345</v>
      </c>
      <c r="E1101" t="s">
        <v>1345</v>
      </c>
      <c r="F1101" t="s">
        <v>1289</v>
      </c>
      <c r="G1101">
        <v>256.55740047971778</v>
      </c>
      <c r="H1101">
        <v>225.71869044544928</v>
      </c>
      <c r="I1101">
        <v>281.0707410696599</v>
      </c>
      <c r="J1101">
        <v>334.58968982767607</v>
      </c>
      <c r="K1101">
        <v>323.37142246751006</v>
      </c>
      <c r="L1101">
        <v>177.45824348966934</v>
      </c>
      <c r="M1101">
        <v>249.82921185392854</v>
      </c>
      <c r="N1101">
        <v>247.58180233726867</v>
      </c>
      <c r="O1101">
        <v>233.65227919268472</v>
      </c>
      <c r="P1101">
        <v>382.11797715314435</v>
      </c>
      <c r="Q1101">
        <v>264.02621258900734</v>
      </c>
      <c r="R1101">
        <v>264.13226618957009</v>
      </c>
      <c r="S1101">
        <v>239.73608010053192</v>
      </c>
      <c r="T1101">
        <v>402.73731561488501</v>
      </c>
      <c r="U1101">
        <f t="shared" si="137"/>
        <v>277.32709520076446</v>
      </c>
      <c r="V1101" t="str">
        <f t="shared" si="138"/>
        <v>2020/21Expenditure driversActual/ForecastsActual/Forecasts</v>
      </c>
    </row>
    <row r="1102" spans="1:22">
      <c r="A1102" s="900" t="s">
        <v>142</v>
      </c>
      <c r="B1102" s="900"/>
      <c r="C1102" s="900" t="s">
        <v>1344</v>
      </c>
      <c r="D1102" t="s">
        <v>1345</v>
      </c>
      <c r="E1102" t="s">
        <v>1345</v>
      </c>
      <c r="F1102" t="s">
        <v>1289</v>
      </c>
      <c r="G1102">
        <v>264.2157086948414</v>
      </c>
      <c r="H1102">
        <v>204.74443755041312</v>
      </c>
      <c r="I1102">
        <v>278.47617745706378</v>
      </c>
      <c r="J1102">
        <v>349.4748775023474</v>
      </c>
      <c r="K1102">
        <v>317.80340000417578</v>
      </c>
      <c r="L1102">
        <v>166.79459154369209</v>
      </c>
      <c r="M1102">
        <v>238.37711022269144</v>
      </c>
      <c r="N1102">
        <v>253.58585868941918</v>
      </c>
      <c r="O1102">
        <v>238.59250839622717</v>
      </c>
      <c r="P1102">
        <v>382.8101396446728</v>
      </c>
      <c r="Q1102">
        <v>242.90577148796288</v>
      </c>
      <c r="R1102">
        <v>266.02569500649952</v>
      </c>
      <c r="S1102">
        <v>274.8996643528647</v>
      </c>
      <c r="T1102">
        <v>365.26276604256975</v>
      </c>
      <c r="U1102">
        <f t="shared" si="137"/>
        <v>274.56919332824577</v>
      </c>
      <c r="V1102" t="str">
        <f t="shared" si="138"/>
        <v>2021/22Expenditure driversActual/ForecastsActual/Forecasts</v>
      </c>
    </row>
    <row r="1103" spans="1:22">
      <c r="A1103" s="900" t="s">
        <v>143</v>
      </c>
      <c r="B1103" s="900"/>
      <c r="C1103" s="900" t="s">
        <v>1344</v>
      </c>
      <c r="D1103" t="s">
        <v>1345</v>
      </c>
      <c r="E1103" t="s">
        <v>1345</v>
      </c>
      <c r="F1103" t="s">
        <v>1289</v>
      </c>
      <c r="G1103">
        <v>294.23611058907574</v>
      </c>
      <c r="H1103">
        <v>142.67472672030672</v>
      </c>
      <c r="I1103">
        <v>295.47755315648016</v>
      </c>
      <c r="J1103">
        <v>347.26968230662237</v>
      </c>
      <c r="K1103">
        <v>344.72161878944814</v>
      </c>
      <c r="L1103">
        <v>179.2264925397501</v>
      </c>
      <c r="M1103">
        <v>303.81671922864359</v>
      </c>
      <c r="N1103">
        <v>220.14775965423439</v>
      </c>
      <c r="O1103">
        <v>232.52733106345406</v>
      </c>
      <c r="P1103">
        <v>389.2994247964275</v>
      </c>
      <c r="Q1103">
        <v>257.56573132147639</v>
      </c>
      <c r="R1103">
        <v>279.52658168002745</v>
      </c>
      <c r="S1103">
        <v>252.81047946708466</v>
      </c>
      <c r="T1103">
        <v>396.69397199351477</v>
      </c>
      <c r="U1103">
        <f t="shared" si="137"/>
        <v>281.14244166475333</v>
      </c>
      <c r="V1103" t="str">
        <f t="shared" si="138"/>
        <v>2022/23Expenditure driversActual/ForecastsActual/Forecasts</v>
      </c>
    </row>
    <row r="1104" spans="1:22">
      <c r="A1104" s="900" t="s">
        <v>1006</v>
      </c>
      <c r="B1104" s="900"/>
      <c r="C1104" s="900" t="s">
        <v>1344</v>
      </c>
      <c r="D1104" t="s">
        <v>727</v>
      </c>
      <c r="E1104" t="s">
        <v>297</v>
      </c>
      <c r="F1104" s="900" t="s">
        <v>1289</v>
      </c>
      <c r="G1104">
        <f t="array" ref="G1104:T1111">TRANSPOSE('Ch4 expenditure drivers'!E117:L130)</f>
        <v>2084.9878254597065</v>
      </c>
      <c r="H1104">
        <v>1471.4980016602635</v>
      </c>
      <c r="I1104">
        <v>1950.9149914735367</v>
      </c>
      <c r="J1104">
        <v>2318.0641912166984</v>
      </c>
      <c r="K1104">
        <v>2345.7496287822278</v>
      </c>
      <c r="L1104">
        <v>1228.3449331308952</v>
      </c>
      <c r="M1104">
        <v>1889.8712357362338</v>
      </c>
      <c r="N1104">
        <v>2007.3977990790331</v>
      </c>
      <c r="O1104">
        <v>1941.2769467171672</v>
      </c>
      <c r="P1104">
        <v>2889.3343858380508</v>
      </c>
      <c r="Q1104">
        <v>1747.0942970913941</v>
      </c>
      <c r="R1104">
        <v>1951.8867009029896</v>
      </c>
      <c r="S1104">
        <v>1488.2321095320438</v>
      </c>
      <c r="T1104">
        <v>2634.6166256521774</v>
      </c>
      <c r="U1104">
        <f t="shared" si="137"/>
        <v>1996.3764051623152</v>
      </c>
      <c r="V1104" t="str">
        <f t="shared" si="138"/>
        <v>CumulativeExpenditure driversAllowances vs ExpenditureAllowance</v>
      </c>
    </row>
    <row r="1105" spans="1:22">
      <c r="A1105" s="900" t="s">
        <v>1006</v>
      </c>
      <c r="B1105" s="900"/>
      <c r="C1105" s="900" t="s">
        <v>1344</v>
      </c>
      <c r="D1105" t="s">
        <v>727</v>
      </c>
      <c r="E1105" t="s">
        <v>298</v>
      </c>
      <c r="F1105" t="s">
        <v>1289</v>
      </c>
      <c r="G1105">
        <v>1916.9659983986649</v>
      </c>
      <c r="H1105">
        <v>1514.1094684613236</v>
      </c>
      <c r="I1105">
        <v>1918.6393686681613</v>
      </c>
      <c r="J1105">
        <v>2328.8575841136262</v>
      </c>
      <c r="K1105">
        <v>2312.1836671919355</v>
      </c>
      <c r="L1105">
        <v>1163.297467161055</v>
      </c>
      <c r="M1105">
        <v>1830.5035310690728</v>
      </c>
      <c r="N1105">
        <v>1740.5724935912981</v>
      </c>
      <c r="O1105">
        <v>1657.136184969132</v>
      </c>
      <c r="P1105">
        <v>2621.8049640272457</v>
      </c>
      <c r="Q1105">
        <v>1791.7458658430007</v>
      </c>
      <c r="R1105">
        <v>2036.5670385396711</v>
      </c>
      <c r="S1105">
        <v>1518.910180456671</v>
      </c>
      <c r="T1105">
        <v>2669.6391056253747</v>
      </c>
      <c r="U1105">
        <f t="shared" si="137"/>
        <v>1930.0666370083022</v>
      </c>
      <c r="V1105" t="str">
        <f t="shared" si="138"/>
        <v>CumulativeExpenditure driversAllowances vs ExpenditureActual</v>
      </c>
    </row>
    <row r="1106" spans="1:22">
      <c r="A1106" s="900" t="s">
        <v>1006</v>
      </c>
      <c r="B1106" s="900"/>
      <c r="C1106" s="900" t="s">
        <v>1344</v>
      </c>
      <c r="D1106" t="s">
        <v>727</v>
      </c>
      <c r="E1106" t="s">
        <v>602</v>
      </c>
      <c r="F1106" t="s">
        <v>1289</v>
      </c>
      <c r="G1106">
        <v>-168.02182706104168</v>
      </c>
      <c r="H1106">
        <v>42.611466801060033</v>
      </c>
      <c r="I1106">
        <v>-32.275622805375406</v>
      </c>
      <c r="J1106">
        <v>10.793392896927799</v>
      </c>
      <c r="K1106">
        <v>-33.565961590292318</v>
      </c>
      <c r="L1106">
        <v>-65.047465969840232</v>
      </c>
      <c r="M1106">
        <v>-59.367704667160979</v>
      </c>
      <c r="N1106">
        <v>-266.82530548773502</v>
      </c>
      <c r="O1106">
        <v>-284.14076174803517</v>
      </c>
      <c r="P1106">
        <v>-267.52942181080516</v>
      </c>
      <c r="Q1106">
        <v>44.651568751606646</v>
      </c>
      <c r="R1106">
        <v>84.680337636681543</v>
      </c>
      <c r="S1106">
        <v>30.678070924627264</v>
      </c>
      <c r="T1106">
        <v>35.022479973197278</v>
      </c>
      <c r="U1106">
        <f>U1105-U1104</f>
        <v>-66.309768154013</v>
      </c>
      <c r="V1106" t="str">
        <f t="shared" si="138"/>
        <v>CumulativeExpenditure driversAllowances vs ExpenditureDifference</v>
      </c>
    </row>
    <row r="1107" spans="1:22">
      <c r="A1107" s="900" t="s">
        <v>1006</v>
      </c>
      <c r="B1107" s="900"/>
      <c r="C1107" s="900" t="s">
        <v>1344</v>
      </c>
      <c r="D1107" t="s">
        <v>727</v>
      </c>
      <c r="E1107" t="s">
        <v>1346</v>
      </c>
      <c r="F1107" s="900" t="s">
        <v>606</v>
      </c>
      <c r="G1107" s="829">
        <v>-8.0586478735910863E-2</v>
      </c>
      <c r="H1107" s="829">
        <v>2.8957882887358538E-2</v>
      </c>
      <c r="I1107" s="829">
        <v>-1.6543838632865009E-2</v>
      </c>
      <c r="J1107" s="829">
        <v>4.6562096674564457E-3</v>
      </c>
      <c r="K1107" s="829">
        <v>-1.4309268635680333E-2</v>
      </c>
      <c r="L1107" s="829">
        <v>-5.2955374516865147E-2</v>
      </c>
      <c r="M1107" s="829">
        <v>-3.1413624137219702E-2</v>
      </c>
      <c r="N1107" s="829">
        <v>-0.13292099135017027</v>
      </c>
      <c r="O1107" s="829">
        <v>-0.14636796786184306</v>
      </c>
      <c r="P1107" s="829">
        <v>-9.2592059652939165E-2</v>
      </c>
      <c r="Q1107" s="829">
        <v>2.5557618055272509E-2</v>
      </c>
      <c r="R1107" s="829">
        <v>4.3383838620093262E-2</v>
      </c>
      <c r="S1107" s="829">
        <v>2.0613767656359468E-2</v>
      </c>
      <c r="T1107" s="829">
        <v>1.3293197815650979E-2</v>
      </c>
      <c r="U1107" s="829">
        <f>U1106/U1104</f>
        <v>-3.3215063042493574E-2</v>
      </c>
      <c r="V1107" t="str">
        <f t="shared" si="138"/>
        <v>CumulativeExpenditure driversAllowances vs ExpenditureDifference %</v>
      </c>
    </row>
    <row r="1108" spans="1:22">
      <c r="A1108" s="900" t="s">
        <v>719</v>
      </c>
      <c r="B1108" s="900"/>
      <c r="C1108" s="900" t="s">
        <v>1344</v>
      </c>
      <c r="D1108" t="s">
        <v>727</v>
      </c>
      <c r="E1108" t="s">
        <v>297</v>
      </c>
      <c r="F1108" t="s">
        <v>1289</v>
      </c>
      <c r="G1108">
        <v>2380.8507672987503</v>
      </c>
      <c r="H1108">
        <v>1650.670958296761</v>
      </c>
      <c r="I1108">
        <v>2205.1312221544645</v>
      </c>
      <c r="J1108">
        <v>2657.1026137675749</v>
      </c>
      <c r="K1108">
        <v>2682.2290415643997</v>
      </c>
      <c r="L1108">
        <v>1385.5824615375118</v>
      </c>
      <c r="M1108">
        <v>2172.1523068623092</v>
      </c>
      <c r="N1108">
        <v>2250.7614471942024</v>
      </c>
      <c r="O1108">
        <v>2194.123103589427</v>
      </c>
      <c r="P1108">
        <v>3267.2575276355915</v>
      </c>
      <c r="Q1108">
        <v>1985.4950086239278</v>
      </c>
      <c r="R1108">
        <v>2196.7531030779978</v>
      </c>
      <c r="S1108">
        <v>1697.7356571661855</v>
      </c>
      <c r="T1108">
        <v>2986.279276910388</v>
      </c>
      <c r="U1108">
        <f>AVERAGE(G1108:T1108)</f>
        <v>2265.1517496913921</v>
      </c>
      <c r="V1108" t="str">
        <f t="shared" si="138"/>
        <v>ED1Expenditure driversAllowances vs ExpenditureAllowance</v>
      </c>
    </row>
    <row r="1109" spans="1:22">
      <c r="A1109" s="900" t="s">
        <v>719</v>
      </c>
      <c r="B1109" s="900"/>
      <c r="C1109" s="900" t="s">
        <v>1344</v>
      </c>
      <c r="D1109" t="s">
        <v>727</v>
      </c>
      <c r="E1109" t="s">
        <v>298</v>
      </c>
      <c r="F1109" t="s">
        <v>1289</v>
      </c>
      <c r="G1109">
        <v>2211.2021089877408</v>
      </c>
      <c r="H1109">
        <v>1656.7841951816304</v>
      </c>
      <c r="I1109">
        <v>2214.1169218246414</v>
      </c>
      <c r="J1109">
        <v>2676.1272664202488</v>
      </c>
      <c r="K1109">
        <v>2656.9052859813837</v>
      </c>
      <c r="L1109">
        <v>1342.5239597008051</v>
      </c>
      <c r="M1109">
        <v>2134.3202502977165</v>
      </c>
      <c r="N1109">
        <v>1960.7202532455326</v>
      </c>
      <c r="O1109">
        <v>1889.6635160325861</v>
      </c>
      <c r="P1109">
        <v>3011.1043888236732</v>
      </c>
      <c r="Q1109">
        <v>2049.311597164477</v>
      </c>
      <c r="R1109">
        <v>2316.0936202196986</v>
      </c>
      <c r="S1109">
        <v>1771.7206599237556</v>
      </c>
      <c r="T1109">
        <v>3066.3330776188895</v>
      </c>
      <c r="U1109">
        <f>AVERAGE(G1109:T1109)</f>
        <v>2211.2090786730555</v>
      </c>
      <c r="V1109" t="str">
        <f t="shared" si="138"/>
        <v>ED1Expenditure driversAllowances vs ExpenditureActual</v>
      </c>
    </row>
    <row r="1110" spans="1:22">
      <c r="A1110" s="900" t="s">
        <v>719</v>
      </c>
      <c r="B1110" s="900"/>
      <c r="C1110" s="900" t="s">
        <v>1344</v>
      </c>
      <c r="D1110" t="s">
        <v>727</v>
      </c>
      <c r="E1110" t="s">
        <v>602</v>
      </c>
      <c r="F1110" t="s">
        <v>1289</v>
      </c>
      <c r="G1110">
        <v>-169.64865831100951</v>
      </c>
      <c r="H1110">
        <v>6.1132368848693659</v>
      </c>
      <c r="I1110">
        <v>8.9856996701769276</v>
      </c>
      <c r="J1110">
        <v>19.024652652673922</v>
      </c>
      <c r="K1110">
        <v>-25.323755583016009</v>
      </c>
      <c r="L1110">
        <v>-43.058501836706682</v>
      </c>
      <c r="M1110">
        <v>-37.832056564592676</v>
      </c>
      <c r="N1110">
        <v>-290.04119394866984</v>
      </c>
      <c r="O1110">
        <v>-304.45958755684092</v>
      </c>
      <c r="P1110">
        <v>-256.15313881191832</v>
      </c>
      <c r="Q1110">
        <v>63.816588540549219</v>
      </c>
      <c r="R1110">
        <v>119.34051714170073</v>
      </c>
      <c r="S1110">
        <v>73.985002757570101</v>
      </c>
      <c r="T1110">
        <v>80.053800708501512</v>
      </c>
      <c r="U1110">
        <f>U1109-U1108</f>
        <v>-53.942671018336569</v>
      </c>
      <c r="V1110" t="str">
        <f t="shared" si="138"/>
        <v>ED1Expenditure driversAllowances vs ExpenditureDifference</v>
      </c>
    </row>
    <row r="1111" spans="1:22">
      <c r="A1111" s="900" t="s">
        <v>719</v>
      </c>
      <c r="B1111" s="900"/>
      <c r="C1111" s="900" t="s">
        <v>1344</v>
      </c>
      <c r="D1111" t="s">
        <v>727</v>
      </c>
      <c r="E1111" t="s">
        <v>1346</v>
      </c>
      <c r="F1111" t="s">
        <v>606</v>
      </c>
      <c r="G1111" s="829">
        <v>-7.1255477512976742E-2</v>
      </c>
      <c r="H1111" s="829">
        <v>3.7034860607090877E-3</v>
      </c>
      <c r="I1111" s="829">
        <v>4.0749047403164018E-3</v>
      </c>
      <c r="J1111" s="829">
        <v>7.1599239540464611E-3</v>
      </c>
      <c r="K1111" s="829">
        <v>-9.4413098921060177E-3</v>
      </c>
      <c r="L1111" s="829">
        <v>-3.1076101951324361E-2</v>
      </c>
      <c r="M1111" s="829">
        <v>-1.7416852605166244E-2</v>
      </c>
      <c r="N1111" s="829">
        <v>-0.12886358716968205</v>
      </c>
      <c r="O1111" s="829">
        <v>-0.13876139723371356</v>
      </c>
      <c r="P1111" s="829">
        <v>-7.8400045495430559E-2</v>
      </c>
      <c r="Q1111" s="829">
        <v>3.214139963251688E-2</v>
      </c>
      <c r="R1111" s="829">
        <v>5.4325867105632322E-2</v>
      </c>
      <c r="S1111" s="829">
        <v>4.3578635133966537E-2</v>
      </c>
      <c r="T1111" s="829">
        <v>2.6807204981620262E-2</v>
      </c>
      <c r="U1111" s="829">
        <f>U1110/U1108</f>
        <v>-2.3814153301510949E-2</v>
      </c>
      <c r="V1111" t="str">
        <f t="shared" si="138"/>
        <v>ED1Expenditure driversAllowances vs ExpenditureDifference %</v>
      </c>
    </row>
    <row r="1112" spans="1:22">
      <c r="A1112" s="900" t="s">
        <v>137</v>
      </c>
      <c r="B1112" s="900"/>
      <c r="C1112" s="900" t="s">
        <v>1344</v>
      </c>
      <c r="D1112" t="s">
        <v>682</v>
      </c>
      <c r="E1112" t="s">
        <v>1347</v>
      </c>
      <c r="F1112" s="900" t="s">
        <v>1289</v>
      </c>
      <c r="G1112">
        <f t="array" ref="G1112:T1119">TRANSPOSE('Ch4 expenditure drivers'!E171:L184)</f>
        <v>19.149140669864664</v>
      </c>
      <c r="H1112">
        <v>26.346402944582387</v>
      </c>
      <c r="I1112">
        <v>10.65462557260277</v>
      </c>
      <c r="J1112">
        <v>30.155882005311611</v>
      </c>
      <c r="K1112">
        <v>66.956961303622819</v>
      </c>
      <c r="L1112">
        <v>5.1320659581916237</v>
      </c>
      <c r="M1112">
        <v>7.3283563204137634</v>
      </c>
      <c r="N1112">
        <v>64.624301578949272</v>
      </c>
      <c r="O1112">
        <v>34.34271762671473</v>
      </c>
      <c r="P1112">
        <v>51.492170491277655</v>
      </c>
      <c r="Q1112">
        <v>22.384412727713105</v>
      </c>
      <c r="R1112">
        <v>36.432669488721665</v>
      </c>
      <c r="S1112">
        <v>12.383952453511403</v>
      </c>
      <c r="T1112">
        <v>37.084971361459552</v>
      </c>
      <c r="U1112">
        <f>AVERAGE(G1112:T1112)</f>
        <v>30.319187893066928</v>
      </c>
      <c r="V1112" t="str">
        <f t="shared" si="138"/>
        <v>2015/16Expenditure driversNetwork ReinforcementBPDT</v>
      </c>
    </row>
    <row r="1113" spans="1:22">
      <c r="A1113" s="900" t="s">
        <v>138</v>
      </c>
      <c r="B1113" s="900"/>
      <c r="C1113" s="900" t="s">
        <v>1344</v>
      </c>
      <c r="D1113" t="s">
        <v>682</v>
      </c>
      <c r="E1113" t="s">
        <v>1347</v>
      </c>
      <c r="F1113" t="s">
        <v>1289</v>
      </c>
      <c r="G1113">
        <v>24.426874087401082</v>
      </c>
      <c r="H1113">
        <v>23.082545359572222</v>
      </c>
      <c r="I1113">
        <v>13.831804273973974</v>
      </c>
      <c r="J1113">
        <v>31.276003808205296</v>
      </c>
      <c r="K1113">
        <v>58.913972867422736</v>
      </c>
      <c r="L1113">
        <v>5.0976850739915944</v>
      </c>
      <c r="M1113">
        <v>8.279127940008987</v>
      </c>
      <c r="N1113">
        <v>60.78226470004703</v>
      </c>
      <c r="O1113">
        <v>45.224301292744556</v>
      </c>
      <c r="P1113">
        <v>56.59009918534052</v>
      </c>
      <c r="Q1113">
        <v>25.78846869437038</v>
      </c>
      <c r="R1113">
        <v>31.582012859187678</v>
      </c>
      <c r="S1113">
        <v>14.875887304076041</v>
      </c>
      <c r="T1113">
        <v>47.757840446054992</v>
      </c>
      <c r="U1113">
        <f t="shared" ref="U1113:U1144" si="139">AVERAGE(G1113:T1113)</f>
        <v>31.964920563742652</v>
      </c>
      <c r="V1113" t="str">
        <f t="shared" si="138"/>
        <v>2016/17Expenditure driversNetwork ReinforcementBPDT</v>
      </c>
    </row>
    <row r="1114" spans="1:22">
      <c r="A1114" s="900" t="s">
        <v>139</v>
      </c>
      <c r="B1114" s="900"/>
      <c r="C1114" s="900" t="s">
        <v>1344</v>
      </c>
      <c r="D1114" t="s">
        <v>682</v>
      </c>
      <c r="E1114" t="s">
        <v>1347</v>
      </c>
      <c r="F1114" t="s">
        <v>1289</v>
      </c>
      <c r="G1114">
        <v>16.70142247514924</v>
      </c>
      <c r="H1114">
        <v>19.41001305715972</v>
      </c>
      <c r="I1114">
        <v>14.415180594959699</v>
      </c>
      <c r="J1114">
        <v>29.785853574324811</v>
      </c>
      <c r="K1114">
        <v>26.70454937075375</v>
      </c>
      <c r="L1114">
        <v>6.1945899449743029</v>
      </c>
      <c r="M1114">
        <v>10.331904978972497</v>
      </c>
      <c r="N1114">
        <v>66.476508434928988</v>
      </c>
      <c r="O1114">
        <v>47.027234637368892</v>
      </c>
      <c r="P1114">
        <v>56.977305422150572</v>
      </c>
      <c r="Q1114">
        <v>32.513038552849117</v>
      </c>
      <c r="R1114">
        <v>27.374142917428049</v>
      </c>
      <c r="S1114">
        <v>20.138025706923418</v>
      </c>
      <c r="T1114">
        <v>38.813012309018752</v>
      </c>
      <c r="U1114">
        <f t="shared" si="139"/>
        <v>29.490198712640133</v>
      </c>
      <c r="V1114" t="str">
        <f t="shared" si="138"/>
        <v>2017/18Expenditure driversNetwork ReinforcementBPDT</v>
      </c>
    </row>
    <row r="1115" spans="1:22">
      <c r="A1115" s="900" t="s">
        <v>140</v>
      </c>
      <c r="B1115" s="900"/>
      <c r="C1115" s="900" t="s">
        <v>1344</v>
      </c>
      <c r="D1115" t="s">
        <v>682</v>
      </c>
      <c r="E1115" t="s">
        <v>1347</v>
      </c>
      <c r="F1115" t="s">
        <v>1289</v>
      </c>
      <c r="G1115">
        <v>21.931227378767169</v>
      </c>
      <c r="H1115">
        <v>18.509358461487203</v>
      </c>
      <c r="I1115">
        <v>19.677542136043151</v>
      </c>
      <c r="J1115">
        <v>35.362717761892775</v>
      </c>
      <c r="K1115">
        <v>35.13111817722514</v>
      </c>
      <c r="L1115">
        <v>13.051297607664161</v>
      </c>
      <c r="M1115">
        <v>17.448364751114443</v>
      </c>
      <c r="N1115">
        <v>61.302226496040348</v>
      </c>
      <c r="O1115">
        <v>34.858028983376116</v>
      </c>
      <c r="P1115">
        <v>50.493657374197227</v>
      </c>
      <c r="Q1115">
        <v>26.53678145924253</v>
      </c>
      <c r="R1115">
        <v>22.579275444828305</v>
      </c>
      <c r="S1115">
        <v>21.610972454270602</v>
      </c>
      <c r="T1115">
        <v>44.734232450087617</v>
      </c>
      <c r="U1115">
        <f t="shared" si="139"/>
        <v>30.230485781159775</v>
      </c>
      <c r="V1115" t="str">
        <f t="shared" si="138"/>
        <v>2018/19Expenditure driversNetwork ReinforcementBPDT</v>
      </c>
    </row>
    <row r="1116" spans="1:22">
      <c r="A1116" s="900" t="s">
        <v>141</v>
      </c>
      <c r="B1116" s="900"/>
      <c r="C1116" s="900" t="s">
        <v>1344</v>
      </c>
      <c r="D1116" t="s">
        <v>682</v>
      </c>
      <c r="E1116" t="s">
        <v>1347</v>
      </c>
      <c r="F1116" t="s">
        <v>1289</v>
      </c>
      <c r="G1116">
        <v>21.099598692702948</v>
      </c>
      <c r="H1116">
        <v>22.976883206246406</v>
      </c>
      <c r="I1116">
        <v>25.961540141862596</v>
      </c>
      <c r="J1116">
        <v>38.320863016977597</v>
      </c>
      <c r="K1116">
        <v>32.737819718045579</v>
      </c>
      <c r="L1116">
        <v>12.175732868865509</v>
      </c>
      <c r="M1116">
        <v>18.640550083134656</v>
      </c>
      <c r="N1116">
        <v>70.879855999984812</v>
      </c>
      <c r="O1116">
        <v>28.686570473105938</v>
      </c>
      <c r="P1116">
        <v>54.806208422481667</v>
      </c>
      <c r="Q1116">
        <v>21.273280230348838</v>
      </c>
      <c r="R1116">
        <v>21.641440395685784</v>
      </c>
      <c r="S1116">
        <v>27.706106036330439</v>
      </c>
      <c r="T1116">
        <v>28.243221349246198</v>
      </c>
      <c r="U1116">
        <f t="shared" si="139"/>
        <v>30.36783361678707</v>
      </c>
      <c r="V1116" t="str">
        <f t="shared" si="138"/>
        <v>2019/20Expenditure driversNetwork ReinforcementBPDT</v>
      </c>
    </row>
    <row r="1117" spans="1:22">
      <c r="A1117" s="900" t="s">
        <v>126</v>
      </c>
      <c r="B1117" s="900"/>
      <c r="C1117" s="900" t="s">
        <v>1344</v>
      </c>
      <c r="D1117" t="s">
        <v>682</v>
      </c>
      <c r="E1117" t="s">
        <v>1347</v>
      </c>
      <c r="F1117" t="s">
        <v>1289</v>
      </c>
      <c r="G1117">
        <v>23.450908584800743</v>
      </c>
      <c r="H1117">
        <v>19.214036175891756</v>
      </c>
      <c r="I1117">
        <v>21.30828288259287</v>
      </c>
      <c r="J1117">
        <v>34.611003320287111</v>
      </c>
      <c r="K1117">
        <v>43.408522309968589</v>
      </c>
      <c r="L1117">
        <v>11.968583425932191</v>
      </c>
      <c r="M1117">
        <v>18.567992561670344</v>
      </c>
      <c r="N1117">
        <v>69.854379109004839</v>
      </c>
      <c r="O1117">
        <v>28.60975255079931</v>
      </c>
      <c r="P1117">
        <v>61.328434975619771</v>
      </c>
      <c r="Q1117">
        <v>21.122442664095423</v>
      </c>
      <c r="R1117">
        <v>34.193272573908864</v>
      </c>
      <c r="S1117">
        <v>27.138030663119466</v>
      </c>
      <c r="T1117">
        <v>42.452874670986979</v>
      </c>
      <c r="U1117">
        <f t="shared" si="139"/>
        <v>32.659179747762735</v>
      </c>
      <c r="V1117" t="str">
        <f t="shared" si="138"/>
        <v>2020/21Expenditure driversNetwork ReinforcementBPDT</v>
      </c>
    </row>
    <row r="1118" spans="1:22">
      <c r="A1118" s="900" t="s">
        <v>142</v>
      </c>
      <c r="B1118" s="900"/>
      <c r="C1118" s="900" t="s">
        <v>1344</v>
      </c>
      <c r="D1118" t="s">
        <v>682</v>
      </c>
      <c r="E1118" t="s">
        <v>1347</v>
      </c>
      <c r="F1118" t="s">
        <v>1289</v>
      </c>
      <c r="G1118">
        <v>31.792584953214774</v>
      </c>
      <c r="H1118">
        <v>11.87346634856922</v>
      </c>
      <c r="I1118">
        <v>16.760419726749081</v>
      </c>
      <c r="J1118">
        <v>39.543791261602891</v>
      </c>
      <c r="K1118">
        <v>60.769662900154941</v>
      </c>
      <c r="L1118">
        <v>8.0792375861236145</v>
      </c>
      <c r="M1118">
        <v>19.654481611735847</v>
      </c>
      <c r="N1118">
        <v>62.164921125973926</v>
      </c>
      <c r="O1118">
        <v>37.999263627417285</v>
      </c>
      <c r="P1118">
        <v>65.310417617565705</v>
      </c>
      <c r="Q1118">
        <v>23.000635218846234</v>
      </c>
      <c r="R1118">
        <v>36.237417038832291</v>
      </c>
      <c r="S1118">
        <v>32.840778701839092</v>
      </c>
      <c r="T1118">
        <v>59.951319479082677</v>
      </c>
      <c r="U1118">
        <f t="shared" si="139"/>
        <v>36.14131408555054</v>
      </c>
      <c r="V1118" t="str">
        <f t="shared" si="138"/>
        <v>2021/22Expenditure driversNetwork ReinforcementBPDT</v>
      </c>
    </row>
    <row r="1119" spans="1:22">
      <c r="A1119" s="900" t="s">
        <v>143</v>
      </c>
      <c r="B1119" s="900"/>
      <c r="C1119" s="900" t="s">
        <v>1344</v>
      </c>
      <c r="D1119" t="s">
        <v>682</v>
      </c>
      <c r="E1119" t="s">
        <v>1347</v>
      </c>
      <c r="F1119" t="s">
        <v>1289</v>
      </c>
      <c r="G1119">
        <v>28.439745185014679</v>
      </c>
      <c r="H1119">
        <v>11.583197750625363</v>
      </c>
      <c r="I1119">
        <v>20.024470498538157</v>
      </c>
      <c r="J1119">
        <v>44.836324036815199</v>
      </c>
      <c r="K1119">
        <v>53.283504349545147</v>
      </c>
      <c r="L1119">
        <v>8.2282507834562963</v>
      </c>
      <c r="M1119">
        <v>21.759449185998822</v>
      </c>
      <c r="N1119">
        <v>61.738937072360763</v>
      </c>
      <c r="O1119">
        <v>35.662619588478449</v>
      </c>
      <c r="P1119">
        <v>59.426483035206573</v>
      </c>
      <c r="Q1119">
        <v>21.966638134381402</v>
      </c>
      <c r="R1119">
        <v>29.297721822330089</v>
      </c>
      <c r="S1119">
        <v>31.063892411946174</v>
      </c>
      <c r="T1119">
        <v>53.35119019093856</v>
      </c>
      <c r="U1119">
        <f t="shared" si="139"/>
        <v>34.333030288973973</v>
      </c>
      <c r="V1119" t="str">
        <f t="shared" si="138"/>
        <v>2022/23Expenditure driversNetwork ReinforcementBPDT</v>
      </c>
    </row>
    <row r="1120" spans="1:22">
      <c r="A1120" s="900" t="s">
        <v>137</v>
      </c>
      <c r="B1120" s="900"/>
      <c r="C1120" s="900" t="s">
        <v>1344</v>
      </c>
      <c r="D1120" t="s">
        <v>682</v>
      </c>
      <c r="E1120" t="s">
        <v>1348</v>
      </c>
      <c r="F1120" t="s">
        <v>1289</v>
      </c>
      <c r="G1120">
        <f t="array" ref="G1120:T1127">TRANSPOSE('Ch4 expenditure drivers'!N171:U184)</f>
        <v>18.907768256472789</v>
      </c>
      <c r="H1120">
        <v>23.992841666447948</v>
      </c>
      <c r="I1120">
        <v>10.252294913106656</v>
      </c>
      <c r="J1120">
        <v>30.155882005311611</v>
      </c>
      <c r="K1120">
        <v>66.956961303622819</v>
      </c>
      <c r="L1120">
        <v>5.1320659581916237</v>
      </c>
      <c r="M1120">
        <v>7.3283563204137634</v>
      </c>
      <c r="N1120">
        <v>58.156252517913018</v>
      </c>
      <c r="O1120">
        <v>33.211089070524068</v>
      </c>
      <c r="P1120">
        <v>54.842052934375886</v>
      </c>
      <c r="Q1120">
        <v>23.428180481715923</v>
      </c>
      <c r="R1120">
        <v>35.570088182488021</v>
      </c>
      <c r="S1120">
        <v>11.203564556244485</v>
      </c>
      <c r="T1120">
        <v>32.910269041134825</v>
      </c>
      <c r="U1120">
        <f t="shared" si="139"/>
        <v>29.431976229140243</v>
      </c>
      <c r="V1120" t="str">
        <f t="shared" si="138"/>
        <v>2015/16Expenditure driversNetwork ReinforcementDNO Baseline</v>
      </c>
    </row>
    <row r="1121" spans="1:22">
      <c r="A1121" s="900" t="s">
        <v>138</v>
      </c>
      <c r="B1121" s="900"/>
      <c r="C1121" s="900" t="s">
        <v>1344</v>
      </c>
      <c r="D1121" t="s">
        <v>682</v>
      </c>
      <c r="E1121" t="s">
        <v>1348</v>
      </c>
      <c r="F1121" t="s">
        <v>1289</v>
      </c>
      <c r="G1121">
        <v>23.656020231078646</v>
      </c>
      <c r="H1121">
        <v>20.873078057855277</v>
      </c>
      <c r="I1121">
        <v>13.195094792287104</v>
      </c>
      <c r="J1121">
        <v>31.276003808205296</v>
      </c>
      <c r="K1121">
        <v>58.913972867422736</v>
      </c>
      <c r="L1121">
        <v>5.0976850739915944</v>
      </c>
      <c r="M1121">
        <v>8.279127940008987</v>
      </c>
      <c r="N1121">
        <v>54.110873752583082</v>
      </c>
      <c r="O1121">
        <v>43.344017432808158</v>
      </c>
      <c r="P1121">
        <v>59.290561760091236</v>
      </c>
      <c r="Q1121">
        <v>26.013465772622581</v>
      </c>
      <c r="R1121">
        <v>30.07736729788428</v>
      </c>
      <c r="S1121">
        <v>13.41743542678433</v>
      </c>
      <c r="T1121">
        <v>41.711838247096914</v>
      </c>
      <c r="U1121">
        <f t="shared" si="139"/>
        <v>30.661181604337155</v>
      </c>
      <c r="V1121" t="str">
        <f t="shared" si="138"/>
        <v>2016/17Expenditure driversNetwork ReinforcementDNO Baseline</v>
      </c>
    </row>
    <row r="1122" spans="1:22">
      <c r="A1122" s="900" t="s">
        <v>139</v>
      </c>
      <c r="B1122" s="900"/>
      <c r="C1122" s="900" t="s">
        <v>1344</v>
      </c>
      <c r="D1122" t="s">
        <v>682</v>
      </c>
      <c r="E1122" t="s">
        <v>1348</v>
      </c>
      <c r="F1122" t="s">
        <v>1289</v>
      </c>
      <c r="G1122">
        <v>15.815201826564616</v>
      </c>
      <c r="H1122">
        <v>17.416685712852502</v>
      </c>
      <c r="I1122">
        <v>13.645119900903419</v>
      </c>
      <c r="J1122">
        <v>29.785853574324811</v>
      </c>
      <c r="K1122">
        <v>26.70454937075375</v>
      </c>
      <c r="L1122">
        <v>6.1945899449743029</v>
      </c>
      <c r="M1122">
        <v>10.331904978972497</v>
      </c>
      <c r="N1122">
        <v>58.481466845935344</v>
      </c>
      <c r="O1122">
        <v>44.704591561819853</v>
      </c>
      <c r="P1122">
        <v>58.726475673388784</v>
      </c>
      <c r="Q1122">
        <v>31.933965161483542</v>
      </c>
      <c r="R1122">
        <v>25.23347868771398</v>
      </c>
      <c r="S1122">
        <v>18.070967147058745</v>
      </c>
      <c r="T1122">
        <v>33.417177673267652</v>
      </c>
      <c r="U1122">
        <f t="shared" si="139"/>
        <v>27.890144861429551</v>
      </c>
      <c r="V1122" t="str">
        <f t="shared" si="138"/>
        <v>2017/18Expenditure driversNetwork ReinforcementDNO Baseline</v>
      </c>
    </row>
    <row r="1123" spans="1:22">
      <c r="A1123" s="900" t="s">
        <v>140</v>
      </c>
      <c r="B1123" s="900"/>
      <c r="C1123" s="900" t="s">
        <v>1344</v>
      </c>
      <c r="D1123" t="s">
        <v>682</v>
      </c>
      <c r="E1123" t="s">
        <v>1348</v>
      </c>
      <c r="F1123" t="s">
        <v>1289</v>
      </c>
      <c r="G1123">
        <v>20.471311905524374</v>
      </c>
      <c r="H1123">
        <v>16.490148723831258</v>
      </c>
      <c r="I1123">
        <v>18.449660145435352</v>
      </c>
      <c r="J1123">
        <v>35.362717761892775</v>
      </c>
      <c r="K1123">
        <v>35.13111817722514</v>
      </c>
      <c r="L1123">
        <v>13.051297607664161</v>
      </c>
      <c r="M1123">
        <v>17.448364751114443</v>
      </c>
      <c r="N1123">
        <v>53.278043453702296</v>
      </c>
      <c r="O1123">
        <v>32.905104989748388</v>
      </c>
      <c r="P1123">
        <v>51.030385201772951</v>
      </c>
      <c r="Q1123">
        <v>25.041230439695898</v>
      </c>
      <c r="R1123">
        <v>19.934593750784579</v>
      </c>
      <c r="S1123">
        <v>19.364345767357964</v>
      </c>
      <c r="T1123">
        <v>38.087351331560981</v>
      </c>
      <c r="U1123">
        <f t="shared" si="139"/>
        <v>28.288976714807895</v>
      </c>
      <c r="V1123" t="str">
        <f t="shared" si="138"/>
        <v>2018/19Expenditure driversNetwork ReinforcementDNO Baseline</v>
      </c>
    </row>
    <row r="1124" spans="1:22">
      <c r="A1124" s="900" t="s">
        <v>141</v>
      </c>
      <c r="B1124" s="900"/>
      <c r="C1124" s="900" t="s">
        <v>1344</v>
      </c>
      <c r="D1124" t="s">
        <v>682</v>
      </c>
      <c r="E1124" t="s">
        <v>1348</v>
      </c>
      <c r="F1124" t="s">
        <v>1289</v>
      </c>
      <c r="G1124">
        <v>19.294219605170674</v>
      </c>
      <c r="H1124">
        <v>20.306493929939727</v>
      </c>
      <c r="I1124">
        <v>24.123992575760212</v>
      </c>
      <c r="J1124">
        <v>38.320863016977597</v>
      </c>
      <c r="K1124">
        <v>32.737819718045579</v>
      </c>
      <c r="L1124">
        <v>12.175732868865509</v>
      </c>
      <c r="M1124">
        <v>18.640550083134656</v>
      </c>
      <c r="N1124">
        <v>61.00257218470874</v>
      </c>
      <c r="O1124">
        <v>26.869306665756767</v>
      </c>
      <c r="P1124">
        <v>54.560719568097355</v>
      </c>
      <c r="Q1124">
        <v>18.862966231981883</v>
      </c>
      <c r="R1124">
        <v>18.269804657105482</v>
      </c>
      <c r="S1124">
        <v>24.621798372117969</v>
      </c>
      <c r="T1124">
        <v>23.350904333733208</v>
      </c>
      <c r="U1124">
        <f t="shared" si="139"/>
        <v>28.081267415099667</v>
      </c>
      <c r="V1124" t="str">
        <f t="shared" si="138"/>
        <v>2019/20Expenditure driversNetwork ReinforcementDNO Baseline</v>
      </c>
    </row>
    <row r="1125" spans="1:22">
      <c r="A1125" s="900" t="s">
        <v>126</v>
      </c>
      <c r="B1125" s="900"/>
      <c r="C1125" s="900" t="s">
        <v>1344</v>
      </c>
      <c r="D1125" t="s">
        <v>682</v>
      </c>
      <c r="E1125" t="s">
        <v>1348</v>
      </c>
      <c r="F1125" t="s">
        <v>1289</v>
      </c>
      <c r="G1125">
        <v>20.949276826893804</v>
      </c>
      <c r="H1125">
        <v>16.865956479636296</v>
      </c>
      <c r="I1125">
        <v>19.668049360032903</v>
      </c>
      <c r="J1125">
        <v>34.611003320287111</v>
      </c>
      <c r="K1125">
        <v>43.408522309968589</v>
      </c>
      <c r="L1125">
        <v>11.968583425932191</v>
      </c>
      <c r="M1125">
        <v>18.567992561670344</v>
      </c>
      <c r="N1125">
        <v>59.436301724847979</v>
      </c>
      <c r="O1125">
        <v>26.572369167907876</v>
      </c>
      <c r="P1125">
        <v>60.285388972125347</v>
      </c>
      <c r="Q1125">
        <v>17.819484751041834</v>
      </c>
      <c r="R1125">
        <v>29.142261549470323</v>
      </c>
      <c r="S1125">
        <v>24.008179950152083</v>
      </c>
      <c r="T1125">
        <v>34.943374669198271</v>
      </c>
      <c r="U1125">
        <f t="shared" si="139"/>
        <v>29.874767504940358</v>
      </c>
      <c r="V1125" t="str">
        <f t="shared" si="138"/>
        <v>2020/21Expenditure driversNetwork ReinforcementDNO Baseline</v>
      </c>
    </row>
    <row r="1126" spans="1:22">
      <c r="A1126" s="900" t="s">
        <v>142</v>
      </c>
      <c r="B1126" s="900"/>
      <c r="C1126" s="900" t="s">
        <v>1344</v>
      </c>
      <c r="D1126" t="s">
        <v>682</v>
      </c>
      <c r="E1126" t="s">
        <v>1348</v>
      </c>
      <c r="F1126" t="s">
        <v>1289</v>
      </c>
      <c r="G1126">
        <v>28.2503607646711</v>
      </c>
      <c r="H1126">
        <v>10.362960602837516</v>
      </c>
      <c r="I1126">
        <v>15.367799917816409</v>
      </c>
      <c r="J1126">
        <v>39.543791261602891</v>
      </c>
      <c r="K1126">
        <v>60.769662900154941</v>
      </c>
      <c r="L1126">
        <v>8.0792375861236145</v>
      </c>
      <c r="M1126">
        <v>19.654481611735847</v>
      </c>
      <c r="N1126">
        <v>52.147411033441713</v>
      </c>
      <c r="O1126">
        <v>35.008168501754227</v>
      </c>
      <c r="P1126">
        <v>63.344837200870835</v>
      </c>
      <c r="Q1126">
        <v>18.75886471120188</v>
      </c>
      <c r="R1126">
        <v>30.117168013969163</v>
      </c>
      <c r="S1126">
        <v>28.815034582671906</v>
      </c>
      <c r="T1126">
        <v>49.138335010566884</v>
      </c>
      <c r="U1126">
        <f t="shared" si="139"/>
        <v>32.811293835672771</v>
      </c>
      <c r="V1126" t="str">
        <f t="shared" si="138"/>
        <v>2021/22Expenditure driversNetwork ReinforcementDNO Baseline</v>
      </c>
    </row>
    <row r="1127" spans="1:22">
      <c r="A1127" s="900" t="s">
        <v>143</v>
      </c>
      <c r="B1127" s="900"/>
      <c r="C1127" s="900" t="s">
        <v>1344</v>
      </c>
      <c r="D1127" t="s">
        <v>682</v>
      </c>
      <c r="E1127" t="s">
        <v>1348</v>
      </c>
      <c r="F1127" t="s">
        <v>1289</v>
      </c>
      <c r="G1127">
        <v>24.656138647713092</v>
      </c>
      <c r="H1127">
        <v>10.037100401997725</v>
      </c>
      <c r="I1127">
        <v>18.201060207646538</v>
      </c>
      <c r="J1127">
        <v>44.836324036815199</v>
      </c>
      <c r="K1127">
        <v>53.283504349545147</v>
      </c>
      <c r="L1127">
        <v>8.2282507834562963</v>
      </c>
      <c r="M1127">
        <v>21.759449185998822</v>
      </c>
      <c r="N1127">
        <v>51.152121729962182</v>
      </c>
      <c r="O1127">
        <v>32.584401818128804</v>
      </c>
      <c r="P1127">
        <v>56.383258120453434</v>
      </c>
      <c r="Q1127">
        <v>16.855244190307936</v>
      </c>
      <c r="R1127">
        <v>22.871625120084342</v>
      </c>
      <c r="S1127">
        <v>27.140883273420211</v>
      </c>
      <c r="T1127">
        <v>42.923793754127239</v>
      </c>
      <c r="U1127">
        <f t="shared" si="139"/>
        <v>30.779511115689782</v>
      </c>
      <c r="V1127" t="str">
        <f t="shared" si="138"/>
        <v>2022/23Expenditure driversNetwork ReinforcementDNO Baseline</v>
      </c>
    </row>
    <row r="1128" spans="1:22">
      <c r="A1128" s="900" t="s">
        <v>137</v>
      </c>
      <c r="B1128" s="900"/>
      <c r="C1128" s="900" t="s">
        <v>1344</v>
      </c>
      <c r="D1128" t="s">
        <v>682</v>
      </c>
      <c r="E1128" t="s">
        <v>1349</v>
      </c>
      <c r="F1128" t="s">
        <v>1289</v>
      </c>
      <c r="G1128" cm="1">
        <f t="array" ref="G1128:T1134">TRANSPOSE('Ch4 expenditure drivers'!W171:AC184)</f>
        <v>12.741511752970393</v>
      </c>
      <c r="H1128">
        <v>19.759211601816251</v>
      </c>
      <c r="I1128">
        <v>17.537693801634909</v>
      </c>
      <c r="J1128">
        <v>41.044363597537711</v>
      </c>
      <c r="K1128">
        <v>57.213526138155139</v>
      </c>
      <c r="L1128">
        <v>7.5362860276063586</v>
      </c>
      <c r="M1128">
        <v>10.700722576541921</v>
      </c>
      <c r="N1128">
        <v>18.407989919831824</v>
      </c>
      <c r="O1128">
        <v>8.4956261838342169</v>
      </c>
      <c r="P1128">
        <v>22.2101452237671</v>
      </c>
      <c r="Q1128">
        <v>12.59451443604628</v>
      </c>
      <c r="R1128">
        <v>29.372349312177846</v>
      </c>
      <c r="S1128">
        <v>5.1823774858508145</v>
      </c>
      <c r="T1128">
        <v>18.414809663956447</v>
      </c>
      <c r="U1128">
        <f t="shared" si="139"/>
        <v>20.086509122980512</v>
      </c>
      <c r="V1128" t="str">
        <f t="shared" si="138"/>
        <v>2015/16Expenditure driversNetwork ReinforcementDNO Actual</v>
      </c>
    </row>
    <row r="1129" spans="1:22">
      <c r="A1129" s="900" t="s">
        <v>138</v>
      </c>
      <c r="B1129" s="900"/>
      <c r="C1129" s="900" t="s">
        <v>1344</v>
      </c>
      <c r="D1129" t="s">
        <v>682</v>
      </c>
      <c r="E1129" t="s">
        <v>1349</v>
      </c>
      <c r="F1129" t="s">
        <v>1289</v>
      </c>
      <c r="G1129">
        <v>3.3105205398564461</v>
      </c>
      <c r="H1129">
        <v>14.438675886028397</v>
      </c>
      <c r="I1129">
        <v>11.460269469474282</v>
      </c>
      <c r="J1129">
        <v>21.481705225063401</v>
      </c>
      <c r="K1129">
        <v>41.243183160246346</v>
      </c>
      <c r="L1129">
        <v>4.5188550869460222</v>
      </c>
      <c r="M1129">
        <v>12.921196669333415</v>
      </c>
      <c r="N1129">
        <v>32.431139176760254</v>
      </c>
      <c r="O1129">
        <v>17.155142448212285</v>
      </c>
      <c r="P1129">
        <v>22.19723466623903</v>
      </c>
      <c r="Q1129">
        <v>12.686746765891138</v>
      </c>
      <c r="R1129">
        <v>24.817683264883918</v>
      </c>
      <c r="S1129">
        <v>10.734165792538365</v>
      </c>
      <c r="T1129">
        <v>17.917671606902999</v>
      </c>
      <c r="U1129">
        <f t="shared" si="139"/>
        <v>17.665299268455449</v>
      </c>
      <c r="V1129" t="str">
        <f t="shared" si="138"/>
        <v>2016/17Expenditure driversNetwork ReinforcementDNO Actual</v>
      </c>
    </row>
    <row r="1130" spans="1:22">
      <c r="A1130" s="900" t="s">
        <v>139</v>
      </c>
      <c r="B1130" s="900"/>
      <c r="C1130" s="900" t="s">
        <v>1344</v>
      </c>
      <c r="D1130" t="s">
        <v>682</v>
      </c>
      <c r="E1130" t="s">
        <v>1349</v>
      </c>
      <c r="F1130" t="s">
        <v>1289</v>
      </c>
      <c r="G1130">
        <v>4.4338886261789732</v>
      </c>
      <c r="H1130">
        <v>11.175936075183852</v>
      </c>
      <c r="I1130">
        <v>10.11837936803896</v>
      </c>
      <c r="J1130">
        <v>19.889537005834679</v>
      </c>
      <c r="K1130">
        <v>40.916142873979652</v>
      </c>
      <c r="L1130">
        <v>5.7513318833937159</v>
      </c>
      <c r="M1130">
        <v>18.774879016980222</v>
      </c>
      <c r="N1130">
        <v>34.499603031389725</v>
      </c>
      <c r="O1130">
        <v>15.074220395189675</v>
      </c>
      <c r="P1130">
        <v>30.824918335410924</v>
      </c>
      <c r="Q1130">
        <v>21.773600469047725</v>
      </c>
      <c r="R1130">
        <v>22.591450697129037</v>
      </c>
      <c r="S1130">
        <v>8.9848337784217804</v>
      </c>
      <c r="T1130">
        <v>25.622642211685719</v>
      </c>
      <c r="U1130">
        <f t="shared" si="139"/>
        <v>19.316525983418902</v>
      </c>
      <c r="V1130" t="str">
        <f t="shared" si="138"/>
        <v>2017/18Expenditure driversNetwork ReinforcementDNO Actual</v>
      </c>
    </row>
    <row r="1131" spans="1:22">
      <c r="A1131" s="900" t="s">
        <v>140</v>
      </c>
      <c r="B1131" s="900"/>
      <c r="C1131" s="900" t="s">
        <v>1344</v>
      </c>
      <c r="D1131" t="s">
        <v>682</v>
      </c>
      <c r="E1131" t="s">
        <v>1349</v>
      </c>
      <c r="F1131" t="s">
        <v>1289</v>
      </c>
      <c r="G1131">
        <v>7.9958287760851254</v>
      </c>
      <c r="H1131">
        <v>10.344485757329593</v>
      </c>
      <c r="I1131">
        <v>8.7512618809738161</v>
      </c>
      <c r="J1131">
        <v>12.862554835726488</v>
      </c>
      <c r="K1131">
        <v>30.915579380038682</v>
      </c>
      <c r="L1131">
        <v>4.325226678385361</v>
      </c>
      <c r="M1131">
        <v>10.553592634164939</v>
      </c>
      <c r="N1131">
        <v>17.949537525875627</v>
      </c>
      <c r="O1131">
        <v>15.482411782501313</v>
      </c>
      <c r="P1131">
        <v>10.989717334069681</v>
      </c>
      <c r="Q1131">
        <v>29.103886619535619</v>
      </c>
      <c r="R1131">
        <v>20.91548307832231</v>
      </c>
      <c r="S1131">
        <v>6.3166751009892881</v>
      </c>
      <c r="T1131">
        <v>14.179447402189396</v>
      </c>
      <c r="U1131">
        <f>AVERAGE(G1131:T1131)</f>
        <v>14.334692056156232</v>
      </c>
      <c r="V1131" t="str">
        <f t="shared" si="138"/>
        <v>2018/19Expenditure driversNetwork ReinforcementDNO Actual</v>
      </c>
    </row>
    <row r="1132" spans="1:22">
      <c r="A1132" s="900" t="s">
        <v>141</v>
      </c>
      <c r="B1132" s="900"/>
      <c r="C1132" s="900" t="s">
        <v>1344</v>
      </c>
      <c r="D1132" t="s">
        <v>682</v>
      </c>
      <c r="E1132" t="s">
        <v>1349</v>
      </c>
      <c r="F1132" t="s">
        <v>1289</v>
      </c>
      <c r="G1132">
        <v>14.917299167771645</v>
      </c>
      <c r="H1132">
        <v>10.859672966078012</v>
      </c>
      <c r="I1132">
        <v>8.4479790661391654</v>
      </c>
      <c r="J1132">
        <v>13.594761759140113</v>
      </c>
      <c r="K1132">
        <v>33.312754782171886</v>
      </c>
      <c r="L1132">
        <v>3.729288186841544</v>
      </c>
      <c r="M1132">
        <v>8.6537814410855969</v>
      </c>
      <c r="N1132">
        <v>31.259451457448542</v>
      </c>
      <c r="O1132">
        <v>13.953227647006841</v>
      </c>
      <c r="P1132">
        <v>13.803302426077446</v>
      </c>
      <c r="Q1132">
        <v>26.038243949100931</v>
      </c>
      <c r="R1132">
        <v>14.521646945887055</v>
      </c>
      <c r="S1132">
        <v>12.231917685649858</v>
      </c>
      <c r="T1132">
        <v>23.796752699080219</v>
      </c>
      <c r="U1132">
        <f>AVERAGE(G1132:T1132)</f>
        <v>16.365720012819917</v>
      </c>
      <c r="V1132" t="str">
        <f t="shared" si="138"/>
        <v>2019/20Expenditure driversNetwork ReinforcementDNO Actual</v>
      </c>
    </row>
    <row r="1133" spans="1:22">
      <c r="A1133" s="900" t="s">
        <v>126</v>
      </c>
      <c r="B1133" s="900"/>
      <c r="C1133" s="900" t="s">
        <v>1344</v>
      </c>
      <c r="D1133" t="s">
        <v>682</v>
      </c>
      <c r="E1133" t="s">
        <v>1349</v>
      </c>
      <c r="F1133" t="s">
        <v>1289</v>
      </c>
      <c r="G1133">
        <v>17.784778971018106</v>
      </c>
      <c r="H1133">
        <v>11.98446649114884</v>
      </c>
      <c r="I1133">
        <v>9.6871765547208355</v>
      </c>
      <c r="J1133">
        <v>43.449369196197992</v>
      </c>
      <c r="K1133">
        <v>45.870172837877817</v>
      </c>
      <c r="L1133">
        <v>14.162556281296</v>
      </c>
      <c r="M1133">
        <v>16.436633877355384</v>
      </c>
      <c r="N1133">
        <v>27.879245189338182</v>
      </c>
      <c r="O1133">
        <v>11.873214247326448</v>
      </c>
      <c r="P1133">
        <v>19.277663043738251</v>
      </c>
      <c r="Q1133">
        <v>31.423988300415594</v>
      </c>
      <c r="R1133">
        <v>11.375142700624846</v>
      </c>
      <c r="S1133">
        <v>9.6661342153334306</v>
      </c>
      <c r="T1133">
        <v>31.337944041265892</v>
      </c>
      <c r="U1133">
        <f>AVERAGE(G1133:T1133)</f>
        <v>21.586320424832682</v>
      </c>
      <c r="V1133" t="str">
        <f t="shared" si="138"/>
        <v>2020/21Expenditure driversNetwork ReinforcementDNO Actual</v>
      </c>
    </row>
    <row r="1134" spans="1:22">
      <c r="A1134" s="900" t="s">
        <v>142</v>
      </c>
      <c r="B1134" s="900"/>
      <c r="C1134" s="900" t="s">
        <v>1344</v>
      </c>
      <c r="D1134" t="s">
        <v>682</v>
      </c>
      <c r="E1134" t="s">
        <v>1349</v>
      </c>
      <c r="F1134" t="s">
        <v>1289</v>
      </c>
      <c r="G1134">
        <v>26.966661558908939</v>
      </c>
      <c r="H1134">
        <v>13.045304059160625</v>
      </c>
      <c r="I1134">
        <v>14.07212031330908</v>
      </c>
      <c r="J1134">
        <v>64.671000000000006</v>
      </c>
      <c r="K1134">
        <v>54.716799999999992</v>
      </c>
      <c r="L1134">
        <v>19.392299999999999</v>
      </c>
      <c r="M1134">
        <v>19.029300000000003</v>
      </c>
      <c r="N1134">
        <v>32.974973746571685</v>
      </c>
      <c r="O1134">
        <v>21.548686854603634</v>
      </c>
      <c r="P1134">
        <v>20.242621654309215</v>
      </c>
      <c r="Q1134">
        <v>26.517668720983153</v>
      </c>
      <c r="R1134">
        <v>28.747734777527398</v>
      </c>
      <c r="S1134">
        <v>18.618369896136631</v>
      </c>
      <c r="T1134">
        <v>23.612897046825257</v>
      </c>
      <c r="U1134">
        <f>AVERAGE(G1134:T1134)</f>
        <v>27.439745616309693</v>
      </c>
      <c r="V1134" t="str">
        <f t="shared" ref="V1134" si="140">CONCATENATE(A1134,B1134,C1134,D1134,E1134)</f>
        <v>2021/22Expenditure driversNetwork ReinforcementDNO Actual</v>
      </c>
    </row>
    <row r="1135" spans="1:22">
      <c r="A1135" s="900" t="s">
        <v>137</v>
      </c>
      <c r="B1135" s="900"/>
      <c r="C1135" s="900" t="s">
        <v>1344</v>
      </c>
      <c r="D1135" t="s">
        <v>682</v>
      </c>
      <c r="E1135" t="s">
        <v>297</v>
      </c>
      <c r="F1135" t="s">
        <v>1289</v>
      </c>
      <c r="G1135">
        <f t="array" ref="G1135:T1138">TRANSPOSE('Ch4 expenditure drivers'!AF171:AI184)</f>
        <v>18.907768256472789</v>
      </c>
      <c r="H1135">
        <v>23.992841666447948</v>
      </c>
      <c r="I1135">
        <v>10.252294913106656</v>
      </c>
      <c r="J1135">
        <v>30.155882005311611</v>
      </c>
      <c r="K1135">
        <v>66.956961303622819</v>
      </c>
      <c r="L1135">
        <v>5.1320659581916237</v>
      </c>
      <c r="M1135">
        <v>7.3283563204137634</v>
      </c>
      <c r="N1135">
        <v>58.156252517913018</v>
      </c>
      <c r="O1135">
        <v>33.211089070524068</v>
      </c>
      <c r="P1135">
        <v>54.842052934375886</v>
      </c>
      <c r="Q1135">
        <v>23.428180481715923</v>
      </c>
      <c r="R1135">
        <v>35.570088182488021</v>
      </c>
      <c r="S1135">
        <v>11.203564556244485</v>
      </c>
      <c r="T1135">
        <v>32.910269041134825</v>
      </c>
      <c r="U1135">
        <f t="shared" si="139"/>
        <v>29.431976229140243</v>
      </c>
      <c r="V1135" t="str">
        <f t="shared" si="138"/>
        <v>2015/16Expenditure driversNetwork ReinforcementAllowance</v>
      </c>
    </row>
    <row r="1136" spans="1:22">
      <c r="A1136" s="900" t="s">
        <v>137</v>
      </c>
      <c r="B1136" s="900"/>
      <c r="C1136" s="900" t="s">
        <v>1344</v>
      </c>
      <c r="D1136" t="s">
        <v>682</v>
      </c>
      <c r="E1136" t="s">
        <v>298</v>
      </c>
      <c r="F1136" t="s">
        <v>1289</v>
      </c>
      <c r="G1136">
        <v>12.741511752970393</v>
      </c>
      <c r="H1136">
        <v>19.759211601816251</v>
      </c>
      <c r="I1136">
        <v>17.537693801634909</v>
      </c>
      <c r="J1136">
        <v>41.044363597537711</v>
      </c>
      <c r="K1136">
        <v>57.213526138155139</v>
      </c>
      <c r="L1136">
        <v>7.5362860276063586</v>
      </c>
      <c r="M1136">
        <v>10.700722576541921</v>
      </c>
      <c r="N1136">
        <v>18.407989919831824</v>
      </c>
      <c r="O1136">
        <v>8.4956261838342169</v>
      </c>
      <c r="P1136">
        <v>22.2101452237671</v>
      </c>
      <c r="Q1136">
        <v>12.59451443604628</v>
      </c>
      <c r="R1136">
        <v>29.372349312177846</v>
      </c>
      <c r="S1136">
        <v>5.1823774858508145</v>
      </c>
      <c r="T1136">
        <v>18.414809663956447</v>
      </c>
      <c r="U1136">
        <f t="shared" si="139"/>
        <v>20.086509122980512</v>
      </c>
      <c r="V1136" t="str">
        <f t="shared" si="138"/>
        <v>2015/16Expenditure driversNetwork ReinforcementActual</v>
      </c>
    </row>
    <row r="1137" spans="1:22">
      <c r="A1137" s="900" t="s">
        <v>137</v>
      </c>
      <c r="B1137" s="900"/>
      <c r="C1137" s="900" t="s">
        <v>1344</v>
      </c>
      <c r="D1137" t="s">
        <v>682</v>
      </c>
      <c r="E1137" t="s">
        <v>602</v>
      </c>
      <c r="F1137" t="s">
        <v>1289</v>
      </c>
      <c r="G1137">
        <v>-6.166256503502396</v>
      </c>
      <c r="H1137">
        <v>-4.2336300646316971</v>
      </c>
      <c r="I1137">
        <v>7.2853988885282526</v>
      </c>
      <c r="J1137">
        <v>10.8884815922261</v>
      </c>
      <c r="K1137">
        <v>-9.7434351654676803</v>
      </c>
      <c r="L1137">
        <v>2.4042200694147349</v>
      </c>
      <c r="M1137">
        <v>3.3723662561281573</v>
      </c>
      <c r="N1137">
        <v>-39.748262598081197</v>
      </c>
      <c r="O1137">
        <v>-24.715462886689849</v>
      </c>
      <c r="P1137">
        <v>-32.631907710608786</v>
      </c>
      <c r="Q1137">
        <v>-10.833666045669643</v>
      </c>
      <c r="R1137">
        <v>-6.1977388703101752</v>
      </c>
      <c r="S1137">
        <v>-6.0211870703936707</v>
      </c>
      <c r="T1137">
        <v>-14.495459377178378</v>
      </c>
      <c r="U1137">
        <f>U1136-U1135</f>
        <v>-9.345467106159731</v>
      </c>
      <c r="V1137" t="str">
        <f t="shared" si="138"/>
        <v>2015/16Expenditure driversNetwork ReinforcementDifference</v>
      </c>
    </row>
    <row r="1138" spans="1:22">
      <c r="A1138" s="900" t="s">
        <v>137</v>
      </c>
      <c r="B1138" s="900"/>
      <c r="C1138" s="900" t="s">
        <v>1344</v>
      </c>
      <c r="D1138" t="s">
        <v>682</v>
      </c>
      <c r="E1138" t="s">
        <v>1346</v>
      </c>
      <c r="F1138" t="s">
        <v>606</v>
      </c>
      <c r="G1138" s="829">
        <v>-0.32612291518812492</v>
      </c>
      <c r="H1138" s="829">
        <v>-0.17645388251580416</v>
      </c>
      <c r="I1138" s="829">
        <v>0.71061152164229213</v>
      </c>
      <c r="J1138" s="829">
        <v>0.36107322579084966</v>
      </c>
      <c r="K1138" s="829">
        <v>-0.14551788157298731</v>
      </c>
      <c r="L1138" s="829">
        <v>0.46847022018047196</v>
      </c>
      <c r="M1138" s="829">
        <v>0.46018044274595965</v>
      </c>
      <c r="N1138" s="829">
        <v>-0.68347358843037764</v>
      </c>
      <c r="O1138" s="829">
        <v>-0.74419308665868578</v>
      </c>
      <c r="P1138" s="829">
        <v>-0.59501615939972552</v>
      </c>
      <c r="Q1138" s="829">
        <v>-0.46242029141463081</v>
      </c>
      <c r="R1138" s="829">
        <v>-0.17424018851214054</v>
      </c>
      <c r="S1138" s="829">
        <v>-0.53743494226019939</v>
      </c>
      <c r="T1138" s="829">
        <v>-0.44045399200657948</v>
      </c>
      <c r="U1138" s="829">
        <f>U1137/U1135</f>
        <v>-0.3175276791949464</v>
      </c>
      <c r="V1138" t="str">
        <f t="shared" si="138"/>
        <v>2015/16Expenditure driversNetwork ReinforcementDifference %</v>
      </c>
    </row>
    <row r="1139" spans="1:22">
      <c r="A1139" s="900" t="s">
        <v>138</v>
      </c>
      <c r="B1139" s="900"/>
      <c r="C1139" s="900" t="s">
        <v>1344</v>
      </c>
      <c r="D1139" t="s">
        <v>682</v>
      </c>
      <c r="E1139" t="s">
        <v>297</v>
      </c>
      <c r="F1139" t="s">
        <v>1289</v>
      </c>
      <c r="G1139">
        <f t="array" ref="G1139:T1142">TRANSPOSE('Ch4 expenditure drivers'!AK171:AN184)</f>
        <v>23.656020231078646</v>
      </c>
      <c r="H1139">
        <v>20.873078057855277</v>
      </c>
      <c r="I1139">
        <v>13.195094792287104</v>
      </c>
      <c r="J1139">
        <v>31.276003808205296</v>
      </c>
      <c r="K1139">
        <v>58.913972867422736</v>
      </c>
      <c r="L1139">
        <v>5.0976850739915944</v>
      </c>
      <c r="M1139">
        <v>8.279127940008987</v>
      </c>
      <c r="N1139">
        <v>54.110873752583082</v>
      </c>
      <c r="O1139">
        <v>43.344017432808158</v>
      </c>
      <c r="P1139">
        <v>59.290561760091236</v>
      </c>
      <c r="Q1139">
        <v>26.013465772622581</v>
      </c>
      <c r="R1139">
        <v>30.07736729788428</v>
      </c>
      <c r="S1139">
        <v>13.41743542678433</v>
      </c>
      <c r="T1139">
        <v>41.711838247096914</v>
      </c>
      <c r="U1139">
        <f t="shared" si="139"/>
        <v>30.661181604337155</v>
      </c>
      <c r="V1139" t="str">
        <f t="shared" si="138"/>
        <v>2016/17Expenditure driversNetwork ReinforcementAllowance</v>
      </c>
    </row>
    <row r="1140" spans="1:22">
      <c r="A1140" s="900" t="s">
        <v>138</v>
      </c>
      <c r="B1140" s="900"/>
      <c r="C1140" s="900" t="s">
        <v>1344</v>
      </c>
      <c r="D1140" t="s">
        <v>682</v>
      </c>
      <c r="E1140" t="s">
        <v>298</v>
      </c>
      <c r="F1140" t="s">
        <v>1289</v>
      </c>
      <c r="G1140">
        <v>3.3105205398564461</v>
      </c>
      <c r="H1140">
        <v>14.438675886028397</v>
      </c>
      <c r="I1140">
        <v>11.460269469474282</v>
      </c>
      <c r="J1140">
        <v>21.481705225063401</v>
      </c>
      <c r="K1140">
        <v>41.243183160246346</v>
      </c>
      <c r="L1140">
        <v>4.5188550869460222</v>
      </c>
      <c r="M1140">
        <v>12.921196669333415</v>
      </c>
      <c r="N1140">
        <v>32.431139176760254</v>
      </c>
      <c r="O1140">
        <v>17.155142448212285</v>
      </c>
      <c r="P1140">
        <v>22.19723466623903</v>
      </c>
      <c r="Q1140">
        <v>12.686746765891138</v>
      </c>
      <c r="R1140">
        <v>24.817683264883918</v>
      </c>
      <c r="S1140">
        <v>10.734165792538365</v>
      </c>
      <c r="T1140">
        <v>17.917671606902999</v>
      </c>
      <c r="U1140">
        <f t="shared" si="139"/>
        <v>17.665299268455449</v>
      </c>
      <c r="V1140" t="str">
        <f t="shared" si="138"/>
        <v>2016/17Expenditure driversNetwork ReinforcementActual</v>
      </c>
    </row>
    <row r="1141" spans="1:22">
      <c r="A1141" s="900" t="s">
        <v>138</v>
      </c>
      <c r="B1141" s="900"/>
      <c r="C1141" s="900" t="s">
        <v>1344</v>
      </c>
      <c r="D1141" t="s">
        <v>682</v>
      </c>
      <c r="E1141" t="s">
        <v>602</v>
      </c>
      <c r="F1141" t="s">
        <v>1289</v>
      </c>
      <c r="G1141">
        <v>-20.345499691222201</v>
      </c>
      <c r="H1141">
        <v>-6.4344021718268802</v>
      </c>
      <c r="I1141">
        <v>-1.7348253228128225</v>
      </c>
      <c r="J1141">
        <v>-9.7942985831418952</v>
      </c>
      <c r="K1141">
        <v>-17.67078970717639</v>
      </c>
      <c r="L1141">
        <v>-0.5788299870455722</v>
      </c>
      <c r="M1141">
        <v>4.6420687293244285</v>
      </c>
      <c r="N1141">
        <v>-21.679734575822827</v>
      </c>
      <c r="O1141">
        <v>-26.188874984595873</v>
      </c>
      <c r="P1141">
        <v>-37.09332709385221</v>
      </c>
      <c r="Q1141">
        <v>-13.326719006731443</v>
      </c>
      <c r="R1141">
        <v>-5.2596840330003616</v>
      </c>
      <c r="S1141">
        <v>-2.6832696342459652</v>
      </c>
      <c r="T1141">
        <v>-23.794166640193914</v>
      </c>
      <c r="U1141">
        <f>U1140-U1139</f>
        <v>-12.995882335881706</v>
      </c>
      <c r="V1141" t="str">
        <f t="shared" si="138"/>
        <v>2016/17Expenditure driversNetwork ReinforcementDifference</v>
      </c>
    </row>
    <row r="1142" spans="1:22">
      <c r="A1142" s="900" t="s">
        <v>138</v>
      </c>
      <c r="B1142" s="900"/>
      <c r="C1142" s="900" t="s">
        <v>1344</v>
      </c>
      <c r="D1142" t="s">
        <v>682</v>
      </c>
      <c r="E1142" t="s">
        <v>1346</v>
      </c>
      <c r="F1142" t="s">
        <v>606</v>
      </c>
      <c r="G1142" s="829">
        <v>-0.86005589665893289</v>
      </c>
      <c r="H1142" s="829">
        <v>-0.30826321609070911</v>
      </c>
      <c r="I1142" s="829">
        <v>-0.1314750178094117</v>
      </c>
      <c r="J1142" s="829">
        <v>-0.31315696989947128</v>
      </c>
      <c r="K1142" s="829">
        <v>-0.2999422521876417</v>
      </c>
      <c r="L1142" s="829">
        <v>-0.11354761595587076</v>
      </c>
      <c r="M1142" s="829">
        <v>0.56069537310706052</v>
      </c>
      <c r="N1142" s="829">
        <v>-0.40065393648883568</v>
      </c>
      <c r="O1142" s="829">
        <v>-0.60420968188271507</v>
      </c>
      <c r="P1142" s="829">
        <v>-0.62561942394716707</v>
      </c>
      <c r="Q1142" s="829">
        <v>-0.51230078772344578</v>
      </c>
      <c r="R1142" s="829">
        <v>-0.17487182242078553</v>
      </c>
      <c r="S1142" s="829">
        <v>-0.19998379339240444</v>
      </c>
      <c r="T1142" s="829">
        <v>-0.57044157342669877</v>
      </c>
      <c r="U1142" s="829">
        <f>U1141/U1139</f>
        <v>-0.42385458276152616</v>
      </c>
      <c r="V1142" t="str">
        <f t="shared" si="138"/>
        <v>2016/17Expenditure driversNetwork ReinforcementDifference %</v>
      </c>
    </row>
    <row r="1143" spans="1:22">
      <c r="A1143" s="900" t="s">
        <v>139</v>
      </c>
      <c r="B1143" s="900"/>
      <c r="C1143" s="900" t="s">
        <v>1344</v>
      </c>
      <c r="D1143" t="s">
        <v>682</v>
      </c>
      <c r="E1143" t="s">
        <v>297</v>
      </c>
      <c r="F1143" t="s">
        <v>1289</v>
      </c>
      <c r="G1143">
        <f t="array" ref="G1143:T1146">TRANSPOSE('Ch4 expenditure drivers'!AP171:AS184)</f>
        <v>15.815201826564616</v>
      </c>
      <c r="H1143">
        <v>17.416685712852502</v>
      </c>
      <c r="I1143">
        <v>13.645119900903419</v>
      </c>
      <c r="J1143">
        <v>29.785853574324811</v>
      </c>
      <c r="K1143">
        <v>26.70454937075375</v>
      </c>
      <c r="L1143">
        <v>6.1945899449743029</v>
      </c>
      <c r="M1143">
        <v>10.331904978972497</v>
      </c>
      <c r="N1143">
        <v>58.481466845935344</v>
      </c>
      <c r="O1143">
        <v>44.704591561819853</v>
      </c>
      <c r="P1143">
        <v>58.726475673388784</v>
      </c>
      <c r="Q1143">
        <v>31.933965161483542</v>
      </c>
      <c r="R1143">
        <v>25.23347868771398</v>
      </c>
      <c r="S1143">
        <v>18.070967147058745</v>
      </c>
      <c r="T1143">
        <v>33.417177673267652</v>
      </c>
      <c r="U1143">
        <f t="shared" si="139"/>
        <v>27.890144861429551</v>
      </c>
      <c r="V1143" t="str">
        <f t="shared" si="138"/>
        <v>2017/18Expenditure driversNetwork ReinforcementAllowance</v>
      </c>
    </row>
    <row r="1144" spans="1:22">
      <c r="A1144" s="900" t="s">
        <v>139</v>
      </c>
      <c r="B1144" s="900"/>
      <c r="C1144" s="900" t="s">
        <v>1344</v>
      </c>
      <c r="D1144" t="s">
        <v>682</v>
      </c>
      <c r="E1144" t="s">
        <v>298</v>
      </c>
      <c r="F1144" t="s">
        <v>1289</v>
      </c>
      <c r="G1144">
        <v>4.4338886261789732</v>
      </c>
      <c r="H1144">
        <v>11.175936075183852</v>
      </c>
      <c r="I1144">
        <v>10.11837936803896</v>
      </c>
      <c r="J1144">
        <v>19.889537005834679</v>
      </c>
      <c r="K1144">
        <v>40.916142873979652</v>
      </c>
      <c r="L1144">
        <v>5.7513318833937159</v>
      </c>
      <c r="M1144">
        <v>18.774879016980222</v>
      </c>
      <c r="N1144">
        <v>34.499603031389725</v>
      </c>
      <c r="O1144">
        <v>15.074220395189675</v>
      </c>
      <c r="P1144">
        <v>30.824918335410924</v>
      </c>
      <c r="Q1144">
        <v>21.773600469047725</v>
      </c>
      <c r="R1144">
        <v>22.591450697129037</v>
      </c>
      <c r="S1144">
        <v>8.9848337784217804</v>
      </c>
      <c r="T1144">
        <v>25.622642211685719</v>
      </c>
      <c r="U1144">
        <f t="shared" si="139"/>
        <v>19.316525983418902</v>
      </c>
      <c r="V1144" t="str">
        <f t="shared" si="138"/>
        <v>2017/18Expenditure driversNetwork ReinforcementActual</v>
      </c>
    </row>
    <row r="1145" spans="1:22">
      <c r="A1145" s="900" t="s">
        <v>139</v>
      </c>
      <c r="B1145" s="900"/>
      <c r="C1145" s="900" t="s">
        <v>1344</v>
      </c>
      <c r="D1145" t="s">
        <v>682</v>
      </c>
      <c r="E1145" t="s">
        <v>602</v>
      </c>
      <c r="F1145" t="s">
        <v>1289</v>
      </c>
      <c r="G1145">
        <v>-11.381313200385643</v>
      </c>
      <c r="H1145">
        <v>-6.2407496376686495</v>
      </c>
      <c r="I1145">
        <v>-3.5267405328644585</v>
      </c>
      <c r="J1145">
        <v>-9.896316568490132</v>
      </c>
      <c r="K1145">
        <v>14.211593503225902</v>
      </c>
      <c r="L1145">
        <v>-0.443258061580587</v>
      </c>
      <c r="M1145">
        <v>8.4429740380077245</v>
      </c>
      <c r="N1145">
        <v>-23.981863814545619</v>
      </c>
      <c r="O1145">
        <v>-29.630371166630177</v>
      </c>
      <c r="P1145">
        <v>-27.901557337977859</v>
      </c>
      <c r="Q1145">
        <v>-10.160364692435817</v>
      </c>
      <c r="R1145">
        <v>-2.6420279905849426</v>
      </c>
      <c r="S1145">
        <v>-9.0861333686369647</v>
      </c>
      <c r="T1145">
        <v>-7.7945354615819333</v>
      </c>
      <c r="U1145">
        <f>U1144-U1143</f>
        <v>-8.5736188780106488</v>
      </c>
      <c r="V1145" t="str">
        <f t="shared" si="138"/>
        <v>2017/18Expenditure driversNetwork ReinforcementDifference</v>
      </c>
    </row>
    <row r="1146" spans="1:22">
      <c r="A1146" s="900" t="s">
        <v>139</v>
      </c>
      <c r="B1146" s="900"/>
      <c r="C1146" s="900" t="s">
        <v>1344</v>
      </c>
      <c r="D1146" t="s">
        <v>682</v>
      </c>
      <c r="E1146" t="s">
        <v>1346</v>
      </c>
      <c r="F1146" t="s">
        <v>606</v>
      </c>
      <c r="G1146" s="829">
        <v>-0.71964387967964971</v>
      </c>
      <c r="H1146" s="829">
        <v>-0.35832016151404394</v>
      </c>
      <c r="I1146" s="829">
        <v>-0.25846167409866139</v>
      </c>
      <c r="J1146" s="829">
        <v>-0.33224888263805491</v>
      </c>
      <c r="K1146" s="829">
        <v>0.53217874250258401</v>
      </c>
      <c r="L1146" s="829">
        <v>-7.1555674470463404E-2</v>
      </c>
      <c r="M1146" s="829">
        <v>0.81717496000891154</v>
      </c>
      <c r="N1146" s="829">
        <v>-0.41007630464748573</v>
      </c>
      <c r="O1146" s="829">
        <v>-0.66280375530678426</v>
      </c>
      <c r="P1146" s="829">
        <v>-0.47511036577700039</v>
      </c>
      <c r="Q1146" s="829">
        <v>-0.31816796445593043</v>
      </c>
      <c r="R1146" s="829">
        <v>-0.10470328024456371</v>
      </c>
      <c r="S1146" s="829">
        <v>-0.50280282702610279</v>
      </c>
      <c r="T1146" s="829">
        <v>-0.2332493646768152</v>
      </c>
      <c r="U1146" s="829">
        <f>U1145/U1143</f>
        <v>-0.30740675319573063</v>
      </c>
      <c r="V1146" t="str">
        <f t="shared" si="138"/>
        <v>2017/18Expenditure driversNetwork ReinforcementDifference %</v>
      </c>
    </row>
    <row r="1147" spans="1:22">
      <c r="A1147" s="900" t="s">
        <v>140</v>
      </c>
      <c r="B1147" s="900"/>
      <c r="C1147" s="900" t="s">
        <v>1344</v>
      </c>
      <c r="D1147" t="s">
        <v>682</v>
      </c>
      <c r="E1147" t="s">
        <v>297</v>
      </c>
      <c r="F1147" t="s">
        <v>1289</v>
      </c>
      <c r="G1147">
        <f t="array" ref="G1147:T1150">TRANSPOSE('Ch4 expenditure drivers'!AU171:AX184)</f>
        <v>20.471311905524374</v>
      </c>
      <c r="H1147">
        <v>16.490148723831258</v>
      </c>
      <c r="I1147">
        <v>18.449660145435352</v>
      </c>
      <c r="J1147">
        <v>35.362717761892775</v>
      </c>
      <c r="K1147">
        <v>35.13111817722514</v>
      </c>
      <c r="L1147">
        <v>13.051297607664161</v>
      </c>
      <c r="M1147">
        <v>17.448364751114443</v>
      </c>
      <c r="N1147">
        <v>53.278043453702296</v>
      </c>
      <c r="O1147">
        <v>32.905104989748388</v>
      </c>
      <c r="P1147">
        <v>51.030385201772951</v>
      </c>
      <c r="Q1147">
        <v>25.041230439695898</v>
      </c>
      <c r="R1147">
        <v>19.934593750784579</v>
      </c>
      <c r="S1147">
        <v>19.364345767357964</v>
      </c>
      <c r="T1147">
        <v>38.087351331560981</v>
      </c>
      <c r="U1147">
        <f>AVERAGE(G1147:T1147)</f>
        <v>28.288976714807895</v>
      </c>
      <c r="V1147" t="str">
        <f t="shared" si="138"/>
        <v>2018/19Expenditure driversNetwork ReinforcementAllowance</v>
      </c>
    </row>
    <row r="1148" spans="1:22">
      <c r="A1148" s="900" t="s">
        <v>140</v>
      </c>
      <c r="B1148" s="900"/>
      <c r="C1148" s="900" t="s">
        <v>1344</v>
      </c>
      <c r="D1148" t="s">
        <v>682</v>
      </c>
      <c r="E1148" t="s">
        <v>298</v>
      </c>
      <c r="F1148" t="s">
        <v>1289</v>
      </c>
      <c r="G1148">
        <v>7.9958287760851254</v>
      </c>
      <c r="H1148">
        <v>10.344485757329593</v>
      </c>
      <c r="I1148">
        <v>8.7512618809738161</v>
      </c>
      <c r="J1148">
        <v>12.862554835726488</v>
      </c>
      <c r="K1148">
        <v>30.915579380038682</v>
      </c>
      <c r="L1148">
        <v>4.325226678385361</v>
      </c>
      <c r="M1148">
        <v>10.553592634164939</v>
      </c>
      <c r="N1148">
        <v>17.949537525875627</v>
      </c>
      <c r="O1148">
        <v>15.482411782501313</v>
      </c>
      <c r="P1148">
        <v>10.989717334069681</v>
      </c>
      <c r="Q1148">
        <v>29.103886619535619</v>
      </c>
      <c r="R1148">
        <v>20.91548307832231</v>
      </c>
      <c r="S1148">
        <v>6.3166751009892881</v>
      </c>
      <c r="T1148">
        <v>14.179447402189396</v>
      </c>
      <c r="U1148">
        <f>AVERAGE(G1148:T1148)</f>
        <v>14.334692056156232</v>
      </c>
      <c r="V1148" t="str">
        <f t="shared" si="138"/>
        <v>2018/19Expenditure driversNetwork ReinforcementActual</v>
      </c>
    </row>
    <row r="1149" spans="1:22">
      <c r="A1149" s="900" t="s">
        <v>140</v>
      </c>
      <c r="B1149" s="900"/>
      <c r="C1149" s="900" t="s">
        <v>1344</v>
      </c>
      <c r="D1149" t="s">
        <v>682</v>
      </c>
      <c r="E1149" t="s">
        <v>602</v>
      </c>
      <c r="F1149" t="s">
        <v>1289</v>
      </c>
      <c r="G1149">
        <v>-12.475483129439247</v>
      </c>
      <c r="H1149">
        <v>-6.1456629665016642</v>
      </c>
      <c r="I1149">
        <v>-9.6983982644615363</v>
      </c>
      <c r="J1149">
        <v>-22.500162926166286</v>
      </c>
      <c r="K1149">
        <v>-4.2155387971864577</v>
      </c>
      <c r="L1149">
        <v>-8.7260709292787997</v>
      </c>
      <c r="M1149">
        <v>-6.894772116949504</v>
      </c>
      <c r="N1149">
        <v>-35.328505927826669</v>
      </c>
      <c r="O1149">
        <v>-17.422693207247075</v>
      </c>
      <c r="P1149">
        <v>-40.04066786770327</v>
      </c>
      <c r="Q1149">
        <v>4.0626561798397205</v>
      </c>
      <c r="R1149">
        <v>0.9808893275377315</v>
      </c>
      <c r="S1149">
        <v>-13.047670666368676</v>
      </c>
      <c r="T1149">
        <v>-23.907903929371585</v>
      </c>
      <c r="U1149">
        <f>U1148-U1147</f>
        <v>-13.954284658651662</v>
      </c>
      <c r="V1149" t="str">
        <f t="shared" si="138"/>
        <v>2018/19Expenditure driversNetwork ReinforcementDifference</v>
      </c>
    </row>
    <row r="1150" spans="1:22">
      <c r="A1150" s="900" t="s">
        <v>140</v>
      </c>
      <c r="B1150" s="900"/>
      <c r="C1150" s="900" t="s">
        <v>1344</v>
      </c>
      <c r="D1150" t="s">
        <v>682</v>
      </c>
      <c r="E1150" t="s">
        <v>1346</v>
      </c>
      <c r="F1150" t="s">
        <v>606</v>
      </c>
      <c r="G1150" s="829">
        <v>-0.6094129769022093</v>
      </c>
      <c r="H1150" s="829">
        <v>-0.37268693384311724</v>
      </c>
      <c r="I1150" s="829">
        <v>-0.52566812548365704</v>
      </c>
      <c r="J1150" s="829">
        <v>-0.63626792142126276</v>
      </c>
      <c r="K1150" s="829">
        <v>-0.11999443843262907</v>
      </c>
      <c r="L1150" s="829">
        <v>-0.66859795796508059</v>
      </c>
      <c r="M1150" s="829">
        <v>-0.39515291061926755</v>
      </c>
      <c r="N1150" s="829">
        <v>-0.66309690892696793</v>
      </c>
      <c r="O1150" s="829">
        <v>-0.52948298486435852</v>
      </c>
      <c r="P1150" s="829">
        <v>-0.78464365317611073</v>
      </c>
      <c r="Q1150" s="829">
        <v>0.16223868030859659</v>
      </c>
      <c r="R1150" s="829">
        <v>4.9205383355210137E-2</v>
      </c>
      <c r="S1150" s="829">
        <v>-0.67379868254381392</v>
      </c>
      <c r="T1150" s="829">
        <v>-0.62771243191070536</v>
      </c>
      <c r="U1150" s="829">
        <f>U1149/U1147</f>
        <v>-0.49327640230080422</v>
      </c>
      <c r="V1150" t="str">
        <f t="shared" si="138"/>
        <v>2018/19Expenditure driversNetwork ReinforcementDifference %</v>
      </c>
    </row>
    <row r="1151" spans="1:22">
      <c r="A1151" s="900" t="s">
        <v>141</v>
      </c>
      <c r="B1151" s="900"/>
      <c r="C1151" s="900" t="s">
        <v>1344</v>
      </c>
      <c r="D1151" t="s">
        <v>682</v>
      </c>
      <c r="E1151" t="s">
        <v>297</v>
      </c>
      <c r="F1151" t="s">
        <v>1289</v>
      </c>
      <c r="G1151" s="229">
        <f t="array" ref="G1151:T1154">TRANSPOSE('Ch4 expenditure drivers'!AZ171:BC184)</f>
        <v>19.294219605170674</v>
      </c>
      <c r="H1151" s="229">
        <v>20.306493929939727</v>
      </c>
      <c r="I1151" s="229">
        <v>24.123992575760212</v>
      </c>
      <c r="J1151" s="229">
        <v>38.320863016977597</v>
      </c>
      <c r="K1151" s="229">
        <v>32.737819718045579</v>
      </c>
      <c r="L1151" s="229">
        <v>12.175732868865509</v>
      </c>
      <c r="M1151" s="229">
        <v>18.640550083134656</v>
      </c>
      <c r="N1151" s="229">
        <v>61.00257218470874</v>
      </c>
      <c r="O1151" s="229">
        <v>26.869306665756767</v>
      </c>
      <c r="P1151" s="229">
        <v>54.560719568097355</v>
      </c>
      <c r="Q1151" s="229">
        <v>18.862966231981883</v>
      </c>
      <c r="R1151" s="229">
        <v>18.269804657105482</v>
      </c>
      <c r="S1151" s="229">
        <v>24.621798372117969</v>
      </c>
      <c r="T1151" s="229">
        <v>23.350904333733208</v>
      </c>
      <c r="U1151" s="229">
        <f>AVERAGE(G1151:T1151)</f>
        <v>28.081267415099667</v>
      </c>
      <c r="V1151" t="str">
        <f t="shared" si="138"/>
        <v>2019/20Expenditure driversNetwork ReinforcementAllowance</v>
      </c>
    </row>
    <row r="1152" spans="1:22">
      <c r="A1152" s="900" t="s">
        <v>141</v>
      </c>
      <c r="B1152" s="900"/>
      <c r="C1152" s="900" t="s">
        <v>1344</v>
      </c>
      <c r="D1152" t="s">
        <v>682</v>
      </c>
      <c r="E1152" t="s">
        <v>298</v>
      </c>
      <c r="F1152" t="s">
        <v>1289</v>
      </c>
      <c r="G1152" s="229">
        <v>14.917299167771645</v>
      </c>
      <c r="H1152" s="229">
        <v>10.859672966078012</v>
      </c>
      <c r="I1152" s="229">
        <v>8.4479790661391654</v>
      </c>
      <c r="J1152" s="229">
        <v>13.594761759140113</v>
      </c>
      <c r="K1152" s="229">
        <v>33.312754782171886</v>
      </c>
      <c r="L1152" s="229">
        <v>3.729288186841544</v>
      </c>
      <c r="M1152" s="229">
        <v>8.6537814410855969</v>
      </c>
      <c r="N1152" s="229">
        <v>31.259451457448542</v>
      </c>
      <c r="O1152" s="229">
        <v>13.953227647006841</v>
      </c>
      <c r="P1152" s="229">
        <v>13.803302426077446</v>
      </c>
      <c r="Q1152" s="229">
        <v>26.038243949100931</v>
      </c>
      <c r="R1152" s="229">
        <v>14.521646945887055</v>
      </c>
      <c r="S1152" s="229">
        <v>12.231917685649858</v>
      </c>
      <c r="T1152" s="229">
        <v>23.796752699080219</v>
      </c>
      <c r="U1152" s="229">
        <f>AVERAGE(G1152:T1152)</f>
        <v>16.365720012819917</v>
      </c>
      <c r="V1152" t="str">
        <f t="shared" si="138"/>
        <v>2019/20Expenditure driversNetwork ReinforcementActual</v>
      </c>
    </row>
    <row r="1153" spans="1:22">
      <c r="A1153" s="900" t="s">
        <v>141</v>
      </c>
      <c r="B1153" s="900"/>
      <c r="C1153" s="900" t="s">
        <v>1344</v>
      </c>
      <c r="D1153" t="s">
        <v>682</v>
      </c>
      <c r="E1153" t="s">
        <v>602</v>
      </c>
      <c r="F1153" t="s">
        <v>1289</v>
      </c>
      <c r="G1153" s="229">
        <v>-4.3769204373990291</v>
      </c>
      <c r="H1153" s="229">
        <v>-9.4468209638617147</v>
      </c>
      <c r="I1153" s="229">
        <v>-15.676013509621047</v>
      </c>
      <c r="J1153" s="229">
        <v>-24.726101257837485</v>
      </c>
      <c r="K1153" s="229">
        <v>0.57493506412630779</v>
      </c>
      <c r="L1153" s="229">
        <v>-8.4464446820239658</v>
      </c>
      <c r="M1153" s="229">
        <v>-9.9867686420490589</v>
      </c>
      <c r="N1153" s="229">
        <v>-29.743120727260198</v>
      </c>
      <c r="O1153" s="229">
        <v>-12.916079018749926</v>
      </c>
      <c r="P1153" s="229">
        <v>-40.757417142019911</v>
      </c>
      <c r="Q1153" s="229">
        <v>7.175277717119048</v>
      </c>
      <c r="R1153" s="229">
        <v>-3.7481577112184272</v>
      </c>
      <c r="S1153" s="229">
        <v>-12.389880686468111</v>
      </c>
      <c r="T1153" s="229">
        <v>0.44584836534701111</v>
      </c>
      <c r="U1153" s="229">
        <f>U1152-U1151</f>
        <v>-11.71554740227975</v>
      </c>
      <c r="V1153" t="str">
        <f t="shared" si="138"/>
        <v>2019/20Expenditure driversNetwork ReinforcementDifference</v>
      </c>
    </row>
    <row r="1154" spans="1:22">
      <c r="A1154" s="900" t="s">
        <v>141</v>
      </c>
      <c r="B1154" s="900"/>
      <c r="C1154" s="900" t="s">
        <v>1344</v>
      </c>
      <c r="D1154" t="s">
        <v>682</v>
      </c>
      <c r="E1154" t="s">
        <v>1346</v>
      </c>
      <c r="F1154" t="s">
        <v>606</v>
      </c>
      <c r="G1154" s="829">
        <v>-0.22685138486897155</v>
      </c>
      <c r="H1154" s="829">
        <v>-0.4652118182712674</v>
      </c>
      <c r="I1154" s="829">
        <v>-0.64981007850965367</v>
      </c>
      <c r="J1154" s="829">
        <v>-0.64523863272293436</v>
      </c>
      <c r="K1154" s="829">
        <v>1.7561800665955616E-2</v>
      </c>
      <c r="L1154" s="829">
        <v>-0.69371139897642764</v>
      </c>
      <c r="M1154" s="829">
        <v>-0.53575503928313528</v>
      </c>
      <c r="N1154" s="829">
        <v>-0.48757158365718523</v>
      </c>
      <c r="O1154" s="829">
        <v>-0.48070012298496156</v>
      </c>
      <c r="P1154" s="829">
        <v>-0.7470102569147844</v>
      </c>
      <c r="Q1154" s="829">
        <v>0.38038968149948071</v>
      </c>
      <c r="R1154" s="829">
        <v>-0.20515587230215382</v>
      </c>
      <c r="S1154" s="829">
        <v>-0.50320778763660767</v>
      </c>
      <c r="T1154" s="829">
        <v>1.9093408930759448E-2</v>
      </c>
      <c r="U1154" s="829">
        <f>U1153/U1151</f>
        <v>-0.41720151833247193</v>
      </c>
      <c r="V1154" t="str">
        <f t="shared" si="138"/>
        <v>2019/20Expenditure driversNetwork ReinforcementDifference %</v>
      </c>
    </row>
    <row r="1155" spans="1:22">
      <c r="A1155" s="900" t="s">
        <v>126</v>
      </c>
      <c r="B1155" s="900"/>
      <c r="C1155" s="900" t="s">
        <v>1344</v>
      </c>
      <c r="D1155" t="s">
        <v>682</v>
      </c>
      <c r="E1155" t="s">
        <v>297</v>
      </c>
      <c r="F1155" t="s">
        <v>1289</v>
      </c>
      <c r="G1155" s="229" cm="1">
        <f t="array" ref="G1155:T1158">TRANSPOSE('Ch4 expenditure drivers'!BE171:BH184)</f>
        <v>20.949276826893804</v>
      </c>
      <c r="H1155" s="229">
        <v>16.865956479636296</v>
      </c>
      <c r="I1155" s="229">
        <v>19.668049360032903</v>
      </c>
      <c r="J1155" s="229">
        <v>34.611003320287111</v>
      </c>
      <c r="K1155" s="229">
        <v>43.408522309968589</v>
      </c>
      <c r="L1155" s="229">
        <v>11.968583425932191</v>
      </c>
      <c r="M1155" s="229">
        <v>18.567992561670344</v>
      </c>
      <c r="N1155" s="229">
        <v>59.436301724847979</v>
      </c>
      <c r="O1155" s="229">
        <v>26.572369167907876</v>
      </c>
      <c r="P1155" s="229">
        <v>60.285388972125347</v>
      </c>
      <c r="Q1155" s="229">
        <v>17.819484751041834</v>
      </c>
      <c r="R1155" s="229">
        <v>29.142261549470323</v>
      </c>
      <c r="S1155" s="229">
        <v>24.008179950152083</v>
      </c>
      <c r="T1155" s="229">
        <v>34.943374669198271</v>
      </c>
      <c r="U1155" s="229">
        <f>AVERAGE(G1155:T1155)</f>
        <v>29.874767504940358</v>
      </c>
      <c r="V1155" t="str">
        <f t="shared" si="138"/>
        <v>2020/21Expenditure driversNetwork ReinforcementAllowance</v>
      </c>
    </row>
    <row r="1156" spans="1:22">
      <c r="A1156" s="900" t="s">
        <v>126</v>
      </c>
      <c r="B1156" s="900"/>
      <c r="C1156" s="900" t="s">
        <v>1344</v>
      </c>
      <c r="D1156" t="s">
        <v>682</v>
      </c>
      <c r="E1156" t="s">
        <v>298</v>
      </c>
      <c r="F1156" t="s">
        <v>1289</v>
      </c>
      <c r="G1156" s="229">
        <v>17.784778971018106</v>
      </c>
      <c r="H1156" s="229">
        <v>11.98446649114884</v>
      </c>
      <c r="I1156" s="229">
        <v>9.6871765547208355</v>
      </c>
      <c r="J1156" s="229">
        <v>43.449369196197992</v>
      </c>
      <c r="K1156" s="229">
        <v>45.870172837877817</v>
      </c>
      <c r="L1156" s="229">
        <v>14.162556281296</v>
      </c>
      <c r="M1156" s="229">
        <v>16.436633877355384</v>
      </c>
      <c r="N1156" s="229">
        <v>27.879245189338182</v>
      </c>
      <c r="O1156" s="229">
        <v>11.873214247326448</v>
      </c>
      <c r="P1156" s="229">
        <v>19.277663043738251</v>
      </c>
      <c r="Q1156" s="229">
        <v>31.423988300415594</v>
      </c>
      <c r="R1156" s="229">
        <v>11.375142700624846</v>
      </c>
      <c r="S1156" s="229">
        <v>9.6661342153334306</v>
      </c>
      <c r="T1156" s="229">
        <v>31.337944041265892</v>
      </c>
      <c r="U1156" s="229">
        <f>AVERAGE(G1156:T1156)</f>
        <v>21.586320424832682</v>
      </c>
      <c r="V1156" t="str">
        <f t="shared" si="138"/>
        <v>2020/21Expenditure driversNetwork ReinforcementActual</v>
      </c>
    </row>
    <row r="1157" spans="1:22">
      <c r="A1157" s="900" t="s">
        <v>126</v>
      </c>
      <c r="B1157" s="900"/>
      <c r="C1157" s="900" t="s">
        <v>1344</v>
      </c>
      <c r="D1157" t="s">
        <v>682</v>
      </c>
      <c r="E1157" t="s">
        <v>602</v>
      </c>
      <c r="F1157" t="s">
        <v>1289</v>
      </c>
      <c r="G1157" s="229">
        <v>-3.1644978558756982</v>
      </c>
      <c r="H1157" s="229">
        <v>-4.8814899884874556</v>
      </c>
      <c r="I1157" s="229">
        <v>-9.9808728053120674</v>
      </c>
      <c r="J1157" s="229">
        <v>8.8383658759108812</v>
      </c>
      <c r="K1157" s="229">
        <v>2.461650527909228</v>
      </c>
      <c r="L1157" s="229">
        <v>2.1939728553638087</v>
      </c>
      <c r="M1157" s="229">
        <v>-2.1313586843149608</v>
      </c>
      <c r="N1157" s="229">
        <v>-31.557056535509798</v>
      </c>
      <c r="O1157" s="229">
        <v>-14.699154920581428</v>
      </c>
      <c r="P1157" s="229">
        <v>-41.007725928387096</v>
      </c>
      <c r="Q1157" s="229">
        <v>13.60450354937376</v>
      </c>
      <c r="R1157" s="229">
        <v>-17.767118848845477</v>
      </c>
      <c r="S1157" s="229">
        <v>-14.342045734818653</v>
      </c>
      <c r="T1157" s="229">
        <v>-3.6054306279323782</v>
      </c>
      <c r="U1157" s="229">
        <f>U1156-U1155</f>
        <v>-8.2884470801076766</v>
      </c>
      <c r="V1157" t="str">
        <f t="shared" si="138"/>
        <v>2020/21Expenditure driversNetwork ReinforcementDifference</v>
      </c>
    </row>
    <row r="1158" spans="1:22">
      <c r="A1158" s="900" t="s">
        <v>126</v>
      </c>
      <c r="B1158" s="900"/>
      <c r="C1158" s="900" t="s">
        <v>1344</v>
      </c>
      <c r="D1158" t="s">
        <v>682</v>
      </c>
      <c r="E1158" t="s">
        <v>1346</v>
      </c>
      <c r="F1158" t="s">
        <v>606</v>
      </c>
      <c r="G1158" s="829">
        <v>-0.15105523126283998</v>
      </c>
      <c r="H1158" s="829">
        <v>-0.28942858914531733</v>
      </c>
      <c r="I1158" s="829">
        <v>-0.50746632889756849</v>
      </c>
      <c r="J1158" s="829">
        <v>0.25536289122050115</v>
      </c>
      <c r="K1158" s="829">
        <v>5.6708922509069608E-2</v>
      </c>
      <c r="L1158" s="829">
        <v>0.18331098821688063</v>
      </c>
      <c r="M1158" s="829">
        <v>-0.11478670498364459</v>
      </c>
      <c r="N1158" s="829">
        <v>-0.53093909983832377</v>
      </c>
      <c r="O1158" s="829">
        <v>-0.55317442068108735</v>
      </c>
      <c r="P1158" s="829">
        <v>-0.68022661257685801</v>
      </c>
      <c r="Q1158" s="829">
        <v>0.76346222909606631</v>
      </c>
      <c r="R1158" s="829">
        <v>-0.60966849874313911</v>
      </c>
      <c r="S1158" s="829">
        <v>-0.59738163261841937</v>
      </c>
      <c r="T1158" s="829">
        <v>-0.10317923389095207</v>
      </c>
      <c r="U1158" s="829">
        <f>U1157/U1155</f>
        <v>-0.27743971827519748</v>
      </c>
      <c r="V1158" t="str">
        <f t="shared" si="138"/>
        <v>2020/21Expenditure driversNetwork ReinforcementDifference %</v>
      </c>
    </row>
    <row r="1159" spans="1:22">
      <c r="A1159" s="900" t="s">
        <v>142</v>
      </c>
      <c r="B1159" s="900"/>
      <c r="C1159" s="900" t="s">
        <v>1344</v>
      </c>
      <c r="D1159" t="s">
        <v>682</v>
      </c>
      <c r="E1159" t="s">
        <v>297</v>
      </c>
      <c r="F1159" t="s">
        <v>1289</v>
      </c>
      <c r="G1159" s="829" cm="1">
        <f t="array" ref="G1159:T1162">TRANSPOSE('Ch4 expenditure drivers'!BJ171:BM184)</f>
        <v>28.2503607646711</v>
      </c>
      <c r="H1159" s="829">
        <v>10.362960602837516</v>
      </c>
      <c r="I1159" s="829">
        <v>15.367799917816409</v>
      </c>
      <c r="J1159" s="829">
        <v>39.543791261602891</v>
      </c>
      <c r="K1159" s="829">
        <v>60.769662900154941</v>
      </c>
      <c r="L1159" s="829">
        <v>8.0792375861236145</v>
      </c>
      <c r="M1159" s="829">
        <v>19.654481611735847</v>
      </c>
      <c r="N1159" s="829">
        <v>52.147411033441713</v>
      </c>
      <c r="O1159" s="829">
        <v>35.008168501754227</v>
      </c>
      <c r="P1159" s="829">
        <v>63.344837200870835</v>
      </c>
      <c r="Q1159" s="829">
        <v>18.75886471120188</v>
      </c>
      <c r="R1159" s="829">
        <v>30.117168013969163</v>
      </c>
      <c r="S1159" s="829">
        <v>28.815034582671906</v>
      </c>
      <c r="T1159" s="829">
        <v>49.138335010566884</v>
      </c>
      <c r="U1159" s="229">
        <f>AVERAGE(G1159:T1159)</f>
        <v>32.811293835672771</v>
      </c>
      <c r="V1159" t="str">
        <f t="shared" ref="V1159:V1162" si="141">CONCATENATE(A1159,B1159,C1159,D1159,E1159)</f>
        <v>2021/22Expenditure driversNetwork ReinforcementAllowance</v>
      </c>
    </row>
    <row r="1160" spans="1:22">
      <c r="A1160" s="900" t="s">
        <v>142</v>
      </c>
      <c r="B1160" s="900"/>
      <c r="C1160" s="900" t="s">
        <v>1344</v>
      </c>
      <c r="D1160" t="s">
        <v>682</v>
      </c>
      <c r="E1160" t="s">
        <v>298</v>
      </c>
      <c r="F1160" t="s">
        <v>1289</v>
      </c>
      <c r="G1160" s="829">
        <v>26.966661558908939</v>
      </c>
      <c r="H1160" s="829">
        <v>13.045304059160625</v>
      </c>
      <c r="I1160" s="829">
        <v>14.07212031330908</v>
      </c>
      <c r="J1160" s="829">
        <v>64.671000000000006</v>
      </c>
      <c r="K1160" s="829">
        <v>54.716799999999992</v>
      </c>
      <c r="L1160" s="829">
        <v>19.392299999999999</v>
      </c>
      <c r="M1160" s="829">
        <v>19.029300000000003</v>
      </c>
      <c r="N1160" s="829">
        <v>32.974973746571685</v>
      </c>
      <c r="O1160" s="829">
        <v>21.548686854603634</v>
      </c>
      <c r="P1160" s="829">
        <v>20.242621654309215</v>
      </c>
      <c r="Q1160" s="829">
        <v>26.517668720983153</v>
      </c>
      <c r="R1160" s="829">
        <v>28.747734777527398</v>
      </c>
      <c r="S1160" s="829">
        <v>18.618369896136631</v>
      </c>
      <c r="T1160" s="829">
        <v>23.612897046825257</v>
      </c>
      <c r="U1160" s="229">
        <f>AVERAGE(G1160:T1160)</f>
        <v>27.439745616309693</v>
      </c>
      <c r="V1160" t="str">
        <f t="shared" si="141"/>
        <v>2021/22Expenditure driversNetwork ReinforcementActual</v>
      </c>
    </row>
    <row r="1161" spans="1:22">
      <c r="A1161" s="900" t="s">
        <v>142</v>
      </c>
      <c r="B1161" s="900"/>
      <c r="C1161" s="900" t="s">
        <v>1344</v>
      </c>
      <c r="D1161" t="s">
        <v>682</v>
      </c>
      <c r="E1161" t="s">
        <v>602</v>
      </c>
      <c r="F1161" t="s">
        <v>1289</v>
      </c>
      <c r="G1161" s="829">
        <v>-1.2836992057621615</v>
      </c>
      <c r="H1161" s="829">
        <v>2.6823434563231086</v>
      </c>
      <c r="I1161" s="829">
        <v>-1.2956796045073293</v>
      </c>
      <c r="J1161" s="829">
        <v>25.127208738397115</v>
      </c>
      <c r="K1161" s="829">
        <v>-6.052862900154949</v>
      </c>
      <c r="L1161" s="829">
        <v>11.313062413876384</v>
      </c>
      <c r="M1161" s="829">
        <v>-0.62518161173584375</v>
      </c>
      <c r="N1161" s="829">
        <v>-19.172437286870029</v>
      </c>
      <c r="O1161" s="829">
        <v>-13.459481647150593</v>
      </c>
      <c r="P1161" s="829">
        <v>-43.102215546561624</v>
      </c>
      <c r="Q1161" s="829">
        <v>7.7588040097812723</v>
      </c>
      <c r="R1161" s="829">
        <v>-1.3694332364417647</v>
      </c>
      <c r="S1161" s="829">
        <v>-10.196664686535275</v>
      </c>
      <c r="T1161" s="829">
        <v>-25.525437963741627</v>
      </c>
      <c r="U1161" s="229">
        <f>U1160-U1159</f>
        <v>-5.3715482193630777</v>
      </c>
      <c r="V1161" t="str">
        <f t="shared" si="141"/>
        <v>2021/22Expenditure driversNetwork ReinforcementDifference</v>
      </c>
    </row>
    <row r="1162" spans="1:22">
      <c r="A1162" s="900" t="s">
        <v>142</v>
      </c>
      <c r="B1162" s="900"/>
      <c r="C1162" s="900" t="s">
        <v>1344</v>
      </c>
      <c r="D1162" t="s">
        <v>682</v>
      </c>
      <c r="E1162" t="s">
        <v>1346</v>
      </c>
      <c r="F1162" t="s">
        <v>606</v>
      </c>
      <c r="G1162" s="829">
        <v>-4.5440099560339425E-2</v>
      </c>
      <c r="H1162" s="829">
        <v>0.25883949183292732</v>
      </c>
      <c r="I1162" s="829">
        <v>-8.4311327023798913E-2</v>
      </c>
      <c r="J1162" s="829">
        <v>0.63542740685048305</v>
      </c>
      <c r="K1162" s="829">
        <v>-9.9603364759482921E-2</v>
      </c>
      <c r="L1162" s="829">
        <v>1.4002636131541646</v>
      </c>
      <c r="M1162" s="829">
        <v>-3.1808603456757817E-2</v>
      </c>
      <c r="N1162" s="829">
        <v>-0.36765846869319935</v>
      </c>
      <c r="O1162" s="829">
        <v>-0.38446688939114743</v>
      </c>
      <c r="P1162" s="829">
        <v>-0.6804377033898048</v>
      </c>
      <c r="Q1162" s="829">
        <v>0.41360733334507671</v>
      </c>
      <c r="R1162" s="829">
        <v>-4.5470186167789223E-2</v>
      </c>
      <c r="S1162" s="829">
        <v>-0.35386612697897302</v>
      </c>
      <c r="T1162" s="829">
        <v>-0.519460782671056</v>
      </c>
      <c r="U1162" s="829">
        <f>U1161/U1159</f>
        <v>-0.16371034456200187</v>
      </c>
      <c r="V1162" t="str">
        <f t="shared" si="141"/>
        <v>2021/22Expenditure driversNetwork ReinforcementDifference %</v>
      </c>
    </row>
    <row r="1163" spans="1:22">
      <c r="A1163" s="900" t="s">
        <v>137</v>
      </c>
      <c r="B1163" s="900"/>
      <c r="C1163" s="900" t="s">
        <v>1344</v>
      </c>
      <c r="D1163" t="s">
        <v>51</v>
      </c>
      <c r="E1163" t="s">
        <v>1347</v>
      </c>
      <c r="F1163" t="s">
        <v>1289</v>
      </c>
      <c r="G1163">
        <f t="array" ref="G1163:T1170">TRANSPOSE('Ch4 expenditure drivers'!E191:L204)</f>
        <v>93.914422881307843</v>
      </c>
      <c r="H1163">
        <v>69.695882813869289</v>
      </c>
      <c r="I1163">
        <v>92.336714007909336</v>
      </c>
      <c r="J1163">
        <v>88.53651592238873</v>
      </c>
      <c r="K1163">
        <v>76.614681914321309</v>
      </c>
      <c r="L1163">
        <v>46.526107352578101</v>
      </c>
      <c r="M1163">
        <v>73.871305336232126</v>
      </c>
      <c r="N1163">
        <v>78.223621529620772</v>
      </c>
      <c r="O1163">
        <v>63.719388718672029</v>
      </c>
      <c r="P1163">
        <v>92.158426147339625</v>
      </c>
      <c r="Q1163">
        <v>72.291321225964154</v>
      </c>
      <c r="R1163">
        <v>118.19644892771274</v>
      </c>
      <c r="S1163">
        <v>40.536233743342258</v>
      </c>
      <c r="T1163">
        <v>102.96261806256419</v>
      </c>
      <c r="U1163">
        <f>AVERAGE(G1163:T1163)</f>
        <v>79.255977755987303</v>
      </c>
      <c r="V1163" t="str">
        <f t="shared" si="138"/>
        <v>2015/16Expenditure driversReplacing and refurbishing equipmentBPDT</v>
      </c>
    </row>
    <row r="1164" spans="1:22">
      <c r="A1164" s="900" t="s">
        <v>138</v>
      </c>
      <c r="B1164" s="900"/>
      <c r="C1164" s="900" t="s">
        <v>1344</v>
      </c>
      <c r="D1164" t="s">
        <v>51</v>
      </c>
      <c r="E1164" t="s">
        <v>1347</v>
      </c>
      <c r="F1164" t="s">
        <v>1289</v>
      </c>
      <c r="G1164">
        <v>85.115369360380356</v>
      </c>
      <c r="H1164">
        <v>72.372752717382312</v>
      </c>
      <c r="I1164">
        <v>90.687438695068096</v>
      </c>
      <c r="J1164">
        <v>90.261965990586589</v>
      </c>
      <c r="K1164">
        <v>77.162909931590136</v>
      </c>
      <c r="L1164">
        <v>48.150416299224716</v>
      </c>
      <c r="M1164">
        <v>74.093543966559125</v>
      </c>
      <c r="N1164">
        <v>80.270599629390631</v>
      </c>
      <c r="O1164">
        <v>75.904088811841618</v>
      </c>
      <c r="P1164">
        <v>93.817540323994592</v>
      </c>
      <c r="Q1164">
        <v>74.880097647238841</v>
      </c>
      <c r="R1164">
        <v>144.92096881588034</v>
      </c>
      <c r="S1164">
        <v>40.343345779669733</v>
      </c>
      <c r="T1164">
        <v>105.70912583364893</v>
      </c>
      <c r="U1164">
        <f t="shared" ref="U1164:U1195" si="142">AVERAGE(G1164:T1164)</f>
        <v>82.406440271603984</v>
      </c>
      <c r="V1164" t="str">
        <f t="shared" si="138"/>
        <v>2016/17Expenditure driversReplacing and refurbishing equipmentBPDT</v>
      </c>
    </row>
    <row r="1165" spans="1:22">
      <c r="A1165" s="900" t="s">
        <v>139</v>
      </c>
      <c r="B1165" s="900"/>
      <c r="C1165" s="900" t="s">
        <v>1344</v>
      </c>
      <c r="D1165" t="s">
        <v>51</v>
      </c>
      <c r="E1165" t="s">
        <v>1347</v>
      </c>
      <c r="F1165" t="s">
        <v>1289</v>
      </c>
      <c r="G1165">
        <v>94.912014569569109</v>
      </c>
      <c r="H1165">
        <v>67.30996726613904</v>
      </c>
      <c r="I1165">
        <v>90.848819922705857</v>
      </c>
      <c r="J1165">
        <v>85.506687429093489</v>
      </c>
      <c r="K1165">
        <v>71.53471461229779</v>
      </c>
      <c r="L1165">
        <v>48.054956758438053</v>
      </c>
      <c r="M1165">
        <v>74.337217800443867</v>
      </c>
      <c r="N1165">
        <v>63.087980493682132</v>
      </c>
      <c r="O1165">
        <v>69.18590551956936</v>
      </c>
      <c r="P1165">
        <v>101.9224270094516</v>
      </c>
      <c r="Q1165">
        <v>75.341310124713459</v>
      </c>
      <c r="R1165">
        <v>123.22805696298065</v>
      </c>
      <c r="S1165">
        <v>40.071958003186388</v>
      </c>
      <c r="T1165">
        <v>107.76539408947697</v>
      </c>
      <c r="U1165">
        <f t="shared" si="142"/>
        <v>79.507672182981977</v>
      </c>
      <c r="V1165" t="str">
        <f t="shared" ref="V1165:V1233" si="143">CONCATENATE(A1165,B1165,C1165,D1165,E1165)</f>
        <v>2017/18Expenditure driversReplacing and refurbishing equipmentBPDT</v>
      </c>
    </row>
    <row r="1166" spans="1:22">
      <c r="A1166" s="900" t="s">
        <v>140</v>
      </c>
      <c r="B1166" s="900"/>
      <c r="C1166" s="900" t="s">
        <v>1344</v>
      </c>
      <c r="D1166" t="s">
        <v>51</v>
      </c>
      <c r="E1166" t="s">
        <v>1347</v>
      </c>
      <c r="F1166" t="s">
        <v>1289</v>
      </c>
      <c r="G1166">
        <v>87.362967514975949</v>
      </c>
      <c r="H1166">
        <v>67.254558588291033</v>
      </c>
      <c r="I1166">
        <v>92.259000684635183</v>
      </c>
      <c r="J1166">
        <v>86.926786170508677</v>
      </c>
      <c r="K1166">
        <v>72.300307711399441</v>
      </c>
      <c r="L1166">
        <v>50.341171148307588</v>
      </c>
      <c r="M1166">
        <v>74.562639684096226</v>
      </c>
      <c r="N1166">
        <v>55.657618819304901</v>
      </c>
      <c r="O1166">
        <v>65.586378347875268</v>
      </c>
      <c r="P1166">
        <v>105.83124396928844</v>
      </c>
      <c r="Q1166">
        <v>71.534535612939607</v>
      </c>
      <c r="R1166">
        <v>106.96261540892473</v>
      </c>
      <c r="S1166">
        <v>40.510868392566238</v>
      </c>
      <c r="T1166">
        <v>101.97012340426934</v>
      </c>
      <c r="U1166">
        <f t="shared" si="142"/>
        <v>77.075772532670186</v>
      </c>
      <c r="V1166" t="str">
        <f t="shared" si="143"/>
        <v>2018/19Expenditure driversReplacing and refurbishing equipmentBPDT</v>
      </c>
    </row>
    <row r="1167" spans="1:22">
      <c r="A1167" s="900" t="s">
        <v>141</v>
      </c>
      <c r="B1167" s="900"/>
      <c r="C1167" s="900" t="s">
        <v>1344</v>
      </c>
      <c r="D1167" t="s">
        <v>51</v>
      </c>
      <c r="E1167" t="s">
        <v>1347</v>
      </c>
      <c r="F1167" t="s">
        <v>1289</v>
      </c>
      <c r="G1167">
        <v>100.27465464794203</v>
      </c>
      <c r="H1167">
        <v>65.841624706686687</v>
      </c>
      <c r="I1167">
        <v>79.356189331110599</v>
      </c>
      <c r="J1167">
        <v>87.360411827867935</v>
      </c>
      <c r="K1167">
        <v>72.7629608372647</v>
      </c>
      <c r="L1167">
        <v>50.405700454574102</v>
      </c>
      <c r="M1167">
        <v>75.839452669599083</v>
      </c>
      <c r="N1167">
        <v>58.688079363116287</v>
      </c>
      <c r="O1167">
        <v>64.559476690210616</v>
      </c>
      <c r="P1167">
        <v>104.47741335920423</v>
      </c>
      <c r="Q1167">
        <v>70.60154429303644</v>
      </c>
      <c r="R1167">
        <v>106.46043174885773</v>
      </c>
      <c r="S1167">
        <v>42.429067062687999</v>
      </c>
      <c r="T1167">
        <v>102.38551696529936</v>
      </c>
      <c r="U1167">
        <f t="shared" si="142"/>
        <v>77.245894568389843</v>
      </c>
      <c r="V1167" t="str">
        <f t="shared" si="143"/>
        <v>2019/20Expenditure driversReplacing and refurbishing equipmentBPDT</v>
      </c>
    </row>
    <row r="1168" spans="1:22">
      <c r="A1168" s="900" t="s">
        <v>126</v>
      </c>
      <c r="B1168" s="900"/>
      <c r="C1168" s="900" t="s">
        <v>1344</v>
      </c>
      <c r="D1168" t="s">
        <v>51</v>
      </c>
      <c r="E1168" t="s">
        <v>1347</v>
      </c>
      <c r="F1168" t="s">
        <v>1289</v>
      </c>
      <c r="G1168">
        <v>98.116775730075489</v>
      </c>
      <c r="H1168">
        <v>55.919116292865489</v>
      </c>
      <c r="I1168">
        <v>77.050534129547032</v>
      </c>
      <c r="J1168">
        <v>88.022352213140493</v>
      </c>
      <c r="K1168">
        <v>74.505125166866122</v>
      </c>
      <c r="L1168">
        <v>50.091261779024101</v>
      </c>
      <c r="M1168">
        <v>76.569875850767431</v>
      </c>
      <c r="N1168">
        <v>58.694590613434997</v>
      </c>
      <c r="O1168">
        <v>62.113252288926539</v>
      </c>
      <c r="P1168">
        <v>96.590792124144102</v>
      </c>
      <c r="Q1168">
        <v>69.979093197610737</v>
      </c>
      <c r="R1168">
        <v>110.75075440862356</v>
      </c>
      <c r="S1168">
        <v>42.888297767940919</v>
      </c>
      <c r="T1168">
        <v>96.761132022231564</v>
      </c>
      <c r="U1168">
        <f t="shared" si="142"/>
        <v>75.57521097037133</v>
      </c>
      <c r="V1168" t="str">
        <f t="shared" si="143"/>
        <v>2020/21Expenditure driversReplacing and refurbishing equipmentBPDT</v>
      </c>
    </row>
    <row r="1169" spans="1:22">
      <c r="A1169" s="900" t="s">
        <v>142</v>
      </c>
      <c r="B1169" s="900"/>
      <c r="C1169" s="900" t="s">
        <v>1344</v>
      </c>
      <c r="D1169" t="s">
        <v>51</v>
      </c>
      <c r="E1169" t="s">
        <v>1347</v>
      </c>
      <c r="F1169" t="s">
        <v>1289</v>
      </c>
      <c r="G1169">
        <v>98.489915729290431</v>
      </c>
      <c r="H1169">
        <v>48.463236443565108</v>
      </c>
      <c r="I1169">
        <v>63.758619568195023</v>
      </c>
      <c r="J1169">
        <v>88.748942101539797</v>
      </c>
      <c r="K1169">
        <v>75.259729102703574</v>
      </c>
      <c r="L1169">
        <v>51.200743578975448</v>
      </c>
      <c r="M1169">
        <v>76.913234085840571</v>
      </c>
      <c r="N1169">
        <v>55.529504353787807</v>
      </c>
      <c r="O1169">
        <v>55.195680293749945</v>
      </c>
      <c r="P1169">
        <v>94.348903712411627</v>
      </c>
      <c r="Q1169">
        <v>71.855058907057554</v>
      </c>
      <c r="R1169">
        <v>103.43088056365356</v>
      </c>
      <c r="S1169">
        <v>44.01144176484982</v>
      </c>
      <c r="T1169">
        <v>97.668032358243963</v>
      </c>
      <c r="U1169">
        <f t="shared" si="142"/>
        <v>73.205280183133155</v>
      </c>
      <c r="V1169" t="str">
        <f t="shared" si="143"/>
        <v>2021/22Expenditure driversReplacing and refurbishing equipmentBPDT</v>
      </c>
    </row>
    <row r="1170" spans="1:22">
      <c r="A1170" s="900" t="s">
        <v>143</v>
      </c>
      <c r="B1170" s="900"/>
      <c r="C1170" s="900" t="s">
        <v>1344</v>
      </c>
      <c r="D1170" t="s">
        <v>51</v>
      </c>
      <c r="E1170" t="s">
        <v>1347</v>
      </c>
      <c r="F1170" t="s">
        <v>1289</v>
      </c>
      <c r="G1170">
        <v>95.32056699255152</v>
      </c>
      <c r="H1170">
        <v>49.042061982393626</v>
      </c>
      <c r="I1170">
        <v>74.132040821117087</v>
      </c>
      <c r="J1170">
        <v>88.8696819583447</v>
      </c>
      <c r="K1170">
        <v>75.840901499050531</v>
      </c>
      <c r="L1170">
        <v>51.341931865536857</v>
      </c>
      <c r="M1170">
        <v>77.319882563022901</v>
      </c>
      <c r="N1170">
        <v>52.029915642006287</v>
      </c>
      <c r="O1170">
        <v>56.645631218239025</v>
      </c>
      <c r="P1170">
        <v>86.192295368413014</v>
      </c>
      <c r="Q1170">
        <v>69.975494590227711</v>
      </c>
      <c r="R1170">
        <v>86.14136522961229</v>
      </c>
      <c r="S1170">
        <v>43.812561434413993</v>
      </c>
      <c r="T1170">
        <v>99.921018186742785</v>
      </c>
      <c r="U1170">
        <f t="shared" si="142"/>
        <v>71.898953525119452</v>
      </c>
      <c r="V1170" t="str">
        <f t="shared" si="143"/>
        <v>2022/23Expenditure driversReplacing and refurbishing equipmentBPDT</v>
      </c>
    </row>
    <row r="1171" spans="1:22">
      <c r="A1171" s="900" t="s">
        <v>137</v>
      </c>
      <c r="B1171" s="900"/>
      <c r="C1171" s="900" t="s">
        <v>1344</v>
      </c>
      <c r="D1171" t="s">
        <v>51</v>
      </c>
      <c r="E1171" t="s">
        <v>1348</v>
      </c>
      <c r="F1171" t="s">
        <v>1289</v>
      </c>
      <c r="G1171">
        <f t="array" ref="G1171:T1178">TRANSPOSE('Ch4 expenditure drivers'!N191:U204)</f>
        <v>94.062820296691214</v>
      </c>
      <c r="H1171">
        <v>69.585232305447391</v>
      </c>
      <c r="I1171">
        <v>87.784509726593768</v>
      </c>
      <c r="J1171">
        <v>88.53651592238873</v>
      </c>
      <c r="K1171">
        <v>76.614681914321309</v>
      </c>
      <c r="L1171">
        <v>46.526107352578101</v>
      </c>
      <c r="M1171">
        <v>73.871305336232126</v>
      </c>
      <c r="N1171">
        <v>64.504937473733008</v>
      </c>
      <c r="O1171">
        <v>60.413356020419187</v>
      </c>
      <c r="P1171">
        <v>77.577393538527048</v>
      </c>
      <c r="Q1171">
        <v>70.624651601082732</v>
      </c>
      <c r="R1171">
        <v>96.551323100906828</v>
      </c>
      <c r="S1171">
        <v>38.784995673997471</v>
      </c>
      <c r="T1171">
        <v>104.35516914450183</v>
      </c>
      <c r="U1171">
        <f t="shared" si="142"/>
        <v>74.985214243387205</v>
      </c>
      <c r="V1171" t="str">
        <f t="shared" si="143"/>
        <v>2015/16Expenditure driversReplacing and refurbishing equipmentDNO Baseline</v>
      </c>
    </row>
    <row r="1172" spans="1:22">
      <c r="A1172" s="900" t="s">
        <v>138</v>
      </c>
      <c r="B1172" s="900"/>
      <c r="C1172" s="900" t="s">
        <v>1344</v>
      </c>
      <c r="D1172" t="s">
        <v>51</v>
      </c>
      <c r="E1172" t="s">
        <v>1348</v>
      </c>
      <c r="F1172" t="s">
        <v>1289</v>
      </c>
      <c r="G1172">
        <v>83.887177346843657</v>
      </c>
      <c r="H1172">
        <v>68.250606776678595</v>
      </c>
      <c r="I1172">
        <v>84.684702069321247</v>
      </c>
      <c r="J1172">
        <v>90.261965990586589</v>
      </c>
      <c r="K1172">
        <v>77.162909931590136</v>
      </c>
      <c r="L1172">
        <v>48.150416299224716</v>
      </c>
      <c r="M1172">
        <v>74.093543966559125</v>
      </c>
      <c r="N1172">
        <v>64.518979571037931</v>
      </c>
      <c r="O1172">
        <v>69.549797106487972</v>
      </c>
      <c r="P1172">
        <v>80.11358694477164</v>
      </c>
      <c r="Q1172">
        <v>70.714539342650411</v>
      </c>
      <c r="R1172">
        <v>111.41617089855475</v>
      </c>
      <c r="S1172">
        <v>38.148561045096848</v>
      </c>
      <c r="T1172">
        <v>104.41026222108313</v>
      </c>
      <c r="U1172">
        <f t="shared" si="142"/>
        <v>76.097372822177604</v>
      </c>
      <c r="V1172" t="str">
        <f t="shared" si="143"/>
        <v>2016/17Expenditure driversReplacing and refurbishing equipmentDNO Baseline</v>
      </c>
    </row>
    <row r="1173" spans="1:22">
      <c r="A1173" s="900" t="s">
        <v>139</v>
      </c>
      <c r="B1173" s="900"/>
      <c r="C1173" s="900" t="s">
        <v>1344</v>
      </c>
      <c r="D1173" t="s">
        <v>51</v>
      </c>
      <c r="E1173" t="s">
        <v>1348</v>
      </c>
      <c r="F1173" t="s">
        <v>1289</v>
      </c>
      <c r="G1173">
        <v>91.840104541394737</v>
      </c>
      <c r="H1173">
        <v>60.253480401181413</v>
      </c>
      <c r="I1173">
        <v>81.339920569558913</v>
      </c>
      <c r="J1173">
        <v>85.506687429093489</v>
      </c>
      <c r="K1173">
        <v>71.53471461229779</v>
      </c>
      <c r="L1173">
        <v>48.054956758438053</v>
      </c>
      <c r="M1173">
        <v>74.337217800443867</v>
      </c>
      <c r="N1173">
        <v>50.317264025843222</v>
      </c>
      <c r="O1173">
        <v>61.824725290939952</v>
      </c>
      <c r="P1173">
        <v>83.695816786241693</v>
      </c>
      <c r="Q1173">
        <v>70.530909483724884</v>
      </c>
      <c r="R1173">
        <v>98.379218098288305</v>
      </c>
      <c r="S1173">
        <v>36.423074962783481</v>
      </c>
      <c r="T1173">
        <v>101.44292000315282</v>
      </c>
      <c r="U1173">
        <f t="shared" si="142"/>
        <v>72.534357911670185</v>
      </c>
      <c r="V1173" t="str">
        <f t="shared" si="143"/>
        <v>2017/18Expenditure driversReplacing and refurbishing equipmentDNO Baseline</v>
      </c>
    </row>
    <row r="1174" spans="1:22">
      <c r="A1174" s="900" t="s">
        <v>140</v>
      </c>
      <c r="B1174" s="900"/>
      <c r="C1174" s="900" t="s">
        <v>1344</v>
      </c>
      <c r="D1174" t="s">
        <v>51</v>
      </c>
      <c r="E1174" t="s">
        <v>1348</v>
      </c>
      <c r="F1174" t="s">
        <v>1289</v>
      </c>
      <c r="G1174">
        <v>86.84007232747561</v>
      </c>
      <c r="H1174">
        <v>59.368771330944888</v>
      </c>
      <c r="I1174">
        <v>79.708813799619321</v>
      </c>
      <c r="J1174">
        <v>86.926786170508677</v>
      </c>
      <c r="K1174">
        <v>72.300307711399441</v>
      </c>
      <c r="L1174">
        <v>50.341171148307588</v>
      </c>
      <c r="M1174">
        <v>74.562639684096226</v>
      </c>
      <c r="N1174">
        <v>44.927914953865468</v>
      </c>
      <c r="O1174">
        <v>60.521528160163221</v>
      </c>
      <c r="P1174">
        <v>86.997272525375536</v>
      </c>
      <c r="Q1174">
        <v>67.29280033017973</v>
      </c>
      <c r="R1174">
        <v>87.56411414304965</v>
      </c>
      <c r="S1174">
        <v>36.38695975956567</v>
      </c>
      <c r="T1174">
        <v>96.810951455350022</v>
      </c>
      <c r="U1174">
        <f t="shared" si="142"/>
        <v>70.753578821421513</v>
      </c>
      <c r="V1174" t="str">
        <f t="shared" si="143"/>
        <v>2018/19Expenditure driversReplacing and refurbishing equipmentDNO Baseline</v>
      </c>
    </row>
    <row r="1175" spans="1:22">
      <c r="A1175" s="900" t="s">
        <v>141</v>
      </c>
      <c r="B1175" s="900"/>
      <c r="C1175" s="900" t="s">
        <v>1344</v>
      </c>
      <c r="D1175" t="s">
        <v>51</v>
      </c>
      <c r="E1175" t="s">
        <v>1348</v>
      </c>
      <c r="F1175" t="s">
        <v>1289</v>
      </c>
      <c r="G1175">
        <v>92.913383245531605</v>
      </c>
      <c r="H1175">
        <v>56.255252592459932</v>
      </c>
      <c r="I1175">
        <v>66.638238010841476</v>
      </c>
      <c r="J1175">
        <v>87.360411827867935</v>
      </c>
      <c r="K1175">
        <v>72.7629608372647</v>
      </c>
      <c r="L1175">
        <v>50.405700454574102</v>
      </c>
      <c r="M1175">
        <v>75.839452669599083</v>
      </c>
      <c r="N1175">
        <v>46.456458446446085</v>
      </c>
      <c r="O1175">
        <v>59.032847103904444</v>
      </c>
      <c r="P1175">
        <v>84.995718742987478</v>
      </c>
      <c r="Q1175">
        <v>65.467841796224064</v>
      </c>
      <c r="R1175">
        <v>86.073205934563731</v>
      </c>
      <c r="S1175">
        <v>36.896107844023149</v>
      </c>
      <c r="T1175">
        <v>92.902301043346867</v>
      </c>
      <c r="U1175">
        <f t="shared" si="142"/>
        <v>69.571420039259621</v>
      </c>
      <c r="V1175" t="str">
        <f t="shared" si="143"/>
        <v>2019/20Expenditure driversReplacing and refurbishing equipmentDNO Baseline</v>
      </c>
    </row>
    <row r="1176" spans="1:22">
      <c r="A1176" s="900" t="s">
        <v>126</v>
      </c>
      <c r="B1176" s="900"/>
      <c r="C1176" s="900" t="s">
        <v>1344</v>
      </c>
      <c r="D1176" t="s">
        <v>51</v>
      </c>
      <c r="E1176" t="s">
        <v>1348</v>
      </c>
      <c r="F1176" t="s">
        <v>1289</v>
      </c>
      <c r="G1176">
        <v>92.203130689658124</v>
      </c>
      <c r="H1176">
        <v>48.035409703198987</v>
      </c>
      <c r="I1176">
        <v>64.272844535184433</v>
      </c>
      <c r="J1176">
        <v>88.022352213140493</v>
      </c>
      <c r="K1176">
        <v>74.505125166866122</v>
      </c>
      <c r="L1176">
        <v>50.091261779024101</v>
      </c>
      <c r="M1176">
        <v>76.569875850767431</v>
      </c>
      <c r="N1176">
        <v>45.798632864419176</v>
      </c>
      <c r="O1176">
        <v>57.573567762134978</v>
      </c>
      <c r="P1176">
        <v>77.032459811589504</v>
      </c>
      <c r="Q1176">
        <v>63.639043331425157</v>
      </c>
      <c r="R1176">
        <v>86.612295344224094</v>
      </c>
      <c r="S1176">
        <v>36.735041052210796</v>
      </c>
      <c r="T1176">
        <v>87.249060300399989</v>
      </c>
      <c r="U1176">
        <f t="shared" si="142"/>
        <v>67.738578600303086</v>
      </c>
      <c r="V1176" t="str">
        <f t="shared" si="143"/>
        <v>2020/21Expenditure driversReplacing and refurbishing equipmentDNO Baseline</v>
      </c>
    </row>
    <row r="1177" spans="1:22">
      <c r="A1177" s="900" t="s">
        <v>142</v>
      </c>
      <c r="B1177" s="900"/>
      <c r="C1177" s="900" t="s">
        <v>1344</v>
      </c>
      <c r="D1177" t="s">
        <v>51</v>
      </c>
      <c r="E1177" t="s">
        <v>1348</v>
      </c>
      <c r="F1177" t="s">
        <v>1289</v>
      </c>
      <c r="G1177">
        <v>91.529860998096396</v>
      </c>
      <c r="H1177">
        <v>41.946277381478545</v>
      </c>
      <c r="I1177">
        <v>53.52575823006503</v>
      </c>
      <c r="J1177">
        <v>88.748942101539797</v>
      </c>
      <c r="K1177">
        <v>75.259729102703574</v>
      </c>
      <c r="L1177">
        <v>51.200743578975448</v>
      </c>
      <c r="M1177">
        <v>76.913234085840571</v>
      </c>
      <c r="N1177">
        <v>41.123579206596936</v>
      </c>
      <c r="O1177">
        <v>53.144964980782703</v>
      </c>
      <c r="P1177">
        <v>74.763058068922703</v>
      </c>
      <c r="Q1177">
        <v>58.354707920507337</v>
      </c>
      <c r="R1177">
        <v>74.135667881058438</v>
      </c>
      <c r="S1177">
        <v>37.034361140546956</v>
      </c>
      <c r="T1177">
        <v>86.133865722299703</v>
      </c>
      <c r="U1177">
        <f t="shared" si="142"/>
        <v>64.558196457101005</v>
      </c>
      <c r="V1177" t="str">
        <f t="shared" si="143"/>
        <v>2021/22Expenditure driversReplacing and refurbishing equipmentDNO Baseline</v>
      </c>
    </row>
    <row r="1178" spans="1:22">
      <c r="A1178" s="900" t="s">
        <v>143</v>
      </c>
      <c r="B1178" s="900"/>
      <c r="C1178" s="900" t="s">
        <v>1344</v>
      </c>
      <c r="D1178" t="s">
        <v>51</v>
      </c>
      <c r="E1178" t="s">
        <v>1348</v>
      </c>
      <c r="F1178" t="s">
        <v>1289</v>
      </c>
      <c r="G1178">
        <v>88.71508447099059</v>
      </c>
      <c r="H1178">
        <v>42.109476069137415</v>
      </c>
      <c r="I1178">
        <v>60.133399148365321</v>
      </c>
      <c r="J1178">
        <v>88.8696819583447</v>
      </c>
      <c r="K1178">
        <v>75.840901499050531</v>
      </c>
      <c r="L1178">
        <v>51.341931865536857</v>
      </c>
      <c r="M1178">
        <v>77.319882563022901</v>
      </c>
      <c r="N1178">
        <v>38.213916457020396</v>
      </c>
      <c r="O1178">
        <v>51.804680740733211</v>
      </c>
      <c r="P1178">
        <v>68.668204788993563</v>
      </c>
      <c r="Q1178">
        <v>55.83136355416363</v>
      </c>
      <c r="R1178">
        <v>60.9980411663011</v>
      </c>
      <c r="S1178">
        <v>36.216475859690128</v>
      </c>
      <c r="T1178">
        <v>87.701661174761995</v>
      </c>
      <c r="U1178">
        <f t="shared" si="142"/>
        <v>63.126050094008029</v>
      </c>
      <c r="V1178" t="str">
        <f t="shared" si="143"/>
        <v>2022/23Expenditure driversReplacing and refurbishing equipmentDNO Baseline</v>
      </c>
    </row>
    <row r="1179" spans="1:22">
      <c r="A1179" s="900" t="s">
        <v>137</v>
      </c>
      <c r="B1179" s="900"/>
      <c r="C1179" s="900" t="s">
        <v>1344</v>
      </c>
      <c r="D1179" t="s">
        <v>51</v>
      </c>
      <c r="E1179" t="s">
        <v>1349</v>
      </c>
      <c r="F1179" t="s">
        <v>1289</v>
      </c>
      <c r="G1179" cm="1">
        <f t="array" ref="G1179:T1185">TRANSPOSE('Ch4 expenditure drivers'!W191:AC204)</f>
        <v>67.518617954720398</v>
      </c>
      <c r="H1179">
        <v>61.085554845106358</v>
      </c>
      <c r="I1179">
        <v>68.314869463748622</v>
      </c>
      <c r="J1179">
        <v>86.190956700959404</v>
      </c>
      <c r="K1179">
        <v>75.403039409018902</v>
      </c>
      <c r="L1179">
        <v>43.455231512567799</v>
      </c>
      <c r="M1179">
        <v>60.207651138444227</v>
      </c>
      <c r="N1179">
        <v>30.602203631613961</v>
      </c>
      <c r="O1179">
        <v>28.718656004157396</v>
      </c>
      <c r="P1179">
        <v>46.770136363571496</v>
      </c>
      <c r="Q1179">
        <v>65.033321496286504</v>
      </c>
      <c r="R1179">
        <v>86.076640281541273</v>
      </c>
      <c r="S1179">
        <v>30.655839864540891</v>
      </c>
      <c r="T1179">
        <v>62.323840859513332</v>
      </c>
      <c r="U1179">
        <f t="shared" si="142"/>
        <v>58.02546853755647</v>
      </c>
      <c r="V1179" t="str">
        <f t="shared" si="143"/>
        <v>2015/16Expenditure driversReplacing and refurbishing equipmentDNO Actual</v>
      </c>
    </row>
    <row r="1180" spans="1:22">
      <c r="A1180" s="900" t="s">
        <v>138</v>
      </c>
      <c r="B1180" s="900"/>
      <c r="C1180" s="900" t="s">
        <v>1344</v>
      </c>
      <c r="D1180" t="s">
        <v>51</v>
      </c>
      <c r="E1180" t="s">
        <v>1349</v>
      </c>
      <c r="F1180" t="s">
        <v>1289</v>
      </c>
      <c r="G1180">
        <v>68.156218972946235</v>
      </c>
      <c r="H1180">
        <v>66.080802415013196</v>
      </c>
      <c r="I1180">
        <v>60.755315350637233</v>
      </c>
      <c r="J1180">
        <v>93.360903490671404</v>
      </c>
      <c r="K1180">
        <v>88.912618820190801</v>
      </c>
      <c r="L1180">
        <v>44.899928434065941</v>
      </c>
      <c r="M1180">
        <v>75.622600723040691</v>
      </c>
      <c r="N1180">
        <v>33.046204972274793</v>
      </c>
      <c r="O1180">
        <v>38.225271998177412</v>
      </c>
      <c r="P1180">
        <v>43.611069373335745</v>
      </c>
      <c r="Q1180">
        <v>74.08098459200248</v>
      </c>
      <c r="R1180">
        <v>81.570714283419932</v>
      </c>
      <c r="S1180">
        <v>34.016795191922071</v>
      </c>
      <c r="T1180">
        <v>64.325812452482708</v>
      </c>
      <c r="U1180">
        <f t="shared" si="142"/>
        <v>61.904660076441473</v>
      </c>
      <c r="V1180" t="str">
        <f t="shared" si="143"/>
        <v>2016/17Expenditure driversReplacing and refurbishing equipmentDNO Actual</v>
      </c>
    </row>
    <row r="1181" spans="1:22">
      <c r="A1181" s="900" t="s">
        <v>139</v>
      </c>
      <c r="B1181" s="900"/>
      <c r="C1181" s="900" t="s">
        <v>1344</v>
      </c>
      <c r="D1181" t="s">
        <v>51</v>
      </c>
      <c r="E1181" t="s">
        <v>1349</v>
      </c>
      <c r="F1181" t="s">
        <v>1289</v>
      </c>
      <c r="G1181">
        <v>78.804881533847478</v>
      </c>
      <c r="H1181">
        <v>51.240500361396485</v>
      </c>
      <c r="I1181">
        <v>56.922914856926347</v>
      </c>
      <c r="J1181">
        <v>77.454242387998903</v>
      </c>
      <c r="K1181">
        <v>68.473820561060421</v>
      </c>
      <c r="L1181">
        <v>44.445742257045993</v>
      </c>
      <c r="M1181">
        <v>72.613720093995084</v>
      </c>
      <c r="N1181">
        <v>36.512416649023002</v>
      </c>
      <c r="O1181">
        <v>42.478333526222976</v>
      </c>
      <c r="P1181">
        <v>46.332375206856796</v>
      </c>
      <c r="Q1181">
        <v>65.317506900953731</v>
      </c>
      <c r="R1181">
        <v>91.469605824363796</v>
      </c>
      <c r="S1181">
        <v>31.658258164444916</v>
      </c>
      <c r="T1181">
        <v>88.824837649729403</v>
      </c>
      <c r="U1181">
        <f t="shared" si="142"/>
        <v>60.896368283847515</v>
      </c>
      <c r="V1181" t="str">
        <f t="shared" si="143"/>
        <v>2017/18Expenditure driversReplacing and refurbishing equipmentDNO Actual</v>
      </c>
    </row>
    <row r="1182" spans="1:22">
      <c r="A1182" s="900" t="s">
        <v>140</v>
      </c>
      <c r="B1182" s="900"/>
      <c r="C1182" s="900" t="s">
        <v>1344</v>
      </c>
      <c r="D1182" t="s">
        <v>51</v>
      </c>
      <c r="E1182" t="s">
        <v>1349</v>
      </c>
      <c r="F1182" t="s">
        <v>1289</v>
      </c>
      <c r="G1182">
        <v>70.058809408157373</v>
      </c>
      <c r="H1182">
        <v>54.392273626861339</v>
      </c>
      <c r="I1182">
        <v>74.607218055954448</v>
      </c>
      <c r="J1182">
        <v>55.246064020077085</v>
      </c>
      <c r="K1182">
        <v>48.387052535050195</v>
      </c>
      <c r="L1182">
        <v>40.291681467519446</v>
      </c>
      <c r="M1182">
        <v>64.3991007871292</v>
      </c>
      <c r="N1182">
        <v>34.959320456652215</v>
      </c>
      <c r="O1182">
        <v>38.87487144716679</v>
      </c>
      <c r="P1182">
        <v>50.063614106704563</v>
      </c>
      <c r="Q1182">
        <v>67.644593742406656</v>
      </c>
      <c r="R1182">
        <v>93.050177517404066</v>
      </c>
      <c r="S1182">
        <v>39.819417287574979</v>
      </c>
      <c r="T1182">
        <v>78.588856520120999</v>
      </c>
      <c r="U1182">
        <f t="shared" si="142"/>
        <v>57.884503641341382</v>
      </c>
      <c r="V1182" t="str">
        <f t="shared" si="143"/>
        <v>2018/19Expenditure driversReplacing and refurbishing equipmentDNO Actual</v>
      </c>
    </row>
    <row r="1183" spans="1:22">
      <c r="A1183" s="900" t="s">
        <v>141</v>
      </c>
      <c r="B1183" s="900"/>
      <c r="C1183" s="900" t="s">
        <v>1344</v>
      </c>
      <c r="D1183" t="s">
        <v>51</v>
      </c>
      <c r="E1183" t="s">
        <v>1349</v>
      </c>
      <c r="F1183" t="s">
        <v>1289</v>
      </c>
      <c r="G1183">
        <v>52.921769341941818</v>
      </c>
      <c r="H1183">
        <v>65.613849076206222</v>
      </c>
      <c r="I1183">
        <v>94.765950068498597</v>
      </c>
      <c r="J1183">
        <v>67.641069871525801</v>
      </c>
      <c r="K1183">
        <v>59.800186323380665</v>
      </c>
      <c r="L1183">
        <v>36.569592237873401</v>
      </c>
      <c r="M1183">
        <v>62.608875408234184</v>
      </c>
      <c r="N1183">
        <v>22.458036106813932</v>
      </c>
      <c r="O1183">
        <v>29.425688557205266</v>
      </c>
      <c r="P1183">
        <v>42.719305116636043</v>
      </c>
      <c r="Q1183">
        <v>67.399464815295545</v>
      </c>
      <c r="R1183">
        <v>75.594665830749705</v>
      </c>
      <c r="S1183">
        <v>25.194226574281355</v>
      </c>
      <c r="T1183">
        <v>89.437453473219634</v>
      </c>
      <c r="U1183">
        <f>AVERAGE(G1183:T1183)</f>
        <v>56.582152342990163</v>
      </c>
      <c r="V1183" t="str">
        <f t="shared" si="143"/>
        <v>2019/20Expenditure driversReplacing and refurbishing equipmentDNO Actual</v>
      </c>
    </row>
    <row r="1184" spans="1:22">
      <c r="A1184" s="900" t="s">
        <v>126</v>
      </c>
      <c r="B1184" s="900"/>
      <c r="C1184" s="900" t="s">
        <v>1344</v>
      </c>
      <c r="D1184" t="s">
        <v>51</v>
      </c>
      <c r="E1184" t="s">
        <v>1349</v>
      </c>
      <c r="F1184" t="s">
        <v>1289</v>
      </c>
      <c r="G1184">
        <v>46.005458208171611</v>
      </c>
      <c r="H1184">
        <v>69.029422575418806</v>
      </c>
      <c r="I1184">
        <v>92.745505289913737</v>
      </c>
      <c r="J1184">
        <v>78.553890052929134</v>
      </c>
      <c r="K1184">
        <v>69.806640372305537</v>
      </c>
      <c r="L1184">
        <v>40.280653213310813</v>
      </c>
      <c r="M1184">
        <v>61.859268582811815</v>
      </c>
      <c r="N1184">
        <v>33.965766809593411</v>
      </c>
      <c r="O1184">
        <v>24.832503862747391</v>
      </c>
      <c r="P1184">
        <v>49.107650426994034</v>
      </c>
      <c r="Q1184">
        <v>50.903821545312965</v>
      </c>
      <c r="R1184">
        <v>50.564956753271225</v>
      </c>
      <c r="S1184">
        <v>47.260835017890543</v>
      </c>
      <c r="T1184">
        <v>90.1190543606793</v>
      </c>
      <c r="U1184">
        <f>AVERAGE(G1184:T1184)</f>
        <v>57.502530505096459</v>
      </c>
      <c r="V1184" t="str">
        <f t="shared" si="143"/>
        <v>2020/21Expenditure driversReplacing and refurbishing equipmentDNO Actual</v>
      </c>
    </row>
    <row r="1185" spans="1:22">
      <c r="A1185" s="900" t="s">
        <v>142</v>
      </c>
      <c r="B1185" s="900"/>
      <c r="C1185" s="900" t="s">
        <v>1344</v>
      </c>
      <c r="D1185" t="s">
        <v>51</v>
      </c>
      <c r="E1185" t="s">
        <v>1349</v>
      </c>
      <c r="F1185" t="s">
        <v>1289</v>
      </c>
      <c r="G1185">
        <v>39.095718580299781</v>
      </c>
      <c r="H1185">
        <v>42.120735629999992</v>
      </c>
      <c r="I1185">
        <v>81.258044149999975</v>
      </c>
      <c r="J1185">
        <v>79.267300000000006</v>
      </c>
      <c r="K1185">
        <v>74.990199999999987</v>
      </c>
      <c r="L1185">
        <v>41.892500000000005</v>
      </c>
      <c r="M1185">
        <v>65.137999999999991</v>
      </c>
      <c r="N1185">
        <v>46.769522289167355</v>
      </c>
      <c r="O1185">
        <v>21.819525807423929</v>
      </c>
      <c r="P1185">
        <v>39.945003939739252</v>
      </c>
      <c r="Q1185">
        <v>40.579865433724983</v>
      </c>
      <c r="R1185">
        <v>49.637599207664401</v>
      </c>
      <c r="S1185">
        <v>35.033819080000001</v>
      </c>
      <c r="T1185">
        <v>62.222124539999996</v>
      </c>
      <c r="U1185">
        <f>AVERAGE(G1185:T1185)</f>
        <v>51.412139904144261</v>
      </c>
      <c r="V1185" t="str">
        <f t="shared" ref="V1185" si="144">CONCATENATE(A1185,B1185,C1185,D1185,E1185)</f>
        <v>2021/22Expenditure driversReplacing and refurbishing equipmentDNO Actual</v>
      </c>
    </row>
    <row r="1186" spans="1:22">
      <c r="A1186" s="900" t="s">
        <v>137</v>
      </c>
      <c r="B1186" s="900"/>
      <c r="C1186" s="900" t="s">
        <v>1344</v>
      </c>
      <c r="D1186" t="s">
        <v>51</v>
      </c>
      <c r="E1186" t="s">
        <v>297</v>
      </c>
      <c r="F1186" t="s">
        <v>1289</v>
      </c>
      <c r="G1186">
        <f t="array" ref="G1186:T1189">TRANSPOSE('Ch4 expenditure drivers'!AF191:AI204)</f>
        <v>94.062820296691214</v>
      </c>
      <c r="H1186">
        <v>69.585232305447391</v>
      </c>
      <c r="I1186">
        <v>87.784509726593768</v>
      </c>
      <c r="J1186">
        <v>88.53651592238873</v>
      </c>
      <c r="K1186">
        <v>76.614681914321309</v>
      </c>
      <c r="L1186">
        <v>46.526107352578101</v>
      </c>
      <c r="M1186">
        <v>73.871305336232126</v>
      </c>
      <c r="N1186">
        <v>64.504937473733008</v>
      </c>
      <c r="O1186">
        <v>60.413356020419187</v>
      </c>
      <c r="P1186">
        <v>77.577393538527048</v>
      </c>
      <c r="Q1186">
        <v>70.624651601082732</v>
      </c>
      <c r="R1186">
        <v>96.551323100906828</v>
      </c>
      <c r="S1186">
        <v>38.784995673997471</v>
      </c>
      <c r="T1186">
        <v>104.35516914450183</v>
      </c>
      <c r="U1186">
        <f t="shared" si="142"/>
        <v>74.985214243387205</v>
      </c>
      <c r="V1186" t="str">
        <f t="shared" si="143"/>
        <v>2015/16Expenditure driversReplacing and refurbishing equipmentAllowance</v>
      </c>
    </row>
    <row r="1187" spans="1:22">
      <c r="A1187" s="900" t="s">
        <v>137</v>
      </c>
      <c r="B1187" s="900"/>
      <c r="C1187" s="900" t="s">
        <v>1344</v>
      </c>
      <c r="D1187" t="s">
        <v>51</v>
      </c>
      <c r="E1187" t="s">
        <v>298</v>
      </c>
      <c r="F1187" t="s">
        <v>1289</v>
      </c>
      <c r="G1187">
        <v>67.518617954720398</v>
      </c>
      <c r="H1187">
        <v>61.085554845106358</v>
      </c>
      <c r="I1187">
        <v>68.314869463748622</v>
      </c>
      <c r="J1187">
        <v>86.190956700959404</v>
      </c>
      <c r="K1187">
        <v>75.403039409018902</v>
      </c>
      <c r="L1187">
        <v>43.455231512567799</v>
      </c>
      <c r="M1187">
        <v>60.207651138444227</v>
      </c>
      <c r="N1187">
        <v>30.602203631613961</v>
      </c>
      <c r="O1187">
        <v>28.718656004157396</v>
      </c>
      <c r="P1187">
        <v>46.770136363571496</v>
      </c>
      <c r="Q1187">
        <v>65.033321496286504</v>
      </c>
      <c r="R1187">
        <v>86.076640281541273</v>
      </c>
      <c r="S1187">
        <v>30.655839864540891</v>
      </c>
      <c r="T1187">
        <v>62.323840859513332</v>
      </c>
      <c r="U1187">
        <f t="shared" si="142"/>
        <v>58.02546853755647</v>
      </c>
      <c r="V1187" t="str">
        <f t="shared" si="143"/>
        <v>2015/16Expenditure driversReplacing and refurbishing equipmentActual</v>
      </c>
    </row>
    <row r="1188" spans="1:22">
      <c r="A1188" s="900" t="s">
        <v>137</v>
      </c>
      <c r="B1188" s="900"/>
      <c r="C1188" s="900" t="s">
        <v>1344</v>
      </c>
      <c r="D1188" t="s">
        <v>51</v>
      </c>
      <c r="E1188" t="s">
        <v>602</v>
      </c>
      <c r="F1188" t="s">
        <v>1289</v>
      </c>
      <c r="G1188">
        <v>-26.544202341970816</v>
      </c>
      <c r="H1188">
        <v>-8.499677460341033</v>
      </c>
      <c r="I1188">
        <v>-19.469640262845147</v>
      </c>
      <c r="J1188">
        <v>-2.3455592214293262</v>
      </c>
      <c r="K1188">
        <v>-1.2116425053024074</v>
      </c>
      <c r="L1188">
        <v>-3.0708758400103022</v>
      </c>
      <c r="M1188">
        <v>-13.663654197787899</v>
      </c>
      <c r="N1188">
        <v>-33.902733842119048</v>
      </c>
      <c r="O1188">
        <v>-31.694700016261791</v>
      </c>
      <c r="P1188">
        <v>-30.807257174955552</v>
      </c>
      <c r="Q1188">
        <v>-5.5913301047962278</v>
      </c>
      <c r="R1188">
        <v>-10.474682819365555</v>
      </c>
      <c r="S1188">
        <v>-8.1291558094565808</v>
      </c>
      <c r="T1188">
        <v>-42.031328284988497</v>
      </c>
      <c r="U1188">
        <f>U1187-U1186</f>
        <v>-16.959745705830734</v>
      </c>
      <c r="V1188" t="str">
        <f t="shared" si="143"/>
        <v>2015/16Expenditure driversReplacing and refurbishing equipmentDifference</v>
      </c>
    </row>
    <row r="1189" spans="1:22">
      <c r="A1189" s="900" t="s">
        <v>137</v>
      </c>
      <c r="B1189" s="900"/>
      <c r="C1189" s="900" t="s">
        <v>1344</v>
      </c>
      <c r="D1189" t="s">
        <v>51</v>
      </c>
      <c r="E1189" t="s">
        <v>1346</v>
      </c>
      <c r="F1189" t="s">
        <v>606</v>
      </c>
      <c r="G1189" s="829">
        <v>-0.28219653906023212</v>
      </c>
      <c r="H1189" s="829">
        <v>-0.12214771983560148</v>
      </c>
      <c r="I1189" s="829">
        <v>-0.22178901862622058</v>
      </c>
      <c r="J1189" s="829">
        <v>-2.6492562949794043E-2</v>
      </c>
      <c r="K1189" s="829">
        <v>-1.5814756062779128E-2</v>
      </c>
      <c r="L1189" s="829">
        <v>-6.6003283204824986E-2</v>
      </c>
      <c r="M1189" s="829">
        <v>-0.18496565257100175</v>
      </c>
      <c r="N1189" s="829">
        <v>-0.52558354708776434</v>
      </c>
      <c r="O1189" s="829">
        <v>-0.52463067944030883</v>
      </c>
      <c r="P1189" s="829">
        <v>-0.39711642489839299</v>
      </c>
      <c r="Q1189" s="829">
        <v>-7.9169666370580843E-2</v>
      </c>
      <c r="R1189" s="829">
        <v>-0.10848823695992597</v>
      </c>
      <c r="S1189" s="829">
        <v>-0.20959537749559659</v>
      </c>
      <c r="T1189" s="829">
        <v>-0.40277188595025154</v>
      </c>
      <c r="U1189" s="829">
        <f>U1188/U1186</f>
        <v>-0.22617453156541964</v>
      </c>
      <c r="V1189" t="str">
        <f t="shared" si="143"/>
        <v>2015/16Expenditure driversReplacing and refurbishing equipmentDifference %</v>
      </c>
    </row>
    <row r="1190" spans="1:22">
      <c r="A1190" s="900" t="s">
        <v>138</v>
      </c>
      <c r="B1190" s="900"/>
      <c r="C1190" s="900" t="s">
        <v>1344</v>
      </c>
      <c r="D1190" t="s">
        <v>51</v>
      </c>
      <c r="E1190" t="s">
        <v>297</v>
      </c>
      <c r="F1190" t="s">
        <v>1289</v>
      </c>
      <c r="G1190">
        <f t="array" ref="G1190:T1193">TRANSPOSE('Ch4 expenditure drivers'!AK191:AN204)</f>
        <v>83.887177346843657</v>
      </c>
      <c r="H1190">
        <v>68.250606776678595</v>
      </c>
      <c r="I1190">
        <v>84.684702069321247</v>
      </c>
      <c r="J1190">
        <v>90.261965990586589</v>
      </c>
      <c r="K1190">
        <v>77.162909931590136</v>
      </c>
      <c r="L1190">
        <v>48.150416299224716</v>
      </c>
      <c r="M1190">
        <v>74.093543966559125</v>
      </c>
      <c r="N1190">
        <v>64.518979571037931</v>
      </c>
      <c r="O1190">
        <v>69.549797106487972</v>
      </c>
      <c r="P1190">
        <v>80.11358694477164</v>
      </c>
      <c r="Q1190">
        <v>70.714539342650411</v>
      </c>
      <c r="R1190">
        <v>111.41617089855475</v>
      </c>
      <c r="S1190">
        <v>38.148561045096848</v>
      </c>
      <c r="T1190">
        <v>104.41026222108313</v>
      </c>
      <c r="U1190">
        <f t="shared" si="142"/>
        <v>76.097372822177604</v>
      </c>
      <c r="V1190" t="str">
        <f t="shared" si="143"/>
        <v>2016/17Expenditure driversReplacing and refurbishing equipmentAllowance</v>
      </c>
    </row>
    <row r="1191" spans="1:22">
      <c r="A1191" s="900" t="s">
        <v>138</v>
      </c>
      <c r="B1191" s="900"/>
      <c r="C1191" s="900" t="s">
        <v>1344</v>
      </c>
      <c r="D1191" t="s">
        <v>51</v>
      </c>
      <c r="E1191" t="s">
        <v>298</v>
      </c>
      <c r="F1191" t="s">
        <v>1289</v>
      </c>
      <c r="G1191">
        <v>68.156218972946235</v>
      </c>
      <c r="H1191">
        <v>66.080802415013196</v>
      </c>
      <c r="I1191">
        <v>60.755315350637233</v>
      </c>
      <c r="J1191">
        <v>93.360903490671404</v>
      </c>
      <c r="K1191">
        <v>88.912618820190801</v>
      </c>
      <c r="L1191">
        <v>44.899928434065941</v>
      </c>
      <c r="M1191">
        <v>75.622600723040691</v>
      </c>
      <c r="N1191">
        <v>33.046204972274793</v>
      </c>
      <c r="O1191">
        <v>38.225271998177412</v>
      </c>
      <c r="P1191">
        <v>43.611069373335745</v>
      </c>
      <c r="Q1191">
        <v>74.08098459200248</v>
      </c>
      <c r="R1191">
        <v>81.570714283419932</v>
      </c>
      <c r="S1191">
        <v>34.016795191922071</v>
      </c>
      <c r="T1191">
        <v>64.325812452482708</v>
      </c>
      <c r="U1191">
        <f t="shared" si="142"/>
        <v>61.904660076441473</v>
      </c>
      <c r="V1191" t="str">
        <f t="shared" si="143"/>
        <v>2016/17Expenditure driversReplacing and refurbishing equipmentActual</v>
      </c>
    </row>
    <row r="1192" spans="1:22">
      <c r="A1192" s="900" t="s">
        <v>138</v>
      </c>
      <c r="B1192" s="900"/>
      <c r="C1192" s="900" t="s">
        <v>1344</v>
      </c>
      <c r="D1192" t="s">
        <v>51</v>
      </c>
      <c r="E1192" t="s">
        <v>602</v>
      </c>
      <c r="F1192" t="s">
        <v>1289</v>
      </c>
      <c r="G1192">
        <v>-15.730958373897423</v>
      </c>
      <c r="H1192">
        <v>-2.169804361665399</v>
      </c>
      <c r="I1192">
        <v>-23.929386718684015</v>
      </c>
      <c r="J1192">
        <v>3.0989375000848156</v>
      </c>
      <c r="K1192">
        <v>11.749708888600665</v>
      </c>
      <c r="L1192">
        <v>-3.2504878651587745</v>
      </c>
      <c r="M1192">
        <v>1.529056756481566</v>
      </c>
      <c r="N1192">
        <v>-31.472774598763138</v>
      </c>
      <c r="O1192">
        <v>-31.32452510831056</v>
      </c>
      <c r="P1192">
        <v>-36.502517571435895</v>
      </c>
      <c r="Q1192">
        <v>3.3664452493520685</v>
      </c>
      <c r="R1192">
        <v>-29.845456615134822</v>
      </c>
      <c r="S1192">
        <v>-4.1317658531747767</v>
      </c>
      <c r="T1192">
        <v>-40.084449768600422</v>
      </c>
      <c r="U1192">
        <f>U1191-U1190</f>
        <v>-14.192712745736131</v>
      </c>
      <c r="V1192" t="str">
        <f t="shared" si="143"/>
        <v>2016/17Expenditure driversReplacing and refurbishing equipmentDifference</v>
      </c>
    </row>
    <row r="1193" spans="1:22">
      <c r="A1193" s="900" t="s">
        <v>138</v>
      </c>
      <c r="B1193" s="900"/>
      <c r="C1193" s="900" t="s">
        <v>1344</v>
      </c>
      <c r="D1193" t="s">
        <v>51</v>
      </c>
      <c r="E1193" t="s">
        <v>1346</v>
      </c>
      <c r="F1193" t="s">
        <v>606</v>
      </c>
      <c r="G1193" s="829">
        <v>-0.18752518407974919</v>
      </c>
      <c r="H1193" s="829">
        <v>-3.17917226547915E-2</v>
      </c>
      <c r="I1193" s="829">
        <v>-0.28257035962759702</v>
      </c>
      <c r="J1193" s="829">
        <v>3.4332705542974809E-2</v>
      </c>
      <c r="K1193" s="829">
        <v>0.15227145916370358</v>
      </c>
      <c r="L1193" s="829">
        <v>-6.750695248321481E-2</v>
      </c>
      <c r="M1193" s="829">
        <v>2.0636841951731721E-2</v>
      </c>
      <c r="N1193" s="829">
        <v>-0.48780645335703698</v>
      </c>
      <c r="O1193" s="829">
        <v>-0.45038988482381126</v>
      </c>
      <c r="P1193" s="829">
        <v>-0.45563454294712635</v>
      </c>
      <c r="Q1193" s="829">
        <v>4.7606125708318764E-2</v>
      </c>
      <c r="R1193" s="829">
        <v>-0.26787365222153731</v>
      </c>
      <c r="S1193" s="829">
        <v>-0.10830725301251759</v>
      </c>
      <c r="T1193" s="829">
        <v>-0.38391293073973659</v>
      </c>
      <c r="U1193" s="829">
        <f>U1192/U1190</f>
        <v>-0.18650726325206127</v>
      </c>
      <c r="V1193" t="str">
        <f t="shared" si="143"/>
        <v>2016/17Expenditure driversReplacing and refurbishing equipmentDifference %</v>
      </c>
    </row>
    <row r="1194" spans="1:22">
      <c r="A1194" s="900" t="s">
        <v>139</v>
      </c>
      <c r="B1194" s="900"/>
      <c r="C1194" s="900" t="s">
        <v>1344</v>
      </c>
      <c r="D1194" t="s">
        <v>51</v>
      </c>
      <c r="E1194" t="s">
        <v>297</v>
      </c>
      <c r="F1194" t="s">
        <v>1289</v>
      </c>
      <c r="G1194">
        <f t="array" ref="G1194:T1197">TRANSPOSE('Ch4 expenditure drivers'!AP191:AS204)</f>
        <v>91.840104541394737</v>
      </c>
      <c r="H1194">
        <v>60.253480401181413</v>
      </c>
      <c r="I1194">
        <v>81.339920569558913</v>
      </c>
      <c r="J1194">
        <v>85.506687429093489</v>
      </c>
      <c r="K1194">
        <v>71.53471461229779</v>
      </c>
      <c r="L1194">
        <v>48.054956758438053</v>
      </c>
      <c r="M1194">
        <v>74.337217800443867</v>
      </c>
      <c r="N1194">
        <v>50.317264025843222</v>
      </c>
      <c r="O1194">
        <v>61.824725290939952</v>
      </c>
      <c r="P1194">
        <v>83.695816786241693</v>
      </c>
      <c r="Q1194">
        <v>70.530909483724884</v>
      </c>
      <c r="R1194">
        <v>98.379218098288305</v>
      </c>
      <c r="S1194">
        <v>36.423074962783481</v>
      </c>
      <c r="T1194">
        <v>101.44292000315282</v>
      </c>
      <c r="U1194">
        <f t="shared" si="142"/>
        <v>72.534357911670185</v>
      </c>
      <c r="V1194" t="str">
        <f t="shared" si="143"/>
        <v>2017/18Expenditure driversReplacing and refurbishing equipmentAllowance</v>
      </c>
    </row>
    <row r="1195" spans="1:22">
      <c r="A1195" s="900" t="s">
        <v>139</v>
      </c>
      <c r="B1195" s="900"/>
      <c r="C1195" s="900" t="s">
        <v>1344</v>
      </c>
      <c r="D1195" t="s">
        <v>51</v>
      </c>
      <c r="E1195" t="s">
        <v>298</v>
      </c>
      <c r="F1195" t="s">
        <v>1289</v>
      </c>
      <c r="G1195">
        <v>78.804881533847478</v>
      </c>
      <c r="H1195">
        <v>51.240500361396485</v>
      </c>
      <c r="I1195">
        <v>56.922914856926347</v>
      </c>
      <c r="J1195">
        <v>77.454242387998903</v>
      </c>
      <c r="K1195">
        <v>68.473820561060421</v>
      </c>
      <c r="L1195">
        <v>44.445742257045993</v>
      </c>
      <c r="M1195">
        <v>72.613720093995084</v>
      </c>
      <c r="N1195">
        <v>36.512416649023002</v>
      </c>
      <c r="O1195">
        <v>42.478333526222976</v>
      </c>
      <c r="P1195">
        <v>46.332375206856796</v>
      </c>
      <c r="Q1195">
        <v>65.317506900953731</v>
      </c>
      <c r="R1195">
        <v>91.469605824363796</v>
      </c>
      <c r="S1195">
        <v>31.658258164444916</v>
      </c>
      <c r="T1195">
        <v>88.824837649729403</v>
      </c>
      <c r="U1195">
        <f t="shared" si="142"/>
        <v>60.896368283847515</v>
      </c>
      <c r="V1195" t="str">
        <f t="shared" si="143"/>
        <v>2017/18Expenditure driversReplacing and refurbishing equipmentActual</v>
      </c>
    </row>
    <row r="1196" spans="1:22">
      <c r="A1196" s="900" t="s">
        <v>139</v>
      </c>
      <c r="B1196" s="900"/>
      <c r="C1196" s="900" t="s">
        <v>1344</v>
      </c>
      <c r="D1196" t="s">
        <v>51</v>
      </c>
      <c r="E1196" t="s">
        <v>602</v>
      </c>
      <c r="F1196" t="s">
        <v>1289</v>
      </c>
      <c r="G1196">
        <v>-13.035223007547259</v>
      </c>
      <c r="H1196">
        <v>-9.012980039784928</v>
      </c>
      <c r="I1196">
        <v>-24.417005712632566</v>
      </c>
      <c r="J1196">
        <v>-8.052445041094586</v>
      </c>
      <c r="K1196">
        <v>-3.0608940512373692</v>
      </c>
      <c r="L1196">
        <v>-3.60921450139206</v>
      </c>
      <c r="M1196">
        <v>-1.7234977064487822</v>
      </c>
      <c r="N1196">
        <v>-13.80484737682022</v>
      </c>
      <c r="O1196">
        <v>-19.346391764716977</v>
      </c>
      <c r="P1196">
        <v>-37.363441579384897</v>
      </c>
      <c r="Q1196">
        <v>-5.2134025827711525</v>
      </c>
      <c r="R1196">
        <v>-6.9096122739245089</v>
      </c>
      <c r="S1196">
        <v>-4.7648167983385648</v>
      </c>
      <c r="T1196">
        <v>-12.618082353423418</v>
      </c>
      <c r="U1196">
        <f>U1195-U1194</f>
        <v>-11.63798962782267</v>
      </c>
      <c r="V1196" t="str">
        <f t="shared" si="143"/>
        <v>2017/18Expenditure driversReplacing and refurbishing equipmentDifference</v>
      </c>
    </row>
    <row r="1197" spans="1:22">
      <c r="A1197" s="900" t="s">
        <v>139</v>
      </c>
      <c r="B1197" s="900"/>
      <c r="C1197" s="900" t="s">
        <v>1344</v>
      </c>
      <c r="D1197" t="s">
        <v>51</v>
      </c>
      <c r="E1197" t="s">
        <v>1346</v>
      </c>
      <c r="F1197" t="s">
        <v>606</v>
      </c>
      <c r="G1197" s="829">
        <v>-0.14193388686390207</v>
      </c>
      <c r="H1197" s="829">
        <v>-0.14958438881496058</v>
      </c>
      <c r="I1197" s="829">
        <v>-0.30018477448293102</v>
      </c>
      <c r="J1197" s="829">
        <v>-9.4173277941238046E-2</v>
      </c>
      <c r="K1197" s="829">
        <v>-4.278893216848257E-2</v>
      </c>
      <c r="L1197" s="829">
        <v>-7.5105977506853383E-2</v>
      </c>
      <c r="M1197" s="829">
        <v>-2.3184856219336355E-2</v>
      </c>
      <c r="N1197" s="829">
        <v>-0.27435608123943256</v>
      </c>
      <c r="O1197" s="829">
        <v>-0.31292321435598963</v>
      </c>
      <c r="P1197" s="829">
        <v>-0.44641946293218893</v>
      </c>
      <c r="Q1197" s="829">
        <v>-7.3916565388599642E-2</v>
      </c>
      <c r="R1197" s="829">
        <v>-7.0234470323003395E-2</v>
      </c>
      <c r="S1197" s="829">
        <v>-0.13081863085989248</v>
      </c>
      <c r="T1197" s="829">
        <v>-0.12438603258888102</v>
      </c>
      <c r="U1197" s="829">
        <f>U1196/U1194</f>
        <v>-0.16044795822133021</v>
      </c>
      <c r="V1197" t="str">
        <f t="shared" si="143"/>
        <v>2017/18Expenditure driversReplacing and refurbishing equipmentDifference %</v>
      </c>
    </row>
    <row r="1198" spans="1:22">
      <c r="A1198" s="900" t="s">
        <v>140</v>
      </c>
      <c r="B1198" s="900"/>
      <c r="C1198" s="900" t="s">
        <v>1344</v>
      </c>
      <c r="D1198" t="s">
        <v>51</v>
      </c>
      <c r="E1198" t="s">
        <v>297</v>
      </c>
      <c r="F1198" t="s">
        <v>1289</v>
      </c>
      <c r="G1198">
        <f t="array" ref="G1198:T1201">TRANSPOSE('Ch4 expenditure drivers'!AU191:AX204)</f>
        <v>86.84007232747561</v>
      </c>
      <c r="H1198">
        <v>59.368771330944888</v>
      </c>
      <c r="I1198">
        <v>79.708813799619321</v>
      </c>
      <c r="J1198">
        <v>86.926786170508677</v>
      </c>
      <c r="K1198">
        <v>72.300307711399441</v>
      </c>
      <c r="L1198">
        <v>50.341171148307588</v>
      </c>
      <c r="M1198">
        <v>74.562639684096226</v>
      </c>
      <c r="N1198">
        <v>44.927914953865468</v>
      </c>
      <c r="O1198">
        <v>60.521528160163221</v>
      </c>
      <c r="P1198">
        <v>86.997272525375536</v>
      </c>
      <c r="Q1198">
        <v>67.29280033017973</v>
      </c>
      <c r="R1198">
        <v>87.56411414304965</v>
      </c>
      <c r="S1198">
        <v>36.38695975956567</v>
      </c>
      <c r="T1198">
        <v>96.810951455350022</v>
      </c>
      <c r="U1198">
        <f>AVERAGE(G1198:T1198)</f>
        <v>70.753578821421513</v>
      </c>
      <c r="V1198" t="str">
        <f t="shared" si="143"/>
        <v>2018/19Expenditure driversReplacing and refurbishing equipmentAllowance</v>
      </c>
    </row>
    <row r="1199" spans="1:22">
      <c r="A1199" s="900" t="s">
        <v>140</v>
      </c>
      <c r="B1199" s="900"/>
      <c r="C1199" s="900" t="s">
        <v>1344</v>
      </c>
      <c r="D1199" t="s">
        <v>51</v>
      </c>
      <c r="E1199" t="s">
        <v>298</v>
      </c>
      <c r="F1199" t="s">
        <v>1289</v>
      </c>
      <c r="G1199">
        <v>70.058809408157373</v>
      </c>
      <c r="H1199">
        <v>54.392273626861339</v>
      </c>
      <c r="I1199">
        <v>74.607218055954448</v>
      </c>
      <c r="J1199">
        <v>55.246064020077085</v>
      </c>
      <c r="K1199">
        <v>48.387052535050195</v>
      </c>
      <c r="L1199">
        <v>40.291681467519446</v>
      </c>
      <c r="M1199">
        <v>64.3991007871292</v>
      </c>
      <c r="N1199">
        <v>34.959320456652215</v>
      </c>
      <c r="O1199">
        <v>38.87487144716679</v>
      </c>
      <c r="P1199">
        <v>50.063614106704563</v>
      </c>
      <c r="Q1199">
        <v>67.644593742406656</v>
      </c>
      <c r="R1199">
        <v>93.050177517404066</v>
      </c>
      <c r="S1199">
        <v>39.819417287574979</v>
      </c>
      <c r="T1199">
        <v>78.588856520120999</v>
      </c>
      <c r="U1199">
        <f>AVERAGE(G1199:T1199)</f>
        <v>57.884503641341382</v>
      </c>
      <c r="V1199" t="str">
        <f t="shared" si="143"/>
        <v>2018/19Expenditure driversReplacing and refurbishing equipmentActual</v>
      </c>
    </row>
    <row r="1200" spans="1:22">
      <c r="A1200" s="900" t="s">
        <v>140</v>
      </c>
      <c r="B1200" s="900"/>
      <c r="C1200" s="900" t="s">
        <v>1344</v>
      </c>
      <c r="D1200" t="s">
        <v>51</v>
      </c>
      <c r="E1200" t="s">
        <v>602</v>
      </c>
      <c r="F1200" t="s">
        <v>1289</v>
      </c>
      <c r="G1200">
        <v>-16.781262919318237</v>
      </c>
      <c r="H1200">
        <v>-4.976497704083549</v>
      </c>
      <c r="I1200">
        <v>-5.1015957436648733</v>
      </c>
      <c r="J1200">
        <v>-31.680722150431592</v>
      </c>
      <c r="K1200">
        <v>-23.913255176349246</v>
      </c>
      <c r="L1200">
        <v>-10.049489680788142</v>
      </c>
      <c r="M1200">
        <v>-10.163538896967026</v>
      </c>
      <c r="N1200">
        <v>-9.9685944972132532</v>
      </c>
      <c r="O1200">
        <v>-21.646656712996432</v>
      </c>
      <c r="P1200">
        <v>-36.933658418670973</v>
      </c>
      <c r="Q1200">
        <v>0.35179341222692528</v>
      </c>
      <c r="R1200">
        <v>5.4860633743544156</v>
      </c>
      <c r="S1200">
        <v>3.4324575280093086</v>
      </c>
      <c r="T1200">
        <v>-18.222094935229023</v>
      </c>
      <c r="U1200">
        <f>U1199-U1198</f>
        <v>-12.869075180080131</v>
      </c>
      <c r="V1200" t="str">
        <f t="shared" si="143"/>
        <v>2018/19Expenditure driversReplacing and refurbishing equipmentDifference</v>
      </c>
    </row>
    <row r="1201" spans="1:22">
      <c r="A1201" s="900" t="s">
        <v>140</v>
      </c>
      <c r="B1201" s="900"/>
      <c r="C1201" s="900" t="s">
        <v>1344</v>
      </c>
      <c r="D1201" t="s">
        <v>51</v>
      </c>
      <c r="E1201" t="s">
        <v>1346</v>
      </c>
      <c r="F1201" t="s">
        <v>606</v>
      </c>
      <c r="G1201" s="829">
        <v>-0.19324330887284119</v>
      </c>
      <c r="H1201" s="829">
        <v>-8.3823491585207188E-2</v>
      </c>
      <c r="I1201" s="829">
        <v>-6.4002906334672344E-2</v>
      </c>
      <c r="J1201" s="829">
        <v>-0.36445293270464646</v>
      </c>
      <c r="K1201" s="829">
        <v>-0.33074900969721449</v>
      </c>
      <c r="L1201" s="829">
        <v>-0.19962764972594393</v>
      </c>
      <c r="M1201" s="829">
        <v>-0.13630873236284913</v>
      </c>
      <c r="N1201" s="829">
        <v>-0.22187974909250902</v>
      </c>
      <c r="O1201" s="829">
        <v>-0.35766870683950774</v>
      </c>
      <c r="P1201" s="829">
        <v>-0.42453811880019676</v>
      </c>
      <c r="Q1201" s="829">
        <v>5.22780164446733E-3</v>
      </c>
      <c r="R1201" s="829">
        <v>6.2651959972918531E-2</v>
      </c>
      <c r="S1201" s="829">
        <v>9.4332078049113713E-2</v>
      </c>
      <c r="T1201" s="829">
        <v>-0.18822348774904044</v>
      </c>
      <c r="U1201" s="829">
        <f>U1200/U1198</f>
        <v>-0.18188585502594903</v>
      </c>
      <c r="V1201" t="str">
        <f t="shared" si="143"/>
        <v>2018/19Expenditure driversReplacing and refurbishing equipmentDifference %</v>
      </c>
    </row>
    <row r="1202" spans="1:22">
      <c r="A1202" s="900" t="s">
        <v>141</v>
      </c>
      <c r="B1202" s="900"/>
      <c r="C1202" s="900" t="s">
        <v>1344</v>
      </c>
      <c r="D1202" t="s">
        <v>51</v>
      </c>
      <c r="E1202" t="s">
        <v>297</v>
      </c>
      <c r="F1202" t="s">
        <v>1289</v>
      </c>
      <c r="G1202" s="229">
        <f t="array" ref="G1202:T1205">TRANSPOSE('Ch4 expenditure drivers'!AZ191:BC204)</f>
        <v>92.913383245531605</v>
      </c>
      <c r="H1202" s="229">
        <v>56.255252592459932</v>
      </c>
      <c r="I1202" s="229">
        <v>66.638238010841476</v>
      </c>
      <c r="J1202" s="229">
        <v>87.360411827867935</v>
      </c>
      <c r="K1202" s="229">
        <v>72.7629608372647</v>
      </c>
      <c r="L1202" s="229">
        <v>50.405700454574102</v>
      </c>
      <c r="M1202" s="229">
        <v>75.839452669599083</v>
      </c>
      <c r="N1202" s="229">
        <v>46.456458446446085</v>
      </c>
      <c r="O1202" s="229">
        <v>59.032847103904444</v>
      </c>
      <c r="P1202" s="229">
        <v>84.995718742987478</v>
      </c>
      <c r="Q1202" s="229">
        <v>65.467841796224064</v>
      </c>
      <c r="R1202" s="229">
        <v>86.073205934563731</v>
      </c>
      <c r="S1202" s="229">
        <v>36.896107844023149</v>
      </c>
      <c r="T1202" s="229">
        <v>92.902301043346867</v>
      </c>
      <c r="U1202">
        <f>AVERAGE(G1202:T1202)</f>
        <v>69.571420039259621</v>
      </c>
      <c r="V1202" t="str">
        <f t="shared" si="143"/>
        <v>2019/20Expenditure driversReplacing and refurbishing equipmentAllowance</v>
      </c>
    </row>
    <row r="1203" spans="1:22">
      <c r="A1203" s="900" t="s">
        <v>141</v>
      </c>
      <c r="B1203" s="900"/>
      <c r="C1203" s="900" t="s">
        <v>1344</v>
      </c>
      <c r="D1203" t="s">
        <v>51</v>
      </c>
      <c r="E1203" t="s">
        <v>298</v>
      </c>
      <c r="F1203" t="s">
        <v>1289</v>
      </c>
      <c r="G1203" s="229">
        <v>52.921769341941818</v>
      </c>
      <c r="H1203" s="229">
        <v>65.613849076206222</v>
      </c>
      <c r="I1203" s="229">
        <v>94.765950068498597</v>
      </c>
      <c r="J1203" s="229">
        <v>67.641069871525801</v>
      </c>
      <c r="K1203" s="229">
        <v>59.800186323380665</v>
      </c>
      <c r="L1203" s="229">
        <v>36.569592237873401</v>
      </c>
      <c r="M1203" s="229">
        <v>62.608875408234184</v>
      </c>
      <c r="N1203" s="229">
        <v>22.458036106813932</v>
      </c>
      <c r="O1203" s="229">
        <v>29.425688557205266</v>
      </c>
      <c r="P1203" s="229">
        <v>42.719305116636043</v>
      </c>
      <c r="Q1203" s="229">
        <v>67.399464815295545</v>
      </c>
      <c r="R1203" s="229">
        <v>75.594665830749705</v>
      </c>
      <c r="S1203" s="229">
        <v>25.194226574281355</v>
      </c>
      <c r="T1203" s="229">
        <v>89.437453473219634</v>
      </c>
      <c r="U1203">
        <f>AVERAGE(G1203:T1203)</f>
        <v>56.582152342990163</v>
      </c>
      <c r="V1203" t="str">
        <f t="shared" si="143"/>
        <v>2019/20Expenditure driversReplacing and refurbishing equipmentActual</v>
      </c>
    </row>
    <row r="1204" spans="1:22">
      <c r="A1204" s="900" t="s">
        <v>141</v>
      </c>
      <c r="B1204" s="900"/>
      <c r="C1204" s="900" t="s">
        <v>1344</v>
      </c>
      <c r="D1204" t="s">
        <v>51</v>
      </c>
      <c r="E1204" t="s">
        <v>602</v>
      </c>
      <c r="F1204" t="s">
        <v>1289</v>
      </c>
      <c r="G1204" s="229">
        <v>-39.991613903589787</v>
      </c>
      <c r="H1204" s="229">
        <v>9.3585964837462896</v>
      </c>
      <c r="I1204" s="229">
        <v>28.127712057657121</v>
      </c>
      <c r="J1204" s="229">
        <v>-19.719341956342134</v>
      </c>
      <c r="K1204" s="229">
        <v>-12.962774513884035</v>
      </c>
      <c r="L1204" s="229">
        <v>-13.836108216700701</v>
      </c>
      <c r="M1204" s="229">
        <v>-13.2305772613649</v>
      </c>
      <c r="N1204" s="229">
        <v>-23.998422339632153</v>
      </c>
      <c r="O1204" s="229">
        <v>-29.607158546699178</v>
      </c>
      <c r="P1204" s="229">
        <v>-42.276413626351435</v>
      </c>
      <c r="Q1204" s="229">
        <v>1.9316230190714805</v>
      </c>
      <c r="R1204" s="229">
        <v>-10.478540103814026</v>
      </c>
      <c r="S1204" s="229">
        <v>-11.701881269741794</v>
      </c>
      <c r="T1204" s="229">
        <v>-3.4648475701272332</v>
      </c>
      <c r="U1204">
        <f>U1203-U1202</f>
        <v>-12.989267696269458</v>
      </c>
      <c r="V1204" t="str">
        <f t="shared" si="143"/>
        <v>2019/20Expenditure driversReplacing and refurbishing equipmentDifference</v>
      </c>
    </row>
    <row r="1205" spans="1:22">
      <c r="A1205" s="900" t="s">
        <v>141</v>
      </c>
      <c r="B1205" s="900"/>
      <c r="C1205" s="900" t="s">
        <v>1344</v>
      </c>
      <c r="D1205" t="s">
        <v>51</v>
      </c>
      <c r="E1205" t="s">
        <v>1346</v>
      </c>
      <c r="F1205" t="s">
        <v>606</v>
      </c>
      <c r="G1205" s="829">
        <v>-0.43041822939445123</v>
      </c>
      <c r="H1205" s="829">
        <v>0.16635951404474986</v>
      </c>
      <c r="I1205" s="829">
        <v>0.4220956750549284</v>
      </c>
      <c r="J1205" s="829">
        <v>-0.2257240040854715</v>
      </c>
      <c r="K1205" s="829">
        <v>-0.17815072895226799</v>
      </c>
      <c r="L1205" s="829">
        <v>-0.27449491013759203</v>
      </c>
      <c r="M1205" s="829">
        <v>-0.17445507312671435</v>
      </c>
      <c r="N1205" s="829">
        <v>-0.51657881685701401</v>
      </c>
      <c r="O1205" s="829">
        <v>-0.50153702555777557</v>
      </c>
      <c r="P1205" s="829">
        <v>-0.49739462471266443</v>
      </c>
      <c r="Q1205" s="829">
        <v>2.950491365033648E-2</v>
      </c>
      <c r="R1205" s="829">
        <v>-0.1217398607387789</v>
      </c>
      <c r="S1205" s="829">
        <v>-0.31715760695439849</v>
      </c>
      <c r="T1205" s="829">
        <v>-3.7295605504007762E-2</v>
      </c>
      <c r="U1205" s="829">
        <f>U1204/U1202</f>
        <v>-0.18670407602632699</v>
      </c>
      <c r="V1205" t="str">
        <f t="shared" si="143"/>
        <v>2019/20Expenditure driversReplacing and refurbishing equipmentDifference %</v>
      </c>
    </row>
    <row r="1206" spans="1:22">
      <c r="A1206" s="900" t="s">
        <v>126</v>
      </c>
      <c r="B1206" s="900"/>
      <c r="C1206" s="900" t="s">
        <v>1344</v>
      </c>
      <c r="D1206" t="s">
        <v>51</v>
      </c>
      <c r="E1206" t="s">
        <v>297</v>
      </c>
      <c r="F1206" t="s">
        <v>1289</v>
      </c>
      <c r="G1206" s="229" cm="1">
        <f t="array" ref="G1206:T1209">TRANSPOSE('Ch4 expenditure drivers'!BE191:BH204)</f>
        <v>92.203130689658124</v>
      </c>
      <c r="H1206" s="829">
        <v>48.035409703198987</v>
      </c>
      <c r="I1206" s="829">
        <v>64.272844535184433</v>
      </c>
      <c r="J1206" s="829">
        <v>88.022352213140493</v>
      </c>
      <c r="K1206" s="829">
        <v>74.505125166866122</v>
      </c>
      <c r="L1206" s="829">
        <v>50.091261779024101</v>
      </c>
      <c r="M1206" s="829">
        <v>76.569875850767431</v>
      </c>
      <c r="N1206" s="829">
        <v>45.798632864419176</v>
      </c>
      <c r="O1206" s="829">
        <v>57.573567762134978</v>
      </c>
      <c r="P1206" s="829">
        <v>77.032459811589504</v>
      </c>
      <c r="Q1206" s="829">
        <v>63.639043331425157</v>
      </c>
      <c r="R1206" s="829">
        <v>86.612295344224094</v>
      </c>
      <c r="S1206" s="829">
        <v>36.735041052210796</v>
      </c>
      <c r="T1206" s="829">
        <v>87.249060300399989</v>
      </c>
      <c r="U1206">
        <f>AVERAGE(G1206:T1206)</f>
        <v>67.738578600303086</v>
      </c>
      <c r="V1206" t="str">
        <f t="shared" si="143"/>
        <v>2020/21Expenditure driversReplacing and refurbishing equipmentAllowance</v>
      </c>
    </row>
    <row r="1207" spans="1:22">
      <c r="A1207" s="900" t="s">
        <v>126</v>
      </c>
      <c r="B1207" s="900"/>
      <c r="C1207" s="900" t="s">
        <v>1344</v>
      </c>
      <c r="D1207" t="s">
        <v>51</v>
      </c>
      <c r="E1207" t="s">
        <v>298</v>
      </c>
      <c r="F1207" t="s">
        <v>1289</v>
      </c>
      <c r="G1207" s="229">
        <v>46.005458208171611</v>
      </c>
      <c r="H1207" s="229">
        <v>69.029422575418806</v>
      </c>
      <c r="I1207" s="229">
        <v>92.745505289913737</v>
      </c>
      <c r="J1207" s="229">
        <v>78.553890052929134</v>
      </c>
      <c r="K1207" s="229">
        <v>69.806640372305537</v>
      </c>
      <c r="L1207" s="229">
        <v>40.280653213310813</v>
      </c>
      <c r="M1207" s="229">
        <v>61.859268582811815</v>
      </c>
      <c r="N1207" s="229">
        <v>33.965766809593411</v>
      </c>
      <c r="O1207" s="229">
        <v>24.832503862747391</v>
      </c>
      <c r="P1207" s="229">
        <v>49.107650426994034</v>
      </c>
      <c r="Q1207" s="229">
        <v>50.903821545312965</v>
      </c>
      <c r="R1207" s="229">
        <v>50.564956753271225</v>
      </c>
      <c r="S1207" s="229">
        <v>47.260835017890543</v>
      </c>
      <c r="T1207" s="229">
        <v>90.1190543606793</v>
      </c>
      <c r="U1207">
        <f>AVERAGE(G1207:T1207)</f>
        <v>57.502530505096459</v>
      </c>
      <c r="V1207" t="str">
        <f t="shared" si="143"/>
        <v>2020/21Expenditure driversReplacing and refurbishing equipmentActual</v>
      </c>
    </row>
    <row r="1208" spans="1:22">
      <c r="A1208" s="900" t="s">
        <v>126</v>
      </c>
      <c r="B1208" s="900"/>
      <c r="C1208" s="900" t="s">
        <v>1344</v>
      </c>
      <c r="D1208" t="s">
        <v>51</v>
      </c>
      <c r="E1208" t="s">
        <v>602</v>
      </c>
      <c r="F1208" t="s">
        <v>1289</v>
      </c>
      <c r="G1208" s="829">
        <v>-46.197672481486514</v>
      </c>
      <c r="H1208" s="829">
        <v>20.99401287221982</v>
      </c>
      <c r="I1208" s="829">
        <v>28.472660754729304</v>
      </c>
      <c r="J1208" s="829">
        <v>-9.4684621602113594</v>
      </c>
      <c r="K1208" s="829">
        <v>-4.698484794560585</v>
      </c>
      <c r="L1208" s="829">
        <v>-9.810608565713288</v>
      </c>
      <c r="M1208" s="829">
        <v>-14.710607267955616</v>
      </c>
      <c r="N1208" s="829">
        <v>-11.832866054825764</v>
      </c>
      <c r="O1208" s="829">
        <v>-32.741063899387584</v>
      </c>
      <c r="P1208" s="829">
        <v>-27.92480938459547</v>
      </c>
      <c r="Q1208" s="829">
        <v>-12.735221786112191</v>
      </c>
      <c r="R1208" s="829">
        <v>-36.047338590952869</v>
      </c>
      <c r="S1208" s="829">
        <v>10.525793965679746</v>
      </c>
      <c r="T1208" s="829">
        <v>2.8699940602793106</v>
      </c>
      <c r="U1208">
        <f>U1207-U1206</f>
        <v>-10.236048095206627</v>
      </c>
      <c r="V1208" t="str">
        <f t="shared" si="143"/>
        <v>2020/21Expenditure driversReplacing and refurbishing equipmentDifference</v>
      </c>
    </row>
    <row r="1209" spans="1:22">
      <c r="A1209" s="900" t="s">
        <v>126</v>
      </c>
      <c r="B1209" s="900"/>
      <c r="C1209" s="900" t="s">
        <v>1344</v>
      </c>
      <c r="D1209" t="s">
        <v>51</v>
      </c>
      <c r="E1209" t="s">
        <v>1346</v>
      </c>
      <c r="F1209" t="s">
        <v>606</v>
      </c>
      <c r="G1209" s="829">
        <v>-0.50104234136019665</v>
      </c>
      <c r="H1209" s="829">
        <v>0.4370528533416817</v>
      </c>
      <c r="I1209" s="829">
        <v>0.44299674241339537</v>
      </c>
      <c r="J1209" s="829">
        <v>-0.10756883816606132</v>
      </c>
      <c r="K1209" s="829">
        <v>-6.306257165580996E-2</v>
      </c>
      <c r="L1209" s="829">
        <v>-0.19585469036480763</v>
      </c>
      <c r="M1209" s="829">
        <v>-0.1921200355166591</v>
      </c>
      <c r="N1209" s="829">
        <v>-0.25836723314111598</v>
      </c>
      <c r="O1209" s="829">
        <v>-0.56868221255033546</v>
      </c>
      <c r="P1209" s="829">
        <v>-0.36250704511962362</v>
      </c>
      <c r="Q1209" s="829">
        <v>-0.20011648697779055</v>
      </c>
      <c r="R1209" s="829">
        <v>-0.41619193265447563</v>
      </c>
      <c r="S1209" s="829">
        <v>0.28653279441609009</v>
      </c>
      <c r="T1209" s="829">
        <v>3.2894269008719092E-2</v>
      </c>
      <c r="U1209" s="829">
        <f>U1208/U1206</f>
        <v>-0.15111105527627394</v>
      </c>
      <c r="V1209" t="str">
        <f t="shared" si="143"/>
        <v>2020/21Expenditure driversReplacing and refurbishing equipmentDifference %</v>
      </c>
    </row>
    <row r="1210" spans="1:22">
      <c r="A1210" s="900" t="s">
        <v>142</v>
      </c>
      <c r="B1210" s="900"/>
      <c r="C1210" s="900" t="s">
        <v>1344</v>
      </c>
      <c r="D1210" t="s">
        <v>51</v>
      </c>
      <c r="E1210" t="s">
        <v>297</v>
      </c>
      <c r="F1210" t="s">
        <v>1289</v>
      </c>
      <c r="G1210" s="229" cm="1">
        <f t="array" ref="G1210:T1213">TRANSPOSE('Ch4 expenditure drivers'!BJ191:BM204)</f>
        <v>91.529860998096396</v>
      </c>
      <c r="H1210" s="229">
        <v>41.946277381478545</v>
      </c>
      <c r="I1210" s="229">
        <v>53.52575823006503</v>
      </c>
      <c r="J1210" s="229">
        <v>88.748942101539797</v>
      </c>
      <c r="K1210" s="229">
        <v>75.259729102703574</v>
      </c>
      <c r="L1210" s="229">
        <v>51.200743578975448</v>
      </c>
      <c r="M1210" s="229">
        <v>76.913234085840571</v>
      </c>
      <c r="N1210" s="229">
        <v>41.123579206596936</v>
      </c>
      <c r="O1210" s="229">
        <v>53.144964980782703</v>
      </c>
      <c r="P1210" s="229">
        <v>74.763058068922703</v>
      </c>
      <c r="Q1210" s="229">
        <v>58.354707920507337</v>
      </c>
      <c r="R1210" s="229">
        <v>74.135667881058438</v>
      </c>
      <c r="S1210" s="229">
        <v>37.034361140546956</v>
      </c>
      <c r="T1210" s="229">
        <v>86.133865722299703</v>
      </c>
      <c r="U1210" s="229">
        <f>AVERAGE(G1210:T1210)</f>
        <v>64.558196457101005</v>
      </c>
      <c r="V1210" t="str">
        <f t="shared" ref="V1210:V1213" si="145">CONCATENATE(A1210,B1210,C1210,D1210,E1210)</f>
        <v>2021/22Expenditure driversReplacing and refurbishing equipmentAllowance</v>
      </c>
    </row>
    <row r="1211" spans="1:22">
      <c r="A1211" s="900" t="s">
        <v>142</v>
      </c>
      <c r="B1211" s="900"/>
      <c r="C1211" s="900" t="s">
        <v>1344</v>
      </c>
      <c r="D1211" t="s">
        <v>51</v>
      </c>
      <c r="E1211" t="s">
        <v>298</v>
      </c>
      <c r="F1211" t="s">
        <v>1289</v>
      </c>
      <c r="G1211" s="229">
        <v>39.095718580299781</v>
      </c>
      <c r="H1211" s="229">
        <v>42.120735629999992</v>
      </c>
      <c r="I1211" s="229">
        <v>81.258044149999975</v>
      </c>
      <c r="J1211" s="229">
        <v>79.267300000000006</v>
      </c>
      <c r="K1211" s="229">
        <v>74.990199999999987</v>
      </c>
      <c r="L1211" s="229">
        <v>41.892500000000005</v>
      </c>
      <c r="M1211" s="229">
        <v>65.137999999999991</v>
      </c>
      <c r="N1211" s="229">
        <v>46.769522289167355</v>
      </c>
      <c r="O1211" s="229">
        <v>21.819525807423929</v>
      </c>
      <c r="P1211" s="229">
        <v>39.945003939739252</v>
      </c>
      <c r="Q1211" s="229">
        <v>40.579865433724983</v>
      </c>
      <c r="R1211" s="229">
        <v>49.637599207664401</v>
      </c>
      <c r="S1211" s="229">
        <v>35.033819080000001</v>
      </c>
      <c r="T1211" s="229">
        <v>62.222124539999996</v>
      </c>
      <c r="U1211" s="229">
        <f>AVERAGE(G1211:T1211)</f>
        <v>51.412139904144261</v>
      </c>
      <c r="V1211" t="str">
        <f t="shared" si="145"/>
        <v>2021/22Expenditure driversReplacing and refurbishing equipmentActual</v>
      </c>
    </row>
    <row r="1212" spans="1:22">
      <c r="A1212" s="900" t="s">
        <v>142</v>
      </c>
      <c r="B1212" s="900"/>
      <c r="C1212" s="900" t="s">
        <v>1344</v>
      </c>
      <c r="D1212" t="s">
        <v>51</v>
      </c>
      <c r="E1212" t="s">
        <v>602</v>
      </c>
      <c r="F1212" t="s">
        <v>1289</v>
      </c>
      <c r="G1212" s="229">
        <v>-52.434142417796615</v>
      </c>
      <c r="H1212" s="229">
        <v>0.17445824852144654</v>
      </c>
      <c r="I1212" s="229">
        <v>27.732285919934945</v>
      </c>
      <c r="J1212" s="229">
        <v>-9.4816421015397907</v>
      </c>
      <c r="K1212" s="229">
        <v>-0.26952910270358643</v>
      </c>
      <c r="L1212" s="229">
        <v>-9.3082435789754427</v>
      </c>
      <c r="M1212" s="229">
        <v>-11.77523408584058</v>
      </c>
      <c r="N1212" s="229">
        <v>5.6459430825704189</v>
      </c>
      <c r="O1212" s="229">
        <v>-31.325439173358774</v>
      </c>
      <c r="P1212" s="229">
        <v>-34.818054129183452</v>
      </c>
      <c r="Q1212" s="229">
        <v>-17.774842486782354</v>
      </c>
      <c r="R1212" s="229">
        <v>-24.498068673394037</v>
      </c>
      <c r="S1212" s="229">
        <v>-2.0005420605469553</v>
      </c>
      <c r="T1212" s="229">
        <v>-23.911741182299707</v>
      </c>
      <c r="U1212" s="229">
        <f>U1211-U1210</f>
        <v>-13.146056552956743</v>
      </c>
      <c r="V1212" t="str">
        <f t="shared" si="145"/>
        <v>2021/22Expenditure driversReplacing and refurbishing equipmentDifference</v>
      </c>
    </row>
    <row r="1213" spans="1:22">
      <c r="A1213" s="900" t="s">
        <v>142</v>
      </c>
      <c r="B1213" s="900"/>
      <c r="C1213" s="900" t="s">
        <v>1344</v>
      </c>
      <c r="D1213" t="s">
        <v>51</v>
      </c>
      <c r="E1213" t="s">
        <v>1346</v>
      </c>
      <c r="F1213" t="s">
        <v>606</v>
      </c>
      <c r="G1213" s="829">
        <v>-0.57286378287941597</v>
      </c>
      <c r="H1213" s="829">
        <v>4.1590877525279251E-3</v>
      </c>
      <c r="I1213" s="829">
        <v>0.51811103358378807</v>
      </c>
      <c r="J1213" s="829">
        <v>-0.10683667745235337</v>
      </c>
      <c r="K1213" s="829">
        <v>-3.5813190655492816E-3</v>
      </c>
      <c r="L1213" s="829">
        <v>-0.18179899213021752</v>
      </c>
      <c r="M1213" s="829">
        <v>-0.15309763301200666</v>
      </c>
      <c r="N1213" s="829">
        <v>0.13729211297991084</v>
      </c>
      <c r="O1213" s="829">
        <v>-0.58943380966919634</v>
      </c>
      <c r="P1213" s="829">
        <v>-0.46571201109892163</v>
      </c>
      <c r="Q1213" s="829">
        <v>-0.30459997351020618</v>
      </c>
      <c r="R1213" s="829">
        <v>-0.33044915320245277</v>
      </c>
      <c r="S1213" s="829">
        <v>-5.4018538431237252E-2</v>
      </c>
      <c r="T1213" s="829">
        <v>-0.27761137830957766</v>
      </c>
      <c r="U1213" s="829">
        <f>U1212/U1210</f>
        <v>-0.20363109991296477</v>
      </c>
      <c r="V1213" t="str">
        <f t="shared" si="145"/>
        <v>2021/22Expenditure driversReplacing and refurbishing equipmentDifference %</v>
      </c>
    </row>
    <row r="1214" spans="1:22">
      <c r="A1214" s="900" t="s">
        <v>137</v>
      </c>
      <c r="B1214" s="900"/>
      <c r="C1214" s="900" t="s">
        <v>1344</v>
      </c>
      <c r="D1214" t="s">
        <v>53</v>
      </c>
      <c r="E1214" t="s">
        <v>1347</v>
      </c>
      <c r="F1214" t="s">
        <v>1289</v>
      </c>
      <c r="G1214">
        <f t="array" ref="G1214:T1221">TRANSPOSE('Ch4 expenditure drivers'!E211:L224)</f>
        <v>33.717248132361824</v>
      </c>
      <c r="H1214">
        <v>34.349224209799495</v>
      </c>
      <c r="I1214">
        <v>53.151811612209329</v>
      </c>
      <c r="J1214">
        <v>37.786840133713788</v>
      </c>
      <c r="K1214">
        <v>43.094595636415775</v>
      </c>
      <c r="L1214">
        <v>17.391584122460895</v>
      </c>
      <c r="M1214">
        <v>31.27055795966298</v>
      </c>
      <c r="N1214">
        <v>30.181754032899182</v>
      </c>
      <c r="O1214">
        <v>32.389505814364178</v>
      </c>
      <c r="P1214">
        <v>49.456518191871183</v>
      </c>
      <c r="Q1214">
        <v>29.778787074430817</v>
      </c>
      <c r="R1214">
        <v>26.381617689040066</v>
      </c>
      <c r="S1214">
        <v>21.011746114504714</v>
      </c>
      <c r="T1214">
        <v>37.514978512490678</v>
      </c>
      <c r="U1214">
        <f>AVERAGE(G1214:T1214)</f>
        <v>34.105483516873207</v>
      </c>
      <c r="V1214" t="str">
        <f t="shared" si="143"/>
        <v>2015/16Expenditure driversNetwork faultsBPDT</v>
      </c>
    </row>
    <row r="1215" spans="1:22">
      <c r="A1215" s="900" t="s">
        <v>138</v>
      </c>
      <c r="B1215" s="900"/>
      <c r="C1215" s="900" t="s">
        <v>1344</v>
      </c>
      <c r="D1215" t="s">
        <v>53</v>
      </c>
      <c r="E1215" t="s">
        <v>1347</v>
      </c>
      <c r="F1215" t="s">
        <v>1289</v>
      </c>
      <c r="G1215">
        <v>34.160360533443928</v>
      </c>
      <c r="H1215">
        <v>34.363400916232195</v>
      </c>
      <c r="I1215">
        <v>53.40568424332578</v>
      </c>
      <c r="J1215">
        <v>37.681920971578613</v>
      </c>
      <c r="K1215">
        <v>43.061638652537937</v>
      </c>
      <c r="L1215">
        <v>17.342196835319417</v>
      </c>
      <c r="M1215">
        <v>31.196860571350342</v>
      </c>
      <c r="N1215">
        <v>29.884583788817295</v>
      </c>
      <c r="O1215">
        <v>32.047997724888035</v>
      </c>
      <c r="P1215">
        <v>49.506514550372671</v>
      </c>
      <c r="Q1215">
        <v>29.614504422049258</v>
      </c>
      <c r="R1215">
        <v>25.976332823427526</v>
      </c>
      <c r="S1215">
        <v>20.783046284266764</v>
      </c>
      <c r="T1215">
        <v>37.390879727398229</v>
      </c>
      <c r="U1215">
        <f t="shared" ref="U1215:U1246" si="146">AVERAGE(G1215:T1215)</f>
        <v>34.029708717500576</v>
      </c>
      <c r="V1215" t="str">
        <f t="shared" si="143"/>
        <v>2016/17Expenditure driversNetwork faultsBPDT</v>
      </c>
    </row>
    <row r="1216" spans="1:22">
      <c r="A1216" s="900" t="s">
        <v>139</v>
      </c>
      <c r="B1216" s="900"/>
      <c r="C1216" s="900" t="s">
        <v>1344</v>
      </c>
      <c r="D1216" t="s">
        <v>53</v>
      </c>
      <c r="E1216" t="s">
        <v>1347</v>
      </c>
      <c r="F1216" t="s">
        <v>1289</v>
      </c>
      <c r="G1216">
        <v>33.959496467748473</v>
      </c>
      <c r="H1216">
        <v>34.249407696070676</v>
      </c>
      <c r="I1216">
        <v>52.777716363140598</v>
      </c>
      <c r="J1216">
        <v>37.43624219680423</v>
      </c>
      <c r="K1216">
        <v>42.871807113296917</v>
      </c>
      <c r="L1216">
        <v>17.192853865234799</v>
      </c>
      <c r="M1216">
        <v>30.988673898396616</v>
      </c>
      <c r="N1216">
        <v>29.702804123204839</v>
      </c>
      <c r="O1216">
        <v>32.000352701188334</v>
      </c>
      <c r="P1216">
        <v>49.52774130597485</v>
      </c>
      <c r="Q1216">
        <v>29.381535602996614</v>
      </c>
      <c r="R1216">
        <v>25.940997046307849</v>
      </c>
      <c r="S1216">
        <v>20.535466516566114</v>
      </c>
      <c r="T1216">
        <v>37.466962060326459</v>
      </c>
      <c r="U1216">
        <f t="shared" si="146"/>
        <v>33.859432639804098</v>
      </c>
      <c r="V1216" t="str">
        <f t="shared" si="143"/>
        <v>2017/18Expenditure driversNetwork faultsBPDT</v>
      </c>
    </row>
    <row r="1217" spans="1:22">
      <c r="A1217" s="900" t="s">
        <v>140</v>
      </c>
      <c r="B1217" s="900"/>
      <c r="C1217" s="900" t="s">
        <v>1344</v>
      </c>
      <c r="D1217" t="s">
        <v>53</v>
      </c>
      <c r="E1217" t="s">
        <v>1347</v>
      </c>
      <c r="F1217" t="s">
        <v>1289</v>
      </c>
      <c r="G1217">
        <v>33.934653407645499</v>
      </c>
      <c r="H1217">
        <v>34.177048693597676</v>
      </c>
      <c r="I1217">
        <v>52.637826244641857</v>
      </c>
      <c r="J1217">
        <v>37.353509302795359</v>
      </c>
      <c r="K1217">
        <v>42.884475428259321</v>
      </c>
      <c r="L1217">
        <v>17.10972462788596</v>
      </c>
      <c r="M1217">
        <v>30.910362133668983</v>
      </c>
      <c r="N1217">
        <v>29.559602590120019</v>
      </c>
      <c r="O1217">
        <v>32.000103797343108</v>
      </c>
      <c r="P1217">
        <v>49.663539526754732</v>
      </c>
      <c r="Q1217">
        <v>29.107036059124972</v>
      </c>
      <c r="R1217">
        <v>25.476589185496668</v>
      </c>
      <c r="S1217">
        <v>18.899993910897031</v>
      </c>
      <c r="T1217">
        <v>37.22430360278257</v>
      </c>
      <c r="U1217">
        <f t="shared" si="146"/>
        <v>33.638483465072412</v>
      </c>
      <c r="V1217" t="str">
        <f t="shared" si="143"/>
        <v>2018/19Expenditure driversNetwork faultsBPDT</v>
      </c>
    </row>
    <row r="1218" spans="1:22">
      <c r="A1218" s="900" t="s">
        <v>141</v>
      </c>
      <c r="B1218" s="900"/>
      <c r="C1218" s="900" t="s">
        <v>1344</v>
      </c>
      <c r="D1218" t="s">
        <v>53</v>
      </c>
      <c r="E1218" t="s">
        <v>1347</v>
      </c>
      <c r="F1218" t="s">
        <v>1289</v>
      </c>
      <c r="G1218">
        <v>33.960623070443326</v>
      </c>
      <c r="H1218">
        <v>34.052036561216774</v>
      </c>
      <c r="I1218">
        <v>52.295588644121793</v>
      </c>
      <c r="J1218">
        <v>37.268229569698136</v>
      </c>
      <c r="K1218">
        <v>42.914982010125648</v>
      </c>
      <c r="L1218">
        <v>17.041489192465086</v>
      </c>
      <c r="M1218">
        <v>30.859006080772023</v>
      </c>
      <c r="N1218">
        <v>29.476021447771956</v>
      </c>
      <c r="O1218">
        <v>32.053412573312229</v>
      </c>
      <c r="P1218">
        <v>48.927334896959948</v>
      </c>
      <c r="Q1218">
        <v>28.971180775824173</v>
      </c>
      <c r="R1218">
        <v>25.254232782355338</v>
      </c>
      <c r="S1218">
        <v>17.986558439414466</v>
      </c>
      <c r="T1218">
        <v>37.37014771862053</v>
      </c>
      <c r="U1218">
        <f t="shared" si="146"/>
        <v>33.459345983078677</v>
      </c>
      <c r="V1218" t="str">
        <f t="shared" si="143"/>
        <v>2019/20Expenditure driversNetwork faultsBPDT</v>
      </c>
    </row>
    <row r="1219" spans="1:22">
      <c r="A1219" s="900" t="s">
        <v>126</v>
      </c>
      <c r="B1219" s="900"/>
      <c r="C1219" s="900" t="s">
        <v>1344</v>
      </c>
      <c r="D1219" t="s">
        <v>53</v>
      </c>
      <c r="E1219" t="s">
        <v>1347</v>
      </c>
      <c r="F1219" t="s">
        <v>1289</v>
      </c>
      <c r="G1219">
        <v>34.168992262210011</v>
      </c>
      <c r="H1219">
        <v>34.173547293328539</v>
      </c>
      <c r="I1219">
        <v>52.630670982832513</v>
      </c>
      <c r="J1219">
        <v>37.333084446354007</v>
      </c>
      <c r="K1219">
        <v>43.063771374704068</v>
      </c>
      <c r="L1219">
        <v>17.065482968976383</v>
      </c>
      <c r="M1219">
        <v>30.893869331348654</v>
      </c>
      <c r="N1219">
        <v>29.620168433866425</v>
      </c>
      <c r="O1219">
        <v>32.262514934231469</v>
      </c>
      <c r="P1219">
        <v>50.115987349099989</v>
      </c>
      <c r="Q1219">
        <v>28.882681100323385</v>
      </c>
      <c r="R1219">
        <v>25.349983251821527</v>
      </c>
      <c r="S1219">
        <v>18.729421082202578</v>
      </c>
      <c r="T1219">
        <v>37.327177136364085</v>
      </c>
      <c r="U1219">
        <f t="shared" si="146"/>
        <v>33.6869537105474</v>
      </c>
      <c r="V1219" t="str">
        <f t="shared" si="143"/>
        <v>2020/21Expenditure driversNetwork faultsBPDT</v>
      </c>
    </row>
    <row r="1220" spans="1:22">
      <c r="A1220" s="900" t="s">
        <v>142</v>
      </c>
      <c r="B1220" s="900"/>
      <c r="C1220" s="900" t="s">
        <v>1344</v>
      </c>
      <c r="D1220" t="s">
        <v>53</v>
      </c>
      <c r="E1220" t="s">
        <v>1347</v>
      </c>
      <c r="F1220" t="s">
        <v>1289</v>
      </c>
      <c r="G1220">
        <v>34.088833533147131</v>
      </c>
      <c r="H1220">
        <v>34.268297171423796</v>
      </c>
      <c r="I1220">
        <v>53.038414459802652</v>
      </c>
      <c r="J1220">
        <v>37.462296947699699</v>
      </c>
      <c r="K1220">
        <v>43.276939850885171</v>
      </c>
      <c r="L1220">
        <v>17.143532933570459</v>
      </c>
      <c r="M1220">
        <v>30.992786470236304</v>
      </c>
      <c r="N1220">
        <v>30.13311923593217</v>
      </c>
      <c r="O1220">
        <v>33.073015276035363</v>
      </c>
      <c r="P1220">
        <v>51.218221523499203</v>
      </c>
      <c r="Q1220">
        <v>29.028356391874265</v>
      </c>
      <c r="R1220">
        <v>25.231125053673601</v>
      </c>
      <c r="S1220">
        <v>18.645733039914827</v>
      </c>
      <c r="T1220">
        <v>38.846323796248015</v>
      </c>
      <c r="U1220">
        <f t="shared" si="146"/>
        <v>34.031928263138767</v>
      </c>
      <c r="V1220" t="str">
        <f t="shared" si="143"/>
        <v>2021/22Expenditure driversNetwork faultsBPDT</v>
      </c>
    </row>
    <row r="1221" spans="1:22">
      <c r="A1221" s="900" t="s">
        <v>143</v>
      </c>
      <c r="B1221" s="900"/>
      <c r="C1221" s="900" t="s">
        <v>1344</v>
      </c>
      <c r="D1221" t="s">
        <v>53</v>
      </c>
      <c r="E1221" t="s">
        <v>1347</v>
      </c>
      <c r="F1221" t="s">
        <v>1289</v>
      </c>
      <c r="G1221">
        <v>34.146129000968983</v>
      </c>
      <c r="H1221">
        <v>34.394233429278593</v>
      </c>
      <c r="I1221">
        <v>53.261158651429859</v>
      </c>
      <c r="J1221">
        <v>37.578309147391714</v>
      </c>
      <c r="K1221">
        <v>43.472424464591093</v>
      </c>
      <c r="L1221">
        <v>17.208170326609718</v>
      </c>
      <c r="M1221">
        <v>31.061956950418306</v>
      </c>
      <c r="N1221">
        <v>30.755754204022352</v>
      </c>
      <c r="O1221">
        <v>33.642113083402556</v>
      </c>
      <c r="P1221">
        <v>52.164327688767806</v>
      </c>
      <c r="Q1221">
        <v>28.984012025672307</v>
      </c>
      <c r="R1221">
        <v>25.077883199813247</v>
      </c>
      <c r="S1221">
        <v>17.694767754740951</v>
      </c>
      <c r="T1221">
        <v>37.424322412418562</v>
      </c>
      <c r="U1221">
        <f t="shared" si="146"/>
        <v>34.061825881394718</v>
      </c>
      <c r="V1221" t="str">
        <f t="shared" si="143"/>
        <v>2022/23Expenditure driversNetwork faultsBPDT</v>
      </c>
    </row>
    <row r="1222" spans="1:22">
      <c r="A1222" s="900" t="s">
        <v>137</v>
      </c>
      <c r="B1222" s="900"/>
      <c r="C1222" s="900" t="s">
        <v>1344</v>
      </c>
      <c r="D1222" t="s">
        <v>53</v>
      </c>
      <c r="E1222" t="s">
        <v>1348</v>
      </c>
      <c r="F1222" t="s">
        <v>1289</v>
      </c>
      <c r="G1222">
        <f t="array" ref="G1222:T1229">TRANSPOSE('Ch4 expenditure drivers'!N211:U224)</f>
        <v>33.314450712267089</v>
      </c>
      <c r="H1222">
        <v>29.60365444742628</v>
      </c>
      <c r="I1222">
        <v>49.891508249854724</v>
      </c>
      <c r="J1222">
        <v>37.786840133713788</v>
      </c>
      <c r="K1222">
        <v>43.094595636415775</v>
      </c>
      <c r="L1222">
        <v>17.391584122460895</v>
      </c>
      <c r="M1222">
        <v>31.27055795966298</v>
      </c>
      <c r="N1222">
        <v>30.321908273878044</v>
      </c>
      <c r="O1222">
        <v>31.766439857394445</v>
      </c>
      <c r="P1222">
        <v>48.623524486856759</v>
      </c>
      <c r="Q1222">
        <v>31.976511785098847</v>
      </c>
      <c r="R1222">
        <v>26.214938207402426</v>
      </c>
      <c r="S1222">
        <v>20.309550310627987</v>
      </c>
      <c r="T1222">
        <v>44.552303307465721</v>
      </c>
      <c r="U1222">
        <f t="shared" si="146"/>
        <v>34.008454820751837</v>
      </c>
      <c r="V1222" t="str">
        <f t="shared" si="143"/>
        <v>2015/16Expenditure driversNetwork faultsDNO Baseline</v>
      </c>
    </row>
    <row r="1223" spans="1:22">
      <c r="A1223" s="900" t="s">
        <v>138</v>
      </c>
      <c r="B1223" s="900"/>
      <c r="C1223" s="900" t="s">
        <v>1344</v>
      </c>
      <c r="D1223" t="s">
        <v>53</v>
      </c>
      <c r="E1223" t="s">
        <v>1348</v>
      </c>
      <c r="F1223" t="s">
        <v>1289</v>
      </c>
      <c r="G1223">
        <v>32.868583631981963</v>
      </c>
      <c r="H1223">
        <v>29.368278578606326</v>
      </c>
      <c r="I1223">
        <v>49.683609577613112</v>
      </c>
      <c r="J1223">
        <v>37.681920971578613</v>
      </c>
      <c r="K1223">
        <v>43.061638652537937</v>
      </c>
      <c r="L1223">
        <v>17.342196835319417</v>
      </c>
      <c r="M1223">
        <v>31.196860571350342</v>
      </c>
      <c r="N1223">
        <v>29.557366270993988</v>
      </c>
      <c r="O1223">
        <v>31.037447405850326</v>
      </c>
      <c r="P1223">
        <v>47.966814001975699</v>
      </c>
      <c r="Q1223">
        <v>31.254994151073475</v>
      </c>
      <c r="R1223">
        <v>25.523065546508889</v>
      </c>
      <c r="S1223">
        <v>19.954970361761191</v>
      </c>
      <c r="T1223">
        <v>43.986974687015525</v>
      </c>
      <c r="U1223">
        <f t="shared" si="146"/>
        <v>33.606051517440484</v>
      </c>
      <c r="V1223" t="str">
        <f t="shared" si="143"/>
        <v>2016/17Expenditure driversNetwork faultsDNO Baseline</v>
      </c>
    </row>
    <row r="1224" spans="1:22">
      <c r="A1224" s="900" t="s">
        <v>139</v>
      </c>
      <c r="B1224" s="900"/>
      <c r="C1224" s="900" t="s">
        <v>1344</v>
      </c>
      <c r="D1224" t="s">
        <v>53</v>
      </c>
      <c r="E1224" t="s">
        <v>1348</v>
      </c>
      <c r="F1224" t="s">
        <v>1289</v>
      </c>
      <c r="G1224">
        <v>32.113199332569828</v>
      </c>
      <c r="H1224">
        <v>28.985656027991055</v>
      </c>
      <c r="I1224">
        <v>48.689103222406928</v>
      </c>
      <c r="J1224">
        <v>37.43624219680423</v>
      </c>
      <c r="K1224">
        <v>42.871807113296917</v>
      </c>
      <c r="L1224">
        <v>17.192853865234799</v>
      </c>
      <c r="M1224">
        <v>30.988673898396616</v>
      </c>
      <c r="N1224">
        <v>28.796914618809925</v>
      </c>
      <c r="O1224">
        <v>30.340227588374177</v>
      </c>
      <c r="P1224">
        <v>47.126270047406663</v>
      </c>
      <c r="Q1224">
        <v>30.52368884795057</v>
      </c>
      <c r="R1224">
        <v>24.991958049218567</v>
      </c>
      <c r="S1224">
        <v>19.58615091215578</v>
      </c>
      <c r="T1224">
        <v>43.638909550482616</v>
      </c>
      <c r="U1224">
        <f t="shared" si="146"/>
        <v>33.09154680507848</v>
      </c>
      <c r="V1224" t="str">
        <f t="shared" si="143"/>
        <v>2017/18Expenditure driversNetwork faultsDNO Baseline</v>
      </c>
    </row>
    <row r="1225" spans="1:22">
      <c r="A1225" s="900" t="s">
        <v>140</v>
      </c>
      <c r="B1225" s="900"/>
      <c r="C1225" s="900" t="s">
        <v>1344</v>
      </c>
      <c r="D1225" t="s">
        <v>53</v>
      </c>
      <c r="E1225" t="s">
        <v>1348</v>
      </c>
      <c r="F1225" t="s">
        <v>1289</v>
      </c>
      <c r="G1225">
        <v>31.417157601115395</v>
      </c>
      <c r="H1225">
        <v>28.706364334804476</v>
      </c>
      <c r="I1225">
        <v>48.178718440773558</v>
      </c>
      <c r="J1225">
        <v>37.353509302795359</v>
      </c>
      <c r="K1225">
        <v>42.884475428259321</v>
      </c>
      <c r="L1225">
        <v>17.10972462788596</v>
      </c>
      <c r="M1225">
        <v>30.910362133668983</v>
      </c>
      <c r="N1225">
        <v>28.161798994972145</v>
      </c>
      <c r="O1225">
        <v>29.802750581938763</v>
      </c>
      <c r="P1225">
        <v>46.509684946182418</v>
      </c>
      <c r="Q1225">
        <v>29.774443535882664</v>
      </c>
      <c r="R1225">
        <v>24.119328853554254</v>
      </c>
      <c r="S1225">
        <v>17.981443625034917</v>
      </c>
      <c r="T1225">
        <v>43.027317370198247</v>
      </c>
      <c r="U1225">
        <f t="shared" si="146"/>
        <v>32.566934269790458</v>
      </c>
      <c r="V1225" t="str">
        <f t="shared" si="143"/>
        <v>2018/19Expenditure driversNetwork faultsDNO Baseline</v>
      </c>
    </row>
    <row r="1226" spans="1:22">
      <c r="A1226" s="900" t="s">
        <v>141</v>
      </c>
      <c r="B1226" s="900"/>
      <c r="C1226" s="900" t="s">
        <v>1344</v>
      </c>
      <c r="D1226" t="s">
        <v>53</v>
      </c>
      <c r="E1226" t="s">
        <v>1348</v>
      </c>
      <c r="F1226" t="s">
        <v>1289</v>
      </c>
      <c r="G1226">
        <v>30.806646681089575</v>
      </c>
      <c r="H1226">
        <v>28.350178347838717</v>
      </c>
      <c r="I1226">
        <v>47.359376008514943</v>
      </c>
      <c r="J1226">
        <v>37.268229569698136</v>
      </c>
      <c r="K1226">
        <v>42.914982010125648</v>
      </c>
      <c r="L1226">
        <v>17.041489192465086</v>
      </c>
      <c r="M1226">
        <v>30.859006080772023</v>
      </c>
      <c r="N1226">
        <v>27.622929021659512</v>
      </c>
      <c r="O1226">
        <v>29.305068846146298</v>
      </c>
      <c r="P1226">
        <v>45.027709013817642</v>
      </c>
      <c r="Q1226">
        <v>29.097752745135001</v>
      </c>
      <c r="R1226">
        <v>23.491347217571828</v>
      </c>
      <c r="S1226">
        <v>16.988093212832656</v>
      </c>
      <c r="T1226">
        <v>42.672077230009869</v>
      </c>
      <c r="U1226">
        <f t="shared" si="146"/>
        <v>32.057491798405493</v>
      </c>
      <c r="V1226" t="str">
        <f t="shared" si="143"/>
        <v>2019/20Expenditure driversNetwork faultsDNO Baseline</v>
      </c>
    </row>
    <row r="1227" spans="1:22">
      <c r="A1227" s="900" t="s">
        <v>126</v>
      </c>
      <c r="B1227" s="900"/>
      <c r="C1227" s="900" t="s">
        <v>1344</v>
      </c>
      <c r="D1227" t="s">
        <v>53</v>
      </c>
      <c r="E1227" t="s">
        <v>1348</v>
      </c>
      <c r="F1227" t="s">
        <v>1289</v>
      </c>
      <c r="G1227">
        <v>30.172744517104924</v>
      </c>
      <c r="H1227">
        <v>28.165323086797322</v>
      </c>
      <c r="I1227">
        <v>47.236097479749148</v>
      </c>
      <c r="J1227">
        <v>37.333084446354007</v>
      </c>
      <c r="K1227">
        <v>43.063771374704068</v>
      </c>
      <c r="L1227">
        <v>17.065482968976383</v>
      </c>
      <c r="M1227">
        <v>30.893869331348654</v>
      </c>
      <c r="N1227">
        <v>27.285875595195733</v>
      </c>
      <c r="O1227">
        <v>28.947269089222679</v>
      </c>
      <c r="P1227">
        <v>45.150539894506295</v>
      </c>
      <c r="Q1227">
        <v>28.42522185848291</v>
      </c>
      <c r="R1227">
        <v>23.12463514193124</v>
      </c>
      <c r="S1227">
        <v>17.525474382869824</v>
      </c>
      <c r="T1227">
        <v>42.11951117129879</v>
      </c>
      <c r="U1227">
        <f t="shared" si="146"/>
        <v>31.89349288132443</v>
      </c>
      <c r="V1227" t="str">
        <f t="shared" si="143"/>
        <v>2020/21Expenditure driversNetwork faultsDNO Baseline</v>
      </c>
    </row>
    <row r="1228" spans="1:22">
      <c r="A1228" s="900" t="s">
        <v>142</v>
      </c>
      <c r="B1228" s="900"/>
      <c r="C1228" s="900" t="s">
        <v>1344</v>
      </c>
      <c r="D1228" t="s">
        <v>53</v>
      </c>
      <c r="E1228" t="s">
        <v>1348</v>
      </c>
      <c r="F1228" t="s">
        <v>1289</v>
      </c>
      <c r="G1228">
        <v>29.449017901471372</v>
      </c>
      <c r="H1228">
        <v>27.997298224876818</v>
      </c>
      <c r="I1228">
        <v>47.139929711369014</v>
      </c>
      <c r="J1228">
        <v>37.462296947699699</v>
      </c>
      <c r="K1228">
        <v>43.276939850885171</v>
      </c>
      <c r="L1228">
        <v>17.143532933570459</v>
      </c>
      <c r="M1228">
        <v>30.992786470236304</v>
      </c>
      <c r="N1228">
        <v>27.265383531151809</v>
      </c>
      <c r="O1228">
        <v>29.127693914548537</v>
      </c>
      <c r="P1228">
        <v>45.324069160191108</v>
      </c>
      <c r="Q1228">
        <v>27.963612186652913</v>
      </c>
      <c r="R1228">
        <v>22.499689392124893</v>
      </c>
      <c r="S1228">
        <v>17.30791807886639</v>
      </c>
      <c r="T1228">
        <v>43.323965158557776</v>
      </c>
      <c r="U1228">
        <f t="shared" si="146"/>
        <v>31.876723818728738</v>
      </c>
      <c r="V1228" t="str">
        <f t="shared" si="143"/>
        <v>2021/22Expenditure driversNetwork faultsDNO Baseline</v>
      </c>
    </row>
    <row r="1229" spans="1:22">
      <c r="A1229" s="900" t="s">
        <v>143</v>
      </c>
      <c r="B1229" s="900"/>
      <c r="C1229" s="900" t="s">
        <v>1344</v>
      </c>
      <c r="D1229" t="s">
        <v>53</v>
      </c>
      <c r="E1229" t="s">
        <v>1348</v>
      </c>
      <c r="F1229" t="s">
        <v>1289</v>
      </c>
      <c r="G1229">
        <v>28.753521706548071</v>
      </c>
      <c r="H1229">
        <v>27.864652811880369</v>
      </c>
      <c r="I1229">
        <v>46.984782701366072</v>
      </c>
      <c r="J1229">
        <v>37.578309147391714</v>
      </c>
      <c r="K1229">
        <v>43.472424464591093</v>
      </c>
      <c r="L1229">
        <v>17.208170326609718</v>
      </c>
      <c r="M1229">
        <v>31.061956950418306</v>
      </c>
      <c r="N1229">
        <v>27.336540421733407</v>
      </c>
      <c r="O1229">
        <v>29.064481073701057</v>
      </c>
      <c r="P1229">
        <v>45.286399102840939</v>
      </c>
      <c r="Q1229">
        <v>27.35238761491599</v>
      </c>
      <c r="R1229">
        <v>21.856578779430663</v>
      </c>
      <c r="S1229">
        <v>16.306374909357352</v>
      </c>
      <c r="T1229">
        <v>41.293466914272116</v>
      </c>
      <c r="U1229">
        <f t="shared" si="146"/>
        <v>31.53000335178978</v>
      </c>
      <c r="V1229" t="str">
        <f t="shared" si="143"/>
        <v>2022/23Expenditure driversNetwork faultsDNO Baseline</v>
      </c>
    </row>
    <row r="1230" spans="1:22">
      <c r="A1230" s="900" t="s">
        <v>137</v>
      </c>
      <c r="B1230" s="900"/>
      <c r="C1230" s="900" t="s">
        <v>1344</v>
      </c>
      <c r="D1230" t="s">
        <v>53</v>
      </c>
      <c r="E1230" t="s">
        <v>1349</v>
      </c>
      <c r="F1230" t="s">
        <v>1289</v>
      </c>
      <c r="G1230" cm="1">
        <f t="array" ref="G1230:T1236">TRANSPOSE('Ch4 expenditure drivers'!W211:AC224)</f>
        <v>48.836348282156209</v>
      </c>
      <c r="H1230">
        <v>33.930444222112207</v>
      </c>
      <c r="I1230">
        <v>58.222535730137636</v>
      </c>
      <c r="J1230">
        <v>56.020505733657629</v>
      </c>
      <c r="K1230">
        <v>48.098619967390427</v>
      </c>
      <c r="L1230">
        <v>17.314207860989161</v>
      </c>
      <c r="M1230">
        <v>35.679070064332599</v>
      </c>
      <c r="N1230">
        <v>38.749668821068376</v>
      </c>
      <c r="O1230">
        <v>42.906763240227491</v>
      </c>
      <c r="P1230">
        <v>58.29688185123829</v>
      </c>
      <c r="Q1230">
        <v>30.299173683322763</v>
      </c>
      <c r="R1230">
        <v>26.231134638323361</v>
      </c>
      <c r="S1230">
        <v>13.915129609604175</v>
      </c>
      <c r="T1230">
        <v>38.33329159359063</v>
      </c>
      <c r="U1230">
        <f t="shared" si="146"/>
        <v>39.059555378439356</v>
      </c>
      <c r="V1230" t="str">
        <f t="shared" si="143"/>
        <v>2015/16Expenditure driversNetwork faultsDNO Actual</v>
      </c>
    </row>
    <row r="1231" spans="1:22">
      <c r="A1231" s="900" t="s">
        <v>138</v>
      </c>
      <c r="B1231" s="900"/>
      <c r="C1231" s="900" t="s">
        <v>1344</v>
      </c>
      <c r="D1231" t="s">
        <v>53</v>
      </c>
      <c r="E1231" t="s">
        <v>1349</v>
      </c>
      <c r="F1231" t="s">
        <v>1289</v>
      </c>
      <c r="G1231">
        <v>36.469514812654445</v>
      </c>
      <c r="H1231">
        <v>31.843367943056855</v>
      </c>
      <c r="I1231">
        <v>54.088601670509746</v>
      </c>
      <c r="J1231">
        <v>48.12291810318802</v>
      </c>
      <c r="K1231">
        <v>44.307888434367825</v>
      </c>
      <c r="L1231">
        <v>14.586118358290063</v>
      </c>
      <c r="M1231">
        <v>31.364499071670085</v>
      </c>
      <c r="N1231">
        <v>34.437928872987342</v>
      </c>
      <c r="O1231">
        <v>50.302107875335302</v>
      </c>
      <c r="P1231">
        <v>62.717156471099919</v>
      </c>
      <c r="Q1231">
        <v>29.970004242851701</v>
      </c>
      <c r="R1231">
        <v>28.899565609773646</v>
      </c>
      <c r="S1231">
        <v>13.948716797063256</v>
      </c>
      <c r="T1231">
        <v>46.162731487687182</v>
      </c>
      <c r="U1231">
        <f t="shared" si="146"/>
        <v>37.658651410752533</v>
      </c>
      <c r="V1231" t="str">
        <f t="shared" si="143"/>
        <v>2016/17Expenditure driversNetwork faultsDNO Actual</v>
      </c>
    </row>
    <row r="1232" spans="1:22">
      <c r="A1232" s="900" t="s">
        <v>139</v>
      </c>
      <c r="B1232" s="900"/>
      <c r="C1232" s="900" t="s">
        <v>1344</v>
      </c>
      <c r="D1232" t="s">
        <v>53</v>
      </c>
      <c r="E1232" t="s">
        <v>1349</v>
      </c>
      <c r="F1232" t="s">
        <v>1289</v>
      </c>
      <c r="G1232">
        <v>36.031664525143071</v>
      </c>
      <c r="H1232">
        <v>34.582028565871838</v>
      </c>
      <c r="I1232">
        <v>48.778219180714245</v>
      </c>
      <c r="J1232">
        <v>43.040195658183826</v>
      </c>
      <c r="K1232">
        <v>41.472566378570278</v>
      </c>
      <c r="L1232">
        <v>16.160729858716365</v>
      </c>
      <c r="M1232">
        <v>32.009065723805783</v>
      </c>
      <c r="N1232">
        <v>35.529792649304341</v>
      </c>
      <c r="O1232">
        <v>39.923181332264512</v>
      </c>
      <c r="P1232">
        <v>67.448606503740891</v>
      </c>
      <c r="Q1232">
        <v>27.029010722645765</v>
      </c>
      <c r="R1232">
        <v>31.2503570658142</v>
      </c>
      <c r="S1232">
        <v>14.250862655370216</v>
      </c>
      <c r="T1232">
        <v>54.147731382647279</v>
      </c>
      <c r="U1232">
        <f t="shared" si="146"/>
        <v>37.261000871628035</v>
      </c>
      <c r="V1232" t="str">
        <f t="shared" si="143"/>
        <v>2017/18Expenditure driversNetwork faultsDNO Actual</v>
      </c>
    </row>
    <row r="1233" spans="1:22">
      <c r="A1233" s="900" t="s">
        <v>140</v>
      </c>
      <c r="B1233" s="900"/>
      <c r="C1233" s="900" t="s">
        <v>1344</v>
      </c>
      <c r="D1233" t="s">
        <v>53</v>
      </c>
      <c r="E1233" t="s">
        <v>1349</v>
      </c>
      <c r="F1233" t="s">
        <v>1289</v>
      </c>
      <c r="G1233">
        <v>39.129726790997175</v>
      </c>
      <c r="H1233">
        <v>36.460576466537397</v>
      </c>
      <c r="I1233">
        <v>54.726799878470118</v>
      </c>
      <c r="J1233">
        <v>39.902442917249076</v>
      </c>
      <c r="K1233">
        <v>43.083128136162756</v>
      </c>
      <c r="L1233">
        <v>16.167018792268486</v>
      </c>
      <c r="M1233">
        <v>28.592119580103628</v>
      </c>
      <c r="N1233">
        <v>35.227660099371263</v>
      </c>
      <c r="O1233">
        <v>44.484537895285648</v>
      </c>
      <c r="P1233">
        <v>65.423435762731444</v>
      </c>
      <c r="Q1233">
        <v>34.58171322522098</v>
      </c>
      <c r="R1233">
        <v>38.811937539790506</v>
      </c>
      <c r="S1233">
        <v>18.548739303721195</v>
      </c>
      <c r="T1233">
        <v>58.163469228587033</v>
      </c>
      <c r="U1233">
        <f t="shared" si="146"/>
        <v>39.521664686892628</v>
      </c>
      <c r="V1233" t="str">
        <f t="shared" si="143"/>
        <v>2018/19Expenditure driversNetwork faultsDNO Actual</v>
      </c>
    </row>
    <row r="1234" spans="1:22">
      <c r="A1234" s="900" t="s">
        <v>141</v>
      </c>
      <c r="B1234" s="900"/>
      <c r="C1234" s="900" t="s">
        <v>1344</v>
      </c>
      <c r="D1234" t="s">
        <v>53</v>
      </c>
      <c r="E1234" t="s">
        <v>1349</v>
      </c>
      <c r="F1234" t="s">
        <v>1289</v>
      </c>
      <c r="G1234">
        <v>35.233230916761805</v>
      </c>
      <c r="H1234">
        <v>34.572723587788516</v>
      </c>
      <c r="I1234">
        <v>54.798824747193194</v>
      </c>
      <c r="J1234">
        <v>41.18233010370146</v>
      </c>
      <c r="K1234">
        <v>47.417437872021246</v>
      </c>
      <c r="L1234">
        <v>16.450663799450872</v>
      </c>
      <c r="M1234">
        <v>32.447398049834511</v>
      </c>
      <c r="N1234">
        <v>40.420778248778092</v>
      </c>
      <c r="O1234">
        <v>52.568087539692627</v>
      </c>
      <c r="P1234">
        <v>77.552154748825046</v>
      </c>
      <c r="Q1234">
        <v>27.747912231127629</v>
      </c>
      <c r="R1234">
        <v>30.085172369969893</v>
      </c>
      <c r="S1234">
        <v>26.785248767167158</v>
      </c>
      <c r="T1234">
        <v>52.377399733581754</v>
      </c>
      <c r="U1234">
        <f>AVERAGE(G1234:T1234)</f>
        <v>40.688525908278123</v>
      </c>
      <c r="V1234" t="str">
        <f t="shared" ref="V1234:V1304" si="147">CONCATENATE(A1234,B1234,C1234,D1234,E1234)</f>
        <v>2019/20Expenditure driversNetwork faultsDNO Actual</v>
      </c>
    </row>
    <row r="1235" spans="1:22">
      <c r="A1235" s="900" t="s">
        <v>126</v>
      </c>
      <c r="B1235" s="900"/>
      <c r="C1235" s="900" t="s">
        <v>1344</v>
      </c>
      <c r="D1235" t="s">
        <v>53</v>
      </c>
      <c r="E1235" t="s">
        <v>1349</v>
      </c>
      <c r="F1235" t="s">
        <v>1289</v>
      </c>
      <c r="G1235">
        <v>34.137990364771525</v>
      </c>
      <c r="H1235">
        <v>37.40449884853507</v>
      </c>
      <c r="I1235">
        <v>57.157663513375098</v>
      </c>
      <c r="J1235">
        <v>40.576720155557908</v>
      </c>
      <c r="K1235">
        <v>44.029247842212079</v>
      </c>
      <c r="L1235">
        <v>16.898769093746072</v>
      </c>
      <c r="M1235">
        <v>31.721155880843199</v>
      </c>
      <c r="N1235">
        <v>39.13411999792018</v>
      </c>
      <c r="O1235">
        <v>49.296119330586592</v>
      </c>
      <c r="P1235">
        <v>79.376968643366652</v>
      </c>
      <c r="Q1235">
        <v>28.442899904184046</v>
      </c>
      <c r="R1235">
        <v>28.298501378889753</v>
      </c>
      <c r="S1235">
        <v>18.403588593993348</v>
      </c>
      <c r="T1235">
        <v>52.801888547477269</v>
      </c>
      <c r="U1235">
        <f>AVERAGE(G1235:T1235)</f>
        <v>39.834295149675619</v>
      </c>
      <c r="V1235" t="str">
        <f t="shared" si="147"/>
        <v>2020/21Expenditure driversNetwork faultsDNO Actual</v>
      </c>
    </row>
    <row r="1236" spans="1:22">
      <c r="A1236" s="900" t="s">
        <v>142</v>
      </c>
      <c r="B1236" s="900"/>
      <c r="C1236" s="900" t="s">
        <v>1344</v>
      </c>
      <c r="D1236" t="s">
        <v>53</v>
      </c>
      <c r="E1236" t="s">
        <v>1349</v>
      </c>
      <c r="F1236" t="s">
        <v>1289</v>
      </c>
      <c r="G1236">
        <v>39.166024380590912</v>
      </c>
      <c r="H1236">
        <v>47.884703543177451</v>
      </c>
      <c r="I1236">
        <v>60.834842181305788</v>
      </c>
      <c r="J1236">
        <v>42.063899999999997</v>
      </c>
      <c r="K1236">
        <v>43.228499999999997</v>
      </c>
      <c r="L1236">
        <v>18.2791</v>
      </c>
      <c r="M1236">
        <v>34.911099999999998</v>
      </c>
      <c r="N1236">
        <v>36.705324293812509</v>
      </c>
      <c r="O1236">
        <v>52.371715384156069</v>
      </c>
      <c r="P1236">
        <v>73.429853877090011</v>
      </c>
      <c r="Q1236">
        <v>32.868784140913824</v>
      </c>
      <c r="R1236">
        <v>31.40030403116188</v>
      </c>
      <c r="S1236">
        <v>52.378860689999996</v>
      </c>
      <c r="T1236">
        <v>56.534363950000014</v>
      </c>
      <c r="U1236">
        <f>AVERAGE(G1236:T1236)</f>
        <v>44.432669748014895</v>
      </c>
      <c r="V1236" t="str">
        <f t="shared" ref="V1236" si="148">CONCATENATE(A1236,B1236,C1236,D1236,E1236)</f>
        <v>2021/22Expenditure driversNetwork faultsDNO Actual</v>
      </c>
    </row>
    <row r="1237" spans="1:22">
      <c r="A1237" s="900" t="s">
        <v>137</v>
      </c>
      <c r="B1237" s="900"/>
      <c r="C1237" s="900" t="s">
        <v>1344</v>
      </c>
      <c r="D1237" t="s">
        <v>53</v>
      </c>
      <c r="E1237" t="s">
        <v>297</v>
      </c>
      <c r="F1237" t="s">
        <v>1289</v>
      </c>
      <c r="G1237">
        <f t="array" ref="G1237:T1240">TRANSPOSE('Ch4 expenditure drivers'!AF211:AI224)</f>
        <v>33.314450712267089</v>
      </c>
      <c r="H1237">
        <v>29.60365444742628</v>
      </c>
      <c r="I1237">
        <v>49.891508249854724</v>
      </c>
      <c r="J1237">
        <v>37.786840133713788</v>
      </c>
      <c r="K1237">
        <v>43.094595636415775</v>
      </c>
      <c r="L1237">
        <v>17.391584122460895</v>
      </c>
      <c r="M1237">
        <v>31.27055795966298</v>
      </c>
      <c r="N1237">
        <v>30.321908273878044</v>
      </c>
      <c r="O1237">
        <v>31.766439857394445</v>
      </c>
      <c r="P1237">
        <v>48.623524486856759</v>
      </c>
      <c r="Q1237">
        <v>31.976511785098847</v>
      </c>
      <c r="R1237">
        <v>26.214938207402426</v>
      </c>
      <c r="S1237">
        <v>20.309550310627987</v>
      </c>
      <c r="T1237">
        <v>44.552303307465721</v>
      </c>
      <c r="U1237">
        <f t="shared" si="146"/>
        <v>34.008454820751837</v>
      </c>
      <c r="V1237" t="str">
        <f t="shared" si="147"/>
        <v>2015/16Expenditure driversNetwork faultsAllowance</v>
      </c>
    </row>
    <row r="1238" spans="1:22">
      <c r="A1238" s="900" t="s">
        <v>137</v>
      </c>
      <c r="B1238" s="900"/>
      <c r="C1238" s="900" t="s">
        <v>1344</v>
      </c>
      <c r="D1238" t="s">
        <v>53</v>
      </c>
      <c r="E1238" t="s">
        <v>298</v>
      </c>
      <c r="F1238" t="s">
        <v>1289</v>
      </c>
      <c r="G1238">
        <v>48.836348282156209</v>
      </c>
      <c r="H1238">
        <v>33.930444222112207</v>
      </c>
      <c r="I1238">
        <v>58.222535730137636</v>
      </c>
      <c r="J1238">
        <v>56.020505733657629</v>
      </c>
      <c r="K1238">
        <v>48.098619967390427</v>
      </c>
      <c r="L1238">
        <v>17.314207860989161</v>
      </c>
      <c r="M1238">
        <v>35.679070064332599</v>
      </c>
      <c r="N1238">
        <v>38.749668821068376</v>
      </c>
      <c r="O1238">
        <v>42.906763240227491</v>
      </c>
      <c r="P1238">
        <v>58.29688185123829</v>
      </c>
      <c r="Q1238">
        <v>30.299173683322763</v>
      </c>
      <c r="R1238">
        <v>26.231134638323361</v>
      </c>
      <c r="S1238">
        <v>13.915129609604175</v>
      </c>
      <c r="T1238">
        <v>38.33329159359063</v>
      </c>
      <c r="U1238">
        <f t="shared" si="146"/>
        <v>39.059555378439356</v>
      </c>
      <c r="V1238" t="str">
        <f t="shared" si="147"/>
        <v>2015/16Expenditure driversNetwork faultsActual</v>
      </c>
    </row>
    <row r="1239" spans="1:22">
      <c r="A1239" s="900" t="s">
        <v>137</v>
      </c>
      <c r="B1239" s="900"/>
      <c r="C1239" s="900" t="s">
        <v>1344</v>
      </c>
      <c r="D1239" t="s">
        <v>53</v>
      </c>
      <c r="E1239" t="s">
        <v>602</v>
      </c>
      <c r="F1239" t="s">
        <v>1289</v>
      </c>
      <c r="G1239">
        <v>15.52189756988912</v>
      </c>
      <c r="H1239">
        <v>4.3267897746859276</v>
      </c>
      <c r="I1239">
        <v>8.3310274802829127</v>
      </c>
      <c r="J1239">
        <v>18.233665599943841</v>
      </c>
      <c r="K1239">
        <v>5.0040243309746515</v>
      </c>
      <c r="L1239">
        <v>-7.7376261471734153E-2</v>
      </c>
      <c r="M1239">
        <v>4.4085121046696187</v>
      </c>
      <c r="N1239">
        <v>8.4277605471903314</v>
      </c>
      <c r="O1239">
        <v>11.140323382833046</v>
      </c>
      <c r="P1239">
        <v>9.6733573643815305</v>
      </c>
      <c r="Q1239">
        <v>-1.6773381017760833</v>
      </c>
      <c r="R1239">
        <v>1.6196430920935256E-2</v>
      </c>
      <c r="S1239">
        <v>-6.3944207010238117</v>
      </c>
      <c r="T1239">
        <v>-6.2190117138750907</v>
      </c>
      <c r="U1239">
        <f>U1238-U1237</f>
        <v>5.0511005576875192</v>
      </c>
      <c r="V1239" t="str">
        <f t="shared" si="147"/>
        <v>2015/16Expenditure driversNetwork faultsDifference</v>
      </c>
    </row>
    <row r="1240" spans="1:22">
      <c r="A1240" s="900" t="s">
        <v>137</v>
      </c>
      <c r="B1240" s="900"/>
      <c r="C1240" s="900" t="s">
        <v>1344</v>
      </c>
      <c r="D1240" t="s">
        <v>53</v>
      </c>
      <c r="E1240" t="s">
        <v>1346</v>
      </c>
      <c r="F1240" t="s">
        <v>606</v>
      </c>
      <c r="G1240" s="829">
        <v>0.46592086130880217</v>
      </c>
      <c r="H1240" s="829">
        <v>0.14615728549223408</v>
      </c>
      <c r="I1240" s="829">
        <v>0.16698287489248576</v>
      </c>
      <c r="J1240" s="829">
        <v>0.48254009955374877</v>
      </c>
      <c r="K1240" s="829">
        <v>0.11611721277519432</v>
      </c>
      <c r="L1240" s="829">
        <v>-4.4490634623561521E-3</v>
      </c>
      <c r="M1240" s="829">
        <v>0.14097964322722725</v>
      </c>
      <c r="N1240" s="829">
        <v>0.27794294709514522</v>
      </c>
      <c r="O1240" s="829">
        <v>0.35069474051370136</v>
      </c>
      <c r="P1240" s="829">
        <v>0.19894397755959256</v>
      </c>
      <c r="Q1240" s="829">
        <v>-5.2455318236360231E-2</v>
      </c>
      <c r="R1240" s="829">
        <v>6.178321227689104E-4</v>
      </c>
      <c r="S1240" s="829">
        <v>-0.3148479706947333</v>
      </c>
      <c r="T1240" s="829">
        <v>-0.13958900555502723</v>
      </c>
      <c r="U1240" s="829">
        <f>U1239/U1237</f>
        <v>0.1485248472566697</v>
      </c>
      <c r="V1240" t="str">
        <f t="shared" si="147"/>
        <v>2015/16Expenditure driversNetwork faultsDifference %</v>
      </c>
    </row>
    <row r="1241" spans="1:22">
      <c r="A1241" s="900" t="s">
        <v>138</v>
      </c>
      <c r="B1241" s="900"/>
      <c r="C1241" s="900" t="s">
        <v>1344</v>
      </c>
      <c r="D1241" t="s">
        <v>53</v>
      </c>
      <c r="E1241" t="s">
        <v>297</v>
      </c>
      <c r="F1241" t="s">
        <v>1289</v>
      </c>
      <c r="G1241">
        <f t="array" ref="G1241:T1244">TRANSPOSE('Ch4 expenditure drivers'!AK211:AN224)</f>
        <v>32.868583631981963</v>
      </c>
      <c r="H1241">
        <v>29.368278578606326</v>
      </c>
      <c r="I1241">
        <v>49.683609577613112</v>
      </c>
      <c r="J1241">
        <v>37.681920971578613</v>
      </c>
      <c r="K1241">
        <v>43.061638652537937</v>
      </c>
      <c r="L1241">
        <v>17.342196835319417</v>
      </c>
      <c r="M1241">
        <v>31.196860571350342</v>
      </c>
      <c r="N1241">
        <v>29.557366270993988</v>
      </c>
      <c r="O1241">
        <v>31.037447405850326</v>
      </c>
      <c r="P1241">
        <v>47.966814001975699</v>
      </c>
      <c r="Q1241">
        <v>31.254994151073475</v>
      </c>
      <c r="R1241">
        <v>25.523065546508889</v>
      </c>
      <c r="S1241">
        <v>19.954970361761191</v>
      </c>
      <c r="T1241">
        <v>43.986974687015525</v>
      </c>
      <c r="U1241">
        <f t="shared" si="146"/>
        <v>33.606051517440484</v>
      </c>
      <c r="V1241" t="str">
        <f t="shared" si="147"/>
        <v>2016/17Expenditure driversNetwork faultsAllowance</v>
      </c>
    </row>
    <row r="1242" spans="1:22">
      <c r="A1242" s="900" t="s">
        <v>138</v>
      </c>
      <c r="B1242" s="900"/>
      <c r="C1242" s="900" t="s">
        <v>1344</v>
      </c>
      <c r="D1242" t="s">
        <v>53</v>
      </c>
      <c r="E1242" t="s">
        <v>298</v>
      </c>
      <c r="F1242" t="s">
        <v>1289</v>
      </c>
      <c r="G1242">
        <v>36.469514812654445</v>
      </c>
      <c r="H1242">
        <v>31.843367943056855</v>
      </c>
      <c r="I1242">
        <v>54.088601670509746</v>
      </c>
      <c r="J1242">
        <v>48.12291810318802</v>
      </c>
      <c r="K1242">
        <v>44.307888434367825</v>
      </c>
      <c r="L1242">
        <v>14.586118358290063</v>
      </c>
      <c r="M1242">
        <v>31.364499071670085</v>
      </c>
      <c r="N1242">
        <v>34.437928872987342</v>
      </c>
      <c r="O1242">
        <v>50.302107875335302</v>
      </c>
      <c r="P1242">
        <v>62.717156471099919</v>
      </c>
      <c r="Q1242">
        <v>29.970004242851701</v>
      </c>
      <c r="R1242">
        <v>28.899565609773646</v>
      </c>
      <c r="S1242">
        <v>13.948716797063256</v>
      </c>
      <c r="T1242">
        <v>46.162731487687182</v>
      </c>
      <c r="U1242">
        <f t="shared" si="146"/>
        <v>37.658651410752533</v>
      </c>
      <c r="V1242" t="str">
        <f t="shared" si="147"/>
        <v>2016/17Expenditure driversNetwork faultsActual</v>
      </c>
    </row>
    <row r="1243" spans="1:22">
      <c r="A1243" s="900" t="s">
        <v>138</v>
      </c>
      <c r="B1243" s="900"/>
      <c r="C1243" s="900" t="s">
        <v>1344</v>
      </c>
      <c r="D1243" t="s">
        <v>53</v>
      </c>
      <c r="E1243" t="s">
        <v>602</v>
      </c>
      <c r="F1243" t="s">
        <v>1289</v>
      </c>
      <c r="G1243">
        <v>3.6009311806724824</v>
      </c>
      <c r="H1243">
        <v>2.475089364450529</v>
      </c>
      <c r="I1243">
        <v>4.4049920928966344</v>
      </c>
      <c r="J1243">
        <v>10.440997131609407</v>
      </c>
      <c r="K1243">
        <v>1.2462497818298885</v>
      </c>
      <c r="L1243">
        <v>-2.7560784770293534</v>
      </c>
      <c r="M1243">
        <v>0.16763850031974314</v>
      </c>
      <c r="N1243">
        <v>4.8805626019933541</v>
      </c>
      <c r="O1243">
        <v>19.264660469484976</v>
      </c>
      <c r="P1243">
        <v>14.75034246912422</v>
      </c>
      <c r="Q1243">
        <v>-1.2849899082217746</v>
      </c>
      <c r="R1243">
        <v>3.376500063264757</v>
      </c>
      <c r="S1243">
        <v>-6.0062535646979356</v>
      </c>
      <c r="T1243">
        <v>2.1757568006716568</v>
      </c>
      <c r="U1243">
        <f>U1242-U1241</f>
        <v>4.0525998933120491</v>
      </c>
      <c r="V1243" t="str">
        <f t="shared" si="147"/>
        <v>2016/17Expenditure driversNetwork faultsDifference</v>
      </c>
    </row>
    <row r="1244" spans="1:22">
      <c r="A1244" s="900" t="s">
        <v>138</v>
      </c>
      <c r="B1244" s="900"/>
      <c r="C1244" s="900" t="s">
        <v>1344</v>
      </c>
      <c r="D1244" t="s">
        <v>53</v>
      </c>
      <c r="E1244" t="s">
        <v>1346</v>
      </c>
      <c r="F1244" t="s">
        <v>606</v>
      </c>
      <c r="G1244" s="829">
        <v>0.10955541075304155</v>
      </c>
      <c r="H1244" s="829">
        <v>8.4277645277225657E-2</v>
      </c>
      <c r="I1244" s="829">
        <v>8.8660870865579694E-2</v>
      </c>
      <c r="J1244" s="829">
        <v>0.27708240085436392</v>
      </c>
      <c r="K1244" s="829">
        <v>2.8941067289282963E-2</v>
      </c>
      <c r="L1244" s="829">
        <v>-0.15892326117624708</v>
      </c>
      <c r="M1244" s="829">
        <v>5.3735695595502992E-3</v>
      </c>
      <c r="N1244" s="829">
        <v>0.16512170121134495</v>
      </c>
      <c r="O1244" s="829">
        <v>0.62069087762203445</v>
      </c>
      <c r="P1244" s="829">
        <v>0.30751140712653274</v>
      </c>
      <c r="Q1244" s="829">
        <v>-4.1113106660992313E-2</v>
      </c>
      <c r="R1244" s="829">
        <v>0.13229210484579129</v>
      </c>
      <c r="S1244" s="829">
        <v>-0.30099035256937529</v>
      </c>
      <c r="T1244" s="829">
        <v>4.9463660916737616E-2</v>
      </c>
      <c r="U1244" s="829">
        <f>U1243/U1241</f>
        <v>0.12059137299152438</v>
      </c>
      <c r="V1244" t="str">
        <f t="shared" si="147"/>
        <v>2016/17Expenditure driversNetwork faultsDifference %</v>
      </c>
    </row>
    <row r="1245" spans="1:22">
      <c r="A1245" s="900" t="s">
        <v>139</v>
      </c>
      <c r="B1245" s="900"/>
      <c r="C1245" s="900" t="s">
        <v>1344</v>
      </c>
      <c r="D1245" t="s">
        <v>53</v>
      </c>
      <c r="E1245" t="s">
        <v>297</v>
      </c>
      <c r="F1245" t="s">
        <v>1289</v>
      </c>
      <c r="G1245">
        <f t="array" ref="G1245:T1248">TRANSPOSE('Ch4 expenditure drivers'!AP211:AS224)</f>
        <v>32.113199332569828</v>
      </c>
      <c r="H1245">
        <v>28.985656027991055</v>
      </c>
      <c r="I1245">
        <v>48.689103222406928</v>
      </c>
      <c r="J1245">
        <v>37.43624219680423</v>
      </c>
      <c r="K1245">
        <v>42.871807113296917</v>
      </c>
      <c r="L1245">
        <v>17.192853865234799</v>
      </c>
      <c r="M1245">
        <v>30.988673898396616</v>
      </c>
      <c r="N1245">
        <v>28.796914618809925</v>
      </c>
      <c r="O1245">
        <v>30.340227588374177</v>
      </c>
      <c r="P1245">
        <v>47.126270047406663</v>
      </c>
      <c r="Q1245">
        <v>30.52368884795057</v>
      </c>
      <c r="R1245">
        <v>24.991958049218567</v>
      </c>
      <c r="S1245">
        <v>19.58615091215578</v>
      </c>
      <c r="T1245">
        <v>43.638909550482616</v>
      </c>
      <c r="U1245">
        <f t="shared" si="146"/>
        <v>33.09154680507848</v>
      </c>
      <c r="V1245" t="str">
        <f t="shared" si="147"/>
        <v>2017/18Expenditure driversNetwork faultsAllowance</v>
      </c>
    </row>
    <row r="1246" spans="1:22">
      <c r="A1246" s="900" t="s">
        <v>139</v>
      </c>
      <c r="B1246" s="900"/>
      <c r="C1246" s="900" t="s">
        <v>1344</v>
      </c>
      <c r="D1246" t="s">
        <v>53</v>
      </c>
      <c r="E1246" t="s">
        <v>298</v>
      </c>
      <c r="F1246" t="s">
        <v>1289</v>
      </c>
      <c r="G1246">
        <v>36.031664525143071</v>
      </c>
      <c r="H1246">
        <v>34.582028565871838</v>
      </c>
      <c r="I1246">
        <v>48.778219180714245</v>
      </c>
      <c r="J1246">
        <v>43.040195658183826</v>
      </c>
      <c r="K1246">
        <v>41.472566378570278</v>
      </c>
      <c r="L1246">
        <v>16.160729858716365</v>
      </c>
      <c r="M1246">
        <v>32.009065723805783</v>
      </c>
      <c r="N1246">
        <v>35.529792649304341</v>
      </c>
      <c r="O1246">
        <v>39.923181332264512</v>
      </c>
      <c r="P1246">
        <v>67.448606503740891</v>
      </c>
      <c r="Q1246">
        <v>27.029010722645765</v>
      </c>
      <c r="R1246">
        <v>31.2503570658142</v>
      </c>
      <c r="S1246">
        <v>14.250862655370216</v>
      </c>
      <c r="T1246">
        <v>54.147731382647279</v>
      </c>
      <c r="U1246">
        <f t="shared" si="146"/>
        <v>37.261000871628035</v>
      </c>
      <c r="V1246" t="str">
        <f t="shared" si="147"/>
        <v>2017/18Expenditure driversNetwork faultsActual</v>
      </c>
    </row>
    <row r="1247" spans="1:22">
      <c r="A1247" s="900" t="s">
        <v>139</v>
      </c>
      <c r="B1247" s="900"/>
      <c r="C1247" s="900" t="s">
        <v>1344</v>
      </c>
      <c r="D1247" t="s">
        <v>53</v>
      </c>
      <c r="E1247" t="s">
        <v>602</v>
      </c>
      <c r="F1247" t="s">
        <v>1289</v>
      </c>
      <c r="G1247">
        <v>3.9184651925732439</v>
      </c>
      <c r="H1247">
        <v>5.5963725378807823</v>
      </c>
      <c r="I1247">
        <v>8.9115958307317555E-2</v>
      </c>
      <c r="J1247">
        <v>5.6039534613795965</v>
      </c>
      <c r="K1247">
        <v>-1.3992407347266393</v>
      </c>
      <c r="L1247">
        <v>-1.0321240065184334</v>
      </c>
      <c r="M1247">
        <v>1.0203918254091668</v>
      </c>
      <c r="N1247">
        <v>6.7328780304944154</v>
      </c>
      <c r="O1247">
        <v>9.5829537438903358</v>
      </c>
      <c r="P1247">
        <v>20.322336456334227</v>
      </c>
      <c r="Q1247">
        <v>-3.4946781253048051</v>
      </c>
      <c r="R1247">
        <v>6.2583990165956322</v>
      </c>
      <c r="S1247">
        <v>-5.3352882567855637</v>
      </c>
      <c r="T1247">
        <v>10.508821832164664</v>
      </c>
      <c r="U1247">
        <f>U1246-U1245</f>
        <v>4.1694540665495552</v>
      </c>
      <c r="V1247" t="str">
        <f t="shared" si="147"/>
        <v>2017/18Expenditure driversNetwork faultsDifference</v>
      </c>
    </row>
    <row r="1248" spans="1:22">
      <c r="A1248" s="900" t="s">
        <v>139</v>
      </c>
      <c r="B1248" s="900"/>
      <c r="C1248" s="900" t="s">
        <v>1344</v>
      </c>
      <c r="D1248" t="s">
        <v>53</v>
      </c>
      <c r="E1248" t="s">
        <v>1346</v>
      </c>
      <c r="F1248" t="s">
        <v>606</v>
      </c>
      <c r="G1248" s="829">
        <v>0.12202039267383305</v>
      </c>
      <c r="H1248" s="829">
        <v>0.19307386151537992</v>
      </c>
      <c r="I1248" s="829">
        <v>1.8303060111878591E-3</v>
      </c>
      <c r="J1248" s="829">
        <v>0.1496932686758283</v>
      </c>
      <c r="K1248" s="829">
        <v>-3.2637782938071146E-2</v>
      </c>
      <c r="L1248" s="829">
        <v>-6.0032151416436058E-2</v>
      </c>
      <c r="M1248" s="829">
        <v>3.2927895809764317E-2</v>
      </c>
      <c r="N1248" s="829">
        <v>0.23380553505883406</v>
      </c>
      <c r="O1248" s="829">
        <v>0.3158497646722449</v>
      </c>
      <c r="P1248" s="829">
        <v>0.43123159197388156</v>
      </c>
      <c r="Q1248" s="829">
        <v>-0.11449068763323623</v>
      </c>
      <c r="R1248" s="829">
        <v>0.25041651415509303</v>
      </c>
      <c r="S1248" s="829">
        <v>-0.27240105933597786</v>
      </c>
      <c r="T1248" s="829">
        <v>0.24081311701906272</v>
      </c>
      <c r="U1248" s="829">
        <f>U1247/U1245</f>
        <v>0.1259975573553328</v>
      </c>
      <c r="V1248" t="str">
        <f t="shared" si="147"/>
        <v>2017/18Expenditure driversNetwork faultsDifference %</v>
      </c>
    </row>
    <row r="1249" spans="1:22">
      <c r="A1249" s="900" t="s">
        <v>140</v>
      </c>
      <c r="B1249" s="900"/>
      <c r="C1249" s="900" t="s">
        <v>1344</v>
      </c>
      <c r="D1249" t="s">
        <v>53</v>
      </c>
      <c r="E1249" t="s">
        <v>297</v>
      </c>
      <c r="F1249" t="s">
        <v>1289</v>
      </c>
      <c r="G1249">
        <f t="array" ref="G1249:T1252">TRANSPOSE('Ch4 expenditure drivers'!AU211:AX224)</f>
        <v>31.417157601115395</v>
      </c>
      <c r="H1249">
        <v>28.706364334804476</v>
      </c>
      <c r="I1249">
        <v>48.178718440773558</v>
      </c>
      <c r="J1249">
        <v>37.353509302795359</v>
      </c>
      <c r="K1249">
        <v>42.884475428259321</v>
      </c>
      <c r="L1249">
        <v>17.10972462788596</v>
      </c>
      <c r="M1249">
        <v>30.910362133668983</v>
      </c>
      <c r="N1249">
        <v>28.161798994972145</v>
      </c>
      <c r="O1249">
        <v>29.802750581938763</v>
      </c>
      <c r="P1249">
        <v>46.509684946182418</v>
      </c>
      <c r="Q1249">
        <v>29.774443535882664</v>
      </c>
      <c r="R1249">
        <v>24.119328853554254</v>
      </c>
      <c r="S1249">
        <v>17.981443625034917</v>
      </c>
      <c r="T1249">
        <v>43.027317370198247</v>
      </c>
      <c r="U1249">
        <f>AVERAGE(G1249:T1249)</f>
        <v>32.566934269790458</v>
      </c>
      <c r="V1249" t="str">
        <f t="shared" si="147"/>
        <v>2018/19Expenditure driversNetwork faultsAllowance</v>
      </c>
    </row>
    <row r="1250" spans="1:22">
      <c r="A1250" s="900" t="s">
        <v>140</v>
      </c>
      <c r="B1250" s="900"/>
      <c r="C1250" s="900" t="s">
        <v>1344</v>
      </c>
      <c r="D1250" t="s">
        <v>53</v>
      </c>
      <c r="E1250" t="s">
        <v>298</v>
      </c>
      <c r="F1250" t="s">
        <v>1289</v>
      </c>
      <c r="G1250">
        <v>39.129726790997175</v>
      </c>
      <c r="H1250">
        <v>36.460576466537397</v>
      </c>
      <c r="I1250">
        <v>54.726799878470118</v>
      </c>
      <c r="J1250">
        <v>39.902442917249076</v>
      </c>
      <c r="K1250">
        <v>43.083128136162756</v>
      </c>
      <c r="L1250">
        <v>16.167018792268486</v>
      </c>
      <c r="M1250">
        <v>28.592119580103628</v>
      </c>
      <c r="N1250">
        <v>35.227660099371263</v>
      </c>
      <c r="O1250">
        <v>44.484537895285648</v>
      </c>
      <c r="P1250">
        <v>65.423435762731444</v>
      </c>
      <c r="Q1250">
        <v>34.58171322522098</v>
      </c>
      <c r="R1250">
        <v>38.811937539790506</v>
      </c>
      <c r="S1250">
        <v>18.548739303721195</v>
      </c>
      <c r="T1250">
        <v>58.163469228587033</v>
      </c>
      <c r="U1250">
        <f>AVERAGE(G1250:T1250)</f>
        <v>39.521664686892628</v>
      </c>
      <c r="V1250" t="str">
        <f t="shared" si="147"/>
        <v>2018/19Expenditure driversNetwork faultsActual</v>
      </c>
    </row>
    <row r="1251" spans="1:22">
      <c r="A1251" s="900" t="s">
        <v>140</v>
      </c>
      <c r="B1251" s="900"/>
      <c r="C1251" s="900" t="s">
        <v>1344</v>
      </c>
      <c r="D1251" t="s">
        <v>53</v>
      </c>
      <c r="E1251" t="s">
        <v>602</v>
      </c>
      <c r="F1251" t="s">
        <v>1289</v>
      </c>
      <c r="G1251">
        <v>7.7125691898817799</v>
      </c>
      <c r="H1251">
        <v>7.7542121317329205</v>
      </c>
      <c r="I1251">
        <v>6.5480814376965597</v>
      </c>
      <c r="J1251">
        <v>2.5489336144537162</v>
      </c>
      <c r="K1251">
        <v>0.19865270790343459</v>
      </c>
      <c r="L1251">
        <v>-0.94270583561747401</v>
      </c>
      <c r="M1251">
        <v>-2.318242553565355</v>
      </c>
      <c r="N1251">
        <v>7.0658611043991186</v>
      </c>
      <c r="O1251">
        <v>14.681787313346884</v>
      </c>
      <c r="P1251">
        <v>18.913750816549026</v>
      </c>
      <c r="Q1251">
        <v>4.807269689338316</v>
      </c>
      <c r="R1251">
        <v>14.692608686236252</v>
      </c>
      <c r="S1251">
        <v>0.56729567868627839</v>
      </c>
      <c r="T1251">
        <v>15.136151858388786</v>
      </c>
      <c r="U1251">
        <f>U1250-U1249</f>
        <v>6.9547304171021693</v>
      </c>
      <c r="V1251" t="str">
        <f t="shared" si="147"/>
        <v>2018/19Expenditure driversNetwork faultsDifference</v>
      </c>
    </row>
    <row r="1252" spans="1:22">
      <c r="A1252" s="900" t="s">
        <v>140</v>
      </c>
      <c r="B1252" s="900"/>
      <c r="C1252" s="900" t="s">
        <v>1344</v>
      </c>
      <c r="D1252" t="s">
        <v>53</v>
      </c>
      <c r="E1252" t="s">
        <v>1346</v>
      </c>
      <c r="F1252" t="s">
        <v>606</v>
      </c>
      <c r="G1252" s="829">
        <v>0.24548908236077863</v>
      </c>
      <c r="H1252" s="829">
        <v>0.27012170685548903</v>
      </c>
      <c r="I1252" s="829">
        <v>0.13591232082576382</v>
      </c>
      <c r="J1252" s="829">
        <v>6.8238129750849572E-2</v>
      </c>
      <c r="K1252" s="829">
        <v>4.6322755710456846E-3</v>
      </c>
      <c r="L1252" s="829">
        <v>-5.509766265209335E-2</v>
      </c>
      <c r="M1252" s="829">
        <v>-7.4998880425286865E-2</v>
      </c>
      <c r="N1252" s="829">
        <v>0.25090233424578517</v>
      </c>
      <c r="O1252" s="829">
        <v>0.49263195599953874</v>
      </c>
      <c r="P1252" s="829">
        <v>0.40666263034107036</v>
      </c>
      <c r="Q1252" s="829">
        <v>0.16145623959503511</v>
      </c>
      <c r="R1252" s="829">
        <v>0.60916324726304028</v>
      </c>
      <c r="S1252" s="829">
        <v>3.154895071363753E-2</v>
      </c>
      <c r="T1252" s="829">
        <v>0.35178005005890622</v>
      </c>
      <c r="U1252" s="829">
        <f>U1251/U1249</f>
        <v>0.21355189160539051</v>
      </c>
      <c r="V1252" t="str">
        <f t="shared" si="147"/>
        <v>2018/19Expenditure driversNetwork faultsDifference %</v>
      </c>
    </row>
    <row r="1253" spans="1:22">
      <c r="A1253" s="900" t="s">
        <v>141</v>
      </c>
      <c r="B1253" s="900"/>
      <c r="C1253" s="900" t="s">
        <v>1344</v>
      </c>
      <c r="D1253" t="s">
        <v>53</v>
      </c>
      <c r="E1253" t="s">
        <v>297</v>
      </c>
      <c r="F1253" t="s">
        <v>1289</v>
      </c>
      <c r="G1253" s="229">
        <f t="array" ref="G1253:T1256">TRANSPOSE('Ch4 expenditure drivers'!AZ211:BC224)</f>
        <v>30.806646681089575</v>
      </c>
      <c r="H1253" s="229">
        <v>28.350178347838717</v>
      </c>
      <c r="I1253" s="229">
        <v>47.359376008514943</v>
      </c>
      <c r="J1253" s="229">
        <v>37.268229569698136</v>
      </c>
      <c r="K1253" s="229">
        <v>42.914982010125648</v>
      </c>
      <c r="L1253" s="229">
        <v>17.041489192465086</v>
      </c>
      <c r="M1253" s="229">
        <v>30.859006080772023</v>
      </c>
      <c r="N1253" s="229">
        <v>27.622929021659512</v>
      </c>
      <c r="O1253" s="229">
        <v>29.305068846146298</v>
      </c>
      <c r="P1253" s="229">
        <v>45.027709013817642</v>
      </c>
      <c r="Q1253" s="229">
        <v>29.097752745135001</v>
      </c>
      <c r="R1253" s="229">
        <v>23.491347217571828</v>
      </c>
      <c r="S1253" s="229">
        <v>16.988093212832656</v>
      </c>
      <c r="T1253" s="229">
        <v>42.672077230009869</v>
      </c>
      <c r="U1253">
        <f>AVERAGE(G1253:T1253)</f>
        <v>32.057491798405493</v>
      </c>
      <c r="V1253" t="str">
        <f t="shared" si="147"/>
        <v>2019/20Expenditure driversNetwork faultsAllowance</v>
      </c>
    </row>
    <row r="1254" spans="1:22">
      <c r="A1254" s="900" t="s">
        <v>141</v>
      </c>
      <c r="B1254" s="900"/>
      <c r="C1254" s="900" t="s">
        <v>1344</v>
      </c>
      <c r="D1254" t="s">
        <v>53</v>
      </c>
      <c r="E1254" t="s">
        <v>298</v>
      </c>
      <c r="F1254" t="s">
        <v>1289</v>
      </c>
      <c r="G1254" s="229">
        <v>35.233230916761805</v>
      </c>
      <c r="H1254" s="229">
        <v>34.572723587788516</v>
      </c>
      <c r="I1254" s="229">
        <v>54.798824747193194</v>
      </c>
      <c r="J1254" s="229">
        <v>41.18233010370146</v>
      </c>
      <c r="K1254" s="229">
        <v>47.417437872021246</v>
      </c>
      <c r="L1254" s="229">
        <v>16.450663799450872</v>
      </c>
      <c r="M1254" s="229">
        <v>32.447398049834511</v>
      </c>
      <c r="N1254" s="229">
        <v>40.420778248778092</v>
      </c>
      <c r="O1254" s="229">
        <v>52.568087539692627</v>
      </c>
      <c r="P1254" s="229">
        <v>77.552154748825046</v>
      </c>
      <c r="Q1254" s="229">
        <v>27.747912231127629</v>
      </c>
      <c r="R1254" s="229">
        <v>30.085172369969893</v>
      </c>
      <c r="S1254" s="229">
        <v>26.785248767167158</v>
      </c>
      <c r="T1254" s="229">
        <v>52.377399733581754</v>
      </c>
      <c r="U1254">
        <f>AVERAGE(G1254:T1254)</f>
        <v>40.688525908278123</v>
      </c>
      <c r="V1254" t="str">
        <f t="shared" si="147"/>
        <v>2019/20Expenditure driversNetwork faultsActual</v>
      </c>
    </row>
    <row r="1255" spans="1:22">
      <c r="A1255" s="900" t="s">
        <v>141</v>
      </c>
      <c r="B1255" s="900"/>
      <c r="C1255" s="900" t="s">
        <v>1344</v>
      </c>
      <c r="D1255" t="s">
        <v>53</v>
      </c>
      <c r="E1255" t="s">
        <v>602</v>
      </c>
      <c r="F1255" t="s">
        <v>1289</v>
      </c>
      <c r="G1255" s="229">
        <v>4.4265842356722302</v>
      </c>
      <c r="H1255" s="229">
        <v>6.2225452399497989</v>
      </c>
      <c r="I1255" s="229">
        <v>7.4394487386782515</v>
      </c>
      <c r="J1255" s="229">
        <v>3.9141005340033246</v>
      </c>
      <c r="K1255" s="229">
        <v>4.5024558618955979</v>
      </c>
      <c r="L1255" s="229">
        <v>-0.59082539301421377</v>
      </c>
      <c r="M1255" s="229">
        <v>1.5883919690624886</v>
      </c>
      <c r="N1255" s="229">
        <v>12.797849227118579</v>
      </c>
      <c r="O1255" s="229">
        <v>23.263018693546329</v>
      </c>
      <c r="P1255" s="229">
        <v>32.524445735007404</v>
      </c>
      <c r="Q1255" s="229">
        <v>-1.3498405140073721</v>
      </c>
      <c r="R1255" s="229">
        <v>6.5938251523980647</v>
      </c>
      <c r="S1255" s="229">
        <v>9.7971555543345019</v>
      </c>
      <c r="T1255" s="229">
        <v>9.7053225035718853</v>
      </c>
      <c r="U1255">
        <f>U1254-U1253</f>
        <v>8.6310341098726298</v>
      </c>
      <c r="V1255" t="str">
        <f t="shared" si="147"/>
        <v>2019/20Expenditure driversNetwork faultsDifference</v>
      </c>
    </row>
    <row r="1256" spans="1:22">
      <c r="A1256" s="900" t="s">
        <v>141</v>
      </c>
      <c r="B1256" s="900"/>
      <c r="C1256" s="900" t="s">
        <v>1344</v>
      </c>
      <c r="D1256" t="s">
        <v>53</v>
      </c>
      <c r="E1256" t="s">
        <v>1346</v>
      </c>
      <c r="F1256" t="s">
        <v>606</v>
      </c>
      <c r="G1256" s="829">
        <v>0.14368925905815821</v>
      </c>
      <c r="H1256" s="829">
        <v>0.21948875113246602</v>
      </c>
      <c r="I1256" s="829">
        <v>0.15708502445937383</v>
      </c>
      <c r="J1256" s="829">
        <v>0.10502512674188799</v>
      </c>
      <c r="K1256" s="829">
        <v>0.10491571127382177</v>
      </c>
      <c r="L1256" s="829">
        <v>-3.4669821770942875E-2</v>
      </c>
      <c r="M1256" s="829">
        <v>5.1472557635360842E-2</v>
      </c>
      <c r="N1256" s="829">
        <v>0.46330529311658486</v>
      </c>
      <c r="O1256" s="829">
        <v>0.79382235256565459</v>
      </c>
      <c r="P1256" s="829">
        <v>0.72232068757987744</v>
      </c>
      <c r="Q1256" s="829">
        <v>-4.6389854427265308E-2</v>
      </c>
      <c r="R1256" s="829">
        <v>0.28069165600965612</v>
      </c>
      <c r="S1256" s="829">
        <v>0.57670719318480179</v>
      </c>
      <c r="T1256" s="829">
        <v>0.22743965453705289</v>
      </c>
      <c r="U1256" s="829">
        <f>U1255/U1253</f>
        <v>0.2692361013191284</v>
      </c>
      <c r="V1256" t="str">
        <f t="shared" si="147"/>
        <v>2019/20Expenditure driversNetwork faultsDifference %</v>
      </c>
    </row>
    <row r="1257" spans="1:22">
      <c r="A1257" s="900" t="s">
        <v>126</v>
      </c>
      <c r="B1257" s="900"/>
      <c r="C1257" s="900" t="s">
        <v>1344</v>
      </c>
      <c r="D1257" t="s">
        <v>53</v>
      </c>
      <c r="E1257" t="s">
        <v>297</v>
      </c>
      <c r="F1257" t="s">
        <v>1289</v>
      </c>
      <c r="G1257" s="229" cm="1">
        <f t="array" ref="G1257:T1260">TRANSPOSE('Ch4 expenditure drivers'!BE211:BH224)</f>
        <v>30.172744517104924</v>
      </c>
      <c r="H1257" s="829">
        <v>28.165323086797322</v>
      </c>
      <c r="I1257" s="829">
        <v>47.236097479749148</v>
      </c>
      <c r="J1257" s="829">
        <v>37.333084446354007</v>
      </c>
      <c r="K1257" s="829">
        <v>43.063771374704068</v>
      </c>
      <c r="L1257" s="829">
        <v>17.065482968976383</v>
      </c>
      <c r="M1257" s="829">
        <v>30.893869331348654</v>
      </c>
      <c r="N1257" s="829">
        <v>27.285875595195733</v>
      </c>
      <c r="O1257" s="829">
        <v>28.947269089222679</v>
      </c>
      <c r="P1257" s="829">
        <v>45.150539894506295</v>
      </c>
      <c r="Q1257" s="829">
        <v>28.42522185848291</v>
      </c>
      <c r="R1257" s="829">
        <v>23.12463514193124</v>
      </c>
      <c r="S1257" s="829">
        <v>17.525474382869824</v>
      </c>
      <c r="T1257" s="829">
        <v>42.11951117129879</v>
      </c>
      <c r="U1257">
        <f>AVERAGE(G1257:T1257)</f>
        <v>31.89349288132443</v>
      </c>
      <c r="V1257" t="str">
        <f t="shared" si="147"/>
        <v>2020/21Expenditure driversNetwork faultsAllowance</v>
      </c>
    </row>
    <row r="1258" spans="1:22">
      <c r="A1258" s="900" t="s">
        <v>126</v>
      </c>
      <c r="B1258" s="900"/>
      <c r="C1258" s="900" t="s">
        <v>1344</v>
      </c>
      <c r="D1258" t="s">
        <v>53</v>
      </c>
      <c r="E1258" t="s">
        <v>298</v>
      </c>
      <c r="F1258" t="s">
        <v>1289</v>
      </c>
      <c r="G1258" s="229">
        <v>34.137990364771525</v>
      </c>
      <c r="H1258" s="229">
        <v>37.40449884853507</v>
      </c>
      <c r="I1258" s="229">
        <v>57.157663513375098</v>
      </c>
      <c r="J1258" s="229">
        <v>40.576720155557908</v>
      </c>
      <c r="K1258" s="229">
        <v>44.029247842212079</v>
      </c>
      <c r="L1258" s="229">
        <v>16.898769093746072</v>
      </c>
      <c r="M1258" s="229">
        <v>31.721155880843199</v>
      </c>
      <c r="N1258" s="229">
        <v>39.13411999792018</v>
      </c>
      <c r="O1258" s="229">
        <v>49.296119330586592</v>
      </c>
      <c r="P1258" s="229">
        <v>79.376968643366652</v>
      </c>
      <c r="Q1258" s="229">
        <v>28.442899904184046</v>
      </c>
      <c r="R1258" s="229">
        <v>28.298501378889753</v>
      </c>
      <c r="S1258" s="229">
        <v>18.403588593993348</v>
      </c>
      <c r="T1258" s="229">
        <v>52.801888547477269</v>
      </c>
      <c r="U1258">
        <f>AVERAGE(G1258:T1258)</f>
        <v>39.834295149675619</v>
      </c>
      <c r="V1258" t="str">
        <f t="shared" si="147"/>
        <v>2020/21Expenditure driversNetwork faultsActual</v>
      </c>
    </row>
    <row r="1259" spans="1:22">
      <c r="A1259" s="900" t="s">
        <v>126</v>
      </c>
      <c r="B1259" s="900"/>
      <c r="C1259" s="900" t="s">
        <v>1344</v>
      </c>
      <c r="D1259" t="s">
        <v>53</v>
      </c>
      <c r="E1259" t="s">
        <v>602</v>
      </c>
      <c r="F1259" t="s">
        <v>1289</v>
      </c>
      <c r="G1259" s="829">
        <v>3.9652458476666013</v>
      </c>
      <c r="H1259" s="829">
        <v>9.2391757617377479</v>
      </c>
      <c r="I1259" s="829">
        <v>9.9215660336259504</v>
      </c>
      <c r="J1259" s="829">
        <v>3.2436357092039003</v>
      </c>
      <c r="K1259" s="829">
        <v>0.96547646750801164</v>
      </c>
      <c r="L1259" s="829">
        <v>-0.166713875230311</v>
      </c>
      <c r="M1259" s="829">
        <v>0.82728654949454494</v>
      </c>
      <c r="N1259" s="829">
        <v>11.848244402724447</v>
      </c>
      <c r="O1259" s="829">
        <v>20.348850241363913</v>
      </c>
      <c r="P1259" s="829">
        <v>34.226428748860357</v>
      </c>
      <c r="Q1259" s="829">
        <v>1.7678045701135403E-2</v>
      </c>
      <c r="R1259" s="829">
        <v>5.1738662369585136</v>
      </c>
      <c r="S1259" s="829">
        <v>0.87811421112352406</v>
      </c>
      <c r="T1259" s="829">
        <v>10.682377376178479</v>
      </c>
      <c r="U1259">
        <f>U1258-U1257</f>
        <v>7.9408022683511881</v>
      </c>
      <c r="V1259" t="str">
        <f t="shared" si="147"/>
        <v>2020/21Expenditure driversNetwork faultsDifference</v>
      </c>
    </row>
    <row r="1260" spans="1:22">
      <c r="A1260" s="900" t="s">
        <v>126</v>
      </c>
      <c r="B1260" s="900"/>
      <c r="C1260" s="900" t="s">
        <v>1344</v>
      </c>
      <c r="D1260" t="s">
        <v>53</v>
      </c>
      <c r="E1260" t="s">
        <v>1346</v>
      </c>
      <c r="F1260" t="s">
        <v>606</v>
      </c>
      <c r="G1260" s="829">
        <v>0.13141813617315137</v>
      </c>
      <c r="H1260" s="829">
        <v>0.32803372193762165</v>
      </c>
      <c r="I1260" s="829">
        <v>0.2100420348628394</v>
      </c>
      <c r="J1260" s="829">
        <v>8.6883678573755715E-2</v>
      </c>
      <c r="K1260" s="829">
        <v>2.2419691464253374E-2</v>
      </c>
      <c r="L1260" s="829">
        <v>-9.7690686828719037E-3</v>
      </c>
      <c r="M1260" s="829">
        <v>2.6778340408628584E-2</v>
      </c>
      <c r="N1260" s="829">
        <v>0.43422628536833857</v>
      </c>
      <c r="O1260" s="829">
        <v>0.70296269325592331</v>
      </c>
      <c r="P1260" s="829">
        <v>0.75805137278158807</v>
      </c>
      <c r="Q1260" s="829">
        <v>6.2191408000777883E-4</v>
      </c>
      <c r="R1260" s="829">
        <v>0.22373828625632627</v>
      </c>
      <c r="S1260" s="829">
        <v>5.010501809764601E-2</v>
      </c>
      <c r="T1260" s="829">
        <v>0.25362063991515882</v>
      </c>
      <c r="U1260" s="829">
        <f>U1259/U1257</f>
        <v>0.24897875870475786</v>
      </c>
      <c r="V1260" t="str">
        <f t="shared" si="147"/>
        <v>2020/21Expenditure driversNetwork faultsDifference %</v>
      </c>
    </row>
    <row r="1261" spans="1:22">
      <c r="A1261" s="900" t="s">
        <v>142</v>
      </c>
      <c r="B1261" s="900"/>
      <c r="C1261" s="900" t="s">
        <v>1344</v>
      </c>
      <c r="D1261" t="s">
        <v>53</v>
      </c>
      <c r="E1261" t="s">
        <v>297</v>
      </c>
      <c r="F1261" t="s">
        <v>1289</v>
      </c>
      <c r="G1261" s="229" cm="1">
        <f t="array" ref="G1261:T1264">TRANSPOSE('Ch4 expenditure drivers'!BJ211:BM224)</f>
        <v>29.449017901471372</v>
      </c>
      <c r="H1261" s="229">
        <v>27.997298224876818</v>
      </c>
      <c r="I1261" s="229">
        <v>47.139929711369014</v>
      </c>
      <c r="J1261" s="229">
        <v>37.462296947699699</v>
      </c>
      <c r="K1261" s="229">
        <v>43.276939850885171</v>
      </c>
      <c r="L1261" s="229">
        <v>17.143532933570459</v>
      </c>
      <c r="M1261" s="229">
        <v>30.992786470236304</v>
      </c>
      <c r="N1261" s="229">
        <v>27.265383531151809</v>
      </c>
      <c r="O1261" s="229">
        <v>29.127693914548537</v>
      </c>
      <c r="P1261" s="229">
        <v>45.324069160191108</v>
      </c>
      <c r="Q1261" s="229">
        <v>27.963612186652913</v>
      </c>
      <c r="R1261" s="229">
        <v>22.499689392124893</v>
      </c>
      <c r="S1261" s="229">
        <v>17.30791807886639</v>
      </c>
      <c r="T1261" s="229">
        <v>43.323965158557776</v>
      </c>
      <c r="U1261" s="229">
        <f>AVERAGE(G1261:T1261)</f>
        <v>31.876723818728738</v>
      </c>
      <c r="V1261" t="str">
        <f t="shared" ref="V1261:V1264" si="149">CONCATENATE(A1261,B1261,C1261,D1261,E1261)</f>
        <v>2021/22Expenditure driversNetwork faultsAllowance</v>
      </c>
    </row>
    <row r="1262" spans="1:22">
      <c r="A1262" s="900" t="s">
        <v>142</v>
      </c>
      <c r="B1262" s="900"/>
      <c r="C1262" s="900" t="s">
        <v>1344</v>
      </c>
      <c r="D1262" t="s">
        <v>53</v>
      </c>
      <c r="E1262" t="s">
        <v>298</v>
      </c>
      <c r="F1262" t="s">
        <v>1289</v>
      </c>
      <c r="G1262" s="229">
        <v>39.166024380590912</v>
      </c>
      <c r="H1262" s="229">
        <v>47.884703543177451</v>
      </c>
      <c r="I1262" s="229">
        <v>60.834842181305788</v>
      </c>
      <c r="J1262" s="229">
        <v>42.063899999999997</v>
      </c>
      <c r="K1262" s="229">
        <v>43.228499999999997</v>
      </c>
      <c r="L1262" s="229">
        <v>18.2791</v>
      </c>
      <c r="M1262" s="229">
        <v>34.911099999999998</v>
      </c>
      <c r="N1262" s="229">
        <v>36.705324293812509</v>
      </c>
      <c r="O1262" s="229">
        <v>52.371715384156069</v>
      </c>
      <c r="P1262" s="229">
        <v>73.429853877090011</v>
      </c>
      <c r="Q1262" s="229">
        <v>32.868784140913824</v>
      </c>
      <c r="R1262" s="229">
        <v>31.40030403116188</v>
      </c>
      <c r="S1262" s="229">
        <v>52.378860689999996</v>
      </c>
      <c r="T1262" s="229">
        <v>56.534363950000014</v>
      </c>
      <c r="U1262" s="229">
        <f>AVERAGE(G1262:T1262)</f>
        <v>44.432669748014895</v>
      </c>
      <c r="V1262" t="str">
        <f t="shared" si="149"/>
        <v>2021/22Expenditure driversNetwork faultsActual</v>
      </c>
    </row>
    <row r="1263" spans="1:22">
      <c r="A1263" s="900" t="s">
        <v>142</v>
      </c>
      <c r="B1263" s="900"/>
      <c r="C1263" s="900" t="s">
        <v>1344</v>
      </c>
      <c r="D1263" t="s">
        <v>53</v>
      </c>
      <c r="E1263" t="s">
        <v>602</v>
      </c>
      <c r="F1263" t="s">
        <v>1289</v>
      </c>
      <c r="G1263" s="229">
        <v>9.7170064791195401</v>
      </c>
      <c r="H1263" s="229">
        <v>19.887405318300633</v>
      </c>
      <c r="I1263" s="229">
        <v>13.694912469936774</v>
      </c>
      <c r="J1263" s="229">
        <v>4.6016030523002982</v>
      </c>
      <c r="K1263" s="229">
        <v>-4.8439850885173996E-2</v>
      </c>
      <c r="L1263" s="229">
        <v>1.135567066429541</v>
      </c>
      <c r="M1263" s="229">
        <v>3.9183135297636937</v>
      </c>
      <c r="N1263" s="229">
        <v>9.4399407626607008</v>
      </c>
      <c r="O1263" s="229">
        <v>23.244021469607532</v>
      </c>
      <c r="P1263" s="229">
        <v>28.105784716898903</v>
      </c>
      <c r="Q1263" s="229">
        <v>4.9051719542609113</v>
      </c>
      <c r="R1263" s="229">
        <v>8.9006146390369878</v>
      </c>
      <c r="S1263" s="229">
        <v>35.070942611133603</v>
      </c>
      <c r="T1263" s="229">
        <v>13.210398791442238</v>
      </c>
      <c r="U1263" s="229">
        <f>U1262-U1261</f>
        <v>12.555945929286157</v>
      </c>
      <c r="V1263" t="str">
        <f t="shared" si="149"/>
        <v>2021/22Expenditure driversNetwork faultsDifference</v>
      </c>
    </row>
    <row r="1264" spans="1:22">
      <c r="A1264" s="900" t="s">
        <v>142</v>
      </c>
      <c r="B1264" s="900"/>
      <c r="C1264" s="900" t="s">
        <v>1344</v>
      </c>
      <c r="D1264" t="s">
        <v>53</v>
      </c>
      <c r="E1264" t="s">
        <v>1346</v>
      </c>
      <c r="F1264" t="s">
        <v>606</v>
      </c>
      <c r="G1264" s="829">
        <v>0.32996028973292335</v>
      </c>
      <c r="H1264" s="829">
        <v>0.71033301708483454</v>
      </c>
      <c r="I1264" s="829">
        <v>0.29051618349430613</v>
      </c>
      <c r="J1264" s="829">
        <v>0.12283291274756848</v>
      </c>
      <c r="K1264" s="829">
        <v>-1.119299355547738E-3</v>
      </c>
      <c r="L1264" s="829">
        <v>6.6238801000339548E-2</v>
      </c>
      <c r="M1264" s="829">
        <v>0.12642662941993349</v>
      </c>
      <c r="N1264" s="829">
        <v>0.34622438932044308</v>
      </c>
      <c r="O1264" s="829">
        <v>0.79800417903999388</v>
      </c>
      <c r="P1264" s="829">
        <v>0.62010726833822516</v>
      </c>
      <c r="Q1264" s="829">
        <v>0.17541267278059877</v>
      </c>
      <c r="R1264" s="829">
        <v>0.39558833386172382</v>
      </c>
      <c r="S1264" s="829">
        <v>2.0262946965271649</v>
      </c>
      <c r="T1264" s="829">
        <v>0.30492127724446733</v>
      </c>
      <c r="U1264" s="829">
        <f>U1263/U1261</f>
        <v>0.39389072731210478</v>
      </c>
      <c r="V1264" t="str">
        <f t="shared" si="149"/>
        <v>2021/22Expenditure driversNetwork faultsDifference %</v>
      </c>
    </row>
    <row r="1265" spans="1:22">
      <c r="A1265" s="900" t="s">
        <v>137</v>
      </c>
      <c r="B1265" s="900"/>
      <c r="C1265" s="900" t="s">
        <v>1344</v>
      </c>
      <c r="D1265" t="s">
        <v>55</v>
      </c>
      <c r="E1265" t="s">
        <v>1347</v>
      </c>
      <c r="F1265" t="s">
        <v>1289</v>
      </c>
      <c r="G1265">
        <f t="array" ref="G1265:T1272">TRANSPOSE('Ch4 expenditure drivers'!E231:L244)</f>
        <v>55.301324175221673</v>
      </c>
      <c r="H1265">
        <v>37.479404321148223</v>
      </c>
      <c r="I1265">
        <v>44.287310977497462</v>
      </c>
      <c r="J1265">
        <v>67.84005104149054</v>
      </c>
      <c r="K1265">
        <v>67.560774206357266</v>
      </c>
      <c r="L1265">
        <v>36.998458320049622</v>
      </c>
      <c r="M1265">
        <v>53.812400399583822</v>
      </c>
      <c r="N1265">
        <v>59.385868853090933</v>
      </c>
      <c r="O1265">
        <v>67.113829972012851</v>
      </c>
      <c r="P1265">
        <v>89.985476357314568</v>
      </c>
      <c r="Q1265">
        <v>46.093657068688323</v>
      </c>
      <c r="R1265">
        <v>50.762151947072546</v>
      </c>
      <c r="S1265">
        <v>40.314792324374892</v>
      </c>
      <c r="T1265">
        <v>77.778586043035205</v>
      </c>
      <c r="U1265">
        <f>AVERAGE(G1265:T1265)</f>
        <v>56.765291857638431</v>
      </c>
      <c r="V1265" t="str">
        <f t="shared" si="147"/>
        <v>2015/16Expenditure driversOperational supportBPDT</v>
      </c>
    </row>
    <row r="1266" spans="1:22">
      <c r="A1266" s="900" t="s">
        <v>138</v>
      </c>
      <c r="B1266" s="900"/>
      <c r="C1266" s="900" t="s">
        <v>1344</v>
      </c>
      <c r="D1266" t="s">
        <v>55</v>
      </c>
      <c r="E1266" t="s">
        <v>1347</v>
      </c>
      <c r="F1266" t="s">
        <v>1289</v>
      </c>
      <c r="G1266">
        <v>54.505576466611529</v>
      </c>
      <c r="H1266">
        <v>37.579243465618475</v>
      </c>
      <c r="I1266">
        <v>44.354483101945398</v>
      </c>
      <c r="J1266">
        <v>67.401078247069989</v>
      </c>
      <c r="K1266">
        <v>67.203383215637245</v>
      </c>
      <c r="L1266">
        <v>37.725326918501501</v>
      </c>
      <c r="M1266">
        <v>54.35643530120192</v>
      </c>
      <c r="N1266">
        <v>56.775294209326276</v>
      </c>
      <c r="O1266">
        <v>65.777059865991646</v>
      </c>
      <c r="P1266">
        <v>87.358895453968998</v>
      </c>
      <c r="Q1266">
        <v>44.710964431761084</v>
      </c>
      <c r="R1266">
        <v>50.555617577839918</v>
      </c>
      <c r="S1266">
        <v>40.825823727431001</v>
      </c>
      <c r="T1266">
        <v>78.011800551526989</v>
      </c>
      <c r="U1266">
        <f t="shared" ref="U1266:U1297" si="150">AVERAGE(G1266:T1266)</f>
        <v>56.224355895316577</v>
      </c>
      <c r="V1266" t="str">
        <f t="shared" si="147"/>
        <v>2016/17Expenditure driversOperational supportBPDT</v>
      </c>
    </row>
    <row r="1267" spans="1:22">
      <c r="A1267" s="900" t="s">
        <v>139</v>
      </c>
      <c r="B1267" s="900"/>
      <c r="C1267" s="900" t="s">
        <v>1344</v>
      </c>
      <c r="D1267" t="s">
        <v>55</v>
      </c>
      <c r="E1267" t="s">
        <v>1347</v>
      </c>
      <c r="F1267" t="s">
        <v>1289</v>
      </c>
      <c r="G1267">
        <v>53.630095799278571</v>
      </c>
      <c r="H1267">
        <v>38.210076860399575</v>
      </c>
      <c r="I1267">
        <v>44.911574225453812</v>
      </c>
      <c r="J1267">
        <v>67.044400484970822</v>
      </c>
      <c r="K1267">
        <v>66.73887561552506</v>
      </c>
      <c r="L1267">
        <v>37.396164238028511</v>
      </c>
      <c r="M1267">
        <v>54.886382200763151</v>
      </c>
      <c r="N1267">
        <v>55.427933689182005</v>
      </c>
      <c r="O1267">
        <v>63.564552179617827</v>
      </c>
      <c r="P1267">
        <v>85.399282642569716</v>
      </c>
      <c r="Q1267">
        <v>44.626906719680996</v>
      </c>
      <c r="R1267">
        <v>49.106304138277991</v>
      </c>
      <c r="S1267">
        <v>40.961923297863279</v>
      </c>
      <c r="T1267">
        <v>78.277027998290762</v>
      </c>
      <c r="U1267">
        <f t="shared" si="150"/>
        <v>55.727250006421578</v>
      </c>
      <c r="V1267" t="str">
        <f t="shared" si="147"/>
        <v>2017/18Expenditure driversOperational supportBPDT</v>
      </c>
    </row>
    <row r="1268" spans="1:22">
      <c r="A1268" s="900" t="s">
        <v>140</v>
      </c>
      <c r="B1268" s="900"/>
      <c r="C1268" s="900" t="s">
        <v>1344</v>
      </c>
      <c r="D1268" t="s">
        <v>55</v>
      </c>
      <c r="E1268" t="s">
        <v>1347</v>
      </c>
      <c r="F1268" t="s">
        <v>1289</v>
      </c>
      <c r="G1268">
        <v>53.595779957870846</v>
      </c>
      <c r="H1268">
        <v>38.861642079410515</v>
      </c>
      <c r="I1268">
        <v>45.722177491087848</v>
      </c>
      <c r="J1268">
        <v>67.323772361112376</v>
      </c>
      <c r="K1268">
        <v>66.979275185896299</v>
      </c>
      <c r="L1268">
        <v>38.00046470204326</v>
      </c>
      <c r="M1268">
        <v>55.154309670984354</v>
      </c>
      <c r="N1268">
        <v>56.169003610823047</v>
      </c>
      <c r="O1268">
        <v>63.158627375547297</v>
      </c>
      <c r="P1268">
        <v>86.007071180709957</v>
      </c>
      <c r="Q1268">
        <v>44.446374346039313</v>
      </c>
      <c r="R1268">
        <v>47.952080290889391</v>
      </c>
      <c r="S1268">
        <v>41.12875856153741</v>
      </c>
      <c r="T1268">
        <v>77.752137539739792</v>
      </c>
      <c r="U1268">
        <f t="shared" si="150"/>
        <v>55.875105310977979</v>
      </c>
      <c r="V1268" t="str">
        <f t="shared" si="147"/>
        <v>2018/19Expenditure driversOperational supportBPDT</v>
      </c>
    </row>
    <row r="1269" spans="1:22">
      <c r="A1269" s="900" t="s">
        <v>141</v>
      </c>
      <c r="B1269" s="900"/>
      <c r="C1269" s="900" t="s">
        <v>1344</v>
      </c>
      <c r="D1269" t="s">
        <v>55</v>
      </c>
      <c r="E1269" t="s">
        <v>1347</v>
      </c>
      <c r="F1269" t="s">
        <v>1289</v>
      </c>
      <c r="G1269">
        <v>53.295764576047752</v>
      </c>
      <c r="H1269">
        <v>39.043955894428706</v>
      </c>
      <c r="I1269">
        <v>45.842210735802638</v>
      </c>
      <c r="J1269">
        <v>68.203228603306442</v>
      </c>
      <c r="K1269">
        <v>67.727537549307812</v>
      </c>
      <c r="L1269">
        <v>37.905501961361331</v>
      </c>
      <c r="M1269">
        <v>55.572270268782226</v>
      </c>
      <c r="N1269">
        <v>55.38753291512559</v>
      </c>
      <c r="O1269">
        <v>61.508204646038763</v>
      </c>
      <c r="P1269">
        <v>84.45142883702249</v>
      </c>
      <c r="Q1269">
        <v>44.552413367674781</v>
      </c>
      <c r="R1269">
        <v>48.289394964704613</v>
      </c>
      <c r="S1269">
        <v>40.490054095765949</v>
      </c>
      <c r="T1269">
        <v>77.921231558247911</v>
      </c>
      <c r="U1269">
        <f t="shared" si="150"/>
        <v>55.727909283829781</v>
      </c>
      <c r="V1269" t="str">
        <f t="shared" si="147"/>
        <v>2019/20Expenditure driversOperational supportBPDT</v>
      </c>
    </row>
    <row r="1270" spans="1:22">
      <c r="A1270" s="900" t="s">
        <v>126</v>
      </c>
      <c r="B1270" s="900"/>
      <c r="C1270" s="900" t="s">
        <v>1344</v>
      </c>
      <c r="D1270" t="s">
        <v>55</v>
      </c>
      <c r="E1270" t="s">
        <v>1347</v>
      </c>
      <c r="F1270" t="s">
        <v>1289</v>
      </c>
      <c r="G1270">
        <v>52.759041811662222</v>
      </c>
      <c r="H1270">
        <v>38.926592087811201</v>
      </c>
      <c r="I1270">
        <v>45.670408370941779</v>
      </c>
      <c r="J1270">
        <v>68.832658749280256</v>
      </c>
      <c r="K1270">
        <v>68.063068970337028</v>
      </c>
      <c r="L1270">
        <v>38.532511672834815</v>
      </c>
      <c r="M1270">
        <v>56.746187344990759</v>
      </c>
      <c r="N1270">
        <v>53.961224916468574</v>
      </c>
      <c r="O1270">
        <v>60.399564617928903</v>
      </c>
      <c r="P1270">
        <v>82.101449164951404</v>
      </c>
      <c r="Q1270">
        <v>44.806893559763431</v>
      </c>
      <c r="R1270">
        <v>47.162631516756669</v>
      </c>
      <c r="S1270">
        <v>40.49402356004272</v>
      </c>
      <c r="T1270">
        <v>78.158034458866638</v>
      </c>
      <c r="U1270">
        <f t="shared" si="150"/>
        <v>55.472449343045447</v>
      </c>
      <c r="V1270" t="str">
        <f t="shared" si="147"/>
        <v>2020/21Expenditure driversOperational supportBPDT</v>
      </c>
    </row>
    <row r="1271" spans="1:22">
      <c r="A1271" s="900" t="s">
        <v>142</v>
      </c>
      <c r="B1271" s="900"/>
      <c r="C1271" s="900" t="s">
        <v>1344</v>
      </c>
      <c r="D1271" t="s">
        <v>55</v>
      </c>
      <c r="E1271" t="s">
        <v>1347</v>
      </c>
      <c r="F1271" t="s">
        <v>1289</v>
      </c>
      <c r="G1271">
        <v>52.210351193033183</v>
      </c>
      <c r="H1271">
        <v>38.843640070333961</v>
      </c>
      <c r="I1271">
        <v>45.296057684481681</v>
      </c>
      <c r="J1271">
        <v>69.292793895842266</v>
      </c>
      <c r="K1271">
        <v>68.942707837205461</v>
      </c>
      <c r="L1271">
        <v>38.795444416662917</v>
      </c>
      <c r="M1271">
        <v>56.866664823281916</v>
      </c>
      <c r="N1271">
        <v>53.797370392720303</v>
      </c>
      <c r="O1271">
        <v>61.010212215366359</v>
      </c>
      <c r="P1271">
        <v>82.167550406283667</v>
      </c>
      <c r="Q1271">
        <v>45.114340928842942</v>
      </c>
      <c r="R1271">
        <v>48.252535353195896</v>
      </c>
      <c r="S1271">
        <v>40.815701487382242</v>
      </c>
      <c r="T1271">
        <v>78.400533087059216</v>
      </c>
      <c r="U1271">
        <f t="shared" si="150"/>
        <v>55.700421699406569</v>
      </c>
      <c r="V1271" t="str">
        <f t="shared" si="147"/>
        <v>2021/22Expenditure driversOperational supportBPDT</v>
      </c>
    </row>
    <row r="1272" spans="1:22">
      <c r="A1272" s="900" t="s">
        <v>143</v>
      </c>
      <c r="B1272" s="900"/>
      <c r="C1272" s="900" t="s">
        <v>1344</v>
      </c>
      <c r="D1272" t="s">
        <v>55</v>
      </c>
      <c r="E1272" t="s">
        <v>1347</v>
      </c>
      <c r="F1272" t="s">
        <v>1289</v>
      </c>
      <c r="G1272">
        <v>52.053461942933438</v>
      </c>
      <c r="H1272">
        <v>38.635245634025338</v>
      </c>
      <c r="I1272">
        <v>44.824998924072638</v>
      </c>
      <c r="J1272">
        <v>69.83794744138622</v>
      </c>
      <c r="K1272">
        <v>69.296000528749687</v>
      </c>
      <c r="L1272">
        <v>38.867945767980657</v>
      </c>
      <c r="M1272">
        <v>57.775478689479854</v>
      </c>
      <c r="N1272">
        <v>52.905635023318091</v>
      </c>
      <c r="O1272">
        <v>60.200175023918341</v>
      </c>
      <c r="P1272">
        <v>81.429269963332203</v>
      </c>
      <c r="Q1272">
        <v>45.118043273918687</v>
      </c>
      <c r="R1272">
        <v>49.032155875877287</v>
      </c>
      <c r="S1272">
        <v>40.463493162957924</v>
      </c>
      <c r="T1272">
        <v>78.264828471458074</v>
      </c>
      <c r="U1272">
        <f t="shared" si="150"/>
        <v>55.621762837386314</v>
      </c>
      <c r="V1272" t="str">
        <f t="shared" si="147"/>
        <v>2022/23Expenditure driversOperational supportBPDT</v>
      </c>
    </row>
    <row r="1273" spans="1:22">
      <c r="A1273" s="900" t="s">
        <v>137</v>
      </c>
      <c r="B1273" s="900"/>
      <c r="C1273" s="900" t="s">
        <v>1344</v>
      </c>
      <c r="D1273" t="s">
        <v>55</v>
      </c>
      <c r="E1273" t="s">
        <v>1348</v>
      </c>
      <c r="F1273" t="s">
        <v>1289</v>
      </c>
      <c r="G1273">
        <f t="array" ref="G1273:T1280">TRANSPOSE('Ch4 expenditure drivers'!N231:U244)</f>
        <v>60.806570037842818</v>
      </c>
      <c r="H1273">
        <v>38.542920584186547</v>
      </c>
      <c r="I1273">
        <v>48.20966716079981</v>
      </c>
      <c r="J1273">
        <v>67.84005104149054</v>
      </c>
      <c r="K1273">
        <v>67.560774206357266</v>
      </c>
      <c r="L1273">
        <v>36.998458320049622</v>
      </c>
      <c r="M1273">
        <v>53.812400399583822</v>
      </c>
      <c r="N1273">
        <v>55.998198330495043</v>
      </c>
      <c r="O1273">
        <v>59.493356927471041</v>
      </c>
      <c r="P1273">
        <v>85.395926006736417</v>
      </c>
      <c r="Q1273">
        <v>48.949625968036138</v>
      </c>
      <c r="R1273">
        <v>48.673427954634811</v>
      </c>
      <c r="S1273">
        <v>38.654774261488789</v>
      </c>
      <c r="T1273">
        <v>78.548134001547155</v>
      </c>
      <c r="U1273">
        <f t="shared" si="150"/>
        <v>56.39173465719427</v>
      </c>
      <c r="V1273" t="str">
        <f t="shared" si="147"/>
        <v>2015/16Expenditure driversOperational supportDNO Baseline</v>
      </c>
    </row>
    <row r="1274" spans="1:22">
      <c r="A1274" s="900" t="s">
        <v>138</v>
      </c>
      <c r="B1274" s="900"/>
      <c r="C1274" s="900" t="s">
        <v>1344</v>
      </c>
      <c r="D1274" t="s">
        <v>55</v>
      </c>
      <c r="E1274" t="s">
        <v>1348</v>
      </c>
      <c r="F1274" t="s">
        <v>1289</v>
      </c>
      <c r="G1274">
        <v>58.556498175737616</v>
      </c>
      <c r="H1274">
        <v>38.501738298307764</v>
      </c>
      <c r="I1274">
        <v>47.66485281582888</v>
      </c>
      <c r="J1274">
        <v>67.401078247069989</v>
      </c>
      <c r="K1274">
        <v>67.203383215637245</v>
      </c>
      <c r="L1274">
        <v>37.725326918501501</v>
      </c>
      <c r="M1274">
        <v>54.35643530120192</v>
      </c>
      <c r="N1274">
        <v>54.099764247714916</v>
      </c>
      <c r="O1274">
        <v>58.498695014514588</v>
      </c>
      <c r="P1274">
        <v>83.027847520132724</v>
      </c>
      <c r="Q1274">
        <v>48.181038614302921</v>
      </c>
      <c r="R1274">
        <v>48.338198064192241</v>
      </c>
      <c r="S1274">
        <v>39.019051763258069</v>
      </c>
      <c r="T1274">
        <v>78.068239367901754</v>
      </c>
      <c r="U1274">
        <f t="shared" si="150"/>
        <v>55.760153397450154</v>
      </c>
      <c r="V1274" t="str">
        <f t="shared" si="147"/>
        <v>2016/17Expenditure driversOperational supportDNO Baseline</v>
      </c>
    </row>
    <row r="1275" spans="1:22">
      <c r="A1275" s="900" t="s">
        <v>139</v>
      </c>
      <c r="B1275" s="900"/>
      <c r="C1275" s="900" t="s">
        <v>1344</v>
      </c>
      <c r="D1275" t="s">
        <v>55</v>
      </c>
      <c r="E1275" t="s">
        <v>1348</v>
      </c>
      <c r="F1275" t="s">
        <v>1289</v>
      </c>
      <c r="G1275">
        <v>57.641520707235799</v>
      </c>
      <c r="H1275">
        <v>38.517277819671804</v>
      </c>
      <c r="I1275">
        <v>47.639384165445989</v>
      </c>
      <c r="J1275">
        <v>67.044400484970822</v>
      </c>
      <c r="K1275">
        <v>66.73887561552506</v>
      </c>
      <c r="L1275">
        <v>37.396164238028511</v>
      </c>
      <c r="M1275">
        <v>54.886382200763151</v>
      </c>
      <c r="N1275">
        <v>51.767472589994703</v>
      </c>
      <c r="O1275">
        <v>56.021798612308601</v>
      </c>
      <c r="P1275">
        <v>80.421742291791034</v>
      </c>
      <c r="Q1275">
        <v>47.70039945810165</v>
      </c>
      <c r="R1275">
        <v>46.552048884609015</v>
      </c>
      <c r="S1275">
        <v>38.802907054998776</v>
      </c>
      <c r="T1275">
        <v>78.407828861932131</v>
      </c>
      <c r="U1275">
        <f t="shared" si="150"/>
        <v>54.9670144989555</v>
      </c>
      <c r="V1275" t="str">
        <f t="shared" si="147"/>
        <v>2017/18Expenditure driversOperational supportDNO Baseline</v>
      </c>
    </row>
    <row r="1276" spans="1:22">
      <c r="A1276" s="900" t="s">
        <v>140</v>
      </c>
      <c r="B1276" s="900"/>
      <c r="C1276" s="900" t="s">
        <v>1344</v>
      </c>
      <c r="D1276" t="s">
        <v>55</v>
      </c>
      <c r="E1276" t="s">
        <v>1348</v>
      </c>
      <c r="F1276" t="s">
        <v>1289</v>
      </c>
      <c r="G1276">
        <v>57.475149951480923</v>
      </c>
      <c r="H1276">
        <v>38.693921217403229</v>
      </c>
      <c r="I1276">
        <v>48.064229587721677</v>
      </c>
      <c r="J1276">
        <v>67.323772361112376</v>
      </c>
      <c r="K1276">
        <v>66.979275185896299</v>
      </c>
      <c r="L1276">
        <v>38.00046470204326</v>
      </c>
      <c r="M1276">
        <v>55.154309670984354</v>
      </c>
      <c r="N1276">
        <v>51.525393272475284</v>
      </c>
      <c r="O1276">
        <v>55.239120995821104</v>
      </c>
      <c r="P1276">
        <v>80.238560144804751</v>
      </c>
      <c r="Q1276">
        <v>47.116650284881594</v>
      </c>
      <c r="R1276">
        <v>44.900316127784201</v>
      </c>
      <c r="S1276">
        <v>39.013609725504061</v>
      </c>
      <c r="T1276">
        <v>78.264776926392074</v>
      </c>
      <c r="U1276">
        <f t="shared" si="150"/>
        <v>54.856396439593233</v>
      </c>
      <c r="V1276" t="str">
        <f t="shared" si="147"/>
        <v>2018/19Expenditure driversOperational supportDNO Baseline</v>
      </c>
    </row>
    <row r="1277" spans="1:22">
      <c r="A1277" s="900" t="s">
        <v>141</v>
      </c>
      <c r="B1277" s="900"/>
      <c r="C1277" s="900" t="s">
        <v>1344</v>
      </c>
      <c r="D1277" t="s">
        <v>55</v>
      </c>
      <c r="E1277" t="s">
        <v>1348</v>
      </c>
      <c r="F1277" t="s">
        <v>1289</v>
      </c>
      <c r="G1277">
        <v>56.607426944277059</v>
      </c>
      <c r="H1277">
        <v>38.351270014377761</v>
      </c>
      <c r="I1277">
        <v>47.301363300302299</v>
      </c>
      <c r="J1277">
        <v>68.203228603306442</v>
      </c>
      <c r="K1277">
        <v>67.727537549307812</v>
      </c>
      <c r="L1277">
        <v>37.905501961361331</v>
      </c>
      <c r="M1277">
        <v>55.572270268782226</v>
      </c>
      <c r="N1277">
        <v>50.541274836957768</v>
      </c>
      <c r="O1277">
        <v>53.72207341812117</v>
      </c>
      <c r="P1277">
        <v>78.432852626047904</v>
      </c>
      <c r="Q1277">
        <v>46.998735272872203</v>
      </c>
      <c r="R1277">
        <v>44.78223167948277</v>
      </c>
      <c r="S1277">
        <v>38.082743216446097</v>
      </c>
      <c r="T1277">
        <v>77.8598598933049</v>
      </c>
      <c r="U1277">
        <f t="shared" si="150"/>
        <v>54.434883541781979</v>
      </c>
      <c r="V1277" t="str">
        <f t="shared" si="147"/>
        <v>2019/20Expenditure driversOperational supportDNO Baseline</v>
      </c>
    </row>
    <row r="1278" spans="1:22">
      <c r="A1278" s="900" t="s">
        <v>126</v>
      </c>
      <c r="B1278" s="900"/>
      <c r="C1278" s="900" t="s">
        <v>1344</v>
      </c>
      <c r="D1278" t="s">
        <v>55</v>
      </c>
      <c r="E1278" t="s">
        <v>1348</v>
      </c>
      <c r="F1278" t="s">
        <v>1289</v>
      </c>
      <c r="G1278">
        <v>56.796490869677207</v>
      </c>
      <c r="H1278">
        <v>37.61163695908413</v>
      </c>
      <c r="I1278">
        <v>46.500073210736922</v>
      </c>
      <c r="J1278">
        <v>68.832658749280256</v>
      </c>
      <c r="K1278">
        <v>68.063068970337028</v>
      </c>
      <c r="L1278">
        <v>38.532511672834815</v>
      </c>
      <c r="M1278">
        <v>56.746187344990759</v>
      </c>
      <c r="N1278">
        <v>49.173459386207838</v>
      </c>
      <c r="O1278">
        <v>52.575125939584154</v>
      </c>
      <c r="P1278">
        <v>76.045706250040155</v>
      </c>
      <c r="Q1278">
        <v>46.897385695382674</v>
      </c>
      <c r="R1278">
        <v>43.68658094498592</v>
      </c>
      <c r="S1278">
        <v>37.772145170800108</v>
      </c>
      <c r="T1278">
        <v>76.875397724105113</v>
      </c>
      <c r="U1278">
        <f t="shared" si="150"/>
        <v>54.007744920574794</v>
      </c>
      <c r="V1278" t="str">
        <f t="shared" si="147"/>
        <v>2020/21Expenditure driversOperational supportDNO Baseline</v>
      </c>
    </row>
    <row r="1279" spans="1:22">
      <c r="A1279" s="900" t="s">
        <v>142</v>
      </c>
      <c r="B1279" s="900"/>
      <c r="C1279" s="900" t="s">
        <v>1344</v>
      </c>
      <c r="D1279" t="s">
        <v>55</v>
      </c>
      <c r="E1279" t="s">
        <v>1348</v>
      </c>
      <c r="F1279" t="s">
        <v>1289</v>
      </c>
      <c r="G1279">
        <v>56.130343699168655</v>
      </c>
      <c r="H1279">
        <v>37.207862125471031</v>
      </c>
      <c r="I1279">
        <v>45.803192587360179</v>
      </c>
      <c r="J1279">
        <v>69.292793895842266</v>
      </c>
      <c r="K1279">
        <v>68.942707837205461</v>
      </c>
      <c r="L1279">
        <v>38.795444416662917</v>
      </c>
      <c r="M1279">
        <v>56.866664823281916</v>
      </c>
      <c r="N1279">
        <v>47.771254269820709</v>
      </c>
      <c r="O1279">
        <v>52.419031479292926</v>
      </c>
      <c r="P1279">
        <v>75.330690155455613</v>
      </c>
      <c r="Q1279">
        <v>46.84105486222137</v>
      </c>
      <c r="R1279">
        <v>44.047448855713462</v>
      </c>
      <c r="S1279">
        <v>37.883199500842586</v>
      </c>
      <c r="T1279">
        <v>76.856883407663474</v>
      </c>
      <c r="U1279">
        <f t="shared" si="150"/>
        <v>53.870612279714464</v>
      </c>
      <c r="V1279" t="str">
        <f t="shared" si="147"/>
        <v>2021/22Expenditure driversOperational supportDNO Baseline</v>
      </c>
    </row>
    <row r="1280" spans="1:22">
      <c r="A1280" s="900" t="s">
        <v>143</v>
      </c>
      <c r="B1280" s="900"/>
      <c r="C1280" s="900" t="s">
        <v>1344</v>
      </c>
      <c r="D1280" t="s">
        <v>55</v>
      </c>
      <c r="E1280" t="s">
        <v>1348</v>
      </c>
      <c r="F1280" t="s">
        <v>1289</v>
      </c>
      <c r="G1280">
        <v>55.018219478800432</v>
      </c>
      <c r="H1280">
        <v>36.598537349209572</v>
      </c>
      <c r="I1280">
        <v>44.965096708739267</v>
      </c>
      <c r="J1280">
        <v>69.83794744138622</v>
      </c>
      <c r="K1280">
        <v>69.296000528749687</v>
      </c>
      <c r="L1280">
        <v>38.867945767980657</v>
      </c>
      <c r="M1280">
        <v>57.775478689479854</v>
      </c>
      <c r="N1280">
        <v>46.398696899570169</v>
      </c>
      <c r="O1280">
        <v>51.19384479036782</v>
      </c>
      <c r="P1280">
        <v>73.836118750960253</v>
      </c>
      <c r="Q1280">
        <v>46.358243601667255</v>
      </c>
      <c r="R1280">
        <v>43.931112368109076</v>
      </c>
      <c r="S1280">
        <v>37.315360478666655</v>
      </c>
      <c r="T1280">
        <v>75.76462391204025</v>
      </c>
      <c r="U1280">
        <f t="shared" si="150"/>
        <v>53.368373340409093</v>
      </c>
      <c r="V1280" t="str">
        <f t="shared" si="147"/>
        <v>2022/23Expenditure driversOperational supportDNO Baseline</v>
      </c>
    </row>
    <row r="1281" spans="1:22">
      <c r="A1281" s="900" t="s">
        <v>137</v>
      </c>
      <c r="B1281" s="900"/>
      <c r="C1281" s="900" t="s">
        <v>1344</v>
      </c>
      <c r="D1281" t="s">
        <v>55</v>
      </c>
      <c r="E1281" t="s">
        <v>1349</v>
      </c>
      <c r="F1281" t="s">
        <v>1289</v>
      </c>
      <c r="G1281" cm="1">
        <f t="array" ref="G1281:T1287">TRANSPOSE('Ch4 expenditure drivers'!W231:AC244)</f>
        <v>51.431221165101284</v>
      </c>
      <c r="H1281">
        <v>42.294347443189707</v>
      </c>
      <c r="I1281">
        <v>48.795576220835301</v>
      </c>
      <c r="J1281">
        <v>82.401884556706364</v>
      </c>
      <c r="K1281">
        <v>83.104239788307595</v>
      </c>
      <c r="L1281">
        <v>39.435279275959488</v>
      </c>
      <c r="M1281">
        <v>62.116819611229104</v>
      </c>
      <c r="N1281">
        <v>51.82850539585089</v>
      </c>
      <c r="O1281">
        <v>51.129429580696829</v>
      </c>
      <c r="P1281">
        <v>82.044010542616022</v>
      </c>
      <c r="Q1281">
        <v>57.679157975293116</v>
      </c>
      <c r="R1281">
        <v>65.684032251099978</v>
      </c>
      <c r="S1281">
        <v>41.281840263960255</v>
      </c>
      <c r="T1281">
        <v>78.651261106660115</v>
      </c>
      <c r="U1281">
        <f t="shared" si="150"/>
        <v>59.848400369821853</v>
      </c>
      <c r="V1281" t="str">
        <f t="shared" si="147"/>
        <v>2015/16Expenditure driversOperational supportDNO Actual</v>
      </c>
    </row>
    <row r="1282" spans="1:22">
      <c r="A1282" s="900" t="s">
        <v>138</v>
      </c>
      <c r="B1282" s="900"/>
      <c r="C1282" s="900" t="s">
        <v>1344</v>
      </c>
      <c r="D1282" t="s">
        <v>55</v>
      </c>
      <c r="E1282" t="s">
        <v>1349</v>
      </c>
      <c r="F1282" t="s">
        <v>1289</v>
      </c>
      <c r="G1282">
        <v>50.908007114322672</v>
      </c>
      <c r="H1282">
        <v>42.302549186528964</v>
      </c>
      <c r="I1282">
        <v>48.528332392581909</v>
      </c>
      <c r="J1282">
        <v>81.207292199764524</v>
      </c>
      <c r="K1282">
        <v>81.624139085708237</v>
      </c>
      <c r="L1282">
        <v>39.372069039820069</v>
      </c>
      <c r="M1282">
        <v>60.937026220414197</v>
      </c>
      <c r="N1282">
        <v>56.459205718884647</v>
      </c>
      <c r="O1282">
        <v>54.269374034351934</v>
      </c>
      <c r="P1282">
        <v>85.510177223907093</v>
      </c>
      <c r="Q1282">
        <v>55.504923007240741</v>
      </c>
      <c r="R1282">
        <v>61.80436514345363</v>
      </c>
      <c r="S1282">
        <v>46.099323608250238</v>
      </c>
      <c r="T1282">
        <v>86.906602717342224</v>
      </c>
      <c r="U1282">
        <f t="shared" si="150"/>
        <v>60.816670478040798</v>
      </c>
      <c r="V1282" t="str">
        <f t="shared" si="147"/>
        <v>2016/17Expenditure driversOperational supportDNO Actual</v>
      </c>
    </row>
    <row r="1283" spans="1:22">
      <c r="A1283" s="900" t="s">
        <v>139</v>
      </c>
      <c r="B1283" s="900"/>
      <c r="C1283" s="900" t="s">
        <v>1344</v>
      </c>
      <c r="D1283" t="s">
        <v>55</v>
      </c>
      <c r="E1283" t="s">
        <v>1349</v>
      </c>
      <c r="F1283" t="s">
        <v>1289</v>
      </c>
      <c r="G1283">
        <v>53.16366551637195</v>
      </c>
      <c r="H1283">
        <v>39.821970946587101</v>
      </c>
      <c r="I1283">
        <v>48.310048464418202</v>
      </c>
      <c r="J1283">
        <v>79.619155401079624</v>
      </c>
      <c r="K1283">
        <v>79.035340828931837</v>
      </c>
      <c r="L1283">
        <v>38.299956363583448</v>
      </c>
      <c r="M1283">
        <v>57.064535433672368</v>
      </c>
      <c r="N1283">
        <v>67.471435050384144</v>
      </c>
      <c r="O1283">
        <v>58.471107455279856</v>
      </c>
      <c r="P1283">
        <v>98.828517883219817</v>
      </c>
      <c r="Q1283">
        <v>66.533817543441415</v>
      </c>
      <c r="R1283">
        <v>69.08113607471978</v>
      </c>
      <c r="S1283">
        <v>48.223851989132925</v>
      </c>
      <c r="T1283">
        <v>91.549855076053433</v>
      </c>
      <c r="U1283">
        <f t="shared" si="150"/>
        <v>63.962456716205409</v>
      </c>
      <c r="V1283" t="str">
        <f t="shared" si="147"/>
        <v>2017/18Expenditure driversOperational supportDNO Actual</v>
      </c>
    </row>
    <row r="1284" spans="1:22">
      <c r="A1284" s="900" t="s">
        <v>140</v>
      </c>
      <c r="B1284" s="900"/>
      <c r="C1284" s="900" t="s">
        <v>1344</v>
      </c>
      <c r="D1284" t="s">
        <v>55</v>
      </c>
      <c r="E1284" t="s">
        <v>1349</v>
      </c>
      <c r="F1284" t="s">
        <v>1289</v>
      </c>
      <c r="G1284">
        <v>55.017974017569259</v>
      </c>
      <c r="H1284">
        <v>40.749813267732435</v>
      </c>
      <c r="I1284">
        <v>46.472736882226187</v>
      </c>
      <c r="J1284">
        <v>78.394115750349428</v>
      </c>
      <c r="K1284">
        <v>76.841774421477695</v>
      </c>
      <c r="L1284">
        <v>38.071571971140948</v>
      </c>
      <c r="M1284">
        <v>56.704939771556042</v>
      </c>
      <c r="N1284">
        <v>68.267438802147495</v>
      </c>
      <c r="O1284">
        <v>56.415662567976312</v>
      </c>
      <c r="P1284">
        <v>91.820310376487029</v>
      </c>
      <c r="Q1284">
        <v>62.138630168173954</v>
      </c>
      <c r="R1284">
        <v>60.94731394977866</v>
      </c>
      <c r="S1284">
        <v>49.965486285443134</v>
      </c>
      <c r="T1284">
        <v>87.551561805906431</v>
      </c>
      <c r="U1284">
        <f t="shared" si="150"/>
        <v>62.097095002711775</v>
      </c>
      <c r="V1284" t="str">
        <f t="shared" si="147"/>
        <v>2018/19Expenditure driversOperational supportDNO Actual</v>
      </c>
    </row>
    <row r="1285" spans="1:22">
      <c r="A1285" s="900" t="s">
        <v>141</v>
      </c>
      <c r="B1285" s="900"/>
      <c r="C1285" s="900" t="s">
        <v>1344</v>
      </c>
      <c r="D1285" t="s">
        <v>55</v>
      </c>
      <c r="E1285" t="s">
        <v>1349</v>
      </c>
      <c r="F1285" t="s">
        <v>1289</v>
      </c>
      <c r="G1285">
        <v>57.1706755855406</v>
      </c>
      <c r="H1285">
        <v>47.262575661218534</v>
      </c>
      <c r="I1285">
        <v>47.842654541854834</v>
      </c>
      <c r="J1285">
        <v>73.08394210609616</v>
      </c>
      <c r="K1285">
        <v>73.577590490706783</v>
      </c>
      <c r="L1285">
        <v>36.374316884689755</v>
      </c>
      <c r="M1285">
        <v>56.47954178955554</v>
      </c>
      <c r="N1285">
        <v>67.409370734199783</v>
      </c>
      <c r="O1285">
        <v>58.526552910240859</v>
      </c>
      <c r="P1285">
        <v>96.561883430393479</v>
      </c>
      <c r="Q1285">
        <v>57.840529764966206</v>
      </c>
      <c r="R1285">
        <v>60.087981156649946</v>
      </c>
      <c r="S1285">
        <v>51.291048759215634</v>
      </c>
      <c r="T1285">
        <v>88.368097349316542</v>
      </c>
      <c r="U1285">
        <f>AVERAGE(G1285:T1285)</f>
        <v>62.276911511760318</v>
      </c>
      <c r="V1285" t="str">
        <f t="shared" si="147"/>
        <v>2019/20Expenditure driversOperational supportDNO Actual</v>
      </c>
    </row>
    <row r="1286" spans="1:22">
      <c r="A1286" s="900" t="s">
        <v>126</v>
      </c>
      <c r="B1286" s="900"/>
      <c r="C1286" s="900" t="s">
        <v>1344</v>
      </c>
      <c r="D1286" t="s">
        <v>55</v>
      </c>
      <c r="E1286" t="s">
        <v>1349</v>
      </c>
      <c r="F1286" t="s">
        <v>1289</v>
      </c>
      <c r="G1286">
        <v>57.999999628731501</v>
      </c>
      <c r="H1286">
        <v>42.846483499083178</v>
      </c>
      <c r="I1286">
        <v>45.11648060662624</v>
      </c>
      <c r="J1286">
        <v>70.07869616918282</v>
      </c>
      <c r="K1286">
        <v>69.371372252496059</v>
      </c>
      <c r="L1286">
        <v>35.227735088572139</v>
      </c>
      <c r="M1286">
        <v>53.436116476695219</v>
      </c>
      <c r="N1286">
        <v>62.958776824851455</v>
      </c>
      <c r="O1286">
        <v>62.479959317903891</v>
      </c>
      <c r="P1286">
        <v>95.703986607844556</v>
      </c>
      <c r="Q1286">
        <v>58.845982526645194</v>
      </c>
      <c r="R1286">
        <v>58.35988737027165</v>
      </c>
      <c r="S1286">
        <v>49.643448111192427</v>
      </c>
      <c r="T1286">
        <v>93.059038582630066</v>
      </c>
      <c r="U1286">
        <f t="shared" ref="U1286:U1287" si="151">AVERAGE(G1286:T1286)</f>
        <v>61.080568790194739</v>
      </c>
      <c r="V1286" t="str">
        <f t="shared" ref="V1286" si="152">CONCATENATE(A1286,B1286,C1286,D1286,E1286)</f>
        <v>2020/21Expenditure driversOperational supportDNO Actual</v>
      </c>
    </row>
    <row r="1287" spans="1:22">
      <c r="A1287" s="900" t="s">
        <v>142</v>
      </c>
      <c r="B1287" s="900"/>
      <c r="C1287" s="900" t="s">
        <v>1344</v>
      </c>
      <c r="D1287" t="s">
        <v>55</v>
      </c>
      <c r="E1287" t="s">
        <v>1349</v>
      </c>
      <c r="F1287" t="s">
        <v>1289</v>
      </c>
      <c r="G1287">
        <v>60.381610863676769</v>
      </c>
      <c r="H1287">
        <v>39.23129479657031</v>
      </c>
      <c r="I1287">
        <v>45.052037215005988</v>
      </c>
      <c r="J1287">
        <v>69.809899999999985</v>
      </c>
      <c r="K1287">
        <v>68.353700000000003</v>
      </c>
      <c r="L1287">
        <v>35.818800000000003</v>
      </c>
      <c r="M1287">
        <v>53.139599999999994</v>
      </c>
      <c r="N1287">
        <v>63.725115674744757</v>
      </c>
      <c r="O1287">
        <v>57.000200434809699</v>
      </c>
      <c r="P1287">
        <v>101.1097913689681</v>
      </c>
      <c r="Q1287">
        <v>57.952652956293996</v>
      </c>
      <c r="R1287">
        <v>61.228443278367401</v>
      </c>
      <c r="S1287">
        <v>55.870046854485771</v>
      </c>
      <c r="T1287">
        <v>99.474058890313856</v>
      </c>
      <c r="U1287">
        <f t="shared" si="151"/>
        <v>62.010518023802611</v>
      </c>
      <c r="V1287" t="str">
        <f>CONCATENATE(A1287,B1287,C1287,D1287,E1287)</f>
        <v>2021/22Expenditure driversOperational supportDNO Actual</v>
      </c>
    </row>
    <row r="1288" spans="1:22">
      <c r="A1288" s="900" t="s">
        <v>137</v>
      </c>
      <c r="B1288" s="900"/>
      <c r="C1288" s="900" t="s">
        <v>1344</v>
      </c>
      <c r="D1288" t="s">
        <v>55</v>
      </c>
      <c r="E1288" t="s">
        <v>297</v>
      </c>
      <c r="F1288" t="s">
        <v>1289</v>
      </c>
      <c r="G1288">
        <f t="array" ref="G1288:T1291">TRANSPOSE('Ch4 expenditure drivers'!AF231:AI244)</f>
        <v>60.806570037842818</v>
      </c>
      <c r="H1288">
        <v>38.542920584186547</v>
      </c>
      <c r="I1288">
        <v>48.20966716079981</v>
      </c>
      <c r="J1288">
        <v>67.84005104149054</v>
      </c>
      <c r="K1288">
        <v>67.560774206357266</v>
      </c>
      <c r="L1288">
        <v>36.998458320049622</v>
      </c>
      <c r="M1288">
        <v>53.812400399583822</v>
      </c>
      <c r="N1288">
        <v>55.998198330495043</v>
      </c>
      <c r="O1288">
        <v>59.493356927471041</v>
      </c>
      <c r="P1288">
        <v>85.395926006736417</v>
      </c>
      <c r="Q1288">
        <v>48.949625968036138</v>
      </c>
      <c r="R1288">
        <v>48.673427954634811</v>
      </c>
      <c r="S1288">
        <v>38.654774261488789</v>
      </c>
      <c r="T1288">
        <v>78.548134001547155</v>
      </c>
      <c r="U1288">
        <f t="shared" si="150"/>
        <v>56.39173465719427</v>
      </c>
      <c r="V1288" t="str">
        <f t="shared" si="147"/>
        <v>2015/16Expenditure driversOperational supportAllowance</v>
      </c>
    </row>
    <row r="1289" spans="1:22">
      <c r="A1289" s="900" t="s">
        <v>137</v>
      </c>
      <c r="B1289" s="900"/>
      <c r="C1289" s="900" t="s">
        <v>1344</v>
      </c>
      <c r="D1289" t="s">
        <v>55</v>
      </c>
      <c r="E1289" t="s">
        <v>298</v>
      </c>
      <c r="F1289" t="s">
        <v>1289</v>
      </c>
      <c r="G1289">
        <v>51.431221165101284</v>
      </c>
      <c r="H1289">
        <v>42.294347443189707</v>
      </c>
      <c r="I1289">
        <v>48.795576220835301</v>
      </c>
      <c r="J1289">
        <v>82.401884556706364</v>
      </c>
      <c r="K1289">
        <v>83.104239788307595</v>
      </c>
      <c r="L1289">
        <v>39.435279275959488</v>
      </c>
      <c r="M1289">
        <v>62.116819611229104</v>
      </c>
      <c r="N1289">
        <v>51.82850539585089</v>
      </c>
      <c r="O1289">
        <v>51.129429580696829</v>
      </c>
      <c r="P1289">
        <v>82.044010542616022</v>
      </c>
      <c r="Q1289">
        <v>57.679157975293116</v>
      </c>
      <c r="R1289">
        <v>65.684032251099978</v>
      </c>
      <c r="S1289">
        <v>41.281840263960255</v>
      </c>
      <c r="T1289">
        <v>78.651261106660115</v>
      </c>
      <c r="U1289">
        <f t="shared" si="150"/>
        <v>59.848400369821853</v>
      </c>
      <c r="V1289" t="str">
        <f t="shared" si="147"/>
        <v>2015/16Expenditure driversOperational supportActual</v>
      </c>
    </row>
    <row r="1290" spans="1:22">
      <c r="A1290" s="900" t="s">
        <v>137</v>
      </c>
      <c r="B1290" s="900"/>
      <c r="C1290" s="900" t="s">
        <v>1344</v>
      </c>
      <c r="D1290" t="s">
        <v>55</v>
      </c>
      <c r="E1290" t="s">
        <v>602</v>
      </c>
      <c r="F1290" t="s">
        <v>1289</v>
      </c>
      <c r="G1290">
        <v>-9.3753488727415331</v>
      </c>
      <c r="H1290">
        <v>3.7514268590031605</v>
      </c>
      <c r="I1290">
        <v>0.58590906003549037</v>
      </c>
      <c r="J1290">
        <v>14.561833515215824</v>
      </c>
      <c r="K1290">
        <v>15.543465581950329</v>
      </c>
      <c r="L1290">
        <v>2.4368209559098659</v>
      </c>
      <c r="M1290">
        <v>8.304419211645282</v>
      </c>
      <c r="N1290">
        <v>-4.1696929346441536</v>
      </c>
      <c r="O1290">
        <v>-8.3639273467742115</v>
      </c>
      <c r="P1290">
        <v>-3.3519154641203954</v>
      </c>
      <c r="Q1290">
        <v>8.729532007256978</v>
      </c>
      <c r="R1290">
        <v>17.010604296465168</v>
      </c>
      <c r="S1290">
        <v>2.6270660024714658</v>
      </c>
      <c r="T1290">
        <v>0.10312710511296075</v>
      </c>
      <c r="U1290">
        <f>U1289-U1288</f>
        <v>3.4566657126275828</v>
      </c>
      <c r="V1290" t="str">
        <f t="shared" si="147"/>
        <v>2015/16Expenditure driversOperational supportDifference</v>
      </c>
    </row>
    <row r="1291" spans="1:22">
      <c r="A1291" s="900" t="s">
        <v>137</v>
      </c>
      <c r="B1291" s="900"/>
      <c r="C1291" s="900" t="s">
        <v>1344</v>
      </c>
      <c r="D1291" t="s">
        <v>55</v>
      </c>
      <c r="E1291" t="s">
        <v>1346</v>
      </c>
      <c r="F1291" t="s">
        <v>606</v>
      </c>
      <c r="G1291" s="829">
        <v>-0.15418315597980298</v>
      </c>
      <c r="H1291" s="829">
        <v>9.7331151924753265E-2</v>
      </c>
      <c r="I1291" s="829">
        <v>1.2153352108431565E-2</v>
      </c>
      <c r="J1291" s="829">
        <v>0.21464950706345873</v>
      </c>
      <c r="K1291" s="829">
        <v>0.23006642189259779</v>
      </c>
      <c r="L1291" s="829">
        <v>6.5862770141136992E-2</v>
      </c>
      <c r="M1291" s="829">
        <v>0.15432166470889314</v>
      </c>
      <c r="N1291" s="829">
        <v>-7.4461198019891581E-2</v>
      </c>
      <c r="O1291" s="829">
        <v>-0.1405859036828391</v>
      </c>
      <c r="P1291" s="829">
        <v>-3.9251468083570884E-2</v>
      </c>
      <c r="Q1291" s="829">
        <v>0.17833705231899666</v>
      </c>
      <c r="R1291" s="829">
        <v>0.34948441092580523</v>
      </c>
      <c r="S1291" s="829">
        <v>6.7962264756743773E-2</v>
      </c>
      <c r="T1291" s="829">
        <v>1.3129160408944848E-3</v>
      </c>
      <c r="U1291" s="829">
        <f>U1290/U1288</f>
        <v>6.1297382207528756E-2</v>
      </c>
      <c r="V1291" t="str">
        <f t="shared" si="147"/>
        <v>2015/16Expenditure driversOperational supportDifference %</v>
      </c>
    </row>
    <row r="1292" spans="1:22">
      <c r="A1292" s="900" t="s">
        <v>138</v>
      </c>
      <c r="B1292" s="900"/>
      <c r="C1292" s="900" t="s">
        <v>1344</v>
      </c>
      <c r="D1292" t="s">
        <v>55</v>
      </c>
      <c r="E1292" t="s">
        <v>297</v>
      </c>
      <c r="F1292" t="s">
        <v>1289</v>
      </c>
      <c r="G1292">
        <f t="array" ref="G1292:T1295">TRANSPOSE('Ch4 expenditure drivers'!AK231:AN244)</f>
        <v>58.556498175737616</v>
      </c>
      <c r="H1292">
        <v>38.501738298307764</v>
      </c>
      <c r="I1292">
        <v>47.66485281582888</v>
      </c>
      <c r="J1292">
        <v>67.401078247069989</v>
      </c>
      <c r="K1292">
        <v>67.203383215637245</v>
      </c>
      <c r="L1292">
        <v>37.725326918501501</v>
      </c>
      <c r="M1292">
        <v>54.35643530120192</v>
      </c>
      <c r="N1292">
        <v>54.099764247714916</v>
      </c>
      <c r="O1292">
        <v>58.498695014514588</v>
      </c>
      <c r="P1292">
        <v>83.027847520132724</v>
      </c>
      <c r="Q1292">
        <v>48.181038614302921</v>
      </c>
      <c r="R1292">
        <v>48.338198064192241</v>
      </c>
      <c r="S1292">
        <v>39.019051763258069</v>
      </c>
      <c r="T1292">
        <v>78.068239367901754</v>
      </c>
      <c r="U1292">
        <f t="shared" si="150"/>
        <v>55.760153397450154</v>
      </c>
      <c r="V1292" t="str">
        <f t="shared" si="147"/>
        <v>2016/17Expenditure driversOperational supportAllowance</v>
      </c>
    </row>
    <row r="1293" spans="1:22">
      <c r="A1293" s="900" t="s">
        <v>138</v>
      </c>
      <c r="B1293" s="900"/>
      <c r="C1293" s="900" t="s">
        <v>1344</v>
      </c>
      <c r="D1293" t="s">
        <v>55</v>
      </c>
      <c r="E1293" t="s">
        <v>298</v>
      </c>
      <c r="F1293" t="s">
        <v>1289</v>
      </c>
      <c r="G1293">
        <v>50.908007114322672</v>
      </c>
      <c r="H1293">
        <v>42.302549186528964</v>
      </c>
      <c r="I1293">
        <v>48.528332392581909</v>
      </c>
      <c r="J1293">
        <v>81.207292199764524</v>
      </c>
      <c r="K1293">
        <v>81.624139085708237</v>
      </c>
      <c r="L1293">
        <v>39.372069039820069</v>
      </c>
      <c r="M1293">
        <v>60.937026220414197</v>
      </c>
      <c r="N1293">
        <v>56.459205718884647</v>
      </c>
      <c r="O1293">
        <v>54.269374034351934</v>
      </c>
      <c r="P1293">
        <v>85.510177223907093</v>
      </c>
      <c r="Q1293">
        <v>55.504923007240741</v>
      </c>
      <c r="R1293">
        <v>61.80436514345363</v>
      </c>
      <c r="S1293">
        <v>46.099323608250238</v>
      </c>
      <c r="T1293">
        <v>86.906602717342224</v>
      </c>
      <c r="U1293">
        <f t="shared" si="150"/>
        <v>60.816670478040798</v>
      </c>
      <c r="V1293" t="str">
        <f t="shared" si="147"/>
        <v>2016/17Expenditure driversOperational supportActual</v>
      </c>
    </row>
    <row r="1294" spans="1:22">
      <c r="A1294" s="900" t="s">
        <v>138</v>
      </c>
      <c r="B1294" s="900"/>
      <c r="C1294" s="900" t="s">
        <v>1344</v>
      </c>
      <c r="D1294" t="s">
        <v>55</v>
      </c>
      <c r="E1294" t="s">
        <v>602</v>
      </c>
      <c r="F1294" t="s">
        <v>1289</v>
      </c>
      <c r="G1294">
        <v>-7.6484910614149442</v>
      </c>
      <c r="H1294">
        <v>3.8008108882211999</v>
      </c>
      <c r="I1294">
        <v>0.86347957675302922</v>
      </c>
      <c r="J1294">
        <v>13.806213952694534</v>
      </c>
      <c r="K1294">
        <v>14.420755870070991</v>
      </c>
      <c r="L1294">
        <v>1.6467421213185673</v>
      </c>
      <c r="M1294">
        <v>6.5805909192122769</v>
      </c>
      <c r="N1294">
        <v>2.3594414711697311</v>
      </c>
      <c r="O1294">
        <v>-4.2293209801626546</v>
      </c>
      <c r="P1294">
        <v>2.4823297037743686</v>
      </c>
      <c r="Q1294">
        <v>7.3238843929378206</v>
      </c>
      <c r="R1294">
        <v>13.466167079261389</v>
      </c>
      <c r="S1294">
        <v>7.0802718449921684</v>
      </c>
      <c r="T1294">
        <v>8.8383633494404705</v>
      </c>
      <c r="U1294">
        <f>U1293-U1292</f>
        <v>5.0565170805906448</v>
      </c>
      <c r="V1294" t="str">
        <f t="shared" si="147"/>
        <v>2016/17Expenditure driversOperational supportDifference</v>
      </c>
    </row>
    <row r="1295" spans="1:22">
      <c r="A1295" s="900" t="s">
        <v>138</v>
      </c>
      <c r="B1295" s="900"/>
      <c r="C1295" s="900" t="s">
        <v>1344</v>
      </c>
      <c r="D1295" t="s">
        <v>55</v>
      </c>
      <c r="E1295" t="s">
        <v>1346</v>
      </c>
      <c r="F1295" t="s">
        <v>606</v>
      </c>
      <c r="G1295" s="829">
        <v>-0.13061728927950189</v>
      </c>
      <c r="H1295" s="829">
        <v>9.8717903559908976E-2</v>
      </c>
      <c r="I1295" s="829">
        <v>1.8115645506961028E-2</v>
      </c>
      <c r="J1295" s="829">
        <v>0.20483669270223742</v>
      </c>
      <c r="K1295" s="829">
        <v>0.21458377807853418</v>
      </c>
      <c r="L1295" s="829">
        <v>4.3650837668711133E-2</v>
      </c>
      <c r="M1295" s="829">
        <v>0.12106369526897155</v>
      </c>
      <c r="N1295" s="829">
        <v>4.3612786561623325E-2</v>
      </c>
      <c r="O1295" s="829">
        <v>-7.2297697907847056E-2</v>
      </c>
      <c r="P1295" s="829">
        <v>2.9897555795029486E-2</v>
      </c>
      <c r="Q1295" s="829">
        <v>0.15200760721591561</v>
      </c>
      <c r="R1295" s="829">
        <v>0.27858231416443296</v>
      </c>
      <c r="S1295" s="829">
        <v>0.1814567890565511</v>
      </c>
      <c r="T1295" s="829">
        <v>0.11321330442446764</v>
      </c>
      <c r="U1295" s="829">
        <f>U1294/U1292</f>
        <v>9.0683342360063757E-2</v>
      </c>
      <c r="V1295" t="str">
        <f t="shared" si="147"/>
        <v>2016/17Expenditure driversOperational supportDifference %</v>
      </c>
    </row>
    <row r="1296" spans="1:22">
      <c r="A1296" s="900" t="s">
        <v>139</v>
      </c>
      <c r="B1296" s="900"/>
      <c r="C1296" s="900" t="s">
        <v>1344</v>
      </c>
      <c r="D1296" t="s">
        <v>55</v>
      </c>
      <c r="E1296" t="s">
        <v>297</v>
      </c>
      <c r="F1296" t="s">
        <v>1289</v>
      </c>
      <c r="G1296">
        <f t="array" ref="G1296:T1299">TRANSPOSE('Ch4 expenditure drivers'!AP231:AS244)</f>
        <v>57.641520707235799</v>
      </c>
      <c r="H1296">
        <v>38.517277819671804</v>
      </c>
      <c r="I1296">
        <v>47.639384165445989</v>
      </c>
      <c r="J1296">
        <v>67.044400484970822</v>
      </c>
      <c r="K1296">
        <v>66.73887561552506</v>
      </c>
      <c r="L1296">
        <v>37.396164238028511</v>
      </c>
      <c r="M1296">
        <v>54.886382200763151</v>
      </c>
      <c r="N1296">
        <v>51.767472589994703</v>
      </c>
      <c r="O1296">
        <v>56.021798612308601</v>
      </c>
      <c r="P1296">
        <v>80.421742291791034</v>
      </c>
      <c r="Q1296">
        <v>47.70039945810165</v>
      </c>
      <c r="R1296">
        <v>46.552048884609015</v>
      </c>
      <c r="S1296">
        <v>38.802907054998776</v>
      </c>
      <c r="T1296">
        <v>78.407828861932131</v>
      </c>
      <c r="U1296">
        <f t="shared" si="150"/>
        <v>54.9670144989555</v>
      </c>
      <c r="V1296" t="str">
        <f t="shared" si="147"/>
        <v>2017/18Expenditure driversOperational supportAllowance</v>
      </c>
    </row>
    <row r="1297" spans="1:22">
      <c r="A1297" s="900" t="s">
        <v>139</v>
      </c>
      <c r="B1297" s="900"/>
      <c r="C1297" s="900" t="s">
        <v>1344</v>
      </c>
      <c r="D1297" t="s">
        <v>55</v>
      </c>
      <c r="E1297" t="s">
        <v>298</v>
      </c>
      <c r="F1297" t="s">
        <v>1289</v>
      </c>
      <c r="G1297">
        <v>53.16366551637195</v>
      </c>
      <c r="H1297">
        <v>39.821970946587101</v>
      </c>
      <c r="I1297">
        <v>48.310048464418202</v>
      </c>
      <c r="J1297">
        <v>79.619155401079624</v>
      </c>
      <c r="K1297">
        <v>79.035340828931837</v>
      </c>
      <c r="L1297">
        <v>38.299956363583448</v>
      </c>
      <c r="M1297">
        <v>57.064535433672368</v>
      </c>
      <c r="N1297">
        <v>67.471435050384144</v>
      </c>
      <c r="O1297">
        <v>58.471107455279856</v>
      </c>
      <c r="P1297">
        <v>98.828517883219817</v>
      </c>
      <c r="Q1297">
        <v>66.533817543441415</v>
      </c>
      <c r="R1297">
        <v>69.08113607471978</v>
      </c>
      <c r="S1297">
        <v>48.223851989132925</v>
      </c>
      <c r="T1297">
        <v>91.549855076053433</v>
      </c>
      <c r="U1297">
        <f t="shared" si="150"/>
        <v>63.962456716205409</v>
      </c>
      <c r="V1297" t="str">
        <f t="shared" si="147"/>
        <v>2017/18Expenditure driversOperational supportActual</v>
      </c>
    </row>
    <row r="1298" spans="1:22">
      <c r="A1298" s="900" t="s">
        <v>139</v>
      </c>
      <c r="B1298" s="900"/>
      <c r="C1298" s="900" t="s">
        <v>1344</v>
      </c>
      <c r="D1298" t="s">
        <v>55</v>
      </c>
      <c r="E1298" t="s">
        <v>602</v>
      </c>
      <c r="F1298" t="s">
        <v>1289</v>
      </c>
      <c r="G1298">
        <v>-4.4778551908638491</v>
      </c>
      <c r="H1298">
        <v>1.3046931269152964</v>
      </c>
      <c r="I1298">
        <v>0.67066429897221269</v>
      </c>
      <c r="J1298">
        <v>12.574754916108802</v>
      </c>
      <c r="K1298">
        <v>12.296465213406776</v>
      </c>
      <c r="L1298">
        <v>0.90379212555493638</v>
      </c>
      <c r="M1298">
        <v>2.1781532329092173</v>
      </c>
      <c r="N1298">
        <v>15.703962460389441</v>
      </c>
      <c r="O1298">
        <v>2.4493088429712557</v>
      </c>
      <c r="P1298">
        <v>18.406775591428783</v>
      </c>
      <c r="Q1298">
        <v>18.833418085339765</v>
      </c>
      <c r="R1298">
        <v>22.529087190110765</v>
      </c>
      <c r="S1298">
        <v>9.4209449341341482</v>
      </c>
      <c r="T1298">
        <v>13.142026214121302</v>
      </c>
      <c r="U1298">
        <f>U1297-U1296</f>
        <v>8.9954422172499093</v>
      </c>
      <c r="V1298" t="str">
        <f t="shared" si="147"/>
        <v>2017/18Expenditure driversOperational supportDifference</v>
      </c>
    </row>
    <row r="1299" spans="1:22">
      <c r="A1299" s="900" t="s">
        <v>139</v>
      </c>
      <c r="B1299" s="900"/>
      <c r="C1299" s="900" t="s">
        <v>1344</v>
      </c>
      <c r="D1299" t="s">
        <v>55</v>
      </c>
      <c r="E1299" t="s">
        <v>1346</v>
      </c>
      <c r="F1299" t="s">
        <v>606</v>
      </c>
      <c r="G1299" s="829">
        <v>-7.7684542946170734E-2</v>
      </c>
      <c r="H1299" s="829">
        <v>3.3872931857322347E-2</v>
      </c>
      <c r="I1299" s="829">
        <v>1.4077938048969615E-2</v>
      </c>
      <c r="J1299" s="829">
        <v>0.18755861526314421</v>
      </c>
      <c r="K1299" s="829">
        <v>0.18424741352019908</v>
      </c>
      <c r="L1299" s="829">
        <v>2.416804354056884E-2</v>
      </c>
      <c r="M1299" s="829">
        <v>3.9684765976048093E-2</v>
      </c>
      <c r="N1299" s="829">
        <v>0.30335578838795013</v>
      </c>
      <c r="O1299" s="829">
        <v>4.3720639173357702E-2</v>
      </c>
      <c r="P1299" s="829">
        <v>0.22887810021131108</v>
      </c>
      <c r="Q1299" s="829">
        <v>0.39482726139185431</v>
      </c>
      <c r="R1299" s="829">
        <v>0.48395479318117202</v>
      </c>
      <c r="S1299" s="829">
        <v>0.24278966833028809</v>
      </c>
      <c r="T1299" s="829">
        <v>0.16761114808143732</v>
      </c>
      <c r="U1299" s="829">
        <f>U1298/U1296</f>
        <v>0.16365164270329516</v>
      </c>
      <c r="V1299" t="str">
        <f t="shared" si="147"/>
        <v>2017/18Expenditure driversOperational supportDifference %</v>
      </c>
    </row>
    <row r="1300" spans="1:22">
      <c r="A1300" s="900" t="s">
        <v>140</v>
      </c>
      <c r="B1300" s="900"/>
      <c r="C1300" s="900" t="s">
        <v>1344</v>
      </c>
      <c r="D1300" t="s">
        <v>55</v>
      </c>
      <c r="E1300" t="s">
        <v>297</v>
      </c>
      <c r="F1300" t="s">
        <v>1289</v>
      </c>
      <c r="G1300">
        <f t="array" ref="G1300:T1303">TRANSPOSE('Ch4 expenditure drivers'!AU231:AX244)</f>
        <v>57.475149951480923</v>
      </c>
      <c r="H1300">
        <v>38.693921217403229</v>
      </c>
      <c r="I1300">
        <v>48.064229587721677</v>
      </c>
      <c r="J1300">
        <v>67.323772361112376</v>
      </c>
      <c r="K1300">
        <v>66.979275185896299</v>
      </c>
      <c r="L1300">
        <v>38.00046470204326</v>
      </c>
      <c r="M1300">
        <v>55.154309670984354</v>
      </c>
      <c r="N1300">
        <v>51.525393272475284</v>
      </c>
      <c r="O1300">
        <v>55.239120995821104</v>
      </c>
      <c r="P1300">
        <v>80.238560144804751</v>
      </c>
      <c r="Q1300">
        <v>47.116650284881594</v>
      </c>
      <c r="R1300">
        <v>44.900316127784201</v>
      </c>
      <c r="S1300">
        <v>39.013609725504061</v>
      </c>
      <c r="T1300">
        <v>78.264776926392074</v>
      </c>
      <c r="U1300">
        <f>AVERAGE(G1300:T1300)</f>
        <v>54.856396439593233</v>
      </c>
      <c r="V1300" t="str">
        <f t="shared" si="147"/>
        <v>2018/19Expenditure driversOperational supportAllowance</v>
      </c>
    </row>
    <row r="1301" spans="1:22">
      <c r="A1301" s="900" t="s">
        <v>140</v>
      </c>
      <c r="B1301" s="900"/>
      <c r="C1301" s="900" t="s">
        <v>1344</v>
      </c>
      <c r="D1301" t="s">
        <v>55</v>
      </c>
      <c r="E1301" t="s">
        <v>298</v>
      </c>
      <c r="F1301" t="s">
        <v>1289</v>
      </c>
      <c r="G1301">
        <v>55.017974017569259</v>
      </c>
      <c r="H1301">
        <v>40.749813267732435</v>
      </c>
      <c r="I1301">
        <v>46.472736882226187</v>
      </c>
      <c r="J1301">
        <v>78.394115750349428</v>
      </c>
      <c r="K1301">
        <v>76.841774421477695</v>
      </c>
      <c r="L1301">
        <v>38.071571971140948</v>
      </c>
      <c r="M1301">
        <v>56.704939771556042</v>
      </c>
      <c r="N1301">
        <v>68.267438802147495</v>
      </c>
      <c r="O1301">
        <v>56.415662567976312</v>
      </c>
      <c r="P1301">
        <v>91.820310376487029</v>
      </c>
      <c r="Q1301">
        <v>62.138630168173954</v>
      </c>
      <c r="R1301">
        <v>60.94731394977866</v>
      </c>
      <c r="S1301">
        <v>49.965486285443134</v>
      </c>
      <c r="T1301">
        <v>87.551561805906431</v>
      </c>
      <c r="U1301">
        <f>AVERAGE(G1301:T1301)</f>
        <v>62.097095002711775</v>
      </c>
      <c r="V1301" t="str">
        <f t="shared" si="147"/>
        <v>2018/19Expenditure driversOperational supportActual</v>
      </c>
    </row>
    <row r="1302" spans="1:22">
      <c r="A1302" s="900" t="s">
        <v>140</v>
      </c>
      <c r="B1302" s="900"/>
      <c r="C1302" s="900" t="s">
        <v>1344</v>
      </c>
      <c r="D1302" t="s">
        <v>55</v>
      </c>
      <c r="E1302" t="s">
        <v>602</v>
      </c>
      <c r="F1302" t="s">
        <v>1289</v>
      </c>
      <c r="G1302">
        <v>-2.4571759339116639</v>
      </c>
      <c r="H1302">
        <v>2.0558920503292057</v>
      </c>
      <c r="I1302">
        <v>-1.5914927054954902</v>
      </c>
      <c r="J1302">
        <v>11.070343389237053</v>
      </c>
      <c r="K1302">
        <v>9.8624992355813959</v>
      </c>
      <c r="L1302">
        <v>7.110726909768772E-2</v>
      </c>
      <c r="M1302">
        <v>1.5506301005716878</v>
      </c>
      <c r="N1302">
        <v>16.742045529672211</v>
      </c>
      <c r="O1302">
        <v>1.1765415721552088</v>
      </c>
      <c r="P1302">
        <v>11.581750231682278</v>
      </c>
      <c r="Q1302">
        <v>15.02197988329236</v>
      </c>
      <c r="R1302">
        <v>16.046997821994459</v>
      </c>
      <c r="S1302">
        <v>10.951876559939073</v>
      </c>
      <c r="T1302">
        <v>9.2867848795143573</v>
      </c>
      <c r="U1302">
        <f>U1301-U1300</f>
        <v>7.2406985631185421</v>
      </c>
      <c r="V1302" t="str">
        <f t="shared" si="147"/>
        <v>2018/19Expenditure driversOperational supportDifference</v>
      </c>
    </row>
    <row r="1303" spans="1:22">
      <c r="A1303" s="900" t="s">
        <v>140</v>
      </c>
      <c r="B1303" s="900"/>
      <c r="C1303" s="900" t="s">
        <v>1344</v>
      </c>
      <c r="D1303" t="s">
        <v>55</v>
      </c>
      <c r="E1303" t="s">
        <v>1346</v>
      </c>
      <c r="F1303" t="s">
        <v>606</v>
      </c>
      <c r="G1303" s="829">
        <v>-4.2751970825408027E-2</v>
      </c>
      <c r="H1303" s="829">
        <v>5.3132171298383025E-2</v>
      </c>
      <c r="I1303" s="829">
        <v>-3.3111790600759937E-2</v>
      </c>
      <c r="J1303" s="829">
        <v>0.16443438923561443</v>
      </c>
      <c r="K1303" s="829">
        <v>0.14724702840107956</v>
      </c>
      <c r="L1303" s="829">
        <v>1.8712210404591271E-3</v>
      </c>
      <c r="M1303" s="829">
        <v>2.8114395952406331E-2</v>
      </c>
      <c r="N1303" s="829">
        <v>0.32492804938212405</v>
      </c>
      <c r="O1303" s="829">
        <v>2.1299063977578778E-2</v>
      </c>
      <c r="P1303" s="829">
        <v>0.14434145142660773</v>
      </c>
      <c r="Q1303" s="829">
        <v>0.31882529408319354</v>
      </c>
      <c r="R1303" s="829">
        <v>0.35739164455603062</v>
      </c>
      <c r="S1303" s="829">
        <v>0.28071938579883804</v>
      </c>
      <c r="T1303" s="829">
        <v>0.11865854914847029</v>
      </c>
      <c r="U1303" s="829">
        <f>U1302/U1300</f>
        <v>0.13199369687164658</v>
      </c>
      <c r="V1303" t="str">
        <f t="shared" si="147"/>
        <v>2018/19Expenditure driversOperational supportDifference %</v>
      </c>
    </row>
    <row r="1304" spans="1:22">
      <c r="A1304" s="900" t="s">
        <v>141</v>
      </c>
      <c r="B1304" s="900"/>
      <c r="C1304" s="900" t="s">
        <v>1344</v>
      </c>
      <c r="D1304" t="s">
        <v>55</v>
      </c>
      <c r="E1304" t="s">
        <v>297</v>
      </c>
      <c r="F1304" t="s">
        <v>1289</v>
      </c>
      <c r="G1304" s="229">
        <f t="array" ref="G1304:T1307">TRANSPOSE('Ch4 expenditure drivers'!AZ231:BC244)</f>
        <v>56.607426944277059</v>
      </c>
      <c r="H1304" s="229">
        <v>38.351270014377761</v>
      </c>
      <c r="I1304" s="229">
        <v>47.301363300302299</v>
      </c>
      <c r="J1304" s="229">
        <v>68.203228603306442</v>
      </c>
      <c r="K1304" s="229">
        <v>67.727537549307812</v>
      </c>
      <c r="L1304" s="229">
        <v>37.905501961361331</v>
      </c>
      <c r="M1304" s="229">
        <v>55.572270268782226</v>
      </c>
      <c r="N1304" s="229">
        <v>50.541274836957768</v>
      </c>
      <c r="O1304" s="229">
        <v>53.72207341812117</v>
      </c>
      <c r="P1304" s="229">
        <v>78.432852626047904</v>
      </c>
      <c r="Q1304" s="229">
        <v>46.998735272872203</v>
      </c>
      <c r="R1304" s="229">
        <v>44.78223167948277</v>
      </c>
      <c r="S1304" s="229">
        <v>38.082743216446097</v>
      </c>
      <c r="T1304" s="229">
        <v>77.8598598933049</v>
      </c>
      <c r="U1304">
        <f>AVERAGE(G1304:T1304)</f>
        <v>54.434883541781979</v>
      </c>
      <c r="V1304" t="str">
        <f t="shared" si="147"/>
        <v>2019/20Expenditure driversOperational supportAllowance</v>
      </c>
    </row>
    <row r="1305" spans="1:22">
      <c r="A1305" s="900" t="s">
        <v>141</v>
      </c>
      <c r="B1305" s="900"/>
      <c r="C1305" s="900" t="s">
        <v>1344</v>
      </c>
      <c r="D1305" t="s">
        <v>55</v>
      </c>
      <c r="E1305" t="s">
        <v>298</v>
      </c>
      <c r="F1305" t="s">
        <v>1289</v>
      </c>
      <c r="G1305" s="229">
        <v>57.1706755855406</v>
      </c>
      <c r="H1305" s="229">
        <v>47.262575661218534</v>
      </c>
      <c r="I1305" s="229">
        <v>47.842654541854834</v>
      </c>
      <c r="J1305" s="229">
        <v>73.08394210609616</v>
      </c>
      <c r="K1305" s="229">
        <v>73.577590490706783</v>
      </c>
      <c r="L1305" s="229">
        <v>36.374316884689755</v>
      </c>
      <c r="M1305" s="229">
        <v>56.47954178955554</v>
      </c>
      <c r="N1305" s="229">
        <v>67.409370734199783</v>
      </c>
      <c r="O1305" s="229">
        <v>58.526552910240859</v>
      </c>
      <c r="P1305" s="229">
        <v>96.561883430393479</v>
      </c>
      <c r="Q1305" s="229">
        <v>57.840529764966206</v>
      </c>
      <c r="R1305" s="229">
        <v>60.087981156649946</v>
      </c>
      <c r="S1305" s="229">
        <v>51.291048759215634</v>
      </c>
      <c r="T1305" s="229">
        <v>88.368097349316542</v>
      </c>
      <c r="U1305">
        <f>AVERAGE(G1305:T1305)</f>
        <v>62.276911511760318</v>
      </c>
      <c r="V1305" t="str">
        <f t="shared" ref="V1305:V1377" si="153">CONCATENATE(A1305,B1305,C1305,D1305,E1305)</f>
        <v>2019/20Expenditure driversOperational supportActual</v>
      </c>
    </row>
    <row r="1306" spans="1:22">
      <c r="A1306" s="900" t="s">
        <v>141</v>
      </c>
      <c r="B1306" s="900"/>
      <c r="C1306" s="900" t="s">
        <v>1344</v>
      </c>
      <c r="D1306" t="s">
        <v>55</v>
      </c>
      <c r="E1306" t="s">
        <v>602</v>
      </c>
      <c r="F1306" t="s">
        <v>1289</v>
      </c>
      <c r="G1306" s="229">
        <v>0.56324864126354157</v>
      </c>
      <c r="H1306" s="229">
        <v>8.9113056468407734</v>
      </c>
      <c r="I1306" s="229">
        <v>0.5412912415525355</v>
      </c>
      <c r="J1306" s="229">
        <v>4.8807135027897175</v>
      </c>
      <c r="K1306" s="229">
        <v>5.850052941398971</v>
      </c>
      <c r="L1306" s="229">
        <v>-1.5311850766715764</v>
      </c>
      <c r="M1306" s="229">
        <v>0.90727152077331397</v>
      </c>
      <c r="N1306" s="229">
        <v>16.868095897242014</v>
      </c>
      <c r="O1306" s="229">
        <v>4.8044794921196896</v>
      </c>
      <c r="P1306" s="229">
        <v>18.129030804345575</v>
      </c>
      <c r="Q1306" s="229">
        <v>10.841794492094003</v>
      </c>
      <c r="R1306" s="229">
        <v>15.305749477167176</v>
      </c>
      <c r="S1306" s="229">
        <v>13.208305542769537</v>
      </c>
      <c r="T1306" s="229">
        <v>10.508237456011642</v>
      </c>
      <c r="U1306">
        <f>U1305-U1304</f>
        <v>7.8420279699783393</v>
      </c>
      <c r="V1306" t="str">
        <f t="shared" si="153"/>
        <v>2019/20Expenditure driversOperational supportDifference</v>
      </c>
    </row>
    <row r="1307" spans="1:22">
      <c r="A1307" s="900" t="s">
        <v>141</v>
      </c>
      <c r="B1307" s="900"/>
      <c r="C1307" s="900" t="s">
        <v>1344</v>
      </c>
      <c r="D1307" t="s">
        <v>55</v>
      </c>
      <c r="E1307" t="s">
        <v>1346</v>
      </c>
      <c r="F1307" t="s">
        <v>606</v>
      </c>
      <c r="G1307" s="829">
        <v>9.9500837905596648E-3</v>
      </c>
      <c r="H1307" s="829">
        <v>0.23236011854366115</v>
      </c>
      <c r="I1307" s="829">
        <v>1.1443459633838422E-2</v>
      </c>
      <c r="J1307" s="829">
        <v>7.1561326387899235E-2</v>
      </c>
      <c r="K1307" s="829">
        <v>8.6376282869282603E-2</v>
      </c>
      <c r="L1307" s="829">
        <v>-4.0394797521277455E-2</v>
      </c>
      <c r="M1307" s="829">
        <v>1.6325975461955789E-2</v>
      </c>
      <c r="N1307" s="829">
        <v>0.33374892009861606</v>
      </c>
      <c r="O1307" s="829">
        <v>8.9432130713314476E-2</v>
      </c>
      <c r="P1307" s="829">
        <v>0.23114078090186463</v>
      </c>
      <c r="Q1307" s="829">
        <v>0.23068268601584938</v>
      </c>
      <c r="R1307" s="829">
        <v>0.34178174921504839</v>
      </c>
      <c r="S1307" s="829">
        <v>0.3468317780496839</v>
      </c>
      <c r="T1307" s="829">
        <v>0.13496347759181154</v>
      </c>
      <c r="U1307" s="829">
        <f>U1306/U1304</f>
        <v>0.14406254702389729</v>
      </c>
      <c r="V1307" t="str">
        <f t="shared" si="153"/>
        <v>2019/20Expenditure driversOperational supportDifference %</v>
      </c>
    </row>
    <row r="1308" spans="1:22">
      <c r="A1308" s="900" t="s">
        <v>126</v>
      </c>
      <c r="B1308" s="900"/>
      <c r="C1308" s="900" t="s">
        <v>1344</v>
      </c>
      <c r="D1308" t="s">
        <v>55</v>
      </c>
      <c r="E1308" t="s">
        <v>297</v>
      </c>
      <c r="F1308" t="s">
        <v>1289</v>
      </c>
      <c r="G1308" s="229" cm="1">
        <f t="array" ref="G1308:T1311">TRANSPOSE('Ch4 expenditure drivers'!BE231:BH244)</f>
        <v>56.796490869677207</v>
      </c>
      <c r="H1308" s="829">
        <v>37.61163695908413</v>
      </c>
      <c r="I1308" s="829">
        <v>46.500073210736922</v>
      </c>
      <c r="J1308" s="829">
        <v>68.832658749280256</v>
      </c>
      <c r="K1308" s="829">
        <v>68.063068970337028</v>
      </c>
      <c r="L1308" s="829">
        <v>38.532511672834815</v>
      </c>
      <c r="M1308" s="829">
        <v>56.746187344990759</v>
      </c>
      <c r="N1308" s="829">
        <v>49.173459386207838</v>
      </c>
      <c r="O1308" s="829">
        <v>52.575125939584154</v>
      </c>
      <c r="P1308" s="829">
        <v>76.045706250040155</v>
      </c>
      <c r="Q1308" s="829">
        <v>46.897385695382674</v>
      </c>
      <c r="R1308" s="829">
        <v>43.68658094498592</v>
      </c>
      <c r="S1308" s="829">
        <v>37.772145170800108</v>
      </c>
      <c r="T1308" s="829">
        <v>76.875397724105113</v>
      </c>
      <c r="U1308">
        <f>AVERAGE(G1308:T1308)</f>
        <v>54.007744920574794</v>
      </c>
      <c r="V1308" t="str">
        <f t="shared" si="153"/>
        <v>2020/21Expenditure driversOperational supportAllowance</v>
      </c>
    </row>
    <row r="1309" spans="1:22">
      <c r="A1309" s="900" t="s">
        <v>126</v>
      </c>
      <c r="B1309" s="900"/>
      <c r="C1309" s="900" t="s">
        <v>1344</v>
      </c>
      <c r="D1309" t="s">
        <v>55</v>
      </c>
      <c r="E1309" t="s">
        <v>298</v>
      </c>
      <c r="F1309" t="s">
        <v>1289</v>
      </c>
      <c r="G1309" s="229">
        <v>57.999999628731501</v>
      </c>
      <c r="H1309" s="229">
        <v>42.846483499083178</v>
      </c>
      <c r="I1309" s="229">
        <v>45.11648060662624</v>
      </c>
      <c r="J1309" s="229">
        <v>70.07869616918282</v>
      </c>
      <c r="K1309" s="229">
        <v>69.371372252496059</v>
      </c>
      <c r="L1309" s="229">
        <v>35.227735088572139</v>
      </c>
      <c r="M1309" s="229">
        <v>53.436116476695219</v>
      </c>
      <c r="N1309" s="229">
        <v>62.958776824851455</v>
      </c>
      <c r="O1309" s="229">
        <v>62.479959317903891</v>
      </c>
      <c r="P1309" s="229">
        <v>95.703986607844556</v>
      </c>
      <c r="Q1309" s="229">
        <v>58.845982526645194</v>
      </c>
      <c r="R1309" s="229">
        <v>58.35988737027165</v>
      </c>
      <c r="S1309" s="229">
        <v>49.643448111192427</v>
      </c>
      <c r="T1309" s="229">
        <v>93.059038582630066</v>
      </c>
      <c r="U1309">
        <f>AVERAGE(G1309:T1309)</f>
        <v>61.080568790194739</v>
      </c>
      <c r="V1309" t="str">
        <f t="shared" si="153"/>
        <v>2020/21Expenditure driversOperational supportActual</v>
      </c>
    </row>
    <row r="1310" spans="1:22">
      <c r="A1310" s="900" t="s">
        <v>126</v>
      </c>
      <c r="B1310" s="900"/>
      <c r="C1310" s="900" t="s">
        <v>1344</v>
      </c>
      <c r="D1310" t="s">
        <v>55</v>
      </c>
      <c r="E1310" t="s">
        <v>602</v>
      </c>
      <c r="F1310" t="s">
        <v>1289</v>
      </c>
      <c r="G1310" s="829">
        <v>1.2035087590542943</v>
      </c>
      <c r="H1310" s="829">
        <v>5.2348465399990474</v>
      </c>
      <c r="I1310" s="829">
        <v>-1.3835926041106816</v>
      </c>
      <c r="J1310" s="829">
        <v>1.2460374199025637</v>
      </c>
      <c r="K1310" s="829">
        <v>1.3083032821590308</v>
      </c>
      <c r="L1310" s="829">
        <v>-3.304776584262676</v>
      </c>
      <c r="M1310" s="829">
        <v>-3.31007086829554</v>
      </c>
      <c r="N1310" s="829">
        <v>13.785317438643617</v>
      </c>
      <c r="O1310" s="829">
        <v>9.9048333783197364</v>
      </c>
      <c r="P1310" s="829">
        <v>19.658280357804401</v>
      </c>
      <c r="Q1310" s="829">
        <v>11.94859683126252</v>
      </c>
      <c r="R1310" s="829">
        <v>14.67330642528573</v>
      </c>
      <c r="S1310" s="829">
        <v>11.871302940392319</v>
      </c>
      <c r="T1310" s="829">
        <v>16.183640858524953</v>
      </c>
      <c r="U1310">
        <f>U1309-U1308</f>
        <v>7.0728238696199455</v>
      </c>
      <c r="V1310" t="str">
        <f t="shared" si="153"/>
        <v>2020/21Expenditure driversOperational supportDifference</v>
      </c>
    </row>
    <row r="1311" spans="1:22">
      <c r="A1311" s="900" t="s">
        <v>126</v>
      </c>
      <c r="B1311" s="900"/>
      <c r="C1311" s="900" t="s">
        <v>1344</v>
      </c>
      <c r="D1311" t="s">
        <v>55</v>
      </c>
      <c r="E1311" t="s">
        <v>1346</v>
      </c>
      <c r="F1311" t="s">
        <v>606</v>
      </c>
      <c r="G1311" s="829">
        <v>2.118984360875065E-2</v>
      </c>
      <c r="H1311" s="829">
        <v>0.13918156621828989</v>
      </c>
      <c r="I1311" s="829">
        <v>-2.9754632811872832E-2</v>
      </c>
      <c r="J1311" s="829">
        <v>1.8102415954048743E-2</v>
      </c>
      <c r="K1311" s="829">
        <v>1.922192610399643E-2</v>
      </c>
      <c r="L1311" s="829">
        <v>-8.5765927026047545E-2</v>
      </c>
      <c r="M1311" s="829">
        <v>-5.8331158852520423E-2</v>
      </c>
      <c r="N1311" s="829">
        <v>0.28034060671578698</v>
      </c>
      <c r="O1311" s="829">
        <v>0.1883939068391717</v>
      </c>
      <c r="P1311" s="829">
        <v>0.25850611858567651</v>
      </c>
      <c r="Q1311" s="829">
        <v>0.25478172512372965</v>
      </c>
      <c r="R1311" s="829">
        <v>0.33587674081804847</v>
      </c>
      <c r="S1311" s="829">
        <v>0.31428723168123029</v>
      </c>
      <c r="T1311" s="829">
        <v>0.21051781633190039</v>
      </c>
      <c r="U1311" s="829">
        <f>U1310/U1308</f>
        <v>0.13095943702188317</v>
      </c>
      <c r="V1311" t="str">
        <f t="shared" si="153"/>
        <v>2020/21Expenditure driversOperational supportDifference %</v>
      </c>
    </row>
    <row r="1312" spans="1:22">
      <c r="A1312" s="900" t="s">
        <v>142</v>
      </c>
      <c r="B1312" s="900"/>
      <c r="C1312" s="900" t="s">
        <v>1344</v>
      </c>
      <c r="D1312" t="s">
        <v>55</v>
      </c>
      <c r="E1312" t="s">
        <v>297</v>
      </c>
      <c r="F1312" t="s">
        <v>1289</v>
      </c>
      <c r="G1312" s="229" cm="1">
        <f t="array" ref="G1312:T1315">TRANSPOSE('Ch4 expenditure drivers'!BJ231:BM244)</f>
        <v>56.130343699168655</v>
      </c>
      <c r="H1312" s="229">
        <v>37.207862125471031</v>
      </c>
      <c r="I1312" s="229">
        <v>45.803192587360179</v>
      </c>
      <c r="J1312" s="229">
        <v>69.292793895842266</v>
      </c>
      <c r="K1312" s="229">
        <v>68.942707837205461</v>
      </c>
      <c r="L1312" s="229">
        <v>38.795444416662917</v>
      </c>
      <c r="M1312" s="229">
        <v>56.866664823281916</v>
      </c>
      <c r="N1312" s="229">
        <v>47.771254269820709</v>
      </c>
      <c r="O1312" s="229">
        <v>52.419031479292926</v>
      </c>
      <c r="P1312" s="229">
        <v>75.330690155455613</v>
      </c>
      <c r="Q1312" s="229">
        <v>46.84105486222137</v>
      </c>
      <c r="R1312" s="229">
        <v>44.047448855713462</v>
      </c>
      <c r="S1312" s="229">
        <v>37.883199500842586</v>
      </c>
      <c r="T1312" s="229">
        <v>76.856883407663474</v>
      </c>
      <c r="U1312" s="229">
        <f>AVERAGE(G1312:T1312)</f>
        <v>53.870612279714464</v>
      </c>
      <c r="V1312" t="str">
        <f t="shared" ref="V1312:V1315" si="154">CONCATENATE(A1312,B1312,C1312,D1312,E1312)</f>
        <v>2021/22Expenditure driversOperational supportAllowance</v>
      </c>
    </row>
    <row r="1313" spans="1:22">
      <c r="A1313" s="900" t="s">
        <v>142</v>
      </c>
      <c r="B1313" s="900"/>
      <c r="C1313" s="900" t="s">
        <v>1344</v>
      </c>
      <c r="D1313" t="s">
        <v>55</v>
      </c>
      <c r="E1313" t="s">
        <v>298</v>
      </c>
      <c r="F1313" t="s">
        <v>1289</v>
      </c>
      <c r="G1313" s="229">
        <v>60.381610863676769</v>
      </c>
      <c r="H1313" s="229">
        <v>39.23129479657031</v>
      </c>
      <c r="I1313" s="229">
        <v>45.052037215005988</v>
      </c>
      <c r="J1313" s="229">
        <v>69.809899999999985</v>
      </c>
      <c r="K1313" s="229">
        <v>68.353700000000003</v>
      </c>
      <c r="L1313" s="229">
        <v>35.818800000000003</v>
      </c>
      <c r="M1313" s="229">
        <v>53.139599999999994</v>
      </c>
      <c r="N1313" s="229">
        <v>63.725115674744757</v>
      </c>
      <c r="O1313" s="229">
        <v>57.000200434809699</v>
      </c>
      <c r="P1313" s="229">
        <v>101.1097913689681</v>
      </c>
      <c r="Q1313" s="229">
        <v>57.952652956293996</v>
      </c>
      <c r="R1313" s="229">
        <v>61.228443278367401</v>
      </c>
      <c r="S1313" s="229">
        <v>55.870046854485771</v>
      </c>
      <c r="T1313" s="229">
        <v>99.474058890313856</v>
      </c>
      <c r="U1313" s="229">
        <f>AVERAGE(G1313:T1313)</f>
        <v>62.010518023802611</v>
      </c>
      <c r="V1313" t="str">
        <f t="shared" si="154"/>
        <v>2021/22Expenditure driversOperational supportActual</v>
      </c>
    </row>
    <row r="1314" spans="1:22">
      <c r="A1314" s="900" t="s">
        <v>142</v>
      </c>
      <c r="B1314" s="900"/>
      <c r="C1314" s="900" t="s">
        <v>1344</v>
      </c>
      <c r="D1314" t="s">
        <v>55</v>
      </c>
      <c r="E1314" t="s">
        <v>602</v>
      </c>
      <c r="F1314" t="s">
        <v>1289</v>
      </c>
      <c r="G1314" s="229">
        <v>4.2512671645081141</v>
      </c>
      <c r="H1314" s="229">
        <v>2.0234326710992789</v>
      </c>
      <c r="I1314" s="229">
        <v>-0.75115537235419083</v>
      </c>
      <c r="J1314" s="229">
        <v>0.51710610415771896</v>
      </c>
      <c r="K1314" s="229">
        <v>-0.58900783720545746</v>
      </c>
      <c r="L1314" s="229">
        <v>-2.9766444166629142</v>
      </c>
      <c r="M1314" s="229">
        <v>-3.7270648232819212</v>
      </c>
      <c r="N1314" s="229">
        <v>15.953861404924048</v>
      </c>
      <c r="O1314" s="229">
        <v>4.5811689555167732</v>
      </c>
      <c r="P1314" s="229">
        <v>25.77910121351249</v>
      </c>
      <c r="Q1314" s="229">
        <v>11.111598094072626</v>
      </c>
      <c r="R1314" s="229">
        <v>17.180994422653939</v>
      </c>
      <c r="S1314" s="229">
        <v>17.986847353643185</v>
      </c>
      <c r="T1314" s="229">
        <v>22.617175482650381</v>
      </c>
      <c r="U1314" s="229">
        <f>U1313-U1312</f>
        <v>8.1399057440881464</v>
      </c>
      <c r="V1314" t="str">
        <f t="shared" si="154"/>
        <v>2021/22Expenditure driversOperational supportDifference</v>
      </c>
    </row>
    <row r="1315" spans="1:22">
      <c r="A1315" s="900" t="s">
        <v>142</v>
      </c>
      <c r="B1315" s="900"/>
      <c r="C1315" s="900" t="s">
        <v>1344</v>
      </c>
      <c r="D1315" t="s">
        <v>55</v>
      </c>
      <c r="E1315" t="s">
        <v>1346</v>
      </c>
      <c r="F1315" t="s">
        <v>606</v>
      </c>
      <c r="G1315" s="829">
        <v>7.5739197096188093E-2</v>
      </c>
      <c r="H1315" s="829">
        <v>5.4381857906157877E-2</v>
      </c>
      <c r="I1315" s="829">
        <v>-1.6399629150774069E-2</v>
      </c>
      <c r="J1315" s="829">
        <v>7.4626245397899386E-3</v>
      </c>
      <c r="K1315" s="829">
        <v>-8.5434392654881314E-3</v>
      </c>
      <c r="L1315" s="829">
        <v>-7.6726648229461306E-2</v>
      </c>
      <c r="M1315" s="829">
        <v>-6.5540415195160434E-2</v>
      </c>
      <c r="N1315" s="829">
        <v>0.33396362831115434</v>
      </c>
      <c r="O1315" s="829">
        <v>8.7395146881461758E-2</v>
      </c>
      <c r="P1315" s="829">
        <v>0.34221246560085461</v>
      </c>
      <c r="Q1315" s="829">
        <v>0.2372192113682402</v>
      </c>
      <c r="R1315" s="829">
        <v>0.39005651562100324</v>
      </c>
      <c r="S1315" s="829">
        <v>0.47479747198340855</v>
      </c>
      <c r="T1315" s="829">
        <v>0.29427651083227768</v>
      </c>
      <c r="U1315" s="829">
        <f>U1314/U1312</f>
        <v>0.15110104377175071</v>
      </c>
      <c r="V1315" t="str">
        <f t="shared" si="154"/>
        <v>2021/22Expenditure driversOperational supportDifference %</v>
      </c>
    </row>
    <row r="1316" spans="1:22">
      <c r="A1316" s="900" t="s">
        <v>137</v>
      </c>
      <c r="B1316" s="900"/>
      <c r="C1316" s="900" t="s">
        <v>1344</v>
      </c>
      <c r="D1316" t="s">
        <v>107</v>
      </c>
      <c r="E1316" t="s">
        <v>1347</v>
      </c>
      <c r="F1316" t="s">
        <v>1289</v>
      </c>
      <c r="G1316">
        <f t="array" ref="G1316:T1323">TRANSPOSE('Ch4 expenditure drivers'!E251:L264)</f>
        <v>40.852117063604176</v>
      </c>
      <c r="H1316">
        <v>21.967999031263449</v>
      </c>
      <c r="I1316">
        <v>25.664947783231462</v>
      </c>
      <c r="J1316">
        <v>34.850200593562079</v>
      </c>
      <c r="K1316">
        <v>36.297523233765432</v>
      </c>
      <c r="L1316">
        <v>18.88067707578135</v>
      </c>
      <c r="M1316">
        <v>29.910832433904034</v>
      </c>
      <c r="N1316">
        <v>28.157999056892987</v>
      </c>
      <c r="O1316">
        <v>28.592614819600225</v>
      </c>
      <c r="P1316">
        <v>36.546924889211716</v>
      </c>
      <c r="Q1316">
        <v>23.66487173693568</v>
      </c>
      <c r="R1316">
        <v>22.235976279751981</v>
      </c>
      <c r="S1316">
        <v>22.519040487075387</v>
      </c>
      <c r="T1316">
        <v>34.16762736884516</v>
      </c>
      <c r="U1316">
        <f>AVERAGE(G1316:T1316)</f>
        <v>28.879239418101797</v>
      </c>
      <c r="V1316" t="str">
        <f t="shared" si="153"/>
        <v>2015/16Expenditure driversBusiness SupportBPDT</v>
      </c>
    </row>
    <row r="1317" spans="1:22">
      <c r="A1317" s="900" t="s">
        <v>138</v>
      </c>
      <c r="B1317" s="900"/>
      <c r="C1317" s="900" t="s">
        <v>1344</v>
      </c>
      <c r="D1317" t="s">
        <v>107</v>
      </c>
      <c r="E1317" t="s">
        <v>1347</v>
      </c>
      <c r="F1317" t="s">
        <v>1289</v>
      </c>
      <c r="G1317">
        <v>38.933398196751057</v>
      </c>
      <c r="H1317">
        <v>22.040126426902088</v>
      </c>
      <c r="I1317">
        <v>25.424880453586422</v>
      </c>
      <c r="J1317">
        <v>34.901899374659294</v>
      </c>
      <c r="K1317">
        <v>36.303484148795746</v>
      </c>
      <c r="L1317">
        <v>18.876010723437897</v>
      </c>
      <c r="M1317">
        <v>29.98911808566028</v>
      </c>
      <c r="N1317">
        <v>28.426023143728589</v>
      </c>
      <c r="O1317">
        <v>28.684985692736582</v>
      </c>
      <c r="P1317">
        <v>36.88895761115424</v>
      </c>
      <c r="Q1317">
        <v>25.193766061856337</v>
      </c>
      <c r="R1317">
        <v>21.521629625350272</v>
      </c>
      <c r="S1317">
        <v>22.990096125497601</v>
      </c>
      <c r="T1317">
        <v>34.954284994720986</v>
      </c>
      <c r="U1317">
        <f t="shared" ref="U1317:U1348" si="155">AVERAGE(G1317:T1317)</f>
        <v>28.937761476059816</v>
      </c>
      <c r="V1317" t="str">
        <f t="shared" si="153"/>
        <v>2016/17Expenditure driversBusiness SupportBPDT</v>
      </c>
    </row>
    <row r="1318" spans="1:22">
      <c r="A1318" s="900" t="s">
        <v>139</v>
      </c>
      <c r="B1318" s="900"/>
      <c r="C1318" s="900" t="s">
        <v>1344</v>
      </c>
      <c r="D1318" t="s">
        <v>107</v>
      </c>
      <c r="E1318" t="s">
        <v>1347</v>
      </c>
      <c r="F1318" t="s">
        <v>1289</v>
      </c>
      <c r="G1318">
        <v>38.677232873210137</v>
      </c>
      <c r="H1318">
        <v>22.192396583874078</v>
      </c>
      <c r="I1318">
        <v>25.36574838581144</v>
      </c>
      <c r="J1318">
        <v>34.788031101529995</v>
      </c>
      <c r="K1318">
        <v>36.124111949813482</v>
      </c>
      <c r="L1318">
        <v>18.702148010906559</v>
      </c>
      <c r="M1318">
        <v>29.990707102825752</v>
      </c>
      <c r="N1318">
        <v>27.984343205125388</v>
      </c>
      <c r="O1318">
        <v>28.404480051905509</v>
      </c>
      <c r="P1318">
        <v>36.507360743429103</v>
      </c>
      <c r="Q1318">
        <v>25.261872003797635</v>
      </c>
      <c r="R1318">
        <v>21.245502655810693</v>
      </c>
      <c r="S1318">
        <v>23.411289910568655</v>
      </c>
      <c r="T1318">
        <v>35.69442371005151</v>
      </c>
      <c r="U1318">
        <f t="shared" si="155"/>
        <v>28.882117734904284</v>
      </c>
      <c r="V1318" t="str">
        <f t="shared" si="153"/>
        <v>2017/18Expenditure driversBusiness SupportBPDT</v>
      </c>
    </row>
    <row r="1319" spans="1:22">
      <c r="A1319" s="900" t="s">
        <v>140</v>
      </c>
      <c r="B1319" s="900"/>
      <c r="C1319" s="900" t="s">
        <v>1344</v>
      </c>
      <c r="D1319" t="s">
        <v>107</v>
      </c>
      <c r="E1319" t="s">
        <v>1347</v>
      </c>
      <c r="F1319" t="s">
        <v>1289</v>
      </c>
      <c r="G1319">
        <v>38.552649233848953</v>
      </c>
      <c r="H1319">
        <v>22.309121560677415</v>
      </c>
      <c r="I1319">
        <v>25.587950689977422</v>
      </c>
      <c r="J1319">
        <v>34.878162260666123</v>
      </c>
      <c r="K1319">
        <v>36.153053910090478</v>
      </c>
      <c r="L1319">
        <v>18.843757985216218</v>
      </c>
      <c r="M1319">
        <v>30.060156615693227</v>
      </c>
      <c r="N1319">
        <v>27.732965434246758</v>
      </c>
      <c r="O1319">
        <v>28.577649013725448</v>
      </c>
      <c r="P1319">
        <v>36.922993639230704</v>
      </c>
      <c r="Q1319">
        <v>25.219471686741169</v>
      </c>
      <c r="R1319">
        <v>20.544329443760276</v>
      </c>
      <c r="S1319">
        <v>23.644472108565722</v>
      </c>
      <c r="T1319">
        <v>36.273978374004464</v>
      </c>
      <c r="U1319">
        <f t="shared" si="155"/>
        <v>28.950050854031737</v>
      </c>
      <c r="V1319" t="str">
        <f t="shared" si="153"/>
        <v>2018/19Expenditure driversBusiness SupportBPDT</v>
      </c>
    </row>
    <row r="1320" spans="1:22">
      <c r="A1320" s="900" t="s">
        <v>141</v>
      </c>
      <c r="B1320" s="900"/>
      <c r="C1320" s="900" t="s">
        <v>1344</v>
      </c>
      <c r="D1320" t="s">
        <v>107</v>
      </c>
      <c r="E1320" t="s">
        <v>1347</v>
      </c>
      <c r="F1320" t="s">
        <v>1289</v>
      </c>
      <c r="G1320">
        <v>38.095112229012358</v>
      </c>
      <c r="H1320">
        <v>22.296082987501805</v>
      </c>
      <c r="I1320">
        <v>25.464070968979094</v>
      </c>
      <c r="J1320">
        <v>35.157462389632755</v>
      </c>
      <c r="K1320">
        <v>36.370915439097701</v>
      </c>
      <c r="L1320">
        <v>18.774246877981803</v>
      </c>
      <c r="M1320">
        <v>30.173884949815818</v>
      </c>
      <c r="N1320">
        <v>27.735173864819494</v>
      </c>
      <c r="O1320">
        <v>28.690314475687234</v>
      </c>
      <c r="P1320">
        <v>36.911273509266657</v>
      </c>
      <c r="Q1320">
        <v>25.433998782555953</v>
      </c>
      <c r="R1320">
        <v>20.346295915887158</v>
      </c>
      <c r="S1320">
        <v>23.666409557223098</v>
      </c>
      <c r="T1320">
        <v>36.344692617288388</v>
      </c>
      <c r="U1320">
        <f t="shared" si="155"/>
        <v>28.961423897482092</v>
      </c>
      <c r="V1320" t="str">
        <f t="shared" si="153"/>
        <v>2019/20Expenditure driversBusiness SupportBPDT</v>
      </c>
    </row>
    <row r="1321" spans="1:22">
      <c r="A1321" s="900" t="s">
        <v>126</v>
      </c>
      <c r="B1321" s="900"/>
      <c r="C1321" s="900" t="s">
        <v>1344</v>
      </c>
      <c r="D1321" t="s">
        <v>107</v>
      </c>
      <c r="E1321" t="s">
        <v>1347</v>
      </c>
      <c r="F1321" t="s">
        <v>1289</v>
      </c>
      <c r="G1321">
        <v>39.248411940609436</v>
      </c>
      <c r="H1321">
        <v>22.303645917528982</v>
      </c>
      <c r="I1321">
        <v>25.427738091351912</v>
      </c>
      <c r="J1321">
        <v>35.353250335379499</v>
      </c>
      <c r="K1321">
        <v>36.534919954531809</v>
      </c>
      <c r="L1321">
        <v>18.91741260122053</v>
      </c>
      <c r="M1321">
        <v>30.404323689072484</v>
      </c>
      <c r="N1321">
        <v>27.759520058785373</v>
      </c>
      <c r="O1321">
        <v>28.648960693334818</v>
      </c>
      <c r="P1321">
        <v>36.836140155219496</v>
      </c>
      <c r="Q1321">
        <v>25.203405730745519</v>
      </c>
      <c r="R1321">
        <v>19.965019569905344</v>
      </c>
      <c r="S1321">
        <v>23.695206136755889</v>
      </c>
      <c r="T1321">
        <v>36.415759586539345</v>
      </c>
      <c r="U1321">
        <f t="shared" si="155"/>
        <v>29.050979604355742</v>
      </c>
      <c r="V1321" t="str">
        <f t="shared" si="153"/>
        <v>2020/21Expenditure driversBusiness SupportBPDT</v>
      </c>
    </row>
    <row r="1322" spans="1:22">
      <c r="A1322" s="900" t="s">
        <v>142</v>
      </c>
      <c r="B1322" s="900"/>
      <c r="C1322" s="900" t="s">
        <v>1344</v>
      </c>
      <c r="D1322" t="s">
        <v>107</v>
      </c>
      <c r="E1322" t="s">
        <v>1347</v>
      </c>
      <c r="F1322" t="s">
        <v>1289</v>
      </c>
      <c r="G1322">
        <v>39.00616877444746</v>
      </c>
      <c r="H1322">
        <v>22.386236706282894</v>
      </c>
      <c r="I1322">
        <v>25.453697871477154</v>
      </c>
      <c r="J1322">
        <v>35.590784908488686</v>
      </c>
      <c r="K1322">
        <v>36.973048609638823</v>
      </c>
      <c r="L1322">
        <v>18.948483655655281</v>
      </c>
      <c r="M1322">
        <v>30.438148111205805</v>
      </c>
      <c r="N1322">
        <v>27.751682926211803</v>
      </c>
      <c r="O1322">
        <v>28.540828142753227</v>
      </c>
      <c r="P1322">
        <v>36.876638995366143</v>
      </c>
      <c r="Q1322">
        <v>25.041071371339559</v>
      </c>
      <c r="R1322">
        <v>20.717061484976711</v>
      </c>
      <c r="S1322">
        <v>23.734360388655556</v>
      </c>
      <c r="T1322">
        <v>36.502562677320192</v>
      </c>
      <c r="U1322">
        <f t="shared" si="155"/>
        <v>29.140055330272808</v>
      </c>
      <c r="V1322" t="str">
        <f t="shared" si="153"/>
        <v>2021/22Expenditure driversBusiness SupportBPDT</v>
      </c>
    </row>
    <row r="1323" spans="1:22">
      <c r="A1323" s="900" t="s">
        <v>143</v>
      </c>
      <c r="B1323" s="900"/>
      <c r="C1323" s="900" t="s">
        <v>1344</v>
      </c>
      <c r="D1323" t="s">
        <v>107</v>
      </c>
      <c r="E1323" t="s">
        <v>1347</v>
      </c>
      <c r="F1323" t="s">
        <v>1289</v>
      </c>
      <c r="G1323">
        <v>38.018189581783609</v>
      </c>
      <c r="H1323">
        <v>22.437560258556648</v>
      </c>
      <c r="I1323">
        <v>25.371499047075307</v>
      </c>
      <c r="J1323">
        <v>35.64718883262055</v>
      </c>
      <c r="K1323">
        <v>36.970445877198294</v>
      </c>
      <c r="L1323">
        <v>18.953704598183212</v>
      </c>
      <c r="M1323">
        <v>30.617744373244022</v>
      </c>
      <c r="N1323">
        <v>27.419185616139998</v>
      </c>
      <c r="O1323">
        <v>28.242224706603515</v>
      </c>
      <c r="P1323">
        <v>36.369973119071688</v>
      </c>
      <c r="Q1323">
        <v>25.207143707144589</v>
      </c>
      <c r="R1323">
        <v>20.98209009528788</v>
      </c>
      <c r="S1323">
        <v>23.781375541058861</v>
      </c>
      <c r="T1323">
        <v>36.592654451897388</v>
      </c>
      <c r="U1323">
        <f t="shared" si="155"/>
        <v>29.043641414704688</v>
      </c>
      <c r="V1323" t="str">
        <f t="shared" si="153"/>
        <v>2022/23Expenditure driversBusiness SupportBPDT</v>
      </c>
    </row>
    <row r="1324" spans="1:22">
      <c r="A1324" s="900" t="s">
        <v>137</v>
      </c>
      <c r="B1324" s="900"/>
      <c r="C1324" s="900" t="s">
        <v>1344</v>
      </c>
      <c r="D1324" t="s">
        <v>107</v>
      </c>
      <c r="E1324" t="s">
        <v>1348</v>
      </c>
      <c r="F1324" t="s">
        <v>1289</v>
      </c>
      <c r="G1324">
        <f t="array" ref="G1324:T1331">TRANSPOSE('Ch4 expenditure drivers'!N251:U264)</f>
        <v>39.760963324215062</v>
      </c>
      <c r="H1324">
        <v>24.736727474494121</v>
      </c>
      <c r="I1324">
        <v>28.632984715933425</v>
      </c>
      <c r="J1324">
        <v>34.850200593562079</v>
      </c>
      <c r="K1324">
        <v>36.297523233765432</v>
      </c>
      <c r="L1324">
        <v>18.88067707578135</v>
      </c>
      <c r="M1324">
        <v>29.910832433904034</v>
      </c>
      <c r="N1324">
        <v>30.431469846216093</v>
      </c>
      <c r="O1324">
        <v>31.172773602797289</v>
      </c>
      <c r="P1324">
        <v>38.652205684247974</v>
      </c>
      <c r="Q1324">
        <v>26.459466890698884</v>
      </c>
      <c r="R1324">
        <v>22.079742952789559</v>
      </c>
      <c r="S1324">
        <v>24.661791315331264</v>
      </c>
      <c r="T1324">
        <v>39.348872052492347</v>
      </c>
      <c r="U1324">
        <f t="shared" si="155"/>
        <v>30.419730799730637</v>
      </c>
      <c r="V1324" t="str">
        <f t="shared" si="153"/>
        <v>2015/16Expenditure driversBusiness SupportDNO Baseline</v>
      </c>
    </row>
    <row r="1325" spans="1:22">
      <c r="A1325" s="900" t="s">
        <v>138</v>
      </c>
      <c r="B1325" s="900"/>
      <c r="C1325" s="900" t="s">
        <v>1344</v>
      </c>
      <c r="D1325" t="s">
        <v>107</v>
      </c>
      <c r="E1325" t="s">
        <v>1348</v>
      </c>
      <c r="F1325" t="s">
        <v>1289</v>
      </c>
      <c r="G1325">
        <v>38.02776106543017</v>
      </c>
      <c r="H1325">
        <v>24.726644526005106</v>
      </c>
      <c r="I1325">
        <v>28.246141995880105</v>
      </c>
      <c r="J1325">
        <v>34.901899374659294</v>
      </c>
      <c r="K1325">
        <v>36.303484148795746</v>
      </c>
      <c r="L1325">
        <v>18.876010723437897</v>
      </c>
      <c r="M1325">
        <v>29.98911808566028</v>
      </c>
      <c r="N1325">
        <v>29.75612731301289</v>
      </c>
      <c r="O1325">
        <v>30.705877097085409</v>
      </c>
      <c r="P1325">
        <v>37.835681836373396</v>
      </c>
      <c r="Q1325">
        <v>26.660655465101058</v>
      </c>
      <c r="R1325">
        <v>21.698935172743603</v>
      </c>
      <c r="S1325">
        <v>24.960264851901727</v>
      </c>
      <c r="T1325">
        <v>39.265022930836913</v>
      </c>
      <c r="U1325">
        <f t="shared" si="155"/>
        <v>30.139544613351688</v>
      </c>
      <c r="V1325" t="str">
        <f t="shared" si="153"/>
        <v>2016/17Expenditure driversBusiness SupportDNO Baseline</v>
      </c>
    </row>
    <row r="1326" spans="1:22">
      <c r="A1326" s="900" t="s">
        <v>139</v>
      </c>
      <c r="B1326" s="900"/>
      <c r="C1326" s="900" t="s">
        <v>1344</v>
      </c>
      <c r="D1326" t="s">
        <v>107</v>
      </c>
      <c r="E1326" t="s">
        <v>1348</v>
      </c>
      <c r="F1326" t="s">
        <v>1289</v>
      </c>
      <c r="G1326">
        <v>37.485336758136498</v>
      </c>
      <c r="H1326">
        <v>24.712787579072799</v>
      </c>
      <c r="I1326">
        <v>28.152223197843245</v>
      </c>
      <c r="J1326">
        <v>34.788031101529995</v>
      </c>
      <c r="K1326">
        <v>36.124111949813482</v>
      </c>
      <c r="L1326">
        <v>18.702148010906559</v>
      </c>
      <c r="M1326">
        <v>29.990707102825752</v>
      </c>
      <c r="N1326">
        <v>28.633560809908126</v>
      </c>
      <c r="O1326">
        <v>29.61483905112814</v>
      </c>
      <c r="P1326">
        <v>36.747796715435392</v>
      </c>
      <c r="Q1326">
        <v>26.42927271838262</v>
      </c>
      <c r="R1326">
        <v>21.038265414830999</v>
      </c>
      <c r="S1326">
        <v>24.926332387475917</v>
      </c>
      <c r="T1326">
        <v>39.643390164700385</v>
      </c>
      <c r="U1326">
        <f t="shared" si="155"/>
        <v>29.784914497284994</v>
      </c>
      <c r="V1326" t="str">
        <f t="shared" si="153"/>
        <v>2017/18Expenditure driversBusiness SupportDNO Baseline</v>
      </c>
    </row>
    <row r="1327" spans="1:22">
      <c r="A1327" s="900" t="s">
        <v>140</v>
      </c>
      <c r="B1327" s="900"/>
      <c r="C1327" s="900" t="s">
        <v>1344</v>
      </c>
      <c r="D1327" t="s">
        <v>107</v>
      </c>
      <c r="E1327" t="s">
        <v>1348</v>
      </c>
      <c r="F1327" t="s">
        <v>1289</v>
      </c>
      <c r="G1327">
        <v>37.366549476696477</v>
      </c>
      <c r="H1327">
        <v>24.755030259322901</v>
      </c>
      <c r="I1327">
        <v>28.353421113560717</v>
      </c>
      <c r="J1327">
        <v>34.878162260666123</v>
      </c>
      <c r="K1327">
        <v>36.153053910090478</v>
      </c>
      <c r="L1327">
        <v>18.843757985216218</v>
      </c>
      <c r="M1327">
        <v>30.060156615693227</v>
      </c>
      <c r="N1327">
        <v>28.383018999451174</v>
      </c>
      <c r="O1327">
        <v>29.278922511291416</v>
      </c>
      <c r="P1327">
        <v>36.672008230077573</v>
      </c>
      <c r="Q1327">
        <v>26.150874432837217</v>
      </c>
      <c r="R1327">
        <v>20.284215710999593</v>
      </c>
      <c r="S1327">
        <v>25.114084658917996</v>
      </c>
      <c r="T1327">
        <v>39.810527988393275</v>
      </c>
      <c r="U1327">
        <f t="shared" si="155"/>
        <v>29.72169886808674</v>
      </c>
      <c r="V1327" t="str">
        <f t="shared" si="153"/>
        <v>2018/19Expenditure driversBusiness SupportDNO Baseline</v>
      </c>
    </row>
    <row r="1328" spans="1:22">
      <c r="A1328" s="900" t="s">
        <v>141</v>
      </c>
      <c r="B1328" s="900"/>
      <c r="C1328" s="900" t="s">
        <v>1344</v>
      </c>
      <c r="D1328" t="s">
        <v>107</v>
      </c>
      <c r="E1328" t="s">
        <v>1348</v>
      </c>
      <c r="F1328" t="s">
        <v>1289</v>
      </c>
      <c r="G1328">
        <v>36.732112920532899</v>
      </c>
      <c r="H1328">
        <v>24.512299352092768</v>
      </c>
      <c r="I1328">
        <v>27.887295144560785</v>
      </c>
      <c r="J1328">
        <v>35.157462389632755</v>
      </c>
      <c r="K1328">
        <v>36.370915439097701</v>
      </c>
      <c r="L1328">
        <v>18.774246877981803</v>
      </c>
      <c r="M1328">
        <v>30.173884949815818</v>
      </c>
      <c r="N1328">
        <v>27.911678352082429</v>
      </c>
      <c r="O1328">
        <v>28.682319729088182</v>
      </c>
      <c r="P1328">
        <v>36.007943112044039</v>
      </c>
      <c r="Q1328">
        <v>26.133160979405737</v>
      </c>
      <c r="R1328">
        <v>20.143035704444351</v>
      </c>
      <c r="S1328">
        <v>24.604438820203313</v>
      </c>
      <c r="T1328">
        <v>39.644511870209755</v>
      </c>
      <c r="U1328">
        <f t="shared" si="155"/>
        <v>29.481093260085157</v>
      </c>
      <c r="V1328" t="str">
        <f t="shared" si="153"/>
        <v>2019/20Expenditure driversBusiness SupportDNO Baseline</v>
      </c>
    </row>
    <row r="1329" spans="1:22">
      <c r="A1329" s="900" t="s">
        <v>126</v>
      </c>
      <c r="B1329" s="900"/>
      <c r="C1329" s="900" t="s">
        <v>1344</v>
      </c>
      <c r="D1329" t="s">
        <v>107</v>
      </c>
      <c r="E1329" t="s">
        <v>1348</v>
      </c>
      <c r="F1329" t="s">
        <v>1289</v>
      </c>
      <c r="G1329">
        <v>37.237910703237461</v>
      </c>
      <c r="H1329">
        <v>24.0708153070522</v>
      </c>
      <c r="I1329">
        <v>27.427236326306552</v>
      </c>
      <c r="J1329">
        <v>35.353250335379499</v>
      </c>
      <c r="K1329">
        <v>36.534919954531809</v>
      </c>
      <c r="L1329">
        <v>18.91741260122053</v>
      </c>
      <c r="M1329">
        <v>30.404323689072484</v>
      </c>
      <c r="N1329">
        <v>27.330628571458583</v>
      </c>
      <c r="O1329">
        <v>28.188828655008511</v>
      </c>
      <c r="P1329">
        <v>35.216060845847437</v>
      </c>
      <c r="Q1329">
        <v>26.040050219051956</v>
      </c>
      <c r="R1329">
        <v>19.683037029610375</v>
      </c>
      <c r="S1329">
        <v>24.401518262420005</v>
      </c>
      <c r="T1329">
        <v>39.139296885511108</v>
      </c>
      <c r="U1329">
        <f t="shared" si="155"/>
        <v>29.281806384693464</v>
      </c>
      <c r="V1329" t="str">
        <f t="shared" si="153"/>
        <v>2020/21Expenditure driversBusiness SupportDNO Baseline</v>
      </c>
    </row>
    <row r="1330" spans="1:22">
      <c r="A1330" s="900" t="s">
        <v>142</v>
      </c>
      <c r="B1330" s="900"/>
      <c r="C1330" s="900" t="s">
        <v>1344</v>
      </c>
      <c r="D1330" t="s">
        <v>107</v>
      </c>
      <c r="E1330" t="s">
        <v>1348</v>
      </c>
      <c r="F1330" t="s">
        <v>1289</v>
      </c>
      <c r="G1330">
        <v>36.824974419632703</v>
      </c>
      <c r="H1330">
        <v>23.845713842511355</v>
      </c>
      <c r="I1330">
        <v>27.089136501718805</v>
      </c>
      <c r="J1330">
        <v>35.590784908488686</v>
      </c>
      <c r="K1330">
        <v>36.973048609638823</v>
      </c>
      <c r="L1330">
        <v>18.948483655655281</v>
      </c>
      <c r="M1330">
        <v>30.438148111205805</v>
      </c>
      <c r="N1330">
        <v>26.564064488805652</v>
      </c>
      <c r="O1330">
        <v>28.00786174714878</v>
      </c>
      <c r="P1330">
        <v>34.891593290141209</v>
      </c>
      <c r="Q1330">
        <v>26.00659934948132</v>
      </c>
      <c r="R1330">
        <v>20.003218763301934</v>
      </c>
      <c r="S1330">
        <v>24.441628867003125</v>
      </c>
      <c r="T1330">
        <v>39.126207449226698</v>
      </c>
      <c r="U1330">
        <f t="shared" si="155"/>
        <v>29.196533143140016</v>
      </c>
      <c r="V1330" t="str">
        <f t="shared" si="153"/>
        <v>2021/22Expenditure driversBusiness SupportDNO Baseline</v>
      </c>
    </row>
    <row r="1331" spans="1:22">
      <c r="A1331" s="900" t="s">
        <v>143</v>
      </c>
      <c r="B1331" s="900"/>
      <c r="C1331" s="900" t="s">
        <v>1344</v>
      </c>
      <c r="D1331" t="s">
        <v>107</v>
      </c>
      <c r="E1331" t="s">
        <v>1348</v>
      </c>
      <c r="F1331" t="s">
        <v>1289</v>
      </c>
      <c r="G1331">
        <v>35.90611172856898</v>
      </c>
      <c r="H1331">
        <v>23.489718317291413</v>
      </c>
      <c r="I1331">
        <v>26.618127952173193</v>
      </c>
      <c r="J1331">
        <v>35.64718883262055</v>
      </c>
      <c r="K1331">
        <v>36.970445877198294</v>
      </c>
      <c r="L1331">
        <v>18.953704598183212</v>
      </c>
      <c r="M1331">
        <v>30.617744373244022</v>
      </c>
      <c r="N1331">
        <v>25.851863600666903</v>
      </c>
      <c r="O1331">
        <v>27.371039376835043</v>
      </c>
      <c r="P1331">
        <v>34.18402951467467</v>
      </c>
      <c r="Q1331">
        <v>25.801835925613773</v>
      </c>
      <c r="R1331">
        <v>19.993809771008241</v>
      </c>
      <c r="S1331">
        <v>24.1441054003899</v>
      </c>
      <c r="T1331">
        <v>38.587212507570413</v>
      </c>
      <c r="U1331">
        <f t="shared" si="155"/>
        <v>28.866924126859896</v>
      </c>
      <c r="V1331" t="str">
        <f t="shared" si="153"/>
        <v>2022/23Expenditure driversBusiness SupportDNO Baseline</v>
      </c>
    </row>
    <row r="1332" spans="1:22">
      <c r="A1332" s="900" t="s">
        <v>137</v>
      </c>
      <c r="B1332" s="900"/>
      <c r="C1332" s="900" t="s">
        <v>1344</v>
      </c>
      <c r="D1332" t="s">
        <v>107</v>
      </c>
      <c r="E1332" t="s">
        <v>1349</v>
      </c>
      <c r="F1332" t="s">
        <v>1289</v>
      </c>
      <c r="G1332" cm="1">
        <f t="array" ref="G1332:T1338">TRANSPOSE('Ch4 expenditure drivers'!W251:AC264)</f>
        <v>36.306757426485134</v>
      </c>
      <c r="H1332">
        <v>23.279389990347564</v>
      </c>
      <c r="I1332">
        <v>25.524521780824674</v>
      </c>
      <c r="J1332">
        <v>31.813957411740219</v>
      </c>
      <c r="K1332">
        <v>31.924659918360426</v>
      </c>
      <c r="L1332">
        <v>16.876914969182799</v>
      </c>
      <c r="M1332">
        <v>27.84485876430524</v>
      </c>
      <c r="N1332">
        <v>25.878323929285663</v>
      </c>
      <c r="O1332">
        <v>22.212433569051122</v>
      </c>
      <c r="P1332">
        <v>32.524585895379239</v>
      </c>
      <c r="Q1332">
        <v>27.280393558568079</v>
      </c>
      <c r="R1332">
        <v>31.480731861569591</v>
      </c>
      <c r="S1332">
        <v>23.163956468307198</v>
      </c>
      <c r="T1332">
        <v>38.925680184399518</v>
      </c>
      <c r="U1332">
        <f t="shared" si="155"/>
        <v>28.216940409129041</v>
      </c>
      <c r="V1332" t="str">
        <f t="shared" si="153"/>
        <v>2015/16Expenditure driversBusiness SupportDNO Actual</v>
      </c>
    </row>
    <row r="1333" spans="1:22">
      <c r="A1333" s="900" t="s">
        <v>138</v>
      </c>
      <c r="B1333" s="900"/>
      <c r="C1333" s="900" t="s">
        <v>1344</v>
      </c>
      <c r="D1333" t="s">
        <v>107</v>
      </c>
      <c r="E1333" t="s">
        <v>1349</v>
      </c>
      <c r="F1333" t="s">
        <v>1289</v>
      </c>
      <c r="G1333">
        <v>21.757961793877509</v>
      </c>
      <c r="H1333">
        <v>24.825663868539984</v>
      </c>
      <c r="I1333">
        <v>27.164454880531078</v>
      </c>
      <c r="J1333">
        <v>30.55969102765366</v>
      </c>
      <c r="K1333">
        <v>30.59374330847724</v>
      </c>
      <c r="L1333">
        <v>16.197965457825145</v>
      </c>
      <c r="M1333">
        <v>26.442065746135732</v>
      </c>
      <c r="N1333">
        <v>24.833343436077346</v>
      </c>
      <c r="O1333">
        <v>24.922133788762345</v>
      </c>
      <c r="P1333">
        <v>36.762368301981212</v>
      </c>
      <c r="Q1333">
        <v>30.261763491481272</v>
      </c>
      <c r="R1333">
        <v>34.844063592148935</v>
      </c>
      <c r="S1333">
        <v>25.7166944099049</v>
      </c>
      <c r="T1333">
        <v>38.066248492087027</v>
      </c>
      <c r="U1333">
        <f t="shared" si="155"/>
        <v>28.067725828248808</v>
      </c>
      <c r="V1333" t="str">
        <f t="shared" si="153"/>
        <v>2016/17Expenditure driversBusiness SupportDNO Actual</v>
      </c>
    </row>
    <row r="1334" spans="1:22">
      <c r="A1334" s="900" t="s">
        <v>139</v>
      </c>
      <c r="B1334" s="900"/>
      <c r="C1334" s="900" t="s">
        <v>1344</v>
      </c>
      <c r="D1334" t="s">
        <v>107</v>
      </c>
      <c r="E1334" t="s">
        <v>1349</v>
      </c>
      <c r="F1334" t="s">
        <v>1289</v>
      </c>
      <c r="G1334">
        <v>38.902158569173409</v>
      </c>
      <c r="H1334">
        <v>25.714943318815177</v>
      </c>
      <c r="I1334">
        <v>28.323704674770099</v>
      </c>
      <c r="J1334">
        <v>29.138776128013735</v>
      </c>
      <c r="K1334">
        <v>29.323609240909683</v>
      </c>
      <c r="L1334">
        <v>15.537639664906077</v>
      </c>
      <c r="M1334">
        <v>26.628418742270142</v>
      </c>
      <c r="N1334">
        <v>29.270245096969827</v>
      </c>
      <c r="O1334">
        <v>25.466462980734416</v>
      </c>
      <c r="P1334">
        <v>44.75226165579965</v>
      </c>
      <c r="Q1334">
        <v>35.89310154797095</v>
      </c>
      <c r="R1334">
        <v>35.530755866262531</v>
      </c>
      <c r="S1334">
        <v>25.778673227120301</v>
      </c>
      <c r="T1334">
        <v>43.643718973613147</v>
      </c>
      <c r="U1334">
        <f t="shared" si="155"/>
        <v>30.993176406237797</v>
      </c>
      <c r="V1334" t="str">
        <f t="shared" si="153"/>
        <v>2017/18Expenditure driversBusiness SupportDNO Actual</v>
      </c>
    </row>
    <row r="1335" spans="1:22">
      <c r="A1335" s="900" t="s">
        <v>140</v>
      </c>
      <c r="B1335" s="900"/>
      <c r="C1335" s="900" t="s">
        <v>1344</v>
      </c>
      <c r="D1335" t="s">
        <v>107</v>
      </c>
      <c r="E1335" t="s">
        <v>1349</v>
      </c>
      <c r="F1335" t="s">
        <v>1289</v>
      </c>
      <c r="G1335">
        <v>37.946768533183246</v>
      </c>
      <c r="H1335">
        <v>23.649508900628302</v>
      </c>
      <c r="I1335">
        <v>27.498935723166504</v>
      </c>
      <c r="J1335">
        <v>28.382892876304233</v>
      </c>
      <c r="K1335">
        <v>29.458241252629644</v>
      </c>
      <c r="L1335">
        <v>15.708587158851852</v>
      </c>
      <c r="M1335">
        <v>24.896769618930634</v>
      </c>
      <c r="N1335">
        <v>29.664569860180503</v>
      </c>
      <c r="O1335">
        <v>25.301439723010514</v>
      </c>
      <c r="P1335">
        <v>42.301343541438122</v>
      </c>
      <c r="Q1335">
        <v>43.740756325478657</v>
      </c>
      <c r="R1335">
        <v>39.18312690275679</v>
      </c>
      <c r="S1335">
        <v>25.833855004661149</v>
      </c>
      <c r="T1335">
        <v>44.280616722266174</v>
      </c>
      <c r="U1335">
        <f t="shared" si="155"/>
        <v>31.274815153106164</v>
      </c>
      <c r="V1335" t="str">
        <f t="shared" si="153"/>
        <v>2018/19Expenditure driversBusiness SupportDNO Actual</v>
      </c>
    </row>
    <row r="1336" spans="1:22">
      <c r="A1336" s="900" t="s">
        <v>141</v>
      </c>
      <c r="B1336" s="900"/>
      <c r="C1336" s="900" t="s">
        <v>1344</v>
      </c>
      <c r="D1336" t="s">
        <v>107</v>
      </c>
      <c r="E1336" t="s">
        <v>1349</v>
      </c>
      <c r="F1336" t="s">
        <v>1289</v>
      </c>
      <c r="G1336">
        <v>41.102315691644975</v>
      </c>
      <c r="H1336">
        <v>23.952111760587361</v>
      </c>
      <c r="I1336">
        <v>29.150840446727969</v>
      </c>
      <c r="J1336">
        <v>28.898182858637089</v>
      </c>
      <c r="K1336">
        <v>28.892615798129661</v>
      </c>
      <c r="L1336">
        <v>15.24207637505935</v>
      </c>
      <c r="M1336">
        <v>25.335585310450661</v>
      </c>
      <c r="N1336">
        <v>29.459859519939148</v>
      </c>
      <c r="O1336">
        <v>26.703137721457193</v>
      </c>
      <c r="P1336">
        <v>44.089790586034596</v>
      </c>
      <c r="Q1336">
        <v>43.360195755858676</v>
      </c>
      <c r="R1336">
        <v>40.541366910850243</v>
      </c>
      <c r="S1336">
        <v>26.782015982935533</v>
      </c>
      <c r="T1336">
        <v>45.672575256201029</v>
      </c>
      <c r="U1336">
        <f>AVERAGE(G1336:T1336)</f>
        <v>32.08447642675096</v>
      </c>
      <c r="V1336" t="str">
        <f t="shared" si="153"/>
        <v>2019/20Expenditure driversBusiness SupportDNO Actual</v>
      </c>
    </row>
    <row r="1337" spans="1:22">
      <c r="A1337" s="900" t="s">
        <v>126</v>
      </c>
      <c r="B1337" s="900"/>
      <c r="C1337" s="900" t="s">
        <v>1344</v>
      </c>
      <c r="D1337" t="s">
        <v>107</v>
      </c>
      <c r="E1337" t="s">
        <v>1349</v>
      </c>
      <c r="F1337" t="s">
        <v>1289</v>
      </c>
      <c r="G1337">
        <v>41.234875866459689</v>
      </c>
      <c r="H1337">
        <v>24.435746099379035</v>
      </c>
      <c r="I1337">
        <v>27.429184454340302</v>
      </c>
      <c r="J1337">
        <v>29.886577443425001</v>
      </c>
      <c r="K1337">
        <v>30.442535945908279</v>
      </c>
      <c r="L1337">
        <v>16.703083547780686</v>
      </c>
      <c r="M1337">
        <v>25.212231518151256</v>
      </c>
      <c r="N1337">
        <v>28.670507741385624</v>
      </c>
      <c r="O1337">
        <v>28.274680048462816</v>
      </c>
      <c r="P1337">
        <v>44.388273718735242</v>
      </c>
      <c r="Q1337">
        <v>42.549526778393869</v>
      </c>
      <c r="R1337">
        <v>39.711095794900224</v>
      </c>
      <c r="S1337">
        <v>30.651026575861156</v>
      </c>
      <c r="T1337">
        <v>54.773286154051256</v>
      </c>
      <c r="U1337">
        <f>AVERAGE(G1337:T1337)</f>
        <v>33.16875940623104</v>
      </c>
      <c r="V1337" t="str">
        <f t="shared" si="153"/>
        <v>2020/21Expenditure driversBusiness SupportDNO Actual</v>
      </c>
    </row>
    <row r="1338" spans="1:22">
      <c r="A1338" s="900" t="s">
        <v>142</v>
      </c>
      <c r="B1338" s="900"/>
      <c r="C1338" s="900" t="s">
        <v>1344</v>
      </c>
      <c r="D1338" t="s">
        <v>107</v>
      </c>
      <c r="E1338" t="s">
        <v>1349</v>
      </c>
      <c r="F1338" t="s">
        <v>1289</v>
      </c>
      <c r="G1338">
        <v>45.24783127590397</v>
      </c>
      <c r="H1338">
        <v>23.737596829928219</v>
      </c>
      <c r="I1338">
        <v>26.289265328812863</v>
      </c>
      <c r="J1338">
        <v>35.716099999999997</v>
      </c>
      <c r="K1338">
        <v>36.616300000000003</v>
      </c>
      <c r="L1338">
        <v>21.807199999999998</v>
      </c>
      <c r="M1338">
        <v>31.001499999999997</v>
      </c>
      <c r="N1338">
        <v>28.886573956422513</v>
      </c>
      <c r="O1338">
        <v>27.270940122269508</v>
      </c>
      <c r="P1338">
        <v>45.027105859842656</v>
      </c>
      <c r="Q1338">
        <v>42.882538442591823</v>
      </c>
      <c r="R1338">
        <v>39.559152887016189</v>
      </c>
      <c r="S1338">
        <v>35.887961007984806</v>
      </c>
      <c r="T1338">
        <v>53.863992002606217</v>
      </c>
      <c r="U1338">
        <f>AVERAGE(G1338:T1338)</f>
        <v>35.271004122384198</v>
      </c>
      <c r="V1338" t="str">
        <f t="shared" ref="V1338" si="156">CONCATENATE(A1338,B1338,C1338,D1338,E1338)</f>
        <v>2021/22Expenditure driversBusiness SupportDNO Actual</v>
      </c>
    </row>
    <row r="1339" spans="1:22">
      <c r="A1339" s="900" t="s">
        <v>137</v>
      </c>
      <c r="B1339" s="900"/>
      <c r="C1339" s="900" t="s">
        <v>1344</v>
      </c>
      <c r="D1339" t="s">
        <v>107</v>
      </c>
      <c r="E1339" t="s">
        <v>297</v>
      </c>
      <c r="F1339" t="s">
        <v>1289</v>
      </c>
      <c r="G1339">
        <f t="array" ref="G1339:T1342">TRANSPOSE('Ch4 expenditure drivers'!AF251:AI264)</f>
        <v>39.760963324215062</v>
      </c>
      <c r="H1339">
        <v>24.736727474494121</v>
      </c>
      <c r="I1339">
        <v>28.632984715933425</v>
      </c>
      <c r="J1339">
        <v>34.850200593562079</v>
      </c>
      <c r="K1339">
        <v>36.297523233765432</v>
      </c>
      <c r="L1339">
        <v>18.88067707578135</v>
      </c>
      <c r="M1339">
        <v>29.910832433904034</v>
      </c>
      <c r="N1339">
        <v>30.431469846216093</v>
      </c>
      <c r="O1339">
        <v>31.172773602797289</v>
      </c>
      <c r="P1339">
        <v>38.652205684247974</v>
      </c>
      <c r="Q1339">
        <v>26.459466890698884</v>
      </c>
      <c r="R1339">
        <v>22.079742952789559</v>
      </c>
      <c r="S1339">
        <v>24.661791315331264</v>
      </c>
      <c r="T1339">
        <v>39.348872052492347</v>
      </c>
      <c r="U1339">
        <f t="shared" si="155"/>
        <v>30.419730799730637</v>
      </c>
      <c r="V1339" t="str">
        <f t="shared" si="153"/>
        <v>2015/16Expenditure driversBusiness SupportAllowance</v>
      </c>
    </row>
    <row r="1340" spans="1:22">
      <c r="A1340" s="900" t="s">
        <v>137</v>
      </c>
      <c r="B1340" s="900"/>
      <c r="C1340" s="900" t="s">
        <v>1344</v>
      </c>
      <c r="D1340" t="s">
        <v>107</v>
      </c>
      <c r="E1340" t="s">
        <v>298</v>
      </c>
      <c r="F1340" t="s">
        <v>1289</v>
      </c>
      <c r="G1340">
        <v>36.306757426485134</v>
      </c>
      <c r="H1340">
        <v>23.279389990347564</v>
      </c>
      <c r="I1340">
        <v>25.524521780824674</v>
      </c>
      <c r="J1340">
        <v>31.813957411740219</v>
      </c>
      <c r="K1340">
        <v>31.924659918360426</v>
      </c>
      <c r="L1340">
        <v>16.876914969182799</v>
      </c>
      <c r="M1340">
        <v>27.84485876430524</v>
      </c>
      <c r="N1340">
        <v>25.878323929285663</v>
      </c>
      <c r="O1340">
        <v>22.212433569051122</v>
      </c>
      <c r="P1340">
        <v>32.524585895379239</v>
      </c>
      <c r="Q1340">
        <v>27.280393558568079</v>
      </c>
      <c r="R1340">
        <v>31.480731861569591</v>
      </c>
      <c r="S1340">
        <v>23.163956468307198</v>
      </c>
      <c r="T1340">
        <v>38.925680184399518</v>
      </c>
      <c r="U1340">
        <f t="shared" si="155"/>
        <v>28.216940409129041</v>
      </c>
      <c r="V1340" t="str">
        <f t="shared" si="153"/>
        <v>2015/16Expenditure driversBusiness SupportActual</v>
      </c>
    </row>
    <row r="1341" spans="1:22">
      <c r="A1341" s="900" t="s">
        <v>137</v>
      </c>
      <c r="B1341" s="900"/>
      <c r="C1341" s="900" t="s">
        <v>1344</v>
      </c>
      <c r="D1341" t="s">
        <v>107</v>
      </c>
      <c r="E1341" t="s">
        <v>602</v>
      </c>
      <c r="F1341" t="s">
        <v>1289</v>
      </c>
      <c r="G1341">
        <v>-3.4542058977299277</v>
      </c>
      <c r="H1341">
        <v>-1.4573374841465565</v>
      </c>
      <c r="I1341">
        <v>-3.1084629351087507</v>
      </c>
      <c r="J1341">
        <v>-3.0362431818218596</v>
      </c>
      <c r="K1341">
        <v>-4.3728633154050058</v>
      </c>
      <c r="L1341">
        <v>-2.0037621065985505</v>
      </c>
      <c r="M1341">
        <v>-2.0659736695987938</v>
      </c>
      <c r="N1341">
        <v>-4.5531459169304291</v>
      </c>
      <c r="O1341">
        <v>-8.9603400337461672</v>
      </c>
      <c r="P1341">
        <v>-6.1276197888687349</v>
      </c>
      <c r="Q1341">
        <v>0.82092666786919466</v>
      </c>
      <c r="R1341">
        <v>9.4009889087800325</v>
      </c>
      <c r="S1341">
        <v>-1.4978348470240661</v>
      </c>
      <c r="T1341">
        <v>-0.42319186809282883</v>
      </c>
      <c r="U1341">
        <f>U1340-U1339</f>
        <v>-2.2027903906015958</v>
      </c>
      <c r="V1341" t="str">
        <f t="shared" si="153"/>
        <v>2015/16Expenditure driversBusiness SupportDifference</v>
      </c>
    </row>
    <row r="1342" spans="1:22">
      <c r="A1342" s="900" t="s">
        <v>137</v>
      </c>
      <c r="B1342" s="900"/>
      <c r="C1342" s="900" t="s">
        <v>1344</v>
      </c>
      <c r="D1342" t="s">
        <v>107</v>
      </c>
      <c r="E1342" t="s">
        <v>1346</v>
      </c>
      <c r="F1342" t="s">
        <v>606</v>
      </c>
      <c r="G1342" s="829">
        <v>-8.6874301046581059E-2</v>
      </c>
      <c r="H1342" s="829">
        <v>-5.8913915983802134E-2</v>
      </c>
      <c r="I1342" s="829">
        <v>-0.10856230902742672</v>
      </c>
      <c r="J1342" s="829">
        <v>-8.7122688825577332E-2</v>
      </c>
      <c r="K1342" s="829">
        <v>-0.12047277405796081</v>
      </c>
      <c r="L1342" s="829">
        <v>-0.10612766155345241</v>
      </c>
      <c r="M1342" s="829">
        <v>-6.9071085673195962E-2</v>
      </c>
      <c r="N1342" s="829">
        <v>-0.14961965162838087</v>
      </c>
      <c r="O1342" s="829">
        <v>-0.28744121867109418</v>
      </c>
      <c r="P1342" s="829">
        <v>-0.15853221518393032</v>
      </c>
      <c r="Q1342" s="829">
        <v>3.1025820409018499E-2</v>
      </c>
      <c r="R1342" s="829">
        <v>0.4257743819246913</v>
      </c>
      <c r="S1342" s="829">
        <v>-6.0735038581439992E-2</v>
      </c>
      <c r="T1342" s="829">
        <v>-1.0754866556995094E-2</v>
      </c>
      <c r="U1342" s="829">
        <f>U1341/U1339</f>
        <v>-7.2413211185323872E-2</v>
      </c>
      <c r="V1342" t="str">
        <f t="shared" si="153"/>
        <v>2015/16Expenditure driversBusiness SupportDifference %</v>
      </c>
    </row>
    <row r="1343" spans="1:22">
      <c r="A1343" s="900" t="s">
        <v>138</v>
      </c>
      <c r="B1343" s="900"/>
      <c r="C1343" s="900" t="s">
        <v>1344</v>
      </c>
      <c r="D1343" t="s">
        <v>107</v>
      </c>
      <c r="E1343" t="s">
        <v>297</v>
      </c>
      <c r="F1343" t="s">
        <v>1289</v>
      </c>
      <c r="G1343">
        <f t="array" ref="G1343:T1346">TRANSPOSE('Ch4 expenditure drivers'!AK251:AN264)</f>
        <v>38.02776106543017</v>
      </c>
      <c r="H1343">
        <v>24.726644526005106</v>
      </c>
      <c r="I1343">
        <v>28.246141995880105</v>
      </c>
      <c r="J1343">
        <v>34.901899374659294</v>
      </c>
      <c r="K1343">
        <v>36.303484148795746</v>
      </c>
      <c r="L1343">
        <v>18.876010723437897</v>
      </c>
      <c r="M1343">
        <v>29.98911808566028</v>
      </c>
      <c r="N1343">
        <v>29.75612731301289</v>
      </c>
      <c r="O1343">
        <v>30.705877097085409</v>
      </c>
      <c r="P1343">
        <v>37.835681836373396</v>
      </c>
      <c r="Q1343">
        <v>26.660655465101058</v>
      </c>
      <c r="R1343">
        <v>21.698935172743603</v>
      </c>
      <c r="S1343">
        <v>24.960264851901727</v>
      </c>
      <c r="T1343">
        <v>39.265022930836913</v>
      </c>
      <c r="U1343">
        <f t="shared" si="155"/>
        <v>30.139544613351688</v>
      </c>
      <c r="V1343" t="str">
        <f t="shared" si="153"/>
        <v>2016/17Expenditure driversBusiness SupportAllowance</v>
      </c>
    </row>
    <row r="1344" spans="1:22">
      <c r="A1344" s="900" t="s">
        <v>138</v>
      </c>
      <c r="B1344" s="900"/>
      <c r="C1344" s="900" t="s">
        <v>1344</v>
      </c>
      <c r="D1344" t="s">
        <v>107</v>
      </c>
      <c r="E1344" t="s">
        <v>298</v>
      </c>
      <c r="F1344" t="s">
        <v>1289</v>
      </c>
      <c r="G1344">
        <v>21.757961793877509</v>
      </c>
      <c r="H1344">
        <v>24.825663868539984</v>
      </c>
      <c r="I1344">
        <v>27.164454880531078</v>
      </c>
      <c r="J1344">
        <v>30.55969102765366</v>
      </c>
      <c r="K1344">
        <v>30.59374330847724</v>
      </c>
      <c r="L1344">
        <v>16.197965457825145</v>
      </c>
      <c r="M1344">
        <v>26.442065746135732</v>
      </c>
      <c r="N1344">
        <v>24.833343436077346</v>
      </c>
      <c r="O1344">
        <v>24.922133788762345</v>
      </c>
      <c r="P1344">
        <v>36.762368301981212</v>
      </c>
      <c r="Q1344">
        <v>30.261763491481272</v>
      </c>
      <c r="R1344">
        <v>34.844063592148935</v>
      </c>
      <c r="S1344">
        <v>25.7166944099049</v>
      </c>
      <c r="T1344">
        <v>38.066248492087027</v>
      </c>
      <c r="U1344">
        <f t="shared" si="155"/>
        <v>28.067725828248808</v>
      </c>
      <c r="V1344" t="str">
        <f t="shared" si="153"/>
        <v>2016/17Expenditure driversBusiness SupportActual</v>
      </c>
    </row>
    <row r="1345" spans="1:22">
      <c r="A1345" s="900" t="s">
        <v>138</v>
      </c>
      <c r="B1345" s="900"/>
      <c r="C1345" s="900" t="s">
        <v>1344</v>
      </c>
      <c r="D1345" t="s">
        <v>107</v>
      </c>
      <c r="E1345" t="s">
        <v>602</v>
      </c>
      <c r="F1345" t="s">
        <v>1289</v>
      </c>
      <c r="G1345">
        <v>-16.26979927155266</v>
      </c>
      <c r="H1345">
        <v>9.9019342534877097E-2</v>
      </c>
      <c r="I1345">
        <v>-1.0816871153490268</v>
      </c>
      <c r="J1345">
        <v>-4.3422083470056343</v>
      </c>
      <c r="K1345">
        <v>-5.7097408403185064</v>
      </c>
      <c r="L1345">
        <v>-2.6780452656127522</v>
      </c>
      <c r="M1345">
        <v>-3.5470523395245479</v>
      </c>
      <c r="N1345">
        <v>-4.9227838769355436</v>
      </c>
      <c r="O1345">
        <v>-5.7837433083230643</v>
      </c>
      <c r="P1345">
        <v>-1.0733135343921845</v>
      </c>
      <c r="Q1345">
        <v>3.6011080263802135</v>
      </c>
      <c r="R1345">
        <v>13.145128419405331</v>
      </c>
      <c r="S1345">
        <v>0.75642955800317324</v>
      </c>
      <c r="T1345">
        <v>-1.1987744387498864</v>
      </c>
      <c r="U1345">
        <f>U1344-U1343</f>
        <v>-2.0718187851028809</v>
      </c>
      <c r="V1345" t="str">
        <f t="shared" si="153"/>
        <v>2016/17Expenditure driversBusiness SupportDifference</v>
      </c>
    </row>
    <row r="1346" spans="1:22">
      <c r="A1346" s="900" t="s">
        <v>138</v>
      </c>
      <c r="B1346" s="900"/>
      <c r="C1346" s="900" t="s">
        <v>1344</v>
      </c>
      <c r="D1346" t="s">
        <v>107</v>
      </c>
      <c r="E1346" t="s">
        <v>1346</v>
      </c>
      <c r="F1346" t="s">
        <v>606</v>
      </c>
      <c r="G1346" s="829">
        <v>-0.42784005199672454</v>
      </c>
      <c r="H1346" s="829">
        <v>4.0045604421068163E-3</v>
      </c>
      <c r="I1346" s="829">
        <v>-3.8295039213029458E-2</v>
      </c>
      <c r="J1346" s="829">
        <v>-0.12441180637172765</v>
      </c>
      <c r="K1346" s="829">
        <v>-0.15727804022655795</v>
      </c>
      <c r="L1346" s="829">
        <v>-0.14187559568863176</v>
      </c>
      <c r="M1346" s="829">
        <v>-0.11827798101274012</v>
      </c>
      <c r="N1346" s="829">
        <v>-0.16543765339996788</v>
      </c>
      <c r="O1346" s="829">
        <v>-0.18835948864238941</v>
      </c>
      <c r="P1346" s="829">
        <v>-2.8367759804987912E-2</v>
      </c>
      <c r="Q1346" s="829">
        <v>0.1350719989271863</v>
      </c>
      <c r="R1346" s="829">
        <v>0.60579601324940346</v>
      </c>
      <c r="S1346" s="829">
        <v>3.0305349822661868E-2</v>
      </c>
      <c r="T1346" s="829">
        <v>-3.0530338435341267E-2</v>
      </c>
      <c r="U1346" s="829">
        <f>U1345/U1343</f>
        <v>-6.8740878858039353E-2</v>
      </c>
      <c r="V1346" t="str">
        <f t="shared" si="153"/>
        <v>2016/17Expenditure driversBusiness SupportDifference %</v>
      </c>
    </row>
    <row r="1347" spans="1:22">
      <c r="A1347" s="900" t="s">
        <v>139</v>
      </c>
      <c r="B1347" s="900"/>
      <c r="C1347" s="900" t="s">
        <v>1344</v>
      </c>
      <c r="D1347" t="s">
        <v>107</v>
      </c>
      <c r="E1347" t="s">
        <v>297</v>
      </c>
      <c r="F1347" t="s">
        <v>1289</v>
      </c>
      <c r="G1347">
        <f t="array" ref="G1347:T1350">TRANSPOSE('Ch4 expenditure drivers'!AP251:AS264)</f>
        <v>37.485336758136498</v>
      </c>
      <c r="H1347">
        <v>24.712787579072799</v>
      </c>
      <c r="I1347">
        <v>28.152223197843245</v>
      </c>
      <c r="J1347">
        <v>34.788031101529995</v>
      </c>
      <c r="K1347">
        <v>36.124111949813482</v>
      </c>
      <c r="L1347">
        <v>18.702148010906559</v>
      </c>
      <c r="M1347">
        <v>29.990707102825752</v>
      </c>
      <c r="N1347">
        <v>28.633560809908126</v>
      </c>
      <c r="O1347">
        <v>29.61483905112814</v>
      </c>
      <c r="P1347">
        <v>36.747796715435392</v>
      </c>
      <c r="Q1347">
        <v>26.42927271838262</v>
      </c>
      <c r="R1347">
        <v>21.038265414830999</v>
      </c>
      <c r="S1347">
        <v>24.926332387475917</v>
      </c>
      <c r="T1347">
        <v>39.643390164700385</v>
      </c>
      <c r="U1347">
        <f t="shared" si="155"/>
        <v>29.784914497284994</v>
      </c>
      <c r="V1347" t="str">
        <f t="shared" si="153"/>
        <v>2017/18Expenditure driversBusiness SupportAllowance</v>
      </c>
    </row>
    <row r="1348" spans="1:22">
      <c r="A1348" s="900" t="s">
        <v>139</v>
      </c>
      <c r="B1348" s="900"/>
      <c r="C1348" s="900" t="s">
        <v>1344</v>
      </c>
      <c r="D1348" t="s">
        <v>107</v>
      </c>
      <c r="E1348" t="s">
        <v>298</v>
      </c>
      <c r="F1348" t="s">
        <v>1289</v>
      </c>
      <c r="G1348">
        <v>38.902158569173409</v>
      </c>
      <c r="H1348">
        <v>25.714943318815177</v>
      </c>
      <c r="I1348">
        <v>28.323704674770099</v>
      </c>
      <c r="J1348">
        <v>29.138776128013735</v>
      </c>
      <c r="K1348">
        <v>29.323609240909683</v>
      </c>
      <c r="L1348">
        <v>15.537639664906077</v>
      </c>
      <c r="M1348">
        <v>26.628418742270142</v>
      </c>
      <c r="N1348">
        <v>29.270245096969827</v>
      </c>
      <c r="O1348">
        <v>25.466462980734416</v>
      </c>
      <c r="P1348">
        <v>44.75226165579965</v>
      </c>
      <c r="Q1348">
        <v>35.89310154797095</v>
      </c>
      <c r="R1348">
        <v>35.530755866262531</v>
      </c>
      <c r="S1348">
        <v>25.778673227120301</v>
      </c>
      <c r="T1348">
        <v>43.643718973613147</v>
      </c>
      <c r="U1348">
        <f t="shared" si="155"/>
        <v>30.993176406237797</v>
      </c>
      <c r="V1348" t="str">
        <f t="shared" si="153"/>
        <v>2017/18Expenditure driversBusiness SupportActual</v>
      </c>
    </row>
    <row r="1349" spans="1:22">
      <c r="A1349" s="900" t="s">
        <v>139</v>
      </c>
      <c r="B1349" s="900"/>
      <c r="C1349" s="900" t="s">
        <v>1344</v>
      </c>
      <c r="D1349" t="s">
        <v>107</v>
      </c>
      <c r="E1349" t="s">
        <v>602</v>
      </c>
      <c r="F1349" t="s">
        <v>1289</v>
      </c>
      <c r="G1349">
        <v>1.4168218110369111</v>
      </c>
      <c r="H1349">
        <v>1.0021557397423777</v>
      </c>
      <c r="I1349">
        <v>0.17148147692685356</v>
      </c>
      <c r="J1349">
        <v>-5.6492549735162605</v>
      </c>
      <c r="K1349">
        <v>-6.8005027089037995</v>
      </c>
      <c r="L1349">
        <v>-3.1645083460004813</v>
      </c>
      <c r="M1349">
        <v>-3.3622883605556098</v>
      </c>
      <c r="N1349">
        <v>0.63668428706170133</v>
      </c>
      <c r="O1349">
        <v>-4.1483760703937236</v>
      </c>
      <c r="P1349">
        <v>8.004464940364258</v>
      </c>
      <c r="Q1349">
        <v>9.4638288295883299</v>
      </c>
      <c r="R1349">
        <v>14.492490451431532</v>
      </c>
      <c r="S1349">
        <v>0.85234083964438412</v>
      </c>
      <c r="T1349">
        <v>4.0003288089127622</v>
      </c>
      <c r="U1349">
        <f>U1348-U1347</f>
        <v>1.2082619089528031</v>
      </c>
      <c r="V1349" t="str">
        <f t="shared" si="153"/>
        <v>2017/18Expenditure driversBusiness SupportDifference</v>
      </c>
    </row>
    <row r="1350" spans="1:22">
      <c r="A1350" s="900" t="s">
        <v>139</v>
      </c>
      <c r="B1350" s="900"/>
      <c r="C1350" s="900" t="s">
        <v>1344</v>
      </c>
      <c r="D1350" t="s">
        <v>107</v>
      </c>
      <c r="E1350" t="s">
        <v>1346</v>
      </c>
      <c r="F1350" t="s">
        <v>606</v>
      </c>
      <c r="G1350" s="829">
        <v>3.7796694216155821E-2</v>
      </c>
      <c r="H1350" s="829">
        <v>4.0552112404794831E-2</v>
      </c>
      <c r="I1350" s="829">
        <v>6.0912232658055527E-3</v>
      </c>
      <c r="J1350" s="829">
        <v>-0.16239076471527597</v>
      </c>
      <c r="K1350" s="829">
        <v>-0.18825383772344645</v>
      </c>
      <c r="L1350" s="829">
        <v>-0.16920560911800239</v>
      </c>
      <c r="M1350" s="829">
        <v>-0.1121110065537205</v>
      </c>
      <c r="N1350" s="829">
        <v>2.2235595890029446E-2</v>
      </c>
      <c r="O1350" s="829">
        <v>-0.14007761660402124</v>
      </c>
      <c r="P1350" s="829">
        <v>0.21782162893597634</v>
      </c>
      <c r="Q1350" s="829">
        <v>0.35808131878732541</v>
      </c>
      <c r="R1350" s="829">
        <v>0.68886337184504765</v>
      </c>
      <c r="S1350" s="829">
        <v>3.4194394361548253E-2</v>
      </c>
      <c r="T1350" s="829">
        <v>0.10090783841374823</v>
      </c>
      <c r="U1350" s="829">
        <f>U1349/U1347</f>
        <v>4.0566237283069607E-2</v>
      </c>
      <c r="V1350" t="str">
        <f t="shared" si="153"/>
        <v>2017/18Expenditure driversBusiness SupportDifference %</v>
      </c>
    </row>
    <row r="1351" spans="1:22">
      <c r="A1351" s="900" t="s">
        <v>140</v>
      </c>
      <c r="B1351" s="900"/>
      <c r="C1351" s="900" t="s">
        <v>1344</v>
      </c>
      <c r="D1351" t="s">
        <v>107</v>
      </c>
      <c r="E1351" t="s">
        <v>297</v>
      </c>
      <c r="F1351" t="s">
        <v>1289</v>
      </c>
      <c r="G1351">
        <f t="array" ref="G1351:T1354">TRANSPOSE('Ch4 expenditure drivers'!AU251:AX264)</f>
        <v>37.366549476696477</v>
      </c>
      <c r="H1351">
        <v>24.755030259322901</v>
      </c>
      <c r="I1351">
        <v>28.353421113560717</v>
      </c>
      <c r="J1351">
        <v>34.878162260666123</v>
      </c>
      <c r="K1351">
        <v>36.153053910090478</v>
      </c>
      <c r="L1351">
        <v>18.843757985216218</v>
      </c>
      <c r="M1351">
        <v>30.060156615693227</v>
      </c>
      <c r="N1351">
        <v>28.383018999451174</v>
      </c>
      <c r="O1351">
        <v>29.278922511291416</v>
      </c>
      <c r="P1351">
        <v>36.672008230077573</v>
      </c>
      <c r="Q1351">
        <v>26.150874432837217</v>
      </c>
      <c r="R1351">
        <v>20.284215710999593</v>
      </c>
      <c r="S1351">
        <v>25.114084658917996</v>
      </c>
      <c r="T1351">
        <v>39.810527988393275</v>
      </c>
      <c r="U1351">
        <f>AVERAGE(G1351:T1351)</f>
        <v>29.72169886808674</v>
      </c>
      <c r="V1351" t="str">
        <f t="shared" si="153"/>
        <v>2018/19Expenditure driversBusiness SupportAllowance</v>
      </c>
    </row>
    <row r="1352" spans="1:22">
      <c r="A1352" s="900" t="s">
        <v>140</v>
      </c>
      <c r="B1352" s="900"/>
      <c r="C1352" s="900" t="s">
        <v>1344</v>
      </c>
      <c r="D1352" t="s">
        <v>107</v>
      </c>
      <c r="E1352" t="s">
        <v>298</v>
      </c>
      <c r="F1352" t="s">
        <v>1289</v>
      </c>
      <c r="G1352">
        <v>37.946768533183246</v>
      </c>
      <c r="H1352">
        <v>23.649508900628302</v>
      </c>
      <c r="I1352">
        <v>27.498935723166504</v>
      </c>
      <c r="J1352">
        <v>28.382892876304233</v>
      </c>
      <c r="K1352">
        <v>29.458241252629644</v>
      </c>
      <c r="L1352">
        <v>15.708587158851852</v>
      </c>
      <c r="M1352">
        <v>24.896769618930634</v>
      </c>
      <c r="N1352">
        <v>29.664569860180503</v>
      </c>
      <c r="O1352">
        <v>25.301439723010514</v>
      </c>
      <c r="P1352">
        <v>42.301343541438122</v>
      </c>
      <c r="Q1352">
        <v>43.740756325478657</v>
      </c>
      <c r="R1352">
        <v>39.18312690275679</v>
      </c>
      <c r="S1352">
        <v>25.833855004661149</v>
      </c>
      <c r="T1352">
        <v>44.280616722266174</v>
      </c>
      <c r="U1352">
        <f>AVERAGE(G1352:T1352)</f>
        <v>31.274815153106164</v>
      </c>
      <c r="V1352" t="str">
        <f t="shared" si="153"/>
        <v>2018/19Expenditure driversBusiness SupportActual</v>
      </c>
    </row>
    <row r="1353" spans="1:22">
      <c r="A1353" s="900" t="s">
        <v>140</v>
      </c>
      <c r="B1353" s="900"/>
      <c r="C1353" s="900" t="s">
        <v>1344</v>
      </c>
      <c r="D1353" t="s">
        <v>107</v>
      </c>
      <c r="E1353" t="s">
        <v>602</v>
      </c>
      <c r="F1353" t="s">
        <v>1289</v>
      </c>
      <c r="G1353">
        <v>0.58021905648676864</v>
      </c>
      <c r="H1353">
        <v>-1.1055213586945989</v>
      </c>
      <c r="I1353">
        <v>-0.85448539039421334</v>
      </c>
      <c r="J1353">
        <v>-6.4952693843618903</v>
      </c>
      <c r="K1353">
        <v>-6.6948126574608331</v>
      </c>
      <c r="L1353">
        <v>-3.1351708263643658</v>
      </c>
      <c r="M1353">
        <v>-5.1633869967625934</v>
      </c>
      <c r="N1353">
        <v>1.2815508607293289</v>
      </c>
      <c r="O1353">
        <v>-3.9774827882809021</v>
      </c>
      <c r="P1353">
        <v>5.6293353113605491</v>
      </c>
      <c r="Q1353">
        <v>17.58988189264144</v>
      </c>
      <c r="R1353">
        <v>18.898911191757197</v>
      </c>
      <c r="S1353">
        <v>0.71977034574315368</v>
      </c>
      <c r="T1353">
        <v>4.470088733872899</v>
      </c>
      <c r="U1353">
        <f>U1352-U1351</f>
        <v>1.5531162850194242</v>
      </c>
      <c r="V1353" t="str">
        <f t="shared" si="153"/>
        <v>2018/19Expenditure driversBusiness SupportDifference</v>
      </c>
    </row>
    <row r="1354" spans="1:22">
      <c r="A1354" s="900" t="s">
        <v>140</v>
      </c>
      <c r="B1354" s="900"/>
      <c r="C1354" s="900" t="s">
        <v>1344</v>
      </c>
      <c r="D1354" t="s">
        <v>107</v>
      </c>
      <c r="E1354" t="s">
        <v>1346</v>
      </c>
      <c r="F1354" t="s">
        <v>606</v>
      </c>
      <c r="G1354" s="829">
        <v>1.5527766534842086E-2</v>
      </c>
      <c r="H1354" s="829">
        <v>-4.4658453135126043E-2</v>
      </c>
      <c r="I1354" s="829">
        <v>-3.0136941393133502E-2</v>
      </c>
      <c r="J1354" s="829">
        <v>-0.18622739741327873</v>
      </c>
      <c r="K1354" s="829">
        <v>-0.18517972711545347</v>
      </c>
      <c r="L1354" s="829">
        <v>-0.16637715411246787</v>
      </c>
      <c r="M1354" s="829">
        <v>-0.17176846623836256</v>
      </c>
      <c r="N1354" s="829">
        <v>4.5152027723129436E-2</v>
      </c>
      <c r="O1354" s="829">
        <v>-0.13584799053814176</v>
      </c>
      <c r="P1354" s="829">
        <v>0.15350496422346166</v>
      </c>
      <c r="Q1354" s="829">
        <v>0.67263073507607529</v>
      </c>
      <c r="R1354" s="829">
        <v>0.93170529543860148</v>
      </c>
      <c r="S1354" s="829">
        <v>2.8660027053287952E-2</v>
      </c>
      <c r="T1354" s="829">
        <v>0.11228408563624551</v>
      </c>
      <c r="U1354" s="829">
        <f>U1353/U1351</f>
        <v>5.2255299803439605E-2</v>
      </c>
      <c r="V1354" t="str">
        <f t="shared" si="153"/>
        <v>2018/19Expenditure driversBusiness SupportDifference %</v>
      </c>
    </row>
    <row r="1355" spans="1:22">
      <c r="A1355" s="900" t="s">
        <v>141</v>
      </c>
      <c r="B1355" s="900"/>
      <c r="C1355" s="900" t="s">
        <v>1344</v>
      </c>
      <c r="D1355" t="s">
        <v>107</v>
      </c>
      <c r="E1355" t="s">
        <v>297</v>
      </c>
      <c r="F1355" t="s">
        <v>1289</v>
      </c>
      <c r="G1355" s="229">
        <f t="array" ref="G1355:T1358">TRANSPOSE('Ch4 expenditure drivers'!AZ251:BC264)</f>
        <v>36.732112920532899</v>
      </c>
      <c r="H1355" s="229">
        <v>24.512299352092768</v>
      </c>
      <c r="I1355" s="229">
        <v>27.887295144560785</v>
      </c>
      <c r="J1355" s="229">
        <v>35.157462389632755</v>
      </c>
      <c r="K1355" s="229">
        <v>36.370915439097701</v>
      </c>
      <c r="L1355" s="229">
        <v>18.774246877981803</v>
      </c>
      <c r="M1355" s="229">
        <v>30.173884949815818</v>
      </c>
      <c r="N1355" s="229">
        <v>27.911678352082429</v>
      </c>
      <c r="O1355" s="229">
        <v>28.682319729088182</v>
      </c>
      <c r="P1355" s="229">
        <v>36.007943112044039</v>
      </c>
      <c r="Q1355" s="229">
        <v>26.133160979405737</v>
      </c>
      <c r="R1355" s="229">
        <v>20.143035704444351</v>
      </c>
      <c r="S1355" s="229">
        <v>24.604438820203313</v>
      </c>
      <c r="T1355" s="229">
        <v>39.644511870209755</v>
      </c>
      <c r="U1355">
        <f>AVERAGE(G1355:T1355)</f>
        <v>29.481093260085157</v>
      </c>
      <c r="V1355" t="str">
        <f t="shared" si="153"/>
        <v>2019/20Expenditure driversBusiness SupportAllowance</v>
      </c>
    </row>
    <row r="1356" spans="1:22">
      <c r="A1356" s="900" t="s">
        <v>141</v>
      </c>
      <c r="B1356" s="900"/>
      <c r="C1356" s="900" t="s">
        <v>1344</v>
      </c>
      <c r="D1356" t="s">
        <v>107</v>
      </c>
      <c r="E1356" t="s">
        <v>298</v>
      </c>
      <c r="F1356" t="s">
        <v>1289</v>
      </c>
      <c r="G1356" s="229">
        <v>41.102315691644975</v>
      </c>
      <c r="H1356" s="229">
        <v>23.952111760587361</v>
      </c>
      <c r="I1356" s="229">
        <v>29.150840446727969</v>
      </c>
      <c r="J1356" s="229">
        <v>28.898182858637089</v>
      </c>
      <c r="K1356" s="229">
        <v>28.892615798129661</v>
      </c>
      <c r="L1356" s="229">
        <v>15.24207637505935</v>
      </c>
      <c r="M1356" s="229">
        <v>25.335585310450661</v>
      </c>
      <c r="N1356" s="229">
        <v>29.459859519939148</v>
      </c>
      <c r="O1356" s="229">
        <v>26.703137721457193</v>
      </c>
      <c r="P1356" s="229">
        <v>44.089790586034596</v>
      </c>
      <c r="Q1356" s="229">
        <v>43.360195755858676</v>
      </c>
      <c r="R1356" s="229">
        <v>40.541366910850243</v>
      </c>
      <c r="S1356" s="229">
        <v>26.782015982935533</v>
      </c>
      <c r="T1356" s="229">
        <v>45.672575256201029</v>
      </c>
      <c r="U1356">
        <f>AVERAGE(G1356:T1356)</f>
        <v>32.08447642675096</v>
      </c>
      <c r="V1356" t="str">
        <f t="shared" si="153"/>
        <v>2019/20Expenditure driversBusiness SupportActual</v>
      </c>
    </row>
    <row r="1357" spans="1:22">
      <c r="A1357" s="900" t="s">
        <v>141</v>
      </c>
      <c r="B1357" s="900"/>
      <c r="C1357" s="900" t="s">
        <v>1344</v>
      </c>
      <c r="D1357" t="s">
        <v>107</v>
      </c>
      <c r="E1357" t="s">
        <v>602</v>
      </c>
      <c r="F1357" t="s">
        <v>1289</v>
      </c>
      <c r="G1357" s="229">
        <v>4.3702027711120763</v>
      </c>
      <c r="H1357" s="229">
        <v>-0.56018759150540731</v>
      </c>
      <c r="I1357" s="229">
        <v>1.2635453021671843</v>
      </c>
      <c r="J1357" s="229">
        <v>-6.2592795309956664</v>
      </c>
      <c r="K1357" s="229">
        <v>-7.4782996409680393</v>
      </c>
      <c r="L1357" s="229">
        <v>-3.5321705029224528</v>
      </c>
      <c r="M1357" s="229">
        <v>-4.8382996393651574</v>
      </c>
      <c r="N1357" s="229">
        <v>1.5481811678567183</v>
      </c>
      <c r="O1357" s="229">
        <v>-1.9791820076309889</v>
      </c>
      <c r="P1357" s="229">
        <v>8.0818474739905568</v>
      </c>
      <c r="Q1357" s="229">
        <v>17.227034776452939</v>
      </c>
      <c r="R1357" s="229">
        <v>20.398331206405892</v>
      </c>
      <c r="S1357" s="229">
        <v>2.17757716273222</v>
      </c>
      <c r="T1357" s="229">
        <v>6.028063385991274</v>
      </c>
      <c r="U1357">
        <f>U1356-U1355</f>
        <v>2.6033831666658038</v>
      </c>
      <c r="V1357" t="str">
        <f t="shared" si="153"/>
        <v>2019/20Expenditure driversBusiness SupportDifference</v>
      </c>
    </row>
    <row r="1358" spans="1:22">
      <c r="A1358" s="900" t="s">
        <v>141</v>
      </c>
      <c r="B1358" s="900"/>
      <c r="C1358" s="900" t="s">
        <v>1344</v>
      </c>
      <c r="D1358" t="s">
        <v>107</v>
      </c>
      <c r="E1358" t="s">
        <v>1346</v>
      </c>
      <c r="F1358" t="s">
        <v>606</v>
      </c>
      <c r="G1358" s="829">
        <v>0.11897499010107787</v>
      </c>
      <c r="H1358" s="829">
        <v>-2.2853326954722451E-2</v>
      </c>
      <c r="I1358" s="829">
        <v>4.5308994494348789E-2</v>
      </c>
      <c r="J1358" s="829">
        <v>-0.17803558919091397</v>
      </c>
      <c r="K1358" s="829">
        <v>-0.2056120818154904</v>
      </c>
      <c r="L1358" s="829">
        <v>-0.1881391315390093</v>
      </c>
      <c r="M1358" s="829">
        <v>-0.16034725549633577</v>
      </c>
      <c r="N1358" s="829">
        <v>5.5467147060370592E-2</v>
      </c>
      <c r="O1358" s="829">
        <v>-6.900355432631905E-2</v>
      </c>
      <c r="P1358" s="829">
        <v>0.22444624089864543</v>
      </c>
      <c r="Q1358" s="829">
        <v>0.65920210685682912</v>
      </c>
      <c r="R1358" s="829">
        <v>1.0126741324250947</v>
      </c>
      <c r="S1358" s="829">
        <v>8.8503427314268093E-2</v>
      </c>
      <c r="T1358" s="829">
        <v>0.15205290976280042</v>
      </c>
      <c r="U1358" s="829">
        <f>U1357/U1355</f>
        <v>8.8306873279715134E-2</v>
      </c>
      <c r="V1358" t="str">
        <f t="shared" si="153"/>
        <v>2019/20Expenditure driversBusiness SupportDifference %</v>
      </c>
    </row>
    <row r="1359" spans="1:22">
      <c r="A1359" s="900" t="s">
        <v>126</v>
      </c>
      <c r="B1359" s="900"/>
      <c r="C1359" s="900" t="s">
        <v>1344</v>
      </c>
      <c r="D1359" t="s">
        <v>107</v>
      </c>
      <c r="E1359" t="s">
        <v>297</v>
      </c>
      <c r="F1359" t="s">
        <v>1289</v>
      </c>
      <c r="G1359" s="229" cm="1">
        <f t="array" ref="G1359:T1362">TRANSPOSE('Ch4 expenditure drivers'!BE251:BH264)</f>
        <v>37.237910703237461</v>
      </c>
      <c r="H1359" s="829">
        <v>24.0708153070522</v>
      </c>
      <c r="I1359" s="829">
        <v>27.427236326306552</v>
      </c>
      <c r="J1359" s="829">
        <v>35.353250335379499</v>
      </c>
      <c r="K1359" s="829">
        <v>36.534919954531809</v>
      </c>
      <c r="L1359" s="829">
        <v>18.91741260122053</v>
      </c>
      <c r="M1359" s="829">
        <v>30.404323689072484</v>
      </c>
      <c r="N1359" s="829">
        <v>27.330628571458583</v>
      </c>
      <c r="O1359" s="829">
        <v>28.188828655008511</v>
      </c>
      <c r="P1359" s="829">
        <v>35.216060845847437</v>
      </c>
      <c r="Q1359" s="829">
        <v>26.040050219051956</v>
      </c>
      <c r="R1359" s="829">
        <v>19.683037029610375</v>
      </c>
      <c r="S1359" s="829">
        <v>24.401518262420005</v>
      </c>
      <c r="T1359" s="829">
        <v>39.139296885511108</v>
      </c>
      <c r="U1359">
        <f>AVERAGE(G1359:T1359)</f>
        <v>29.281806384693464</v>
      </c>
      <c r="V1359" t="str">
        <f t="shared" si="153"/>
        <v>2020/21Expenditure driversBusiness SupportAllowance</v>
      </c>
    </row>
    <row r="1360" spans="1:22">
      <c r="A1360" s="900" t="s">
        <v>126</v>
      </c>
      <c r="B1360" s="900"/>
      <c r="C1360" s="900" t="s">
        <v>1344</v>
      </c>
      <c r="D1360" t="s">
        <v>107</v>
      </c>
      <c r="E1360" t="s">
        <v>298</v>
      </c>
      <c r="F1360" t="s">
        <v>1289</v>
      </c>
      <c r="G1360" s="229">
        <v>41.234875866459689</v>
      </c>
      <c r="H1360" s="229">
        <v>24.435746099379035</v>
      </c>
      <c r="I1360" s="229">
        <v>27.429184454340302</v>
      </c>
      <c r="J1360" s="229">
        <v>29.886577443425001</v>
      </c>
      <c r="K1360" s="229">
        <v>30.442535945908279</v>
      </c>
      <c r="L1360" s="229">
        <v>16.703083547780686</v>
      </c>
      <c r="M1360" s="229">
        <v>25.212231518151256</v>
      </c>
      <c r="N1360" s="229">
        <v>28.670507741385624</v>
      </c>
      <c r="O1360" s="229">
        <v>28.274680048462816</v>
      </c>
      <c r="P1360" s="229">
        <v>44.388273718735242</v>
      </c>
      <c r="Q1360" s="229">
        <v>42.549526778393869</v>
      </c>
      <c r="R1360" s="229">
        <v>39.711095794900224</v>
      </c>
      <c r="S1360" s="229">
        <v>30.651026575861156</v>
      </c>
      <c r="T1360" s="229">
        <v>54.773286154051256</v>
      </c>
      <c r="U1360">
        <f>AVERAGE(G1360:T1360)</f>
        <v>33.16875940623104</v>
      </c>
      <c r="V1360" t="str">
        <f t="shared" si="153"/>
        <v>2020/21Expenditure driversBusiness SupportActual</v>
      </c>
    </row>
    <row r="1361" spans="1:22">
      <c r="A1361" s="900" t="s">
        <v>126</v>
      </c>
      <c r="B1361" s="900"/>
      <c r="C1361" s="900" t="s">
        <v>1344</v>
      </c>
      <c r="D1361" t="s">
        <v>107</v>
      </c>
      <c r="E1361" t="s">
        <v>602</v>
      </c>
      <c r="F1361" t="s">
        <v>1289</v>
      </c>
      <c r="G1361" s="829">
        <v>3.9969651632222281</v>
      </c>
      <c r="H1361" s="829">
        <v>0.36493079232683456</v>
      </c>
      <c r="I1361" s="829">
        <v>1.9481280337494411E-3</v>
      </c>
      <c r="J1361" s="829">
        <v>-5.4666728919544987</v>
      </c>
      <c r="K1361" s="829">
        <v>-6.0923840086235295</v>
      </c>
      <c r="L1361" s="829">
        <v>-2.2143290534398439</v>
      </c>
      <c r="M1361" s="829">
        <v>-5.192092170921228</v>
      </c>
      <c r="N1361" s="829">
        <v>1.3398791699270411</v>
      </c>
      <c r="O1361" s="829">
        <v>8.585139345430548E-2</v>
      </c>
      <c r="P1361" s="829">
        <v>9.1722128728878047</v>
      </c>
      <c r="Q1361" s="829">
        <v>16.509476559341913</v>
      </c>
      <c r="R1361" s="829">
        <v>20.028058765289849</v>
      </c>
      <c r="S1361" s="829">
        <v>6.2495083134411509</v>
      </c>
      <c r="T1361" s="829">
        <v>15.633989268540148</v>
      </c>
      <c r="U1361">
        <f>U1360-U1359</f>
        <v>3.8869530215375754</v>
      </c>
      <c r="V1361" t="str">
        <f t="shared" si="153"/>
        <v>2020/21Expenditure driversBusiness SupportDifference</v>
      </c>
    </row>
    <row r="1362" spans="1:22">
      <c r="A1362" s="900" t="s">
        <v>126</v>
      </c>
      <c r="B1362" s="900"/>
      <c r="C1362" s="900" t="s">
        <v>1344</v>
      </c>
      <c r="D1362" t="s">
        <v>107</v>
      </c>
      <c r="E1362" t="s">
        <v>1346</v>
      </c>
      <c r="F1362" t="s">
        <v>606</v>
      </c>
      <c r="G1362" s="829">
        <v>0.10733591352843359</v>
      </c>
      <c r="H1362" s="829">
        <v>1.5160715898971571E-2</v>
      </c>
      <c r="I1362" s="829">
        <v>7.1028958607867983E-5</v>
      </c>
      <c r="J1362" s="829">
        <v>-0.15462999413334752</v>
      </c>
      <c r="K1362" s="829">
        <v>-0.16675509392673044</v>
      </c>
      <c r="L1362" s="829">
        <v>-0.11705242678361721</v>
      </c>
      <c r="M1362" s="829">
        <v>-0.17076821783696838</v>
      </c>
      <c r="N1362" s="829">
        <v>4.9024820868052738E-2</v>
      </c>
      <c r="O1362" s="829">
        <v>3.0455821525968815E-3</v>
      </c>
      <c r="P1362" s="829">
        <v>0.26045539031289361</v>
      </c>
      <c r="Q1362" s="829">
        <v>0.63400325346772601</v>
      </c>
      <c r="R1362" s="829">
        <v>1.0175288871915669</v>
      </c>
      <c r="S1362" s="829">
        <v>0.25611145364941568</v>
      </c>
      <c r="T1362" s="829">
        <v>0.39944481665759463</v>
      </c>
      <c r="U1362" s="829">
        <f>U1361/U1359</f>
        <v>0.13274293841275481</v>
      </c>
      <c r="V1362" t="str">
        <f t="shared" si="153"/>
        <v>2020/21Expenditure driversBusiness SupportDifference %</v>
      </c>
    </row>
    <row r="1363" spans="1:22">
      <c r="A1363" s="900" t="s">
        <v>142</v>
      </c>
      <c r="B1363" s="900"/>
      <c r="C1363" s="900" t="s">
        <v>1344</v>
      </c>
      <c r="D1363" t="s">
        <v>107</v>
      </c>
      <c r="E1363" t="s">
        <v>297</v>
      </c>
      <c r="F1363" t="s">
        <v>1289</v>
      </c>
      <c r="G1363" s="229" cm="1">
        <f t="array" ref="G1363:T1366">TRANSPOSE('Ch4 expenditure drivers'!BJ251:BM264)</f>
        <v>36.824974419632703</v>
      </c>
      <c r="H1363" s="229">
        <v>23.845713842511355</v>
      </c>
      <c r="I1363" s="229">
        <v>27.089136501718805</v>
      </c>
      <c r="J1363" s="229">
        <v>35.590784908488686</v>
      </c>
      <c r="K1363" s="229">
        <v>36.973048609638823</v>
      </c>
      <c r="L1363" s="229">
        <v>18.948483655655281</v>
      </c>
      <c r="M1363" s="229">
        <v>30.438148111205805</v>
      </c>
      <c r="N1363" s="229">
        <v>26.564064488805652</v>
      </c>
      <c r="O1363" s="229">
        <v>28.00786174714878</v>
      </c>
      <c r="P1363" s="229">
        <v>34.891593290141209</v>
      </c>
      <c r="Q1363" s="229">
        <v>26.00659934948132</v>
      </c>
      <c r="R1363" s="229">
        <v>20.003218763301934</v>
      </c>
      <c r="S1363" s="229">
        <v>24.441628867003125</v>
      </c>
      <c r="T1363" s="229">
        <v>39.126207449226698</v>
      </c>
      <c r="U1363">
        <f>AVERAGE(G1363:T1363)</f>
        <v>29.196533143140016</v>
      </c>
      <c r="V1363" t="str">
        <f t="shared" ref="V1363:V1366" si="157">CONCATENATE(A1363,B1363,C1363,D1363,E1363)</f>
        <v>2021/22Expenditure driversBusiness SupportAllowance</v>
      </c>
    </row>
    <row r="1364" spans="1:22">
      <c r="A1364" s="900" t="s">
        <v>142</v>
      </c>
      <c r="B1364" s="900"/>
      <c r="C1364" s="900" t="s">
        <v>1344</v>
      </c>
      <c r="D1364" t="s">
        <v>107</v>
      </c>
      <c r="E1364" t="s">
        <v>298</v>
      </c>
      <c r="F1364" t="s">
        <v>1289</v>
      </c>
      <c r="G1364" s="229">
        <v>45.24783127590397</v>
      </c>
      <c r="H1364" s="229">
        <v>23.737596829928219</v>
      </c>
      <c r="I1364" s="229">
        <v>26.289265328812863</v>
      </c>
      <c r="J1364" s="229">
        <v>35.716099999999997</v>
      </c>
      <c r="K1364" s="229">
        <v>36.616300000000003</v>
      </c>
      <c r="L1364" s="229">
        <v>21.807199999999998</v>
      </c>
      <c r="M1364" s="229">
        <v>31.001499999999997</v>
      </c>
      <c r="N1364" s="229">
        <v>28.886573956422513</v>
      </c>
      <c r="O1364" s="229">
        <v>27.270940122269508</v>
      </c>
      <c r="P1364" s="229">
        <v>45.027105859842656</v>
      </c>
      <c r="Q1364" s="229">
        <v>42.882538442591823</v>
      </c>
      <c r="R1364" s="229">
        <v>39.559152887016189</v>
      </c>
      <c r="S1364" s="229">
        <v>35.887961007984806</v>
      </c>
      <c r="T1364" s="229">
        <v>53.863992002606217</v>
      </c>
      <c r="U1364">
        <f>AVERAGE(G1364:T1364)</f>
        <v>35.271004122384198</v>
      </c>
      <c r="V1364" t="str">
        <f t="shared" si="157"/>
        <v>2021/22Expenditure driversBusiness SupportActual</v>
      </c>
    </row>
    <row r="1365" spans="1:22">
      <c r="A1365" s="900" t="s">
        <v>142</v>
      </c>
      <c r="B1365" s="900"/>
      <c r="C1365" s="900" t="s">
        <v>1344</v>
      </c>
      <c r="D1365" t="s">
        <v>107</v>
      </c>
      <c r="E1365" t="s">
        <v>602</v>
      </c>
      <c r="F1365" t="s">
        <v>1289</v>
      </c>
      <c r="G1365" s="229">
        <v>8.4228568562712667</v>
      </c>
      <c r="H1365" s="229">
        <v>-0.10811701258313633</v>
      </c>
      <c r="I1365" s="229">
        <v>-0.79987117290594156</v>
      </c>
      <c r="J1365" s="229">
        <v>0.12531509151131104</v>
      </c>
      <c r="K1365" s="229">
        <v>-0.35674860963882082</v>
      </c>
      <c r="L1365" s="229">
        <v>2.8587163443447174</v>
      </c>
      <c r="M1365" s="229">
        <v>0.56335188879419107</v>
      </c>
      <c r="N1365" s="229">
        <v>2.3225094676168609</v>
      </c>
      <c r="O1365" s="229">
        <v>-0.73692162487927249</v>
      </c>
      <c r="P1365" s="229">
        <v>10.135512569701447</v>
      </c>
      <c r="Q1365" s="229">
        <v>16.875939093110503</v>
      </c>
      <c r="R1365" s="229">
        <v>19.555934123714255</v>
      </c>
      <c r="S1365" s="229">
        <v>11.446332140981681</v>
      </c>
      <c r="T1365" s="229">
        <v>14.73778455337952</v>
      </c>
      <c r="U1365">
        <f>U1364-U1363</f>
        <v>6.0744709792441824</v>
      </c>
      <c r="V1365" t="str">
        <f t="shared" si="157"/>
        <v>2021/22Expenditure driversBusiness SupportDifference</v>
      </c>
    </row>
    <row r="1366" spans="1:22">
      <c r="A1366" s="900" t="s">
        <v>142</v>
      </c>
      <c r="B1366" s="900"/>
      <c r="C1366" s="900" t="s">
        <v>1344</v>
      </c>
      <c r="D1366" t="s">
        <v>107</v>
      </c>
      <c r="E1366" t="s">
        <v>1346</v>
      </c>
      <c r="F1366" t="s">
        <v>606</v>
      </c>
      <c r="G1366" s="829">
        <v>0.22872675375928414</v>
      </c>
      <c r="H1366" s="829">
        <v>-4.5340228980853105E-3</v>
      </c>
      <c r="I1366" s="829">
        <v>-2.9527377989888668E-2</v>
      </c>
      <c r="J1366" s="829">
        <v>3.5209982537199509E-3</v>
      </c>
      <c r="K1366" s="829">
        <v>-9.6488827146868524E-3</v>
      </c>
      <c r="L1366" s="829">
        <v>0.15086781593162035</v>
      </c>
      <c r="M1366" s="829">
        <v>1.850808684996158E-2</v>
      </c>
      <c r="N1366" s="829">
        <v>8.7430501028770966E-2</v>
      </c>
      <c r="O1366" s="829">
        <v>-2.6311241876730972E-2</v>
      </c>
      <c r="P1366" s="829">
        <v>0.29048580514565625</v>
      </c>
      <c r="Q1366" s="829">
        <v>0.64890987346437046</v>
      </c>
      <c r="R1366" s="829">
        <v>0.97763936669990981</v>
      </c>
      <c r="S1366" s="829">
        <v>0.46831298369130164</v>
      </c>
      <c r="T1366" s="829">
        <v>0.37667296459807537</v>
      </c>
      <c r="U1366" s="829">
        <f>U1365/U1363</f>
        <v>0.20805452994926671</v>
      </c>
      <c r="V1366" t="str">
        <f t="shared" si="157"/>
        <v>2021/22Expenditure driversBusiness SupportDifference %</v>
      </c>
    </row>
    <row r="1367" spans="1:22">
      <c r="A1367" s="900" t="s">
        <v>137</v>
      </c>
      <c r="B1367" s="900"/>
      <c r="C1367" s="900" t="s">
        <v>1344</v>
      </c>
      <c r="D1367" t="s">
        <v>59</v>
      </c>
      <c r="E1367" t="s">
        <v>1347</v>
      </c>
      <c r="F1367" t="s">
        <v>1289</v>
      </c>
      <c r="G1367">
        <f t="array" ref="G1367:T1374">TRANSPOSE('Ch4 expenditure drivers'!E271:L284)</f>
        <v>7.6619479564946218</v>
      </c>
      <c r="H1367">
        <v>17.05800682662046</v>
      </c>
      <c r="I1367">
        <v>19.997932145167333</v>
      </c>
      <c r="J1367">
        <v>10.737356728572536</v>
      </c>
      <c r="K1367">
        <v>10.349825133434726</v>
      </c>
      <c r="L1367">
        <v>14.950219784395996</v>
      </c>
      <c r="M1367">
        <v>14.428253876475576</v>
      </c>
      <c r="N1367">
        <v>1.19713328807431</v>
      </c>
      <c r="O1367">
        <v>12.936354169149567</v>
      </c>
      <c r="P1367">
        <v>22.132111159527913</v>
      </c>
      <c r="Q1367">
        <v>9.8933893896491707</v>
      </c>
      <c r="R1367">
        <v>15.409025280339488</v>
      </c>
      <c r="S1367">
        <v>10.208588030426476</v>
      </c>
      <c r="T1367">
        <v>31.36095109421224</v>
      </c>
      <c r="U1367">
        <f>AVERAGE(G1367:T1367)</f>
        <v>14.165792490181458</v>
      </c>
      <c r="V1367" t="str">
        <f t="shared" si="153"/>
        <v>2015/16Expenditure driversBlack start, Flood mitigation, Physical security and Tree cuttingBPDT</v>
      </c>
    </row>
    <row r="1368" spans="1:22">
      <c r="A1368" s="900" t="s">
        <v>138</v>
      </c>
      <c r="B1368" s="900"/>
      <c r="C1368" s="900" t="s">
        <v>1344</v>
      </c>
      <c r="D1368" t="s">
        <v>59</v>
      </c>
      <c r="E1368" t="s">
        <v>1347</v>
      </c>
      <c r="F1368" t="s">
        <v>1289</v>
      </c>
      <c r="G1368">
        <v>7.6663615433929158</v>
      </c>
      <c r="H1368">
        <v>14.888764520438507</v>
      </c>
      <c r="I1368">
        <v>18.402869852395103</v>
      </c>
      <c r="J1368">
        <v>11.137365083051215</v>
      </c>
      <c r="K1368">
        <v>11.516191644781514</v>
      </c>
      <c r="L1368">
        <v>13.165697621919058</v>
      </c>
      <c r="M1368">
        <v>14.775120101357654</v>
      </c>
      <c r="N1368">
        <v>1.9172081491871911</v>
      </c>
      <c r="O1368">
        <v>13.081644242497893</v>
      </c>
      <c r="P1368">
        <v>23.763347980621983</v>
      </c>
      <c r="Q1368">
        <v>10.562833137760595</v>
      </c>
      <c r="R1368">
        <v>16.146475962403404</v>
      </c>
      <c r="S1368">
        <v>10.211928044472067</v>
      </c>
      <c r="T1368">
        <v>28.605262588040926</v>
      </c>
      <c r="U1368">
        <f t="shared" ref="U1368:U1399" si="158">AVERAGE(G1368:T1368)</f>
        <v>13.988647890880001</v>
      </c>
      <c r="V1368" t="str">
        <f t="shared" si="153"/>
        <v>2016/17Expenditure driversBlack start, Flood mitigation, Physical security and Tree cuttingBPDT</v>
      </c>
    </row>
    <row r="1369" spans="1:22">
      <c r="A1369" s="900" t="s">
        <v>139</v>
      </c>
      <c r="B1369" s="900"/>
      <c r="C1369" s="900" t="s">
        <v>1344</v>
      </c>
      <c r="D1369" t="s">
        <v>59</v>
      </c>
      <c r="E1369" t="s">
        <v>1347</v>
      </c>
      <c r="F1369" t="s">
        <v>1289</v>
      </c>
      <c r="G1369">
        <v>7.6368728688034642</v>
      </c>
      <c r="H1369">
        <v>8.6324765811507476</v>
      </c>
      <c r="I1369">
        <v>16.65172844494041</v>
      </c>
      <c r="J1369">
        <v>11.616774598363856</v>
      </c>
      <c r="K1369">
        <v>11.086446664204363</v>
      </c>
      <c r="L1369">
        <v>11.961044270519832</v>
      </c>
      <c r="M1369">
        <v>15.070049404103361</v>
      </c>
      <c r="N1369">
        <v>1.2102216479638652</v>
      </c>
      <c r="O1369">
        <v>12.519244490115513</v>
      </c>
      <c r="P1369">
        <v>24.462758159688278</v>
      </c>
      <c r="Q1369">
        <v>11.026431243902669</v>
      </c>
      <c r="R1369">
        <v>15.679326901685657</v>
      </c>
      <c r="S1369">
        <v>10.217797570623976</v>
      </c>
      <c r="T1369">
        <v>26.677913225662468</v>
      </c>
      <c r="U1369">
        <f t="shared" si="158"/>
        <v>13.174934719409178</v>
      </c>
      <c r="V1369" t="str">
        <f t="shared" si="153"/>
        <v>2017/18Expenditure driversBlack start, Flood mitigation, Physical security and Tree cuttingBPDT</v>
      </c>
    </row>
    <row r="1370" spans="1:22">
      <c r="A1370" s="900" t="s">
        <v>140</v>
      </c>
      <c r="B1370" s="900"/>
      <c r="C1370" s="900" t="s">
        <v>1344</v>
      </c>
      <c r="D1370" t="s">
        <v>59</v>
      </c>
      <c r="E1370" t="s">
        <v>1347</v>
      </c>
      <c r="F1370" t="s">
        <v>1289</v>
      </c>
      <c r="G1370">
        <v>7.5880815555797767</v>
      </c>
      <c r="H1370">
        <v>7.9182903360193801</v>
      </c>
      <c r="I1370">
        <v>12.846168019435289</v>
      </c>
      <c r="J1370">
        <v>11.679174464371084</v>
      </c>
      <c r="K1370">
        <v>10.269032302928201</v>
      </c>
      <c r="L1370">
        <v>10.705671445451102</v>
      </c>
      <c r="M1370">
        <v>15.347422539596451</v>
      </c>
      <c r="N1370">
        <v>1.2106313391923496</v>
      </c>
      <c r="O1370">
        <v>12.651521742455099</v>
      </c>
      <c r="P1370">
        <v>24.733107019088663</v>
      </c>
      <c r="Q1370">
        <v>9.8034456820265063</v>
      </c>
      <c r="R1370">
        <v>15.74046720202019</v>
      </c>
      <c r="S1370">
        <v>10.223949838762978</v>
      </c>
      <c r="T1370">
        <v>24.488778359036047</v>
      </c>
      <c r="U1370">
        <f t="shared" si="158"/>
        <v>12.514695846140224</v>
      </c>
      <c r="V1370" t="str">
        <f t="shared" si="153"/>
        <v>2018/19Expenditure driversBlack start, Flood mitigation, Physical security and Tree cuttingBPDT</v>
      </c>
    </row>
    <row r="1371" spans="1:22">
      <c r="A1371" s="900" t="s">
        <v>141</v>
      </c>
      <c r="B1371" s="900"/>
      <c r="C1371" s="900" t="s">
        <v>1344</v>
      </c>
      <c r="D1371" t="s">
        <v>59</v>
      </c>
      <c r="E1371" t="s">
        <v>1347</v>
      </c>
      <c r="F1371" t="s">
        <v>1289</v>
      </c>
      <c r="G1371">
        <v>5.7620698863435527</v>
      </c>
      <c r="H1371">
        <v>5.4285627374569705</v>
      </c>
      <c r="I1371">
        <v>7.080024366511295</v>
      </c>
      <c r="J1371">
        <v>11.539341297625187</v>
      </c>
      <c r="K1371">
        <v>9.9320902906886701</v>
      </c>
      <c r="L1371">
        <v>10.791056936341487</v>
      </c>
      <c r="M1371">
        <v>15.126195548093813</v>
      </c>
      <c r="N1371">
        <v>0.99540658244980373</v>
      </c>
      <c r="O1371">
        <v>12.339655535826079</v>
      </c>
      <c r="P1371">
        <v>23.563405252527478</v>
      </c>
      <c r="Q1371">
        <v>10.520251345890502</v>
      </c>
      <c r="R1371">
        <v>15.90428238879762</v>
      </c>
      <c r="S1371">
        <v>8.7760828358469567</v>
      </c>
      <c r="T1371">
        <v>20.26328927365676</v>
      </c>
      <c r="U1371">
        <f t="shared" si="158"/>
        <v>11.287265305575442</v>
      </c>
      <c r="V1371" t="str">
        <f t="shared" si="153"/>
        <v>2019/20Expenditure driversBlack start, Flood mitigation, Physical security and Tree cuttingBPDT</v>
      </c>
    </row>
    <row r="1372" spans="1:22">
      <c r="A1372" s="900" t="s">
        <v>126</v>
      </c>
      <c r="B1372" s="900"/>
      <c r="C1372" s="900" t="s">
        <v>1344</v>
      </c>
      <c r="D1372" t="s">
        <v>59</v>
      </c>
      <c r="E1372" t="s">
        <v>1347</v>
      </c>
      <c r="F1372" t="s">
        <v>1289</v>
      </c>
      <c r="G1372">
        <v>9.074225909188101</v>
      </c>
      <c r="H1372">
        <v>5.4452836750066718</v>
      </c>
      <c r="I1372">
        <v>7.2663961237375343</v>
      </c>
      <c r="J1372">
        <v>11.608308861467959</v>
      </c>
      <c r="K1372">
        <v>9.5818036572642651</v>
      </c>
      <c r="L1372">
        <v>10.578037840199917</v>
      </c>
      <c r="M1372">
        <v>15.448483482216744</v>
      </c>
      <c r="N1372">
        <v>0.64845889652134747</v>
      </c>
      <c r="O1372">
        <v>11.721529083352463</v>
      </c>
      <c r="P1372">
        <v>22.759459923170589</v>
      </c>
      <c r="Q1372">
        <v>11.123905799275848</v>
      </c>
      <c r="R1372">
        <v>15.744189677571244</v>
      </c>
      <c r="S1372">
        <v>8.7964079770331338</v>
      </c>
      <c r="T1372">
        <v>20.256929741914519</v>
      </c>
      <c r="U1372">
        <f t="shared" si="158"/>
        <v>11.432387189137168</v>
      </c>
      <c r="V1372" t="str">
        <f t="shared" si="153"/>
        <v>2020/21Expenditure driversBlack start, Flood mitigation, Physical security and Tree cuttingBPDT</v>
      </c>
    </row>
    <row r="1373" spans="1:22">
      <c r="A1373" s="900" t="s">
        <v>142</v>
      </c>
      <c r="B1373" s="900"/>
      <c r="C1373" s="900" t="s">
        <v>1344</v>
      </c>
      <c r="D1373" t="s">
        <v>59</v>
      </c>
      <c r="E1373" t="s">
        <v>1347</v>
      </c>
      <c r="F1373" t="s">
        <v>1289</v>
      </c>
      <c r="G1373">
        <v>8.0545562489266178</v>
      </c>
      <c r="H1373">
        <v>5.4745967106476776</v>
      </c>
      <c r="I1373">
        <v>7.2951382244720753</v>
      </c>
      <c r="J1373">
        <v>11.323073301998306</v>
      </c>
      <c r="K1373">
        <v>9.3894033866416784</v>
      </c>
      <c r="L1373">
        <v>10.760029851821708</v>
      </c>
      <c r="M1373">
        <v>15.107883483576201</v>
      </c>
      <c r="N1373">
        <v>0.65461857564317294</v>
      </c>
      <c r="O1373">
        <v>11.513116677889581</v>
      </c>
      <c r="P1373">
        <v>22.772547610262542</v>
      </c>
      <c r="Q1373">
        <v>10.17241325011379</v>
      </c>
      <c r="R1373">
        <v>15.857502282062734</v>
      </c>
      <c r="S1373">
        <v>8.8170818254191072</v>
      </c>
      <c r="T1373">
        <v>20.07541938939956</v>
      </c>
      <c r="U1373">
        <f t="shared" si="158"/>
        <v>11.233384344205339</v>
      </c>
      <c r="V1373" t="str">
        <f t="shared" si="153"/>
        <v>2021/22Expenditure driversBlack start, Flood mitigation, Physical security and Tree cuttingBPDT</v>
      </c>
    </row>
    <row r="1374" spans="1:22">
      <c r="A1374" s="900" t="s">
        <v>143</v>
      </c>
      <c r="B1374" s="900"/>
      <c r="C1374" s="900" t="s">
        <v>1344</v>
      </c>
      <c r="D1374" t="s">
        <v>59</v>
      </c>
      <c r="E1374" t="s">
        <v>1347</v>
      </c>
      <c r="F1374" t="s">
        <v>1289</v>
      </c>
      <c r="G1374">
        <v>8.0895111088696599</v>
      </c>
      <c r="H1374">
        <v>5.456586164386545</v>
      </c>
      <c r="I1374">
        <v>7.288413916491276</v>
      </c>
      <c r="J1374">
        <v>11.095232614060071</v>
      </c>
      <c r="K1374">
        <v>9.0275496399868569</v>
      </c>
      <c r="L1374">
        <v>10.92347254534681</v>
      </c>
      <c r="M1374">
        <v>14.952399405595447</v>
      </c>
      <c r="N1374">
        <v>0.66085728124636756</v>
      </c>
      <c r="O1374">
        <v>11.49557282242737</v>
      </c>
      <c r="P1374">
        <v>22.755950480887741</v>
      </c>
      <c r="Q1374">
        <v>10.884534010843012</v>
      </c>
      <c r="R1374">
        <v>16.261720584483609</v>
      </c>
      <c r="S1374">
        <v>8.8382052857844595</v>
      </c>
      <c r="T1374">
        <v>19.896769185390632</v>
      </c>
      <c r="U1374">
        <f t="shared" si="158"/>
        <v>11.259055360414276</v>
      </c>
      <c r="V1374" t="str">
        <f t="shared" si="153"/>
        <v>2022/23Expenditure driversBlack start, Flood mitigation, Physical security and Tree cuttingBPDT</v>
      </c>
    </row>
    <row r="1375" spans="1:22">
      <c r="A1375" t="s">
        <v>137</v>
      </c>
      <c r="B1375" s="900"/>
      <c r="C1375" s="900" t="s">
        <v>1344</v>
      </c>
      <c r="D1375" t="s">
        <v>59</v>
      </c>
      <c r="E1375" t="s">
        <v>1348</v>
      </c>
      <c r="F1375" t="s">
        <v>1289</v>
      </c>
      <c r="G1375">
        <f t="array" ref="G1375:T1382">TRANSPOSE('Ch4 expenditure drivers'!N271:U284)</f>
        <v>8.9701683943205026</v>
      </c>
      <c r="H1375">
        <v>11.374416536048257</v>
      </c>
      <c r="I1375">
        <v>14.380997546223684</v>
      </c>
      <c r="J1375">
        <v>10.737356728572536</v>
      </c>
      <c r="K1375">
        <v>10.349825133434726</v>
      </c>
      <c r="L1375">
        <v>14.950219784395996</v>
      </c>
      <c r="M1375">
        <v>14.428253876475576</v>
      </c>
      <c r="N1375">
        <v>1.1945787468542948</v>
      </c>
      <c r="O1375">
        <v>11.705637991847498</v>
      </c>
      <c r="P1375">
        <v>22.314633954007967</v>
      </c>
      <c r="Q1375">
        <v>8.9645972435451622</v>
      </c>
      <c r="R1375">
        <v>14.788960423959406</v>
      </c>
      <c r="S1375">
        <v>10.80858044086089</v>
      </c>
      <c r="T1375">
        <v>23.737760435513735</v>
      </c>
      <c r="U1375">
        <f t="shared" si="158"/>
        <v>12.764713374004302</v>
      </c>
      <c r="V1375" t="str">
        <f t="shared" si="153"/>
        <v>2015/16Expenditure driversBlack start, Flood mitigation, Physical security and Tree cuttingDNO Baseline</v>
      </c>
    </row>
    <row r="1376" spans="1:22">
      <c r="A1376" t="s">
        <v>138</v>
      </c>
      <c r="B1376" s="900"/>
      <c r="C1376" s="900" t="s">
        <v>1344</v>
      </c>
      <c r="D1376" t="s">
        <v>59</v>
      </c>
      <c r="E1376" t="s">
        <v>1348</v>
      </c>
      <c r="F1376" t="s">
        <v>1289</v>
      </c>
      <c r="G1376">
        <v>8.6241667408576532</v>
      </c>
      <c r="H1376">
        <v>10.603881955930021</v>
      </c>
      <c r="I1376">
        <v>12.868197866933537</v>
      </c>
      <c r="J1376">
        <v>11.137365083051215</v>
      </c>
      <c r="K1376">
        <v>11.516191644781514</v>
      </c>
      <c r="L1376">
        <v>13.165697621919058</v>
      </c>
      <c r="M1376">
        <v>14.775120101357654</v>
      </c>
      <c r="N1376">
        <v>1.8366825761593091</v>
      </c>
      <c r="O1376">
        <v>11.768241665682138</v>
      </c>
      <c r="P1376">
        <v>22.966940173615289</v>
      </c>
      <c r="Q1376">
        <v>9.4494702368538679</v>
      </c>
      <c r="R1376">
        <v>15.203493361267981</v>
      </c>
      <c r="S1376">
        <v>10.640602094654573</v>
      </c>
      <c r="T1376">
        <v>22.396477964379507</v>
      </c>
      <c r="U1376">
        <f t="shared" si="158"/>
        <v>12.639466363388808</v>
      </c>
      <c r="V1376" t="str">
        <f t="shared" si="153"/>
        <v>2016/17Expenditure driversBlack start, Flood mitigation, Physical security and Tree cuttingDNO Baseline</v>
      </c>
    </row>
    <row r="1377" spans="1:22">
      <c r="A1377" t="s">
        <v>139</v>
      </c>
      <c r="B1377" s="900"/>
      <c r="C1377" s="900" t="s">
        <v>1344</v>
      </c>
      <c r="D1377" t="s">
        <v>59</v>
      </c>
      <c r="E1377" t="s">
        <v>1348</v>
      </c>
      <c r="F1377" t="s">
        <v>1289</v>
      </c>
      <c r="G1377">
        <v>8.70244588350503</v>
      </c>
      <c r="H1377">
        <v>8.6258514963716664</v>
      </c>
      <c r="I1377">
        <v>12.673609844314779</v>
      </c>
      <c r="J1377">
        <v>11.616774598363856</v>
      </c>
      <c r="K1377">
        <v>11.086446664204363</v>
      </c>
      <c r="L1377">
        <v>11.961044270519832</v>
      </c>
      <c r="M1377">
        <v>15.070049404103361</v>
      </c>
      <c r="N1377">
        <v>0.9911700942842796</v>
      </c>
      <c r="O1377">
        <v>10.903790204930292</v>
      </c>
      <c r="P1377">
        <v>23.251289719058345</v>
      </c>
      <c r="Q1377">
        <v>9.7854499565660067</v>
      </c>
      <c r="R1377">
        <v>14.480068717041085</v>
      </c>
      <c r="S1377">
        <v>10.448376046259082</v>
      </c>
      <c r="T1377">
        <v>21.325954845993785</v>
      </c>
      <c r="U1377">
        <f t="shared" si="158"/>
        <v>12.208737267536842</v>
      </c>
      <c r="V1377" t="str">
        <f t="shared" si="153"/>
        <v>2017/18Expenditure driversBlack start, Flood mitigation, Physical security and Tree cuttingDNO Baseline</v>
      </c>
    </row>
    <row r="1378" spans="1:22">
      <c r="A1378" t="s">
        <v>140</v>
      </c>
      <c r="B1378" s="900"/>
      <c r="C1378" s="900" t="s">
        <v>1344</v>
      </c>
      <c r="D1378" t="s">
        <v>59</v>
      </c>
      <c r="E1378" t="s">
        <v>1348</v>
      </c>
      <c r="F1378" t="s">
        <v>1289</v>
      </c>
      <c r="G1378">
        <v>8.4787323298687465</v>
      </c>
      <c r="H1378">
        <v>8.4233370908656813</v>
      </c>
      <c r="I1378">
        <v>11.237522905332071</v>
      </c>
      <c r="J1378">
        <v>11.679174464371084</v>
      </c>
      <c r="K1378">
        <v>10.269032302928201</v>
      </c>
      <c r="L1378">
        <v>10.705671445451102</v>
      </c>
      <c r="M1378">
        <v>15.347422539596451</v>
      </c>
      <c r="N1378">
        <v>0.92093451862707298</v>
      </c>
      <c r="O1378">
        <v>10.808236660896611</v>
      </c>
      <c r="P1378">
        <v>23.133853132871547</v>
      </c>
      <c r="Q1378">
        <v>8.6826893703532306</v>
      </c>
      <c r="R1378">
        <v>14.429091331559745</v>
      </c>
      <c r="S1378">
        <v>10.290800346229965</v>
      </c>
      <c r="T1378">
        <v>19.528142694513608</v>
      </c>
      <c r="U1378">
        <f t="shared" si="158"/>
        <v>11.709617223818936</v>
      </c>
      <c r="V1378" t="str">
        <f t="shared" ref="V1378:V1447" si="159">CONCATENATE(A1378,B1378,C1378,D1378,E1378)</f>
        <v>2018/19Expenditure driversBlack start, Flood mitigation, Physical security and Tree cuttingDNO Baseline</v>
      </c>
    </row>
    <row r="1379" spans="1:22">
      <c r="A1379" t="s">
        <v>141</v>
      </c>
      <c r="B1379" s="900"/>
      <c r="C1379" s="900" t="s">
        <v>1344</v>
      </c>
      <c r="D1379" t="s">
        <v>59</v>
      </c>
      <c r="E1379" t="s">
        <v>1348</v>
      </c>
      <c r="F1379" t="s">
        <v>1289</v>
      </c>
      <c r="G1379">
        <v>8.0204796713637947</v>
      </c>
      <c r="H1379">
        <v>8.6383197968493803</v>
      </c>
      <c r="I1379">
        <v>11.335086987042068</v>
      </c>
      <c r="J1379">
        <v>11.539341297625187</v>
      </c>
      <c r="K1379">
        <v>9.9320902906886701</v>
      </c>
      <c r="L1379">
        <v>10.791056936341487</v>
      </c>
      <c r="M1379">
        <v>15.126195548093813</v>
      </c>
      <c r="N1379">
        <v>0.88253094898098994</v>
      </c>
      <c r="O1379">
        <v>10.624542810911869</v>
      </c>
      <c r="P1379">
        <v>21.935169722683305</v>
      </c>
      <c r="Q1379">
        <v>9.1549892415180043</v>
      </c>
      <c r="R1379">
        <v>14.442087451753752</v>
      </c>
      <c r="S1379">
        <v>9.7707304324007094</v>
      </c>
      <c r="T1379">
        <v>18.133018718472318</v>
      </c>
      <c r="U1379">
        <f t="shared" si="158"/>
        <v>11.451831418194669</v>
      </c>
      <c r="V1379" t="str">
        <f t="shared" si="159"/>
        <v>2019/20Expenditure driversBlack start, Flood mitigation, Physical security and Tree cuttingDNO Baseline</v>
      </c>
    </row>
    <row r="1380" spans="1:22">
      <c r="A1380" t="s">
        <v>126</v>
      </c>
      <c r="B1380" s="900"/>
      <c r="C1380" s="900" t="s">
        <v>1344</v>
      </c>
      <c r="D1380" t="s">
        <v>59</v>
      </c>
      <c r="E1380" t="s">
        <v>1348</v>
      </c>
      <c r="F1380" t="s">
        <v>1289</v>
      </c>
      <c r="G1380">
        <v>8.7361654828746929</v>
      </c>
      <c r="H1380">
        <v>7.396541166426406</v>
      </c>
      <c r="I1380">
        <v>9.1219551117497435</v>
      </c>
      <c r="J1380">
        <v>11.608308861467959</v>
      </c>
      <c r="K1380">
        <v>9.5818036572642651</v>
      </c>
      <c r="L1380">
        <v>10.578037840199917</v>
      </c>
      <c r="M1380">
        <v>15.448483482216744</v>
      </c>
      <c r="N1380">
        <v>0.78271314234133649</v>
      </c>
      <c r="O1380">
        <v>10.24785339679241</v>
      </c>
      <c r="P1380">
        <v>21.119197934393512</v>
      </c>
      <c r="Q1380">
        <v>9.5020153187463681</v>
      </c>
      <c r="R1380">
        <v>14.040247591088976</v>
      </c>
      <c r="S1380">
        <v>9.6151386472020484</v>
      </c>
      <c r="T1380">
        <v>17.872403284070973</v>
      </c>
      <c r="U1380">
        <f t="shared" si="158"/>
        <v>11.117918922631096</v>
      </c>
      <c r="V1380" t="str">
        <f t="shared" si="159"/>
        <v>2020/21Expenditure driversBlack start, Flood mitigation, Physical security and Tree cuttingDNO Baseline</v>
      </c>
    </row>
    <row r="1381" spans="1:22">
      <c r="A1381" t="s">
        <v>142</v>
      </c>
      <c r="B1381" s="900"/>
      <c r="C1381" s="900" t="s">
        <v>1344</v>
      </c>
      <c r="D1381" t="s">
        <v>59</v>
      </c>
      <c r="E1381" t="s">
        <v>1348</v>
      </c>
      <c r="F1381" t="s">
        <v>1289</v>
      </c>
      <c r="G1381">
        <v>8.3441895191194053</v>
      </c>
      <c r="H1381">
        <v>7.146335420976655</v>
      </c>
      <c r="I1381">
        <v>8.6570422440360026</v>
      </c>
      <c r="J1381">
        <v>11.323073301998306</v>
      </c>
      <c r="K1381">
        <v>9.3894033866416784</v>
      </c>
      <c r="L1381">
        <v>10.760029851821708</v>
      </c>
      <c r="M1381">
        <v>15.107883483576201</v>
      </c>
      <c r="N1381">
        <v>0.70682887060802113</v>
      </c>
      <c r="O1381">
        <v>9.9330881767185932</v>
      </c>
      <c r="P1381">
        <v>20.641651772548215</v>
      </c>
      <c r="Q1381">
        <v>8.4617898634723065</v>
      </c>
      <c r="R1381">
        <v>13.818082063470817</v>
      </c>
      <c r="S1381">
        <v>9.4665612821801641</v>
      </c>
      <c r="T1381">
        <v>17.592014132142179</v>
      </c>
      <c r="U1381">
        <f t="shared" si="158"/>
        <v>10.810569526379302</v>
      </c>
      <c r="V1381" t="str">
        <f t="shared" si="159"/>
        <v>2021/22Expenditure driversBlack start, Flood mitigation, Physical security and Tree cuttingDNO Baseline</v>
      </c>
    </row>
    <row r="1382" spans="1:22">
      <c r="A1382" t="s">
        <v>143</v>
      </c>
      <c r="B1382" s="900"/>
      <c r="C1382" s="900" t="s">
        <v>1344</v>
      </c>
      <c r="D1382" t="s">
        <v>59</v>
      </c>
      <c r="E1382" t="s">
        <v>1348</v>
      </c>
      <c r="F1382" t="s">
        <v>1289</v>
      </c>
      <c r="G1382">
        <v>8.1784175847752039</v>
      </c>
      <c r="H1382">
        <v>7.0823087039583079</v>
      </c>
      <c r="I1382">
        <v>8.834054758663493</v>
      </c>
      <c r="J1382">
        <v>11.095232614060071</v>
      </c>
      <c r="K1382">
        <v>9.0275496399868569</v>
      </c>
      <c r="L1382">
        <v>10.92347254534681</v>
      </c>
      <c r="M1382">
        <v>14.952399405595447</v>
      </c>
      <c r="N1382">
        <v>0.66819327590307187</v>
      </c>
      <c r="O1382">
        <v>9.68322026035848</v>
      </c>
      <c r="P1382">
        <v>20.072221515268112</v>
      </c>
      <c r="Q1382">
        <v>8.9113461106765737</v>
      </c>
      <c r="R1382">
        <v>13.941749043659387</v>
      </c>
      <c r="S1382">
        <v>9.2989904422505241</v>
      </c>
      <c r="T1382">
        <v>17.399168430812846</v>
      </c>
      <c r="U1382">
        <f t="shared" si="158"/>
        <v>10.71916602366537</v>
      </c>
      <c r="V1382" t="str">
        <f t="shared" si="159"/>
        <v>2022/23Expenditure driversBlack start, Flood mitigation, Physical security and Tree cuttingDNO Baseline</v>
      </c>
    </row>
    <row r="1383" spans="1:22">
      <c r="A1383" t="s">
        <v>137</v>
      </c>
      <c r="B1383" s="900"/>
      <c r="C1383" s="900" t="s">
        <v>1344</v>
      </c>
      <c r="D1383" t="s">
        <v>59</v>
      </c>
      <c r="E1383" t="s">
        <v>1349</v>
      </c>
      <c r="F1383" t="s">
        <v>1289</v>
      </c>
      <c r="G1383" cm="1">
        <f t="array" ref="G1383:T1389">TRANSPOSE('Ch4 expenditure drivers'!W271:AC284)</f>
        <v>4.356645173510838</v>
      </c>
      <c r="H1383">
        <v>7.6232242759647821</v>
      </c>
      <c r="I1383">
        <v>14.59673364506066</v>
      </c>
      <c r="J1383">
        <v>18.829980643942751</v>
      </c>
      <c r="K1383">
        <v>14.90621845100662</v>
      </c>
      <c r="L1383">
        <v>13.651670001117823</v>
      </c>
      <c r="M1383">
        <v>18.925211185932397</v>
      </c>
      <c r="N1383">
        <v>0.23274790690749295</v>
      </c>
      <c r="O1383">
        <v>3.0217060849646407</v>
      </c>
      <c r="P1383">
        <v>8.0721085230027505</v>
      </c>
      <c r="Q1383">
        <v>4.3813102256169518</v>
      </c>
      <c r="R1383">
        <v>13.648591909566939</v>
      </c>
      <c r="S1383">
        <v>10.073688227018151</v>
      </c>
      <c r="T1383">
        <v>23.715283460469561</v>
      </c>
      <c r="U1383">
        <f t="shared" si="158"/>
        <v>11.145365693863026</v>
      </c>
      <c r="V1383" t="str">
        <f t="shared" si="159"/>
        <v>2015/16Expenditure driversBlack start, Flood mitigation, Physical security and Tree cuttingDNO Actual</v>
      </c>
    </row>
    <row r="1384" spans="1:22">
      <c r="A1384" t="s">
        <v>138</v>
      </c>
      <c r="B1384" s="900"/>
      <c r="C1384" s="900" t="s">
        <v>1344</v>
      </c>
      <c r="D1384" t="s">
        <v>59</v>
      </c>
      <c r="E1384" t="s">
        <v>1349</v>
      </c>
      <c r="F1384" t="s">
        <v>1289</v>
      </c>
      <c r="G1384">
        <v>8.4797710956857664</v>
      </c>
      <c r="H1384">
        <v>7.9471300623719383</v>
      </c>
      <c r="I1384">
        <v>12.148028399920962</v>
      </c>
      <c r="J1384">
        <v>23.260291078975968</v>
      </c>
      <c r="K1384">
        <v>13.593787926427968</v>
      </c>
      <c r="L1384">
        <v>11.541844452662723</v>
      </c>
      <c r="M1384">
        <v>16.80139535835044</v>
      </c>
      <c r="N1384">
        <v>0.73251209151274232</v>
      </c>
      <c r="O1384">
        <v>7.6586251533205028</v>
      </c>
      <c r="P1384">
        <v>13.704867444591031</v>
      </c>
      <c r="Q1384">
        <v>3.8576880745658713</v>
      </c>
      <c r="R1384">
        <v>13.535295862140634</v>
      </c>
      <c r="S1384">
        <v>8.490529521909691</v>
      </c>
      <c r="T1384">
        <v>25.57612735207864</v>
      </c>
      <c r="U1384">
        <f t="shared" si="158"/>
        <v>11.951992419608203</v>
      </c>
      <c r="V1384" t="str">
        <f t="shared" si="159"/>
        <v>2016/17Expenditure driversBlack start, Flood mitigation, Physical security and Tree cuttingDNO Actual</v>
      </c>
    </row>
    <row r="1385" spans="1:22">
      <c r="A1385" t="s">
        <v>139</v>
      </c>
      <c r="B1385" s="900"/>
      <c r="C1385" s="900" t="s">
        <v>1344</v>
      </c>
      <c r="D1385" t="s">
        <v>59</v>
      </c>
      <c r="E1385" t="s">
        <v>1349</v>
      </c>
      <c r="F1385" t="s">
        <v>1289</v>
      </c>
      <c r="G1385">
        <v>8.5233390293046849</v>
      </c>
      <c r="H1385">
        <v>6.9688541318928596</v>
      </c>
      <c r="I1385">
        <v>13.630202637595863</v>
      </c>
      <c r="J1385">
        <v>20.129265440074498</v>
      </c>
      <c r="K1385">
        <v>17.442563908653078</v>
      </c>
      <c r="L1385">
        <v>10.948390800558732</v>
      </c>
      <c r="M1385">
        <v>17.179519111120811</v>
      </c>
      <c r="N1385">
        <v>1.3767111133845533</v>
      </c>
      <c r="O1385">
        <v>7.241390312318325</v>
      </c>
      <c r="P1385">
        <v>11.718977468413664</v>
      </c>
      <c r="Q1385">
        <v>4.0121084254483286</v>
      </c>
      <c r="R1385">
        <v>11.482222348421336</v>
      </c>
      <c r="S1385">
        <v>8.2708898723146866</v>
      </c>
      <c r="T1385">
        <v>14.682589387141133</v>
      </c>
      <c r="U1385">
        <f t="shared" si="158"/>
        <v>10.971930284760182</v>
      </c>
      <c r="V1385" t="str">
        <f t="shared" si="159"/>
        <v>2017/18Expenditure driversBlack start, Flood mitigation, Physical security and Tree cuttingDNO Actual</v>
      </c>
    </row>
    <row r="1386" spans="1:22">
      <c r="A1386" t="s">
        <v>140</v>
      </c>
      <c r="B1386" s="900"/>
      <c r="C1386" s="900" t="s">
        <v>1344</v>
      </c>
      <c r="D1386" t="s">
        <v>59</v>
      </c>
      <c r="E1386" t="s">
        <v>1349</v>
      </c>
      <c r="F1386" t="s">
        <v>1289</v>
      </c>
      <c r="G1386">
        <v>8.2259490744574464</v>
      </c>
      <c r="H1386">
        <v>10.360788861675712</v>
      </c>
      <c r="I1386">
        <v>11.790150115292162</v>
      </c>
      <c r="J1386">
        <v>17.111229801488133</v>
      </c>
      <c r="K1386">
        <v>11.906042833947506</v>
      </c>
      <c r="L1386">
        <v>10.1490876734861</v>
      </c>
      <c r="M1386">
        <v>14.488811950244964</v>
      </c>
      <c r="N1386">
        <v>1.2540859713435373</v>
      </c>
      <c r="O1386">
        <v>8.5048646392361</v>
      </c>
      <c r="P1386">
        <v>13.69585356548129</v>
      </c>
      <c r="Q1386">
        <v>3.6633182748479989</v>
      </c>
      <c r="R1386">
        <v>10.453332084954182</v>
      </c>
      <c r="S1386">
        <v>9.6541435851846042</v>
      </c>
      <c r="T1386">
        <v>14.835258333264797</v>
      </c>
      <c r="U1386">
        <f t="shared" si="158"/>
        <v>10.435208340350325</v>
      </c>
      <c r="V1386" t="str">
        <f t="shared" si="159"/>
        <v>2018/19Expenditure driversBlack start, Flood mitigation, Physical security and Tree cuttingDNO Actual</v>
      </c>
    </row>
    <row r="1387" spans="1:22">
      <c r="A1387" t="s">
        <v>141</v>
      </c>
      <c r="B1387" s="900"/>
      <c r="C1387" s="900" t="s">
        <v>1344</v>
      </c>
      <c r="D1387" t="s">
        <v>59</v>
      </c>
      <c r="E1387" t="s">
        <v>1349</v>
      </c>
      <c r="F1387" t="s">
        <v>1289</v>
      </c>
      <c r="G1387">
        <v>8.6657216983892518</v>
      </c>
      <c r="H1387">
        <v>9.3177601797307847</v>
      </c>
      <c r="I1387">
        <v>10.294192459599694</v>
      </c>
      <c r="J1387">
        <v>14.532169101506321</v>
      </c>
      <c r="K1387">
        <v>12.908942728167299</v>
      </c>
      <c r="L1387">
        <v>10.347238423902946</v>
      </c>
      <c r="M1387">
        <v>15.440242317352618</v>
      </c>
      <c r="N1387">
        <v>0.70433843188944234</v>
      </c>
      <c r="O1387">
        <v>6.819260667308364</v>
      </c>
      <c r="P1387">
        <v>16.779030147279933</v>
      </c>
      <c r="Q1387">
        <v>5.2131748937720745</v>
      </c>
      <c r="R1387">
        <v>11.885073608663845</v>
      </c>
      <c r="S1387">
        <v>8.2718473453246268</v>
      </c>
      <c r="T1387">
        <v>29.959729325534397</v>
      </c>
      <c r="U1387">
        <f>AVERAGE(G1387:T1387)</f>
        <v>11.509908666315829</v>
      </c>
      <c r="V1387" t="str">
        <f t="shared" si="159"/>
        <v>2019/20Expenditure driversBlack start, Flood mitigation, Physical security and Tree cuttingDNO Actual</v>
      </c>
    </row>
    <row r="1388" spans="1:22">
      <c r="A1388" t="s">
        <v>126</v>
      </c>
      <c r="B1388" s="900"/>
      <c r="C1388" s="900" t="s">
        <v>1344</v>
      </c>
      <c r="D1388" t="s">
        <v>59</v>
      </c>
      <c r="E1388" t="s">
        <v>1349</v>
      </c>
      <c r="F1388" t="s">
        <v>1289</v>
      </c>
      <c r="G1388">
        <v>7.7942876443117468</v>
      </c>
      <c r="H1388">
        <v>7.7418275881017964</v>
      </c>
      <c r="I1388">
        <v>9.558194988833252</v>
      </c>
      <c r="J1388">
        <v>14.338990600577228</v>
      </c>
      <c r="K1388">
        <v>15.459263907236366</v>
      </c>
      <c r="L1388">
        <v>9.6853767655787379</v>
      </c>
      <c r="M1388">
        <v>13.121826504672518</v>
      </c>
      <c r="N1388">
        <v>0.64813099709712541</v>
      </c>
      <c r="O1388">
        <v>6.8452015027553497</v>
      </c>
      <c r="P1388">
        <v>13.06463576239357</v>
      </c>
      <c r="Q1388">
        <v>5.0335767170269445</v>
      </c>
      <c r="R1388">
        <v>9.8608146722678214</v>
      </c>
      <c r="S1388">
        <v>7.6549483957589359</v>
      </c>
      <c r="T1388">
        <v>25.366208900711904</v>
      </c>
      <c r="U1388">
        <f>AVERAGE(G1388:T1388)</f>
        <v>10.440948924808806</v>
      </c>
      <c r="V1388" t="str">
        <f t="shared" si="159"/>
        <v>2020/21Expenditure driversBlack start, Flood mitigation, Physical security and Tree cuttingDNO Actual</v>
      </c>
    </row>
    <row r="1389" spans="1:22">
      <c r="A1389" t="s">
        <v>142</v>
      </c>
      <c r="B1389" s="900"/>
      <c r="C1389" s="900" t="s">
        <v>1344</v>
      </c>
      <c r="D1389" t="s">
        <v>59</v>
      </c>
      <c r="E1389" t="s">
        <v>1349</v>
      </c>
      <c r="F1389" t="s">
        <v>1289</v>
      </c>
      <c r="G1389">
        <v>5.9998309543144241</v>
      </c>
      <c r="H1389">
        <v>6.0060612949227945</v>
      </c>
      <c r="I1389">
        <v>9.2930576966859597</v>
      </c>
      <c r="J1389">
        <v>14.074099999999998</v>
      </c>
      <c r="K1389">
        <v>9.9573000000000018</v>
      </c>
      <c r="L1389">
        <v>9.5823</v>
      </c>
      <c r="M1389">
        <v>12.9224</v>
      </c>
      <c r="N1389">
        <v>0.51828226445413661</v>
      </c>
      <c r="O1389">
        <v>8.7627853876209407</v>
      </c>
      <c r="P1389">
        <v>14.553529249991993</v>
      </c>
      <c r="Q1389">
        <v>5.3488203140664226</v>
      </c>
      <c r="R1389">
        <v>10.935855843476117</v>
      </c>
      <c r="S1389">
        <v>8.0528177700000008</v>
      </c>
      <c r="T1389">
        <v>17.328874709999997</v>
      </c>
      <c r="U1389">
        <f>AVERAGE(G1389:T1389)</f>
        <v>9.5240011061094858</v>
      </c>
      <c r="V1389" t="str">
        <f t="shared" ref="V1389" si="160">CONCATENATE(A1389,B1389,C1389,D1389,E1389)</f>
        <v>2021/22Expenditure driversBlack start, Flood mitigation, Physical security and Tree cuttingDNO Actual</v>
      </c>
    </row>
    <row r="1390" spans="1:22">
      <c r="A1390" t="s">
        <v>137</v>
      </c>
      <c r="B1390" s="900"/>
      <c r="C1390" s="900" t="s">
        <v>1344</v>
      </c>
      <c r="D1390" t="s">
        <v>59</v>
      </c>
      <c r="E1390" t="s">
        <v>297</v>
      </c>
      <c r="F1390" t="s">
        <v>1289</v>
      </c>
      <c r="G1390">
        <f t="array" ref="G1390:T1393">TRANSPOSE('Ch4 expenditure drivers'!AF271:AI284)</f>
        <v>8.9701683943205026</v>
      </c>
      <c r="H1390">
        <v>11.374416536048257</v>
      </c>
      <c r="I1390">
        <v>14.380997546223684</v>
      </c>
      <c r="J1390">
        <v>10.737356728572536</v>
      </c>
      <c r="K1390">
        <v>10.349825133434726</v>
      </c>
      <c r="L1390">
        <v>14.950219784395996</v>
      </c>
      <c r="M1390">
        <v>14.428253876475576</v>
      </c>
      <c r="N1390">
        <v>1.1945787468542948</v>
      </c>
      <c r="O1390">
        <v>11.705637991847498</v>
      </c>
      <c r="P1390">
        <v>22.314633954007967</v>
      </c>
      <c r="Q1390">
        <v>8.9645972435451622</v>
      </c>
      <c r="R1390">
        <v>14.788960423959406</v>
      </c>
      <c r="S1390">
        <v>10.80858044086089</v>
      </c>
      <c r="T1390">
        <v>23.737760435513735</v>
      </c>
      <c r="U1390">
        <f t="shared" si="158"/>
        <v>12.764713374004302</v>
      </c>
      <c r="V1390" t="str">
        <f t="shared" si="159"/>
        <v>2015/16Expenditure driversBlack start, Flood mitigation, Physical security and Tree cuttingAllowance</v>
      </c>
    </row>
    <row r="1391" spans="1:22">
      <c r="A1391" t="s">
        <v>137</v>
      </c>
      <c r="C1391" t="s">
        <v>1344</v>
      </c>
      <c r="D1391" t="s">
        <v>59</v>
      </c>
      <c r="E1391" t="s">
        <v>298</v>
      </c>
      <c r="F1391" t="s">
        <v>1289</v>
      </c>
      <c r="G1391">
        <v>4.356645173510838</v>
      </c>
      <c r="H1391">
        <v>7.6232242759647821</v>
      </c>
      <c r="I1391">
        <v>14.59673364506066</v>
      </c>
      <c r="J1391">
        <v>18.829980643942751</v>
      </c>
      <c r="K1391">
        <v>14.90621845100662</v>
      </c>
      <c r="L1391">
        <v>13.651670001117823</v>
      </c>
      <c r="M1391">
        <v>18.925211185932397</v>
      </c>
      <c r="N1391">
        <v>0.23274790690749295</v>
      </c>
      <c r="O1391">
        <v>3.0217060849646407</v>
      </c>
      <c r="P1391">
        <v>8.0721085230027505</v>
      </c>
      <c r="Q1391">
        <v>4.3813102256169518</v>
      </c>
      <c r="R1391">
        <v>13.648591909566939</v>
      </c>
      <c r="S1391">
        <v>10.073688227018151</v>
      </c>
      <c r="T1391">
        <v>23.715283460469561</v>
      </c>
      <c r="U1391">
        <f t="shared" si="158"/>
        <v>11.145365693863026</v>
      </c>
      <c r="V1391" t="str">
        <f t="shared" si="159"/>
        <v>2015/16Expenditure driversBlack start, Flood mitigation, Physical security and Tree cuttingActual</v>
      </c>
    </row>
    <row r="1392" spans="1:22">
      <c r="A1392" t="s">
        <v>137</v>
      </c>
      <c r="C1392" t="s">
        <v>1344</v>
      </c>
      <c r="D1392" t="s">
        <v>59</v>
      </c>
      <c r="E1392" t="s">
        <v>602</v>
      </c>
      <c r="F1392" t="s">
        <v>1289</v>
      </c>
      <c r="G1392">
        <v>-4.6135232208096646</v>
      </c>
      <c r="H1392">
        <v>-3.7511922600834744</v>
      </c>
      <c r="I1392">
        <v>0.21573609883697564</v>
      </c>
      <c r="J1392">
        <v>8.0926239153702149</v>
      </c>
      <c r="K1392">
        <v>4.556393317571894</v>
      </c>
      <c r="L1392">
        <v>-1.2985497832781725</v>
      </c>
      <c r="M1392">
        <v>4.4969573094568212</v>
      </c>
      <c r="N1392">
        <v>-0.96183083994680185</v>
      </c>
      <c r="O1392">
        <v>-8.683931906882858</v>
      </c>
      <c r="P1392">
        <v>-14.242525431005216</v>
      </c>
      <c r="Q1392">
        <v>-4.5832870179282104</v>
      </c>
      <c r="R1392">
        <v>-1.1403685143924669</v>
      </c>
      <c r="S1392">
        <v>-0.73489221384273939</v>
      </c>
      <c r="T1392">
        <v>-2.2476975044174452E-2</v>
      </c>
      <c r="U1392">
        <f>U1391-U1390</f>
        <v>-1.6193476801412761</v>
      </c>
      <c r="V1392" t="str">
        <f t="shared" si="159"/>
        <v>2015/16Expenditure driversBlack start, Flood mitigation, Physical security and Tree cuttingDifference</v>
      </c>
    </row>
    <row r="1393" spans="1:22">
      <c r="A1393" t="s">
        <v>137</v>
      </c>
      <c r="C1393" t="s">
        <v>1344</v>
      </c>
      <c r="D1393" t="s">
        <v>59</v>
      </c>
      <c r="E1393" t="s">
        <v>1346</v>
      </c>
      <c r="F1393" t="s">
        <v>606</v>
      </c>
      <c r="G1393" s="829">
        <v>-0.51431846293217132</v>
      </c>
      <c r="H1393" s="829">
        <v>-0.32979205994391408</v>
      </c>
      <c r="I1393" s="829">
        <v>1.5001469692457178E-2</v>
      </c>
      <c r="J1393" s="829">
        <v>0.75368865168048471</v>
      </c>
      <c r="K1393" s="829">
        <v>0.44023867638619657</v>
      </c>
      <c r="L1393" s="829">
        <v>-8.6858240347309726E-2</v>
      </c>
      <c r="M1393" s="829">
        <v>0.31167716814221347</v>
      </c>
      <c r="N1393" s="829">
        <v>-0.80516319454000662</v>
      </c>
      <c r="O1393" s="829">
        <v>-0.74185891558673389</v>
      </c>
      <c r="P1393" s="829">
        <v>-0.63825942475059483</v>
      </c>
      <c r="Q1393" s="829">
        <v>-0.51126524632529857</v>
      </c>
      <c r="R1393" s="829">
        <v>-7.710944391635334E-2</v>
      </c>
      <c r="S1393" s="829">
        <v>-6.7991557065583172E-2</v>
      </c>
      <c r="T1393" s="829">
        <v>-9.4688692748566799E-4</v>
      </c>
      <c r="U1393" s="829">
        <f>U1392/U1390</f>
        <v>-0.12686126454191468</v>
      </c>
      <c r="V1393" t="str">
        <f t="shared" si="159"/>
        <v>2015/16Expenditure driversBlack start, Flood mitigation, Physical security and Tree cuttingDifference %</v>
      </c>
    </row>
    <row r="1394" spans="1:22">
      <c r="A1394" t="s">
        <v>138</v>
      </c>
      <c r="C1394" t="s">
        <v>1344</v>
      </c>
      <c r="D1394" t="s">
        <v>59</v>
      </c>
      <c r="E1394" t="s">
        <v>297</v>
      </c>
      <c r="F1394" t="s">
        <v>1289</v>
      </c>
      <c r="G1394">
        <f t="array" ref="G1394:T1397">TRANSPOSE('Ch4 expenditure drivers'!AK271:AN284)</f>
        <v>8.6241667408576532</v>
      </c>
      <c r="H1394">
        <v>10.603881955930021</v>
      </c>
      <c r="I1394">
        <v>12.868197866933537</v>
      </c>
      <c r="J1394">
        <v>11.137365083051215</v>
      </c>
      <c r="K1394">
        <v>11.516191644781514</v>
      </c>
      <c r="L1394">
        <v>13.165697621919058</v>
      </c>
      <c r="M1394">
        <v>14.775120101357654</v>
      </c>
      <c r="N1394">
        <v>1.8366825761593091</v>
      </c>
      <c r="O1394">
        <v>11.768241665682138</v>
      </c>
      <c r="P1394">
        <v>22.966940173615289</v>
      </c>
      <c r="Q1394">
        <v>9.4494702368538679</v>
      </c>
      <c r="R1394">
        <v>15.203493361267981</v>
      </c>
      <c r="S1394">
        <v>10.640602094654573</v>
      </c>
      <c r="T1394">
        <v>22.396477964379507</v>
      </c>
      <c r="U1394">
        <f t="shared" si="158"/>
        <v>12.639466363388808</v>
      </c>
      <c r="V1394" t="str">
        <f t="shared" si="159"/>
        <v>2016/17Expenditure driversBlack start, Flood mitigation, Physical security and Tree cuttingAllowance</v>
      </c>
    </row>
    <row r="1395" spans="1:22">
      <c r="A1395" t="s">
        <v>138</v>
      </c>
      <c r="C1395" t="s">
        <v>1344</v>
      </c>
      <c r="D1395" t="s">
        <v>59</v>
      </c>
      <c r="E1395" t="s">
        <v>298</v>
      </c>
      <c r="F1395" t="s">
        <v>1289</v>
      </c>
      <c r="G1395">
        <v>8.4797710956857664</v>
      </c>
      <c r="H1395">
        <v>7.9471300623719383</v>
      </c>
      <c r="I1395">
        <v>12.148028399920962</v>
      </c>
      <c r="J1395">
        <v>23.260291078975968</v>
      </c>
      <c r="K1395">
        <v>13.593787926427968</v>
      </c>
      <c r="L1395">
        <v>11.541844452662723</v>
      </c>
      <c r="M1395">
        <v>16.80139535835044</v>
      </c>
      <c r="N1395">
        <v>0.73251209151274232</v>
      </c>
      <c r="O1395">
        <v>7.6586251533205028</v>
      </c>
      <c r="P1395">
        <v>13.704867444591031</v>
      </c>
      <c r="Q1395">
        <v>3.8576880745658713</v>
      </c>
      <c r="R1395">
        <v>13.535295862140634</v>
      </c>
      <c r="S1395">
        <v>8.490529521909691</v>
      </c>
      <c r="T1395">
        <v>25.57612735207864</v>
      </c>
      <c r="U1395">
        <f t="shared" si="158"/>
        <v>11.951992419608203</v>
      </c>
      <c r="V1395" t="str">
        <f t="shared" si="159"/>
        <v>2016/17Expenditure driversBlack start, Flood mitigation, Physical security and Tree cuttingActual</v>
      </c>
    </row>
    <row r="1396" spans="1:22">
      <c r="A1396" t="s">
        <v>138</v>
      </c>
      <c r="C1396" t="s">
        <v>1344</v>
      </c>
      <c r="D1396" t="s">
        <v>59</v>
      </c>
      <c r="E1396" t="s">
        <v>602</v>
      </c>
      <c r="F1396" t="s">
        <v>1289</v>
      </c>
      <c r="G1396">
        <v>-0.14439564517188685</v>
      </c>
      <c r="H1396">
        <v>-2.6567518935580825</v>
      </c>
      <c r="I1396">
        <v>-0.72016946701257467</v>
      </c>
      <c r="J1396">
        <v>12.122925995924753</v>
      </c>
      <c r="K1396">
        <v>2.0775962816464535</v>
      </c>
      <c r="L1396">
        <v>-1.6238531692563356</v>
      </c>
      <c r="M1396">
        <v>2.0262752569927862</v>
      </c>
      <c r="N1396">
        <v>-1.1041704846465668</v>
      </c>
      <c r="O1396">
        <v>-4.1096165123616357</v>
      </c>
      <c r="P1396">
        <v>-9.2620727290242577</v>
      </c>
      <c r="Q1396">
        <v>-5.5917821622879966</v>
      </c>
      <c r="R1396">
        <v>-1.6681974991273467</v>
      </c>
      <c r="S1396">
        <v>-2.1500725727448824</v>
      </c>
      <c r="T1396">
        <v>3.1796493876991327</v>
      </c>
      <c r="U1396">
        <f>U1395-U1394</f>
        <v>-0.68747394378060456</v>
      </c>
      <c r="V1396" t="str">
        <f t="shared" si="159"/>
        <v>2016/17Expenditure driversBlack start, Flood mitigation, Physical security and Tree cuttingDifference</v>
      </c>
    </row>
    <row r="1397" spans="1:22">
      <c r="A1397" t="s">
        <v>138</v>
      </c>
      <c r="C1397" t="s">
        <v>1344</v>
      </c>
      <c r="D1397" t="s">
        <v>59</v>
      </c>
      <c r="E1397" t="s">
        <v>1346</v>
      </c>
      <c r="F1397" t="s">
        <v>606</v>
      </c>
      <c r="G1397" s="829">
        <v>-1.6743141628721227E-2</v>
      </c>
      <c r="H1397" s="829">
        <v>-0.25054521585581629</v>
      </c>
      <c r="I1397" s="829">
        <v>-5.5965060100850741E-2</v>
      </c>
      <c r="J1397" s="829">
        <v>1.0884913896172228</v>
      </c>
      <c r="K1397" s="829">
        <v>0.18040653939515694</v>
      </c>
      <c r="L1397" s="829">
        <v>-0.12333969804629613</v>
      </c>
      <c r="M1397" s="829">
        <v>0.13714103459684204</v>
      </c>
      <c r="N1397" s="829">
        <v>-0.60117654459133596</v>
      </c>
      <c r="O1397" s="829">
        <v>-0.34921245068801232</v>
      </c>
      <c r="P1397" s="829">
        <v>-0.40327848024198903</v>
      </c>
      <c r="Q1397" s="829">
        <v>-0.59175615374494683</v>
      </c>
      <c r="R1397" s="829">
        <v>-0.10972461785507814</v>
      </c>
      <c r="S1397" s="829">
        <v>-0.20206305560706905</v>
      </c>
      <c r="T1397" s="829">
        <v>0.14197095600282367</v>
      </c>
      <c r="U1397" s="829">
        <f>U1396/U1394</f>
        <v>-5.4391057661415679E-2</v>
      </c>
      <c r="V1397" t="str">
        <f t="shared" si="159"/>
        <v>2016/17Expenditure driversBlack start, Flood mitigation, Physical security and Tree cuttingDifference %</v>
      </c>
    </row>
    <row r="1398" spans="1:22">
      <c r="A1398" t="s">
        <v>139</v>
      </c>
      <c r="C1398" t="s">
        <v>1344</v>
      </c>
      <c r="D1398" t="s">
        <v>59</v>
      </c>
      <c r="E1398" t="s">
        <v>297</v>
      </c>
      <c r="F1398" t="s">
        <v>1289</v>
      </c>
      <c r="G1398">
        <f t="array" ref="G1398:T1401">TRANSPOSE('Ch4 expenditure drivers'!AP271:AS284)</f>
        <v>8.70244588350503</v>
      </c>
      <c r="H1398">
        <v>8.6258514963716664</v>
      </c>
      <c r="I1398">
        <v>12.673609844314779</v>
      </c>
      <c r="J1398">
        <v>11.616774598363856</v>
      </c>
      <c r="K1398">
        <v>11.086446664204363</v>
      </c>
      <c r="L1398">
        <v>11.961044270519832</v>
      </c>
      <c r="M1398">
        <v>15.070049404103361</v>
      </c>
      <c r="N1398">
        <v>0.9911700942842796</v>
      </c>
      <c r="O1398">
        <v>10.903790204930292</v>
      </c>
      <c r="P1398">
        <v>23.251289719058345</v>
      </c>
      <c r="Q1398">
        <v>9.7854499565660067</v>
      </c>
      <c r="R1398">
        <v>14.480068717041085</v>
      </c>
      <c r="S1398">
        <v>10.448376046259082</v>
      </c>
      <c r="T1398">
        <v>21.325954845993785</v>
      </c>
      <c r="U1398">
        <f t="shared" si="158"/>
        <v>12.208737267536842</v>
      </c>
      <c r="V1398" t="str">
        <f t="shared" si="159"/>
        <v>2017/18Expenditure driversBlack start, Flood mitigation, Physical security and Tree cuttingAllowance</v>
      </c>
    </row>
    <row r="1399" spans="1:22">
      <c r="A1399" t="s">
        <v>139</v>
      </c>
      <c r="C1399" t="s">
        <v>1344</v>
      </c>
      <c r="D1399" t="s">
        <v>59</v>
      </c>
      <c r="E1399" t="s">
        <v>298</v>
      </c>
      <c r="F1399" t="s">
        <v>1289</v>
      </c>
      <c r="G1399">
        <v>8.5233390293046849</v>
      </c>
      <c r="H1399">
        <v>6.9688541318928596</v>
      </c>
      <c r="I1399">
        <v>13.630202637595863</v>
      </c>
      <c r="J1399">
        <v>20.129265440074498</v>
      </c>
      <c r="K1399">
        <v>17.442563908653078</v>
      </c>
      <c r="L1399">
        <v>10.948390800558732</v>
      </c>
      <c r="M1399">
        <v>17.179519111120811</v>
      </c>
      <c r="N1399">
        <v>1.3767111133845533</v>
      </c>
      <c r="O1399">
        <v>7.241390312318325</v>
      </c>
      <c r="P1399">
        <v>11.718977468413664</v>
      </c>
      <c r="Q1399">
        <v>4.0121084254483286</v>
      </c>
      <c r="R1399">
        <v>11.482222348421336</v>
      </c>
      <c r="S1399">
        <v>8.2708898723146866</v>
      </c>
      <c r="T1399">
        <v>14.682589387141133</v>
      </c>
      <c r="U1399">
        <f t="shared" si="158"/>
        <v>10.971930284760182</v>
      </c>
      <c r="V1399" t="str">
        <f t="shared" si="159"/>
        <v>2017/18Expenditure driversBlack start, Flood mitigation, Physical security and Tree cuttingActual</v>
      </c>
    </row>
    <row r="1400" spans="1:22">
      <c r="A1400" t="s">
        <v>139</v>
      </c>
      <c r="C1400" t="s">
        <v>1344</v>
      </c>
      <c r="D1400" t="s">
        <v>59</v>
      </c>
      <c r="E1400" t="s">
        <v>602</v>
      </c>
      <c r="F1400" t="s">
        <v>1289</v>
      </c>
      <c r="G1400">
        <v>-0.17910685420034511</v>
      </c>
      <c r="H1400">
        <v>-1.6569973644788067</v>
      </c>
      <c r="I1400">
        <v>0.95659279328108404</v>
      </c>
      <c r="J1400">
        <v>8.5124908417106422</v>
      </c>
      <c r="K1400">
        <v>6.3561172444487148</v>
      </c>
      <c r="L1400">
        <v>-1.0126534699610996</v>
      </c>
      <c r="M1400">
        <v>2.1094697070174497</v>
      </c>
      <c r="N1400">
        <v>0.38554101910027372</v>
      </c>
      <c r="O1400">
        <v>-3.6623998926119672</v>
      </c>
      <c r="P1400">
        <v>-11.532312250644681</v>
      </c>
      <c r="Q1400">
        <v>-5.7733415311176781</v>
      </c>
      <c r="R1400">
        <v>-2.997846368619749</v>
      </c>
      <c r="S1400">
        <v>-2.1774861739443949</v>
      </c>
      <c r="T1400">
        <v>-6.6433654588526512</v>
      </c>
      <c r="U1400">
        <f>U1399-U1398</f>
        <v>-1.2368069827766597</v>
      </c>
      <c r="V1400" t="str">
        <f t="shared" si="159"/>
        <v>2017/18Expenditure driversBlack start, Flood mitigation, Physical security and Tree cuttingDifference</v>
      </c>
    </row>
    <row r="1401" spans="1:22">
      <c r="A1401" t="s">
        <v>139</v>
      </c>
      <c r="C1401" t="s">
        <v>1344</v>
      </c>
      <c r="D1401" t="s">
        <v>59</v>
      </c>
      <c r="E1401" t="s">
        <v>1346</v>
      </c>
      <c r="F1401" t="s">
        <v>606</v>
      </c>
      <c r="G1401" s="829">
        <v>-2.0581208616284707E-2</v>
      </c>
      <c r="H1401" s="829">
        <v>-0.19209667186779156</v>
      </c>
      <c r="I1401" s="829">
        <v>7.5479110137685004E-2</v>
      </c>
      <c r="J1401" s="829">
        <v>0.73277576057209282</v>
      </c>
      <c r="K1401" s="829">
        <v>0.5733232150000942</v>
      </c>
      <c r="L1401" s="829">
        <v>-8.4662630373918787E-2</v>
      </c>
      <c r="M1401" s="829">
        <v>0.13997762385855689</v>
      </c>
      <c r="N1401" s="829">
        <v>0.38897563730337475</v>
      </c>
      <c r="O1401" s="829">
        <v>-0.33588319508898518</v>
      </c>
      <c r="P1401" s="829">
        <v>-0.49598591690989124</v>
      </c>
      <c r="Q1401" s="829">
        <v>-0.58999244355072133</v>
      </c>
      <c r="R1401" s="829">
        <v>-0.20703260648837174</v>
      </c>
      <c r="S1401" s="829">
        <v>-0.20840426917099891</v>
      </c>
      <c r="T1401" s="829">
        <v>-0.31151549868824041</v>
      </c>
      <c r="U1401" s="829">
        <f>U1400/U1398</f>
        <v>-0.10130506994079905</v>
      </c>
      <c r="V1401" t="str">
        <f t="shared" si="159"/>
        <v>2017/18Expenditure driversBlack start, Flood mitigation, Physical security and Tree cuttingDifference %</v>
      </c>
    </row>
    <row r="1402" spans="1:22">
      <c r="A1402" t="s">
        <v>140</v>
      </c>
      <c r="C1402" t="s">
        <v>1344</v>
      </c>
      <c r="D1402" t="s">
        <v>59</v>
      </c>
      <c r="E1402" t="s">
        <v>297</v>
      </c>
      <c r="F1402" t="s">
        <v>1289</v>
      </c>
      <c r="G1402">
        <f t="array" ref="G1402:T1405">TRANSPOSE('Ch4 expenditure drivers'!AU271:AX284)</f>
        <v>8.4787323298687465</v>
      </c>
      <c r="H1402">
        <v>8.4233370908656813</v>
      </c>
      <c r="I1402">
        <v>11.237522905332071</v>
      </c>
      <c r="J1402">
        <v>11.679174464371084</v>
      </c>
      <c r="K1402">
        <v>10.269032302928201</v>
      </c>
      <c r="L1402">
        <v>10.705671445451102</v>
      </c>
      <c r="M1402">
        <v>15.347422539596451</v>
      </c>
      <c r="N1402">
        <v>0.92093451862707298</v>
      </c>
      <c r="O1402">
        <v>10.808236660896611</v>
      </c>
      <c r="P1402">
        <v>23.133853132871547</v>
      </c>
      <c r="Q1402">
        <v>8.6826893703532306</v>
      </c>
      <c r="R1402">
        <v>14.429091331559745</v>
      </c>
      <c r="S1402">
        <v>10.290800346229965</v>
      </c>
      <c r="T1402">
        <v>19.528142694513608</v>
      </c>
      <c r="U1402">
        <f>AVERAGE(G1402:T1402)</f>
        <v>11.709617223818936</v>
      </c>
      <c r="V1402" t="str">
        <f t="shared" si="159"/>
        <v>2018/19Expenditure driversBlack start, Flood mitigation, Physical security and Tree cuttingAllowance</v>
      </c>
    </row>
    <row r="1403" spans="1:22">
      <c r="A1403" t="s">
        <v>140</v>
      </c>
      <c r="C1403" t="s">
        <v>1344</v>
      </c>
      <c r="D1403" t="s">
        <v>59</v>
      </c>
      <c r="E1403" t="s">
        <v>298</v>
      </c>
      <c r="F1403" t="s">
        <v>1289</v>
      </c>
      <c r="G1403">
        <v>8.2259490744574464</v>
      </c>
      <c r="H1403">
        <v>10.360788861675712</v>
      </c>
      <c r="I1403">
        <v>11.790150115292162</v>
      </c>
      <c r="J1403">
        <v>17.111229801488133</v>
      </c>
      <c r="K1403">
        <v>11.906042833947506</v>
      </c>
      <c r="L1403">
        <v>10.1490876734861</v>
      </c>
      <c r="M1403">
        <v>14.488811950244964</v>
      </c>
      <c r="N1403">
        <v>1.2540859713435373</v>
      </c>
      <c r="O1403">
        <v>8.5048646392361</v>
      </c>
      <c r="P1403">
        <v>13.69585356548129</v>
      </c>
      <c r="Q1403">
        <v>3.6633182748479989</v>
      </c>
      <c r="R1403">
        <v>10.453332084954182</v>
      </c>
      <c r="S1403">
        <v>9.6541435851846042</v>
      </c>
      <c r="T1403">
        <v>14.835258333264797</v>
      </c>
      <c r="U1403">
        <f>AVERAGE(G1403:T1403)</f>
        <v>10.435208340350325</v>
      </c>
      <c r="V1403" t="str">
        <f t="shared" si="159"/>
        <v>2018/19Expenditure driversBlack start, Flood mitigation, Physical security and Tree cuttingActual</v>
      </c>
    </row>
    <row r="1404" spans="1:22">
      <c r="A1404" t="s">
        <v>140</v>
      </c>
      <c r="C1404" t="s">
        <v>1344</v>
      </c>
      <c r="D1404" t="s">
        <v>59</v>
      </c>
      <c r="E1404" t="s">
        <v>602</v>
      </c>
      <c r="F1404" t="s">
        <v>1289</v>
      </c>
      <c r="G1404">
        <v>-0.25278325541130009</v>
      </c>
      <c r="H1404">
        <v>1.9374517708100303</v>
      </c>
      <c r="I1404">
        <v>0.55262720996009129</v>
      </c>
      <c r="J1404">
        <v>5.432055337117049</v>
      </c>
      <c r="K1404">
        <v>1.637010531019305</v>
      </c>
      <c r="L1404">
        <v>-0.55658377196500197</v>
      </c>
      <c r="M1404">
        <v>-0.85861058935148726</v>
      </c>
      <c r="N1404">
        <v>0.33315145271646429</v>
      </c>
      <c r="O1404">
        <v>-2.3033720216605111</v>
      </c>
      <c r="P1404">
        <v>-9.437999567390257</v>
      </c>
      <c r="Q1404">
        <v>-5.0193710955052318</v>
      </c>
      <c r="R1404">
        <v>-3.9757592466055627</v>
      </c>
      <c r="S1404">
        <v>-0.6366567610453604</v>
      </c>
      <c r="T1404">
        <v>-4.6928843612488116</v>
      </c>
      <c r="U1404">
        <f>U1403-U1402</f>
        <v>-1.2744088834686114</v>
      </c>
      <c r="V1404" t="str">
        <f t="shared" si="159"/>
        <v>2018/19Expenditure driversBlack start, Flood mitigation, Physical security and Tree cuttingDifference</v>
      </c>
    </row>
    <row r="1405" spans="1:22">
      <c r="A1405" t="s">
        <v>140</v>
      </c>
      <c r="C1405" t="s">
        <v>1344</v>
      </c>
      <c r="D1405" t="s">
        <v>59</v>
      </c>
      <c r="E1405" t="s">
        <v>1346</v>
      </c>
      <c r="F1405" t="s">
        <v>606</v>
      </c>
      <c r="G1405" s="829">
        <v>-2.98138030045835E-2</v>
      </c>
      <c r="H1405" s="829">
        <v>0.23001000077641615</v>
      </c>
      <c r="I1405" s="829">
        <v>4.9176959603604124E-2</v>
      </c>
      <c r="J1405" s="829">
        <v>0.46510610434738137</v>
      </c>
      <c r="K1405" s="829">
        <v>0.15941234604476934</v>
      </c>
      <c r="L1405" s="829">
        <v>-5.1989618287930688E-2</v>
      </c>
      <c r="M1405" s="829">
        <v>-5.5944937147346163E-2</v>
      </c>
      <c r="N1405" s="829">
        <v>0.36175368169837491</v>
      </c>
      <c r="O1405" s="829">
        <v>-0.21311265601667831</v>
      </c>
      <c r="P1405" s="829">
        <v>-0.40797352318190072</v>
      </c>
      <c r="Q1405" s="829">
        <v>-0.57808944687618524</v>
      </c>
      <c r="R1405" s="829">
        <v>-0.275537742138319</v>
      </c>
      <c r="S1405" s="829">
        <v>-6.1866593425709562E-2</v>
      </c>
      <c r="T1405" s="829">
        <v>-0.24031391180725384</v>
      </c>
      <c r="U1405" s="829">
        <f>U1404/U1402</f>
        <v>-0.10883437597569734</v>
      </c>
      <c r="V1405" t="str">
        <f t="shared" si="159"/>
        <v>2018/19Expenditure driversBlack start, Flood mitigation, Physical security and Tree cuttingDifference %</v>
      </c>
    </row>
    <row r="1406" spans="1:22">
      <c r="A1406" t="s">
        <v>141</v>
      </c>
      <c r="C1406" t="s">
        <v>1344</v>
      </c>
      <c r="D1406" t="s">
        <v>59</v>
      </c>
      <c r="E1406" t="s">
        <v>297</v>
      </c>
      <c r="F1406" t="s">
        <v>1289</v>
      </c>
      <c r="G1406" s="229">
        <f t="array" ref="G1406:T1409">TRANSPOSE('Ch4 expenditure drivers'!AZ271:BC284)</f>
        <v>8.0204796713637947</v>
      </c>
      <c r="H1406" s="229">
        <v>8.6383197968493803</v>
      </c>
      <c r="I1406" s="229">
        <v>11.335086987042068</v>
      </c>
      <c r="J1406" s="229">
        <v>11.539341297625187</v>
      </c>
      <c r="K1406" s="229">
        <v>9.9320902906886701</v>
      </c>
      <c r="L1406" s="229">
        <v>10.791056936341487</v>
      </c>
      <c r="M1406" s="229">
        <v>15.126195548093813</v>
      </c>
      <c r="N1406" s="229">
        <v>0.88253094898098994</v>
      </c>
      <c r="O1406" s="229">
        <v>10.624542810911869</v>
      </c>
      <c r="P1406" s="229">
        <v>21.935169722683305</v>
      </c>
      <c r="Q1406" s="229">
        <v>9.1549892415180043</v>
      </c>
      <c r="R1406" s="229">
        <v>14.442087451753752</v>
      </c>
      <c r="S1406" s="229">
        <v>9.7707304324007094</v>
      </c>
      <c r="T1406" s="229">
        <v>18.133018718472318</v>
      </c>
      <c r="U1406" s="229">
        <f>AVERAGE(G1406:T1406)</f>
        <v>11.451831418194669</v>
      </c>
      <c r="V1406" t="str">
        <f t="shared" si="159"/>
        <v>2019/20Expenditure driversBlack start, Flood mitigation, Physical security and Tree cuttingAllowance</v>
      </c>
    </row>
    <row r="1407" spans="1:22">
      <c r="A1407" t="s">
        <v>141</v>
      </c>
      <c r="C1407" t="s">
        <v>1344</v>
      </c>
      <c r="D1407" t="s">
        <v>59</v>
      </c>
      <c r="E1407" t="s">
        <v>298</v>
      </c>
      <c r="F1407" t="s">
        <v>1289</v>
      </c>
      <c r="G1407" s="229">
        <v>8.6657216983892518</v>
      </c>
      <c r="H1407" s="229">
        <v>9.3177601797307847</v>
      </c>
      <c r="I1407" s="229">
        <v>10.294192459599694</v>
      </c>
      <c r="J1407" s="229">
        <v>14.532169101506321</v>
      </c>
      <c r="K1407" s="229">
        <v>12.908942728167299</v>
      </c>
      <c r="L1407" s="229">
        <v>10.347238423902946</v>
      </c>
      <c r="M1407" s="229">
        <v>15.440242317352618</v>
      </c>
      <c r="N1407" s="229">
        <v>0.70433843188944234</v>
      </c>
      <c r="O1407" s="229">
        <v>6.819260667308364</v>
      </c>
      <c r="P1407" s="229">
        <v>16.779030147279933</v>
      </c>
      <c r="Q1407" s="229">
        <v>5.2131748937720745</v>
      </c>
      <c r="R1407" s="229">
        <v>11.885073608663845</v>
      </c>
      <c r="S1407" s="229">
        <v>8.2718473453246268</v>
      </c>
      <c r="T1407" s="229">
        <v>29.959729325534397</v>
      </c>
      <c r="U1407" s="229">
        <f>AVERAGE(G1407:T1407)</f>
        <v>11.509908666315829</v>
      </c>
      <c r="V1407" t="str">
        <f t="shared" si="159"/>
        <v>2019/20Expenditure driversBlack start, Flood mitigation, Physical security and Tree cuttingActual</v>
      </c>
    </row>
    <row r="1408" spans="1:22">
      <c r="A1408" t="s">
        <v>141</v>
      </c>
      <c r="C1408" t="s">
        <v>1344</v>
      </c>
      <c r="D1408" t="s">
        <v>59</v>
      </c>
      <c r="E1408" t="s">
        <v>602</v>
      </c>
      <c r="F1408" t="s">
        <v>1289</v>
      </c>
      <c r="G1408" s="229">
        <v>0.64524202702545708</v>
      </c>
      <c r="H1408" s="229">
        <v>0.6794403828814044</v>
      </c>
      <c r="I1408" s="229">
        <v>-1.040894527442374</v>
      </c>
      <c r="J1408" s="229">
        <v>2.9928278038811342</v>
      </c>
      <c r="K1408" s="229">
        <v>2.9768524374786285</v>
      </c>
      <c r="L1408" s="229">
        <v>-0.44381851243854165</v>
      </c>
      <c r="M1408" s="229">
        <v>0.31404676925880537</v>
      </c>
      <c r="N1408" s="229">
        <v>-0.1781925170915476</v>
      </c>
      <c r="O1408" s="229">
        <v>-3.8052821436035051</v>
      </c>
      <c r="P1408" s="229">
        <v>-5.1561395754033725</v>
      </c>
      <c r="Q1408" s="229">
        <v>-3.9418143477459298</v>
      </c>
      <c r="R1408" s="229">
        <v>-2.5570138430899068</v>
      </c>
      <c r="S1408" s="229">
        <v>-1.4988830870760825</v>
      </c>
      <c r="T1408" s="229">
        <v>11.826710607062079</v>
      </c>
      <c r="U1408" s="229">
        <f>U1407-U1406</f>
        <v>5.8077248121159997E-2</v>
      </c>
      <c r="V1408" t="str">
        <f t="shared" si="159"/>
        <v>2019/20Expenditure driversBlack start, Flood mitigation, Physical security and Tree cuttingDifference</v>
      </c>
    </row>
    <row r="1409" spans="1:22">
      <c r="A1409" t="s">
        <v>141</v>
      </c>
      <c r="C1409" t="s">
        <v>1344</v>
      </c>
      <c r="D1409" t="s">
        <v>59</v>
      </c>
      <c r="E1409" t="s">
        <v>1346</v>
      </c>
      <c r="F1409" t="s">
        <v>606</v>
      </c>
      <c r="G1409" s="829">
        <v>8.0449306458467804E-2</v>
      </c>
      <c r="H1409" s="829">
        <v>7.8654228931095374E-2</v>
      </c>
      <c r="I1409" s="829">
        <v>-9.1829425626137093E-2</v>
      </c>
      <c r="J1409" s="829">
        <v>0.25935863466462011</v>
      </c>
      <c r="K1409" s="829">
        <v>0.29972063788721559</v>
      </c>
      <c r="L1409" s="829">
        <v>-4.1128363519598879E-2</v>
      </c>
      <c r="M1409" s="829">
        <v>2.0761781656219645E-2</v>
      </c>
      <c r="N1409" s="829">
        <v>-0.20191078544871058</v>
      </c>
      <c r="O1409" s="829">
        <v>-0.35815961320192663</v>
      </c>
      <c r="P1409" s="829">
        <v>-0.2350626706148243</v>
      </c>
      <c r="Q1409" s="829">
        <v>-0.43056460731485585</v>
      </c>
      <c r="R1409" s="829">
        <v>-0.1770529261529572</v>
      </c>
      <c r="S1409" s="829">
        <v>-0.15340542832966078</v>
      </c>
      <c r="T1409" s="829">
        <v>0.65221962160189417</v>
      </c>
      <c r="U1409" s="829">
        <f>U1408/U1406</f>
        <v>5.0714375718880099E-3</v>
      </c>
      <c r="V1409" t="str">
        <f t="shared" si="159"/>
        <v>2019/20Expenditure driversBlack start, Flood mitigation, Physical security and Tree cuttingDifference %</v>
      </c>
    </row>
    <row r="1410" spans="1:22">
      <c r="A1410" t="s">
        <v>126</v>
      </c>
      <c r="C1410" t="s">
        <v>1344</v>
      </c>
      <c r="D1410" t="s">
        <v>59</v>
      </c>
      <c r="E1410" t="s">
        <v>297</v>
      </c>
      <c r="F1410" t="s">
        <v>1289</v>
      </c>
      <c r="G1410" s="229" cm="1">
        <f t="array" ref="G1410:T1413">TRANSPOSE('Ch4 expenditure drivers'!BE271:BH284)</f>
        <v>8.7361654828746929</v>
      </c>
      <c r="H1410" s="829">
        <v>7.396541166426406</v>
      </c>
      <c r="I1410" s="829">
        <v>9.1219551117497435</v>
      </c>
      <c r="J1410" s="829">
        <v>11.608308861467959</v>
      </c>
      <c r="K1410" s="829">
        <v>9.5818036572642651</v>
      </c>
      <c r="L1410" s="829">
        <v>10.578037840199917</v>
      </c>
      <c r="M1410" s="829">
        <v>15.448483482216744</v>
      </c>
      <c r="N1410" s="829">
        <v>0.78271314234133649</v>
      </c>
      <c r="O1410" s="829">
        <v>10.24785339679241</v>
      </c>
      <c r="P1410" s="829">
        <v>21.119197934393512</v>
      </c>
      <c r="Q1410" s="829">
        <v>9.5020153187463681</v>
      </c>
      <c r="R1410" s="829">
        <v>14.040247591088976</v>
      </c>
      <c r="S1410" s="829">
        <v>9.6151386472020484</v>
      </c>
      <c r="T1410" s="829">
        <v>17.872403284070973</v>
      </c>
      <c r="U1410" s="229">
        <f>AVERAGE(G1410:T1410)</f>
        <v>11.117918922631096</v>
      </c>
      <c r="V1410" t="str">
        <f t="shared" si="159"/>
        <v>2020/21Expenditure driversBlack start, Flood mitigation, Physical security and Tree cuttingAllowance</v>
      </c>
    </row>
    <row r="1411" spans="1:22">
      <c r="A1411" t="s">
        <v>126</v>
      </c>
      <c r="C1411" t="s">
        <v>1344</v>
      </c>
      <c r="D1411" t="s">
        <v>59</v>
      </c>
      <c r="E1411" t="s">
        <v>298</v>
      </c>
      <c r="F1411" t="s">
        <v>1289</v>
      </c>
      <c r="G1411" s="229">
        <v>7.7942876443117468</v>
      </c>
      <c r="H1411" s="229">
        <v>7.7418275881017964</v>
      </c>
      <c r="I1411" s="229">
        <v>9.558194988833252</v>
      </c>
      <c r="J1411" s="229">
        <v>14.338990600577228</v>
      </c>
      <c r="K1411" s="229">
        <v>15.459263907236366</v>
      </c>
      <c r="L1411" s="229">
        <v>9.6853767655787379</v>
      </c>
      <c r="M1411" s="229">
        <v>13.121826504672518</v>
      </c>
      <c r="N1411" s="229">
        <v>0.64813099709712541</v>
      </c>
      <c r="O1411" s="229">
        <v>6.8452015027553497</v>
      </c>
      <c r="P1411" s="229">
        <v>13.06463576239357</v>
      </c>
      <c r="Q1411" s="229">
        <v>5.0335767170269445</v>
      </c>
      <c r="R1411" s="229">
        <v>9.8608146722678214</v>
      </c>
      <c r="S1411" s="229">
        <v>7.6549483957589359</v>
      </c>
      <c r="T1411" s="229">
        <v>25.366208900711904</v>
      </c>
      <c r="U1411" s="229">
        <f>AVERAGE(G1411:T1411)</f>
        <v>10.440948924808806</v>
      </c>
      <c r="V1411" t="str">
        <f t="shared" si="159"/>
        <v>2020/21Expenditure driversBlack start, Flood mitigation, Physical security and Tree cuttingActual</v>
      </c>
    </row>
    <row r="1412" spans="1:22">
      <c r="A1412" t="s">
        <v>126</v>
      </c>
      <c r="C1412" t="s">
        <v>1344</v>
      </c>
      <c r="D1412" t="s">
        <v>59</v>
      </c>
      <c r="E1412" t="s">
        <v>602</v>
      </c>
      <c r="F1412" t="s">
        <v>1289</v>
      </c>
      <c r="G1412" s="829">
        <v>-0.94187783856294605</v>
      </c>
      <c r="H1412" s="829">
        <v>0.34528642167539036</v>
      </c>
      <c r="I1412" s="829">
        <v>0.43623987708350853</v>
      </c>
      <c r="J1412" s="829">
        <v>2.7306817391092686</v>
      </c>
      <c r="K1412" s="829">
        <v>5.8774602499721009</v>
      </c>
      <c r="L1412" s="829">
        <v>-0.89266107462117894</v>
      </c>
      <c r="M1412" s="829">
        <v>-2.3266569775442267</v>
      </c>
      <c r="N1412" s="829">
        <v>-0.13458214524421108</v>
      </c>
      <c r="O1412" s="829">
        <v>-3.40265189403706</v>
      </c>
      <c r="P1412" s="829">
        <v>-8.0545621719999421</v>
      </c>
      <c r="Q1412" s="829">
        <v>-4.4684386017194235</v>
      </c>
      <c r="R1412" s="829">
        <v>-4.1794329188211545</v>
      </c>
      <c r="S1412" s="829">
        <v>-1.9601902514431124</v>
      </c>
      <c r="T1412" s="829">
        <v>7.4938056166409304</v>
      </c>
      <c r="U1412" s="229">
        <f>U1411-U1410</f>
        <v>-0.67696999782229028</v>
      </c>
      <c r="V1412" t="str">
        <f t="shared" si="159"/>
        <v>2020/21Expenditure driversBlack start, Flood mitigation, Physical security and Tree cuttingDifference</v>
      </c>
    </row>
    <row r="1413" spans="1:22">
      <c r="A1413" t="s">
        <v>126</v>
      </c>
      <c r="C1413" t="s">
        <v>1344</v>
      </c>
      <c r="D1413" t="s">
        <v>59</v>
      </c>
      <c r="E1413" t="s">
        <v>1346</v>
      </c>
      <c r="F1413" t="s">
        <v>606</v>
      </c>
      <c r="G1413" s="829">
        <v>-0.10781364437398626</v>
      </c>
      <c r="H1413" s="829">
        <v>4.6682146953048516E-2</v>
      </c>
      <c r="I1413" s="829">
        <v>4.7823067723891749E-2</v>
      </c>
      <c r="J1413" s="829">
        <v>0.23523510372586287</v>
      </c>
      <c r="K1413" s="829">
        <v>0.61339810960499219</v>
      </c>
      <c r="L1413" s="829">
        <v>-8.4388152898147342E-2</v>
      </c>
      <c r="M1413" s="829">
        <v>-0.15060746773121891</v>
      </c>
      <c r="N1413" s="829">
        <v>-0.17194312700772388</v>
      </c>
      <c r="O1413" s="829">
        <v>-0.33203557489435731</v>
      </c>
      <c r="P1413" s="829">
        <v>-0.38138579869469119</v>
      </c>
      <c r="Q1413" s="829">
        <v>-0.47026219721028184</v>
      </c>
      <c r="R1413" s="829">
        <v>-0.29767515791343629</v>
      </c>
      <c r="S1413" s="829">
        <v>-0.20386500115768136</v>
      </c>
      <c r="T1413" s="829">
        <v>0.41929479194999414</v>
      </c>
      <c r="U1413" s="829">
        <f>U1412/U1410</f>
        <v>-6.0889992320800522E-2</v>
      </c>
      <c r="V1413" t="str">
        <f t="shared" si="159"/>
        <v>2020/21Expenditure driversBlack start, Flood mitigation, Physical security and Tree cuttingDifference %</v>
      </c>
    </row>
    <row r="1414" spans="1:22">
      <c r="A1414" t="s">
        <v>142</v>
      </c>
      <c r="C1414" t="s">
        <v>1344</v>
      </c>
      <c r="D1414" t="s">
        <v>59</v>
      </c>
      <c r="E1414" t="s">
        <v>297</v>
      </c>
      <c r="F1414" t="s">
        <v>1289</v>
      </c>
      <c r="G1414" s="229" cm="1">
        <f t="array" ref="G1414:T1417">TRANSPOSE('Ch4 expenditure drivers'!BJ271:BM284)</f>
        <v>8.3441895191194053</v>
      </c>
      <c r="H1414" s="229">
        <v>7.146335420976655</v>
      </c>
      <c r="I1414" s="229">
        <v>8.6570422440360026</v>
      </c>
      <c r="J1414" s="229">
        <v>11.323073301998306</v>
      </c>
      <c r="K1414" s="229">
        <v>9.3894033866416784</v>
      </c>
      <c r="L1414" s="229">
        <v>10.760029851821708</v>
      </c>
      <c r="M1414" s="229">
        <v>15.107883483576201</v>
      </c>
      <c r="N1414" s="229">
        <v>0.70682887060802113</v>
      </c>
      <c r="O1414" s="229">
        <v>9.9330881767185932</v>
      </c>
      <c r="P1414" s="229">
        <v>20.641651772548215</v>
      </c>
      <c r="Q1414" s="229">
        <v>8.4617898634723065</v>
      </c>
      <c r="R1414" s="229">
        <v>13.818082063470817</v>
      </c>
      <c r="S1414" s="229">
        <v>9.4665612821801641</v>
      </c>
      <c r="T1414" s="229">
        <v>17.592014132142179</v>
      </c>
      <c r="U1414" s="229">
        <f>AVERAGE(G1414:T1414)</f>
        <v>10.810569526379302</v>
      </c>
      <c r="V1414" t="str">
        <f t="shared" ref="V1414:V1417" si="161">CONCATENATE(A1414,B1414,C1414,D1414,E1414)</f>
        <v>2021/22Expenditure driversBlack start, Flood mitigation, Physical security and Tree cuttingAllowance</v>
      </c>
    </row>
    <row r="1415" spans="1:22">
      <c r="A1415" t="s">
        <v>142</v>
      </c>
      <c r="C1415" t="s">
        <v>1344</v>
      </c>
      <c r="D1415" t="s">
        <v>59</v>
      </c>
      <c r="E1415" t="s">
        <v>298</v>
      </c>
      <c r="F1415" t="s">
        <v>1289</v>
      </c>
      <c r="G1415" s="229">
        <v>5.9998309543144241</v>
      </c>
      <c r="H1415" s="229">
        <v>6.0060612949227945</v>
      </c>
      <c r="I1415" s="229">
        <v>9.2930576966859597</v>
      </c>
      <c r="J1415" s="229">
        <v>14.074099999999998</v>
      </c>
      <c r="K1415" s="229">
        <v>9.9573000000000018</v>
      </c>
      <c r="L1415" s="229">
        <v>9.5823</v>
      </c>
      <c r="M1415" s="229">
        <v>12.9224</v>
      </c>
      <c r="N1415" s="229">
        <v>0.51828226445413661</v>
      </c>
      <c r="O1415" s="229">
        <v>8.7627853876209407</v>
      </c>
      <c r="P1415" s="229">
        <v>14.553529249991993</v>
      </c>
      <c r="Q1415" s="229">
        <v>5.3488203140664226</v>
      </c>
      <c r="R1415" s="229">
        <v>10.935855843476117</v>
      </c>
      <c r="S1415" s="229">
        <v>8.0528177700000008</v>
      </c>
      <c r="T1415" s="229">
        <v>17.328874709999997</v>
      </c>
      <c r="U1415" s="229">
        <f>AVERAGE(G1415:T1415)</f>
        <v>9.5240011061094858</v>
      </c>
      <c r="V1415" t="str">
        <f t="shared" si="161"/>
        <v>2021/22Expenditure driversBlack start, Flood mitigation, Physical security and Tree cuttingActual</v>
      </c>
    </row>
    <row r="1416" spans="1:22">
      <c r="A1416" t="s">
        <v>142</v>
      </c>
      <c r="C1416" t="s">
        <v>1344</v>
      </c>
      <c r="D1416" t="s">
        <v>59</v>
      </c>
      <c r="E1416" t="s">
        <v>602</v>
      </c>
      <c r="F1416" t="s">
        <v>1289</v>
      </c>
      <c r="G1416" s="229">
        <v>-2.3443585648049812</v>
      </c>
      <c r="H1416" s="229">
        <v>-1.1402741260538605</v>
      </c>
      <c r="I1416" s="229">
        <v>0.63601545264995707</v>
      </c>
      <c r="J1416" s="229">
        <v>2.7510266980016915</v>
      </c>
      <c r="K1416" s="229">
        <v>0.56789661335832342</v>
      </c>
      <c r="L1416" s="229">
        <v>-1.1777298518217076</v>
      </c>
      <c r="M1416" s="229">
        <v>-2.1854834835762009</v>
      </c>
      <c r="N1416" s="229">
        <v>-0.18854660615388452</v>
      </c>
      <c r="O1416" s="229">
        <v>-1.1703027890976525</v>
      </c>
      <c r="P1416" s="229">
        <v>-6.0881225225562225</v>
      </c>
      <c r="Q1416" s="229">
        <v>-3.112969549405884</v>
      </c>
      <c r="R1416" s="229">
        <v>-2.8822262199946991</v>
      </c>
      <c r="S1416" s="229">
        <v>-1.4137435121801634</v>
      </c>
      <c r="T1416" s="229">
        <v>-0.26313942214218144</v>
      </c>
      <c r="U1416" s="229">
        <f>U1415-U1414</f>
        <v>-1.2865684202698162</v>
      </c>
      <c r="V1416" t="str">
        <f t="shared" si="161"/>
        <v>2021/22Expenditure driversBlack start, Flood mitigation, Physical security and Tree cuttingDifference</v>
      </c>
    </row>
    <row r="1417" spans="1:22">
      <c r="A1417" t="s">
        <v>142</v>
      </c>
      <c r="C1417" t="s">
        <v>1344</v>
      </c>
      <c r="D1417" t="s">
        <v>59</v>
      </c>
      <c r="E1417" t="s">
        <v>1346</v>
      </c>
      <c r="F1417" t="s">
        <v>606</v>
      </c>
      <c r="G1417" s="829">
        <v>-0.28095701319262345</v>
      </c>
      <c r="H1417" s="829">
        <v>-0.15956067814936467</v>
      </c>
      <c r="I1417" s="829">
        <v>7.3467985337384717E-2</v>
      </c>
      <c r="J1417" s="829">
        <v>0.24295759858025365</v>
      </c>
      <c r="K1417" s="829">
        <v>6.0482715458393344E-2</v>
      </c>
      <c r="L1417" s="829">
        <v>-0.10945414353309756</v>
      </c>
      <c r="M1417" s="829">
        <v>-0.14465848151079819</v>
      </c>
      <c r="N1417" s="829">
        <v>-0.26675000695952739</v>
      </c>
      <c r="O1417" s="829">
        <v>-0.1178186248100199</v>
      </c>
      <c r="P1417" s="829">
        <v>-0.29494357281295436</v>
      </c>
      <c r="Q1417" s="829">
        <v>-0.36788547099755947</v>
      </c>
      <c r="R1417" s="829">
        <v>-0.20858366644196522</v>
      </c>
      <c r="S1417" s="829">
        <v>-0.14934076588522077</v>
      </c>
      <c r="T1417" s="829">
        <v>-1.495789056134296E-2</v>
      </c>
      <c r="U1417" s="829">
        <f>U1416/U1414</f>
        <v>-0.11901023504177179</v>
      </c>
      <c r="V1417" t="str">
        <f t="shared" si="161"/>
        <v>2021/22Expenditure driversBlack start, Flood mitigation, Physical security and Tree cuttingDifference %</v>
      </c>
    </row>
    <row r="1418" spans="1:22">
      <c r="A1418" t="s">
        <v>137</v>
      </c>
      <c r="C1418" t="s">
        <v>1344</v>
      </c>
      <c r="D1418" t="s">
        <v>61</v>
      </c>
      <c r="E1418" t="s">
        <v>1347</v>
      </c>
      <c r="F1418" t="s">
        <v>1289</v>
      </c>
      <c r="G1418">
        <f t="array" ref="G1418:T1425">TRANSPOSE('Ch4 expenditure drivers'!E294:L307)</f>
        <v>4.6423244147896972</v>
      </c>
      <c r="H1418">
        <v>1.2056721780602071</v>
      </c>
      <c r="I1418">
        <v>0.93690549458936678</v>
      </c>
      <c r="J1418">
        <v>2.7824595518437674</v>
      </c>
      <c r="K1418">
        <v>2.5774442805173887</v>
      </c>
      <c r="L1418">
        <v>1.3711010114668245</v>
      </c>
      <c r="M1418">
        <v>1.3673504826857761</v>
      </c>
      <c r="N1418">
        <v>1.9876977786860119</v>
      </c>
      <c r="O1418">
        <v>3.3213556381212292</v>
      </c>
      <c r="P1418">
        <v>7.1113181704655037</v>
      </c>
      <c r="Q1418">
        <v>1.1772651714007425</v>
      </c>
      <c r="R1418">
        <v>4.1670677310300102</v>
      </c>
      <c r="S1418">
        <v>4.3755713375381333</v>
      </c>
      <c r="T1418">
        <v>2.5850465141782362</v>
      </c>
      <c r="U1418">
        <f>AVERAGE(G1418:T1418)</f>
        <v>2.8291842682409212</v>
      </c>
      <c r="V1418" t="str">
        <f t="shared" si="159"/>
        <v>2015/16Expenditure driversConnectionsBPDT</v>
      </c>
    </row>
    <row r="1419" spans="1:22">
      <c r="A1419" t="s">
        <v>138</v>
      </c>
      <c r="C1419" t="s">
        <v>1344</v>
      </c>
      <c r="D1419" t="s">
        <v>61</v>
      </c>
      <c r="E1419" t="s">
        <v>1347</v>
      </c>
      <c r="F1419" t="s">
        <v>1289</v>
      </c>
      <c r="G1419">
        <v>4.9835907420686736</v>
      </c>
      <c r="H1419">
        <v>0.34305130524567151</v>
      </c>
      <c r="I1419">
        <v>0.95582946837573424</v>
      </c>
      <c r="J1419">
        <v>2.8336075715907052</v>
      </c>
      <c r="K1419">
        <v>2.6343680063389425</v>
      </c>
      <c r="L1419">
        <v>1.2184629289379345</v>
      </c>
      <c r="M1419">
        <v>1.3803569220843375</v>
      </c>
      <c r="N1419">
        <v>1.951749220240304</v>
      </c>
      <c r="O1419">
        <v>3.388398809105635</v>
      </c>
      <c r="P1419">
        <v>7.3054165014947108</v>
      </c>
      <c r="Q1419">
        <v>0.92454943002957368</v>
      </c>
      <c r="R1419">
        <v>2.4135265160333512</v>
      </c>
      <c r="S1419">
        <v>2.9768199489077087</v>
      </c>
      <c r="T1419">
        <v>2.8556980828842153</v>
      </c>
      <c r="U1419">
        <f t="shared" ref="U1419:U1450" si="162">AVERAGE(G1419:T1419)</f>
        <v>2.5832446752383929</v>
      </c>
      <c r="V1419" t="str">
        <f t="shared" si="159"/>
        <v>2016/17Expenditure driversConnectionsBPDT</v>
      </c>
    </row>
    <row r="1420" spans="1:22">
      <c r="A1420" t="s">
        <v>139</v>
      </c>
      <c r="C1420" t="s">
        <v>1344</v>
      </c>
      <c r="D1420" t="s">
        <v>61</v>
      </c>
      <c r="E1420" t="s">
        <v>1347</v>
      </c>
      <c r="F1420" t="s">
        <v>1289</v>
      </c>
      <c r="G1420">
        <v>4.911529790070305</v>
      </c>
      <c r="H1420">
        <v>0.76032396316786954</v>
      </c>
      <c r="I1420">
        <v>0.95776015250586766</v>
      </c>
      <c r="J1420">
        <v>2.9978334736839907</v>
      </c>
      <c r="K1420">
        <v>2.774885919982323</v>
      </c>
      <c r="L1420">
        <v>1.5202510425587146</v>
      </c>
      <c r="M1420">
        <v>1.2848384334044538</v>
      </c>
      <c r="N1420">
        <v>1.996601155352999</v>
      </c>
      <c r="O1420">
        <v>3.462791722090659</v>
      </c>
      <c r="P1420">
        <v>7.5108371187061538</v>
      </c>
      <c r="Q1420">
        <v>0.81716052955027108</v>
      </c>
      <c r="R1420">
        <v>3.4986261849306017</v>
      </c>
      <c r="S1420">
        <v>4.8924440051656219</v>
      </c>
      <c r="T1420">
        <v>3.0358468779555916</v>
      </c>
      <c r="U1420">
        <f t="shared" si="162"/>
        <v>2.8872664549375306</v>
      </c>
      <c r="V1420" t="str">
        <f t="shared" si="159"/>
        <v>2017/18Expenditure driversConnectionsBPDT</v>
      </c>
    </row>
    <row r="1421" spans="1:22">
      <c r="A1421" t="s">
        <v>140</v>
      </c>
      <c r="C1421" t="s">
        <v>1344</v>
      </c>
      <c r="D1421" t="s">
        <v>61</v>
      </c>
      <c r="E1421" t="s">
        <v>1347</v>
      </c>
      <c r="F1421" t="s">
        <v>1289</v>
      </c>
      <c r="G1421">
        <v>6.2446502784088702</v>
      </c>
      <c r="H1421">
        <v>0.75524017939014432</v>
      </c>
      <c r="I1421">
        <v>0.9603368260773576</v>
      </c>
      <c r="J1421">
        <v>3.2492738261970771</v>
      </c>
      <c r="K1421">
        <v>3.0373144742075238</v>
      </c>
      <c r="L1421">
        <v>1.3896824388525268</v>
      </c>
      <c r="M1421">
        <v>1.4880971531646832</v>
      </c>
      <c r="N1421">
        <v>2.0454018639385869</v>
      </c>
      <c r="O1421">
        <v>3.5322701697546202</v>
      </c>
      <c r="P1421">
        <v>7.5135854490164027</v>
      </c>
      <c r="Q1421">
        <v>0.78414471831059784</v>
      </c>
      <c r="R1421">
        <v>3.5010962554666079</v>
      </c>
      <c r="S1421">
        <v>4.9586384330416937</v>
      </c>
      <c r="T1421">
        <v>2.9081990899498078</v>
      </c>
      <c r="U1421">
        <f t="shared" si="162"/>
        <v>3.0262807968411787</v>
      </c>
      <c r="V1421" t="str">
        <f t="shared" si="159"/>
        <v>2018/19Expenditure driversConnectionsBPDT</v>
      </c>
    </row>
    <row r="1422" spans="1:22">
      <c r="A1422" t="s">
        <v>141</v>
      </c>
      <c r="C1422" t="s">
        <v>1344</v>
      </c>
      <c r="D1422" t="s">
        <v>61</v>
      </c>
      <c r="E1422" t="s">
        <v>1347</v>
      </c>
      <c r="F1422" t="s">
        <v>1289</v>
      </c>
      <c r="G1422">
        <v>5.5299400262890925</v>
      </c>
      <c r="H1422">
        <v>0.75113241895617189</v>
      </c>
      <c r="I1422">
        <v>0.96549253448036043</v>
      </c>
      <c r="J1422">
        <v>3.2344663338336628</v>
      </c>
      <c r="K1422">
        <v>3.007263297157579</v>
      </c>
      <c r="L1422">
        <v>1.7196913970047516</v>
      </c>
      <c r="M1422">
        <v>1.6295076312796397</v>
      </c>
      <c r="N1422">
        <v>2.0950658743573043</v>
      </c>
      <c r="O1422">
        <v>3.6081571408866875</v>
      </c>
      <c r="P1422">
        <v>7.8171094384081767</v>
      </c>
      <c r="Q1422">
        <v>0.71149286197870865</v>
      </c>
      <c r="R1422">
        <v>3.4138961137173869</v>
      </c>
      <c r="S1422">
        <v>6.7213862349332603</v>
      </c>
      <c r="T1422">
        <v>3.4339828620487012</v>
      </c>
      <c r="U1422">
        <f t="shared" si="162"/>
        <v>3.1884702975236778</v>
      </c>
      <c r="V1422" t="str">
        <f t="shared" si="159"/>
        <v>2019/20Expenditure driversConnectionsBPDT</v>
      </c>
    </row>
    <row r="1423" spans="1:22">
      <c r="A1423" t="s">
        <v>126</v>
      </c>
      <c r="C1423" t="s">
        <v>1344</v>
      </c>
      <c r="D1423" t="s">
        <v>61</v>
      </c>
      <c r="E1423" t="s">
        <v>1347</v>
      </c>
      <c r="F1423" t="s">
        <v>1289</v>
      </c>
      <c r="G1423">
        <v>4.6719456091882625</v>
      </c>
      <c r="H1423">
        <v>0.75609834559104316</v>
      </c>
      <c r="I1423">
        <v>0.97104572648603682</v>
      </c>
      <c r="J1423">
        <v>3.3264119525462781</v>
      </c>
      <c r="K1423">
        <v>3.3305050368291802</v>
      </c>
      <c r="L1423">
        <v>1.5359121475620814</v>
      </c>
      <c r="M1423">
        <v>1.4289152602955491</v>
      </c>
      <c r="N1423">
        <v>2.1432031838879269</v>
      </c>
      <c r="O1423">
        <v>3.6454478576969405</v>
      </c>
      <c r="P1423">
        <v>8.0151230179100512</v>
      </c>
      <c r="Q1423">
        <v>0.65113678144183962</v>
      </c>
      <c r="R1423">
        <v>5.3426944033196273</v>
      </c>
      <c r="S1423">
        <v>4.8750137791987971</v>
      </c>
      <c r="T1423">
        <v>4.2951187357239249</v>
      </c>
      <c r="U1423">
        <f t="shared" si="162"/>
        <v>3.2134694169769671</v>
      </c>
      <c r="V1423" t="str">
        <f t="shared" si="159"/>
        <v>2020/21Expenditure driversConnectionsBPDT</v>
      </c>
    </row>
    <row r="1424" spans="1:22">
      <c r="A1424" t="s">
        <v>142</v>
      </c>
      <c r="C1424" t="s">
        <v>1344</v>
      </c>
      <c r="D1424" t="s">
        <v>61</v>
      </c>
      <c r="E1424" t="s">
        <v>1347</v>
      </c>
      <c r="F1424" t="s">
        <v>1289</v>
      </c>
      <c r="G1424">
        <v>4.4489096377030632</v>
      </c>
      <c r="H1424">
        <v>0.7668453743060244</v>
      </c>
      <c r="I1424">
        <v>0.96596960791362663</v>
      </c>
      <c r="J1424">
        <v>3.4355486208766375</v>
      </c>
      <c r="K1424">
        <v>3.2104140146937752</v>
      </c>
      <c r="L1424">
        <v>1.5619613274644257</v>
      </c>
      <c r="M1424">
        <v>1.674042345314521</v>
      </c>
      <c r="N1424">
        <v>2.1923042828698094</v>
      </c>
      <c r="O1424">
        <v>3.7471479658063656</v>
      </c>
      <c r="P1424">
        <v>8.1696127311846993</v>
      </c>
      <c r="Q1424">
        <v>0.68131749314607726</v>
      </c>
      <c r="R1424">
        <v>5.3456383533766498</v>
      </c>
      <c r="S1424">
        <v>6.7829834719225603</v>
      </c>
      <c r="T1424">
        <v>4.2736095198498107</v>
      </c>
      <c r="U1424">
        <f t="shared" si="162"/>
        <v>3.3754503390305755</v>
      </c>
      <c r="V1424" t="str">
        <f t="shared" si="159"/>
        <v>2021/22Expenditure driversConnectionsBPDT</v>
      </c>
    </row>
    <row r="1425" spans="1:22">
      <c r="A1425" t="s">
        <v>143</v>
      </c>
      <c r="C1425" t="s">
        <v>1344</v>
      </c>
      <c r="D1425" t="s">
        <v>61</v>
      </c>
      <c r="E1425" t="s">
        <v>1347</v>
      </c>
      <c r="F1425" t="s">
        <v>1289</v>
      </c>
      <c r="G1425">
        <v>5.2497696535351572</v>
      </c>
      <c r="H1425">
        <v>0.76998748579136767</v>
      </c>
      <c r="I1425">
        <v>0.98403512779074931</v>
      </c>
      <c r="J1425">
        <v>3.5523636458516119</v>
      </c>
      <c r="K1425">
        <v>3.3027004093073247</v>
      </c>
      <c r="L1425">
        <v>1.8230781277729833</v>
      </c>
      <c r="M1425">
        <v>1.7008088783604256</v>
      </c>
      <c r="N1425">
        <v>2.2436665631800863</v>
      </c>
      <c r="O1425">
        <v>3.8237547354266757</v>
      </c>
      <c r="P1425">
        <v>8.3114762417963384</v>
      </c>
      <c r="Q1425">
        <v>0.67188633413152776</v>
      </c>
      <c r="R1425">
        <v>4.003095285501252</v>
      </c>
      <c r="S1425">
        <v>4.2622251027747575</v>
      </c>
      <c r="T1425">
        <v>4.2099027696840707</v>
      </c>
      <c r="U1425">
        <f t="shared" si="162"/>
        <v>3.2077678829217375</v>
      </c>
      <c r="V1425" t="str">
        <f t="shared" si="159"/>
        <v>2022/23Expenditure driversConnectionsBPDT</v>
      </c>
    </row>
    <row r="1426" spans="1:22">
      <c r="A1426" t="s">
        <v>137</v>
      </c>
      <c r="C1426" t="s">
        <v>1344</v>
      </c>
      <c r="D1426" t="s">
        <v>61</v>
      </c>
      <c r="E1426" t="s">
        <v>1348</v>
      </c>
      <c r="F1426" t="s">
        <v>1289</v>
      </c>
      <c r="G1426">
        <f t="array" ref="G1426:T1433">TRANSPOSE('Ch4 expenditure drivers'!N294:U307)</f>
        <v>3.9048782528913413</v>
      </c>
      <c r="H1426">
        <v>1.3954784676716703</v>
      </c>
      <c r="I1426">
        <v>0.89444101516663332</v>
      </c>
      <c r="J1426">
        <v>2.7824595518437674</v>
      </c>
      <c r="K1426">
        <v>2.5774442805173887</v>
      </c>
      <c r="L1426">
        <v>1.3711010114668245</v>
      </c>
      <c r="M1426">
        <v>1.3673504826857761</v>
      </c>
      <c r="N1426">
        <v>1.8112809672765195</v>
      </c>
      <c r="O1426">
        <v>3.1748872025843138</v>
      </c>
      <c r="P1426">
        <v>6.87017684379604</v>
      </c>
      <c r="Q1426">
        <v>0.74948434597089553</v>
      </c>
      <c r="R1426">
        <v>4.4645537913915661</v>
      </c>
      <c r="S1426">
        <v>2.3880945867558125</v>
      </c>
      <c r="T1426">
        <v>2.4021401380543974</v>
      </c>
      <c r="U1426">
        <f t="shared" si="162"/>
        <v>2.5824122098623534</v>
      </c>
      <c r="V1426" t="str">
        <f t="shared" si="159"/>
        <v>2015/16Expenditure driversConnectionsDNO Baseline</v>
      </c>
    </row>
    <row r="1427" spans="1:22">
      <c r="A1427" t="s">
        <v>138</v>
      </c>
      <c r="C1427" t="s">
        <v>1344</v>
      </c>
      <c r="D1427" t="s">
        <v>61</v>
      </c>
      <c r="E1427" t="s">
        <v>1348</v>
      </c>
      <c r="F1427" t="s">
        <v>1289</v>
      </c>
      <c r="G1427">
        <v>4.6551226165443289</v>
      </c>
      <c r="H1427">
        <v>1.0361945755086746</v>
      </c>
      <c r="I1427">
        <v>1.0853671925286354</v>
      </c>
      <c r="J1427">
        <v>2.8336075715907052</v>
      </c>
      <c r="K1427">
        <v>2.6343680063389425</v>
      </c>
      <c r="L1427">
        <v>1.2184629289379345</v>
      </c>
      <c r="M1427">
        <v>1.3803569220843375</v>
      </c>
      <c r="N1427">
        <v>1.7270608071558486</v>
      </c>
      <c r="O1427">
        <v>3.8945857379697322</v>
      </c>
      <c r="P1427">
        <v>7.2999504901294134</v>
      </c>
      <c r="Q1427">
        <v>0.7273087705946385</v>
      </c>
      <c r="R1427">
        <v>3.5011925539029942</v>
      </c>
      <c r="S1427">
        <v>2.2916047393222279</v>
      </c>
      <c r="T1427">
        <v>2.9272578490628161</v>
      </c>
      <c r="U1427">
        <f t="shared" si="162"/>
        <v>2.6580314829765173</v>
      </c>
      <c r="V1427" t="str">
        <f t="shared" si="159"/>
        <v>2016/17Expenditure driversConnectionsDNO Baseline</v>
      </c>
    </row>
    <row r="1428" spans="1:22">
      <c r="A1428" t="s">
        <v>139</v>
      </c>
      <c r="C1428" t="s">
        <v>1344</v>
      </c>
      <c r="D1428" t="s">
        <v>61</v>
      </c>
      <c r="E1428" t="s">
        <v>1348</v>
      </c>
      <c r="F1428" t="s">
        <v>1289</v>
      </c>
      <c r="G1428">
        <v>3.4906238881420952</v>
      </c>
      <c r="H1428">
        <v>0.98189281165012388</v>
      </c>
      <c r="I1428">
        <v>1.1121495436041875</v>
      </c>
      <c r="J1428">
        <v>2.9978334736839907</v>
      </c>
      <c r="K1428">
        <v>2.774885919982323</v>
      </c>
      <c r="L1428">
        <v>1.5202510425587146</v>
      </c>
      <c r="M1428">
        <v>1.2848384334044538</v>
      </c>
      <c r="N1428">
        <v>1.8264398428242909</v>
      </c>
      <c r="O1428">
        <v>3.9985040165614789</v>
      </c>
      <c r="P1428">
        <v>7.269852581432688</v>
      </c>
      <c r="Q1428">
        <v>0.80266200668478771</v>
      </c>
      <c r="R1428">
        <v>3.2891262144812119</v>
      </c>
      <c r="S1428">
        <v>3.3017384860434515</v>
      </c>
      <c r="T1428">
        <v>2.5206758575017476</v>
      </c>
      <c r="U1428">
        <f t="shared" si="162"/>
        <v>2.6551052941825395</v>
      </c>
      <c r="V1428" t="str">
        <f t="shared" si="159"/>
        <v>2017/18Expenditure driversConnectionsDNO Baseline</v>
      </c>
    </row>
    <row r="1429" spans="1:22">
      <c r="A1429" t="s">
        <v>140</v>
      </c>
      <c r="C1429" t="s">
        <v>1344</v>
      </c>
      <c r="D1429" t="s">
        <v>61</v>
      </c>
      <c r="E1429" t="s">
        <v>1348</v>
      </c>
      <c r="F1429" t="s">
        <v>1289</v>
      </c>
      <c r="G1429">
        <v>4.4735640136146202</v>
      </c>
      <c r="H1429">
        <v>0.9369180456251549</v>
      </c>
      <c r="I1429">
        <v>1.4152333673687529</v>
      </c>
      <c r="J1429">
        <v>3.2492738261970771</v>
      </c>
      <c r="K1429">
        <v>3.0373144742075238</v>
      </c>
      <c r="L1429">
        <v>1.3896824388525268</v>
      </c>
      <c r="M1429">
        <v>1.4880971531646832</v>
      </c>
      <c r="N1429">
        <v>1.7160215073745342</v>
      </c>
      <c r="O1429">
        <v>3.1858969564068551</v>
      </c>
      <c r="P1429">
        <v>6.5438528907919995</v>
      </c>
      <c r="Q1429">
        <v>0.66310924026159823</v>
      </c>
      <c r="R1429">
        <v>2.7699729892317992</v>
      </c>
      <c r="S1429">
        <v>3.4655221027952354</v>
      </c>
      <c r="T1429">
        <v>2.7267700282786844</v>
      </c>
      <c r="U1429">
        <f t="shared" si="162"/>
        <v>2.6472306452979315</v>
      </c>
      <c r="V1429" t="str">
        <f t="shared" si="159"/>
        <v>2018/19Expenditure driversConnectionsDNO Baseline</v>
      </c>
    </row>
    <row r="1430" spans="1:22">
      <c r="A1430" t="s">
        <v>141</v>
      </c>
      <c r="C1430" t="s">
        <v>1344</v>
      </c>
      <c r="D1430" t="s">
        <v>61</v>
      </c>
      <c r="E1430" t="s">
        <v>1348</v>
      </c>
      <c r="F1430" t="s">
        <v>1289</v>
      </c>
      <c r="G1430">
        <v>4.1068504347325261</v>
      </c>
      <c r="H1430">
        <v>1.103526101732341</v>
      </c>
      <c r="I1430">
        <v>1.7720784938863829</v>
      </c>
      <c r="J1430">
        <v>3.2344663338336628</v>
      </c>
      <c r="K1430">
        <v>3.007263297157579</v>
      </c>
      <c r="L1430">
        <v>1.7196913970047516</v>
      </c>
      <c r="M1430">
        <v>1.6295076312796397</v>
      </c>
      <c r="N1430">
        <v>1.8937752037468969</v>
      </c>
      <c r="O1430">
        <v>2.7788807764714161</v>
      </c>
      <c r="P1430">
        <v>6.911515458962981</v>
      </c>
      <c r="Q1430">
        <v>0.52713435917614071</v>
      </c>
      <c r="R1430">
        <v>2.5695442534232633</v>
      </c>
      <c r="S1430">
        <v>4.5004391595400612</v>
      </c>
      <c r="T1430">
        <v>2.0669711636307033</v>
      </c>
      <c r="U1430">
        <f t="shared" si="162"/>
        <v>2.7015460046127386</v>
      </c>
      <c r="V1430" t="str">
        <f t="shared" si="159"/>
        <v>2019/20Expenditure driversConnectionsDNO Baseline</v>
      </c>
    </row>
    <row r="1431" spans="1:22">
      <c r="A1431" t="s">
        <v>126</v>
      </c>
      <c r="C1431" t="s">
        <v>1344</v>
      </c>
      <c r="D1431" t="s">
        <v>61</v>
      </c>
      <c r="E1431" t="s">
        <v>1348</v>
      </c>
      <c r="F1431" t="s">
        <v>1289</v>
      </c>
      <c r="G1431">
        <v>4.0993947979981495</v>
      </c>
      <c r="H1431">
        <v>0.94856574731941856</v>
      </c>
      <c r="I1431">
        <v>1.4879652083423842</v>
      </c>
      <c r="J1431">
        <v>3.3264119525462781</v>
      </c>
      <c r="K1431">
        <v>3.3305050368291802</v>
      </c>
      <c r="L1431">
        <v>1.5359121475620814</v>
      </c>
      <c r="M1431">
        <v>1.4289152602955491</v>
      </c>
      <c r="N1431">
        <v>1.8645559904306432</v>
      </c>
      <c r="O1431">
        <v>2.7616208973097094</v>
      </c>
      <c r="P1431">
        <v>7.4466298950930057</v>
      </c>
      <c r="Q1431">
        <v>0.48688204011636271</v>
      </c>
      <c r="R1431">
        <v>4.0087913568790698</v>
      </c>
      <c r="S1431">
        <v>3.9637450353311916</v>
      </c>
      <c r="T1431">
        <v>2.8820513870650086</v>
      </c>
      <c r="U1431">
        <f t="shared" si="162"/>
        <v>2.8265676252227165</v>
      </c>
      <c r="V1431" t="str">
        <f t="shared" si="159"/>
        <v>2020/21Expenditure driversConnectionsDNO Baseline</v>
      </c>
    </row>
    <row r="1432" spans="1:22">
      <c r="A1432" t="s">
        <v>142</v>
      </c>
      <c r="C1432" t="s">
        <v>1344</v>
      </c>
      <c r="D1432" t="s">
        <v>61</v>
      </c>
      <c r="E1432" t="s">
        <v>1348</v>
      </c>
      <c r="F1432" t="s">
        <v>1289</v>
      </c>
      <c r="G1432">
        <v>5.055631470433922</v>
      </c>
      <c r="H1432">
        <v>0.6604921323193752</v>
      </c>
      <c r="I1432">
        <v>1.2123753950161764</v>
      </c>
      <c r="J1432">
        <v>3.4355486208766375</v>
      </c>
      <c r="K1432">
        <v>3.2104140146937752</v>
      </c>
      <c r="L1432">
        <v>1.5619613274644257</v>
      </c>
      <c r="M1432">
        <v>1.674042345314521</v>
      </c>
      <c r="N1432">
        <v>1.7089783022941867</v>
      </c>
      <c r="O1432">
        <v>3.3637391066730196</v>
      </c>
      <c r="P1432">
        <v>7.731162716921296</v>
      </c>
      <c r="Q1432">
        <v>0.50464382956877152</v>
      </c>
      <c r="R1432">
        <v>4.0574207322516305</v>
      </c>
      <c r="S1432">
        <v>4.9789247292071543</v>
      </c>
      <c r="T1432">
        <v>3.6090579775910765</v>
      </c>
      <c r="U1432">
        <f t="shared" si="162"/>
        <v>3.054599478616141</v>
      </c>
      <c r="V1432" t="str">
        <f t="shared" si="159"/>
        <v>2021/22Expenditure driversConnectionsDNO Baseline</v>
      </c>
    </row>
    <row r="1433" spans="1:22">
      <c r="A1433" t="s">
        <v>143</v>
      </c>
      <c r="C1433" t="s">
        <v>1344</v>
      </c>
      <c r="D1433" t="s">
        <v>61</v>
      </c>
      <c r="E1433" t="s">
        <v>1348</v>
      </c>
      <c r="F1433" t="s">
        <v>1289</v>
      </c>
      <c r="G1433">
        <v>4.7209959265999171</v>
      </c>
      <c r="H1433">
        <v>0.64532574726902392</v>
      </c>
      <c r="I1433">
        <v>1.391786714982038</v>
      </c>
      <c r="J1433">
        <v>3.5523636458516119</v>
      </c>
      <c r="K1433">
        <v>3.3027004093073247</v>
      </c>
      <c r="L1433">
        <v>1.8230781277729833</v>
      </c>
      <c r="M1433">
        <v>1.7008088783604256</v>
      </c>
      <c r="N1433">
        <v>1.6929759782169267</v>
      </c>
      <c r="O1433">
        <v>3.2082313398923827</v>
      </c>
      <c r="P1433">
        <v>7.1069569027907589</v>
      </c>
      <c r="Q1433">
        <v>0.46192969556956803</v>
      </c>
      <c r="R1433">
        <v>3.0284742976021319</v>
      </c>
      <c r="S1433">
        <v>4.1528638004982783</v>
      </c>
      <c r="T1433">
        <v>3.2528184014133656</v>
      </c>
      <c r="U1433">
        <f t="shared" si="162"/>
        <v>2.8600935618661962</v>
      </c>
      <c r="V1433" t="str">
        <f t="shared" si="159"/>
        <v>2022/23Expenditure driversConnectionsDNO Baseline</v>
      </c>
    </row>
    <row r="1434" spans="1:22">
      <c r="A1434" t="s">
        <v>137</v>
      </c>
      <c r="C1434" t="s">
        <v>1344</v>
      </c>
      <c r="D1434" t="s">
        <v>61</v>
      </c>
      <c r="E1434" t="s">
        <v>1349</v>
      </c>
      <c r="F1434" t="s">
        <v>1289</v>
      </c>
      <c r="G1434" cm="1">
        <f t="array" ref="G1434:T1440">TRANSPOSE('Ch4 expenditure drivers'!W294:AC307)</f>
        <v>0.51531027971789678</v>
      </c>
      <c r="H1434">
        <v>2.0310350458976809</v>
      </c>
      <c r="I1434">
        <v>0.9916838759714095</v>
      </c>
      <c r="J1434">
        <v>6.7129136462978884</v>
      </c>
      <c r="K1434">
        <v>25.557766566319629</v>
      </c>
      <c r="L1434">
        <v>1.5245282358065475</v>
      </c>
      <c r="M1434">
        <v>3.7408571847066492</v>
      </c>
      <c r="N1434">
        <v>6.3812585683184491</v>
      </c>
      <c r="O1434">
        <v>2.3266074246384676</v>
      </c>
      <c r="P1434">
        <v>6.7519942354433047</v>
      </c>
      <c r="Q1434">
        <v>2.7661270081454381</v>
      </c>
      <c r="R1434">
        <v>4.0484821187157092</v>
      </c>
      <c r="S1434">
        <v>1.9338756411096492</v>
      </c>
      <c r="T1434">
        <v>3.250671762651629</v>
      </c>
      <c r="U1434">
        <f t="shared" si="162"/>
        <v>4.8952222566957397</v>
      </c>
      <c r="V1434" t="str">
        <f t="shared" si="159"/>
        <v>2015/16Expenditure driversConnectionsDNO Actual</v>
      </c>
    </row>
    <row r="1435" spans="1:22">
      <c r="A1435" t="s">
        <v>138</v>
      </c>
      <c r="C1435" t="s">
        <v>1344</v>
      </c>
      <c r="D1435" t="s">
        <v>61</v>
      </c>
      <c r="E1435" t="s">
        <v>1349</v>
      </c>
      <c r="F1435" t="s">
        <v>1289</v>
      </c>
      <c r="G1435">
        <v>-2.3364996762634638</v>
      </c>
      <c r="H1435">
        <v>3.4062184037192043</v>
      </c>
      <c r="I1435">
        <v>2.8838570076743197</v>
      </c>
      <c r="J1435">
        <v>3.2215806092259394</v>
      </c>
      <c r="K1435">
        <v>18.895962893974161</v>
      </c>
      <c r="L1435">
        <v>1.0606698368252627</v>
      </c>
      <c r="M1435">
        <v>2.9807487886426758</v>
      </c>
      <c r="N1435">
        <v>13.515466393651282</v>
      </c>
      <c r="O1435">
        <v>7.8349024655237409</v>
      </c>
      <c r="P1435">
        <v>5.2584411754310798</v>
      </c>
      <c r="Q1435">
        <v>5.4118227271619217</v>
      </c>
      <c r="R1435">
        <v>-0.90714884581852251</v>
      </c>
      <c r="S1435">
        <v>6.8040913806248708</v>
      </c>
      <c r="T1435">
        <v>2.6617945776589491</v>
      </c>
      <c r="U1435">
        <f t="shared" si="162"/>
        <v>5.0494219812879582</v>
      </c>
      <c r="V1435" t="str">
        <f t="shared" si="159"/>
        <v>2016/17Expenditure driversConnectionsDNO Actual</v>
      </c>
    </row>
    <row r="1436" spans="1:22">
      <c r="A1436" t="s">
        <v>139</v>
      </c>
      <c r="C1436" t="s">
        <v>1344</v>
      </c>
      <c r="D1436" t="s">
        <v>61</v>
      </c>
      <c r="E1436" t="s">
        <v>1349</v>
      </c>
      <c r="F1436" t="s">
        <v>1289</v>
      </c>
      <c r="G1436">
        <v>0.67344752186049095</v>
      </c>
      <c r="H1436">
        <v>2.6023231172473227</v>
      </c>
      <c r="I1436">
        <v>2.8425003470282766</v>
      </c>
      <c r="J1436">
        <v>4.0425593755001676</v>
      </c>
      <c r="K1436">
        <v>23.818004661923261</v>
      </c>
      <c r="L1436">
        <v>1.2561407758231846</v>
      </c>
      <c r="M1436">
        <v>3.1361640490636868</v>
      </c>
      <c r="N1436">
        <v>12.709836350439716</v>
      </c>
      <c r="O1436">
        <v>2.7514010665596995</v>
      </c>
      <c r="P1436">
        <v>3.9366533172854341</v>
      </c>
      <c r="Q1436">
        <v>1.540097917724838</v>
      </c>
      <c r="R1436">
        <v>0.7929611340078081</v>
      </c>
      <c r="S1436">
        <v>7.2071720146257254</v>
      </c>
      <c r="T1436">
        <v>7.6967712804491546</v>
      </c>
      <c r="U1436">
        <f t="shared" si="162"/>
        <v>5.3575737806813404</v>
      </c>
      <c r="V1436" t="str">
        <f t="shared" si="159"/>
        <v>2017/18Expenditure driversConnectionsDNO Actual</v>
      </c>
    </row>
    <row r="1437" spans="1:22">
      <c r="A1437" t="s">
        <v>140</v>
      </c>
      <c r="C1437" t="s">
        <v>1344</v>
      </c>
      <c r="D1437" t="s">
        <v>61</v>
      </c>
      <c r="E1437" t="s">
        <v>1349</v>
      </c>
      <c r="F1437" t="s">
        <v>1289</v>
      </c>
      <c r="G1437">
        <v>2.7535654121323736</v>
      </c>
      <c r="H1437">
        <v>1.7650632557529524</v>
      </c>
      <c r="I1437">
        <v>2.6472179976746224</v>
      </c>
      <c r="J1437">
        <v>4.991457221822186</v>
      </c>
      <c r="K1437">
        <v>19.531669748118652</v>
      </c>
      <c r="L1437">
        <v>0.25260966862919493</v>
      </c>
      <c r="M1437">
        <v>3.4846954635943925</v>
      </c>
      <c r="N1437">
        <v>-5.0540173363375782</v>
      </c>
      <c r="O1437">
        <v>2.525511457248597</v>
      </c>
      <c r="P1437">
        <v>3.253537066233219</v>
      </c>
      <c r="Q1437">
        <v>0.60242524435064393</v>
      </c>
      <c r="R1437">
        <v>1.142488608386369</v>
      </c>
      <c r="S1437">
        <v>3.0832600629647349</v>
      </c>
      <c r="T1437">
        <v>-5.3121739405515669</v>
      </c>
      <c r="U1437">
        <f t="shared" si="162"/>
        <v>2.5476649950013419</v>
      </c>
      <c r="V1437" t="str">
        <f t="shared" si="159"/>
        <v>2018/19Expenditure driversConnectionsDNO Actual</v>
      </c>
    </row>
    <row r="1438" spans="1:22">
      <c r="A1438" t="s">
        <v>141</v>
      </c>
      <c r="C1438" t="s">
        <v>1344</v>
      </c>
      <c r="D1438" t="s">
        <v>61</v>
      </c>
      <c r="E1438" t="s">
        <v>1349</v>
      </c>
      <c r="F1438" t="s">
        <v>1289</v>
      </c>
      <c r="G1438">
        <v>3.6546600094446364</v>
      </c>
      <c r="H1438">
        <v>2.0298637033048799</v>
      </c>
      <c r="I1438">
        <v>2.587158373356218</v>
      </c>
      <c r="J1438">
        <v>4.4124307464165531</v>
      </c>
      <c r="K1438">
        <v>18.798143333035146</v>
      </c>
      <c r="L1438">
        <v>1.2663992065840448</v>
      </c>
      <c r="M1438">
        <v>4.3962648591738285</v>
      </c>
      <c r="N1438">
        <v>13.105100164396289</v>
      </c>
      <c r="O1438">
        <v>2.2567667575586228</v>
      </c>
      <c r="P1438">
        <v>9.4778304310070549</v>
      </c>
      <c r="Q1438">
        <v>0.66452752971242657</v>
      </c>
      <c r="R1438">
        <v>-4.8118400940761648E-3</v>
      </c>
      <c r="S1438">
        <v>2.347538523013879</v>
      </c>
      <c r="T1438">
        <v>9.0527335029454292</v>
      </c>
      <c r="U1438">
        <f>AVERAGE(G1438:T1438)</f>
        <v>5.2889003785610669</v>
      </c>
      <c r="V1438" t="str">
        <f t="shared" si="159"/>
        <v>2019/20Expenditure driversConnectionsDNO Actual</v>
      </c>
    </row>
    <row r="1439" spans="1:22">
      <c r="A1439" t="s">
        <v>126</v>
      </c>
      <c r="C1439" t="s">
        <v>1344</v>
      </c>
      <c r="D1439" t="s">
        <v>61</v>
      </c>
      <c r="E1439" t="s">
        <v>1349</v>
      </c>
      <c r="F1439" t="s">
        <v>1289</v>
      </c>
      <c r="G1439">
        <v>4.5956790052332881</v>
      </c>
      <c r="H1439">
        <v>2.0744117052872015</v>
      </c>
      <c r="I1439">
        <v>2.2175681803279916</v>
      </c>
      <c r="J1439">
        <v>5.3496049486787234</v>
      </c>
      <c r="K1439">
        <v>17.700656728320993</v>
      </c>
      <c r="L1439">
        <v>1.9868958353588269</v>
      </c>
      <c r="M1439">
        <v>4.2498669544850376</v>
      </c>
      <c r="N1439">
        <v>11.00772882490341</v>
      </c>
      <c r="O1439">
        <v>6.0229002486821219</v>
      </c>
      <c r="P1439">
        <v>6.3041375095391183</v>
      </c>
      <c r="Q1439">
        <v>0.80108268801886373</v>
      </c>
      <c r="R1439">
        <v>1.2308368150953193</v>
      </c>
      <c r="S1439">
        <v>0.43942665979079953</v>
      </c>
      <c r="T1439">
        <v>12.701387670792336</v>
      </c>
      <c r="U1439">
        <f>AVERAGE(G1439:T1439)</f>
        <v>5.4772988410367152</v>
      </c>
      <c r="V1439" t="str">
        <f t="shared" si="159"/>
        <v>2020/21Expenditure driversConnectionsDNO Actual</v>
      </c>
    </row>
    <row r="1440" spans="1:22">
      <c r="A1440" t="s">
        <v>142</v>
      </c>
      <c r="C1440" t="s">
        <v>1344</v>
      </c>
      <c r="D1440" t="s">
        <v>61</v>
      </c>
      <c r="E1440" t="s">
        <v>1349</v>
      </c>
      <c r="F1440" t="s">
        <v>1289</v>
      </c>
      <c r="G1440">
        <v>5.8602891553022491</v>
      </c>
      <c r="H1440">
        <v>3.6551325891606266</v>
      </c>
      <c r="I1440">
        <v>2.4498433733090792</v>
      </c>
      <c r="J1440">
        <v>8.2233999999999998</v>
      </c>
      <c r="K1440">
        <v>22.423599999999997</v>
      </c>
      <c r="L1440">
        <v>6.3993000000000002</v>
      </c>
      <c r="M1440">
        <v>6.1536999999999997</v>
      </c>
      <c r="N1440">
        <v>9.5850868835142009</v>
      </c>
      <c r="O1440">
        <v>5.5683162420723669</v>
      </c>
      <c r="P1440">
        <v>8.8484225697209666</v>
      </c>
      <c r="Q1440">
        <v>3.026252592201061</v>
      </c>
      <c r="R1440">
        <v>3.3603959772304575</v>
      </c>
      <c r="S1440">
        <v>2.8911724790217463</v>
      </c>
      <c r="T1440">
        <v>5.5256788784265938</v>
      </c>
      <c r="U1440">
        <f>AVERAGE(G1440:T1440)</f>
        <v>6.7121850528542391</v>
      </c>
      <c r="V1440" t="str">
        <f t="shared" ref="V1440" si="163">CONCATENATE(A1440,B1440,C1440,D1440,E1440)</f>
        <v>2021/22Expenditure driversConnectionsDNO Actual</v>
      </c>
    </row>
    <row r="1441" spans="1:22">
      <c r="A1441" t="s">
        <v>137</v>
      </c>
      <c r="C1441" t="s">
        <v>1344</v>
      </c>
      <c r="D1441" t="s">
        <v>61</v>
      </c>
      <c r="E1441" t="s">
        <v>297</v>
      </c>
      <c r="F1441" t="s">
        <v>1289</v>
      </c>
      <c r="G1441">
        <f t="array" ref="G1441:T1444">TRANSPOSE('Ch4 expenditure drivers'!AF294:AI307)</f>
        <v>3.9048782528913413</v>
      </c>
      <c r="H1441">
        <v>1.3954784676716703</v>
      </c>
      <c r="I1441">
        <v>0.89444101516663332</v>
      </c>
      <c r="J1441">
        <v>2.7824595518437674</v>
      </c>
      <c r="K1441">
        <v>2.5774442805173887</v>
      </c>
      <c r="L1441">
        <v>1.3711010114668245</v>
      </c>
      <c r="M1441">
        <v>1.3673504826857761</v>
      </c>
      <c r="N1441">
        <v>1.8112809672765195</v>
      </c>
      <c r="O1441">
        <v>3.1748872025843138</v>
      </c>
      <c r="P1441">
        <v>6.87017684379604</v>
      </c>
      <c r="Q1441">
        <v>0.74948434597089553</v>
      </c>
      <c r="R1441">
        <v>4.4645537913915661</v>
      </c>
      <c r="S1441">
        <v>2.3880945867558125</v>
      </c>
      <c r="T1441">
        <v>2.4021401380543974</v>
      </c>
      <c r="U1441">
        <f t="shared" si="162"/>
        <v>2.5824122098623534</v>
      </c>
      <c r="V1441" t="str">
        <f t="shared" si="159"/>
        <v>2015/16Expenditure driversConnectionsAllowance</v>
      </c>
    </row>
    <row r="1442" spans="1:22">
      <c r="A1442" t="s">
        <v>137</v>
      </c>
      <c r="C1442" t="s">
        <v>1344</v>
      </c>
      <c r="D1442" t="s">
        <v>61</v>
      </c>
      <c r="E1442" t="s">
        <v>298</v>
      </c>
      <c r="F1442" t="s">
        <v>1289</v>
      </c>
      <c r="G1442">
        <v>0.51531027971789678</v>
      </c>
      <c r="H1442">
        <v>2.0310350458976809</v>
      </c>
      <c r="I1442">
        <v>0.9916838759714095</v>
      </c>
      <c r="J1442">
        <v>6.7129136462978884</v>
      </c>
      <c r="K1442">
        <v>25.557766566319629</v>
      </c>
      <c r="L1442">
        <v>1.5245282358065475</v>
      </c>
      <c r="M1442">
        <v>3.7408571847066492</v>
      </c>
      <c r="N1442">
        <v>6.3812585683184491</v>
      </c>
      <c r="O1442">
        <v>2.3266074246384676</v>
      </c>
      <c r="P1442">
        <v>6.7519942354433047</v>
      </c>
      <c r="Q1442">
        <v>2.7661270081454381</v>
      </c>
      <c r="R1442">
        <v>4.0484821187157092</v>
      </c>
      <c r="S1442">
        <v>1.9338756411096492</v>
      </c>
      <c r="T1442">
        <v>3.250671762651629</v>
      </c>
      <c r="U1442">
        <f t="shared" si="162"/>
        <v>4.8952222566957397</v>
      </c>
      <c r="V1442" t="str">
        <f t="shared" si="159"/>
        <v>2015/16Expenditure driversConnectionsActual</v>
      </c>
    </row>
    <row r="1443" spans="1:22">
      <c r="A1443" t="s">
        <v>137</v>
      </c>
      <c r="C1443" t="s">
        <v>1344</v>
      </c>
      <c r="D1443" t="s">
        <v>61</v>
      </c>
      <c r="E1443" t="s">
        <v>602</v>
      </c>
      <c r="F1443" t="s">
        <v>1289</v>
      </c>
      <c r="G1443">
        <v>-3.3895679731734445</v>
      </c>
      <c r="H1443">
        <v>0.63555657822601064</v>
      </c>
      <c r="I1443">
        <v>9.7242860804776177E-2</v>
      </c>
      <c r="J1443">
        <v>3.9304540944541211</v>
      </c>
      <c r="K1443">
        <v>22.980322285802238</v>
      </c>
      <c r="L1443">
        <v>0.153427224339723</v>
      </c>
      <c r="M1443">
        <v>2.3735067020208733</v>
      </c>
      <c r="N1443">
        <v>4.5699776010419297</v>
      </c>
      <c r="O1443">
        <v>-0.84827977794584619</v>
      </c>
      <c r="P1443">
        <v>-0.11818260835273531</v>
      </c>
      <c r="Q1443">
        <v>2.0166426621745428</v>
      </c>
      <c r="R1443">
        <v>-0.41607167267585687</v>
      </c>
      <c r="S1443">
        <v>-0.45421894564616339</v>
      </c>
      <c r="T1443">
        <v>0.84853162459723164</v>
      </c>
      <c r="U1443">
        <f>U1442-U1441</f>
        <v>2.3128100468333863</v>
      </c>
      <c r="V1443" t="str">
        <f t="shared" si="159"/>
        <v>2015/16Expenditure driversConnectionsDifference</v>
      </c>
    </row>
    <row r="1444" spans="1:22">
      <c r="A1444" t="s">
        <v>137</v>
      </c>
      <c r="C1444" t="s">
        <v>1344</v>
      </c>
      <c r="D1444" t="s">
        <v>61</v>
      </c>
      <c r="E1444" t="s">
        <v>1346</v>
      </c>
      <c r="F1444" t="s">
        <v>606</v>
      </c>
      <c r="G1444" s="829">
        <v>-0.86803422633309024</v>
      </c>
      <c r="H1444" s="829">
        <v>0.45543990319422478</v>
      </c>
      <c r="I1444" s="829">
        <v>0.10871914319208623</v>
      </c>
      <c r="J1444" s="829">
        <v>1.4125826525850653</v>
      </c>
      <c r="K1444" s="829">
        <v>8.9159336865234717</v>
      </c>
      <c r="L1444" s="829">
        <v>0.11190074477122897</v>
      </c>
      <c r="M1444" s="829">
        <v>1.7358436860743895</v>
      </c>
      <c r="N1444" s="829">
        <v>2.5230638888197698</v>
      </c>
      <c r="O1444" s="829">
        <v>-0.26718422539716002</v>
      </c>
      <c r="P1444" s="829">
        <v>-1.7202265828056156E-2</v>
      </c>
      <c r="Q1444" s="829">
        <v>2.6907068480024723</v>
      </c>
      <c r="R1444" s="829">
        <v>-9.3194458420036333E-2</v>
      </c>
      <c r="S1444" s="829">
        <v>-0.19020140498840643</v>
      </c>
      <c r="T1444" s="829">
        <v>0.35323985106235145</v>
      </c>
      <c r="U1444" s="829">
        <f>U1443/U1441</f>
        <v>0.89560064733300759</v>
      </c>
      <c r="V1444" t="str">
        <f t="shared" si="159"/>
        <v>2015/16Expenditure driversConnectionsDifference %</v>
      </c>
    </row>
    <row r="1445" spans="1:22">
      <c r="A1445" t="s">
        <v>138</v>
      </c>
      <c r="C1445" t="s">
        <v>1344</v>
      </c>
      <c r="D1445" t="s">
        <v>61</v>
      </c>
      <c r="E1445" t="s">
        <v>297</v>
      </c>
      <c r="F1445" t="s">
        <v>1289</v>
      </c>
      <c r="G1445">
        <f t="array" ref="G1445:T1448">TRANSPOSE('Ch4 expenditure drivers'!AK294:AN307)</f>
        <v>4.6551226165443289</v>
      </c>
      <c r="H1445">
        <v>1.0361945755086746</v>
      </c>
      <c r="I1445">
        <v>1.0853671925286354</v>
      </c>
      <c r="J1445">
        <v>2.8336075715907052</v>
      </c>
      <c r="K1445">
        <v>2.6343680063389425</v>
      </c>
      <c r="L1445">
        <v>1.2184629289379345</v>
      </c>
      <c r="M1445">
        <v>1.3803569220843375</v>
      </c>
      <c r="N1445">
        <v>1.7270608071558486</v>
      </c>
      <c r="O1445">
        <v>3.8945857379697322</v>
      </c>
      <c r="P1445">
        <v>7.2999504901294134</v>
      </c>
      <c r="Q1445">
        <v>0.7273087705946385</v>
      </c>
      <c r="R1445">
        <v>3.5011925539029942</v>
      </c>
      <c r="S1445">
        <v>2.2916047393222279</v>
      </c>
      <c r="T1445">
        <v>2.9272578490628161</v>
      </c>
      <c r="U1445">
        <f t="shared" si="162"/>
        <v>2.6580314829765173</v>
      </c>
      <c r="V1445" t="str">
        <f t="shared" si="159"/>
        <v>2016/17Expenditure driversConnectionsAllowance</v>
      </c>
    </row>
    <row r="1446" spans="1:22">
      <c r="A1446" t="s">
        <v>138</v>
      </c>
      <c r="C1446" t="s">
        <v>1344</v>
      </c>
      <c r="D1446" t="s">
        <v>61</v>
      </c>
      <c r="E1446" t="s">
        <v>298</v>
      </c>
      <c r="F1446" t="s">
        <v>1289</v>
      </c>
      <c r="G1446">
        <v>-2.3364996762634638</v>
      </c>
      <c r="H1446">
        <v>3.4062184037192043</v>
      </c>
      <c r="I1446">
        <v>2.8838570076743197</v>
      </c>
      <c r="J1446">
        <v>3.2215806092259394</v>
      </c>
      <c r="K1446">
        <v>18.895962893974161</v>
      </c>
      <c r="L1446">
        <v>1.0606698368252627</v>
      </c>
      <c r="M1446">
        <v>2.9807487886426758</v>
      </c>
      <c r="N1446">
        <v>13.515466393651282</v>
      </c>
      <c r="O1446">
        <v>7.8349024655237409</v>
      </c>
      <c r="P1446">
        <v>5.2584411754310798</v>
      </c>
      <c r="Q1446">
        <v>5.4118227271619217</v>
      </c>
      <c r="R1446">
        <v>-0.90714884581852251</v>
      </c>
      <c r="S1446">
        <v>6.8040913806248708</v>
      </c>
      <c r="T1446">
        <v>2.6617945776589491</v>
      </c>
      <c r="U1446">
        <f t="shared" si="162"/>
        <v>5.0494219812879582</v>
      </c>
      <c r="V1446" t="str">
        <f t="shared" si="159"/>
        <v>2016/17Expenditure driversConnectionsActual</v>
      </c>
    </row>
    <row r="1447" spans="1:22">
      <c r="A1447" t="s">
        <v>138</v>
      </c>
      <c r="C1447" t="s">
        <v>1344</v>
      </c>
      <c r="D1447" t="s">
        <v>61</v>
      </c>
      <c r="E1447" t="s">
        <v>602</v>
      </c>
      <c r="F1447" t="s">
        <v>1289</v>
      </c>
      <c r="G1447">
        <v>-6.9916222928077927</v>
      </c>
      <c r="H1447">
        <v>2.3700238282105297</v>
      </c>
      <c r="I1447">
        <v>1.7984898151456843</v>
      </c>
      <c r="J1447">
        <v>0.38797303763523416</v>
      </c>
      <c r="K1447">
        <v>16.261594887635219</v>
      </c>
      <c r="L1447">
        <v>-0.15779309211267178</v>
      </c>
      <c r="M1447">
        <v>1.6003918665583383</v>
      </c>
      <c r="N1447">
        <v>11.788405586495433</v>
      </c>
      <c r="O1447">
        <v>3.9403167275540087</v>
      </c>
      <c r="P1447">
        <v>-2.0415093146983336</v>
      </c>
      <c r="Q1447">
        <v>4.6845139565672831</v>
      </c>
      <c r="R1447">
        <v>-4.4083413997215164</v>
      </c>
      <c r="S1447">
        <v>4.512486641302643</v>
      </c>
      <c r="T1447">
        <v>-0.26546327140386694</v>
      </c>
      <c r="U1447">
        <f>U1446-U1445</f>
        <v>2.3913904983114409</v>
      </c>
      <c r="V1447" t="str">
        <f t="shared" si="159"/>
        <v>2016/17Expenditure driversConnectionsDifference</v>
      </c>
    </row>
    <row r="1448" spans="1:22">
      <c r="A1448" t="s">
        <v>138</v>
      </c>
      <c r="C1448" t="s">
        <v>1344</v>
      </c>
      <c r="D1448" t="s">
        <v>61</v>
      </c>
      <c r="E1448" t="s">
        <v>1346</v>
      </c>
      <c r="F1448" t="s">
        <v>606</v>
      </c>
      <c r="G1448" s="829">
        <v>-1.5019201144046201</v>
      </c>
      <c r="H1448" s="829">
        <v>2.2872382120385737</v>
      </c>
      <c r="I1448" s="829">
        <v>1.6570335159621423</v>
      </c>
      <c r="J1448" s="829">
        <v>0.13691840801280655</v>
      </c>
      <c r="K1448" s="829">
        <v>6.1728637944682712</v>
      </c>
      <c r="L1448" s="829">
        <v>-0.12950175862158658</v>
      </c>
      <c r="M1448" s="829">
        <v>1.159404383716748</v>
      </c>
      <c r="N1448" s="829">
        <v>6.8257038418402693</v>
      </c>
      <c r="O1448" s="829">
        <v>1.0117421961310105</v>
      </c>
      <c r="P1448" s="829">
        <v>-0.2796607069402387</v>
      </c>
      <c r="Q1448" s="829">
        <v>6.4408874826812328</v>
      </c>
      <c r="R1448" s="829">
        <v>-1.2590971024450706</v>
      </c>
      <c r="S1448" s="829">
        <v>1.9691382915525257</v>
      </c>
      <c r="T1448" s="829">
        <v>-9.068667165376533E-2</v>
      </c>
      <c r="U1448" s="829">
        <f>U1447/U1445</f>
        <v>0.89968479065323692</v>
      </c>
      <c r="V1448" t="str">
        <f t="shared" ref="V1448:V1520" si="164">CONCATENATE(A1448,B1448,C1448,D1448,E1448)</f>
        <v>2016/17Expenditure driversConnectionsDifference %</v>
      </c>
    </row>
    <row r="1449" spans="1:22">
      <c r="A1449" t="s">
        <v>139</v>
      </c>
      <c r="C1449" t="s">
        <v>1344</v>
      </c>
      <c r="D1449" t="s">
        <v>61</v>
      </c>
      <c r="E1449" t="s">
        <v>297</v>
      </c>
      <c r="F1449" t="s">
        <v>1289</v>
      </c>
      <c r="G1449">
        <f t="array" ref="G1449:T1452">TRANSPOSE('Ch4 expenditure drivers'!AP294:AS307)</f>
        <v>3.4906238881420952</v>
      </c>
      <c r="H1449">
        <v>0.98189281165012388</v>
      </c>
      <c r="I1449">
        <v>1.1121495436041875</v>
      </c>
      <c r="J1449">
        <v>2.9978334736839907</v>
      </c>
      <c r="K1449">
        <v>2.774885919982323</v>
      </c>
      <c r="L1449">
        <v>1.5202510425587146</v>
      </c>
      <c r="M1449">
        <v>1.2848384334044538</v>
      </c>
      <c r="N1449">
        <v>1.8264398428242909</v>
      </c>
      <c r="O1449">
        <v>3.9985040165614789</v>
      </c>
      <c r="P1449">
        <v>7.269852581432688</v>
      </c>
      <c r="Q1449">
        <v>0.80266200668478771</v>
      </c>
      <c r="R1449">
        <v>3.2891262144812119</v>
      </c>
      <c r="S1449">
        <v>3.3017384860434515</v>
      </c>
      <c r="T1449">
        <v>2.5206758575017476</v>
      </c>
      <c r="U1449">
        <f t="shared" si="162"/>
        <v>2.6551052941825395</v>
      </c>
      <c r="V1449" t="str">
        <f t="shared" si="164"/>
        <v>2017/18Expenditure driversConnectionsAllowance</v>
      </c>
    </row>
    <row r="1450" spans="1:22">
      <c r="A1450" t="s">
        <v>139</v>
      </c>
      <c r="C1450" t="s">
        <v>1344</v>
      </c>
      <c r="D1450" t="s">
        <v>61</v>
      </c>
      <c r="E1450" t="s">
        <v>298</v>
      </c>
      <c r="F1450" t="s">
        <v>1289</v>
      </c>
      <c r="G1450">
        <v>0.67344752186049095</v>
      </c>
      <c r="H1450">
        <v>2.6023231172473227</v>
      </c>
      <c r="I1450">
        <v>2.8425003470282766</v>
      </c>
      <c r="J1450">
        <v>4.0425593755001676</v>
      </c>
      <c r="K1450">
        <v>23.818004661923261</v>
      </c>
      <c r="L1450">
        <v>1.2561407758231846</v>
      </c>
      <c r="M1450">
        <v>3.1361640490636868</v>
      </c>
      <c r="N1450">
        <v>12.709836350439716</v>
      </c>
      <c r="O1450">
        <v>2.7514010665596995</v>
      </c>
      <c r="P1450">
        <v>3.9366533172854341</v>
      </c>
      <c r="Q1450">
        <v>1.540097917724838</v>
      </c>
      <c r="R1450">
        <v>0.7929611340078081</v>
      </c>
      <c r="S1450">
        <v>7.2071720146257254</v>
      </c>
      <c r="T1450">
        <v>7.6967712804491546</v>
      </c>
      <c r="U1450">
        <f t="shared" si="162"/>
        <v>5.3575737806813404</v>
      </c>
      <c r="V1450" t="str">
        <f t="shared" si="164"/>
        <v>2017/18Expenditure driversConnectionsActual</v>
      </c>
    </row>
    <row r="1451" spans="1:22">
      <c r="A1451" t="s">
        <v>139</v>
      </c>
      <c r="C1451" t="s">
        <v>1344</v>
      </c>
      <c r="D1451" t="s">
        <v>61</v>
      </c>
      <c r="E1451" t="s">
        <v>602</v>
      </c>
      <c r="F1451" t="s">
        <v>1289</v>
      </c>
      <c r="G1451">
        <v>-2.8171763662816041</v>
      </c>
      <c r="H1451">
        <v>1.6204303055971989</v>
      </c>
      <c r="I1451">
        <v>1.7303508034240891</v>
      </c>
      <c r="J1451">
        <v>1.044725901816177</v>
      </c>
      <c r="K1451">
        <v>21.043118741940937</v>
      </c>
      <c r="L1451">
        <v>-0.26411026673552995</v>
      </c>
      <c r="M1451">
        <v>1.851325615659233</v>
      </c>
      <c r="N1451">
        <v>10.883396507615425</v>
      </c>
      <c r="O1451">
        <v>-1.2471029500017794</v>
      </c>
      <c r="P1451">
        <v>-3.3331992641472539</v>
      </c>
      <c r="Q1451">
        <v>0.73743591104005024</v>
      </c>
      <c r="R1451">
        <v>-2.4961650804734039</v>
      </c>
      <c r="S1451">
        <v>3.9054335285822739</v>
      </c>
      <c r="T1451">
        <v>5.176095422947407</v>
      </c>
      <c r="U1451">
        <f>U1450-U1449</f>
        <v>2.7024684864988009</v>
      </c>
      <c r="V1451" t="str">
        <f t="shared" si="164"/>
        <v>2017/18Expenditure driversConnectionsDifference</v>
      </c>
    </row>
    <row r="1452" spans="1:22">
      <c r="A1452" t="s">
        <v>139</v>
      </c>
      <c r="C1452" t="s">
        <v>1344</v>
      </c>
      <c r="D1452" t="s">
        <v>61</v>
      </c>
      <c r="E1452" t="s">
        <v>1346</v>
      </c>
      <c r="F1452" t="s">
        <v>606</v>
      </c>
      <c r="G1452" s="829">
        <v>-0.8070695831343383</v>
      </c>
      <c r="H1452" s="829">
        <v>1.6503128308618313</v>
      </c>
      <c r="I1452" s="829">
        <v>1.5558616315360541</v>
      </c>
      <c r="J1452" s="829">
        <v>0.34849364081999179</v>
      </c>
      <c r="K1452" s="829">
        <v>7.5834176066146135</v>
      </c>
      <c r="L1452" s="829">
        <v>-0.17372806157791507</v>
      </c>
      <c r="M1452" s="829">
        <v>1.4409014919905148</v>
      </c>
      <c r="N1452" s="829">
        <v>5.9588037078659157</v>
      </c>
      <c r="O1452" s="829">
        <v>-0.31189238396069635</v>
      </c>
      <c r="P1452" s="829">
        <v>-0.45849612860930555</v>
      </c>
      <c r="Q1452" s="829">
        <v>0.91873778115630644</v>
      </c>
      <c r="R1452" s="829">
        <v>-0.75891434919201473</v>
      </c>
      <c r="S1452" s="829">
        <v>1.1828415681892008</v>
      </c>
      <c r="T1452" s="829">
        <v>2.0534553887771421</v>
      </c>
      <c r="U1452" s="829">
        <f>U1451/U1449</f>
        <v>1.0178385363548619</v>
      </c>
      <c r="V1452" t="str">
        <f t="shared" si="164"/>
        <v>2017/18Expenditure driversConnectionsDifference %</v>
      </c>
    </row>
    <row r="1453" spans="1:22">
      <c r="A1453" t="s">
        <v>140</v>
      </c>
      <c r="C1453" t="s">
        <v>1344</v>
      </c>
      <c r="D1453" t="s">
        <v>61</v>
      </c>
      <c r="E1453" t="s">
        <v>297</v>
      </c>
      <c r="F1453" t="s">
        <v>1289</v>
      </c>
      <c r="G1453">
        <f t="array" ref="G1453:T1456">TRANSPOSE('Ch4 expenditure drivers'!AU294:AX307)</f>
        <v>4.4735640136146202</v>
      </c>
      <c r="H1453">
        <v>0.9369180456251549</v>
      </c>
      <c r="I1453">
        <v>1.4152333673687529</v>
      </c>
      <c r="J1453">
        <v>3.2492738261970771</v>
      </c>
      <c r="K1453">
        <v>3.0373144742075238</v>
      </c>
      <c r="L1453">
        <v>1.3896824388525268</v>
      </c>
      <c r="M1453">
        <v>1.4880971531646832</v>
      </c>
      <c r="N1453">
        <v>1.7160215073745342</v>
      </c>
      <c r="O1453">
        <v>3.1858969564068551</v>
      </c>
      <c r="P1453">
        <v>6.5438528907919995</v>
      </c>
      <c r="Q1453">
        <v>0.66310924026159823</v>
      </c>
      <c r="R1453">
        <v>2.7699729892317992</v>
      </c>
      <c r="S1453">
        <v>3.4655221027952354</v>
      </c>
      <c r="T1453">
        <v>2.7267700282786844</v>
      </c>
      <c r="U1453">
        <f>AVERAGE(G1453:T1453)</f>
        <v>2.6472306452979315</v>
      </c>
      <c r="V1453" t="str">
        <f t="shared" si="164"/>
        <v>2018/19Expenditure driversConnectionsAllowance</v>
      </c>
    </row>
    <row r="1454" spans="1:22">
      <c r="A1454" t="s">
        <v>140</v>
      </c>
      <c r="C1454" t="s">
        <v>1344</v>
      </c>
      <c r="D1454" t="s">
        <v>61</v>
      </c>
      <c r="E1454" t="s">
        <v>298</v>
      </c>
      <c r="F1454" t="s">
        <v>1289</v>
      </c>
      <c r="G1454">
        <v>2.7535654121323736</v>
      </c>
      <c r="H1454">
        <v>1.7650632557529524</v>
      </c>
      <c r="I1454">
        <v>2.6472179976746224</v>
      </c>
      <c r="J1454">
        <v>4.991457221822186</v>
      </c>
      <c r="K1454">
        <v>19.531669748118652</v>
      </c>
      <c r="L1454">
        <v>0.25260966862919493</v>
      </c>
      <c r="M1454">
        <v>3.4846954635943925</v>
      </c>
      <c r="N1454">
        <v>-5.0540173363375782</v>
      </c>
      <c r="O1454">
        <v>2.525511457248597</v>
      </c>
      <c r="P1454">
        <v>3.253537066233219</v>
      </c>
      <c r="Q1454">
        <v>0.60242524435064393</v>
      </c>
      <c r="R1454">
        <v>1.142488608386369</v>
      </c>
      <c r="S1454">
        <v>3.0832600629647349</v>
      </c>
      <c r="T1454">
        <v>-5.3121739405515669</v>
      </c>
      <c r="U1454">
        <f>AVERAGE(G1454:T1454)</f>
        <v>2.5476649950013419</v>
      </c>
      <c r="V1454" t="str">
        <f t="shared" si="164"/>
        <v>2018/19Expenditure driversConnectionsActual</v>
      </c>
    </row>
    <row r="1455" spans="1:22">
      <c r="A1455" t="s">
        <v>140</v>
      </c>
      <c r="C1455" t="s">
        <v>1344</v>
      </c>
      <c r="D1455" t="s">
        <v>61</v>
      </c>
      <c r="E1455" t="s">
        <v>602</v>
      </c>
      <c r="F1455" t="s">
        <v>1289</v>
      </c>
      <c r="G1455">
        <v>-1.7199986014822466</v>
      </c>
      <c r="H1455">
        <v>0.82814521012779752</v>
      </c>
      <c r="I1455">
        <v>1.2319846303058695</v>
      </c>
      <c r="J1455">
        <v>1.7421833956251089</v>
      </c>
      <c r="K1455">
        <v>16.494355273911129</v>
      </c>
      <c r="L1455">
        <v>-1.1370727702233319</v>
      </c>
      <c r="M1455">
        <v>1.9965983104297094</v>
      </c>
      <c r="N1455">
        <v>-6.7700388437121122</v>
      </c>
      <c r="O1455">
        <v>-0.66038549915825806</v>
      </c>
      <c r="P1455">
        <v>-3.2903158245587805</v>
      </c>
      <c r="Q1455">
        <v>-6.0683995910954303E-2</v>
      </c>
      <c r="R1455">
        <v>-1.6274843808454302</v>
      </c>
      <c r="S1455">
        <v>-0.38226203983050056</v>
      </c>
      <c r="T1455">
        <v>-8.0389439688302513</v>
      </c>
      <c r="U1455">
        <f>U1454-U1453</f>
        <v>-9.9565650296589592E-2</v>
      </c>
      <c r="V1455" t="str">
        <f t="shared" si="164"/>
        <v>2018/19Expenditure driversConnectionsDifference</v>
      </c>
    </row>
    <row r="1456" spans="1:22">
      <c r="A1456" t="s">
        <v>140</v>
      </c>
      <c r="C1456" t="s">
        <v>1344</v>
      </c>
      <c r="D1456" t="s">
        <v>61</v>
      </c>
      <c r="E1456" t="s">
        <v>1346</v>
      </c>
      <c r="F1456" t="s">
        <v>606</v>
      </c>
      <c r="G1456" s="829">
        <v>-0.38448060567540537</v>
      </c>
      <c r="H1456" s="829">
        <v>0.88390357512563533</v>
      </c>
      <c r="I1456" s="829">
        <v>0.87051694703638494</v>
      </c>
      <c r="J1456" s="829">
        <v>0.53617623161792605</v>
      </c>
      <c r="K1456" s="829">
        <v>5.4305721103227969</v>
      </c>
      <c r="L1456" s="829">
        <v>-0.81822489687804001</v>
      </c>
      <c r="M1456" s="829">
        <v>1.3417123379233775</v>
      </c>
      <c r="N1456" s="829">
        <v>-3.9451946345766293</v>
      </c>
      <c r="O1456" s="829">
        <v>-0.20728401081215744</v>
      </c>
      <c r="P1456" s="829">
        <v>-0.50281017612554479</v>
      </c>
      <c r="Q1456" s="829">
        <v>-9.1514327091889586E-2</v>
      </c>
      <c r="R1456" s="829">
        <v>-0.58754521692891415</v>
      </c>
      <c r="S1456" s="829">
        <v>-0.11030431447029988</v>
      </c>
      <c r="T1456" s="829">
        <v>-2.9481562014619027</v>
      </c>
      <c r="U1456" s="829">
        <f>U1455/U1453</f>
        <v>-3.7611248749118351E-2</v>
      </c>
      <c r="V1456" t="str">
        <f t="shared" si="164"/>
        <v>2018/19Expenditure driversConnectionsDifference %</v>
      </c>
    </row>
    <row r="1457" spans="1:22">
      <c r="A1457" t="s">
        <v>141</v>
      </c>
      <c r="C1457" t="s">
        <v>1344</v>
      </c>
      <c r="D1457" t="s">
        <v>61</v>
      </c>
      <c r="E1457" t="s">
        <v>297</v>
      </c>
      <c r="F1457" t="s">
        <v>1289</v>
      </c>
      <c r="G1457" s="229">
        <f t="array" ref="G1457:T1460">TRANSPOSE('Ch4 expenditure drivers'!AZ294:BC307)</f>
        <v>4.1068504347325261</v>
      </c>
      <c r="H1457" s="229">
        <v>1.103526101732341</v>
      </c>
      <c r="I1457" s="229">
        <v>1.7720784938863829</v>
      </c>
      <c r="J1457" s="229">
        <v>3.2344663338336628</v>
      </c>
      <c r="K1457" s="229">
        <v>3.007263297157579</v>
      </c>
      <c r="L1457" s="229">
        <v>1.7196913970047516</v>
      </c>
      <c r="M1457" s="229">
        <v>1.6295076312796397</v>
      </c>
      <c r="N1457" s="229">
        <v>1.8937752037468969</v>
      </c>
      <c r="O1457" s="229">
        <v>2.7788807764714161</v>
      </c>
      <c r="P1457" s="229">
        <v>6.911515458962981</v>
      </c>
      <c r="Q1457" s="229">
        <v>0.52713435917614071</v>
      </c>
      <c r="R1457" s="229">
        <v>2.5695442534232633</v>
      </c>
      <c r="S1457" s="229">
        <v>4.5004391595400612</v>
      </c>
      <c r="T1457" s="229">
        <v>2.0669711636307033</v>
      </c>
      <c r="U1457" s="229">
        <f>AVERAGE(G1457:T1457)</f>
        <v>2.7015460046127386</v>
      </c>
      <c r="V1457" t="str">
        <f t="shared" si="164"/>
        <v>2019/20Expenditure driversConnectionsAllowance</v>
      </c>
    </row>
    <row r="1458" spans="1:22">
      <c r="A1458" t="s">
        <v>141</v>
      </c>
      <c r="C1458" t="s">
        <v>1344</v>
      </c>
      <c r="D1458" t="s">
        <v>61</v>
      </c>
      <c r="E1458" t="s">
        <v>298</v>
      </c>
      <c r="F1458" t="s">
        <v>1289</v>
      </c>
      <c r="G1458" s="229">
        <v>3.6546600094446364</v>
      </c>
      <c r="H1458" s="229">
        <v>2.0298637033048799</v>
      </c>
      <c r="I1458" s="229">
        <v>2.587158373356218</v>
      </c>
      <c r="J1458" s="229">
        <v>4.4124307464165531</v>
      </c>
      <c r="K1458" s="229">
        <v>18.798143333035146</v>
      </c>
      <c r="L1458" s="229">
        <v>1.2663992065840448</v>
      </c>
      <c r="M1458" s="229">
        <v>4.3962648591738285</v>
      </c>
      <c r="N1458" s="229">
        <v>13.105100164396289</v>
      </c>
      <c r="O1458" s="229">
        <v>2.2567667575586228</v>
      </c>
      <c r="P1458" s="229">
        <v>9.4778304310070549</v>
      </c>
      <c r="Q1458" s="229">
        <v>0.66452752971242657</v>
      </c>
      <c r="R1458" s="229">
        <v>-4.8118400940761648E-3</v>
      </c>
      <c r="S1458" s="229">
        <v>2.347538523013879</v>
      </c>
      <c r="T1458" s="229">
        <v>9.0527335029454292</v>
      </c>
      <c r="U1458" s="229">
        <f>AVERAGE(G1458:T1458)</f>
        <v>5.2889003785610669</v>
      </c>
      <c r="V1458" t="str">
        <f t="shared" si="164"/>
        <v>2019/20Expenditure driversConnectionsActual</v>
      </c>
    </row>
    <row r="1459" spans="1:22">
      <c r="A1459" t="s">
        <v>141</v>
      </c>
      <c r="C1459" t="s">
        <v>1344</v>
      </c>
      <c r="D1459" t="s">
        <v>61</v>
      </c>
      <c r="E1459" t="s">
        <v>602</v>
      </c>
      <c r="F1459" t="s">
        <v>1289</v>
      </c>
      <c r="G1459" s="229">
        <v>-0.45219042528788966</v>
      </c>
      <c r="H1459" s="229">
        <v>0.92633760157253886</v>
      </c>
      <c r="I1459" s="229">
        <v>0.81507987946983507</v>
      </c>
      <c r="J1459" s="229">
        <v>1.1779644125828903</v>
      </c>
      <c r="K1459" s="229">
        <v>15.790880035877567</v>
      </c>
      <c r="L1459" s="229">
        <v>-0.45329219042070679</v>
      </c>
      <c r="M1459" s="229">
        <v>2.766757227894189</v>
      </c>
      <c r="N1459" s="229">
        <v>11.211324960649392</v>
      </c>
      <c r="O1459" s="229">
        <v>-0.5221140189127933</v>
      </c>
      <c r="P1459" s="229">
        <v>2.5663149720440739</v>
      </c>
      <c r="Q1459" s="229">
        <v>0.13739317053628586</v>
      </c>
      <c r="R1459" s="229">
        <v>-2.5743560935173395</v>
      </c>
      <c r="S1459" s="229">
        <v>-2.1529006365261822</v>
      </c>
      <c r="T1459" s="229">
        <v>6.9857623393147259</v>
      </c>
      <c r="U1459" s="229">
        <f>U1458-U1457</f>
        <v>2.5873543739483282</v>
      </c>
      <c r="V1459" t="str">
        <f t="shared" si="164"/>
        <v>2019/20Expenditure driversConnectionsDifference</v>
      </c>
    </row>
    <row r="1460" spans="1:22">
      <c r="A1460" t="s">
        <v>141</v>
      </c>
      <c r="C1460" t="s">
        <v>1344</v>
      </c>
      <c r="D1460" t="s">
        <v>61</v>
      </c>
      <c r="E1460" t="s">
        <v>1346</v>
      </c>
      <c r="F1460" t="s">
        <v>606</v>
      </c>
      <c r="G1460" s="829">
        <v>-0.11010637773988968</v>
      </c>
      <c r="H1460" s="829">
        <v>0.83943424638379871</v>
      </c>
      <c r="I1460" s="829">
        <v>0.45995698400597712</v>
      </c>
      <c r="J1460" s="829">
        <v>0.36419127330557305</v>
      </c>
      <c r="K1460" s="829">
        <v>5.2509136964504819</v>
      </c>
      <c r="L1460" s="829">
        <v>-0.26358926445187902</v>
      </c>
      <c r="M1460" s="829">
        <v>1.6979099543838749</v>
      </c>
      <c r="N1460" s="829">
        <v>5.9200928064045906</v>
      </c>
      <c r="O1460" s="829">
        <v>-0.1878864409489947</v>
      </c>
      <c r="P1460" s="829">
        <v>0.37131002415917758</v>
      </c>
      <c r="Q1460" s="829">
        <v>0.26064165263485745</v>
      </c>
      <c r="R1460" s="829">
        <v>-1.0018726434026834</v>
      </c>
      <c r="S1460" s="829">
        <v>-0.47837567850738499</v>
      </c>
      <c r="T1460" s="829">
        <v>3.3797096264487809</v>
      </c>
      <c r="U1460" s="829">
        <f>U1459/U1457</f>
        <v>0.95773100644244646</v>
      </c>
      <c r="V1460" t="str">
        <f t="shared" si="164"/>
        <v>2019/20Expenditure driversConnectionsDifference %</v>
      </c>
    </row>
    <row r="1461" spans="1:22">
      <c r="A1461" t="s">
        <v>126</v>
      </c>
      <c r="C1461" t="s">
        <v>1344</v>
      </c>
      <c r="D1461" t="s">
        <v>61</v>
      </c>
      <c r="E1461" t="s">
        <v>297</v>
      </c>
      <c r="F1461" t="s">
        <v>1289</v>
      </c>
      <c r="G1461" s="229" cm="1">
        <f t="array" ref="G1461:T1464">TRANSPOSE('Ch4 expenditure drivers'!BE294:BH307)</f>
        <v>4.0993947979981495</v>
      </c>
      <c r="H1461" s="229">
        <v>0.94856574731941856</v>
      </c>
      <c r="I1461" s="229">
        <v>1.4879652083423842</v>
      </c>
      <c r="J1461" s="229">
        <v>3.3264119525462781</v>
      </c>
      <c r="K1461" s="229">
        <v>3.3305050368291802</v>
      </c>
      <c r="L1461" s="229">
        <v>1.5359121475620814</v>
      </c>
      <c r="M1461" s="229">
        <v>1.4289152602955491</v>
      </c>
      <c r="N1461" s="229">
        <v>1.8645559904306432</v>
      </c>
      <c r="O1461" s="229">
        <v>2.7616208973097094</v>
      </c>
      <c r="P1461" s="229">
        <v>7.4466298950930057</v>
      </c>
      <c r="Q1461" s="229">
        <v>0.48688204011636271</v>
      </c>
      <c r="R1461" s="229">
        <v>4.0087913568790698</v>
      </c>
      <c r="S1461" s="229">
        <v>3.9637450353311916</v>
      </c>
      <c r="T1461" s="229">
        <v>2.8820513870650086</v>
      </c>
      <c r="U1461" s="229">
        <f>AVERAGE(G1461:T1461)</f>
        <v>2.8265676252227165</v>
      </c>
      <c r="V1461" t="str">
        <f t="shared" si="164"/>
        <v>2020/21Expenditure driversConnectionsAllowance</v>
      </c>
    </row>
    <row r="1462" spans="1:22">
      <c r="A1462" t="s">
        <v>126</v>
      </c>
      <c r="C1462" t="s">
        <v>1344</v>
      </c>
      <c r="D1462" t="s">
        <v>61</v>
      </c>
      <c r="E1462" t="s">
        <v>298</v>
      </c>
      <c r="F1462" t="s">
        <v>1289</v>
      </c>
      <c r="G1462" s="229">
        <v>4.5956790052332881</v>
      </c>
      <c r="H1462" s="229">
        <v>2.0744117052872015</v>
      </c>
      <c r="I1462" s="229">
        <v>2.2175681803279916</v>
      </c>
      <c r="J1462" s="229">
        <v>5.3496049486787234</v>
      </c>
      <c r="K1462" s="229">
        <v>17.700656728320993</v>
      </c>
      <c r="L1462" s="229">
        <v>1.9868958353588269</v>
      </c>
      <c r="M1462" s="229">
        <v>4.2498669544850376</v>
      </c>
      <c r="N1462" s="229">
        <v>11.00772882490341</v>
      </c>
      <c r="O1462" s="229">
        <v>6.0229002486821219</v>
      </c>
      <c r="P1462" s="229">
        <v>6.3041375095391183</v>
      </c>
      <c r="Q1462" s="229">
        <v>0.80108268801886373</v>
      </c>
      <c r="R1462" s="229">
        <v>1.2308368150953193</v>
      </c>
      <c r="S1462" s="229">
        <v>0.43942665979079953</v>
      </c>
      <c r="T1462" s="229">
        <v>12.701387670792336</v>
      </c>
      <c r="U1462" s="229">
        <f>AVERAGE(G1462:T1462)</f>
        <v>5.4772988410367152</v>
      </c>
      <c r="V1462" t="str">
        <f t="shared" si="164"/>
        <v>2020/21Expenditure driversConnectionsActual</v>
      </c>
    </row>
    <row r="1463" spans="1:22">
      <c r="A1463" t="s">
        <v>126</v>
      </c>
      <c r="C1463" t="s">
        <v>1344</v>
      </c>
      <c r="D1463" t="s">
        <v>61</v>
      </c>
      <c r="E1463" t="s">
        <v>602</v>
      </c>
      <c r="F1463" t="s">
        <v>1289</v>
      </c>
      <c r="G1463" s="229">
        <v>0.49628420723513855</v>
      </c>
      <c r="H1463" s="229">
        <v>1.1258459579677829</v>
      </c>
      <c r="I1463" s="229">
        <v>0.72960297198560742</v>
      </c>
      <c r="J1463" s="229">
        <v>2.0231929961324453</v>
      </c>
      <c r="K1463" s="229">
        <v>14.370151691491813</v>
      </c>
      <c r="L1463" s="229">
        <v>0.45098368779674547</v>
      </c>
      <c r="M1463" s="229">
        <v>2.8209516941894885</v>
      </c>
      <c r="N1463" s="229">
        <v>9.1431728344727663</v>
      </c>
      <c r="O1463" s="229">
        <v>3.2612793513724125</v>
      </c>
      <c r="P1463" s="229">
        <v>-1.1424923855538873</v>
      </c>
      <c r="Q1463" s="229">
        <v>0.31420064790250102</v>
      </c>
      <c r="R1463" s="229">
        <v>-2.7779545417837506</v>
      </c>
      <c r="S1463" s="229">
        <v>-3.5243183755403922</v>
      </c>
      <c r="T1463" s="229">
        <v>9.8193362837273277</v>
      </c>
      <c r="U1463" s="229">
        <f>U1462-U1461</f>
        <v>2.6507312158139986</v>
      </c>
      <c r="V1463" t="str">
        <f t="shared" si="164"/>
        <v>2020/21Expenditure driversConnectionsDifference</v>
      </c>
    </row>
    <row r="1464" spans="1:22">
      <c r="A1464" t="s">
        <v>126</v>
      </c>
      <c r="C1464" t="s">
        <v>1344</v>
      </c>
      <c r="D1464" t="s">
        <v>61</v>
      </c>
      <c r="E1464" t="s">
        <v>1346</v>
      </c>
      <c r="F1464" t="s">
        <v>606</v>
      </c>
      <c r="G1464" s="829">
        <v>0.12106279870323497</v>
      </c>
      <c r="H1464" s="829">
        <v>1.1868929076865213</v>
      </c>
      <c r="I1464" s="829">
        <v>0.49033604273476</v>
      </c>
      <c r="J1464" s="829">
        <v>0.60822081720327692</v>
      </c>
      <c r="K1464" s="829">
        <v>4.3147064882306765</v>
      </c>
      <c r="L1464" s="829">
        <v>0.29362596585526174</v>
      </c>
      <c r="M1464" s="829">
        <v>1.9741910332779413</v>
      </c>
      <c r="N1464" s="829">
        <v>4.9036729824139167</v>
      </c>
      <c r="O1464" s="829">
        <v>1.1809294152392371</v>
      </c>
      <c r="P1464" s="829">
        <v>-0.15342408601597596</v>
      </c>
      <c r="Q1464" s="829">
        <v>0.64533217907854723</v>
      </c>
      <c r="R1464" s="829">
        <v>-0.69296560845372801</v>
      </c>
      <c r="S1464" s="829">
        <v>-0.88913851524910636</v>
      </c>
      <c r="T1464" s="829">
        <v>3.4070649565089934</v>
      </c>
      <c r="U1464" s="829">
        <f>U1463/U1461</f>
        <v>0.9377915434112909</v>
      </c>
      <c r="V1464" t="str">
        <f t="shared" si="164"/>
        <v>2020/21Expenditure driversConnectionsDifference %</v>
      </c>
    </row>
    <row r="1465" spans="1:22">
      <c r="A1465" t="s">
        <v>142</v>
      </c>
      <c r="C1465" t="s">
        <v>1344</v>
      </c>
      <c r="D1465" t="s">
        <v>61</v>
      </c>
      <c r="E1465" t="s">
        <v>297</v>
      </c>
      <c r="F1465" t="s">
        <v>1289</v>
      </c>
      <c r="G1465" s="229" cm="1">
        <f t="array" ref="G1465:T1468">TRANSPOSE('Ch4 expenditure drivers'!BJ294:BM307)</f>
        <v>5.055631470433922</v>
      </c>
      <c r="H1465" s="229">
        <v>0.6604921323193752</v>
      </c>
      <c r="I1465" s="229">
        <v>1.2123753950161764</v>
      </c>
      <c r="J1465" s="229">
        <v>3.4355486208766375</v>
      </c>
      <c r="K1465" s="229">
        <v>3.2104140146937752</v>
      </c>
      <c r="L1465" s="229">
        <v>1.5619613274644257</v>
      </c>
      <c r="M1465" s="229">
        <v>1.674042345314521</v>
      </c>
      <c r="N1465" s="229">
        <v>1.7089783022941867</v>
      </c>
      <c r="O1465" s="229">
        <v>3.3637391066730196</v>
      </c>
      <c r="P1465" s="229">
        <v>7.731162716921296</v>
      </c>
      <c r="Q1465" s="229">
        <v>0.50464382956877152</v>
      </c>
      <c r="R1465" s="229">
        <v>4.0574207322516305</v>
      </c>
      <c r="S1465" s="229">
        <v>4.9789247292071543</v>
      </c>
      <c r="T1465" s="229">
        <v>3.6090579775910765</v>
      </c>
      <c r="U1465" s="229">
        <f>AVERAGE(G1465:T1465)</f>
        <v>3.054599478616141</v>
      </c>
      <c r="V1465" t="str">
        <f t="shared" ref="V1465:V1468" si="165">CONCATENATE(A1465,B1465,C1465,D1465,E1465)</f>
        <v>2021/22Expenditure driversConnectionsAllowance</v>
      </c>
    </row>
    <row r="1466" spans="1:22">
      <c r="A1466" t="s">
        <v>142</v>
      </c>
      <c r="C1466" t="s">
        <v>1344</v>
      </c>
      <c r="D1466" t="s">
        <v>61</v>
      </c>
      <c r="E1466" t="s">
        <v>298</v>
      </c>
      <c r="F1466" t="s">
        <v>1289</v>
      </c>
      <c r="G1466" s="229">
        <v>5.8602891553022491</v>
      </c>
      <c r="H1466" s="229">
        <v>3.6551325891606266</v>
      </c>
      <c r="I1466" s="229">
        <v>2.4498433733090792</v>
      </c>
      <c r="J1466" s="229">
        <v>8.2233999999999998</v>
      </c>
      <c r="K1466" s="229">
        <v>22.423599999999997</v>
      </c>
      <c r="L1466" s="229">
        <v>6.3993000000000002</v>
      </c>
      <c r="M1466" s="229">
        <v>6.1536999999999997</v>
      </c>
      <c r="N1466" s="229">
        <v>9.5850868835142009</v>
      </c>
      <c r="O1466" s="229">
        <v>5.5683162420723669</v>
      </c>
      <c r="P1466" s="229">
        <v>8.8484225697209666</v>
      </c>
      <c r="Q1466" s="229">
        <v>3.026252592201061</v>
      </c>
      <c r="R1466" s="229">
        <v>3.3603959772304575</v>
      </c>
      <c r="S1466" s="229">
        <v>2.8911724790217463</v>
      </c>
      <c r="T1466" s="229">
        <v>5.5256788784265938</v>
      </c>
      <c r="U1466" s="229">
        <f>AVERAGE(G1466:T1466)</f>
        <v>6.7121850528542391</v>
      </c>
      <c r="V1466" t="str">
        <f t="shared" si="165"/>
        <v>2021/22Expenditure driversConnectionsActual</v>
      </c>
    </row>
    <row r="1467" spans="1:22">
      <c r="A1467" t="s">
        <v>142</v>
      </c>
      <c r="C1467" t="s">
        <v>1344</v>
      </c>
      <c r="D1467" t="s">
        <v>61</v>
      </c>
      <c r="E1467" t="s">
        <v>602</v>
      </c>
      <c r="F1467" t="s">
        <v>1289</v>
      </c>
      <c r="G1467" s="229">
        <v>0.80465768486832712</v>
      </c>
      <c r="H1467" s="229">
        <v>2.9946404568412515</v>
      </c>
      <c r="I1467" s="229">
        <v>1.2374679782929028</v>
      </c>
      <c r="J1467" s="229">
        <v>4.7878513791233619</v>
      </c>
      <c r="K1467" s="229">
        <v>19.213185985306222</v>
      </c>
      <c r="L1467" s="229">
        <v>4.8373386725355747</v>
      </c>
      <c r="M1467" s="229">
        <v>4.4796576546854787</v>
      </c>
      <c r="N1467" s="229">
        <v>7.8761085812200147</v>
      </c>
      <c r="O1467" s="229">
        <v>2.2045771353993473</v>
      </c>
      <c r="P1467" s="229">
        <v>1.1172598527996707</v>
      </c>
      <c r="Q1467" s="229">
        <v>2.5216087626322894</v>
      </c>
      <c r="R1467" s="229">
        <v>-0.697024755021173</v>
      </c>
      <c r="S1467" s="229">
        <v>-2.087752250185408</v>
      </c>
      <c r="T1467" s="229">
        <v>1.9166209008355173</v>
      </c>
      <c r="U1467" s="229">
        <f>U1466-U1465</f>
        <v>3.657585574238098</v>
      </c>
      <c r="V1467" t="str">
        <f t="shared" si="165"/>
        <v>2021/22Expenditure driversConnectionsDifference</v>
      </c>
    </row>
    <row r="1468" spans="1:22">
      <c r="A1468" t="s">
        <v>142</v>
      </c>
      <c r="C1468" t="s">
        <v>1344</v>
      </c>
      <c r="D1468" t="s">
        <v>61</v>
      </c>
      <c r="E1468" t="s">
        <v>1346</v>
      </c>
      <c r="F1468" t="s">
        <v>606</v>
      </c>
      <c r="G1468" s="829">
        <v>0.15916066856812722</v>
      </c>
      <c r="H1468" s="829">
        <v>4.5339532604655153</v>
      </c>
      <c r="I1468" s="829">
        <v>1.0206970410154121</v>
      </c>
      <c r="J1468" s="829">
        <v>1.3936206141951388</v>
      </c>
      <c r="K1468" s="829">
        <v>5.9846443160817273</v>
      </c>
      <c r="L1468" s="829">
        <v>3.0969644302193822</v>
      </c>
      <c r="M1468" s="829">
        <v>2.6759524137627686</v>
      </c>
      <c r="N1468" s="829">
        <v>4.6086650548148427</v>
      </c>
      <c r="O1468" s="829">
        <v>0.65539480485448021</v>
      </c>
      <c r="P1468" s="829">
        <v>0.14451381942257011</v>
      </c>
      <c r="Q1468" s="829">
        <v>4.9968088677256901</v>
      </c>
      <c r="R1468" s="829">
        <v>-0.17179011027391414</v>
      </c>
      <c r="S1468" s="829">
        <v>-0.41931789768548328</v>
      </c>
      <c r="T1468" s="829">
        <v>0.53105849580027986</v>
      </c>
      <c r="U1468" s="829">
        <f>U1467/U1465</f>
        <v>1.1974026709043815</v>
      </c>
      <c r="V1468" t="str">
        <f t="shared" si="165"/>
        <v>2021/22Expenditure driversConnectionsDifference %</v>
      </c>
    </row>
    <row r="1469" spans="1:22">
      <c r="A1469" t="s">
        <v>137</v>
      </c>
      <c r="C1469" t="s">
        <v>1344</v>
      </c>
      <c r="D1469" t="s">
        <v>62</v>
      </c>
      <c r="E1469" t="s">
        <v>1347</v>
      </c>
      <c r="F1469" t="s">
        <v>1289</v>
      </c>
      <c r="G1469">
        <f t="array" ref="G1469:T1476">TRANSPOSE('Ch4 expenditure drivers'!E314:L327)</f>
        <v>14.506816255074968</v>
      </c>
      <c r="H1469">
        <v>24.535913336596433</v>
      </c>
      <c r="I1469">
        <v>9.7177200780134037</v>
      </c>
      <c r="J1469">
        <v>27.373422453467843</v>
      </c>
      <c r="K1469">
        <v>64.379517023105436</v>
      </c>
      <c r="L1469">
        <v>3.760964946724799</v>
      </c>
      <c r="M1469">
        <v>5.9610058377279875</v>
      </c>
      <c r="N1469">
        <v>62.636603800263259</v>
      </c>
      <c r="O1469">
        <v>31.021361988593501</v>
      </c>
      <c r="P1469">
        <v>44.380852320812153</v>
      </c>
      <c r="Q1469">
        <v>20.950778885851005</v>
      </c>
      <c r="R1469">
        <v>32.265601757691655</v>
      </c>
      <c r="S1469">
        <v>7.3649908926725436</v>
      </c>
      <c r="T1469">
        <v>34.499924847281314</v>
      </c>
      <c r="U1469">
        <f>AVERAGE(G1469:T1469)</f>
        <v>27.382533887419729</v>
      </c>
      <c r="V1469" t="str">
        <f t="shared" si="164"/>
        <v>2015/16Expenditure driversReinforcementBPDT</v>
      </c>
    </row>
    <row r="1470" spans="1:22">
      <c r="A1470" t="s">
        <v>138</v>
      </c>
      <c r="C1470" t="s">
        <v>1344</v>
      </c>
      <c r="D1470" t="s">
        <v>62</v>
      </c>
      <c r="E1470" t="s">
        <v>1347</v>
      </c>
      <c r="F1470" t="s">
        <v>1289</v>
      </c>
      <c r="G1470">
        <v>19.443283345332407</v>
      </c>
      <c r="H1470">
        <v>20.193341755252607</v>
      </c>
      <c r="I1470">
        <v>12.87597480559824</v>
      </c>
      <c r="J1470">
        <v>28.442396236614591</v>
      </c>
      <c r="K1470">
        <v>56.27960486108379</v>
      </c>
      <c r="L1470">
        <v>3.8792221450536601</v>
      </c>
      <c r="M1470">
        <v>6.8987710179246493</v>
      </c>
      <c r="N1470">
        <v>55.808798552526341</v>
      </c>
      <c r="O1470">
        <v>39.614811408885814</v>
      </c>
      <c r="P1470">
        <v>48.471143511116473</v>
      </c>
      <c r="Q1470">
        <v>23.964671791243322</v>
      </c>
      <c r="R1470">
        <v>29.168486343154328</v>
      </c>
      <c r="S1470">
        <v>8.1219006392955251</v>
      </c>
      <c r="T1470">
        <v>44.902142363170775</v>
      </c>
      <c r="U1470">
        <f t="shared" ref="U1470:U1501" si="166">AVERAGE(G1470:T1470)</f>
        <v>28.433182055446604</v>
      </c>
      <c r="V1470" t="str">
        <f t="shared" si="164"/>
        <v>2016/17Expenditure driversReinforcementBPDT</v>
      </c>
    </row>
    <row r="1471" spans="1:22">
      <c r="A1471" t="s">
        <v>139</v>
      </c>
      <c r="C1471" t="s">
        <v>1344</v>
      </c>
      <c r="D1471" t="s">
        <v>62</v>
      </c>
      <c r="E1471" t="s">
        <v>1347</v>
      </c>
      <c r="F1471" t="s">
        <v>1289</v>
      </c>
      <c r="G1471">
        <v>11.789892685078936</v>
      </c>
      <c r="H1471">
        <v>16.068570380589794</v>
      </c>
      <c r="I1471">
        <v>13.457420442453831</v>
      </c>
      <c r="J1471">
        <v>26.788020100640821</v>
      </c>
      <c r="K1471">
        <v>23.929663450771425</v>
      </c>
      <c r="L1471">
        <v>4.6743389024155881</v>
      </c>
      <c r="M1471">
        <v>9.0470665455680432</v>
      </c>
      <c r="N1471">
        <v>57.350667742512812</v>
      </c>
      <c r="O1471">
        <v>39.094005691854704</v>
      </c>
      <c r="P1471">
        <v>46.208132134768377</v>
      </c>
      <c r="Q1471">
        <v>31.695878023298846</v>
      </c>
      <c r="R1471">
        <v>23.875516732497449</v>
      </c>
      <c r="S1471">
        <v>10.658257860355192</v>
      </c>
      <c r="T1471">
        <v>35.77716543106316</v>
      </c>
      <c r="U1471">
        <f t="shared" si="166"/>
        <v>25.029614008847783</v>
      </c>
      <c r="V1471" t="str">
        <f t="shared" si="164"/>
        <v>2017/18Expenditure driversReinforcementBPDT</v>
      </c>
    </row>
    <row r="1472" spans="1:22">
      <c r="A1472" t="s">
        <v>140</v>
      </c>
      <c r="C1472" t="s">
        <v>1344</v>
      </c>
      <c r="D1472" t="s">
        <v>62</v>
      </c>
      <c r="E1472" t="s">
        <v>1347</v>
      </c>
      <c r="F1472" t="s">
        <v>1289</v>
      </c>
      <c r="G1472">
        <v>15.686577100358299</v>
      </c>
      <c r="H1472">
        <v>16.487156866323986</v>
      </c>
      <c r="I1472">
        <v>18.717205309965792</v>
      </c>
      <c r="J1472">
        <v>31.609038105273722</v>
      </c>
      <c r="K1472">
        <v>32.093803703017613</v>
      </c>
      <c r="L1472">
        <v>11.661615168811634</v>
      </c>
      <c r="M1472">
        <v>15.960267597949761</v>
      </c>
      <c r="N1472">
        <v>51.219168180756128</v>
      </c>
      <c r="O1472">
        <v>26.813621067612409</v>
      </c>
      <c r="P1472">
        <v>40.677960830278231</v>
      </c>
      <c r="Q1472">
        <v>25.240622052458161</v>
      </c>
      <c r="R1472">
        <v>19.078179189361698</v>
      </c>
      <c r="S1472">
        <v>9.9429656454279609</v>
      </c>
      <c r="T1472">
        <v>41.826033360137806</v>
      </c>
      <c r="U1472">
        <f t="shared" si="166"/>
        <v>25.501015298409509</v>
      </c>
      <c r="V1472" t="str">
        <f t="shared" si="164"/>
        <v>2018/19Expenditure driversReinforcementBPDT</v>
      </c>
    </row>
    <row r="1473" spans="1:22">
      <c r="A1473" t="s">
        <v>141</v>
      </c>
      <c r="C1473" t="s">
        <v>1344</v>
      </c>
      <c r="D1473" t="s">
        <v>62</v>
      </c>
      <c r="E1473" t="s">
        <v>1347</v>
      </c>
      <c r="F1473" t="s">
        <v>1289</v>
      </c>
      <c r="G1473">
        <v>15.569658666413856</v>
      </c>
      <c r="H1473">
        <v>20.93976197721215</v>
      </c>
      <c r="I1473">
        <v>24.996047607382234</v>
      </c>
      <c r="J1473">
        <v>34.574503518658737</v>
      </c>
      <c r="K1473">
        <v>29.730556420888</v>
      </c>
      <c r="L1473">
        <v>10.456041471860757</v>
      </c>
      <c r="M1473">
        <v>17.011042451855015</v>
      </c>
      <c r="N1473">
        <v>60.6718920260858</v>
      </c>
      <c r="O1473">
        <v>20.524036821347224</v>
      </c>
      <c r="P1473">
        <v>44.665437498934708</v>
      </c>
      <c r="Q1473">
        <v>17.993299938344119</v>
      </c>
      <c r="R1473">
        <v>18.227544281968395</v>
      </c>
      <c r="S1473">
        <v>10.325376263412563</v>
      </c>
      <c r="T1473">
        <v>21.133407026693227</v>
      </c>
      <c r="U1473">
        <f t="shared" si="166"/>
        <v>24.772757569361204</v>
      </c>
      <c r="V1473" t="str">
        <f t="shared" si="164"/>
        <v>2019/20Expenditure driversReinforcementBPDT</v>
      </c>
    </row>
    <row r="1474" spans="1:22">
      <c r="A1474" t="s">
        <v>126</v>
      </c>
      <c r="C1474" t="s">
        <v>1344</v>
      </c>
      <c r="D1474" t="s">
        <v>62</v>
      </c>
      <c r="E1474" t="s">
        <v>1347</v>
      </c>
      <c r="F1474" t="s">
        <v>1289</v>
      </c>
      <c r="G1474">
        <v>16.646371302345788</v>
      </c>
      <c r="H1474">
        <v>17.152661961145192</v>
      </c>
      <c r="I1474">
        <v>20.337237156106834</v>
      </c>
      <c r="J1474">
        <v>30.766013335659199</v>
      </c>
      <c r="K1474">
        <v>40.078017273139409</v>
      </c>
      <c r="L1474">
        <v>10.43267127837011</v>
      </c>
      <c r="M1474">
        <v>17.139077301374794</v>
      </c>
      <c r="N1474">
        <v>59.522066355992798</v>
      </c>
      <c r="O1474">
        <v>20.367144984085069</v>
      </c>
      <c r="P1474">
        <v>50.967822310251911</v>
      </c>
      <c r="Q1474">
        <v>17.183492226405779</v>
      </c>
      <c r="R1474">
        <v>28.850578170589237</v>
      </c>
      <c r="S1474">
        <v>8.5927220122227688</v>
      </c>
      <c r="T1474">
        <v>37.46351347294793</v>
      </c>
      <c r="U1474">
        <f t="shared" si="166"/>
        <v>26.821384938616916</v>
      </c>
      <c r="V1474" t="str">
        <f t="shared" si="164"/>
        <v>2020/21Expenditure driversReinforcementBPDT</v>
      </c>
    </row>
    <row r="1475" spans="1:22">
      <c r="A1475" t="s">
        <v>142</v>
      </c>
      <c r="C1475" t="s">
        <v>1344</v>
      </c>
      <c r="D1475" t="s">
        <v>62</v>
      </c>
      <c r="E1475" t="s">
        <v>1347</v>
      </c>
      <c r="F1475" t="s">
        <v>1289</v>
      </c>
      <c r="G1475">
        <v>25.21630810554112</v>
      </c>
      <c r="H1475">
        <v>9.7807894414545249</v>
      </c>
      <c r="I1475">
        <v>15.794450118835455</v>
      </c>
      <c r="J1475">
        <v>35.58182457902884</v>
      </c>
      <c r="K1475">
        <v>57.030012172937397</v>
      </c>
      <c r="L1475">
        <v>6.517276258659189</v>
      </c>
      <c r="M1475">
        <v>17.980439266421325</v>
      </c>
      <c r="N1475">
        <v>50.881037526369312</v>
      </c>
      <c r="O1475">
        <v>29.611622052027535</v>
      </c>
      <c r="P1475">
        <v>53.934399680925431</v>
      </c>
      <c r="Q1475">
        <v>21.545382030377713</v>
      </c>
      <c r="R1475">
        <v>30.891778685455645</v>
      </c>
      <c r="S1475">
        <v>11.016495261293079</v>
      </c>
      <c r="T1475">
        <v>54.98683250969804</v>
      </c>
      <c r="U1475">
        <f t="shared" si="166"/>
        <v>30.0549034063589</v>
      </c>
      <c r="V1475" t="str">
        <f t="shared" si="164"/>
        <v>2021/22Expenditure driversReinforcementBPDT</v>
      </c>
    </row>
    <row r="1476" spans="1:22">
      <c r="A1476" t="s">
        <v>143</v>
      </c>
      <c r="C1476" t="s">
        <v>1344</v>
      </c>
      <c r="D1476" t="s">
        <v>62</v>
      </c>
      <c r="E1476" t="s">
        <v>1347</v>
      </c>
      <c r="F1476" t="s">
        <v>1289</v>
      </c>
      <c r="G1476">
        <v>18.959195622343923</v>
      </c>
      <c r="H1476">
        <v>9.4672539899973547</v>
      </c>
      <c r="I1476">
        <v>19.040435370747407</v>
      </c>
      <c r="J1476">
        <v>40.748978399460306</v>
      </c>
      <c r="K1476">
        <v>49.444588420111643</v>
      </c>
      <c r="L1476">
        <v>6.4051726556833133</v>
      </c>
      <c r="M1476">
        <v>20.058640307638395</v>
      </c>
      <c r="N1476">
        <v>47.9413657324124</v>
      </c>
      <c r="O1476">
        <v>27.154480292258011</v>
      </c>
      <c r="P1476">
        <v>46.061880590804726</v>
      </c>
      <c r="Q1476">
        <v>18.965852746665377</v>
      </c>
      <c r="R1476">
        <v>25.294626536828837</v>
      </c>
      <c r="S1476">
        <v>10.370720569930995</v>
      </c>
      <c r="T1476">
        <v>48.452519722214376</v>
      </c>
      <c r="U1476">
        <f t="shared" si="166"/>
        <v>27.740407925506936</v>
      </c>
      <c r="V1476" t="str">
        <f t="shared" si="164"/>
        <v>2022/23Expenditure driversReinforcementBPDT</v>
      </c>
    </row>
    <row r="1477" spans="1:22">
      <c r="A1477" t="s">
        <v>137</v>
      </c>
      <c r="C1477" t="s">
        <v>1344</v>
      </c>
      <c r="D1477" t="s">
        <v>62</v>
      </c>
      <c r="E1477" t="s">
        <v>1348</v>
      </c>
      <c r="F1477" t="s">
        <v>1289</v>
      </c>
      <c r="G1477">
        <f t="array" ref="G1477:T1484">TRANSPOSE('Ch4 expenditure drivers'!N314:U327)</f>
        <v>14.338057215096187</v>
      </c>
      <c r="H1477">
        <v>20.88360786516829</v>
      </c>
      <c r="I1477">
        <v>9.3578538979400232</v>
      </c>
      <c r="J1477">
        <v>27.373422453467843</v>
      </c>
      <c r="K1477">
        <v>64.379517023105436</v>
      </c>
      <c r="L1477">
        <v>3.760964946724799</v>
      </c>
      <c r="M1477">
        <v>5.9610058377279875</v>
      </c>
      <c r="N1477">
        <v>51.229624847668958</v>
      </c>
      <c r="O1477">
        <v>27.448003642056136</v>
      </c>
      <c r="P1477">
        <v>46.360500095771158</v>
      </c>
      <c r="Q1477">
        <v>21.585775102595953</v>
      </c>
      <c r="R1477">
        <v>31.105534391096455</v>
      </c>
      <c r="S1477">
        <v>5.3930826413264361</v>
      </c>
      <c r="T1477">
        <v>30.044152999761394</v>
      </c>
      <c r="U1477">
        <f t="shared" si="166"/>
        <v>25.658650211393365</v>
      </c>
      <c r="V1477" t="str">
        <f t="shared" si="164"/>
        <v>2015/16Expenditure driversReinforcementDNO Baseline</v>
      </c>
    </row>
    <row r="1478" spans="1:22">
      <c r="A1478" t="s">
        <v>138</v>
      </c>
      <c r="C1478" t="s">
        <v>1344</v>
      </c>
      <c r="D1478" t="s">
        <v>62</v>
      </c>
      <c r="E1478" t="s">
        <v>1348</v>
      </c>
      <c r="F1478" t="s">
        <v>1289</v>
      </c>
      <c r="G1478">
        <v>18.171617589121663</v>
      </c>
      <c r="H1478">
        <v>17.84528170958367</v>
      </c>
      <c r="I1478">
        <v>12.10972759975847</v>
      </c>
      <c r="J1478">
        <v>28.442396236614591</v>
      </c>
      <c r="K1478">
        <v>56.27960486108379</v>
      </c>
      <c r="L1478">
        <v>3.8792221450536601</v>
      </c>
      <c r="M1478">
        <v>6.8987710179246493</v>
      </c>
      <c r="N1478">
        <v>46.893771198684476</v>
      </c>
      <c r="O1478">
        <v>35.521145992337203</v>
      </c>
      <c r="P1478">
        <v>50.053529865502533</v>
      </c>
      <c r="Q1478">
        <v>23.932714421105302</v>
      </c>
      <c r="R1478">
        <v>26.576174743981287</v>
      </c>
      <c r="S1478">
        <v>6.2712087631042026</v>
      </c>
      <c r="T1478">
        <v>38.198243532306272</v>
      </c>
      <c r="U1478">
        <f t="shared" si="166"/>
        <v>26.505243548297269</v>
      </c>
      <c r="V1478" t="str">
        <f t="shared" si="164"/>
        <v>2016/17Expenditure driversReinforcementDNO Baseline</v>
      </c>
    </row>
    <row r="1479" spans="1:22">
      <c r="A1479" t="s">
        <v>139</v>
      </c>
      <c r="C1479" t="s">
        <v>1344</v>
      </c>
      <c r="D1479" t="s">
        <v>62</v>
      </c>
      <c r="E1479" t="s">
        <v>1348</v>
      </c>
      <c r="F1479" t="s">
        <v>1289</v>
      </c>
      <c r="G1479">
        <v>11.77768087204079</v>
      </c>
      <c r="H1479">
        <v>14.662837847241153</v>
      </c>
      <c r="I1479">
        <v>12.532970357299231</v>
      </c>
      <c r="J1479">
        <v>26.788020100640821</v>
      </c>
      <c r="K1479">
        <v>23.929663450771425</v>
      </c>
      <c r="L1479">
        <v>4.6743389024155881</v>
      </c>
      <c r="M1479">
        <v>9.0470665455680432</v>
      </c>
      <c r="N1479">
        <v>49.771746985357879</v>
      </c>
      <c r="O1479">
        <v>36.117163994415101</v>
      </c>
      <c r="P1479">
        <v>48.933568207650097</v>
      </c>
      <c r="Q1479">
        <v>29.758555382195226</v>
      </c>
      <c r="R1479">
        <v>21.944352473232769</v>
      </c>
      <c r="S1479">
        <v>8.3504028907894785</v>
      </c>
      <c r="T1479">
        <v>30.43076884176179</v>
      </c>
      <c r="U1479">
        <f t="shared" si="166"/>
        <v>23.479938346527099</v>
      </c>
      <c r="V1479" t="str">
        <f t="shared" si="164"/>
        <v>2017/18Expenditure driversReinforcementDNO Baseline</v>
      </c>
    </row>
    <row r="1480" spans="1:22">
      <c r="A1480" t="s">
        <v>140</v>
      </c>
      <c r="C1480" t="s">
        <v>1344</v>
      </c>
      <c r="D1480" t="s">
        <v>62</v>
      </c>
      <c r="E1480" t="s">
        <v>1348</v>
      </c>
      <c r="F1480" t="s">
        <v>1289</v>
      </c>
      <c r="G1480">
        <v>15.290819592621107</v>
      </c>
      <c r="H1480">
        <v>14.172995907900074</v>
      </c>
      <c r="I1480">
        <v>17.034426778066599</v>
      </c>
      <c r="J1480">
        <v>31.609038105273722</v>
      </c>
      <c r="K1480">
        <v>32.093803703017613</v>
      </c>
      <c r="L1480">
        <v>11.661615168811634</v>
      </c>
      <c r="M1480">
        <v>15.960267597949761</v>
      </c>
      <c r="N1480">
        <v>44.929912406865306</v>
      </c>
      <c r="O1480">
        <v>26.048017001197756</v>
      </c>
      <c r="P1480">
        <v>42.437015843140806</v>
      </c>
      <c r="Q1480">
        <v>23.188334933177405</v>
      </c>
      <c r="R1480">
        <v>17.164620761552779</v>
      </c>
      <c r="S1480">
        <v>8.5721263544497255</v>
      </c>
      <c r="T1480">
        <v>34.831114841174518</v>
      </c>
      <c r="U1480">
        <f t="shared" si="166"/>
        <v>23.928150642514201</v>
      </c>
      <c r="V1480" t="str">
        <f t="shared" si="164"/>
        <v>2018/19Expenditure driversReinforcementDNO Baseline</v>
      </c>
    </row>
    <row r="1481" spans="1:22">
      <c r="A1481" t="s">
        <v>141</v>
      </c>
      <c r="C1481" t="s">
        <v>1344</v>
      </c>
      <c r="D1481" t="s">
        <v>62</v>
      </c>
      <c r="E1481" t="s">
        <v>1348</v>
      </c>
      <c r="F1481" t="s">
        <v>1289</v>
      </c>
      <c r="G1481">
        <v>14.526740853555125</v>
      </c>
      <c r="H1481">
        <v>17.57447382891332</v>
      </c>
      <c r="I1481">
        <v>22.351914081873829</v>
      </c>
      <c r="J1481">
        <v>34.574503518658737</v>
      </c>
      <c r="K1481">
        <v>29.730556420888</v>
      </c>
      <c r="L1481">
        <v>10.456041471860757</v>
      </c>
      <c r="M1481">
        <v>17.011042451855015</v>
      </c>
      <c r="N1481">
        <v>51.803358415158328</v>
      </c>
      <c r="O1481">
        <v>20.884539185049974</v>
      </c>
      <c r="P1481">
        <v>45.499472129462298</v>
      </c>
      <c r="Q1481">
        <v>16.911967548447326</v>
      </c>
      <c r="R1481">
        <v>15.700260403682217</v>
      </c>
      <c r="S1481">
        <v>10.284481884176829</v>
      </c>
      <c r="T1481">
        <v>20.046857310187065</v>
      </c>
      <c r="U1481">
        <f t="shared" si="166"/>
        <v>23.382586393126342</v>
      </c>
      <c r="V1481" t="str">
        <f t="shared" si="164"/>
        <v>2019/20Expenditure driversReinforcementDNO Baseline</v>
      </c>
    </row>
    <row r="1482" spans="1:22">
      <c r="A1482" t="s">
        <v>126</v>
      </c>
      <c r="C1482" t="s">
        <v>1344</v>
      </c>
      <c r="D1482" t="s">
        <v>62</v>
      </c>
      <c r="E1482" t="s">
        <v>1348</v>
      </c>
      <c r="F1482" t="s">
        <v>1289</v>
      </c>
      <c r="G1482">
        <v>15.605090805284425</v>
      </c>
      <c r="H1482">
        <v>14.509014487493205</v>
      </c>
      <c r="I1482">
        <v>18.180084151690519</v>
      </c>
      <c r="J1482">
        <v>30.766013335659199</v>
      </c>
      <c r="K1482">
        <v>40.078017273139409</v>
      </c>
      <c r="L1482">
        <v>10.43267127837011</v>
      </c>
      <c r="M1482">
        <v>17.139077301374794</v>
      </c>
      <c r="N1482">
        <v>50.407250206454805</v>
      </c>
      <c r="O1482">
        <v>20.623069211628245</v>
      </c>
      <c r="P1482">
        <v>50.525067292739536</v>
      </c>
      <c r="Q1482">
        <v>15.786895061108382</v>
      </c>
      <c r="R1482">
        <v>25.133470192591254</v>
      </c>
      <c r="S1482">
        <v>9.6466378431725861</v>
      </c>
      <c r="T1482">
        <v>31.409107489711438</v>
      </c>
      <c r="U1482">
        <f t="shared" si="166"/>
        <v>25.017247566458419</v>
      </c>
      <c r="V1482" t="str">
        <f t="shared" si="164"/>
        <v>2020/21Expenditure driversReinforcementDNO Baseline</v>
      </c>
    </row>
    <row r="1483" spans="1:22">
      <c r="A1483" t="s">
        <v>142</v>
      </c>
      <c r="C1483" t="s">
        <v>1344</v>
      </c>
      <c r="D1483" t="s">
        <v>62</v>
      </c>
      <c r="E1483" t="s">
        <v>1348</v>
      </c>
      <c r="F1483" t="s">
        <v>1289</v>
      </c>
      <c r="G1483">
        <v>21.702247738542997</v>
      </c>
      <c r="H1483">
        <v>8.7095004610416584</v>
      </c>
      <c r="I1483">
        <v>14.155424522800233</v>
      </c>
      <c r="J1483">
        <v>35.58182457902884</v>
      </c>
      <c r="K1483">
        <v>57.030012172937397</v>
      </c>
      <c r="L1483">
        <v>6.517276258659189</v>
      </c>
      <c r="M1483">
        <v>17.980439266421325</v>
      </c>
      <c r="N1483">
        <v>43.705400712132857</v>
      </c>
      <c r="O1483">
        <v>27.799905010102016</v>
      </c>
      <c r="P1483">
        <v>53.004977768473474</v>
      </c>
      <c r="Q1483">
        <v>17.310015751145279</v>
      </c>
      <c r="R1483">
        <v>26.059747281717534</v>
      </c>
      <c r="S1483">
        <v>11.717328331823042</v>
      </c>
      <c r="T1483">
        <v>44.682053960371341</v>
      </c>
      <c r="U1483">
        <f t="shared" si="166"/>
        <v>27.568296701085508</v>
      </c>
      <c r="V1483" t="str">
        <f t="shared" si="164"/>
        <v>2021/22Expenditure driversReinforcementDNO Baseline</v>
      </c>
    </row>
    <row r="1484" spans="1:22">
      <c r="A1484" t="s">
        <v>143</v>
      </c>
      <c r="C1484" t="s">
        <v>1344</v>
      </c>
      <c r="D1484" t="s">
        <v>62</v>
      </c>
      <c r="E1484" t="s">
        <v>1348</v>
      </c>
      <c r="F1484" t="s">
        <v>1289</v>
      </c>
      <c r="G1484">
        <v>18.048171189043174</v>
      </c>
      <c r="H1484">
        <v>8.4164954616639545</v>
      </c>
      <c r="I1484">
        <v>16.809273492664499</v>
      </c>
      <c r="J1484">
        <v>40.748978399460306</v>
      </c>
      <c r="K1484">
        <v>49.444588420111643</v>
      </c>
      <c r="L1484">
        <v>6.4051726556833133</v>
      </c>
      <c r="M1484">
        <v>20.058640307638395</v>
      </c>
      <c r="N1484">
        <v>42.217920369159415</v>
      </c>
      <c r="O1484">
        <v>25.715018669613617</v>
      </c>
      <c r="P1484">
        <v>46.417501097417578</v>
      </c>
      <c r="Q1484">
        <v>15.155155355560241</v>
      </c>
      <c r="R1484">
        <v>19.843150822482212</v>
      </c>
      <c r="S1484">
        <v>11.021991028084662</v>
      </c>
      <c r="T1484">
        <v>38.915204980036897</v>
      </c>
      <c r="U1484">
        <f t="shared" si="166"/>
        <v>25.658375874901417</v>
      </c>
      <c r="V1484" t="str">
        <f t="shared" si="164"/>
        <v>2022/23Expenditure driversReinforcementDNO Baseline</v>
      </c>
    </row>
    <row r="1485" spans="1:22">
      <c r="A1485" t="s">
        <v>137</v>
      </c>
      <c r="C1485" t="s">
        <v>1344</v>
      </c>
      <c r="D1485" t="s">
        <v>62</v>
      </c>
      <c r="E1485" t="s">
        <v>1349</v>
      </c>
      <c r="F1485" t="s">
        <v>1289</v>
      </c>
      <c r="G1485" cm="1">
        <f t="array" ref="G1485:T1491">TRANSPOSE('Ch4 expenditure drivers'!W314:AC327)</f>
        <v>12.226201473252496</v>
      </c>
      <c r="H1485">
        <v>17.21530125467633</v>
      </c>
      <c r="I1485">
        <v>16.546009925663498</v>
      </c>
      <c r="J1485">
        <v>34.331449951239819</v>
      </c>
      <c r="K1485">
        <v>31.65575957183551</v>
      </c>
      <c r="L1485">
        <v>6.0117577917998108</v>
      </c>
      <c r="M1485">
        <v>6.9598653918352715</v>
      </c>
      <c r="N1485">
        <v>12.026731351513375</v>
      </c>
      <c r="O1485">
        <v>6.1690187591957493</v>
      </c>
      <c r="P1485">
        <v>15.458150988323796</v>
      </c>
      <c r="Q1485">
        <v>9.6651242036783138</v>
      </c>
      <c r="R1485">
        <v>25.323867193462135</v>
      </c>
      <c r="S1485">
        <v>3.2485018447411655</v>
      </c>
      <c r="T1485">
        <v>15.164137901304819</v>
      </c>
      <c r="U1485">
        <f t="shared" si="166"/>
        <v>15.142991257323008</v>
      </c>
      <c r="V1485" t="str">
        <f t="shared" si="164"/>
        <v>2015/16Expenditure driversReinforcementDNO Actual</v>
      </c>
    </row>
    <row r="1486" spans="1:22">
      <c r="A1486" t="s">
        <v>138</v>
      </c>
      <c r="C1486" t="s">
        <v>1344</v>
      </c>
      <c r="D1486" t="s">
        <v>62</v>
      </c>
      <c r="E1486" t="s">
        <v>1349</v>
      </c>
      <c r="F1486" t="s">
        <v>1289</v>
      </c>
      <c r="G1486">
        <v>5.6470202161199099</v>
      </c>
      <c r="H1486">
        <v>9.8954761436354968</v>
      </c>
      <c r="I1486">
        <v>8.5487664717942256</v>
      </c>
      <c r="J1486">
        <v>18.260124615837462</v>
      </c>
      <c r="K1486">
        <v>22.347220266272185</v>
      </c>
      <c r="L1486">
        <v>3.4581852501207591</v>
      </c>
      <c r="M1486">
        <v>9.9404478806907388</v>
      </c>
      <c r="N1486">
        <v>18.91567278310897</v>
      </c>
      <c r="O1486">
        <v>9.3202399826885447</v>
      </c>
      <c r="P1486">
        <v>16.938793490807949</v>
      </c>
      <c r="Q1486">
        <v>6.9261002708792541</v>
      </c>
      <c r="R1486">
        <v>25.72483211070244</v>
      </c>
      <c r="S1486">
        <v>3.889447887339168</v>
      </c>
      <c r="T1486">
        <v>15.255877029244049</v>
      </c>
      <c r="U1486">
        <f t="shared" si="166"/>
        <v>12.504871742802942</v>
      </c>
      <c r="V1486" t="str">
        <f t="shared" si="164"/>
        <v>2016/17Expenditure driversReinforcementDNO Actual</v>
      </c>
    </row>
    <row r="1487" spans="1:22">
      <c r="A1487" t="s">
        <v>139</v>
      </c>
      <c r="C1487" t="s">
        <v>1344</v>
      </c>
      <c r="D1487" t="s">
        <v>62</v>
      </c>
      <c r="E1487" t="s">
        <v>1349</v>
      </c>
      <c r="F1487" t="s">
        <v>1289</v>
      </c>
      <c r="G1487">
        <v>3.760441104318482</v>
      </c>
      <c r="H1487">
        <v>7.9141921802455206</v>
      </c>
      <c r="I1487">
        <v>7.2707313112896124</v>
      </c>
      <c r="J1487">
        <v>15.846977630334511</v>
      </c>
      <c r="K1487">
        <v>17.098138212056394</v>
      </c>
      <c r="L1487">
        <v>4.4951911075705313</v>
      </c>
      <c r="M1487">
        <v>15.638714967916535</v>
      </c>
      <c r="N1487">
        <v>21.789766680950009</v>
      </c>
      <c r="O1487">
        <v>12.322819328629976</v>
      </c>
      <c r="P1487">
        <v>26.888265018125491</v>
      </c>
      <c r="Q1487">
        <v>19.33210253586892</v>
      </c>
      <c r="R1487">
        <v>21.79848956312123</v>
      </c>
      <c r="S1487">
        <v>1.4591302389473568</v>
      </c>
      <c r="T1487">
        <v>17.894178786955568</v>
      </c>
      <c r="U1487">
        <f t="shared" si="166"/>
        <v>13.822081333309296</v>
      </c>
      <c r="V1487" t="str">
        <f t="shared" si="164"/>
        <v>2017/18Expenditure driversReinforcementDNO Actual</v>
      </c>
    </row>
    <row r="1488" spans="1:22">
      <c r="A1488" t="s">
        <v>140</v>
      </c>
      <c r="C1488" t="s">
        <v>1344</v>
      </c>
      <c r="D1488" t="s">
        <v>62</v>
      </c>
      <c r="E1488" t="s">
        <v>1349</v>
      </c>
      <c r="F1488" t="s">
        <v>1289</v>
      </c>
      <c r="G1488">
        <v>5.2422633639527518</v>
      </c>
      <c r="H1488">
        <v>7.575666341267719</v>
      </c>
      <c r="I1488">
        <v>6.0935669961400594</v>
      </c>
      <c r="J1488">
        <v>7.8710976139043014</v>
      </c>
      <c r="K1488">
        <v>11.38390963192003</v>
      </c>
      <c r="L1488">
        <v>4.0726170097561658</v>
      </c>
      <c r="M1488">
        <v>7.0688971705705459</v>
      </c>
      <c r="N1488">
        <v>23.003554862213203</v>
      </c>
      <c r="O1488">
        <v>12.956900325252715</v>
      </c>
      <c r="P1488">
        <v>7.7361802678364624</v>
      </c>
      <c r="Q1488">
        <v>26.963249432117735</v>
      </c>
      <c r="R1488">
        <v>19.772994469935941</v>
      </c>
      <c r="S1488">
        <v>2.7126997011180061</v>
      </c>
      <c r="T1488">
        <v>19.49132858810518</v>
      </c>
      <c r="U1488">
        <f t="shared" si="166"/>
        <v>11.567494698149345</v>
      </c>
      <c r="V1488" t="str">
        <f t="shared" si="164"/>
        <v>2018/19Expenditure driversReinforcementDNO Actual</v>
      </c>
    </row>
    <row r="1489" spans="1:22">
      <c r="A1489" t="s">
        <v>141</v>
      </c>
      <c r="C1489" t="s">
        <v>1344</v>
      </c>
      <c r="D1489" t="s">
        <v>62</v>
      </c>
      <c r="E1489" t="s">
        <v>1349</v>
      </c>
      <c r="F1489" t="s">
        <v>1289</v>
      </c>
      <c r="G1489">
        <v>11.262639158327008</v>
      </c>
      <c r="H1489">
        <v>7.8294155554727434</v>
      </c>
      <c r="I1489">
        <v>5.8608206927829478</v>
      </c>
      <c r="J1489">
        <v>9.1823310127235587</v>
      </c>
      <c r="K1489">
        <v>14.514611449136739</v>
      </c>
      <c r="L1489">
        <v>2.4628889802574991</v>
      </c>
      <c r="M1489">
        <v>4.2575165819117684</v>
      </c>
      <c r="N1489">
        <v>18.154351293052251</v>
      </c>
      <c r="O1489">
        <v>11.696460889448218</v>
      </c>
      <c r="P1489">
        <v>4.3254719950703908</v>
      </c>
      <c r="Q1489">
        <v>23.32655654265961</v>
      </c>
      <c r="R1489">
        <v>14.526458785981131</v>
      </c>
      <c r="S1489">
        <v>7.2268175035817253</v>
      </c>
      <c r="T1489">
        <v>14.421190681702786</v>
      </c>
      <c r="U1489">
        <f>AVERAGE(G1489:T1489)</f>
        <v>10.646252223007739</v>
      </c>
      <c r="V1489" t="str">
        <f t="shared" si="164"/>
        <v>2019/20Expenditure driversReinforcementDNO Actual</v>
      </c>
    </row>
    <row r="1490" spans="1:22">
      <c r="A1490" t="s">
        <v>126</v>
      </c>
      <c r="C1490" t="s">
        <v>1344</v>
      </c>
      <c r="D1490" t="s">
        <v>62</v>
      </c>
      <c r="E1490" t="s">
        <v>1349</v>
      </c>
      <c r="F1490" t="s">
        <v>1289</v>
      </c>
      <c r="G1490">
        <v>13.189099965784818</v>
      </c>
      <c r="H1490">
        <v>8.9173715861406624</v>
      </c>
      <c r="I1490">
        <v>7.4696083743928448</v>
      </c>
      <c r="J1490">
        <v>38.099764247519268</v>
      </c>
      <c r="K1490">
        <v>28.169516109556824</v>
      </c>
      <c r="L1490">
        <v>12.175660445937174</v>
      </c>
      <c r="M1490">
        <v>12.186766922870344</v>
      </c>
      <c r="N1490">
        <v>12.918356952631138</v>
      </c>
      <c r="O1490">
        <v>5.8503139986443253</v>
      </c>
      <c r="P1490">
        <v>12.973525534199133</v>
      </c>
      <c r="Q1490">
        <v>27.772355456769287</v>
      </c>
      <c r="R1490">
        <v>10.144305885529526</v>
      </c>
      <c r="S1490">
        <v>6.5709875861419453</v>
      </c>
      <c r="T1490">
        <v>18.309207656982736</v>
      </c>
      <c r="U1490">
        <f>AVERAGE(G1490:T1490)</f>
        <v>15.339060051649998</v>
      </c>
      <c r="V1490" t="str">
        <f t="shared" si="164"/>
        <v>2020/21Expenditure driversReinforcementDNO Actual</v>
      </c>
    </row>
    <row r="1491" spans="1:22">
      <c r="A1491" t="s">
        <v>142</v>
      </c>
      <c r="C1491" t="s">
        <v>1344</v>
      </c>
      <c r="D1491" t="s">
        <v>62</v>
      </c>
      <c r="E1491" t="s">
        <v>1349</v>
      </c>
      <c r="F1491" t="s">
        <v>1289</v>
      </c>
      <c r="G1491">
        <v>21.106372403606688</v>
      </c>
      <c r="H1491">
        <v>8.6992799199999986</v>
      </c>
      <c r="I1491">
        <v>11.622276940000001</v>
      </c>
      <c r="J1491">
        <v>56.447600000000001</v>
      </c>
      <c r="K1491">
        <v>32.293199999999999</v>
      </c>
      <c r="L1491">
        <v>12.993</v>
      </c>
      <c r="M1491">
        <v>12.875600000000002</v>
      </c>
      <c r="N1491">
        <v>17.431485863057485</v>
      </c>
      <c r="O1491">
        <v>15.980370612531267</v>
      </c>
      <c r="P1491">
        <v>9.8358349945882466</v>
      </c>
      <c r="Q1491">
        <v>21.785221548498566</v>
      </c>
      <c r="R1491">
        <v>25.387338800296941</v>
      </c>
      <c r="S1491">
        <v>13.655067839999999</v>
      </c>
      <c r="T1491">
        <v>18.077543819999999</v>
      </c>
      <c r="U1491">
        <f>AVERAGE(G1491:T1491)</f>
        <v>19.870728053041368</v>
      </c>
      <c r="V1491" t="str">
        <f t="shared" ref="V1491" si="167">CONCATENATE(A1491,B1491,C1491,D1491,E1491)</f>
        <v>2021/22Expenditure driversReinforcementDNO Actual</v>
      </c>
    </row>
    <row r="1492" spans="1:22">
      <c r="A1492" t="s">
        <v>137</v>
      </c>
      <c r="C1492" t="s">
        <v>1344</v>
      </c>
      <c r="D1492" t="s">
        <v>62</v>
      </c>
      <c r="E1492" t="s">
        <v>297</v>
      </c>
      <c r="F1492" t="s">
        <v>1289</v>
      </c>
      <c r="G1492">
        <f t="array" ref="G1492:T1495">TRANSPOSE('Ch4 expenditure drivers'!AF314:AI327)</f>
        <v>14.338057215096187</v>
      </c>
      <c r="H1492">
        <v>20.88360786516829</v>
      </c>
      <c r="I1492">
        <v>9.3578538979400232</v>
      </c>
      <c r="J1492">
        <v>27.373422453467843</v>
      </c>
      <c r="K1492">
        <v>64.379517023105436</v>
      </c>
      <c r="L1492">
        <v>3.760964946724799</v>
      </c>
      <c r="M1492">
        <v>5.9610058377279875</v>
      </c>
      <c r="N1492">
        <v>51.229624847668958</v>
      </c>
      <c r="O1492">
        <v>27.448003642056136</v>
      </c>
      <c r="P1492">
        <v>46.360500095771158</v>
      </c>
      <c r="Q1492">
        <v>21.585775102595953</v>
      </c>
      <c r="R1492">
        <v>31.105534391096455</v>
      </c>
      <c r="S1492">
        <v>5.3930826413264361</v>
      </c>
      <c r="T1492">
        <v>30.044152999761394</v>
      </c>
      <c r="U1492">
        <f t="shared" si="166"/>
        <v>25.658650211393365</v>
      </c>
      <c r="V1492" t="str">
        <f t="shared" si="164"/>
        <v>2015/16Expenditure driversReinforcementAllowance</v>
      </c>
    </row>
    <row r="1493" spans="1:22">
      <c r="A1493" t="s">
        <v>137</v>
      </c>
      <c r="C1493" t="s">
        <v>1344</v>
      </c>
      <c r="D1493" t="s">
        <v>62</v>
      </c>
      <c r="E1493" t="s">
        <v>298</v>
      </c>
      <c r="F1493" t="s">
        <v>1289</v>
      </c>
      <c r="G1493">
        <v>12.226201473252496</v>
      </c>
      <c r="H1493">
        <v>17.21530125467633</v>
      </c>
      <c r="I1493">
        <v>16.546009925663498</v>
      </c>
      <c r="J1493">
        <v>34.331449951239819</v>
      </c>
      <c r="K1493">
        <v>31.65575957183551</v>
      </c>
      <c r="L1493">
        <v>6.0117577917998108</v>
      </c>
      <c r="M1493">
        <v>6.9598653918352715</v>
      </c>
      <c r="N1493">
        <v>12.026731351513375</v>
      </c>
      <c r="O1493">
        <v>6.1690187591957493</v>
      </c>
      <c r="P1493">
        <v>15.458150988323796</v>
      </c>
      <c r="Q1493">
        <v>9.6651242036783138</v>
      </c>
      <c r="R1493">
        <v>25.323867193462135</v>
      </c>
      <c r="S1493">
        <v>3.2485018447411655</v>
      </c>
      <c r="T1493">
        <v>15.164137901304819</v>
      </c>
      <c r="U1493">
        <f t="shared" si="166"/>
        <v>15.142991257323008</v>
      </c>
      <c r="V1493" t="str">
        <f t="shared" si="164"/>
        <v>2015/16Expenditure driversReinforcementActual</v>
      </c>
    </row>
    <row r="1494" spans="1:22">
      <c r="A1494" t="s">
        <v>137</v>
      </c>
      <c r="C1494" t="s">
        <v>1344</v>
      </c>
      <c r="D1494" t="s">
        <v>62</v>
      </c>
      <c r="E1494" t="s">
        <v>602</v>
      </c>
      <c r="F1494" t="s">
        <v>1289</v>
      </c>
      <c r="G1494">
        <v>-2.1118557418436907</v>
      </c>
      <c r="H1494">
        <v>-3.6683066104919604</v>
      </c>
      <c r="I1494">
        <v>7.1881560277234744</v>
      </c>
      <c r="J1494">
        <v>6.958027497771976</v>
      </c>
      <c r="K1494">
        <v>-32.723757451269925</v>
      </c>
      <c r="L1494">
        <v>2.2507928450750119</v>
      </c>
      <c r="M1494">
        <v>0.998859554107284</v>
      </c>
      <c r="N1494">
        <v>-39.202893496155582</v>
      </c>
      <c r="O1494">
        <v>-21.278984882860385</v>
      </c>
      <c r="P1494">
        <v>-30.902349107447364</v>
      </c>
      <c r="Q1494">
        <v>-11.920650898917639</v>
      </c>
      <c r="R1494">
        <v>-5.7816671976343201</v>
      </c>
      <c r="S1494">
        <v>-2.1445807965852706</v>
      </c>
      <c r="T1494">
        <v>-14.880015098456575</v>
      </c>
      <c r="U1494">
        <f>U1493-U1492</f>
        <v>-10.515658954070357</v>
      </c>
      <c r="V1494" t="str">
        <f t="shared" si="164"/>
        <v>2015/16Expenditure driversReinforcementDifference</v>
      </c>
    </row>
    <row r="1495" spans="1:22">
      <c r="A1495" t="s">
        <v>137</v>
      </c>
      <c r="C1495" t="s">
        <v>1344</v>
      </c>
      <c r="D1495" t="s">
        <v>62</v>
      </c>
      <c r="E1495" t="s">
        <v>1346</v>
      </c>
      <c r="F1495" t="s">
        <v>606</v>
      </c>
      <c r="G1495" s="829">
        <v>-0.14729022978232853</v>
      </c>
      <c r="H1495" s="829">
        <v>-0.1756548310127159</v>
      </c>
      <c r="I1495" s="829">
        <v>0.7681415104488678</v>
      </c>
      <c r="J1495" s="829">
        <v>0.25418916869455932</v>
      </c>
      <c r="K1495" s="829">
        <v>-0.50829454715426892</v>
      </c>
      <c r="L1495" s="829">
        <v>0.59846153233496469</v>
      </c>
      <c r="M1495" s="829">
        <v>0.167565605754883</v>
      </c>
      <c r="N1495" s="829">
        <v>-0.76523873857607183</v>
      </c>
      <c r="O1495" s="829">
        <v>-0.77524708756073202</v>
      </c>
      <c r="P1495" s="829">
        <v>-0.66656634513453339</v>
      </c>
      <c r="Q1495" s="829">
        <v>-0.55224567300731464</v>
      </c>
      <c r="R1495" s="829">
        <v>-0.18587262076710198</v>
      </c>
      <c r="S1495" s="829">
        <v>-0.39765398367005328</v>
      </c>
      <c r="T1495" s="829">
        <v>-0.49527157908478064</v>
      </c>
      <c r="U1495" s="829">
        <f>U1494/U1492</f>
        <v>-0.40982899986691529</v>
      </c>
      <c r="V1495" t="str">
        <f t="shared" si="164"/>
        <v>2015/16Expenditure driversReinforcementDifference %</v>
      </c>
    </row>
    <row r="1496" spans="1:22">
      <c r="A1496" t="s">
        <v>138</v>
      </c>
      <c r="C1496" t="s">
        <v>1344</v>
      </c>
      <c r="D1496" t="s">
        <v>62</v>
      </c>
      <c r="E1496" t="s">
        <v>297</v>
      </c>
      <c r="F1496" t="s">
        <v>1289</v>
      </c>
      <c r="G1496">
        <f t="array" ref="G1496:T1499">TRANSPOSE('Ch4 expenditure drivers'!AK314:AN327)</f>
        <v>18.171617589121663</v>
      </c>
      <c r="H1496">
        <v>17.84528170958367</v>
      </c>
      <c r="I1496">
        <v>12.10972759975847</v>
      </c>
      <c r="J1496">
        <v>28.442396236614591</v>
      </c>
      <c r="K1496">
        <v>56.27960486108379</v>
      </c>
      <c r="L1496">
        <v>3.8792221450536601</v>
      </c>
      <c r="M1496">
        <v>6.8987710179246493</v>
      </c>
      <c r="N1496">
        <v>46.893771198684476</v>
      </c>
      <c r="O1496">
        <v>35.521145992337203</v>
      </c>
      <c r="P1496">
        <v>50.053529865502533</v>
      </c>
      <c r="Q1496">
        <v>23.932714421105302</v>
      </c>
      <c r="R1496">
        <v>26.576174743981287</v>
      </c>
      <c r="S1496">
        <v>6.2712087631042026</v>
      </c>
      <c r="T1496">
        <v>38.198243532306272</v>
      </c>
      <c r="U1496">
        <f t="shared" si="166"/>
        <v>26.505243548297269</v>
      </c>
      <c r="V1496" t="str">
        <f t="shared" si="164"/>
        <v>2016/17Expenditure driversReinforcementAllowance</v>
      </c>
    </row>
    <row r="1497" spans="1:22">
      <c r="A1497" t="s">
        <v>138</v>
      </c>
      <c r="C1497" t="s">
        <v>1344</v>
      </c>
      <c r="D1497" t="s">
        <v>62</v>
      </c>
      <c r="E1497" t="s">
        <v>298</v>
      </c>
      <c r="F1497" t="s">
        <v>1289</v>
      </c>
      <c r="G1497">
        <v>5.6470202161199099</v>
      </c>
      <c r="H1497">
        <v>9.8954761436354968</v>
      </c>
      <c r="I1497">
        <v>8.5487664717942256</v>
      </c>
      <c r="J1497">
        <v>18.260124615837462</v>
      </c>
      <c r="K1497">
        <v>22.347220266272185</v>
      </c>
      <c r="L1497">
        <v>3.4581852501207591</v>
      </c>
      <c r="M1497">
        <v>9.9404478806907388</v>
      </c>
      <c r="N1497">
        <v>18.91567278310897</v>
      </c>
      <c r="O1497">
        <v>9.3202399826885447</v>
      </c>
      <c r="P1497">
        <v>16.938793490807949</v>
      </c>
      <c r="Q1497">
        <v>6.9261002708792541</v>
      </c>
      <c r="R1497">
        <v>25.72483211070244</v>
      </c>
      <c r="S1497">
        <v>3.889447887339168</v>
      </c>
      <c r="T1497">
        <v>15.255877029244049</v>
      </c>
      <c r="U1497">
        <f t="shared" si="166"/>
        <v>12.504871742802942</v>
      </c>
      <c r="V1497" t="str">
        <f t="shared" si="164"/>
        <v>2016/17Expenditure driversReinforcementActual</v>
      </c>
    </row>
    <row r="1498" spans="1:22">
      <c r="A1498" t="s">
        <v>138</v>
      </c>
      <c r="C1498" t="s">
        <v>1344</v>
      </c>
      <c r="D1498" t="s">
        <v>62</v>
      </c>
      <c r="E1498" t="s">
        <v>602</v>
      </c>
      <c r="F1498" t="s">
        <v>1289</v>
      </c>
      <c r="G1498">
        <v>-12.524597373001754</v>
      </c>
      <c r="H1498">
        <v>-7.9498055659481732</v>
      </c>
      <c r="I1498">
        <v>-3.5609611279642444</v>
      </c>
      <c r="J1498">
        <v>-10.182271620777129</v>
      </c>
      <c r="K1498">
        <v>-33.932384594811609</v>
      </c>
      <c r="L1498">
        <v>-0.42103689493290108</v>
      </c>
      <c r="M1498">
        <v>3.0416768627660895</v>
      </c>
      <c r="N1498">
        <v>-27.978098415575506</v>
      </c>
      <c r="O1498">
        <v>-26.200906009648659</v>
      </c>
      <c r="P1498">
        <v>-33.114736374694587</v>
      </c>
      <c r="Q1498">
        <v>-17.006614150226049</v>
      </c>
      <c r="R1498">
        <v>-0.85134263327884696</v>
      </c>
      <c r="S1498">
        <v>-2.3817608757650346</v>
      </c>
      <c r="T1498">
        <v>-22.942366503062225</v>
      </c>
      <c r="U1498">
        <f>U1497-U1496</f>
        <v>-14.000371805494327</v>
      </c>
      <c r="V1498" t="str">
        <f t="shared" si="164"/>
        <v>2016/17Expenditure driversReinforcementDifference</v>
      </c>
    </row>
    <row r="1499" spans="1:22">
      <c r="A1499" t="s">
        <v>138</v>
      </c>
      <c r="C1499" t="s">
        <v>1344</v>
      </c>
      <c r="D1499" t="s">
        <v>62</v>
      </c>
      <c r="E1499" t="s">
        <v>1346</v>
      </c>
      <c r="F1499" t="s">
        <v>606</v>
      </c>
      <c r="G1499" s="829">
        <v>-0.68923954136584598</v>
      </c>
      <c r="H1499" s="829">
        <v>-0.44548501364810578</v>
      </c>
      <c r="I1499" s="829">
        <v>-0.29405790498832263</v>
      </c>
      <c r="J1499" s="829">
        <v>-0.35799626501473325</v>
      </c>
      <c r="K1499" s="829">
        <v>-0.60292506812312696</v>
      </c>
      <c r="L1499" s="829">
        <v>-0.10853642281604294</v>
      </c>
      <c r="M1499" s="829">
        <v>0.44090126413285624</v>
      </c>
      <c r="N1499" s="829">
        <v>-0.59662717884289895</v>
      </c>
      <c r="O1499" s="829">
        <v>-0.73761432177049824</v>
      </c>
      <c r="P1499" s="829">
        <v>-0.6615864348363899</v>
      </c>
      <c r="Q1499" s="829">
        <v>-0.71060113997050822</v>
      </c>
      <c r="R1499" s="829">
        <v>-3.2034054617722997E-2</v>
      </c>
      <c r="S1499" s="829">
        <v>-0.37979294992981233</v>
      </c>
      <c r="T1499" s="829">
        <v>-0.60061312724127369</v>
      </c>
      <c r="U1499" s="829">
        <f>U1498/U1496</f>
        <v>-0.52821140013232315</v>
      </c>
      <c r="V1499" t="str">
        <f t="shared" si="164"/>
        <v>2016/17Expenditure driversReinforcementDifference %</v>
      </c>
    </row>
    <row r="1500" spans="1:22">
      <c r="A1500" t="s">
        <v>139</v>
      </c>
      <c r="C1500" t="s">
        <v>1344</v>
      </c>
      <c r="D1500" t="s">
        <v>62</v>
      </c>
      <c r="E1500" t="s">
        <v>297</v>
      </c>
      <c r="F1500" t="s">
        <v>1289</v>
      </c>
      <c r="G1500">
        <f t="array" ref="G1500:T1503">TRANSPOSE('Ch4 expenditure drivers'!AP314:AS327)</f>
        <v>11.77768087204079</v>
      </c>
      <c r="H1500">
        <v>14.662837847241153</v>
      </c>
      <c r="I1500">
        <v>12.532970357299231</v>
      </c>
      <c r="J1500">
        <v>26.788020100640821</v>
      </c>
      <c r="K1500">
        <v>23.929663450771425</v>
      </c>
      <c r="L1500">
        <v>4.6743389024155881</v>
      </c>
      <c r="M1500">
        <v>9.0470665455680432</v>
      </c>
      <c r="N1500">
        <v>49.771746985357879</v>
      </c>
      <c r="O1500">
        <v>36.117163994415101</v>
      </c>
      <c r="P1500">
        <v>48.933568207650097</v>
      </c>
      <c r="Q1500">
        <v>29.758555382195226</v>
      </c>
      <c r="R1500">
        <v>21.944352473232769</v>
      </c>
      <c r="S1500">
        <v>8.3504028907894785</v>
      </c>
      <c r="T1500">
        <v>30.43076884176179</v>
      </c>
      <c r="U1500">
        <f t="shared" si="166"/>
        <v>23.479938346527099</v>
      </c>
      <c r="V1500" t="str">
        <f t="shared" si="164"/>
        <v>2017/18Expenditure driversReinforcementAllowance</v>
      </c>
    </row>
    <row r="1501" spans="1:22">
      <c r="A1501" t="s">
        <v>139</v>
      </c>
      <c r="C1501" t="s">
        <v>1344</v>
      </c>
      <c r="D1501" t="s">
        <v>62</v>
      </c>
      <c r="E1501" t="s">
        <v>298</v>
      </c>
      <c r="F1501" t="s">
        <v>1289</v>
      </c>
      <c r="G1501">
        <v>3.760441104318482</v>
      </c>
      <c r="H1501">
        <v>7.9141921802455206</v>
      </c>
      <c r="I1501">
        <v>7.2707313112896124</v>
      </c>
      <c r="J1501">
        <v>15.846977630334511</v>
      </c>
      <c r="K1501">
        <v>17.098138212056394</v>
      </c>
      <c r="L1501">
        <v>4.4951911075705313</v>
      </c>
      <c r="M1501">
        <v>15.638714967916535</v>
      </c>
      <c r="N1501">
        <v>21.789766680950009</v>
      </c>
      <c r="O1501">
        <v>12.322819328629976</v>
      </c>
      <c r="P1501">
        <v>26.888265018125491</v>
      </c>
      <c r="Q1501">
        <v>19.33210253586892</v>
      </c>
      <c r="R1501">
        <v>21.79848956312123</v>
      </c>
      <c r="S1501">
        <v>1.4591302389473568</v>
      </c>
      <c r="T1501">
        <v>17.894178786955568</v>
      </c>
      <c r="U1501">
        <f t="shared" si="166"/>
        <v>13.822081333309296</v>
      </c>
      <c r="V1501" t="str">
        <f t="shared" si="164"/>
        <v>2017/18Expenditure driversReinforcementActual</v>
      </c>
    </row>
    <row r="1502" spans="1:22">
      <c r="A1502" t="s">
        <v>139</v>
      </c>
      <c r="C1502" t="s">
        <v>1344</v>
      </c>
      <c r="D1502" t="s">
        <v>62</v>
      </c>
      <c r="E1502" t="s">
        <v>602</v>
      </c>
      <c r="F1502" t="s">
        <v>1289</v>
      </c>
      <c r="G1502">
        <v>-8.0172397677223088</v>
      </c>
      <c r="H1502">
        <v>-6.7486456669956327</v>
      </c>
      <c r="I1502">
        <v>-5.2622390460096184</v>
      </c>
      <c r="J1502">
        <v>-10.941042470306311</v>
      </c>
      <c r="K1502">
        <v>-6.8315252387150309</v>
      </c>
      <c r="L1502">
        <v>-0.17914779484505683</v>
      </c>
      <c r="M1502">
        <v>6.5916484223484915</v>
      </c>
      <c r="N1502">
        <v>-27.98198030440787</v>
      </c>
      <c r="O1502">
        <v>-23.794344665785125</v>
      </c>
      <c r="P1502">
        <v>-22.045303189524606</v>
      </c>
      <c r="Q1502">
        <v>-10.426452846326306</v>
      </c>
      <c r="R1502">
        <v>-0.14586291011153918</v>
      </c>
      <c r="S1502">
        <v>-6.8912726518421215</v>
      </c>
      <c r="T1502">
        <v>-12.536590054806222</v>
      </c>
      <c r="U1502">
        <f>U1501-U1500</f>
        <v>-9.6578570132178037</v>
      </c>
      <c r="V1502" t="str">
        <f t="shared" si="164"/>
        <v>2017/18Expenditure driversReinforcementDifference</v>
      </c>
    </row>
    <row r="1503" spans="1:22">
      <c r="A1503" t="s">
        <v>139</v>
      </c>
      <c r="C1503" t="s">
        <v>1344</v>
      </c>
      <c r="D1503" t="s">
        <v>62</v>
      </c>
      <c r="E1503" t="s">
        <v>1346</v>
      </c>
      <c r="F1503" t="s">
        <v>606</v>
      </c>
      <c r="G1503" s="829">
        <v>-0.6807146376970149</v>
      </c>
      <c r="H1503" s="829">
        <v>-0.46025508413198513</v>
      </c>
      <c r="I1503" s="829">
        <v>-0.41987165819353256</v>
      </c>
      <c r="J1503" s="829">
        <v>-0.40843042633242538</v>
      </c>
      <c r="K1503" s="829">
        <v>-0.28548354859937664</v>
      </c>
      <c r="L1503" s="829">
        <v>-3.8325803623797471E-2</v>
      </c>
      <c r="M1503" s="829">
        <v>0.72859510750228684</v>
      </c>
      <c r="N1503" s="829">
        <v>-0.5622061108813351</v>
      </c>
      <c r="O1503" s="829">
        <v>-0.65880988522422501</v>
      </c>
      <c r="P1503" s="829">
        <v>-0.45051493273441939</v>
      </c>
      <c r="Q1503" s="829">
        <v>-0.35036824578401859</v>
      </c>
      <c r="R1503" s="829">
        <v>-6.6469452807714196E-3</v>
      </c>
      <c r="S1503" s="829">
        <v>-0.82526229476223445</v>
      </c>
      <c r="T1503" s="829">
        <v>-0.41197086146576689</v>
      </c>
      <c r="U1503" s="829">
        <f>U1502/U1500</f>
        <v>-0.41132378078183029</v>
      </c>
      <c r="V1503" t="str">
        <f t="shared" si="164"/>
        <v>2017/18Expenditure driversReinforcementDifference %</v>
      </c>
    </row>
    <row r="1504" spans="1:22">
      <c r="A1504" t="s">
        <v>140</v>
      </c>
      <c r="C1504" t="s">
        <v>1344</v>
      </c>
      <c r="D1504" t="s">
        <v>62</v>
      </c>
      <c r="E1504" t="s">
        <v>297</v>
      </c>
      <c r="F1504" t="s">
        <v>1289</v>
      </c>
      <c r="G1504">
        <f t="array" ref="G1504:T1507">TRANSPOSE('Ch4 expenditure drivers'!AU314:AX327)</f>
        <v>15.290819592621107</v>
      </c>
      <c r="H1504">
        <v>14.172995907900074</v>
      </c>
      <c r="I1504">
        <v>17.034426778066599</v>
      </c>
      <c r="J1504">
        <v>31.609038105273722</v>
      </c>
      <c r="K1504">
        <v>32.093803703017613</v>
      </c>
      <c r="L1504">
        <v>11.661615168811634</v>
      </c>
      <c r="M1504">
        <v>15.960267597949761</v>
      </c>
      <c r="N1504">
        <v>44.929912406865306</v>
      </c>
      <c r="O1504">
        <v>26.048017001197756</v>
      </c>
      <c r="P1504">
        <v>42.437015843140806</v>
      </c>
      <c r="Q1504">
        <v>23.188334933177405</v>
      </c>
      <c r="R1504">
        <v>17.164620761552779</v>
      </c>
      <c r="S1504">
        <v>8.5721263544497255</v>
      </c>
      <c r="T1504">
        <v>34.831114841174518</v>
      </c>
      <c r="U1504">
        <f>AVERAGE(G1504:T1504)</f>
        <v>23.928150642514201</v>
      </c>
      <c r="V1504" t="str">
        <f t="shared" si="164"/>
        <v>2018/19Expenditure driversReinforcementAllowance</v>
      </c>
    </row>
    <row r="1505" spans="1:22">
      <c r="A1505" t="s">
        <v>140</v>
      </c>
      <c r="C1505" t="s">
        <v>1344</v>
      </c>
      <c r="D1505" t="s">
        <v>62</v>
      </c>
      <c r="E1505" t="s">
        <v>298</v>
      </c>
      <c r="F1505" t="s">
        <v>1289</v>
      </c>
      <c r="G1505">
        <v>5.2422633639527518</v>
      </c>
      <c r="H1505">
        <v>7.575666341267719</v>
      </c>
      <c r="I1505">
        <v>6.0935669961400594</v>
      </c>
      <c r="J1505">
        <v>7.8710976139043014</v>
      </c>
      <c r="K1505">
        <v>11.38390963192003</v>
      </c>
      <c r="L1505">
        <v>4.0726170097561658</v>
      </c>
      <c r="M1505">
        <v>7.0688971705705459</v>
      </c>
      <c r="N1505">
        <v>23.003554862213203</v>
      </c>
      <c r="O1505">
        <v>12.956900325252715</v>
      </c>
      <c r="P1505">
        <v>7.7361802678364624</v>
      </c>
      <c r="Q1505">
        <v>26.963249432117735</v>
      </c>
      <c r="R1505">
        <v>19.772994469935941</v>
      </c>
      <c r="S1505">
        <v>2.7126997011180061</v>
      </c>
      <c r="T1505">
        <v>19.49132858810518</v>
      </c>
      <c r="U1505">
        <f>AVERAGE(G1505:T1505)</f>
        <v>11.567494698149345</v>
      </c>
      <c r="V1505" t="str">
        <f t="shared" si="164"/>
        <v>2018/19Expenditure driversReinforcementActual</v>
      </c>
    </row>
    <row r="1506" spans="1:22">
      <c r="A1506" t="s">
        <v>140</v>
      </c>
      <c r="C1506" t="s">
        <v>1344</v>
      </c>
      <c r="D1506" t="s">
        <v>62</v>
      </c>
      <c r="E1506" t="s">
        <v>602</v>
      </c>
      <c r="F1506" t="s">
        <v>1289</v>
      </c>
      <c r="G1506">
        <v>-10.048556228668355</v>
      </c>
      <c r="H1506">
        <v>-6.5973295666323546</v>
      </c>
      <c r="I1506">
        <v>-10.940859781926541</v>
      </c>
      <c r="J1506">
        <v>-23.737940491369422</v>
      </c>
      <c r="K1506">
        <v>-20.709894071097583</v>
      </c>
      <c r="L1506">
        <v>-7.5889981590554685</v>
      </c>
      <c r="M1506">
        <v>-8.8913704273792149</v>
      </c>
      <c r="N1506">
        <v>-21.926357544652102</v>
      </c>
      <c r="O1506">
        <v>-13.091116675945042</v>
      </c>
      <c r="P1506">
        <v>-34.700835575304346</v>
      </c>
      <c r="Q1506">
        <v>3.7749144989403298</v>
      </c>
      <c r="R1506">
        <v>2.6083737083831622</v>
      </c>
      <c r="S1506">
        <v>-5.8594266533317194</v>
      </c>
      <c r="T1506">
        <v>-15.339786253069338</v>
      </c>
      <c r="U1506">
        <f>U1505-U1504</f>
        <v>-12.360655944364856</v>
      </c>
      <c r="V1506" t="str">
        <f t="shared" si="164"/>
        <v>2018/19Expenditure driversReinforcementDifference</v>
      </c>
    </row>
    <row r="1507" spans="1:22">
      <c r="A1507" t="s">
        <v>140</v>
      </c>
      <c r="C1507" t="s">
        <v>1344</v>
      </c>
      <c r="D1507" t="s">
        <v>62</v>
      </c>
      <c r="E1507" t="s">
        <v>1346</v>
      </c>
      <c r="F1507" t="s">
        <v>606</v>
      </c>
      <c r="G1507" s="829">
        <v>-0.65716269607402134</v>
      </c>
      <c r="H1507" s="829">
        <v>-0.46548588664694257</v>
      </c>
      <c r="I1507" s="829">
        <v>-0.64227930440335745</v>
      </c>
      <c r="J1507" s="829">
        <v>-0.75098585449865152</v>
      </c>
      <c r="K1507" s="829">
        <v>-0.64529260111198161</v>
      </c>
      <c r="L1507" s="829">
        <v>-0.65076732932774506</v>
      </c>
      <c r="M1507" s="829">
        <v>-0.55709406955816898</v>
      </c>
      <c r="N1507" s="829">
        <v>-0.48801247031369122</v>
      </c>
      <c r="O1507" s="829">
        <v>-0.50257632568894117</v>
      </c>
      <c r="P1507" s="829">
        <v>-0.81770206707202109</v>
      </c>
      <c r="Q1507" s="829">
        <v>0.16279368526539859</v>
      </c>
      <c r="R1507" s="829">
        <v>0.15196221021239728</v>
      </c>
      <c r="S1507" s="829">
        <v>-0.68354413024839933</v>
      </c>
      <c r="T1507" s="829">
        <v>-0.44040468767700447</v>
      </c>
      <c r="U1507" s="829">
        <f>U1506/U1504</f>
        <v>-0.51657381002956126</v>
      </c>
      <c r="V1507" t="str">
        <f t="shared" si="164"/>
        <v>2018/19Expenditure driversReinforcementDifference %</v>
      </c>
    </row>
    <row r="1508" spans="1:22">
      <c r="A1508" t="s">
        <v>141</v>
      </c>
      <c r="C1508" t="s">
        <v>1344</v>
      </c>
      <c r="D1508" t="s">
        <v>62</v>
      </c>
      <c r="E1508" t="s">
        <v>297</v>
      </c>
      <c r="F1508" t="s">
        <v>1289</v>
      </c>
      <c r="G1508" s="229">
        <f t="array" ref="G1508:T1511">TRANSPOSE('Ch4 expenditure drivers'!AZ314:BC327)</f>
        <v>14.526740853555125</v>
      </c>
      <c r="H1508" s="229">
        <v>17.57447382891332</v>
      </c>
      <c r="I1508" s="229">
        <v>22.351914081873829</v>
      </c>
      <c r="J1508" s="229">
        <v>34.574503518658737</v>
      </c>
      <c r="K1508" s="229">
        <v>29.730556420888</v>
      </c>
      <c r="L1508" s="229">
        <v>10.456041471860757</v>
      </c>
      <c r="M1508" s="229">
        <v>17.011042451855015</v>
      </c>
      <c r="N1508" s="229">
        <v>51.803358415158328</v>
      </c>
      <c r="O1508" s="229">
        <v>20.884539185049974</v>
      </c>
      <c r="P1508" s="229">
        <v>45.499472129462298</v>
      </c>
      <c r="Q1508" s="229">
        <v>16.911967548447326</v>
      </c>
      <c r="R1508" s="229">
        <v>15.700260403682217</v>
      </c>
      <c r="S1508" s="229">
        <v>10.284481884176829</v>
      </c>
      <c r="T1508" s="229">
        <v>20.046857310187065</v>
      </c>
      <c r="U1508" s="229">
        <f>AVERAGE(G1508:T1508)</f>
        <v>23.382586393126342</v>
      </c>
      <c r="V1508" t="str">
        <f t="shared" si="164"/>
        <v>2019/20Expenditure driversReinforcementAllowance</v>
      </c>
    </row>
    <row r="1509" spans="1:22">
      <c r="A1509" t="s">
        <v>141</v>
      </c>
      <c r="C1509" t="s">
        <v>1344</v>
      </c>
      <c r="D1509" t="s">
        <v>62</v>
      </c>
      <c r="E1509" t="s">
        <v>298</v>
      </c>
      <c r="F1509" t="s">
        <v>1289</v>
      </c>
      <c r="G1509" s="229">
        <v>11.262639158327008</v>
      </c>
      <c r="H1509" s="229">
        <v>7.8294155554727434</v>
      </c>
      <c r="I1509" s="229">
        <v>5.8608206927829478</v>
      </c>
      <c r="J1509" s="229">
        <v>9.1823310127235587</v>
      </c>
      <c r="K1509" s="229">
        <v>14.514611449136739</v>
      </c>
      <c r="L1509" s="229">
        <v>2.4628889802574991</v>
      </c>
      <c r="M1509" s="229">
        <v>4.2575165819117684</v>
      </c>
      <c r="N1509" s="229">
        <v>18.154351293052251</v>
      </c>
      <c r="O1509" s="229">
        <v>11.696460889448218</v>
      </c>
      <c r="P1509" s="229">
        <v>4.3254719950703908</v>
      </c>
      <c r="Q1509" s="229">
        <v>23.32655654265961</v>
      </c>
      <c r="R1509" s="229">
        <v>14.526458785981131</v>
      </c>
      <c r="S1509" s="229">
        <v>7.2268175035817253</v>
      </c>
      <c r="T1509" s="229">
        <v>14.421190681702786</v>
      </c>
      <c r="U1509" s="229">
        <f>AVERAGE(G1509:T1509)</f>
        <v>10.646252223007739</v>
      </c>
      <c r="V1509" t="str">
        <f t="shared" si="164"/>
        <v>2019/20Expenditure driversReinforcementActual</v>
      </c>
    </row>
    <row r="1510" spans="1:22">
      <c r="A1510" t="s">
        <v>141</v>
      </c>
      <c r="C1510" t="s">
        <v>1344</v>
      </c>
      <c r="D1510" t="s">
        <v>62</v>
      </c>
      <c r="E1510" t="s">
        <v>602</v>
      </c>
      <c r="F1510" t="s">
        <v>1289</v>
      </c>
      <c r="G1510" s="229">
        <v>-3.264101695228117</v>
      </c>
      <c r="H1510" s="229">
        <v>-9.7450582734405771</v>
      </c>
      <c r="I1510" s="229">
        <v>-16.491093389090882</v>
      </c>
      <c r="J1510" s="229">
        <v>-25.392172505935179</v>
      </c>
      <c r="K1510" s="229">
        <v>-15.215944971751261</v>
      </c>
      <c r="L1510" s="229">
        <v>-7.9931524916032579</v>
      </c>
      <c r="M1510" s="229">
        <v>-12.753525869943246</v>
      </c>
      <c r="N1510" s="229">
        <v>-33.649007122106077</v>
      </c>
      <c r="O1510" s="229">
        <v>-9.1880782956017555</v>
      </c>
      <c r="P1510" s="229">
        <v>-41.174000134391903</v>
      </c>
      <c r="Q1510" s="229">
        <v>6.4145889942122842</v>
      </c>
      <c r="R1510" s="229">
        <v>-1.1738016177010859</v>
      </c>
      <c r="S1510" s="229">
        <v>-3.0576643805951038</v>
      </c>
      <c r="T1510" s="229">
        <v>-5.6256666284842787</v>
      </c>
      <c r="U1510" s="229">
        <f>U1509-U1508</f>
        <v>-12.736334170118603</v>
      </c>
      <c r="V1510" t="str">
        <f t="shared" si="164"/>
        <v>2019/20Expenditure driversReinforcementDifference</v>
      </c>
    </row>
    <row r="1511" spans="1:22">
      <c r="A1511" t="s">
        <v>141</v>
      </c>
      <c r="C1511" t="s">
        <v>1344</v>
      </c>
      <c r="D1511" t="s">
        <v>62</v>
      </c>
      <c r="E1511" t="s">
        <v>1346</v>
      </c>
      <c r="F1511" t="s">
        <v>606</v>
      </c>
      <c r="G1511" s="829">
        <v>-0.22469607795263272</v>
      </c>
      <c r="H1511" s="829">
        <v>-0.55450071326790573</v>
      </c>
      <c r="I1511" s="829">
        <v>-0.73779334193415902</v>
      </c>
      <c r="J1511" s="829">
        <v>-0.73441900596582244</v>
      </c>
      <c r="K1511" s="829">
        <v>-0.51179482672113363</v>
      </c>
      <c r="L1511" s="829">
        <v>-0.76445302107058266</v>
      </c>
      <c r="M1511" s="829">
        <v>-0.74972041872439765</v>
      </c>
      <c r="N1511" s="829">
        <v>-0.64955261881746928</v>
      </c>
      <c r="O1511" s="829">
        <v>-0.4399464222882622</v>
      </c>
      <c r="P1511" s="829">
        <v>-0.90493357850915557</v>
      </c>
      <c r="Q1511" s="829">
        <v>0.37929288687650081</v>
      </c>
      <c r="R1511" s="829">
        <v>-7.4763194209555378E-2</v>
      </c>
      <c r="S1511" s="829">
        <v>-0.2973085484548782</v>
      </c>
      <c r="T1511" s="829">
        <v>-0.28062586276929924</v>
      </c>
      <c r="U1511" s="829">
        <f>U1510/U1508</f>
        <v>-0.54469313000646657</v>
      </c>
      <c r="V1511" t="str">
        <f t="shared" si="164"/>
        <v>2019/20Expenditure driversReinforcementDifference %</v>
      </c>
    </row>
    <row r="1512" spans="1:22">
      <c r="A1512" t="s">
        <v>126</v>
      </c>
      <c r="C1512" t="s">
        <v>1344</v>
      </c>
      <c r="D1512" t="s">
        <v>62</v>
      </c>
      <c r="E1512" t="s">
        <v>297</v>
      </c>
      <c r="F1512" t="s">
        <v>1289</v>
      </c>
      <c r="G1512" s="229" cm="1">
        <f t="array" ref="G1512:T1515">TRANSPOSE('Ch4 expenditure drivers'!BE314:BH327)</f>
        <v>15.605090805284425</v>
      </c>
      <c r="H1512" s="229">
        <v>14.509014487493205</v>
      </c>
      <c r="I1512" s="229">
        <v>18.180084151690519</v>
      </c>
      <c r="J1512" s="229">
        <v>30.766013335659199</v>
      </c>
      <c r="K1512" s="229">
        <v>40.078017273139409</v>
      </c>
      <c r="L1512" s="229">
        <v>10.43267127837011</v>
      </c>
      <c r="M1512" s="229">
        <v>17.139077301374794</v>
      </c>
      <c r="N1512" s="229">
        <v>50.407250206454805</v>
      </c>
      <c r="O1512" s="229">
        <v>20.623069211628245</v>
      </c>
      <c r="P1512" s="229">
        <v>50.525067292739536</v>
      </c>
      <c r="Q1512" s="229">
        <v>15.786895061108382</v>
      </c>
      <c r="R1512" s="229">
        <v>25.133470192591254</v>
      </c>
      <c r="S1512" s="229">
        <v>9.6466378431725861</v>
      </c>
      <c r="T1512" s="229">
        <v>31.409107489711438</v>
      </c>
      <c r="U1512" s="229">
        <f>AVERAGE(G1512:T1512)</f>
        <v>25.017247566458419</v>
      </c>
      <c r="V1512" t="str">
        <f t="shared" si="164"/>
        <v>2020/21Expenditure driversReinforcementAllowance</v>
      </c>
    </row>
    <row r="1513" spans="1:22">
      <c r="A1513" t="s">
        <v>126</v>
      </c>
      <c r="C1513" t="s">
        <v>1344</v>
      </c>
      <c r="D1513" t="s">
        <v>62</v>
      </c>
      <c r="E1513" t="s">
        <v>298</v>
      </c>
      <c r="F1513" t="s">
        <v>1289</v>
      </c>
      <c r="G1513" s="229">
        <v>13.189099965784818</v>
      </c>
      <c r="H1513" s="229">
        <v>8.9173715861406624</v>
      </c>
      <c r="I1513" s="229">
        <v>7.4696083743928448</v>
      </c>
      <c r="J1513" s="229">
        <v>38.099764247519268</v>
      </c>
      <c r="K1513" s="229">
        <v>28.169516109556824</v>
      </c>
      <c r="L1513" s="229">
        <v>12.175660445937174</v>
      </c>
      <c r="M1513" s="229">
        <v>12.186766922870344</v>
      </c>
      <c r="N1513" s="229">
        <v>12.918356952631138</v>
      </c>
      <c r="O1513" s="229">
        <v>5.8503139986443253</v>
      </c>
      <c r="P1513" s="229">
        <v>12.973525534199133</v>
      </c>
      <c r="Q1513" s="229">
        <v>27.772355456769287</v>
      </c>
      <c r="R1513" s="229">
        <v>10.144305885529526</v>
      </c>
      <c r="S1513" s="229">
        <v>6.5709875861419453</v>
      </c>
      <c r="T1513" s="229">
        <v>18.309207656982736</v>
      </c>
      <c r="U1513" s="229">
        <f>AVERAGE(G1513:T1513)</f>
        <v>15.339060051649998</v>
      </c>
      <c r="V1513" t="str">
        <f t="shared" si="164"/>
        <v>2020/21Expenditure driversReinforcementActual</v>
      </c>
    </row>
    <row r="1514" spans="1:22">
      <c r="A1514" t="s">
        <v>126</v>
      </c>
      <c r="C1514" t="s">
        <v>1344</v>
      </c>
      <c r="D1514" t="s">
        <v>62</v>
      </c>
      <c r="E1514" t="s">
        <v>602</v>
      </c>
      <c r="F1514" t="s">
        <v>1289</v>
      </c>
      <c r="G1514" s="229">
        <v>-2.4159908394996066</v>
      </c>
      <c r="H1514" s="229">
        <v>-5.591642901352543</v>
      </c>
      <c r="I1514" s="229">
        <v>-10.710475777297674</v>
      </c>
      <c r="J1514" s="229">
        <v>7.3337509118600686</v>
      </c>
      <c r="K1514" s="229">
        <v>-11.908501163582585</v>
      </c>
      <c r="L1514" s="229">
        <v>1.7429891675670639</v>
      </c>
      <c r="M1514" s="229">
        <v>-4.9523103785044498</v>
      </c>
      <c r="N1514" s="229">
        <v>-37.488893253823669</v>
      </c>
      <c r="O1514" s="229">
        <v>-14.77275521298392</v>
      </c>
      <c r="P1514" s="229">
        <v>-37.551541758540402</v>
      </c>
      <c r="Q1514" s="229">
        <v>11.985460395660905</v>
      </c>
      <c r="R1514" s="229">
        <v>-14.989164307061728</v>
      </c>
      <c r="S1514" s="229">
        <v>-3.0756502570306408</v>
      </c>
      <c r="T1514" s="229">
        <v>-13.099899832728703</v>
      </c>
      <c r="U1514" s="229">
        <f>U1513-U1512</f>
        <v>-9.6781875148084211</v>
      </c>
      <c r="V1514" t="str">
        <f t="shared" si="164"/>
        <v>2020/21Expenditure driversReinforcementDifference</v>
      </c>
    </row>
    <row r="1515" spans="1:22">
      <c r="A1515" t="s">
        <v>126</v>
      </c>
      <c r="C1515" t="s">
        <v>1344</v>
      </c>
      <c r="D1515" t="s">
        <v>62</v>
      </c>
      <c r="E1515" t="s">
        <v>1346</v>
      </c>
      <c r="F1515" t="s">
        <v>606</v>
      </c>
      <c r="G1515" s="829">
        <v>-0.15482068445775837</v>
      </c>
      <c r="H1515" s="829">
        <v>-0.38539095168541931</v>
      </c>
      <c r="I1515" s="829">
        <v>-0.58913235428020472</v>
      </c>
      <c r="J1515" s="829">
        <v>0.23837183036516207</v>
      </c>
      <c r="K1515" s="829">
        <v>-0.29713299144575578</v>
      </c>
      <c r="L1515" s="829">
        <v>0.16707026619162968</v>
      </c>
      <c r="M1515" s="829">
        <v>-0.28894848254796102</v>
      </c>
      <c r="N1515" s="829">
        <v>-0.74372026048393924</v>
      </c>
      <c r="O1515" s="829">
        <v>-0.71632185594636677</v>
      </c>
      <c r="P1515" s="829">
        <v>-0.7432259622925147</v>
      </c>
      <c r="Q1515" s="829">
        <v>0.75920314598071559</v>
      </c>
      <c r="R1515" s="829">
        <v>-0.59638260026186818</v>
      </c>
      <c r="S1515" s="829">
        <v>-0.3188313179194795</v>
      </c>
      <c r="T1515" s="829">
        <v>-0.41707329114715491</v>
      </c>
      <c r="U1515" s="829">
        <f>U1514/U1512</f>
        <v>-0.3868606044329328</v>
      </c>
      <c r="V1515" t="str">
        <f t="shared" si="164"/>
        <v>2020/21Expenditure driversReinforcementDifference %</v>
      </c>
    </row>
    <row r="1516" spans="1:22">
      <c r="A1516" t="s">
        <v>142</v>
      </c>
      <c r="C1516" t="s">
        <v>1344</v>
      </c>
      <c r="D1516" t="s">
        <v>62</v>
      </c>
      <c r="E1516" t="s">
        <v>297</v>
      </c>
      <c r="F1516" t="s">
        <v>1289</v>
      </c>
      <c r="G1516" s="229" cm="1">
        <f t="array" ref="G1516:T1519">TRANSPOSE('Ch4 expenditure drivers'!BJ314:BM327)</f>
        <v>21.702247738542997</v>
      </c>
      <c r="H1516" s="229">
        <v>8.7095004610416584</v>
      </c>
      <c r="I1516" s="229">
        <v>14.155424522800233</v>
      </c>
      <c r="J1516" s="229">
        <v>35.58182457902884</v>
      </c>
      <c r="K1516" s="229">
        <v>57.030012172937397</v>
      </c>
      <c r="L1516" s="229">
        <v>6.517276258659189</v>
      </c>
      <c r="M1516" s="229">
        <v>17.980439266421325</v>
      </c>
      <c r="N1516" s="229">
        <v>43.705400712132857</v>
      </c>
      <c r="O1516" s="229">
        <v>27.799905010102016</v>
      </c>
      <c r="P1516" s="229">
        <v>53.004977768473474</v>
      </c>
      <c r="Q1516" s="229">
        <v>17.310015751145279</v>
      </c>
      <c r="R1516" s="229">
        <v>26.059747281717534</v>
      </c>
      <c r="S1516" s="229">
        <v>11.717328331823042</v>
      </c>
      <c r="T1516" s="229">
        <v>44.682053960371341</v>
      </c>
      <c r="U1516" s="229">
        <f>AVERAGE(G1516:T1516)</f>
        <v>27.568296701085508</v>
      </c>
      <c r="V1516" t="str">
        <f t="shared" ref="V1516:V1519" si="168">CONCATENATE(A1516,B1516,C1516,D1516,E1516)</f>
        <v>2021/22Expenditure driversReinforcementAllowance</v>
      </c>
    </row>
    <row r="1517" spans="1:22">
      <c r="A1517" t="s">
        <v>142</v>
      </c>
      <c r="C1517" t="s">
        <v>1344</v>
      </c>
      <c r="D1517" t="s">
        <v>62</v>
      </c>
      <c r="E1517" t="s">
        <v>298</v>
      </c>
      <c r="F1517" t="s">
        <v>1289</v>
      </c>
      <c r="G1517" s="229">
        <v>21.106372403606688</v>
      </c>
      <c r="H1517" s="229">
        <v>8.6992799199999986</v>
      </c>
      <c r="I1517" s="229">
        <v>11.622276940000001</v>
      </c>
      <c r="J1517" s="229">
        <v>56.447600000000001</v>
      </c>
      <c r="K1517" s="229">
        <v>32.293199999999999</v>
      </c>
      <c r="L1517" s="229">
        <v>12.993</v>
      </c>
      <c r="M1517" s="229">
        <v>12.875600000000002</v>
      </c>
      <c r="N1517" s="229">
        <v>17.431485863057485</v>
      </c>
      <c r="O1517" s="229">
        <v>15.980370612531267</v>
      </c>
      <c r="P1517" s="229">
        <v>9.8358349945882466</v>
      </c>
      <c r="Q1517" s="229">
        <v>21.785221548498566</v>
      </c>
      <c r="R1517" s="229">
        <v>25.387338800296941</v>
      </c>
      <c r="S1517" s="229">
        <v>13.655067839999999</v>
      </c>
      <c r="T1517" s="229">
        <v>18.077543819999999</v>
      </c>
      <c r="U1517" s="229">
        <f>AVERAGE(G1517:T1517)</f>
        <v>19.870728053041368</v>
      </c>
      <c r="V1517" t="str">
        <f t="shared" si="168"/>
        <v>2021/22Expenditure driversReinforcementActual</v>
      </c>
    </row>
    <row r="1518" spans="1:22">
      <c r="A1518" t="s">
        <v>142</v>
      </c>
      <c r="C1518" t="s">
        <v>1344</v>
      </c>
      <c r="D1518" t="s">
        <v>62</v>
      </c>
      <c r="E1518" t="s">
        <v>602</v>
      </c>
      <c r="F1518" t="s">
        <v>1289</v>
      </c>
      <c r="G1518" s="229">
        <v>-0.59587533493630929</v>
      </c>
      <c r="H1518" s="229">
        <v>-1.0220541041659814E-2</v>
      </c>
      <c r="I1518" s="229">
        <v>-2.5331475828002326</v>
      </c>
      <c r="J1518" s="229">
        <v>20.865775420971161</v>
      </c>
      <c r="K1518" s="229">
        <v>-24.736812172937398</v>
      </c>
      <c r="L1518" s="229">
        <v>6.4757237413408113</v>
      </c>
      <c r="M1518" s="229">
        <v>-5.1048392664213225</v>
      </c>
      <c r="N1518" s="229">
        <v>-26.273914849075371</v>
      </c>
      <c r="O1518" s="229">
        <v>-11.819534397570749</v>
      </c>
      <c r="P1518" s="229">
        <v>-43.169142773885227</v>
      </c>
      <c r="Q1518" s="229">
        <v>4.4752057973532864</v>
      </c>
      <c r="R1518" s="229">
        <v>-0.67240848142059306</v>
      </c>
      <c r="S1518" s="229">
        <v>1.9377395081769571</v>
      </c>
      <c r="T1518" s="229">
        <v>-26.604510140371342</v>
      </c>
      <c r="U1518" s="229">
        <f>U1517-U1516</f>
        <v>-7.6975686480441396</v>
      </c>
      <c r="V1518" t="str">
        <f t="shared" si="168"/>
        <v>2021/22Expenditure driversReinforcementDifference</v>
      </c>
    </row>
    <row r="1519" spans="1:22">
      <c r="A1519" t="s">
        <v>142</v>
      </c>
      <c r="C1519" t="s">
        <v>1344</v>
      </c>
      <c r="D1519" t="s">
        <v>62</v>
      </c>
      <c r="E1519" t="s">
        <v>1346</v>
      </c>
      <c r="F1519" t="s">
        <v>606</v>
      </c>
      <c r="G1519" s="829">
        <v>-2.7456848807326073E-2</v>
      </c>
      <c r="H1519" s="829">
        <v>-1.1734933693817653E-3</v>
      </c>
      <c r="I1519" s="829">
        <v>-0.1789524276520337</v>
      </c>
      <c r="J1519" s="829">
        <v>0.58641667952207821</v>
      </c>
      <c r="K1519" s="829">
        <v>-0.4337507784134022</v>
      </c>
      <c r="L1519" s="829">
        <v>0.99362425104150387</v>
      </c>
      <c r="M1519" s="829">
        <v>-0.28391070934260587</v>
      </c>
      <c r="N1519" s="829">
        <v>-0.60115945446031771</v>
      </c>
      <c r="O1519" s="829">
        <v>-0.42516456057226559</v>
      </c>
      <c r="P1519" s="829">
        <v>-0.81443563588402357</v>
      </c>
      <c r="Q1519" s="829">
        <v>0.25853273975543289</v>
      </c>
      <c r="R1519" s="829">
        <v>-2.5802571074521805E-2</v>
      </c>
      <c r="S1519" s="829">
        <v>0.16537383380426907</v>
      </c>
      <c r="T1519" s="829">
        <v>-0.59541824473796501</v>
      </c>
      <c r="U1519" s="829">
        <f>U1518/U1516</f>
        <v>-0.27921814436004116</v>
      </c>
      <c r="V1519" t="str">
        <f t="shared" si="168"/>
        <v>2021/22Expenditure driversReinforcementDifference %</v>
      </c>
    </row>
    <row r="1520" spans="1:22">
      <c r="A1520" t="s">
        <v>137</v>
      </c>
      <c r="C1520" t="s">
        <v>1344</v>
      </c>
      <c r="D1520" t="s">
        <v>64</v>
      </c>
      <c r="E1520" t="s">
        <v>1347</v>
      </c>
      <c r="F1520" t="s">
        <v>1289</v>
      </c>
      <c r="G1520">
        <f t="array" ref="G1520:T1527">TRANSPOSE('Ch4 expenditure drivers'!E334:L347)</f>
        <v>0</v>
      </c>
      <c r="H1520">
        <v>0.60481742992574461</v>
      </c>
      <c r="I1520">
        <v>0</v>
      </c>
      <c r="J1520">
        <v>0</v>
      </c>
      <c r="K1520">
        <v>0</v>
      </c>
      <c r="L1520">
        <v>0</v>
      </c>
      <c r="M1520">
        <v>0</v>
      </c>
      <c r="N1520">
        <v>0</v>
      </c>
      <c r="O1520">
        <v>0</v>
      </c>
      <c r="P1520">
        <v>0</v>
      </c>
      <c r="Q1520">
        <v>0.25636867046135975</v>
      </c>
      <c r="R1520">
        <v>0</v>
      </c>
      <c r="S1520">
        <v>0.64339022330072571</v>
      </c>
      <c r="T1520">
        <v>0</v>
      </c>
      <c r="U1520">
        <f>AVERAGE(G1520:T1520)</f>
        <v>0.10746973740627357</v>
      </c>
      <c r="V1520" t="str">
        <f t="shared" si="164"/>
        <v>2015/16Expenditure driversTransmission Connection PointBPDT</v>
      </c>
    </row>
    <row r="1521" spans="1:22">
      <c r="A1521" t="s">
        <v>138</v>
      </c>
      <c r="C1521" t="s">
        <v>1344</v>
      </c>
      <c r="D1521" t="s">
        <v>64</v>
      </c>
      <c r="E1521" t="s">
        <v>1347</v>
      </c>
      <c r="F1521" t="s">
        <v>1289</v>
      </c>
      <c r="G1521">
        <v>0</v>
      </c>
      <c r="H1521">
        <v>2.5461522990739422</v>
      </c>
      <c r="I1521">
        <v>0</v>
      </c>
      <c r="J1521">
        <v>0</v>
      </c>
      <c r="K1521">
        <v>0</v>
      </c>
      <c r="L1521">
        <v>0</v>
      </c>
      <c r="M1521">
        <v>0</v>
      </c>
      <c r="N1521">
        <v>3.0217169272803903</v>
      </c>
      <c r="O1521">
        <v>2.2210910747531076</v>
      </c>
      <c r="P1521">
        <v>0.81353917272933596</v>
      </c>
      <c r="Q1521">
        <v>0.89924747309748265</v>
      </c>
      <c r="R1521">
        <v>0</v>
      </c>
      <c r="S1521">
        <v>3.7771667158728075</v>
      </c>
      <c r="T1521">
        <v>0</v>
      </c>
      <c r="U1521">
        <f t="shared" ref="U1521:U1552" si="169">AVERAGE(G1521:T1521)</f>
        <v>0.94849383305764756</v>
      </c>
      <c r="V1521" t="str">
        <f t="shared" ref="V1521:V1589" si="170">CONCATENATE(A1521,B1521,C1521,D1521,E1521)</f>
        <v>2016/17Expenditure driversTransmission Connection PointBPDT</v>
      </c>
    </row>
    <row r="1522" spans="1:22">
      <c r="A1522" t="s">
        <v>139</v>
      </c>
      <c r="C1522" t="s">
        <v>1344</v>
      </c>
      <c r="D1522" t="s">
        <v>64</v>
      </c>
      <c r="E1522" t="s">
        <v>1347</v>
      </c>
      <c r="F1522" t="s">
        <v>1289</v>
      </c>
      <c r="G1522">
        <v>0</v>
      </c>
      <c r="H1522">
        <v>2.5811187134020543</v>
      </c>
      <c r="I1522">
        <v>0</v>
      </c>
      <c r="J1522">
        <v>0</v>
      </c>
      <c r="K1522">
        <v>0</v>
      </c>
      <c r="L1522">
        <v>0</v>
      </c>
      <c r="M1522">
        <v>0</v>
      </c>
      <c r="N1522">
        <v>7.1292395370631754</v>
      </c>
      <c r="O1522">
        <v>4.4704372234235272</v>
      </c>
      <c r="P1522">
        <v>3.2583361686760401</v>
      </c>
      <c r="Q1522">
        <v>0</v>
      </c>
      <c r="R1522">
        <v>0</v>
      </c>
      <c r="S1522">
        <v>4.5873238414026041</v>
      </c>
      <c r="T1522">
        <v>0</v>
      </c>
      <c r="U1522">
        <f t="shared" si="169"/>
        <v>1.5733182488548143</v>
      </c>
      <c r="V1522" t="str">
        <f t="shared" si="170"/>
        <v>2017/18Expenditure driversTransmission Connection PointBPDT</v>
      </c>
    </row>
    <row r="1523" spans="1:22">
      <c r="A1523" t="s">
        <v>140</v>
      </c>
      <c r="C1523" t="s">
        <v>1344</v>
      </c>
      <c r="D1523" t="s">
        <v>64</v>
      </c>
      <c r="E1523" t="s">
        <v>1347</v>
      </c>
      <c r="F1523" t="s">
        <v>1289</v>
      </c>
      <c r="G1523">
        <v>0</v>
      </c>
      <c r="H1523">
        <v>1.2669614157730722</v>
      </c>
      <c r="I1523">
        <v>0</v>
      </c>
      <c r="J1523">
        <v>0.50440583042197007</v>
      </c>
      <c r="K1523">
        <v>0</v>
      </c>
      <c r="L1523">
        <v>0</v>
      </c>
      <c r="M1523">
        <v>0</v>
      </c>
      <c r="N1523">
        <v>8.0376564513456348</v>
      </c>
      <c r="O1523">
        <v>4.5121377460090883</v>
      </c>
      <c r="P1523">
        <v>2.302111094902596</v>
      </c>
      <c r="Q1523">
        <v>0.51201468847377374</v>
      </c>
      <c r="R1523">
        <v>0</v>
      </c>
      <c r="S1523">
        <v>6.7093683758009455</v>
      </c>
      <c r="T1523">
        <v>0</v>
      </c>
      <c r="U1523">
        <f t="shared" si="169"/>
        <v>1.7031896859090772</v>
      </c>
      <c r="V1523" t="str">
        <f t="shared" si="170"/>
        <v>2018/19Expenditure driversTransmission Connection PointBPDT</v>
      </c>
    </row>
    <row r="1524" spans="1:22">
      <c r="A1524" t="s">
        <v>141</v>
      </c>
      <c r="C1524" t="s">
        <v>1344</v>
      </c>
      <c r="D1524" t="s">
        <v>64</v>
      </c>
      <c r="E1524" t="s">
        <v>1347</v>
      </c>
      <c r="F1524" t="s">
        <v>1289</v>
      </c>
      <c r="G1524">
        <v>0</v>
      </c>
      <c r="H1524">
        <v>1.2859888100780854</v>
      </c>
      <c r="I1524">
        <v>0</v>
      </c>
      <c r="J1524">
        <v>0.51189316448519107</v>
      </c>
      <c r="K1524">
        <v>0</v>
      </c>
      <c r="L1524">
        <v>0</v>
      </c>
      <c r="M1524">
        <v>0</v>
      </c>
      <c r="N1524">
        <v>8.1128980995417095</v>
      </c>
      <c r="O1524">
        <v>4.5543765108720233</v>
      </c>
      <c r="P1524">
        <v>2.3236614851387873</v>
      </c>
      <c r="Q1524">
        <v>2.5684874300260101</v>
      </c>
      <c r="R1524">
        <v>0</v>
      </c>
      <c r="S1524">
        <v>10.659343537984615</v>
      </c>
      <c r="T1524">
        <v>3.6758314605042712</v>
      </c>
      <c r="U1524">
        <f t="shared" si="169"/>
        <v>2.4066057499021922</v>
      </c>
      <c r="V1524" t="str">
        <f t="shared" si="170"/>
        <v>2019/20Expenditure driversTransmission Connection PointBPDT</v>
      </c>
    </row>
    <row r="1525" spans="1:22">
      <c r="A1525" t="s">
        <v>126</v>
      </c>
      <c r="C1525" t="s">
        <v>1344</v>
      </c>
      <c r="D1525" t="s">
        <v>64</v>
      </c>
      <c r="E1525" t="s">
        <v>1347</v>
      </c>
      <c r="F1525" t="s">
        <v>1289</v>
      </c>
      <c r="G1525">
        <v>2.1325916732666923</v>
      </c>
      <c r="H1525">
        <v>1.305275869155522</v>
      </c>
      <c r="I1525">
        <v>0</v>
      </c>
      <c r="J1525">
        <v>0.51857803208163478</v>
      </c>
      <c r="K1525">
        <v>0</v>
      </c>
      <c r="L1525">
        <v>0</v>
      </c>
      <c r="M1525">
        <v>0</v>
      </c>
      <c r="N1525">
        <v>8.1891095691241169</v>
      </c>
      <c r="O1525">
        <v>4.5971597090173022</v>
      </c>
      <c r="P1525">
        <v>2.3454896474578075</v>
      </c>
      <c r="Q1525">
        <v>3.2878136562478057</v>
      </c>
      <c r="R1525">
        <v>0</v>
      </c>
      <c r="S1525">
        <v>13.6702948716979</v>
      </c>
      <c r="T1525">
        <v>0.69424246231512488</v>
      </c>
      <c r="U1525">
        <f t="shared" si="169"/>
        <v>2.6243253921688501</v>
      </c>
      <c r="V1525" t="str">
        <f t="shared" si="170"/>
        <v>2020/21Expenditure driversTransmission Connection PointBPDT</v>
      </c>
    </row>
    <row r="1526" spans="1:22">
      <c r="A1526" t="s">
        <v>142</v>
      </c>
      <c r="C1526" t="s">
        <v>1344</v>
      </c>
      <c r="D1526" t="s">
        <v>64</v>
      </c>
      <c r="E1526" t="s">
        <v>1347</v>
      </c>
      <c r="F1526" t="s">
        <v>1289</v>
      </c>
      <c r="G1526">
        <v>2.1273672099705889</v>
      </c>
      <c r="H1526">
        <v>1.3258315328086718</v>
      </c>
      <c r="I1526">
        <v>0</v>
      </c>
      <c r="J1526">
        <v>0.52641806169741179</v>
      </c>
      <c r="K1526">
        <v>0.52923671252376858</v>
      </c>
      <c r="L1526">
        <v>0</v>
      </c>
      <c r="M1526">
        <v>0</v>
      </c>
      <c r="N1526">
        <v>9.0915793167348031</v>
      </c>
      <c r="O1526">
        <v>4.6404936095833893</v>
      </c>
      <c r="P1526">
        <v>3.2064052054555781</v>
      </c>
      <c r="Q1526">
        <v>0.77393569532244411</v>
      </c>
      <c r="R1526">
        <v>0</v>
      </c>
      <c r="S1526">
        <v>15.041299968623452</v>
      </c>
      <c r="T1526">
        <v>0.69087744953482566</v>
      </c>
      <c r="U1526">
        <f t="shared" si="169"/>
        <v>2.7109603401610665</v>
      </c>
      <c r="V1526" t="str">
        <f t="shared" si="170"/>
        <v>2021/22Expenditure driversTransmission Connection PointBPDT</v>
      </c>
    </row>
    <row r="1527" spans="1:22">
      <c r="A1527" t="s">
        <v>143</v>
      </c>
      <c r="C1527" t="s">
        <v>1344</v>
      </c>
      <c r="D1527" t="s">
        <v>64</v>
      </c>
      <c r="E1527" t="s">
        <v>1347</v>
      </c>
      <c r="F1527" t="s">
        <v>1289</v>
      </c>
      <c r="G1527">
        <v>4.2307799091355971</v>
      </c>
      <c r="H1527">
        <v>1.3459562748366389</v>
      </c>
      <c r="I1527">
        <v>0</v>
      </c>
      <c r="J1527">
        <v>0.53498199150327974</v>
      </c>
      <c r="K1527">
        <v>0.53621552012617846</v>
      </c>
      <c r="L1527">
        <v>0</v>
      </c>
      <c r="M1527">
        <v>0</v>
      </c>
      <c r="N1527">
        <v>11.553904776768279</v>
      </c>
      <c r="O1527">
        <v>4.6843845607937595</v>
      </c>
      <c r="P1527">
        <v>5.0531262026055135</v>
      </c>
      <c r="Q1527">
        <v>2.3288990535844971</v>
      </c>
      <c r="R1527">
        <v>0</v>
      </c>
      <c r="S1527">
        <v>16.430946739240422</v>
      </c>
      <c r="T1527">
        <v>0.68876769904011514</v>
      </c>
      <c r="U1527">
        <f t="shared" si="169"/>
        <v>3.3848544805453051</v>
      </c>
      <c r="V1527" t="str">
        <f t="shared" si="170"/>
        <v>2022/23Expenditure driversTransmission Connection PointBPDT</v>
      </c>
    </row>
    <row r="1528" spans="1:22">
      <c r="A1528" t="s">
        <v>137</v>
      </c>
      <c r="C1528" t="s">
        <v>1344</v>
      </c>
      <c r="D1528" t="s">
        <v>64</v>
      </c>
      <c r="E1528" t="s">
        <v>1348</v>
      </c>
      <c r="F1528" t="s">
        <v>1289</v>
      </c>
      <c r="G1528">
        <f t="array" ref="G1528:T1535">TRANSPOSE('Ch4 expenditure drivers'!N334:U347)</f>
        <v>0.66483278848525929</v>
      </c>
      <c r="H1528">
        <v>1.7137553336079885</v>
      </c>
      <c r="I1528">
        <v>0</v>
      </c>
      <c r="J1528">
        <v>0</v>
      </c>
      <c r="K1528">
        <v>0</v>
      </c>
      <c r="L1528">
        <v>0</v>
      </c>
      <c r="M1528">
        <v>0</v>
      </c>
      <c r="N1528">
        <v>5.1153467029675426</v>
      </c>
      <c r="O1528">
        <v>2.5881982258836156</v>
      </c>
      <c r="P1528">
        <v>1.6113759948086908</v>
      </c>
      <c r="Q1528">
        <v>1.0929210331490766</v>
      </c>
      <c r="R1528">
        <v>0</v>
      </c>
      <c r="S1528">
        <v>3.422387328162237</v>
      </c>
      <c r="T1528">
        <v>0.46397590331902905</v>
      </c>
      <c r="U1528">
        <f t="shared" si="169"/>
        <v>1.1909138078845314</v>
      </c>
      <c r="V1528" t="str">
        <f t="shared" si="170"/>
        <v>2015/16Expenditure driversTransmission Connection PointDNO Baseline</v>
      </c>
    </row>
    <row r="1529" spans="1:22">
      <c r="A1529" t="s">
        <v>138</v>
      </c>
      <c r="C1529" t="s">
        <v>1344</v>
      </c>
      <c r="D1529" t="s">
        <v>64</v>
      </c>
      <c r="E1529" t="s">
        <v>1348</v>
      </c>
      <c r="F1529" t="s">
        <v>1289</v>
      </c>
      <c r="G1529">
        <v>0.82928002541265311</v>
      </c>
      <c r="H1529">
        <v>1.9916017727629345</v>
      </c>
      <c r="I1529">
        <v>0</v>
      </c>
      <c r="J1529">
        <v>0</v>
      </c>
      <c r="K1529">
        <v>0</v>
      </c>
      <c r="L1529">
        <v>0</v>
      </c>
      <c r="M1529">
        <v>0</v>
      </c>
      <c r="N1529">
        <v>5.4900417467427536</v>
      </c>
      <c r="O1529">
        <v>3.9282857025012237</v>
      </c>
      <c r="P1529">
        <v>1.9370814044592928</v>
      </c>
      <c r="Q1529">
        <v>1.3534425809226402</v>
      </c>
      <c r="R1529">
        <v>0</v>
      </c>
      <c r="S1529">
        <v>4.8546219243579003</v>
      </c>
      <c r="T1529">
        <v>0.58633686572782395</v>
      </c>
      <c r="U1529">
        <f t="shared" si="169"/>
        <v>1.4979065730633729</v>
      </c>
      <c r="V1529" t="str">
        <f t="shared" si="170"/>
        <v>2016/17Expenditure driversTransmission Connection PointDNO Baseline</v>
      </c>
    </row>
    <row r="1530" spans="1:22">
      <c r="A1530" t="s">
        <v>139</v>
      </c>
      <c r="C1530" t="s">
        <v>1344</v>
      </c>
      <c r="D1530" t="s">
        <v>64</v>
      </c>
      <c r="E1530" t="s">
        <v>1348</v>
      </c>
      <c r="F1530" t="s">
        <v>1289</v>
      </c>
      <c r="G1530">
        <v>0.54689706638172941</v>
      </c>
      <c r="H1530">
        <v>1.7719550539612239</v>
      </c>
      <c r="I1530">
        <v>0</v>
      </c>
      <c r="J1530">
        <v>0</v>
      </c>
      <c r="K1530">
        <v>0</v>
      </c>
      <c r="L1530">
        <v>0</v>
      </c>
      <c r="M1530">
        <v>0</v>
      </c>
      <c r="N1530">
        <v>6.8832800177531723</v>
      </c>
      <c r="O1530">
        <v>4.5889235508432726</v>
      </c>
      <c r="P1530">
        <v>2.5230548843059974</v>
      </c>
      <c r="Q1530">
        <v>1.372747772603528</v>
      </c>
      <c r="R1530">
        <v>0</v>
      </c>
      <c r="S1530">
        <v>6.4188257702258138</v>
      </c>
      <c r="T1530">
        <v>0.46573297400411162</v>
      </c>
      <c r="U1530">
        <f t="shared" si="169"/>
        <v>1.7551012207199175</v>
      </c>
      <c r="V1530" t="str">
        <f t="shared" si="170"/>
        <v>2017/18Expenditure driversTransmission Connection PointDNO Baseline</v>
      </c>
    </row>
    <row r="1531" spans="1:22">
      <c r="A1531" t="s">
        <v>140</v>
      </c>
      <c r="C1531" t="s">
        <v>1344</v>
      </c>
      <c r="D1531" t="s">
        <v>64</v>
      </c>
      <c r="E1531" t="s">
        <v>1348</v>
      </c>
      <c r="F1531" t="s">
        <v>1289</v>
      </c>
      <c r="G1531">
        <v>0.70692829928864853</v>
      </c>
      <c r="H1531">
        <v>1.3802347703060287</v>
      </c>
      <c r="I1531">
        <v>0</v>
      </c>
      <c r="J1531">
        <v>0.50440583042197007</v>
      </c>
      <c r="K1531">
        <v>0</v>
      </c>
      <c r="L1531">
        <v>0</v>
      </c>
      <c r="M1531">
        <v>0</v>
      </c>
      <c r="N1531">
        <v>6.6321095394624541</v>
      </c>
      <c r="O1531">
        <v>3.6711910321437786</v>
      </c>
      <c r="P1531">
        <v>2.0495164678401405</v>
      </c>
      <c r="Q1531">
        <v>1.1897862662568945</v>
      </c>
      <c r="R1531">
        <v>0</v>
      </c>
      <c r="S1531">
        <v>7.3266973101130031</v>
      </c>
      <c r="T1531">
        <v>0.52946646210777992</v>
      </c>
      <c r="U1531">
        <f t="shared" si="169"/>
        <v>1.7135954269957643</v>
      </c>
      <c r="V1531" t="str">
        <f t="shared" si="170"/>
        <v>2018/19Expenditure driversTransmission Connection PointDNO Baseline</v>
      </c>
    </row>
    <row r="1532" spans="1:22">
      <c r="A1532" t="s">
        <v>141</v>
      </c>
      <c r="C1532" t="s">
        <v>1344</v>
      </c>
      <c r="D1532" t="s">
        <v>64</v>
      </c>
      <c r="E1532" t="s">
        <v>1348</v>
      </c>
      <c r="F1532" t="s">
        <v>1289</v>
      </c>
      <c r="G1532">
        <v>0.66062831688302504</v>
      </c>
      <c r="H1532">
        <v>1.6284939992940632</v>
      </c>
      <c r="I1532">
        <v>0</v>
      </c>
      <c r="J1532">
        <v>0.51189316448519107</v>
      </c>
      <c r="K1532">
        <v>0</v>
      </c>
      <c r="L1532">
        <v>0</v>
      </c>
      <c r="M1532">
        <v>0</v>
      </c>
      <c r="N1532">
        <v>7.3054385658035139</v>
      </c>
      <c r="O1532">
        <v>3.2058867042353762</v>
      </c>
      <c r="P1532">
        <v>2.1497319796720724</v>
      </c>
      <c r="Q1532">
        <v>1.4238643243584159</v>
      </c>
      <c r="R1532">
        <v>0</v>
      </c>
      <c r="S1532">
        <v>9.8368773284010782</v>
      </c>
      <c r="T1532">
        <v>1.2370758599154406</v>
      </c>
      <c r="U1532">
        <f t="shared" si="169"/>
        <v>1.997135017360584</v>
      </c>
      <c r="V1532" t="str">
        <f t="shared" si="170"/>
        <v>2019/20Expenditure driversTransmission Connection PointDNO Baseline</v>
      </c>
    </row>
    <row r="1533" spans="1:22">
      <c r="A1533" t="s">
        <v>126</v>
      </c>
      <c r="C1533" t="s">
        <v>1344</v>
      </c>
      <c r="D1533" t="s">
        <v>64</v>
      </c>
      <c r="E1533" t="s">
        <v>1348</v>
      </c>
      <c r="F1533" t="s">
        <v>1289</v>
      </c>
      <c r="G1533">
        <v>1.2447912236112291</v>
      </c>
      <c r="H1533">
        <v>1.4083762448236727</v>
      </c>
      <c r="I1533">
        <v>0</v>
      </c>
      <c r="J1533">
        <v>0.51857803208163478</v>
      </c>
      <c r="K1533">
        <v>0</v>
      </c>
      <c r="L1533">
        <v>0</v>
      </c>
      <c r="M1533">
        <v>0</v>
      </c>
      <c r="N1533">
        <v>7.1644955279625293</v>
      </c>
      <c r="O1533">
        <v>3.1876790589699224</v>
      </c>
      <c r="P1533">
        <v>2.3136917842928071</v>
      </c>
      <c r="Q1533">
        <v>1.5457076498170879</v>
      </c>
      <c r="R1533">
        <v>0</v>
      </c>
      <c r="S1533">
        <v>10.397797071648306</v>
      </c>
      <c r="T1533">
        <v>0.65221579242181915</v>
      </c>
      <c r="U1533">
        <f t="shared" si="169"/>
        <v>2.0309523132592151</v>
      </c>
      <c r="V1533" t="str">
        <f t="shared" si="170"/>
        <v>2020/21Expenditure driversTransmission Connection PointDNO Baseline</v>
      </c>
    </row>
    <row r="1534" spans="1:22">
      <c r="A1534" t="s">
        <v>142</v>
      </c>
      <c r="C1534" t="s">
        <v>1344</v>
      </c>
      <c r="D1534" t="s">
        <v>64</v>
      </c>
      <c r="E1534" t="s">
        <v>1348</v>
      </c>
      <c r="F1534" t="s">
        <v>1289</v>
      </c>
      <c r="G1534">
        <v>1.4924815556941813</v>
      </c>
      <c r="H1534">
        <v>0.99296800947648378</v>
      </c>
      <c r="I1534">
        <v>0</v>
      </c>
      <c r="J1534">
        <v>0.52641806169741179</v>
      </c>
      <c r="K1534">
        <v>0.52923671252376858</v>
      </c>
      <c r="L1534">
        <v>0</v>
      </c>
      <c r="M1534">
        <v>0</v>
      </c>
      <c r="N1534">
        <v>6.733032019014674</v>
      </c>
      <c r="O1534">
        <v>3.8445243849791901</v>
      </c>
      <c r="P1534">
        <v>2.6086967154760621</v>
      </c>
      <c r="Q1534">
        <v>0.9442051304878315</v>
      </c>
      <c r="R1534">
        <v>0</v>
      </c>
      <c r="S1534">
        <v>12.11878152164171</v>
      </c>
      <c r="T1534">
        <v>0.84722307260446128</v>
      </c>
      <c r="U1534">
        <f t="shared" si="169"/>
        <v>2.1883976559711269</v>
      </c>
      <c r="V1534" t="str">
        <f t="shared" si="170"/>
        <v>2021/22Expenditure driversTransmission Connection PointDNO Baseline</v>
      </c>
    </row>
    <row r="1535" spans="1:22">
      <c r="A1535" t="s">
        <v>143</v>
      </c>
      <c r="C1535" t="s">
        <v>1344</v>
      </c>
      <c r="D1535" t="s">
        <v>64</v>
      </c>
      <c r="E1535" t="s">
        <v>1348</v>
      </c>
      <c r="F1535" t="s">
        <v>1289</v>
      </c>
      <c r="G1535">
        <v>1.8869715320700005</v>
      </c>
      <c r="H1535">
        <v>0.97527919306474731</v>
      </c>
      <c r="I1535">
        <v>0</v>
      </c>
      <c r="J1535">
        <v>0.53498199150327974</v>
      </c>
      <c r="K1535">
        <v>0.53621552012617846</v>
      </c>
      <c r="L1535">
        <v>0</v>
      </c>
      <c r="M1535">
        <v>0</v>
      </c>
      <c r="N1535">
        <v>7.2412253825858404</v>
      </c>
      <c r="O1535">
        <v>3.6611518086228072</v>
      </c>
      <c r="P1535">
        <v>2.8588001202450997</v>
      </c>
      <c r="Q1535">
        <v>1.2381591391781264</v>
      </c>
      <c r="R1535">
        <v>0</v>
      </c>
      <c r="S1535">
        <v>11.966028444837271</v>
      </c>
      <c r="T1535">
        <v>0.755770372676974</v>
      </c>
      <c r="U1535">
        <f t="shared" si="169"/>
        <v>2.2610416789221661</v>
      </c>
      <c r="V1535" t="str">
        <f t="shared" si="170"/>
        <v>2022/23Expenditure driversTransmission Connection PointDNO Baseline</v>
      </c>
    </row>
    <row r="1536" spans="1:22">
      <c r="A1536" t="s">
        <v>137</v>
      </c>
      <c r="C1536" t="s">
        <v>1344</v>
      </c>
      <c r="D1536" t="s">
        <v>64</v>
      </c>
      <c r="E1536" t="s">
        <v>1349</v>
      </c>
      <c r="F1536" t="s">
        <v>1289</v>
      </c>
      <c r="G1536" cm="1">
        <f t="array" ref="G1536:T1542">TRANSPOSE('Ch4 expenditure drivers'!W334:AC347)</f>
        <v>0</v>
      </c>
      <c r="H1536">
        <v>0.51287530124223779</v>
      </c>
      <c r="I1536">
        <v>0</v>
      </c>
      <c r="J1536">
        <v>0</v>
      </c>
      <c r="K1536">
        <v>0</v>
      </c>
      <c r="L1536">
        <v>0</v>
      </c>
      <c r="M1536">
        <v>0</v>
      </c>
      <c r="N1536">
        <v>0</v>
      </c>
      <c r="O1536">
        <v>0</v>
      </c>
      <c r="P1536">
        <v>0</v>
      </c>
      <c r="Q1536">
        <v>0.1632632242225267</v>
      </c>
      <c r="R1536">
        <v>0</v>
      </c>
      <c r="S1536">
        <v>0</v>
      </c>
      <c r="T1536">
        <v>0</v>
      </c>
      <c r="U1536">
        <f t="shared" si="169"/>
        <v>4.8295608961768891E-2</v>
      </c>
      <c r="V1536" t="str">
        <f t="shared" si="170"/>
        <v>2015/16Expenditure driversTransmission Connection PointDNO Actual</v>
      </c>
    </row>
    <row r="1537" spans="1:22">
      <c r="A1537" t="s">
        <v>138</v>
      </c>
      <c r="C1537" t="s">
        <v>1344</v>
      </c>
      <c r="D1537" t="s">
        <v>64</v>
      </c>
      <c r="E1537" t="s">
        <v>1349</v>
      </c>
      <c r="F1537" t="s">
        <v>1289</v>
      </c>
      <c r="G1537">
        <v>0</v>
      </c>
      <c r="H1537">
        <v>1.1369813386736958</v>
      </c>
      <c r="I1537">
        <v>2.7645990005736022E-2</v>
      </c>
      <c r="J1537">
        <v>0</v>
      </c>
      <c r="K1537">
        <v>0</v>
      </c>
      <c r="L1537">
        <v>0</v>
      </c>
      <c r="M1537">
        <v>0</v>
      </c>
      <c r="N1537">
        <v>0</v>
      </c>
      <c r="O1537">
        <v>0</v>
      </c>
      <c r="P1537">
        <v>0</v>
      </c>
      <c r="Q1537">
        <v>0.34882376784996277</v>
      </c>
      <c r="R1537">
        <v>0</v>
      </c>
      <c r="S1537">
        <v>4.0626524574326764E-2</v>
      </c>
      <c r="T1537">
        <v>0</v>
      </c>
      <c r="U1537">
        <f t="shared" si="169"/>
        <v>0.11100554436455153</v>
      </c>
      <c r="V1537" t="str">
        <f t="shared" si="170"/>
        <v>2016/17Expenditure driversTransmission Connection PointDNO Actual</v>
      </c>
    </row>
    <row r="1538" spans="1:22">
      <c r="A1538" t="s">
        <v>139</v>
      </c>
      <c r="C1538" t="s">
        <v>1344</v>
      </c>
      <c r="D1538" t="s">
        <v>64</v>
      </c>
      <c r="E1538" t="s">
        <v>1349</v>
      </c>
      <c r="F1538" t="s">
        <v>1289</v>
      </c>
      <c r="G1538">
        <v>0</v>
      </c>
      <c r="H1538">
        <v>0.65942077769100937</v>
      </c>
      <c r="I1538">
        <v>5.147709721070321E-3</v>
      </c>
      <c r="J1538">
        <v>0</v>
      </c>
      <c r="K1538">
        <v>0</v>
      </c>
      <c r="L1538">
        <v>0</v>
      </c>
      <c r="M1538">
        <v>0</v>
      </c>
      <c r="N1538">
        <v>0</v>
      </c>
      <c r="O1538">
        <v>0</v>
      </c>
      <c r="P1538">
        <v>0</v>
      </c>
      <c r="Q1538">
        <v>0.90140001545396597</v>
      </c>
      <c r="R1538">
        <v>0</v>
      </c>
      <c r="S1538">
        <v>0.31853152484869846</v>
      </c>
      <c r="T1538">
        <v>3.1692144280995822E-2</v>
      </c>
      <c r="U1538">
        <f t="shared" si="169"/>
        <v>0.13687086942826715</v>
      </c>
      <c r="V1538" t="str">
        <f t="shared" si="170"/>
        <v>2017/18Expenditure driversTransmission Connection PointDNO Actual</v>
      </c>
    </row>
    <row r="1539" spans="1:22">
      <c r="A1539" t="s">
        <v>140</v>
      </c>
      <c r="C1539" t="s">
        <v>1344</v>
      </c>
      <c r="D1539" t="s">
        <v>64</v>
      </c>
      <c r="E1539" t="s">
        <v>1349</v>
      </c>
      <c r="F1539" t="s">
        <v>1289</v>
      </c>
      <c r="G1539">
        <v>0</v>
      </c>
      <c r="H1539">
        <v>1.0037561603089218</v>
      </c>
      <c r="I1539">
        <v>1.0476887159134227E-2</v>
      </c>
      <c r="J1539">
        <v>0</v>
      </c>
      <c r="K1539">
        <v>0</v>
      </c>
      <c r="L1539">
        <v>0</v>
      </c>
      <c r="M1539">
        <v>0</v>
      </c>
      <c r="N1539">
        <v>0</v>
      </c>
      <c r="O1539">
        <v>0</v>
      </c>
      <c r="P1539">
        <v>0</v>
      </c>
      <c r="Q1539">
        <v>1.5382119430672385</v>
      </c>
      <c r="R1539">
        <v>0</v>
      </c>
      <c r="S1539">
        <v>0.52071533690654692</v>
      </c>
      <c r="T1539">
        <v>2.9275463578367218E-4</v>
      </c>
      <c r="U1539">
        <f>AVERAGE(G1539:T1539)</f>
        <v>0.21953236300554463</v>
      </c>
      <c r="V1539" t="str">
        <f t="shared" si="170"/>
        <v>2018/19Expenditure driversTransmission Connection PointDNO Actual</v>
      </c>
    </row>
    <row r="1540" spans="1:22">
      <c r="A1540" t="s">
        <v>141</v>
      </c>
      <c r="C1540" t="s">
        <v>1344</v>
      </c>
      <c r="D1540" t="s">
        <v>64</v>
      </c>
      <c r="E1540" t="s">
        <v>1349</v>
      </c>
      <c r="F1540" t="s">
        <v>1289</v>
      </c>
      <c r="G1540">
        <v>0</v>
      </c>
      <c r="H1540">
        <v>1.0003937073003899</v>
      </c>
      <c r="I1540">
        <v>0</v>
      </c>
      <c r="J1540">
        <v>0</v>
      </c>
      <c r="K1540">
        <v>0</v>
      </c>
      <c r="L1540">
        <v>0</v>
      </c>
      <c r="M1540">
        <v>0</v>
      </c>
      <c r="N1540">
        <v>0</v>
      </c>
      <c r="O1540">
        <v>0</v>
      </c>
      <c r="P1540">
        <v>0</v>
      </c>
      <c r="Q1540">
        <v>2.0471598767288937</v>
      </c>
      <c r="R1540">
        <v>0</v>
      </c>
      <c r="S1540">
        <v>2.6575616590542541</v>
      </c>
      <c r="T1540">
        <v>0.32282851443200461</v>
      </c>
      <c r="U1540">
        <f>AVERAGE(G1540:T1540)</f>
        <v>0.43056741125111014</v>
      </c>
      <c r="V1540" t="str">
        <f t="shared" si="170"/>
        <v>2019/20Expenditure driversTransmission Connection PointDNO Actual</v>
      </c>
    </row>
    <row r="1541" spans="1:22">
      <c r="A1541" t="s">
        <v>126</v>
      </c>
      <c r="C1541" t="s">
        <v>1344</v>
      </c>
      <c r="D1541" t="s">
        <v>64</v>
      </c>
      <c r="E1541" t="s">
        <v>1349</v>
      </c>
      <c r="F1541" t="s">
        <v>1289</v>
      </c>
      <c r="G1541">
        <v>0</v>
      </c>
      <c r="H1541">
        <v>0.99268319972097518</v>
      </c>
      <c r="I1541">
        <v>0</v>
      </c>
      <c r="J1541">
        <v>0</v>
      </c>
      <c r="K1541">
        <v>0</v>
      </c>
      <c r="L1541">
        <v>0</v>
      </c>
      <c r="M1541">
        <v>0</v>
      </c>
      <c r="N1541">
        <v>3.9531594118036359</v>
      </c>
      <c r="O1541">
        <v>0</v>
      </c>
      <c r="P1541">
        <v>0</v>
      </c>
      <c r="Q1541">
        <v>2.8505501556274466</v>
      </c>
      <c r="R1541">
        <v>0</v>
      </c>
      <c r="S1541">
        <v>2.6557199694006854</v>
      </c>
      <c r="T1541">
        <v>0.32734871349082106</v>
      </c>
      <c r="U1541">
        <f>AVERAGE(G1541:T1541)</f>
        <v>0.76996153214596885</v>
      </c>
      <c r="V1541" t="str">
        <f t="shared" si="170"/>
        <v>2020/21Expenditure driversTransmission Connection PointDNO Actual</v>
      </c>
    </row>
    <row r="1542" spans="1:22">
      <c r="A1542" t="s">
        <v>142</v>
      </c>
      <c r="C1542" t="s">
        <v>1344</v>
      </c>
      <c r="D1542" t="s">
        <v>64</v>
      </c>
      <c r="E1542" t="s">
        <v>1349</v>
      </c>
      <c r="F1542" t="s">
        <v>1289</v>
      </c>
      <c r="G1542">
        <v>0</v>
      </c>
      <c r="H1542">
        <v>0.69089155000000024</v>
      </c>
      <c r="I1542">
        <v>0</v>
      </c>
      <c r="J1542">
        <v>0</v>
      </c>
      <c r="K1542">
        <v>0</v>
      </c>
      <c r="L1542">
        <v>0</v>
      </c>
      <c r="M1542">
        <v>0</v>
      </c>
      <c r="N1542">
        <v>5.9584010000000003</v>
      </c>
      <c r="O1542">
        <v>0</v>
      </c>
      <c r="P1542">
        <v>1.55836409</v>
      </c>
      <c r="Q1542">
        <v>1.7061945802835252</v>
      </c>
      <c r="R1542">
        <v>0</v>
      </c>
      <c r="S1542">
        <v>2.072129577114886</v>
      </c>
      <c r="T1542">
        <v>9.6743483986663631E-3</v>
      </c>
      <c r="U1542">
        <f>AVERAGE(G1542:T1542)</f>
        <v>0.85683251041407704</v>
      </c>
      <c r="V1542" t="str">
        <f t="shared" ref="V1542" si="171">CONCATENATE(A1542,B1542,C1542,D1542,E1542)</f>
        <v>2021/22Expenditure driversTransmission Connection PointDNO Actual</v>
      </c>
    </row>
    <row r="1543" spans="1:22">
      <c r="A1543" t="s">
        <v>137</v>
      </c>
      <c r="C1543" t="s">
        <v>1344</v>
      </c>
      <c r="D1543" t="s">
        <v>64</v>
      </c>
      <c r="E1543" t="s">
        <v>297</v>
      </c>
      <c r="F1543" t="s">
        <v>1289</v>
      </c>
      <c r="G1543">
        <f t="array" ref="G1543:T1546">TRANSPOSE('Ch4 expenditure drivers'!AF334:AI347)</f>
        <v>0.66483278848525929</v>
      </c>
      <c r="H1543">
        <v>1.7137553336079885</v>
      </c>
      <c r="I1543">
        <v>0</v>
      </c>
      <c r="J1543">
        <v>0</v>
      </c>
      <c r="K1543">
        <v>0</v>
      </c>
      <c r="L1543">
        <v>0</v>
      </c>
      <c r="M1543">
        <v>0</v>
      </c>
      <c r="N1543">
        <v>5.1153467029675426</v>
      </c>
      <c r="O1543">
        <v>2.5881982258836156</v>
      </c>
      <c r="P1543">
        <v>1.6113759948086908</v>
      </c>
      <c r="Q1543">
        <v>1.0929210331490766</v>
      </c>
      <c r="R1543">
        <v>0</v>
      </c>
      <c r="S1543">
        <v>3.422387328162237</v>
      </c>
      <c r="T1543">
        <v>0.46397590331902905</v>
      </c>
      <c r="U1543">
        <f t="shared" si="169"/>
        <v>1.1909138078845314</v>
      </c>
      <c r="V1543" t="str">
        <f t="shared" si="170"/>
        <v>2015/16Expenditure driversTransmission Connection PointAllowance</v>
      </c>
    </row>
    <row r="1544" spans="1:22">
      <c r="A1544" t="s">
        <v>137</v>
      </c>
      <c r="C1544" t="s">
        <v>1344</v>
      </c>
      <c r="D1544" t="s">
        <v>64</v>
      </c>
      <c r="E1544" t="s">
        <v>298</v>
      </c>
      <c r="F1544" t="s">
        <v>1289</v>
      </c>
      <c r="G1544">
        <v>0</v>
      </c>
      <c r="H1544">
        <v>0.51287530124223779</v>
      </c>
      <c r="I1544">
        <v>0</v>
      </c>
      <c r="J1544">
        <v>0</v>
      </c>
      <c r="K1544">
        <v>0</v>
      </c>
      <c r="L1544">
        <v>0</v>
      </c>
      <c r="M1544">
        <v>0</v>
      </c>
      <c r="N1544">
        <v>0</v>
      </c>
      <c r="O1544">
        <v>0</v>
      </c>
      <c r="P1544">
        <v>0</v>
      </c>
      <c r="Q1544">
        <v>0.1632632242225267</v>
      </c>
      <c r="R1544">
        <v>0</v>
      </c>
      <c r="S1544">
        <v>0</v>
      </c>
      <c r="T1544">
        <v>0</v>
      </c>
      <c r="U1544">
        <f t="shared" si="169"/>
        <v>4.8295608961768891E-2</v>
      </c>
      <c r="V1544" t="str">
        <f t="shared" si="170"/>
        <v>2015/16Expenditure driversTransmission Connection PointActual</v>
      </c>
    </row>
    <row r="1545" spans="1:22">
      <c r="A1545" t="s">
        <v>137</v>
      </c>
      <c r="C1545" t="s">
        <v>1344</v>
      </c>
      <c r="D1545" t="s">
        <v>64</v>
      </c>
      <c r="E1545" t="s">
        <v>602</v>
      </c>
      <c r="F1545" t="s">
        <v>1289</v>
      </c>
      <c r="G1545">
        <v>-0.66483278848525929</v>
      </c>
      <c r="H1545">
        <v>-1.2008800323657507</v>
      </c>
      <c r="I1545">
        <v>0</v>
      </c>
      <c r="J1545">
        <v>0</v>
      </c>
      <c r="K1545">
        <v>0</v>
      </c>
      <c r="L1545">
        <v>0</v>
      </c>
      <c r="M1545">
        <v>0</v>
      </c>
      <c r="N1545">
        <v>-5.1153467029675426</v>
      </c>
      <c r="O1545">
        <v>-2.5881982258836156</v>
      </c>
      <c r="P1545">
        <v>-1.6113759948086908</v>
      </c>
      <c r="Q1545">
        <v>-0.92965780892654992</v>
      </c>
      <c r="R1545">
        <v>0</v>
      </c>
      <c r="S1545">
        <v>-3.422387328162237</v>
      </c>
      <c r="T1545">
        <v>-0.46397590331902905</v>
      </c>
      <c r="U1545">
        <f>U1544-U1543</f>
        <v>-1.1426181989227624</v>
      </c>
      <c r="V1545" t="str">
        <f t="shared" si="170"/>
        <v>2015/16Expenditure driversTransmission Connection PointDifference</v>
      </c>
    </row>
    <row r="1546" spans="1:22">
      <c r="A1546" t="s">
        <v>137</v>
      </c>
      <c r="C1546" t="s">
        <v>1344</v>
      </c>
      <c r="D1546" t="s">
        <v>64</v>
      </c>
      <c r="E1546" t="s">
        <v>1346</v>
      </c>
      <c r="F1546" t="s">
        <v>606</v>
      </c>
      <c r="G1546" s="829">
        <v>-1</v>
      </c>
      <c r="H1546" s="829">
        <v>-0.70073015022367535</v>
      </c>
      <c r="I1546" s="829" t="e">
        <v>#DIV/0!</v>
      </c>
      <c r="J1546" s="829" t="e">
        <v>#DIV/0!</v>
      </c>
      <c r="K1546" s="829" t="e">
        <v>#DIV/0!</v>
      </c>
      <c r="L1546" s="829" t="e">
        <v>#DIV/0!</v>
      </c>
      <c r="M1546" s="829" t="e">
        <v>#DIV/0!</v>
      </c>
      <c r="N1546" s="829">
        <v>-1</v>
      </c>
      <c r="O1546" s="829">
        <v>-1</v>
      </c>
      <c r="P1546" s="829">
        <v>-1</v>
      </c>
      <c r="Q1546" s="829">
        <v>-0.85061754758977426</v>
      </c>
      <c r="R1546" s="829" t="e">
        <v>#DIV/0!</v>
      </c>
      <c r="S1546" s="829">
        <v>-1</v>
      </c>
      <c r="T1546" s="829">
        <v>-1</v>
      </c>
      <c r="U1546" s="829">
        <f>U1545/U1543</f>
        <v>-0.95944659584763869</v>
      </c>
      <c r="V1546" t="str">
        <f t="shared" si="170"/>
        <v>2015/16Expenditure driversTransmission Connection PointDifference %</v>
      </c>
    </row>
    <row r="1547" spans="1:22">
      <c r="A1547" t="s">
        <v>138</v>
      </c>
      <c r="C1547" t="s">
        <v>1344</v>
      </c>
      <c r="D1547" t="s">
        <v>64</v>
      </c>
      <c r="E1547" t="s">
        <v>297</v>
      </c>
      <c r="F1547" t="s">
        <v>1289</v>
      </c>
      <c r="G1547">
        <f t="array" ref="G1547:T1550">TRANSPOSE('Ch4 expenditure drivers'!AK334:AN347)</f>
        <v>0.82928002541265311</v>
      </c>
      <c r="H1547">
        <v>1.9916017727629345</v>
      </c>
      <c r="I1547">
        <v>0</v>
      </c>
      <c r="J1547">
        <v>0</v>
      </c>
      <c r="K1547">
        <v>0</v>
      </c>
      <c r="L1547">
        <v>0</v>
      </c>
      <c r="M1547">
        <v>0</v>
      </c>
      <c r="N1547">
        <v>5.4900417467427536</v>
      </c>
      <c r="O1547">
        <v>3.9282857025012237</v>
      </c>
      <c r="P1547">
        <v>1.9370814044592928</v>
      </c>
      <c r="Q1547">
        <v>1.3534425809226402</v>
      </c>
      <c r="R1547">
        <v>0</v>
      </c>
      <c r="S1547">
        <v>4.8546219243579003</v>
      </c>
      <c r="T1547">
        <v>0.58633686572782395</v>
      </c>
      <c r="U1547">
        <f t="shared" si="169"/>
        <v>1.4979065730633729</v>
      </c>
      <c r="V1547" t="str">
        <f t="shared" si="170"/>
        <v>2016/17Expenditure driversTransmission Connection PointAllowance</v>
      </c>
    </row>
    <row r="1548" spans="1:22">
      <c r="A1548" t="s">
        <v>138</v>
      </c>
      <c r="C1548" t="s">
        <v>1344</v>
      </c>
      <c r="D1548" t="s">
        <v>64</v>
      </c>
      <c r="E1548" t="s">
        <v>298</v>
      </c>
      <c r="F1548" t="s">
        <v>1289</v>
      </c>
      <c r="G1548">
        <v>0</v>
      </c>
      <c r="H1548">
        <v>1.1369813386736958</v>
      </c>
      <c r="I1548">
        <v>2.7645990005736022E-2</v>
      </c>
      <c r="J1548">
        <v>0</v>
      </c>
      <c r="K1548">
        <v>0</v>
      </c>
      <c r="L1548">
        <v>0</v>
      </c>
      <c r="M1548">
        <v>0</v>
      </c>
      <c r="N1548">
        <v>0</v>
      </c>
      <c r="O1548">
        <v>0</v>
      </c>
      <c r="P1548">
        <v>0</v>
      </c>
      <c r="Q1548">
        <v>0.34882376784996277</v>
      </c>
      <c r="R1548">
        <v>0</v>
      </c>
      <c r="S1548">
        <v>4.0626524574326764E-2</v>
      </c>
      <c r="T1548">
        <v>0</v>
      </c>
      <c r="U1548">
        <f t="shared" si="169"/>
        <v>0.11100554436455153</v>
      </c>
      <c r="V1548" t="str">
        <f t="shared" si="170"/>
        <v>2016/17Expenditure driversTransmission Connection PointActual</v>
      </c>
    </row>
    <row r="1549" spans="1:22">
      <c r="A1549" t="s">
        <v>138</v>
      </c>
      <c r="C1549" t="s">
        <v>1344</v>
      </c>
      <c r="D1549" t="s">
        <v>64</v>
      </c>
      <c r="E1549" t="s">
        <v>602</v>
      </c>
      <c r="F1549" t="s">
        <v>1289</v>
      </c>
      <c r="G1549">
        <v>-0.82928002541265311</v>
      </c>
      <c r="H1549">
        <v>-0.85462043408923871</v>
      </c>
      <c r="I1549">
        <v>2.7645990005736022E-2</v>
      </c>
      <c r="J1549">
        <v>0</v>
      </c>
      <c r="K1549">
        <v>0</v>
      </c>
      <c r="L1549">
        <v>0</v>
      </c>
      <c r="M1549">
        <v>0</v>
      </c>
      <c r="N1549">
        <v>-5.4900417467427536</v>
      </c>
      <c r="O1549">
        <v>-3.9282857025012237</v>
      </c>
      <c r="P1549">
        <v>-1.9370814044592928</v>
      </c>
      <c r="Q1549">
        <v>-1.0046188130726774</v>
      </c>
      <c r="R1549">
        <v>0</v>
      </c>
      <c r="S1549">
        <v>-4.8139953997835736</v>
      </c>
      <c r="T1549">
        <v>-0.58633686572782395</v>
      </c>
      <c r="U1549">
        <f>U1548-U1547</f>
        <v>-1.3869010286988215</v>
      </c>
      <c r="V1549" t="str">
        <f t="shared" si="170"/>
        <v>2016/17Expenditure driversTransmission Connection PointDifference</v>
      </c>
    </row>
    <row r="1550" spans="1:22">
      <c r="A1550" t="s">
        <v>138</v>
      </c>
      <c r="C1550" t="s">
        <v>1344</v>
      </c>
      <c r="D1550" t="s">
        <v>64</v>
      </c>
      <c r="E1550" t="s">
        <v>1346</v>
      </c>
      <c r="F1550" t="s">
        <v>606</v>
      </c>
      <c r="G1550" s="829">
        <v>-1</v>
      </c>
      <c r="H1550" s="829">
        <v>-0.42911210753926476</v>
      </c>
      <c r="I1550" s="829" t="e">
        <v>#DIV/0!</v>
      </c>
      <c r="J1550" s="829" t="e">
        <v>#DIV/0!</v>
      </c>
      <c r="K1550" s="829" t="e">
        <v>#DIV/0!</v>
      </c>
      <c r="L1550" s="829" t="e">
        <v>#DIV/0!</v>
      </c>
      <c r="M1550" s="829" t="e">
        <v>#DIV/0!</v>
      </c>
      <c r="N1550" s="829">
        <v>-1</v>
      </c>
      <c r="O1550" s="829">
        <v>-1</v>
      </c>
      <c r="P1550" s="829">
        <v>-1</v>
      </c>
      <c r="Q1550" s="829">
        <v>-0.74226925266961086</v>
      </c>
      <c r="R1550" s="829" t="e">
        <v>#DIV/0!</v>
      </c>
      <c r="S1550" s="829">
        <v>-0.99163137208059715</v>
      </c>
      <c r="T1550" s="829">
        <v>-1</v>
      </c>
      <c r="U1550" s="829">
        <f>U1549/U1547</f>
        <v>-0.92589287852744129</v>
      </c>
      <c r="V1550" t="str">
        <f t="shared" si="170"/>
        <v>2016/17Expenditure driversTransmission Connection PointDifference %</v>
      </c>
    </row>
    <row r="1551" spans="1:22">
      <c r="A1551" t="s">
        <v>139</v>
      </c>
      <c r="C1551" t="s">
        <v>1344</v>
      </c>
      <c r="D1551" t="s">
        <v>64</v>
      </c>
      <c r="E1551" t="s">
        <v>297</v>
      </c>
      <c r="F1551" t="s">
        <v>1289</v>
      </c>
      <c r="G1551">
        <f t="array" ref="G1551:T1554">TRANSPOSE('Ch4 expenditure drivers'!AP334:AS347)</f>
        <v>0.54689706638172941</v>
      </c>
      <c r="H1551">
        <v>1.7719550539612239</v>
      </c>
      <c r="I1551">
        <v>0</v>
      </c>
      <c r="J1551">
        <v>0</v>
      </c>
      <c r="K1551">
        <v>0</v>
      </c>
      <c r="L1551">
        <v>0</v>
      </c>
      <c r="M1551">
        <v>0</v>
      </c>
      <c r="N1551">
        <v>6.8832800177531723</v>
      </c>
      <c r="O1551">
        <v>4.5889235508432726</v>
      </c>
      <c r="P1551">
        <v>2.5230548843059974</v>
      </c>
      <c r="Q1551">
        <v>1.372747772603528</v>
      </c>
      <c r="R1551">
        <v>0</v>
      </c>
      <c r="S1551">
        <v>6.4188257702258138</v>
      </c>
      <c r="T1551">
        <v>0.46573297400411162</v>
      </c>
      <c r="U1551">
        <f t="shared" si="169"/>
        <v>1.7551012207199175</v>
      </c>
      <c r="V1551" t="str">
        <f t="shared" si="170"/>
        <v>2017/18Expenditure driversTransmission Connection PointAllowance</v>
      </c>
    </row>
    <row r="1552" spans="1:22">
      <c r="A1552" t="s">
        <v>139</v>
      </c>
      <c r="C1552" t="s">
        <v>1344</v>
      </c>
      <c r="D1552" t="s">
        <v>64</v>
      </c>
      <c r="E1552" t="s">
        <v>298</v>
      </c>
      <c r="F1552" t="s">
        <v>1289</v>
      </c>
      <c r="G1552">
        <v>0</v>
      </c>
      <c r="H1552">
        <v>0.65942077769100937</v>
      </c>
      <c r="I1552">
        <v>5.147709721070321E-3</v>
      </c>
      <c r="J1552">
        <v>0</v>
      </c>
      <c r="K1552">
        <v>0</v>
      </c>
      <c r="L1552">
        <v>0</v>
      </c>
      <c r="M1552">
        <v>0</v>
      </c>
      <c r="N1552">
        <v>0</v>
      </c>
      <c r="O1552">
        <v>0</v>
      </c>
      <c r="P1552">
        <v>0</v>
      </c>
      <c r="Q1552">
        <v>0.90140001545396597</v>
      </c>
      <c r="R1552">
        <v>0</v>
      </c>
      <c r="S1552">
        <v>0.31853152484869846</v>
      </c>
      <c r="T1552">
        <v>3.1692144280995822E-2</v>
      </c>
      <c r="U1552">
        <f t="shared" si="169"/>
        <v>0.13687086942826715</v>
      </c>
      <c r="V1552" t="str">
        <f t="shared" si="170"/>
        <v>2017/18Expenditure driversTransmission Connection PointActual</v>
      </c>
    </row>
    <row r="1553" spans="1:22">
      <c r="A1553" t="s">
        <v>139</v>
      </c>
      <c r="C1553" t="s">
        <v>1344</v>
      </c>
      <c r="D1553" t="s">
        <v>64</v>
      </c>
      <c r="E1553" t="s">
        <v>602</v>
      </c>
      <c r="F1553" t="s">
        <v>1289</v>
      </c>
      <c r="G1553">
        <v>-0.54689706638172941</v>
      </c>
      <c r="H1553">
        <v>-1.1125342762702144</v>
      </c>
      <c r="I1553">
        <v>5.147709721070321E-3</v>
      </c>
      <c r="J1553">
        <v>0</v>
      </c>
      <c r="K1553">
        <v>0</v>
      </c>
      <c r="L1553">
        <v>0</v>
      </c>
      <c r="M1553">
        <v>0</v>
      </c>
      <c r="N1553">
        <v>-6.8832800177531723</v>
      </c>
      <c r="O1553">
        <v>-4.5889235508432726</v>
      </c>
      <c r="P1553">
        <v>-2.5230548843059974</v>
      </c>
      <c r="Q1553">
        <v>-0.47134775714956201</v>
      </c>
      <c r="R1553">
        <v>0</v>
      </c>
      <c r="S1553">
        <v>-6.100294245377115</v>
      </c>
      <c r="T1553">
        <v>-0.43404082972311581</v>
      </c>
      <c r="U1553">
        <f>U1552-U1551</f>
        <v>-1.6182303512916503</v>
      </c>
      <c r="V1553" t="str">
        <f t="shared" si="170"/>
        <v>2017/18Expenditure driversTransmission Connection PointDifference</v>
      </c>
    </row>
    <row r="1554" spans="1:22">
      <c r="A1554" t="s">
        <v>139</v>
      </c>
      <c r="C1554" t="s">
        <v>1344</v>
      </c>
      <c r="D1554" t="s">
        <v>64</v>
      </c>
      <c r="E1554" t="s">
        <v>1346</v>
      </c>
      <c r="F1554" t="s">
        <v>606</v>
      </c>
      <c r="G1554" s="829">
        <v>-1</v>
      </c>
      <c r="H1554" s="829">
        <v>-0.6278569390251364</v>
      </c>
      <c r="I1554" s="829" t="e">
        <v>#DIV/0!</v>
      </c>
      <c r="J1554" s="829" t="e">
        <v>#DIV/0!</v>
      </c>
      <c r="K1554" s="829" t="e">
        <v>#DIV/0!</v>
      </c>
      <c r="L1554" s="829" t="e">
        <v>#DIV/0!</v>
      </c>
      <c r="M1554" s="829" t="e">
        <v>#DIV/0!</v>
      </c>
      <c r="N1554" s="829">
        <v>-1</v>
      </c>
      <c r="O1554" s="829">
        <v>-1</v>
      </c>
      <c r="P1554" s="829">
        <v>-1</v>
      </c>
      <c r="Q1554" s="829">
        <v>-0.3433607881625716</v>
      </c>
      <c r="R1554" s="829" t="e">
        <v>#DIV/0!</v>
      </c>
      <c r="S1554" s="829">
        <v>-0.95037542126065633</v>
      </c>
      <c r="T1554" s="829">
        <v>-0.93195211408691014</v>
      </c>
      <c r="U1554" s="829">
        <f>U1553/U1551</f>
        <v>-0.92201539842122338</v>
      </c>
      <c r="V1554" t="str">
        <f t="shared" si="170"/>
        <v>2017/18Expenditure driversTransmission Connection PointDifference %</v>
      </c>
    </row>
    <row r="1555" spans="1:22">
      <c r="A1555" t="s">
        <v>140</v>
      </c>
      <c r="C1555" t="s">
        <v>1344</v>
      </c>
      <c r="D1555" t="s">
        <v>64</v>
      </c>
      <c r="E1555" t="s">
        <v>297</v>
      </c>
      <c r="F1555" t="s">
        <v>1289</v>
      </c>
      <c r="G1555">
        <f t="array" ref="G1555:T1558">TRANSPOSE('Ch4 expenditure drivers'!AU334:AX347)</f>
        <v>0.70692829928864853</v>
      </c>
      <c r="H1555">
        <v>1.3802347703060287</v>
      </c>
      <c r="I1555">
        <v>0</v>
      </c>
      <c r="J1555">
        <v>0.50440583042197007</v>
      </c>
      <c r="K1555">
        <v>0</v>
      </c>
      <c r="L1555">
        <v>0</v>
      </c>
      <c r="M1555">
        <v>0</v>
      </c>
      <c r="N1555">
        <v>6.6321095394624541</v>
      </c>
      <c r="O1555">
        <v>3.6711910321437786</v>
      </c>
      <c r="P1555">
        <v>2.0495164678401405</v>
      </c>
      <c r="Q1555">
        <v>1.1897862662568945</v>
      </c>
      <c r="R1555">
        <v>0</v>
      </c>
      <c r="S1555">
        <v>7.3266973101130031</v>
      </c>
      <c r="T1555">
        <v>0.52946646210777992</v>
      </c>
      <c r="U1555">
        <f>AVERAGE(G1555:T1555)</f>
        <v>1.7135954269957643</v>
      </c>
      <c r="V1555" t="str">
        <f t="shared" si="170"/>
        <v>2018/19Expenditure driversTransmission Connection PointAllowance</v>
      </c>
    </row>
    <row r="1556" spans="1:22">
      <c r="A1556" t="s">
        <v>140</v>
      </c>
      <c r="C1556" t="s">
        <v>1344</v>
      </c>
      <c r="D1556" t="s">
        <v>64</v>
      </c>
      <c r="E1556" t="s">
        <v>298</v>
      </c>
      <c r="F1556" t="s">
        <v>1289</v>
      </c>
      <c r="G1556">
        <v>0</v>
      </c>
      <c r="H1556">
        <v>1.0037561603089218</v>
      </c>
      <c r="I1556">
        <v>1.0476887159134227E-2</v>
      </c>
      <c r="J1556">
        <v>0</v>
      </c>
      <c r="K1556">
        <v>0</v>
      </c>
      <c r="L1556">
        <v>0</v>
      </c>
      <c r="M1556">
        <v>0</v>
      </c>
      <c r="N1556">
        <v>0</v>
      </c>
      <c r="O1556">
        <v>0</v>
      </c>
      <c r="P1556">
        <v>0</v>
      </c>
      <c r="Q1556">
        <v>1.5382119430672385</v>
      </c>
      <c r="R1556">
        <v>0</v>
      </c>
      <c r="S1556">
        <v>0.52071533690654692</v>
      </c>
      <c r="T1556">
        <v>2.9275463578367218E-4</v>
      </c>
      <c r="U1556">
        <f>AVERAGE(G1556:T1556)</f>
        <v>0.21953236300554463</v>
      </c>
      <c r="V1556" t="str">
        <f t="shared" si="170"/>
        <v>2018/19Expenditure driversTransmission Connection PointActual</v>
      </c>
    </row>
    <row r="1557" spans="1:22">
      <c r="A1557" t="s">
        <v>140</v>
      </c>
      <c r="C1557" t="s">
        <v>1344</v>
      </c>
      <c r="D1557" t="s">
        <v>64</v>
      </c>
      <c r="E1557" t="s">
        <v>602</v>
      </c>
      <c r="F1557" t="s">
        <v>1289</v>
      </c>
      <c r="G1557">
        <v>-0.70692829928864853</v>
      </c>
      <c r="H1557">
        <v>-0.37647860999710692</v>
      </c>
      <c r="I1557">
        <v>1.0476887159134227E-2</v>
      </c>
      <c r="J1557">
        <v>-0.50440583042197007</v>
      </c>
      <c r="K1557">
        <v>0</v>
      </c>
      <c r="L1557">
        <v>0</v>
      </c>
      <c r="M1557">
        <v>0</v>
      </c>
      <c r="N1557">
        <v>-6.6321095394624541</v>
      </c>
      <c r="O1557">
        <v>-3.6711910321437786</v>
      </c>
      <c r="P1557">
        <v>-2.0495164678401405</v>
      </c>
      <c r="Q1557">
        <v>0.34842567681034398</v>
      </c>
      <c r="R1557">
        <v>0</v>
      </c>
      <c r="S1557">
        <v>-6.8059819732064559</v>
      </c>
      <c r="T1557">
        <v>-0.52917370747199621</v>
      </c>
      <c r="U1557">
        <f>U1556-U1555</f>
        <v>-1.4940630639902197</v>
      </c>
      <c r="V1557" t="str">
        <f t="shared" si="170"/>
        <v>2018/19Expenditure driversTransmission Connection PointDifference</v>
      </c>
    </row>
    <row r="1558" spans="1:22">
      <c r="A1558" t="s">
        <v>140</v>
      </c>
      <c r="C1558" t="s">
        <v>1344</v>
      </c>
      <c r="D1558" t="s">
        <v>64</v>
      </c>
      <c r="E1558" t="s">
        <v>1346</v>
      </c>
      <c r="F1558" t="s">
        <v>606</v>
      </c>
      <c r="G1558" s="829">
        <v>-1</v>
      </c>
      <c r="H1558" s="829">
        <v>-0.27276418338137737</v>
      </c>
      <c r="I1558" s="829" t="e">
        <v>#DIV/0!</v>
      </c>
      <c r="J1558" s="829">
        <v>-1</v>
      </c>
      <c r="K1558" s="829" t="e">
        <v>#DIV/0!</v>
      </c>
      <c r="L1558" s="829" t="e">
        <v>#DIV/0!</v>
      </c>
      <c r="M1558" s="829" t="e">
        <v>#DIV/0!</v>
      </c>
      <c r="N1558" s="829">
        <v>-1</v>
      </c>
      <c r="O1558" s="829">
        <v>-1</v>
      </c>
      <c r="P1558" s="829">
        <v>-1</v>
      </c>
      <c r="Q1558" s="829">
        <v>0.29284728416516542</v>
      </c>
      <c r="R1558" s="829" t="e">
        <v>#DIV/0!</v>
      </c>
      <c r="S1558" s="829">
        <v>-0.92892905017547178</v>
      </c>
      <c r="T1558" s="829">
        <v>-0.99944707614790507</v>
      </c>
      <c r="U1558" s="829">
        <f>U1557/U1555</f>
        <v>-0.87188786831065279</v>
      </c>
      <c r="V1558" t="str">
        <f t="shared" si="170"/>
        <v>2018/19Expenditure driversTransmission Connection PointDifference %</v>
      </c>
    </row>
    <row r="1559" spans="1:22">
      <c r="A1559" t="s">
        <v>141</v>
      </c>
      <c r="C1559" t="s">
        <v>1344</v>
      </c>
      <c r="D1559" t="s">
        <v>64</v>
      </c>
      <c r="E1559" t="s">
        <v>297</v>
      </c>
      <c r="F1559" t="s">
        <v>1289</v>
      </c>
      <c r="G1559" s="229">
        <f t="array" ref="G1559:T1562">TRANSPOSE('Ch4 expenditure drivers'!AZ334:BC347)</f>
        <v>0.66062831688302504</v>
      </c>
      <c r="H1559" s="229">
        <v>1.6284939992940632</v>
      </c>
      <c r="I1559" s="229">
        <v>0</v>
      </c>
      <c r="J1559" s="229">
        <v>0.51189316448519107</v>
      </c>
      <c r="K1559" s="229">
        <v>0</v>
      </c>
      <c r="L1559" s="229">
        <v>0</v>
      </c>
      <c r="M1559" s="229">
        <v>0</v>
      </c>
      <c r="N1559" s="229">
        <v>7.3054385658035139</v>
      </c>
      <c r="O1559" s="229">
        <v>3.2058867042353762</v>
      </c>
      <c r="P1559" s="229">
        <v>2.1497319796720724</v>
      </c>
      <c r="Q1559" s="229">
        <v>1.4238643243584159</v>
      </c>
      <c r="R1559" s="229">
        <v>0</v>
      </c>
      <c r="S1559" s="229">
        <v>9.8368773284010782</v>
      </c>
      <c r="T1559" s="229">
        <v>1.2370758599154406</v>
      </c>
      <c r="U1559" s="229">
        <f>AVERAGE(G1559:T1559)</f>
        <v>1.997135017360584</v>
      </c>
      <c r="V1559" t="str">
        <f t="shared" si="170"/>
        <v>2019/20Expenditure driversTransmission Connection PointAllowance</v>
      </c>
    </row>
    <row r="1560" spans="1:22">
      <c r="A1560" t="s">
        <v>141</v>
      </c>
      <c r="C1560" t="s">
        <v>1344</v>
      </c>
      <c r="D1560" t="s">
        <v>64</v>
      </c>
      <c r="E1560" t="s">
        <v>298</v>
      </c>
      <c r="F1560" t="s">
        <v>1289</v>
      </c>
      <c r="G1560" s="229">
        <v>0</v>
      </c>
      <c r="H1560" s="229">
        <v>1.0003937073003899</v>
      </c>
      <c r="I1560" s="229">
        <v>0</v>
      </c>
      <c r="J1560" s="229">
        <v>0</v>
      </c>
      <c r="K1560" s="229">
        <v>0</v>
      </c>
      <c r="L1560" s="229">
        <v>0</v>
      </c>
      <c r="M1560" s="229">
        <v>0</v>
      </c>
      <c r="N1560" s="229">
        <v>0</v>
      </c>
      <c r="O1560" s="229">
        <v>0</v>
      </c>
      <c r="P1560" s="229">
        <v>0</v>
      </c>
      <c r="Q1560" s="229">
        <v>2.0471598767288937</v>
      </c>
      <c r="R1560" s="229">
        <v>0</v>
      </c>
      <c r="S1560" s="229">
        <v>2.6575616590542541</v>
      </c>
      <c r="T1560" s="229">
        <v>0.32282851443200461</v>
      </c>
      <c r="U1560" s="229">
        <f>AVERAGE(G1560:T1560)</f>
        <v>0.43056741125111014</v>
      </c>
      <c r="V1560" t="str">
        <f t="shared" si="170"/>
        <v>2019/20Expenditure driversTransmission Connection PointActual</v>
      </c>
    </row>
    <row r="1561" spans="1:22">
      <c r="A1561" t="s">
        <v>141</v>
      </c>
      <c r="C1561" t="s">
        <v>1344</v>
      </c>
      <c r="D1561" t="s">
        <v>64</v>
      </c>
      <c r="E1561" t="s">
        <v>602</v>
      </c>
      <c r="F1561" t="s">
        <v>1289</v>
      </c>
      <c r="G1561" s="229">
        <v>-0.66062831688302504</v>
      </c>
      <c r="H1561" s="229">
        <v>-0.62810029199367334</v>
      </c>
      <c r="I1561" s="229">
        <v>0</v>
      </c>
      <c r="J1561" s="229">
        <v>-0.51189316448519107</v>
      </c>
      <c r="K1561" s="229">
        <v>0</v>
      </c>
      <c r="L1561" s="229">
        <v>0</v>
      </c>
      <c r="M1561" s="229">
        <v>0</v>
      </c>
      <c r="N1561" s="229">
        <v>-7.3054385658035139</v>
      </c>
      <c r="O1561" s="229">
        <v>-3.2058867042353762</v>
      </c>
      <c r="P1561" s="229">
        <v>-2.1497319796720724</v>
      </c>
      <c r="Q1561" s="229">
        <v>0.62329555237047773</v>
      </c>
      <c r="R1561" s="229">
        <v>0</v>
      </c>
      <c r="S1561" s="229">
        <v>-7.1793156693468241</v>
      </c>
      <c r="T1561" s="229">
        <v>-0.91424734548343589</v>
      </c>
      <c r="U1561" s="229">
        <f>U1560-U1559</f>
        <v>-1.5665676061094738</v>
      </c>
      <c r="V1561" t="str">
        <f t="shared" si="170"/>
        <v>2019/20Expenditure driversTransmission Connection PointDifference</v>
      </c>
    </row>
    <row r="1562" spans="1:22">
      <c r="A1562" t="s">
        <v>141</v>
      </c>
      <c r="C1562" t="s">
        <v>1344</v>
      </c>
      <c r="D1562" t="s">
        <v>64</v>
      </c>
      <c r="E1562" t="s">
        <v>1346</v>
      </c>
      <c r="F1562" t="s">
        <v>606</v>
      </c>
      <c r="G1562" s="829">
        <v>-1</v>
      </c>
      <c r="H1562" s="829">
        <v>-0.3856939554373236</v>
      </c>
      <c r="I1562" s="829" t="e">
        <v>#DIV/0!</v>
      </c>
      <c r="J1562" s="829">
        <v>-1</v>
      </c>
      <c r="K1562" s="829" t="e">
        <v>#DIV/0!</v>
      </c>
      <c r="L1562" s="829" t="e">
        <v>#DIV/0!</v>
      </c>
      <c r="M1562" s="829" t="e">
        <v>#DIV/0!</v>
      </c>
      <c r="N1562" s="829">
        <v>-1</v>
      </c>
      <c r="O1562" s="829">
        <v>-1</v>
      </c>
      <c r="P1562" s="829">
        <v>-1</v>
      </c>
      <c r="Q1562" s="829">
        <v>0.43774925862499625</v>
      </c>
      <c r="R1562" s="829" t="e">
        <v>#DIV/0!</v>
      </c>
      <c r="S1562" s="829">
        <v>-0.72983686079104293</v>
      </c>
      <c r="T1562" s="829">
        <v>-0.73903903156426365</v>
      </c>
      <c r="U1562" s="829">
        <f>U1561/U1559</f>
        <v>-0.78440745993220395</v>
      </c>
      <c r="V1562" t="str">
        <f t="shared" si="170"/>
        <v>2019/20Expenditure driversTransmission Connection PointDifference %</v>
      </c>
    </row>
    <row r="1563" spans="1:22">
      <c r="A1563" t="s">
        <v>126</v>
      </c>
      <c r="C1563" t="s">
        <v>1344</v>
      </c>
      <c r="D1563" t="s">
        <v>64</v>
      </c>
      <c r="E1563" t="s">
        <v>297</v>
      </c>
      <c r="F1563" t="s">
        <v>1289</v>
      </c>
      <c r="G1563" cm="1">
        <f t="array" ref="G1563:T1566">TRANSPOSE('Ch4 expenditure drivers'!BE334:BH347)</f>
        <v>1.2447912236112291</v>
      </c>
      <c r="H1563">
        <v>1.4083762448236727</v>
      </c>
      <c r="I1563">
        <v>0</v>
      </c>
      <c r="J1563">
        <v>0.51857803208163478</v>
      </c>
      <c r="K1563">
        <v>0</v>
      </c>
      <c r="L1563">
        <v>0</v>
      </c>
      <c r="M1563">
        <v>0</v>
      </c>
      <c r="N1563">
        <v>7.1644955279625293</v>
      </c>
      <c r="O1563">
        <v>3.1876790589699224</v>
      </c>
      <c r="P1563">
        <v>2.3136917842928071</v>
      </c>
      <c r="Q1563">
        <v>1.5457076498170879</v>
      </c>
      <c r="R1563">
        <v>0</v>
      </c>
      <c r="S1563">
        <v>10.397797071648306</v>
      </c>
      <c r="T1563">
        <v>0.65221579242181915</v>
      </c>
      <c r="U1563" s="229">
        <f>AVERAGE(G1563:T1563)</f>
        <v>2.0309523132592151</v>
      </c>
      <c r="V1563" t="str">
        <f t="shared" si="170"/>
        <v>2020/21Expenditure driversTransmission Connection PointAllowance</v>
      </c>
    </row>
    <row r="1564" spans="1:22">
      <c r="A1564" t="s">
        <v>126</v>
      </c>
      <c r="C1564" t="s">
        <v>1344</v>
      </c>
      <c r="D1564" t="s">
        <v>64</v>
      </c>
      <c r="E1564" t="s">
        <v>298</v>
      </c>
      <c r="F1564" t="s">
        <v>1289</v>
      </c>
      <c r="G1564">
        <v>0</v>
      </c>
      <c r="H1564">
        <v>0.99268319972097518</v>
      </c>
      <c r="I1564">
        <v>0</v>
      </c>
      <c r="J1564">
        <v>0</v>
      </c>
      <c r="K1564">
        <v>0</v>
      </c>
      <c r="L1564">
        <v>0</v>
      </c>
      <c r="M1564">
        <v>0</v>
      </c>
      <c r="N1564">
        <v>3.9531594118036359</v>
      </c>
      <c r="O1564">
        <v>0</v>
      </c>
      <c r="P1564">
        <v>0</v>
      </c>
      <c r="Q1564">
        <v>2.8505501556274466</v>
      </c>
      <c r="R1564">
        <v>0</v>
      </c>
      <c r="S1564">
        <v>2.6557199694006854</v>
      </c>
      <c r="T1564">
        <v>0.32734871349082106</v>
      </c>
      <c r="U1564" s="229">
        <f>AVERAGE(G1564:T1564)</f>
        <v>0.76996153214596885</v>
      </c>
      <c r="V1564" t="str">
        <f t="shared" si="170"/>
        <v>2020/21Expenditure driversTransmission Connection PointActual</v>
      </c>
    </row>
    <row r="1565" spans="1:22">
      <c r="A1565" t="s">
        <v>126</v>
      </c>
      <c r="C1565" t="s">
        <v>1344</v>
      </c>
      <c r="D1565" t="s">
        <v>64</v>
      </c>
      <c r="E1565" t="s">
        <v>602</v>
      </c>
      <c r="F1565" t="s">
        <v>1289</v>
      </c>
      <c r="G1565">
        <v>-1.2447912236112291</v>
      </c>
      <c r="H1565">
        <v>-0.41569304510269756</v>
      </c>
      <c r="I1565">
        <v>0</v>
      </c>
      <c r="J1565">
        <v>-0.51857803208163478</v>
      </c>
      <c r="K1565">
        <v>0</v>
      </c>
      <c r="L1565">
        <v>0</v>
      </c>
      <c r="M1565">
        <v>0</v>
      </c>
      <c r="N1565">
        <v>-3.2113361161588934</v>
      </c>
      <c r="O1565">
        <v>-3.1876790589699224</v>
      </c>
      <c r="P1565">
        <v>-2.3136917842928071</v>
      </c>
      <c r="Q1565">
        <v>1.3048425058103588</v>
      </c>
      <c r="R1565">
        <v>0</v>
      </c>
      <c r="S1565">
        <v>-7.7420771022476202</v>
      </c>
      <c r="T1565">
        <v>-0.32486707893099809</v>
      </c>
      <c r="U1565" s="229">
        <f>U1564-U1563</f>
        <v>-1.2609907811132461</v>
      </c>
      <c r="V1565" t="str">
        <f t="shared" si="170"/>
        <v>2020/21Expenditure driversTransmission Connection PointDifference</v>
      </c>
    </row>
    <row r="1566" spans="1:22">
      <c r="A1566" t="s">
        <v>126</v>
      </c>
      <c r="C1566" t="s">
        <v>1344</v>
      </c>
      <c r="D1566" t="s">
        <v>64</v>
      </c>
      <c r="E1566" t="s">
        <v>1346</v>
      </c>
      <c r="F1566" t="s">
        <v>606</v>
      </c>
      <c r="G1566" s="829">
        <v>-1</v>
      </c>
      <c r="H1566" s="829">
        <v>-0.29515766587978903</v>
      </c>
      <c r="I1566" s="829" t="e">
        <v>#DIV/0!</v>
      </c>
      <c r="J1566" s="829">
        <v>-1</v>
      </c>
      <c r="K1566" s="829" t="e">
        <v>#DIV/0!</v>
      </c>
      <c r="L1566" s="829" t="e">
        <v>#DIV/0!</v>
      </c>
      <c r="M1566" s="829" t="e">
        <v>#DIV/0!</v>
      </c>
      <c r="N1566" s="829">
        <v>-0.44822920240863728</v>
      </c>
      <c r="O1566" s="829">
        <v>-1</v>
      </c>
      <c r="P1566" s="829">
        <v>-1</v>
      </c>
      <c r="Q1566" s="829">
        <v>0.84417160383774259</v>
      </c>
      <c r="R1566" s="829" t="e">
        <v>#DIV/0!</v>
      </c>
      <c r="S1566" s="829">
        <v>-0.74458820930040626</v>
      </c>
      <c r="T1566" s="829">
        <v>-0.49809753567097165</v>
      </c>
      <c r="U1566" s="829">
        <f>U1565/U1563</f>
        <v>-0.62088645453700664</v>
      </c>
      <c r="V1566" t="str">
        <f t="shared" si="170"/>
        <v>2020/21Expenditure driversTransmission Connection PointDifference %</v>
      </c>
    </row>
    <row r="1567" spans="1:22">
      <c r="A1567" t="s">
        <v>142</v>
      </c>
      <c r="C1567" t="s">
        <v>1344</v>
      </c>
      <c r="D1567" t="s">
        <v>64</v>
      </c>
      <c r="E1567" t="s">
        <v>297</v>
      </c>
      <c r="F1567" t="s">
        <v>1289</v>
      </c>
      <c r="G1567" s="229" cm="1">
        <f t="array" ref="G1567:T1570">TRANSPOSE('Ch4 expenditure drivers'!BJ334:BM347)</f>
        <v>1.4924815556941813</v>
      </c>
      <c r="H1567" s="229">
        <v>0.99296800947648378</v>
      </c>
      <c r="I1567" s="229">
        <v>0</v>
      </c>
      <c r="J1567" s="229">
        <v>0.52641806169741179</v>
      </c>
      <c r="K1567" s="229">
        <v>0.52923671252376858</v>
      </c>
      <c r="L1567" s="229">
        <v>0</v>
      </c>
      <c r="M1567" s="229">
        <v>0</v>
      </c>
      <c r="N1567" s="229">
        <v>6.733032019014674</v>
      </c>
      <c r="O1567" s="229">
        <v>3.8445243849791901</v>
      </c>
      <c r="P1567" s="229">
        <v>2.6086967154760621</v>
      </c>
      <c r="Q1567" s="229">
        <v>0.9442051304878315</v>
      </c>
      <c r="R1567" s="229">
        <v>0</v>
      </c>
      <c r="S1567" s="229">
        <v>12.11878152164171</v>
      </c>
      <c r="T1567" s="229">
        <v>0.84722307260446128</v>
      </c>
      <c r="U1567" s="229">
        <f>AVERAGE(G1567:T1567)</f>
        <v>2.1883976559711269</v>
      </c>
      <c r="V1567" t="str">
        <f t="shared" ref="V1567:V1570" si="172">CONCATENATE(A1567,B1567,C1567,D1567,E1567)</f>
        <v>2021/22Expenditure driversTransmission Connection PointAllowance</v>
      </c>
    </row>
    <row r="1568" spans="1:22">
      <c r="A1568" t="s">
        <v>142</v>
      </c>
      <c r="C1568" t="s">
        <v>1344</v>
      </c>
      <c r="D1568" t="s">
        <v>64</v>
      </c>
      <c r="E1568" t="s">
        <v>298</v>
      </c>
      <c r="F1568" t="s">
        <v>1289</v>
      </c>
      <c r="G1568" s="229">
        <v>0</v>
      </c>
      <c r="H1568" s="229">
        <v>0.69089155000000024</v>
      </c>
      <c r="I1568" s="229">
        <v>0</v>
      </c>
      <c r="J1568" s="229">
        <v>0</v>
      </c>
      <c r="K1568" s="229">
        <v>0</v>
      </c>
      <c r="L1568" s="229">
        <v>0</v>
      </c>
      <c r="M1568" s="229">
        <v>0</v>
      </c>
      <c r="N1568" s="229">
        <v>5.9584010000000003</v>
      </c>
      <c r="O1568" s="229">
        <v>0</v>
      </c>
      <c r="P1568" s="229">
        <v>1.55836409</v>
      </c>
      <c r="Q1568" s="229">
        <v>1.7061945802835252</v>
      </c>
      <c r="R1568" s="229">
        <v>0</v>
      </c>
      <c r="S1568" s="229">
        <v>2.072129577114886</v>
      </c>
      <c r="T1568" s="229">
        <v>9.6743483986663631E-3</v>
      </c>
      <c r="U1568" s="229">
        <f>AVERAGE(G1568:T1568)</f>
        <v>0.85683251041407704</v>
      </c>
      <c r="V1568" t="str">
        <f t="shared" si="172"/>
        <v>2021/22Expenditure driversTransmission Connection PointActual</v>
      </c>
    </row>
    <row r="1569" spans="1:22">
      <c r="A1569" t="s">
        <v>142</v>
      </c>
      <c r="C1569" t="s">
        <v>1344</v>
      </c>
      <c r="D1569" t="s">
        <v>64</v>
      </c>
      <c r="E1569" t="s">
        <v>602</v>
      </c>
      <c r="F1569" t="s">
        <v>1289</v>
      </c>
      <c r="G1569" s="229">
        <v>-1.4924815556941813</v>
      </c>
      <c r="H1569" s="229">
        <v>-0.30207645947648354</v>
      </c>
      <c r="I1569" s="229">
        <v>0</v>
      </c>
      <c r="J1569" s="229">
        <v>-0.52641806169741179</v>
      </c>
      <c r="K1569" s="229">
        <v>-0.52923671252376858</v>
      </c>
      <c r="L1569" s="229">
        <v>0</v>
      </c>
      <c r="M1569" s="229">
        <v>0</v>
      </c>
      <c r="N1569" s="229">
        <v>-0.77463101901467368</v>
      </c>
      <c r="O1569" s="229">
        <v>-3.8445243849791901</v>
      </c>
      <c r="P1569" s="229">
        <v>-1.0503326254760621</v>
      </c>
      <c r="Q1569" s="229">
        <v>0.76198944979569372</v>
      </c>
      <c r="R1569" s="229">
        <v>0</v>
      </c>
      <c r="S1569" s="229">
        <v>-10.046651944526824</v>
      </c>
      <c r="T1569" s="229">
        <v>-0.83754872420579496</v>
      </c>
      <c r="U1569" s="229">
        <f>U1568-U1567</f>
        <v>-1.3315651455570499</v>
      </c>
      <c r="V1569" t="str">
        <f t="shared" si="172"/>
        <v>2021/22Expenditure driversTransmission Connection PointDifference</v>
      </c>
    </row>
    <row r="1570" spans="1:22">
      <c r="A1570" t="s">
        <v>142</v>
      </c>
      <c r="C1570" t="s">
        <v>1344</v>
      </c>
      <c r="D1570" t="s">
        <v>64</v>
      </c>
      <c r="E1570" t="s">
        <v>1346</v>
      </c>
      <c r="F1570" t="s">
        <v>606</v>
      </c>
      <c r="G1570" s="829">
        <v>-1</v>
      </c>
      <c r="H1570" s="829">
        <v>-0.30421570140587451</v>
      </c>
      <c r="I1570" s="829" t="e">
        <v>#DIV/0!</v>
      </c>
      <c r="J1570" s="829">
        <v>-1</v>
      </c>
      <c r="K1570" s="829">
        <v>-1</v>
      </c>
      <c r="L1570" s="829" t="e">
        <v>#DIV/0!</v>
      </c>
      <c r="M1570" s="829" t="e">
        <v>#DIV/0!</v>
      </c>
      <c r="N1570" s="829">
        <v>-0.11504935916345677</v>
      </c>
      <c r="O1570" s="829">
        <v>-1</v>
      </c>
      <c r="P1570" s="829">
        <v>-0.4026273423219251</v>
      </c>
      <c r="Q1570" s="829">
        <v>0.80701684961402986</v>
      </c>
      <c r="R1570" s="829" t="e">
        <v>#DIV/0!</v>
      </c>
      <c r="S1570" s="829">
        <v>-0.82901502321710485</v>
      </c>
      <c r="T1570" s="829">
        <v>-0.98858110843354841</v>
      </c>
      <c r="U1570" s="829">
        <f>U1569/U1567</f>
        <v>-0.60846580689931895</v>
      </c>
      <c r="V1570" t="str">
        <f t="shared" si="172"/>
        <v>2021/22Expenditure driversTransmission Connection PointDifference %</v>
      </c>
    </row>
    <row r="1571" spans="1:22">
      <c r="A1571" t="s">
        <v>137</v>
      </c>
      <c r="C1571" t="s">
        <v>1344</v>
      </c>
      <c r="D1571" t="s">
        <v>66</v>
      </c>
      <c r="E1571" t="s">
        <v>1347</v>
      </c>
      <c r="F1571" t="s">
        <v>1289</v>
      </c>
      <c r="G1571">
        <f t="array" ref="G1571:T1578">TRANSPOSE('Ch4 expenditure drivers'!E354:L367)</f>
        <v>3.9590724861392141</v>
      </c>
      <c r="H1571">
        <v>5.2484650518300597</v>
      </c>
      <c r="I1571">
        <v>6.2934311590720426</v>
      </c>
      <c r="J1571">
        <v>12.048313413065394</v>
      </c>
      <c r="K1571">
        <v>11.867626324697065</v>
      </c>
      <c r="L1571">
        <v>4.8455563811405717</v>
      </c>
      <c r="M1571">
        <v>10.21617059636695</v>
      </c>
      <c r="N1571">
        <v>5.0112611511498111</v>
      </c>
      <c r="O1571">
        <v>8.121912010663598</v>
      </c>
      <c r="P1571">
        <v>19.166126842606086</v>
      </c>
      <c r="Q1571">
        <v>1.8375205584770993</v>
      </c>
      <c r="R1571">
        <v>4.2520935459524898</v>
      </c>
      <c r="S1571">
        <v>0.44729975404842676</v>
      </c>
      <c r="T1571">
        <v>9.7146975284563464</v>
      </c>
      <c r="U1571">
        <f>AVERAGE(G1571:T1571)</f>
        <v>7.3592533431189384</v>
      </c>
      <c r="V1571" t="str">
        <f t="shared" si="170"/>
        <v>2015/16Expenditure driversDiversions (Excluding Rail Electrification)BPDT</v>
      </c>
    </row>
    <row r="1572" spans="1:22">
      <c r="A1572" t="s">
        <v>138</v>
      </c>
      <c r="C1572" t="s">
        <v>1344</v>
      </c>
      <c r="D1572" t="s">
        <v>66</v>
      </c>
      <c r="E1572" t="s">
        <v>1347</v>
      </c>
      <c r="F1572" t="s">
        <v>1289</v>
      </c>
      <c r="G1572">
        <v>4.0349703980244147</v>
      </c>
      <c r="H1572">
        <v>3.8551153058636811</v>
      </c>
      <c r="I1572">
        <v>6.2262607507495691</v>
      </c>
      <c r="J1572">
        <v>11.681330452403513</v>
      </c>
      <c r="K1572">
        <v>11.527323970843378</v>
      </c>
      <c r="L1572">
        <v>4.7657801509343862</v>
      </c>
      <c r="M1572">
        <v>10.128297012721513</v>
      </c>
      <c r="N1572">
        <v>4.9887576108005804</v>
      </c>
      <c r="O1572">
        <v>8.2111125555621367</v>
      </c>
      <c r="P1572">
        <v>19.336109972909924</v>
      </c>
      <c r="Q1572">
        <v>1.8479472657547782</v>
      </c>
      <c r="R1572">
        <v>3.9853568945353635</v>
      </c>
      <c r="S1572">
        <v>0.5640442869919603</v>
      </c>
      <c r="T1572">
        <v>8.6949856152047875</v>
      </c>
      <c r="U1572">
        <f t="shared" ref="U1572:U1603" si="173">AVERAGE(G1572:T1572)</f>
        <v>7.1319565888071415</v>
      </c>
      <c r="V1572" t="str">
        <f t="shared" si="170"/>
        <v>2016/17Expenditure driversDiversions (Excluding Rail Electrification)BPDT</v>
      </c>
    </row>
    <row r="1573" spans="1:22">
      <c r="A1573" t="s">
        <v>139</v>
      </c>
      <c r="C1573" t="s">
        <v>1344</v>
      </c>
      <c r="D1573" t="s">
        <v>66</v>
      </c>
      <c r="E1573" t="s">
        <v>1347</v>
      </c>
      <c r="F1573" t="s">
        <v>1289</v>
      </c>
      <c r="G1573">
        <v>4.1027721232648142</v>
      </c>
      <c r="H1573">
        <v>3.8734766131231879</v>
      </c>
      <c r="I1573">
        <v>4.8155686610729704</v>
      </c>
      <c r="J1573">
        <v>11.419693679407896</v>
      </c>
      <c r="K1573">
        <v>11.345012732577832</v>
      </c>
      <c r="L1573">
        <v>4.6924082370681743</v>
      </c>
      <c r="M1573">
        <v>10.082643392692434</v>
      </c>
      <c r="N1573">
        <v>5.0502829744409583</v>
      </c>
      <c r="O1573">
        <v>8.1618603269734535</v>
      </c>
      <c r="P1573">
        <v>19.612412225942311</v>
      </c>
      <c r="Q1573">
        <v>1.8556833900935175</v>
      </c>
      <c r="R1573">
        <v>3.6855025896074682</v>
      </c>
      <c r="S1573">
        <v>0.58443212768115027</v>
      </c>
      <c r="T1573">
        <v>7.0924609392977498</v>
      </c>
      <c r="U1573">
        <f t="shared" si="173"/>
        <v>6.8838721438031376</v>
      </c>
      <c r="V1573" t="str">
        <f t="shared" si="170"/>
        <v>2017/18Expenditure driversDiversions (Excluding Rail Electrification)BPDT</v>
      </c>
    </row>
    <row r="1574" spans="1:22">
      <c r="A1574" t="s">
        <v>140</v>
      </c>
      <c r="C1574" t="s">
        <v>1344</v>
      </c>
      <c r="D1574" t="s">
        <v>66</v>
      </c>
      <c r="E1574" t="s">
        <v>1347</v>
      </c>
      <c r="F1574" t="s">
        <v>1289</v>
      </c>
      <c r="G1574">
        <v>6.6510330462743603</v>
      </c>
      <c r="H1574">
        <v>3.8202541623336015</v>
      </c>
      <c r="I1574">
        <v>5.6452062806097372</v>
      </c>
      <c r="J1574">
        <v>12.512275967255558</v>
      </c>
      <c r="K1574">
        <v>11.22386861362587</v>
      </c>
      <c r="L1574">
        <v>4.6486910867344751</v>
      </c>
      <c r="M1574">
        <v>10.066597632300837</v>
      </c>
      <c r="N1574">
        <v>5.1128123025213901</v>
      </c>
      <c r="O1574">
        <v>8.1589931026133051</v>
      </c>
      <c r="P1574">
        <v>19.802721038186121</v>
      </c>
      <c r="Q1574">
        <v>1.8586493996890221</v>
      </c>
      <c r="R1574">
        <v>3.7116206589024641</v>
      </c>
      <c r="S1574">
        <v>0.59982948133238323</v>
      </c>
      <c r="T1574">
        <v>8.9858572070391638</v>
      </c>
      <c r="U1574">
        <f t="shared" si="173"/>
        <v>7.3427435699584489</v>
      </c>
      <c r="V1574" t="str">
        <f t="shared" si="170"/>
        <v>2018/19Expenditure driversDiversions (Excluding Rail Electrification)BPDT</v>
      </c>
    </row>
    <row r="1575" spans="1:22">
      <c r="A1575" t="s">
        <v>141</v>
      </c>
      <c r="C1575" t="s">
        <v>1344</v>
      </c>
      <c r="D1575" t="s">
        <v>66</v>
      </c>
      <c r="E1575" t="s">
        <v>1347</v>
      </c>
      <c r="F1575" t="s">
        <v>1289</v>
      </c>
      <c r="G1575">
        <v>4.0846196589835495</v>
      </c>
      <c r="H1575">
        <v>3.7876393245276976</v>
      </c>
      <c r="I1575">
        <v>5.8555676925721087</v>
      </c>
      <c r="J1575">
        <v>11.658892153273658</v>
      </c>
      <c r="K1575">
        <v>11.532725036870255</v>
      </c>
      <c r="L1575">
        <v>4.8981038890836652</v>
      </c>
      <c r="M1575">
        <v>10.278804722440148</v>
      </c>
      <c r="N1575">
        <v>5.1763623575035398</v>
      </c>
      <c r="O1575">
        <v>8.7264759704820598</v>
      </c>
      <c r="P1575">
        <v>19.192806562959074</v>
      </c>
      <c r="Q1575">
        <v>1.8721558156760851</v>
      </c>
      <c r="R1575">
        <v>3.7570471083284942</v>
      </c>
      <c r="S1575">
        <v>0.60686373546782646</v>
      </c>
      <c r="T1575">
        <v>9.2990048456925809</v>
      </c>
      <c r="U1575">
        <f t="shared" si="173"/>
        <v>7.1947906338471963</v>
      </c>
      <c r="V1575" t="str">
        <f t="shared" si="170"/>
        <v>2019/20Expenditure driversDiversions (Excluding Rail Electrification)BPDT</v>
      </c>
    </row>
    <row r="1576" spans="1:22">
      <c r="A1576" t="s">
        <v>126</v>
      </c>
      <c r="C1576" t="s">
        <v>1344</v>
      </c>
      <c r="D1576" t="s">
        <v>66</v>
      </c>
      <c r="E1576" t="s">
        <v>1347</v>
      </c>
      <c r="F1576" t="s">
        <v>1289</v>
      </c>
      <c r="G1576">
        <v>4.1275569967052546</v>
      </c>
      <c r="H1576">
        <v>3.8124468446805908</v>
      </c>
      <c r="I1576">
        <v>5.6631779740525587</v>
      </c>
      <c r="J1576">
        <v>12.35973078381774</v>
      </c>
      <c r="K1576">
        <v>11.546084686883185</v>
      </c>
      <c r="L1576">
        <v>5.0462443737271832</v>
      </c>
      <c r="M1576">
        <v>10.502536397156021</v>
      </c>
      <c r="N1576">
        <v>5.2409502056601909</v>
      </c>
      <c r="O1576">
        <v>11.685678894144523</v>
      </c>
      <c r="P1576">
        <v>16.262541803962801</v>
      </c>
      <c r="Q1576">
        <v>1.884527569805946</v>
      </c>
      <c r="R1576">
        <v>3.8015604029149546</v>
      </c>
      <c r="S1576">
        <v>0.65176802094989505</v>
      </c>
      <c r="T1576">
        <v>9.6451131659302796</v>
      </c>
      <c r="U1576">
        <f t="shared" si="173"/>
        <v>7.3021370085993667</v>
      </c>
      <c r="V1576" t="str">
        <f t="shared" si="170"/>
        <v>2020/21Expenditure driversDiversions (Excluding Rail Electrification)BPDT</v>
      </c>
    </row>
    <row r="1577" spans="1:22">
      <c r="A1577" t="s">
        <v>142</v>
      </c>
      <c r="C1577" t="s">
        <v>1344</v>
      </c>
      <c r="D1577" t="s">
        <v>66</v>
      </c>
      <c r="E1577" t="s">
        <v>1347</v>
      </c>
      <c r="F1577" t="s">
        <v>1289</v>
      </c>
      <c r="G1577">
        <v>4.1329439894154856</v>
      </c>
      <c r="H1577">
        <v>3.8863119984066343</v>
      </c>
      <c r="I1577">
        <v>4.6529850025729633</v>
      </c>
      <c r="J1577">
        <v>11.667273106996145</v>
      </c>
      <c r="K1577">
        <v>11.735904439405521</v>
      </c>
      <c r="L1577">
        <v>5.2247634434256076</v>
      </c>
      <c r="M1577">
        <v>10.922374138151664</v>
      </c>
      <c r="N1577">
        <v>5.3065932227703865</v>
      </c>
      <c r="O1577">
        <v>14.131078616353399</v>
      </c>
      <c r="P1577">
        <v>16.301156978688841</v>
      </c>
      <c r="Q1577">
        <v>1.897448269154496</v>
      </c>
      <c r="R1577">
        <v>3.8473671454189344</v>
      </c>
      <c r="S1577">
        <v>0.57238402783926912</v>
      </c>
      <c r="T1577">
        <v>9.6326411500262825</v>
      </c>
      <c r="U1577">
        <f t="shared" si="173"/>
        <v>7.4222303949018311</v>
      </c>
      <c r="V1577" t="str">
        <f t="shared" si="170"/>
        <v>2021/22Expenditure driversDiversions (Excluding Rail Electrification)BPDT</v>
      </c>
    </row>
    <row r="1578" spans="1:22">
      <c r="A1578" t="s">
        <v>143</v>
      </c>
      <c r="C1578" t="s">
        <v>1344</v>
      </c>
      <c r="D1578" t="s">
        <v>66</v>
      </c>
      <c r="E1578" t="s">
        <v>1347</v>
      </c>
      <c r="F1578" t="s">
        <v>1289</v>
      </c>
      <c r="G1578">
        <v>4.1413577888631385</v>
      </c>
      <c r="H1578">
        <v>3.8949989417645039</v>
      </c>
      <c r="I1578">
        <v>3.592967467085344</v>
      </c>
      <c r="J1578">
        <v>11.797135401312449</v>
      </c>
      <c r="K1578">
        <v>11.986205196444072</v>
      </c>
      <c r="L1578">
        <v>5.4396176662251268</v>
      </c>
      <c r="M1578">
        <v>11.097168606435719</v>
      </c>
      <c r="N1578">
        <v>5.2260705623495554</v>
      </c>
      <c r="O1578">
        <v>10.232211551370499</v>
      </c>
      <c r="P1578">
        <v>16.565061431282338</v>
      </c>
      <c r="Q1578">
        <v>1.9243935853246588</v>
      </c>
      <c r="R1578">
        <v>3.8945173495925309</v>
      </c>
      <c r="S1578">
        <v>0.64482477308913666</v>
      </c>
      <c r="T1578">
        <v>10.383969857500698</v>
      </c>
      <c r="U1578">
        <f t="shared" si="173"/>
        <v>7.2014642984742707</v>
      </c>
      <c r="V1578" t="str">
        <f t="shared" si="170"/>
        <v>2022/23Expenditure driversDiversions (Excluding Rail Electrification)BPDT</v>
      </c>
    </row>
    <row r="1579" spans="1:22">
      <c r="A1579" t="s">
        <v>137</v>
      </c>
      <c r="C1579" t="s">
        <v>1344</v>
      </c>
      <c r="D1579" t="s">
        <v>66</v>
      </c>
      <c r="E1579" t="s">
        <v>1348</v>
      </c>
      <c r="F1579" t="s">
        <v>1289</v>
      </c>
      <c r="G1579">
        <f t="array" ref="G1579:T1586">TRANSPOSE('Ch4 expenditure drivers'!N354:U367)</f>
        <v>4.601406775956832</v>
      </c>
      <c r="H1579">
        <v>4.950611299026348</v>
      </c>
      <c r="I1579">
        <v>6.5985168609353391</v>
      </c>
      <c r="J1579">
        <v>12.048313413065394</v>
      </c>
      <c r="K1579">
        <v>11.867626324697065</v>
      </c>
      <c r="L1579">
        <v>4.8455563811405717</v>
      </c>
      <c r="M1579">
        <v>10.21617059636695</v>
      </c>
      <c r="N1579">
        <v>5.7495194456609608</v>
      </c>
      <c r="O1579">
        <v>9.0789685427089033</v>
      </c>
      <c r="P1579">
        <v>16.689888366595113</v>
      </c>
      <c r="Q1579">
        <v>1.8459782321044109</v>
      </c>
      <c r="R1579">
        <v>3.8218623067687947</v>
      </c>
      <c r="S1579">
        <v>0.65885107159652945</v>
      </c>
      <c r="T1579">
        <v>10.438982028450004</v>
      </c>
      <c r="U1579">
        <f t="shared" si="173"/>
        <v>7.3865894032195154</v>
      </c>
      <c r="V1579" t="str">
        <f t="shared" si="170"/>
        <v>2015/16Expenditure driversDiversions (Excluding Rail Electrification)DNO Baseline</v>
      </c>
    </row>
    <row r="1580" spans="1:22">
      <c r="A1580" t="s">
        <v>138</v>
      </c>
      <c r="C1580" t="s">
        <v>1344</v>
      </c>
      <c r="D1580" t="s">
        <v>66</v>
      </c>
      <c r="E1580" t="s">
        <v>1348</v>
      </c>
      <c r="F1580" t="s">
        <v>1289</v>
      </c>
      <c r="G1580">
        <v>4.209769878453387</v>
      </c>
      <c r="H1580">
        <v>4.4623097572555217</v>
      </c>
      <c r="I1580">
        <v>6.373188136356184</v>
      </c>
      <c r="J1580">
        <v>11.681330452403513</v>
      </c>
      <c r="K1580">
        <v>11.527323970843378</v>
      </c>
      <c r="L1580">
        <v>4.7657801509343862</v>
      </c>
      <c r="M1580">
        <v>10.128297012721513</v>
      </c>
      <c r="N1580">
        <v>5.694247970326904</v>
      </c>
      <c r="O1580">
        <v>10.055644021957812</v>
      </c>
      <c r="P1580">
        <v>17.062912949307851</v>
      </c>
      <c r="Q1580">
        <v>1.8416676516126846</v>
      </c>
      <c r="R1580">
        <v>4.1056940167723681</v>
      </c>
      <c r="S1580">
        <v>0.67711231504059866</v>
      </c>
      <c r="T1580">
        <v>10.117493003420785</v>
      </c>
      <c r="U1580">
        <f t="shared" si="173"/>
        <v>7.3359122348147778</v>
      </c>
      <c r="V1580" t="str">
        <f t="shared" si="170"/>
        <v>2016/17Expenditure driversDiversions (Excluding Rail Electrification)DNO Baseline</v>
      </c>
    </row>
    <row r="1581" spans="1:22">
      <c r="A1581" t="s">
        <v>139</v>
      </c>
      <c r="C1581" t="s">
        <v>1344</v>
      </c>
      <c r="D1581" t="s">
        <v>66</v>
      </c>
      <c r="E1581" t="s">
        <v>1348</v>
      </c>
      <c r="F1581" t="s">
        <v>1289</v>
      </c>
      <c r="G1581">
        <v>4.5121796686795497</v>
      </c>
      <c r="H1581">
        <v>3.9965321768890334</v>
      </c>
      <c r="I1581">
        <v>5.7579025936485211</v>
      </c>
      <c r="J1581">
        <v>11.419693679407896</v>
      </c>
      <c r="K1581">
        <v>11.345012732577832</v>
      </c>
      <c r="L1581">
        <v>4.6924082370681743</v>
      </c>
      <c r="M1581">
        <v>10.082643392692434</v>
      </c>
      <c r="N1581">
        <v>4.7107910402409523</v>
      </c>
      <c r="O1581">
        <v>9.0780337637124511</v>
      </c>
      <c r="P1581">
        <v>17.649164383894501</v>
      </c>
      <c r="Q1581">
        <v>1.8369933703659134</v>
      </c>
      <c r="R1581">
        <v>3.7550743286090493</v>
      </c>
      <c r="S1581">
        <v>0.65069871667105916</v>
      </c>
      <c r="T1581">
        <v>9.3678577965182477</v>
      </c>
      <c r="U1581">
        <f t="shared" si="173"/>
        <v>7.0610704200696883</v>
      </c>
      <c r="V1581" t="str">
        <f t="shared" si="170"/>
        <v>2017/18Expenditure driversDiversions (Excluding Rail Electrification)DNO Baseline</v>
      </c>
    </row>
    <row r="1582" spans="1:22">
      <c r="A1582" t="s">
        <v>140</v>
      </c>
      <c r="C1582" t="s">
        <v>1344</v>
      </c>
      <c r="D1582" t="s">
        <v>66</v>
      </c>
      <c r="E1582" t="s">
        <v>1348</v>
      </c>
      <c r="F1582" t="s">
        <v>1289</v>
      </c>
      <c r="G1582">
        <v>4.9879118849644675</v>
      </c>
      <c r="H1582">
        <v>3.9223390344763809</v>
      </c>
      <c r="I1582">
        <v>5.8115168207813328</v>
      </c>
      <c r="J1582">
        <v>12.512275967255558</v>
      </c>
      <c r="K1582">
        <v>11.22386861362587</v>
      </c>
      <c r="L1582">
        <v>4.6486910867344751</v>
      </c>
      <c r="M1582">
        <v>10.066597632300837</v>
      </c>
      <c r="N1582">
        <v>4.3702385220424071</v>
      </c>
      <c r="O1582">
        <v>9.031313099979112</v>
      </c>
      <c r="P1582">
        <v>18.238073461717978</v>
      </c>
      <c r="Q1582">
        <v>1.7765683483222241</v>
      </c>
      <c r="R1582">
        <v>3.5070572706457472</v>
      </c>
      <c r="S1582">
        <v>0.65164815174203616</v>
      </c>
      <c r="T1582">
        <v>9.5093546362132493</v>
      </c>
      <c r="U1582">
        <f t="shared" si="173"/>
        <v>7.1612467522001193</v>
      </c>
      <c r="V1582" t="str">
        <f t="shared" si="170"/>
        <v>2018/19Expenditure driversDiversions (Excluding Rail Electrification)DNO Baseline</v>
      </c>
    </row>
    <row r="1583" spans="1:22">
      <c r="A1583" t="s">
        <v>141</v>
      </c>
      <c r="C1583" t="s">
        <v>1344</v>
      </c>
      <c r="D1583" t="s">
        <v>66</v>
      </c>
      <c r="E1583" t="s">
        <v>1348</v>
      </c>
      <c r="F1583" t="s">
        <v>1289</v>
      </c>
      <c r="G1583">
        <v>4.4944801705794521</v>
      </c>
      <c r="H1583">
        <v>3.7214321826054202</v>
      </c>
      <c r="I1583">
        <v>5.1005566310210773</v>
      </c>
      <c r="J1583">
        <v>11.658892153273658</v>
      </c>
      <c r="K1583">
        <v>11.532725036870255</v>
      </c>
      <c r="L1583">
        <v>4.8981038890836652</v>
      </c>
      <c r="M1583">
        <v>10.278804722440148</v>
      </c>
      <c r="N1583">
        <v>4.4649856295008776</v>
      </c>
      <c r="O1583">
        <v>8.9705401939976621</v>
      </c>
      <c r="P1583">
        <v>17.703342117286955</v>
      </c>
      <c r="Q1583">
        <v>1.7355203396386918</v>
      </c>
      <c r="R1583">
        <v>3.4395338314963002</v>
      </c>
      <c r="S1583">
        <v>0.65468603460031882</v>
      </c>
      <c r="T1583">
        <v>9.1894423865408115</v>
      </c>
      <c r="U1583">
        <f t="shared" si="173"/>
        <v>6.9887889513525225</v>
      </c>
      <c r="V1583" t="str">
        <f t="shared" si="170"/>
        <v>2019/20Expenditure driversDiversions (Excluding Rail Electrification)DNO Baseline</v>
      </c>
    </row>
    <row r="1584" spans="1:22">
      <c r="A1584" t="s">
        <v>126</v>
      </c>
      <c r="C1584" t="s">
        <v>1344</v>
      </c>
      <c r="D1584" t="s">
        <v>66</v>
      </c>
      <c r="E1584" t="s">
        <v>1348</v>
      </c>
      <c r="F1584" t="s">
        <v>1289</v>
      </c>
      <c r="G1584">
        <v>4.4966948873348631</v>
      </c>
      <c r="H1584">
        <v>3.3266741616478779</v>
      </c>
      <c r="I1584">
        <v>4.9135628378144807</v>
      </c>
      <c r="J1584">
        <v>12.35973078381774</v>
      </c>
      <c r="K1584">
        <v>11.546084686883185</v>
      </c>
      <c r="L1584">
        <v>5.0462443737271832</v>
      </c>
      <c r="M1584">
        <v>10.502536397156021</v>
      </c>
      <c r="N1584">
        <v>4.4154245557727183</v>
      </c>
      <c r="O1584">
        <v>9.59289862273857</v>
      </c>
      <c r="P1584">
        <v>15.705827015622345</v>
      </c>
      <c r="Q1584">
        <v>1.698941679109397</v>
      </c>
      <c r="R1584">
        <v>3.466706607433768</v>
      </c>
      <c r="S1584">
        <v>0.66079934498895021</v>
      </c>
      <c r="T1584">
        <v>8.8398523680224717</v>
      </c>
      <c r="U1584">
        <f t="shared" si="173"/>
        <v>6.8979984515763979</v>
      </c>
      <c r="V1584" t="str">
        <f t="shared" si="170"/>
        <v>2020/21Expenditure driversDiversions (Excluding Rail Electrification)DNO Baseline</v>
      </c>
    </row>
    <row r="1585" spans="1:22">
      <c r="A1585" t="s">
        <v>142</v>
      </c>
      <c r="C1585" t="s">
        <v>1344</v>
      </c>
      <c r="D1585" t="s">
        <v>66</v>
      </c>
      <c r="E1585" t="s">
        <v>1348</v>
      </c>
      <c r="F1585" t="s">
        <v>1289</v>
      </c>
      <c r="G1585">
        <v>4.4576688212390918</v>
      </c>
      <c r="H1585">
        <v>3.0497198880958027</v>
      </c>
      <c r="I1585">
        <v>4.0854522056096236</v>
      </c>
      <c r="J1585">
        <v>11.667273106996145</v>
      </c>
      <c r="K1585">
        <v>11.735904439405521</v>
      </c>
      <c r="L1585">
        <v>5.2247634434256076</v>
      </c>
      <c r="M1585">
        <v>10.922374138151664</v>
      </c>
      <c r="N1585">
        <v>4.0398501955360091</v>
      </c>
      <c r="O1585">
        <v>9.7270873171606151</v>
      </c>
      <c r="P1585">
        <v>15.322565996056463</v>
      </c>
      <c r="Q1585">
        <v>1.5477353845993824</v>
      </c>
      <c r="R1585">
        <v>3.0128747533976088</v>
      </c>
      <c r="S1585">
        <v>0.64181470222152026</v>
      </c>
      <c r="T1585">
        <v>8.6991387129679811</v>
      </c>
      <c r="U1585">
        <f t="shared" si="173"/>
        <v>6.7238730789187882</v>
      </c>
      <c r="V1585" t="str">
        <f t="shared" si="170"/>
        <v>2021/22Expenditure driversDiversions (Excluding Rail Electrification)DNO Baseline</v>
      </c>
    </row>
    <row r="1586" spans="1:22">
      <c r="A1586" t="s">
        <v>143</v>
      </c>
      <c r="C1586" t="s">
        <v>1344</v>
      </c>
      <c r="D1586" t="s">
        <v>66</v>
      </c>
      <c r="E1586" t="s">
        <v>1348</v>
      </c>
      <c r="F1586" t="s">
        <v>1289</v>
      </c>
      <c r="G1586">
        <v>4.3560696626815387</v>
      </c>
      <c r="H1586">
        <v>3.0533925333634415</v>
      </c>
      <c r="I1586">
        <v>4.1314679744705787</v>
      </c>
      <c r="J1586">
        <v>11.797135401312449</v>
      </c>
      <c r="K1586">
        <v>11.986205196444072</v>
      </c>
      <c r="L1586">
        <v>5.4396176662251268</v>
      </c>
      <c r="M1586">
        <v>11.097168606435719</v>
      </c>
      <c r="N1586">
        <v>3.8158011255386226</v>
      </c>
      <c r="O1586">
        <v>8.4944494237916413</v>
      </c>
      <c r="P1586">
        <v>14.484659595786276</v>
      </c>
      <c r="Q1586">
        <v>1.5000508678831694</v>
      </c>
      <c r="R1586">
        <v>2.6406842473707015</v>
      </c>
      <c r="S1586">
        <v>0.64531725990942101</v>
      </c>
      <c r="T1586">
        <v>8.9943113803736079</v>
      </c>
      <c r="U1586">
        <f t="shared" si="173"/>
        <v>6.6025950672561677</v>
      </c>
      <c r="V1586" t="str">
        <f t="shared" si="170"/>
        <v>2022/23Expenditure driversDiversions (Excluding Rail Electrification)DNO Baseline</v>
      </c>
    </row>
    <row r="1587" spans="1:22">
      <c r="A1587" t="s">
        <v>137</v>
      </c>
      <c r="C1587" t="s">
        <v>1344</v>
      </c>
      <c r="D1587" t="s">
        <v>66</v>
      </c>
      <c r="E1587" t="s">
        <v>1349</v>
      </c>
      <c r="F1587" t="s">
        <v>1289</v>
      </c>
      <c r="G1587" cm="1">
        <f t="array" ref="G1587:T1593">TRANSPOSE('Ch4 expenditure drivers'!W354:AC367)</f>
        <v>5.1154472720164978</v>
      </c>
      <c r="H1587">
        <v>8.4527652018810056</v>
      </c>
      <c r="I1587">
        <v>4.1734796474366993</v>
      </c>
      <c r="J1587">
        <v>9.4597270879186546</v>
      </c>
      <c r="K1587">
        <v>14.402600005396385</v>
      </c>
      <c r="L1587">
        <v>5.2211284054071765</v>
      </c>
      <c r="M1587">
        <v>7.5846209248630663</v>
      </c>
      <c r="N1587">
        <v>1.3667728881137453</v>
      </c>
      <c r="O1587">
        <v>7.0855560008071601</v>
      </c>
      <c r="P1587">
        <v>12.266275338442535</v>
      </c>
      <c r="Q1587">
        <v>2.738684284039008</v>
      </c>
      <c r="R1587">
        <v>4.3411892095774203</v>
      </c>
      <c r="S1587">
        <v>0.66883315659140363</v>
      </c>
      <c r="T1587">
        <v>7.2286458006498799</v>
      </c>
      <c r="U1587">
        <f t="shared" si="173"/>
        <v>6.4361232302243323</v>
      </c>
      <c r="V1587" t="str">
        <f t="shared" si="170"/>
        <v>2015/16Expenditure driversDiversions (Excluding Rail Electrification)DNO Actual</v>
      </c>
    </row>
    <row r="1588" spans="1:22">
      <c r="A1588" t="s">
        <v>138</v>
      </c>
      <c r="C1588" t="s">
        <v>1344</v>
      </c>
      <c r="D1588" t="s">
        <v>66</v>
      </c>
      <c r="E1588" t="s">
        <v>1349</v>
      </c>
      <c r="F1588" t="s">
        <v>1289</v>
      </c>
      <c r="G1588">
        <v>5.7034955832810859</v>
      </c>
      <c r="H1588">
        <v>4.1762615271407535</v>
      </c>
      <c r="I1588">
        <v>7.1134755169363135</v>
      </c>
      <c r="J1588">
        <v>9.5088058658374592</v>
      </c>
      <c r="K1588">
        <v>11.930157875709455</v>
      </c>
      <c r="L1588">
        <v>5.0444344282091533</v>
      </c>
      <c r="M1588">
        <v>15.871650670208915</v>
      </c>
      <c r="N1588">
        <v>2.4040410490352557</v>
      </c>
      <c r="O1588">
        <v>11.355773182961071</v>
      </c>
      <c r="P1588">
        <v>27.960789016384268</v>
      </c>
      <c r="Q1588">
        <v>2.5950322840241347</v>
      </c>
      <c r="R1588">
        <v>4.1677035615335996</v>
      </c>
      <c r="S1588">
        <v>1.364281193833474</v>
      </c>
      <c r="T1588">
        <v>9.0094669303649937</v>
      </c>
      <c r="U1588">
        <f t="shared" si="173"/>
        <v>8.4432406203899948</v>
      </c>
      <c r="V1588" t="str">
        <f t="shared" si="170"/>
        <v>2016/17Expenditure driversDiversions (Excluding Rail Electrification)DNO Actual</v>
      </c>
    </row>
    <row r="1589" spans="1:22">
      <c r="A1589" t="s">
        <v>139</v>
      </c>
      <c r="C1589" t="s">
        <v>1344</v>
      </c>
      <c r="D1589" t="s">
        <v>66</v>
      </c>
      <c r="E1589" t="s">
        <v>1349</v>
      </c>
      <c r="F1589" t="s">
        <v>1289</v>
      </c>
      <c r="G1589">
        <v>3.2825513238633177</v>
      </c>
      <c r="H1589">
        <v>3.9939848739073347</v>
      </c>
      <c r="I1589">
        <v>5.9047419102089806</v>
      </c>
      <c r="J1589">
        <v>10.786874050955229</v>
      </c>
      <c r="K1589">
        <v>16.292365443712079</v>
      </c>
      <c r="L1589">
        <v>4.1439742371993535</v>
      </c>
      <c r="M1589">
        <v>13.30447535539162</v>
      </c>
      <c r="N1589">
        <v>2.7762469714406586</v>
      </c>
      <c r="O1589">
        <v>12.183186821911688</v>
      </c>
      <c r="P1589">
        <v>20.134190610810652</v>
      </c>
      <c r="Q1589">
        <v>1.5508557029147934</v>
      </c>
      <c r="R1589">
        <v>6.854868066875019</v>
      </c>
      <c r="S1589">
        <v>1.8511945934256553</v>
      </c>
      <c r="T1589">
        <v>9.0353444035264143</v>
      </c>
      <c r="U1589">
        <f t="shared" si="173"/>
        <v>8.0067753118673419</v>
      </c>
      <c r="V1589" t="str">
        <f t="shared" si="170"/>
        <v>2017/18Expenditure driversDiversions (Excluding Rail Electrification)DNO Actual</v>
      </c>
    </row>
    <row r="1590" spans="1:22">
      <c r="A1590" t="s">
        <v>140</v>
      </c>
      <c r="C1590" t="s">
        <v>1344</v>
      </c>
      <c r="D1590" t="s">
        <v>66</v>
      </c>
      <c r="E1590" t="s">
        <v>1349</v>
      </c>
      <c r="F1590" t="s">
        <v>1289</v>
      </c>
      <c r="G1590">
        <v>4.1690927773161013</v>
      </c>
      <c r="H1590">
        <v>4.7992963959285948</v>
      </c>
      <c r="I1590">
        <v>7.2425325493149542</v>
      </c>
      <c r="J1590">
        <v>13.188531138548859</v>
      </c>
      <c r="K1590">
        <v>14.554160973216428</v>
      </c>
      <c r="L1590">
        <v>6.7764191064142212</v>
      </c>
      <c r="M1590">
        <v>7.8426515686108393</v>
      </c>
      <c r="N1590">
        <v>1.6848768901347462</v>
      </c>
      <c r="O1590">
        <v>11.544976315580447</v>
      </c>
      <c r="P1590">
        <v>18.878489116548458</v>
      </c>
      <c r="Q1590">
        <v>1.4432063298989206</v>
      </c>
      <c r="R1590">
        <v>5.6742781932697577</v>
      </c>
      <c r="S1590">
        <v>3.2850632045004029</v>
      </c>
      <c r="T1590">
        <v>14.103120918364466</v>
      </c>
      <c r="U1590">
        <f t="shared" si="173"/>
        <v>8.2276211055462287</v>
      </c>
      <c r="V1590" t="str">
        <f t="shared" ref="V1590:V1659" si="174">CONCATENATE(A1590,B1590,C1590,D1590,E1590)</f>
        <v>2018/19Expenditure driversDiversions (Excluding Rail Electrification)DNO Actual</v>
      </c>
    </row>
    <row r="1591" spans="1:22">
      <c r="A1591" t="s">
        <v>141</v>
      </c>
      <c r="C1591" t="s">
        <v>1344</v>
      </c>
      <c r="D1591" t="s">
        <v>66</v>
      </c>
      <c r="E1591" t="s">
        <v>1349</v>
      </c>
      <c r="F1591" t="s">
        <v>1289</v>
      </c>
      <c r="G1591">
        <v>3.9554833590547229</v>
      </c>
      <c r="H1591">
        <v>6.5742861514564108</v>
      </c>
      <c r="I1591">
        <v>7.755138447937699</v>
      </c>
      <c r="J1591">
        <v>8.8279661996545595</v>
      </c>
      <c r="K1591">
        <v>19.717457728752212</v>
      </c>
      <c r="L1591">
        <v>3.0414350376064023</v>
      </c>
      <c r="M1591">
        <v>21.859812494408928</v>
      </c>
      <c r="N1591">
        <v>0.29369361909899511</v>
      </c>
      <c r="O1591">
        <v>9.688758328395437</v>
      </c>
      <c r="P1591">
        <v>17.224323407652822</v>
      </c>
      <c r="Q1591">
        <v>2.6401237015204342</v>
      </c>
      <c r="R1591">
        <v>7.0556956071553003</v>
      </c>
      <c r="S1591">
        <v>3.0608172619396381</v>
      </c>
      <c r="T1591">
        <v>15.142552953073608</v>
      </c>
      <c r="U1591">
        <f>AVERAGE(G1591:T1591)</f>
        <v>9.0598245926933689</v>
      </c>
      <c r="V1591" t="str">
        <f t="shared" si="174"/>
        <v>2019/20Expenditure driversDiversions (Excluding Rail Electrification)DNO Actual</v>
      </c>
    </row>
    <row r="1592" spans="1:22">
      <c r="A1592" t="s">
        <v>126</v>
      </c>
      <c r="C1592" t="s">
        <v>1344</v>
      </c>
      <c r="D1592" t="s">
        <v>66</v>
      </c>
      <c r="E1592" t="s">
        <v>1349</v>
      </c>
      <c r="F1592" t="s">
        <v>1289</v>
      </c>
      <c r="G1592">
        <v>3.9717164502680693</v>
      </c>
      <c r="H1592">
        <v>6.7095866104546467</v>
      </c>
      <c r="I1592">
        <v>6.6722775465609807</v>
      </c>
      <c r="J1592">
        <v>5.9180597898472644</v>
      </c>
      <c r="K1592">
        <v>2.5682405708322156</v>
      </c>
      <c r="L1592">
        <v>5.1736085074124585</v>
      </c>
      <c r="M1592">
        <v>4.0525947689577704</v>
      </c>
      <c r="N1592">
        <v>4.2321787621575373</v>
      </c>
      <c r="O1592">
        <v>8.084224667046028</v>
      </c>
      <c r="P1592">
        <v>14.56279635783617</v>
      </c>
      <c r="Q1592">
        <v>3.4579937975901447</v>
      </c>
      <c r="R1592">
        <v>7.7761054505941267</v>
      </c>
      <c r="S1592">
        <v>3.1454615560410928</v>
      </c>
      <c r="T1592">
        <v>14.902245296818615</v>
      </c>
      <c r="U1592">
        <f>AVERAGE(G1592:T1592)</f>
        <v>6.5162207237440812</v>
      </c>
      <c r="V1592" t="str">
        <f t="shared" si="174"/>
        <v>2020/21Expenditure driversDiversions (Excluding Rail Electrification)DNO Actual</v>
      </c>
    </row>
    <row r="1593" spans="1:22">
      <c r="A1593" t="s">
        <v>142</v>
      </c>
      <c r="C1593" t="s">
        <v>1344</v>
      </c>
      <c r="D1593" t="s">
        <v>66</v>
      </c>
      <c r="E1593" t="s">
        <v>1349</v>
      </c>
      <c r="F1593" t="s">
        <v>1289</v>
      </c>
      <c r="G1593">
        <v>5.2962082473672361</v>
      </c>
      <c r="H1593">
        <v>3.7467412518783738</v>
      </c>
      <c r="I1593">
        <v>7.663974916669039</v>
      </c>
      <c r="J1593">
        <v>9.1849999999999987</v>
      </c>
      <c r="K1593">
        <v>0.45200000000000051</v>
      </c>
      <c r="L1593">
        <v>3.4264000000000001</v>
      </c>
      <c r="M1593">
        <v>-0.21379999999999952</v>
      </c>
      <c r="N1593">
        <v>2.4379488278842096</v>
      </c>
      <c r="O1593">
        <v>7.4030491268314895</v>
      </c>
      <c r="P1593">
        <v>17.125129352941919</v>
      </c>
      <c r="Q1593">
        <v>4.8794151902552194</v>
      </c>
      <c r="R1593">
        <v>4.2781401045111611</v>
      </c>
      <c r="S1593">
        <v>3.3973637299999995</v>
      </c>
      <c r="T1593">
        <v>13.889055719999998</v>
      </c>
      <c r="U1593">
        <f>AVERAGE(G1593:T1593)</f>
        <v>5.9261876048813322</v>
      </c>
      <c r="V1593" t="str">
        <f t="shared" ref="V1593" si="175">CONCATENATE(A1593,B1593,C1593,D1593,E1593)</f>
        <v>2021/22Expenditure driversDiversions (Excluding Rail Electrification)DNO Actual</v>
      </c>
    </row>
    <row r="1594" spans="1:22">
      <c r="A1594" t="s">
        <v>137</v>
      </c>
      <c r="C1594" t="s">
        <v>1344</v>
      </c>
      <c r="D1594" t="s">
        <v>66</v>
      </c>
      <c r="E1594" t="s">
        <v>297</v>
      </c>
      <c r="F1594" t="s">
        <v>1289</v>
      </c>
      <c r="G1594">
        <f t="array" ref="G1594:T1597">TRANSPOSE('Ch4 expenditure drivers'!AF354:AI367)</f>
        <v>4.601406775956832</v>
      </c>
      <c r="H1594">
        <v>4.950611299026348</v>
      </c>
      <c r="I1594">
        <v>6.5985168609353391</v>
      </c>
      <c r="J1594">
        <v>12.048313413065394</v>
      </c>
      <c r="K1594">
        <v>11.867626324697065</v>
      </c>
      <c r="L1594">
        <v>4.8455563811405717</v>
      </c>
      <c r="M1594">
        <v>10.21617059636695</v>
      </c>
      <c r="N1594">
        <v>5.7495194456609608</v>
      </c>
      <c r="O1594">
        <v>9.0789685427089033</v>
      </c>
      <c r="P1594">
        <v>16.689888366595113</v>
      </c>
      <c r="Q1594">
        <v>1.8459782321044109</v>
      </c>
      <c r="R1594">
        <v>3.8218623067687947</v>
      </c>
      <c r="S1594">
        <v>0.65885107159652945</v>
      </c>
      <c r="T1594">
        <v>10.438982028450004</v>
      </c>
      <c r="U1594">
        <f t="shared" si="173"/>
        <v>7.3865894032195154</v>
      </c>
      <c r="V1594" t="str">
        <f t="shared" si="174"/>
        <v>2015/16Expenditure driversDiversions (Excluding Rail Electrification)Allowance</v>
      </c>
    </row>
    <row r="1595" spans="1:22">
      <c r="A1595" t="s">
        <v>137</v>
      </c>
      <c r="C1595" t="s">
        <v>1344</v>
      </c>
      <c r="D1595" t="s">
        <v>66</v>
      </c>
      <c r="E1595" t="s">
        <v>298</v>
      </c>
      <c r="F1595" t="s">
        <v>1289</v>
      </c>
      <c r="G1595">
        <v>5.1154472720164978</v>
      </c>
      <c r="H1595">
        <v>8.4527652018810056</v>
      </c>
      <c r="I1595">
        <v>4.1734796474366993</v>
      </c>
      <c r="J1595">
        <v>9.4597270879186546</v>
      </c>
      <c r="K1595">
        <v>14.402600005396385</v>
      </c>
      <c r="L1595">
        <v>5.2211284054071765</v>
      </c>
      <c r="M1595">
        <v>7.5846209248630663</v>
      </c>
      <c r="N1595">
        <v>1.3667728881137453</v>
      </c>
      <c r="O1595">
        <v>7.0855560008071601</v>
      </c>
      <c r="P1595">
        <v>12.266275338442535</v>
      </c>
      <c r="Q1595">
        <v>2.738684284039008</v>
      </c>
      <c r="R1595">
        <v>4.3411892095774203</v>
      </c>
      <c r="S1595">
        <v>0.66883315659140363</v>
      </c>
      <c r="T1595">
        <v>7.2286458006498799</v>
      </c>
      <c r="U1595">
        <f t="shared" si="173"/>
        <v>6.4361232302243323</v>
      </c>
      <c r="V1595" t="str">
        <f t="shared" si="174"/>
        <v>2015/16Expenditure driversDiversions (Excluding Rail Electrification)Actual</v>
      </c>
    </row>
    <row r="1596" spans="1:22">
      <c r="A1596" t="s">
        <v>137</v>
      </c>
      <c r="C1596" t="s">
        <v>1344</v>
      </c>
      <c r="D1596" t="s">
        <v>66</v>
      </c>
      <c r="E1596" t="s">
        <v>602</v>
      </c>
      <c r="F1596" t="s">
        <v>1289</v>
      </c>
      <c r="G1596">
        <v>0.51404049605966584</v>
      </c>
      <c r="H1596">
        <v>3.5021539028546576</v>
      </c>
      <c r="I1596">
        <v>-2.4250372134986398</v>
      </c>
      <c r="J1596">
        <v>-2.5885863251467391</v>
      </c>
      <c r="K1596">
        <v>2.5349736806993199</v>
      </c>
      <c r="L1596">
        <v>0.37557202426660474</v>
      </c>
      <c r="M1596">
        <v>-2.6315496715038842</v>
      </c>
      <c r="N1596">
        <v>-4.3827465575472155</v>
      </c>
      <c r="O1596">
        <v>-1.9934125419017432</v>
      </c>
      <c r="P1596">
        <v>-4.4236130281525785</v>
      </c>
      <c r="Q1596">
        <v>0.89270605193459707</v>
      </c>
      <c r="R1596">
        <v>0.51932690280862559</v>
      </c>
      <c r="S1596">
        <v>9.9820849948741852E-3</v>
      </c>
      <c r="T1596">
        <v>-3.2103362278001244</v>
      </c>
      <c r="U1596">
        <f>U1595-U1594</f>
        <v>-0.9504661729951831</v>
      </c>
      <c r="V1596" t="str">
        <f t="shared" si="174"/>
        <v>2015/16Expenditure driversDiversions (Excluding Rail Electrification)Difference</v>
      </c>
    </row>
    <row r="1597" spans="1:22">
      <c r="A1597" t="s">
        <v>137</v>
      </c>
      <c r="C1597" t="s">
        <v>1344</v>
      </c>
      <c r="D1597" t="s">
        <v>66</v>
      </c>
      <c r="E1597" t="s">
        <v>1346</v>
      </c>
      <c r="F1597" t="s">
        <v>606</v>
      </c>
      <c r="G1597" s="829">
        <v>0.11171376952492415</v>
      </c>
      <c r="H1597" s="829">
        <v>0.70741847649065825</v>
      </c>
      <c r="I1597" s="829">
        <v>-0.36751246751453948</v>
      </c>
      <c r="J1597" s="829">
        <v>-0.21485051362787697</v>
      </c>
      <c r="K1597" s="829">
        <v>0.2136041034106311</v>
      </c>
      <c r="L1597" s="829">
        <v>7.7508544886273859E-2</v>
      </c>
      <c r="M1597" s="829">
        <v>-0.25758670009286155</v>
      </c>
      <c r="N1597" s="829">
        <v>-0.76228049995635383</v>
      </c>
      <c r="O1597" s="829">
        <v>-0.21956376790209323</v>
      </c>
      <c r="P1597" s="829">
        <v>-0.26504749049169557</v>
      </c>
      <c r="Q1597" s="829">
        <v>0.48359511309996012</v>
      </c>
      <c r="R1597" s="829">
        <v>0.13588320591478664</v>
      </c>
      <c r="S1597" s="829">
        <v>1.5150745631612277E-2</v>
      </c>
      <c r="T1597" s="829">
        <v>-0.30753345671549165</v>
      </c>
      <c r="U1597" s="829">
        <f>U1596/U1594</f>
        <v>-0.12867456428279517</v>
      </c>
      <c r="V1597" t="str">
        <f t="shared" si="174"/>
        <v>2015/16Expenditure driversDiversions (Excluding Rail Electrification)Difference %</v>
      </c>
    </row>
    <row r="1598" spans="1:22">
      <c r="A1598" t="s">
        <v>138</v>
      </c>
      <c r="C1598" t="s">
        <v>1344</v>
      </c>
      <c r="D1598" t="s">
        <v>66</v>
      </c>
      <c r="E1598" t="s">
        <v>297</v>
      </c>
      <c r="F1598" t="s">
        <v>1289</v>
      </c>
      <c r="G1598">
        <f t="array" ref="G1598:T1601">TRANSPOSE('Ch4 expenditure drivers'!AK354:AN367)</f>
        <v>4.209769878453387</v>
      </c>
      <c r="H1598">
        <v>4.4623097572555217</v>
      </c>
      <c r="I1598">
        <v>6.373188136356184</v>
      </c>
      <c r="J1598">
        <v>11.681330452403513</v>
      </c>
      <c r="K1598">
        <v>11.527323970843378</v>
      </c>
      <c r="L1598">
        <v>4.7657801509343862</v>
      </c>
      <c r="M1598">
        <v>10.128297012721513</v>
      </c>
      <c r="N1598">
        <v>5.694247970326904</v>
      </c>
      <c r="O1598">
        <v>10.055644021957812</v>
      </c>
      <c r="P1598">
        <v>17.062912949307851</v>
      </c>
      <c r="Q1598">
        <v>1.8416676516126846</v>
      </c>
      <c r="R1598">
        <v>4.1056940167723681</v>
      </c>
      <c r="S1598">
        <v>0.67711231504059866</v>
      </c>
      <c r="T1598">
        <v>10.117493003420785</v>
      </c>
      <c r="U1598">
        <f t="shared" si="173"/>
        <v>7.3359122348147778</v>
      </c>
      <c r="V1598" t="str">
        <f t="shared" si="174"/>
        <v>2016/17Expenditure driversDiversions (Excluding Rail Electrification)Allowance</v>
      </c>
    </row>
    <row r="1599" spans="1:22">
      <c r="A1599" t="s">
        <v>138</v>
      </c>
      <c r="C1599" t="s">
        <v>1344</v>
      </c>
      <c r="D1599" t="s">
        <v>66</v>
      </c>
      <c r="E1599" t="s">
        <v>298</v>
      </c>
      <c r="F1599" t="s">
        <v>1289</v>
      </c>
      <c r="G1599">
        <v>5.7034955832810859</v>
      </c>
      <c r="H1599">
        <v>4.1762615271407535</v>
      </c>
      <c r="I1599">
        <v>7.1134755169363135</v>
      </c>
      <c r="J1599">
        <v>9.5088058658374592</v>
      </c>
      <c r="K1599">
        <v>11.930157875709455</v>
      </c>
      <c r="L1599">
        <v>5.0444344282091533</v>
      </c>
      <c r="M1599">
        <v>15.871650670208915</v>
      </c>
      <c r="N1599">
        <v>2.4040410490352557</v>
      </c>
      <c r="O1599">
        <v>11.355773182961071</v>
      </c>
      <c r="P1599">
        <v>27.960789016384268</v>
      </c>
      <c r="Q1599">
        <v>2.5950322840241347</v>
      </c>
      <c r="R1599">
        <v>4.1677035615335996</v>
      </c>
      <c r="S1599">
        <v>1.364281193833474</v>
      </c>
      <c r="T1599">
        <v>9.0094669303649937</v>
      </c>
      <c r="U1599">
        <f t="shared" si="173"/>
        <v>8.4432406203899948</v>
      </c>
      <c r="V1599" t="str">
        <f t="shared" si="174"/>
        <v>2016/17Expenditure driversDiversions (Excluding Rail Electrification)Actual</v>
      </c>
    </row>
    <row r="1600" spans="1:22">
      <c r="A1600" t="s">
        <v>138</v>
      </c>
      <c r="C1600" t="s">
        <v>1344</v>
      </c>
      <c r="D1600" t="s">
        <v>66</v>
      </c>
      <c r="E1600" t="s">
        <v>602</v>
      </c>
      <c r="F1600" t="s">
        <v>1289</v>
      </c>
      <c r="G1600">
        <v>1.4937257048276988</v>
      </c>
      <c r="H1600">
        <v>-0.28604823011476821</v>
      </c>
      <c r="I1600">
        <v>0.74028738058012955</v>
      </c>
      <c r="J1600">
        <v>-2.1725245865660536</v>
      </c>
      <c r="K1600">
        <v>0.40283390486607651</v>
      </c>
      <c r="L1600">
        <v>0.2786542772747671</v>
      </c>
      <c r="M1600">
        <v>5.7433536574874022</v>
      </c>
      <c r="N1600">
        <v>-3.2902069212916483</v>
      </c>
      <c r="O1600">
        <v>1.3001291610032588</v>
      </c>
      <c r="P1600">
        <v>10.897876067076417</v>
      </c>
      <c r="Q1600">
        <v>0.75336463241145002</v>
      </c>
      <c r="R1600">
        <v>6.2009544761231439E-2</v>
      </c>
      <c r="S1600">
        <v>0.68716887879287536</v>
      </c>
      <c r="T1600">
        <v>-1.1080260730557914</v>
      </c>
      <c r="U1600">
        <f>U1599-U1598</f>
        <v>1.107328385575217</v>
      </c>
      <c r="V1600" t="str">
        <f t="shared" si="174"/>
        <v>2016/17Expenditure driversDiversions (Excluding Rail Electrification)Difference</v>
      </c>
    </row>
    <row r="1601" spans="1:22">
      <c r="A1601" t="s">
        <v>138</v>
      </c>
      <c r="C1601" t="s">
        <v>1344</v>
      </c>
      <c r="D1601" t="s">
        <v>66</v>
      </c>
      <c r="E1601" t="s">
        <v>1346</v>
      </c>
      <c r="F1601" t="s">
        <v>606</v>
      </c>
      <c r="G1601" s="829">
        <v>0.35482360032859411</v>
      </c>
      <c r="H1601" s="829">
        <v>-6.410317653310961E-2</v>
      </c>
      <c r="I1601" s="829">
        <v>0.11615652397849698</v>
      </c>
      <c r="J1601" s="829">
        <v>-0.18598263232242027</v>
      </c>
      <c r="K1601" s="829">
        <v>3.4946003589817025E-2</v>
      </c>
      <c r="L1601" s="829">
        <v>5.8469813640088644E-2</v>
      </c>
      <c r="M1601" s="829">
        <v>0.56706015337756577</v>
      </c>
      <c r="N1601" s="829">
        <v>-0.57781237108695127</v>
      </c>
      <c r="O1601" s="829">
        <v>0.12929347520300608</v>
      </c>
      <c r="P1601" s="829">
        <v>0.63868790161755384</v>
      </c>
      <c r="Q1601" s="829">
        <v>0.40906654995636954</v>
      </c>
      <c r="R1601" s="829">
        <v>1.5103303974410481E-2</v>
      </c>
      <c r="S1601" s="829">
        <v>1.0148521353531632</v>
      </c>
      <c r="T1601" s="829">
        <v>-0.10951587242819551</v>
      </c>
      <c r="U1601" s="829">
        <f>U1600/U1598</f>
        <v>0.15094624228464146</v>
      </c>
      <c r="V1601" t="str">
        <f t="shared" si="174"/>
        <v>2016/17Expenditure driversDiversions (Excluding Rail Electrification)Difference %</v>
      </c>
    </row>
    <row r="1602" spans="1:22">
      <c r="A1602" t="s">
        <v>139</v>
      </c>
      <c r="C1602" t="s">
        <v>1344</v>
      </c>
      <c r="D1602" t="s">
        <v>66</v>
      </c>
      <c r="E1602" t="s">
        <v>297</v>
      </c>
      <c r="F1602" t="s">
        <v>1289</v>
      </c>
      <c r="G1602">
        <f t="array" ref="G1602:T1605">TRANSPOSE('Ch4 expenditure drivers'!AP354:AS367)</f>
        <v>4.5121796686795497</v>
      </c>
      <c r="H1602">
        <v>3.9965321768890334</v>
      </c>
      <c r="I1602">
        <v>5.7579025936485211</v>
      </c>
      <c r="J1602">
        <v>11.419693679407896</v>
      </c>
      <c r="K1602">
        <v>11.345012732577832</v>
      </c>
      <c r="L1602">
        <v>4.6924082370681743</v>
      </c>
      <c r="M1602">
        <v>10.082643392692434</v>
      </c>
      <c r="N1602">
        <v>4.7107910402409523</v>
      </c>
      <c r="O1602">
        <v>9.0780337637124511</v>
      </c>
      <c r="P1602">
        <v>17.649164383894501</v>
      </c>
      <c r="Q1602">
        <v>1.8369933703659134</v>
      </c>
      <c r="R1602">
        <v>3.7550743286090493</v>
      </c>
      <c r="S1602">
        <v>0.65069871667105916</v>
      </c>
      <c r="T1602">
        <v>9.3678577965182477</v>
      </c>
      <c r="U1602">
        <f t="shared" si="173"/>
        <v>7.0610704200696883</v>
      </c>
      <c r="V1602" t="str">
        <f t="shared" si="174"/>
        <v>2017/18Expenditure driversDiversions (Excluding Rail Electrification)Allowance</v>
      </c>
    </row>
    <row r="1603" spans="1:22">
      <c r="A1603" t="s">
        <v>139</v>
      </c>
      <c r="C1603" t="s">
        <v>1344</v>
      </c>
      <c r="D1603" t="s">
        <v>66</v>
      </c>
      <c r="E1603" t="s">
        <v>298</v>
      </c>
      <c r="F1603" t="s">
        <v>1289</v>
      </c>
      <c r="G1603">
        <v>3.2825513238633177</v>
      </c>
      <c r="H1603">
        <v>3.9939848739073347</v>
      </c>
      <c r="I1603">
        <v>5.9047419102089806</v>
      </c>
      <c r="J1603">
        <v>10.786874050955229</v>
      </c>
      <c r="K1603">
        <v>16.292365443712079</v>
      </c>
      <c r="L1603">
        <v>4.1439742371993535</v>
      </c>
      <c r="M1603">
        <v>13.30447535539162</v>
      </c>
      <c r="N1603">
        <v>2.7762469714406586</v>
      </c>
      <c r="O1603">
        <v>12.183186821911688</v>
      </c>
      <c r="P1603">
        <v>20.134190610810652</v>
      </c>
      <c r="Q1603">
        <v>1.5508557029147934</v>
      </c>
      <c r="R1603">
        <v>6.854868066875019</v>
      </c>
      <c r="S1603">
        <v>1.8511945934256553</v>
      </c>
      <c r="T1603">
        <v>9.0353444035264143</v>
      </c>
      <c r="U1603">
        <f t="shared" si="173"/>
        <v>8.0067753118673419</v>
      </c>
      <c r="V1603" t="str">
        <f t="shared" si="174"/>
        <v>2017/18Expenditure driversDiversions (Excluding Rail Electrification)Actual</v>
      </c>
    </row>
    <row r="1604" spans="1:22">
      <c r="A1604" t="s">
        <v>139</v>
      </c>
      <c r="C1604" t="s">
        <v>1344</v>
      </c>
      <c r="D1604" t="s">
        <v>66</v>
      </c>
      <c r="E1604" t="s">
        <v>602</v>
      </c>
      <c r="F1604" t="s">
        <v>1289</v>
      </c>
      <c r="G1604">
        <v>-1.229628344816232</v>
      </c>
      <c r="H1604">
        <v>-2.5473029816986958E-3</v>
      </c>
      <c r="I1604">
        <v>0.14683931656045957</v>
      </c>
      <c r="J1604">
        <v>-0.63281962845266726</v>
      </c>
      <c r="K1604">
        <v>4.947352711134247</v>
      </c>
      <c r="L1604">
        <v>-0.5484339998688208</v>
      </c>
      <c r="M1604">
        <v>3.221831962699186</v>
      </c>
      <c r="N1604">
        <v>-1.9345440688002937</v>
      </c>
      <c r="O1604">
        <v>3.105153058199237</v>
      </c>
      <c r="P1604">
        <v>2.4850262269161512</v>
      </c>
      <c r="Q1604">
        <v>-0.28613766745112001</v>
      </c>
      <c r="R1604">
        <v>3.0997937382659697</v>
      </c>
      <c r="S1604">
        <v>1.2004958767545961</v>
      </c>
      <c r="T1604">
        <v>-0.33251339299183336</v>
      </c>
      <c r="U1604">
        <f>U1603-U1602</f>
        <v>0.9457048917976536</v>
      </c>
      <c r="V1604" t="str">
        <f t="shared" si="174"/>
        <v>2017/18Expenditure driversDiversions (Excluding Rail Electrification)Difference</v>
      </c>
    </row>
    <row r="1605" spans="1:22">
      <c r="A1605" t="s">
        <v>139</v>
      </c>
      <c r="C1605" t="s">
        <v>1344</v>
      </c>
      <c r="D1605" t="s">
        <v>66</v>
      </c>
      <c r="E1605" t="s">
        <v>1346</v>
      </c>
      <c r="F1605" t="s">
        <v>606</v>
      </c>
      <c r="G1605" s="829">
        <v>-0.27251316106746964</v>
      </c>
      <c r="H1605" s="829">
        <v>-6.373783242454859E-4</v>
      </c>
      <c r="I1605" s="829">
        <v>2.5502223105065443E-2</v>
      </c>
      <c r="J1605" s="829">
        <v>-5.5414763847280231E-2</v>
      </c>
      <c r="K1605" s="829">
        <v>0.43608172399204542</v>
      </c>
      <c r="L1605" s="829">
        <v>-0.1168768726336316</v>
      </c>
      <c r="M1605" s="829">
        <v>0.31954238955175812</v>
      </c>
      <c r="N1605" s="829">
        <v>-0.41066225444407395</v>
      </c>
      <c r="O1605" s="829">
        <v>0.34205127883655156</v>
      </c>
      <c r="P1605" s="829">
        <v>0.14080135313283315</v>
      </c>
      <c r="Q1605" s="829">
        <v>-0.15576412635290232</v>
      </c>
      <c r="R1605" s="829">
        <v>0.82549464191676658</v>
      </c>
      <c r="S1605" s="829">
        <v>1.8449335245292486</v>
      </c>
      <c r="T1605" s="829">
        <v>-3.5495136691274139E-2</v>
      </c>
      <c r="U1605" s="829">
        <f>U1604/U1602</f>
        <v>0.13393222776955679</v>
      </c>
      <c r="V1605" t="str">
        <f t="shared" si="174"/>
        <v>2017/18Expenditure driversDiversions (Excluding Rail Electrification)Difference %</v>
      </c>
    </row>
    <row r="1606" spans="1:22">
      <c r="A1606" t="s">
        <v>140</v>
      </c>
      <c r="C1606" t="s">
        <v>1344</v>
      </c>
      <c r="D1606" t="s">
        <v>66</v>
      </c>
      <c r="E1606" t="s">
        <v>297</v>
      </c>
      <c r="F1606" t="s">
        <v>1289</v>
      </c>
      <c r="G1606">
        <f t="array" ref="G1606:T1609">TRANSPOSE('Ch4 expenditure drivers'!AU354:AX367)</f>
        <v>4.9879118849644675</v>
      </c>
      <c r="H1606">
        <v>3.9223390344763809</v>
      </c>
      <c r="I1606">
        <v>5.8115168207813328</v>
      </c>
      <c r="J1606">
        <v>12.512275967255558</v>
      </c>
      <c r="K1606">
        <v>11.22386861362587</v>
      </c>
      <c r="L1606">
        <v>4.6486910867344751</v>
      </c>
      <c r="M1606">
        <v>10.066597632300837</v>
      </c>
      <c r="N1606">
        <v>4.3702385220424071</v>
      </c>
      <c r="O1606">
        <v>9.031313099979112</v>
      </c>
      <c r="P1606">
        <v>18.238073461717978</v>
      </c>
      <c r="Q1606">
        <v>1.7765683483222241</v>
      </c>
      <c r="R1606">
        <v>3.5070572706457472</v>
      </c>
      <c r="S1606">
        <v>0.65164815174203616</v>
      </c>
      <c r="T1606">
        <v>9.5093546362132493</v>
      </c>
      <c r="U1606">
        <f>AVERAGE(G1606:T1606)</f>
        <v>7.1612467522001193</v>
      </c>
      <c r="V1606" t="str">
        <f t="shared" si="174"/>
        <v>2018/19Expenditure driversDiversions (Excluding Rail Electrification)Allowance</v>
      </c>
    </row>
    <row r="1607" spans="1:22">
      <c r="A1607" t="s">
        <v>140</v>
      </c>
      <c r="C1607" t="s">
        <v>1344</v>
      </c>
      <c r="D1607" t="s">
        <v>66</v>
      </c>
      <c r="E1607" t="s">
        <v>298</v>
      </c>
      <c r="F1607" t="s">
        <v>1289</v>
      </c>
      <c r="G1607">
        <v>4.1690927773161013</v>
      </c>
      <c r="H1607">
        <v>4.7992963959285948</v>
      </c>
      <c r="I1607">
        <v>7.2425325493149542</v>
      </c>
      <c r="J1607">
        <v>13.188531138548859</v>
      </c>
      <c r="K1607">
        <v>14.554160973216428</v>
      </c>
      <c r="L1607">
        <v>6.7764191064142212</v>
      </c>
      <c r="M1607">
        <v>7.8426515686108393</v>
      </c>
      <c r="N1607">
        <v>1.6848768901347462</v>
      </c>
      <c r="O1607">
        <v>11.544976315580447</v>
      </c>
      <c r="P1607">
        <v>18.878489116548458</v>
      </c>
      <c r="Q1607">
        <v>1.4432063298989206</v>
      </c>
      <c r="R1607">
        <v>5.6742781932697577</v>
      </c>
      <c r="S1607">
        <v>3.2850632045004029</v>
      </c>
      <c r="T1607">
        <v>14.103120918364466</v>
      </c>
      <c r="U1607">
        <f>AVERAGE(G1607:T1607)</f>
        <v>8.2276211055462287</v>
      </c>
      <c r="V1607" t="str">
        <f t="shared" si="174"/>
        <v>2018/19Expenditure driversDiversions (Excluding Rail Electrification)Actual</v>
      </c>
    </row>
    <row r="1608" spans="1:22">
      <c r="A1608" t="s">
        <v>140</v>
      </c>
      <c r="C1608" t="s">
        <v>1344</v>
      </c>
      <c r="D1608" t="s">
        <v>66</v>
      </c>
      <c r="E1608" t="s">
        <v>602</v>
      </c>
      <c r="F1608" t="s">
        <v>1289</v>
      </c>
      <c r="G1608">
        <v>-0.81881910764836618</v>
      </c>
      <c r="H1608">
        <v>0.87695736145221392</v>
      </c>
      <c r="I1608">
        <v>1.4310157285336214</v>
      </c>
      <c r="J1608">
        <v>0.67625517129330071</v>
      </c>
      <c r="K1608">
        <v>3.3302923595905582</v>
      </c>
      <c r="L1608">
        <v>2.1277280196797461</v>
      </c>
      <c r="M1608">
        <v>-2.2239460636899979</v>
      </c>
      <c r="N1608">
        <v>-2.6853616319076608</v>
      </c>
      <c r="O1608">
        <v>2.5136632156013352</v>
      </c>
      <c r="P1608">
        <v>0.64041565483048046</v>
      </c>
      <c r="Q1608">
        <v>-0.33336201842330349</v>
      </c>
      <c r="R1608">
        <v>2.1672209226240104</v>
      </c>
      <c r="S1608">
        <v>2.6334150527583668</v>
      </c>
      <c r="T1608">
        <v>4.5937662821512166</v>
      </c>
      <c r="U1608">
        <f>U1607-U1606</f>
        <v>1.0663743533461094</v>
      </c>
      <c r="V1608" t="str">
        <f t="shared" si="174"/>
        <v>2018/19Expenditure driversDiversions (Excluding Rail Electrification)Difference</v>
      </c>
    </row>
    <row r="1609" spans="1:22">
      <c r="A1609" t="s">
        <v>140</v>
      </c>
      <c r="C1609" t="s">
        <v>1344</v>
      </c>
      <c r="D1609" t="s">
        <v>66</v>
      </c>
      <c r="E1609" t="s">
        <v>1346</v>
      </c>
      <c r="F1609" t="s">
        <v>606</v>
      </c>
      <c r="G1609" s="829">
        <v>-0.16416070021537665</v>
      </c>
      <c r="H1609" s="829">
        <v>0.22358020399154119</v>
      </c>
      <c r="I1609" s="829">
        <v>0.24623790529461595</v>
      </c>
      <c r="J1609" s="829">
        <v>5.4047335038249676E-2</v>
      </c>
      <c r="K1609" s="829">
        <v>0.2967151945762761</v>
      </c>
      <c r="L1609" s="829">
        <v>0.45770475602292438</v>
      </c>
      <c r="M1609" s="829">
        <v>-0.22092330943614852</v>
      </c>
      <c r="N1609" s="829">
        <v>-0.61446569068561308</v>
      </c>
      <c r="O1609" s="829">
        <v>0.27832754636832918</v>
      </c>
      <c r="P1609" s="829">
        <v>3.5114216212294776E-2</v>
      </c>
      <c r="Q1609" s="829">
        <v>-0.18764379019705474</v>
      </c>
      <c r="R1609" s="829">
        <v>0.61795994629564877</v>
      </c>
      <c r="S1609" s="829">
        <v>4.0411609328109321</v>
      </c>
      <c r="T1609" s="829">
        <v>0.48307865863550498</v>
      </c>
      <c r="U1609" s="829">
        <f>U1608/U1606</f>
        <v>0.14890903640745123</v>
      </c>
      <c r="V1609" t="str">
        <f t="shared" si="174"/>
        <v>2018/19Expenditure driversDiversions (Excluding Rail Electrification)Difference %</v>
      </c>
    </row>
    <row r="1610" spans="1:22">
      <c r="A1610" t="s">
        <v>141</v>
      </c>
      <c r="C1610" t="s">
        <v>1344</v>
      </c>
      <c r="D1610" t="s">
        <v>66</v>
      </c>
      <c r="E1610" t="s">
        <v>297</v>
      </c>
      <c r="F1610" t="s">
        <v>1289</v>
      </c>
      <c r="G1610" s="229">
        <f t="array" ref="G1610:T1613">TRANSPOSE('Ch4 expenditure drivers'!AZ354:BC367)</f>
        <v>4.4944801705794521</v>
      </c>
      <c r="H1610" s="229">
        <v>3.7214321826054202</v>
      </c>
      <c r="I1610" s="229">
        <v>5.1005566310210773</v>
      </c>
      <c r="J1610" s="229">
        <v>11.658892153273658</v>
      </c>
      <c r="K1610" s="229">
        <v>11.532725036870255</v>
      </c>
      <c r="L1610" s="229">
        <v>4.8981038890836652</v>
      </c>
      <c r="M1610" s="229">
        <v>10.278804722440148</v>
      </c>
      <c r="N1610" s="229">
        <v>4.4649856295008776</v>
      </c>
      <c r="O1610" s="229">
        <v>8.9705401939976621</v>
      </c>
      <c r="P1610" s="229">
        <v>17.703342117286955</v>
      </c>
      <c r="Q1610" s="229">
        <v>1.7355203396386918</v>
      </c>
      <c r="R1610" s="229">
        <v>3.4395338314963002</v>
      </c>
      <c r="S1610" s="229">
        <v>0.65468603460031882</v>
      </c>
      <c r="T1610" s="229">
        <v>9.1894423865408115</v>
      </c>
      <c r="U1610" s="229">
        <f>AVERAGE(G1610:T1610)</f>
        <v>6.9887889513525225</v>
      </c>
      <c r="V1610" t="str">
        <f t="shared" si="174"/>
        <v>2019/20Expenditure driversDiversions (Excluding Rail Electrification)Allowance</v>
      </c>
    </row>
    <row r="1611" spans="1:22">
      <c r="A1611" t="s">
        <v>141</v>
      </c>
      <c r="C1611" t="s">
        <v>1344</v>
      </c>
      <c r="D1611" t="s">
        <v>66</v>
      </c>
      <c r="E1611" t="s">
        <v>298</v>
      </c>
      <c r="F1611" t="s">
        <v>1289</v>
      </c>
      <c r="G1611" s="229">
        <v>3.9554833590547229</v>
      </c>
      <c r="H1611" s="229">
        <v>6.5742861514564108</v>
      </c>
      <c r="I1611" s="229">
        <v>7.755138447937699</v>
      </c>
      <c r="J1611" s="229">
        <v>8.8279661996545595</v>
      </c>
      <c r="K1611" s="229">
        <v>19.717457728752212</v>
      </c>
      <c r="L1611" s="229">
        <v>3.0414350376064023</v>
      </c>
      <c r="M1611" s="229">
        <v>21.859812494408928</v>
      </c>
      <c r="N1611" s="229">
        <v>0.29369361909899511</v>
      </c>
      <c r="O1611" s="229">
        <v>9.688758328395437</v>
      </c>
      <c r="P1611" s="229">
        <v>17.224323407652822</v>
      </c>
      <c r="Q1611" s="229">
        <v>2.6401237015204342</v>
      </c>
      <c r="R1611" s="229">
        <v>7.0556956071553003</v>
      </c>
      <c r="S1611" s="229">
        <v>3.0608172619396381</v>
      </c>
      <c r="T1611" s="229">
        <v>15.142552953073608</v>
      </c>
      <c r="U1611" s="229">
        <f>AVERAGE(G1611:T1611)</f>
        <v>9.0598245926933689</v>
      </c>
      <c r="V1611" t="str">
        <f t="shared" si="174"/>
        <v>2019/20Expenditure driversDiversions (Excluding Rail Electrification)Actual</v>
      </c>
    </row>
    <row r="1612" spans="1:22">
      <c r="A1612" t="s">
        <v>141</v>
      </c>
      <c r="C1612" t="s">
        <v>1344</v>
      </c>
      <c r="D1612" t="s">
        <v>66</v>
      </c>
      <c r="E1612" t="s">
        <v>602</v>
      </c>
      <c r="F1612" t="s">
        <v>1289</v>
      </c>
      <c r="G1612" s="229">
        <v>-0.53899681152472922</v>
      </c>
      <c r="H1612" s="229">
        <v>2.8528539688509906</v>
      </c>
      <c r="I1612" s="229">
        <v>2.6545818169166218</v>
      </c>
      <c r="J1612" s="229">
        <v>-2.8309259536190989</v>
      </c>
      <c r="K1612" s="229">
        <v>8.1847326918819565</v>
      </c>
      <c r="L1612" s="229">
        <v>-1.8566688514772629</v>
      </c>
      <c r="M1612" s="229">
        <v>11.58100777196878</v>
      </c>
      <c r="N1612" s="229">
        <v>-4.1712920104018822</v>
      </c>
      <c r="O1612" s="229">
        <v>0.71821813439777493</v>
      </c>
      <c r="P1612" s="229">
        <v>-0.47901870963413273</v>
      </c>
      <c r="Q1612" s="229">
        <v>0.9046033618817424</v>
      </c>
      <c r="R1612" s="229">
        <v>3.6161617756590001</v>
      </c>
      <c r="S1612" s="229">
        <v>2.4061312273393192</v>
      </c>
      <c r="T1612" s="229">
        <v>5.9531105665327964</v>
      </c>
      <c r="U1612" s="229">
        <f>U1611-U1610</f>
        <v>2.0710356413408464</v>
      </c>
      <c r="V1612" t="str">
        <f t="shared" si="174"/>
        <v>2019/20Expenditure driversDiversions (Excluding Rail Electrification)Difference</v>
      </c>
    </row>
    <row r="1613" spans="1:22">
      <c r="A1613" t="s">
        <v>141</v>
      </c>
      <c r="C1613" t="s">
        <v>1344</v>
      </c>
      <c r="D1613" t="s">
        <v>66</v>
      </c>
      <c r="E1613" t="s">
        <v>1346</v>
      </c>
      <c r="F1613" t="s">
        <v>606</v>
      </c>
      <c r="G1613" s="829">
        <v>-0.11992417166571655</v>
      </c>
      <c r="H1613" s="829">
        <v>0.76660109035056301</v>
      </c>
      <c r="I1613" s="829">
        <v>0.52044943502278151</v>
      </c>
      <c r="J1613" s="829">
        <v>-0.24281260315322614</v>
      </c>
      <c r="K1613" s="829">
        <v>0.70969633505656915</v>
      </c>
      <c r="L1613" s="829">
        <v>-0.37905869159190242</v>
      </c>
      <c r="M1613" s="829">
        <v>1.1266881787028924</v>
      </c>
      <c r="N1613" s="829">
        <v>-0.93422294191530775</v>
      </c>
      <c r="O1613" s="829">
        <v>8.0064089660770554E-2</v>
      </c>
      <c r="P1613" s="829">
        <v>-2.705809481964316E-2</v>
      </c>
      <c r="Q1613" s="829">
        <v>0.52122890249161047</v>
      </c>
      <c r="R1613" s="829">
        <v>1.051352291565006</v>
      </c>
      <c r="S1613" s="829">
        <v>3.6752444686073762</v>
      </c>
      <c r="T1613" s="829">
        <v>0.64782065288879076</v>
      </c>
      <c r="U1613" s="829">
        <f>U1612/U1610</f>
        <v>0.29633684115472453</v>
      </c>
      <c r="V1613" t="str">
        <f t="shared" si="174"/>
        <v>2019/20Expenditure driversDiversions (Excluding Rail Electrification)Difference %</v>
      </c>
    </row>
    <row r="1614" spans="1:22">
      <c r="A1614" t="s">
        <v>126</v>
      </c>
      <c r="C1614" t="s">
        <v>1344</v>
      </c>
      <c r="D1614" t="s">
        <v>66</v>
      </c>
      <c r="E1614" t="s">
        <v>297</v>
      </c>
      <c r="F1614" t="s">
        <v>1289</v>
      </c>
      <c r="G1614" s="229" cm="1">
        <f t="array" ref="G1614:T1617">TRANSPOSE('Ch4 expenditure drivers'!BE354:BH367)</f>
        <v>4.4966948873348631</v>
      </c>
      <c r="H1614" s="229">
        <v>3.3266741616478779</v>
      </c>
      <c r="I1614" s="229">
        <v>4.9135628378144807</v>
      </c>
      <c r="J1614" s="229">
        <v>12.35973078381774</v>
      </c>
      <c r="K1614" s="229">
        <v>11.546084686883185</v>
      </c>
      <c r="L1614" s="229">
        <v>5.0462443737271832</v>
      </c>
      <c r="M1614" s="229">
        <v>10.502536397156021</v>
      </c>
      <c r="N1614" s="229">
        <v>4.4154245557727183</v>
      </c>
      <c r="O1614" s="229">
        <v>9.59289862273857</v>
      </c>
      <c r="P1614" s="229">
        <v>15.705827015622345</v>
      </c>
      <c r="Q1614" s="229">
        <v>1.698941679109397</v>
      </c>
      <c r="R1614" s="229">
        <v>3.466706607433768</v>
      </c>
      <c r="S1614" s="229">
        <v>0.66079934498895021</v>
      </c>
      <c r="T1614" s="229">
        <v>8.8398523680224717</v>
      </c>
      <c r="U1614" s="229">
        <f>AVERAGE(G1614:T1614)</f>
        <v>6.8979984515763979</v>
      </c>
      <c r="V1614" t="str">
        <f t="shared" si="174"/>
        <v>2020/21Expenditure driversDiversions (Excluding Rail Electrification)Allowance</v>
      </c>
    </row>
    <row r="1615" spans="1:22">
      <c r="A1615" t="s">
        <v>126</v>
      </c>
      <c r="C1615" t="s">
        <v>1344</v>
      </c>
      <c r="D1615" t="s">
        <v>66</v>
      </c>
      <c r="E1615" t="s">
        <v>298</v>
      </c>
      <c r="F1615" t="s">
        <v>1289</v>
      </c>
      <c r="G1615" s="229">
        <v>3.9717164502680693</v>
      </c>
      <c r="H1615" s="229">
        <v>6.7095866104546467</v>
      </c>
      <c r="I1615" s="229">
        <v>6.6722775465609807</v>
      </c>
      <c r="J1615" s="229">
        <v>5.9180597898472644</v>
      </c>
      <c r="K1615" s="229">
        <v>2.5682405708322156</v>
      </c>
      <c r="L1615" s="229">
        <v>5.1736085074124585</v>
      </c>
      <c r="M1615" s="229">
        <v>4.0525947689577704</v>
      </c>
      <c r="N1615" s="229">
        <v>4.2321787621575373</v>
      </c>
      <c r="O1615" s="229">
        <v>8.084224667046028</v>
      </c>
      <c r="P1615" s="229">
        <v>14.56279635783617</v>
      </c>
      <c r="Q1615" s="229">
        <v>3.4579937975901447</v>
      </c>
      <c r="R1615" s="229">
        <v>7.7761054505941267</v>
      </c>
      <c r="S1615" s="229">
        <v>3.1454615560410928</v>
      </c>
      <c r="T1615" s="229">
        <v>14.902245296818615</v>
      </c>
      <c r="U1615" s="229">
        <f>AVERAGE(G1615:T1615)</f>
        <v>6.5162207237440812</v>
      </c>
      <c r="V1615" t="str">
        <f t="shared" si="174"/>
        <v>2020/21Expenditure driversDiversions (Excluding Rail Electrification)Actual</v>
      </c>
    </row>
    <row r="1616" spans="1:22">
      <c r="A1616" t="s">
        <v>126</v>
      </c>
      <c r="C1616" t="s">
        <v>1344</v>
      </c>
      <c r="D1616" t="s">
        <v>66</v>
      </c>
      <c r="E1616" t="s">
        <v>602</v>
      </c>
      <c r="F1616" t="s">
        <v>1289</v>
      </c>
      <c r="G1616" s="229">
        <v>-0.52497843706679381</v>
      </c>
      <c r="H1616" s="229">
        <v>3.3829124488067688</v>
      </c>
      <c r="I1616" s="229">
        <v>1.7587147087465</v>
      </c>
      <c r="J1616" s="229">
        <v>-6.4416709939704759</v>
      </c>
      <c r="K1616" s="229">
        <v>-8.9778441160509708</v>
      </c>
      <c r="L1616" s="229">
        <v>0.12736413368527533</v>
      </c>
      <c r="M1616" s="229">
        <v>-6.4499416281982507</v>
      </c>
      <c r="N1616" s="229">
        <v>-0.18324579361518101</v>
      </c>
      <c r="O1616" s="229">
        <v>-1.5086739556925419</v>
      </c>
      <c r="P1616" s="229">
        <v>-1.1430306577861753</v>
      </c>
      <c r="Q1616" s="229">
        <v>1.7590521184807477</v>
      </c>
      <c r="R1616" s="229">
        <v>4.3093988431603591</v>
      </c>
      <c r="S1616" s="229">
        <v>2.4846622110521426</v>
      </c>
      <c r="T1616" s="229">
        <v>6.0623929287961431</v>
      </c>
      <c r="U1616" s="229">
        <f>U1615-U1614</f>
        <v>-0.38177772783231667</v>
      </c>
      <c r="V1616" t="str">
        <f t="shared" si="174"/>
        <v>2020/21Expenditure driversDiversions (Excluding Rail Electrification)Difference</v>
      </c>
    </row>
    <row r="1617" spans="1:22">
      <c r="A1617" t="s">
        <v>126</v>
      </c>
      <c r="C1617" t="s">
        <v>1344</v>
      </c>
      <c r="D1617" t="s">
        <v>66</v>
      </c>
      <c r="E1617" t="s">
        <v>1346</v>
      </c>
      <c r="F1617" t="s">
        <v>606</v>
      </c>
      <c r="G1617" s="829">
        <v>-0.11674762246943159</v>
      </c>
      <c r="H1617" s="829">
        <v>1.0169052586535956</v>
      </c>
      <c r="I1617" s="829">
        <v>0.357930643567136</v>
      </c>
      <c r="J1617" s="829">
        <v>-0.52118214438815935</v>
      </c>
      <c r="K1617" s="829">
        <v>-0.77756610656512515</v>
      </c>
      <c r="L1617" s="829">
        <v>2.5239390773143137E-2</v>
      </c>
      <c r="M1617" s="829">
        <v>-0.61413180438439885</v>
      </c>
      <c r="N1617" s="829">
        <v>-4.1501285165342884E-2</v>
      </c>
      <c r="O1617" s="829">
        <v>-0.15726987379147842</v>
      </c>
      <c r="P1617" s="829">
        <v>-7.2777489313311558E-2</v>
      </c>
      <c r="Q1617" s="829">
        <v>1.0353811081984057</v>
      </c>
      <c r="R1617" s="829">
        <v>1.2430814981341598</v>
      </c>
      <c r="S1617" s="829">
        <v>3.7600857656626321</v>
      </c>
      <c r="T1617" s="829">
        <v>0.68580250850414792</v>
      </c>
      <c r="U1617" s="829">
        <f>U1616/U1614</f>
        <v>-5.5346160268428167E-2</v>
      </c>
      <c r="V1617" t="str">
        <f t="shared" si="174"/>
        <v>2020/21Expenditure driversDiversions (Excluding Rail Electrification)Difference %</v>
      </c>
    </row>
    <row r="1618" spans="1:22">
      <c r="A1618" t="s">
        <v>142</v>
      </c>
      <c r="C1618" t="s">
        <v>1344</v>
      </c>
      <c r="D1618" t="s">
        <v>66</v>
      </c>
      <c r="E1618" t="s">
        <v>297</v>
      </c>
      <c r="F1618" t="s">
        <v>1289</v>
      </c>
      <c r="G1618" s="229" cm="1">
        <f t="array" ref="G1618:T1621">TRANSPOSE('Ch4 expenditure drivers'!BJ354:BM367)</f>
        <v>4.4576688212390918</v>
      </c>
      <c r="H1618" s="229">
        <v>3.0497198880958027</v>
      </c>
      <c r="I1618" s="229">
        <v>4.0854522056096236</v>
      </c>
      <c r="J1618" s="229">
        <v>11.667273106996145</v>
      </c>
      <c r="K1618" s="229">
        <v>11.735904439405521</v>
      </c>
      <c r="L1618" s="229">
        <v>5.2247634434256076</v>
      </c>
      <c r="M1618" s="229">
        <v>10.922374138151664</v>
      </c>
      <c r="N1618" s="229">
        <v>4.0398501955360091</v>
      </c>
      <c r="O1618" s="229">
        <v>9.7270873171606151</v>
      </c>
      <c r="P1618" s="229">
        <v>15.322565996056463</v>
      </c>
      <c r="Q1618" s="229">
        <v>1.5477353845993824</v>
      </c>
      <c r="R1618" s="229">
        <v>3.0128747533976088</v>
      </c>
      <c r="S1618" s="229">
        <v>0.64181470222152026</v>
      </c>
      <c r="T1618" s="229">
        <v>8.6991387129679811</v>
      </c>
      <c r="U1618" s="229">
        <f>AVERAGE(G1618:T1618)</f>
        <v>6.7238730789187882</v>
      </c>
      <c r="V1618" t="str">
        <f t="shared" ref="V1618:V1621" si="176">CONCATENATE(A1618,B1618,C1618,D1618,E1618)</f>
        <v>2021/22Expenditure driversDiversions (Excluding Rail Electrification)Allowance</v>
      </c>
    </row>
    <row r="1619" spans="1:22">
      <c r="A1619" t="s">
        <v>142</v>
      </c>
      <c r="C1619" t="s">
        <v>1344</v>
      </c>
      <c r="D1619" t="s">
        <v>66</v>
      </c>
      <c r="E1619" t="s">
        <v>298</v>
      </c>
      <c r="F1619" t="s">
        <v>1289</v>
      </c>
      <c r="G1619" s="229">
        <v>5.2962082473672361</v>
      </c>
      <c r="H1619" s="229">
        <v>3.7467412518783738</v>
      </c>
      <c r="I1619" s="229">
        <v>7.663974916669039</v>
      </c>
      <c r="J1619" s="229">
        <v>9.1849999999999987</v>
      </c>
      <c r="K1619" s="229">
        <v>0.45200000000000051</v>
      </c>
      <c r="L1619" s="229">
        <v>3.4264000000000001</v>
      </c>
      <c r="M1619" s="229">
        <v>-0.21379999999999952</v>
      </c>
      <c r="N1619" s="229">
        <v>2.4379488278842096</v>
      </c>
      <c r="O1619" s="229">
        <v>7.4030491268314895</v>
      </c>
      <c r="P1619" s="229">
        <v>17.125129352941919</v>
      </c>
      <c r="Q1619" s="229">
        <v>4.8794151902552194</v>
      </c>
      <c r="R1619" s="229">
        <v>4.2781401045111611</v>
      </c>
      <c r="S1619" s="229">
        <v>3.3973637299999995</v>
      </c>
      <c r="T1619" s="229">
        <v>13.889055719999998</v>
      </c>
      <c r="U1619" s="229">
        <f>AVERAGE(G1619:T1619)</f>
        <v>5.9261876048813322</v>
      </c>
      <c r="V1619" t="str">
        <f t="shared" si="176"/>
        <v>2021/22Expenditure driversDiversions (Excluding Rail Electrification)Actual</v>
      </c>
    </row>
    <row r="1620" spans="1:22">
      <c r="A1620" t="s">
        <v>142</v>
      </c>
      <c r="C1620" t="s">
        <v>1344</v>
      </c>
      <c r="D1620" t="s">
        <v>66</v>
      </c>
      <c r="E1620" t="s">
        <v>602</v>
      </c>
      <c r="F1620" t="s">
        <v>1289</v>
      </c>
      <c r="G1620" s="229">
        <v>0.83853942612814425</v>
      </c>
      <c r="H1620" s="229">
        <v>0.69702136378257107</v>
      </c>
      <c r="I1620" s="229">
        <v>3.5785227110594153</v>
      </c>
      <c r="J1620" s="229">
        <v>-2.4822731069961463</v>
      </c>
      <c r="K1620" s="229">
        <v>-11.283904439405521</v>
      </c>
      <c r="L1620" s="229">
        <v>-1.7983634434256075</v>
      </c>
      <c r="M1620" s="229">
        <v>-11.136174138151663</v>
      </c>
      <c r="N1620" s="229">
        <v>-1.6019013676517995</v>
      </c>
      <c r="O1620" s="229">
        <v>-2.3240381903291256</v>
      </c>
      <c r="P1620" s="229">
        <v>1.8025633568854555</v>
      </c>
      <c r="Q1620" s="229">
        <v>3.331679805655837</v>
      </c>
      <c r="R1620" s="229">
        <v>1.2652653511135523</v>
      </c>
      <c r="S1620" s="229">
        <v>2.7555490277784793</v>
      </c>
      <c r="T1620" s="229">
        <v>5.1899170070320171</v>
      </c>
      <c r="U1620" s="229">
        <f>U1619-U1618</f>
        <v>-0.79768547403745593</v>
      </c>
      <c r="V1620" t="str">
        <f t="shared" si="176"/>
        <v>2021/22Expenditure driversDiversions (Excluding Rail Electrification)Difference</v>
      </c>
    </row>
    <row r="1621" spans="1:22">
      <c r="A1621" t="s">
        <v>142</v>
      </c>
      <c r="C1621" t="s">
        <v>1344</v>
      </c>
      <c r="D1621" t="s">
        <v>66</v>
      </c>
      <c r="E1621" t="s">
        <v>1346</v>
      </c>
      <c r="F1621" t="s">
        <v>606</v>
      </c>
      <c r="G1621" s="829">
        <v>0.18811164753487825</v>
      </c>
      <c r="H1621" s="829">
        <v>0.22855258494503253</v>
      </c>
      <c r="I1621" s="829">
        <v>0.87591838821314394</v>
      </c>
      <c r="J1621" s="829">
        <v>-0.21275520717070384</v>
      </c>
      <c r="K1621" s="829">
        <v>-0.96148571229991231</v>
      </c>
      <c r="L1621" s="829">
        <v>-0.34419997439090055</v>
      </c>
      <c r="M1621" s="829">
        <v>-1.0195744988494031</v>
      </c>
      <c r="N1621" s="829">
        <v>-0.39652494278671108</v>
      </c>
      <c r="O1621" s="829">
        <v>-0.2389243680612424</v>
      </c>
      <c r="P1621" s="829">
        <v>0.11764108944607433</v>
      </c>
      <c r="Q1621" s="829">
        <v>2.1526159050232043</v>
      </c>
      <c r="R1621" s="829">
        <v>0.41995285389368303</v>
      </c>
      <c r="S1621" s="829">
        <v>4.2933716199405643</v>
      </c>
      <c r="T1621" s="829">
        <v>0.5966012473505341</v>
      </c>
      <c r="U1621" s="829">
        <f>U1620/U1618</f>
        <v>-0.11863482024049825</v>
      </c>
      <c r="V1621" t="str">
        <f t="shared" si="176"/>
        <v>2021/22Expenditure driversDiversions (Excluding Rail Electrification)Difference %</v>
      </c>
    </row>
    <row r="1622" spans="1:22">
      <c r="A1622" t="s">
        <v>137</v>
      </c>
      <c r="C1622" t="s">
        <v>1344</v>
      </c>
      <c r="D1622" t="s">
        <v>68</v>
      </c>
      <c r="E1622" t="s">
        <v>1347</v>
      </c>
      <c r="F1622" t="s">
        <v>1289</v>
      </c>
      <c r="G1622">
        <f t="array" ref="G1622:T1629">TRANSPOSE('Ch4 expenditure drivers'!E374:L387)</f>
        <v>0.49610865242017976</v>
      </c>
      <c r="H1622">
        <v>0</v>
      </c>
      <c r="I1622">
        <v>0</v>
      </c>
      <c r="J1622">
        <v>0.67475682166356599</v>
      </c>
      <c r="K1622">
        <v>5.7457246527277333</v>
      </c>
      <c r="L1622">
        <v>18.121608925877538</v>
      </c>
      <c r="M1622">
        <v>7.5682992980627875</v>
      </c>
      <c r="N1622">
        <v>0</v>
      </c>
      <c r="O1622">
        <v>0</v>
      </c>
      <c r="P1622">
        <v>0</v>
      </c>
      <c r="Q1622">
        <v>0</v>
      </c>
      <c r="R1622">
        <v>0</v>
      </c>
      <c r="S1622">
        <v>0</v>
      </c>
      <c r="T1622">
        <v>0</v>
      </c>
      <c r="U1622">
        <f>AVERAGE(G1622:T1622)</f>
        <v>2.3290355964822718</v>
      </c>
      <c r="V1622" t="str">
        <f t="shared" si="174"/>
        <v>2015/16Expenditure driversDiversions Rail ElecBPDT</v>
      </c>
    </row>
    <row r="1623" spans="1:22">
      <c r="A1623" t="s">
        <v>138</v>
      </c>
      <c r="C1623" t="s">
        <v>1344</v>
      </c>
      <c r="D1623" t="s">
        <v>68</v>
      </c>
      <c r="E1623" t="s">
        <v>1347</v>
      </c>
      <c r="F1623" t="s">
        <v>1289</v>
      </c>
      <c r="G1623">
        <v>0.49675116487967058</v>
      </c>
      <c r="H1623">
        <v>0</v>
      </c>
      <c r="I1623">
        <v>0</v>
      </c>
      <c r="J1623">
        <v>0.18568034638530154</v>
      </c>
      <c r="K1623">
        <v>5.751693891769718</v>
      </c>
      <c r="L1623">
        <v>18.14166763657926</v>
      </c>
      <c r="M1623">
        <v>7.5882205398677511</v>
      </c>
      <c r="N1623">
        <v>0</v>
      </c>
      <c r="O1623">
        <v>0</v>
      </c>
      <c r="P1623">
        <v>0</v>
      </c>
      <c r="Q1623">
        <v>0</v>
      </c>
      <c r="R1623">
        <v>0</v>
      </c>
      <c r="S1623">
        <v>0</v>
      </c>
      <c r="T1623">
        <v>0</v>
      </c>
      <c r="U1623">
        <f t="shared" ref="U1623:U1654" si="177">AVERAGE(G1623:T1623)</f>
        <v>2.29742954139155</v>
      </c>
      <c r="V1623" t="str">
        <f t="shared" si="174"/>
        <v>2016/17Expenditure driversDiversions Rail ElecBPDT</v>
      </c>
    </row>
    <row r="1624" spans="1:22">
      <c r="A1624" t="s">
        <v>139</v>
      </c>
      <c r="C1624" t="s">
        <v>1344</v>
      </c>
      <c r="D1624" t="s">
        <v>68</v>
      </c>
      <c r="E1624" t="s">
        <v>1347</v>
      </c>
      <c r="F1624" t="s">
        <v>1289</v>
      </c>
      <c r="G1624">
        <v>0</v>
      </c>
      <c r="H1624">
        <v>0</v>
      </c>
      <c r="I1624">
        <v>20.378307790154505</v>
      </c>
      <c r="J1624">
        <v>0.18490730437229075</v>
      </c>
      <c r="K1624">
        <v>5.741804466379147</v>
      </c>
      <c r="L1624">
        <v>7.2016525280701975</v>
      </c>
      <c r="M1624">
        <v>0</v>
      </c>
      <c r="N1624">
        <v>0</v>
      </c>
      <c r="O1624">
        <v>0</v>
      </c>
      <c r="P1624">
        <v>0</v>
      </c>
      <c r="Q1624">
        <v>0</v>
      </c>
      <c r="R1624">
        <v>0</v>
      </c>
      <c r="S1624">
        <v>0</v>
      </c>
      <c r="T1624">
        <v>0</v>
      </c>
      <c r="U1624">
        <f t="shared" si="177"/>
        <v>2.3933337206411527</v>
      </c>
      <c r="V1624" t="str">
        <f t="shared" si="174"/>
        <v>2017/18Expenditure driversDiversions Rail ElecBPDT</v>
      </c>
    </row>
    <row r="1625" spans="1:22">
      <c r="A1625" t="s">
        <v>140</v>
      </c>
      <c r="C1625" t="s">
        <v>1344</v>
      </c>
      <c r="D1625" t="s">
        <v>68</v>
      </c>
      <c r="E1625" t="s">
        <v>1347</v>
      </c>
      <c r="F1625" t="s">
        <v>1289</v>
      </c>
      <c r="G1625">
        <v>0</v>
      </c>
      <c r="H1625">
        <v>0</v>
      </c>
      <c r="I1625">
        <v>12.347443407498481</v>
      </c>
      <c r="J1625">
        <v>0.18479328047232954</v>
      </c>
      <c r="K1625">
        <v>5.7574689383669311</v>
      </c>
      <c r="L1625">
        <v>7.2222088518575189</v>
      </c>
      <c r="M1625">
        <v>0</v>
      </c>
      <c r="N1625">
        <v>0</v>
      </c>
      <c r="O1625">
        <v>0</v>
      </c>
      <c r="P1625">
        <v>0</v>
      </c>
      <c r="Q1625">
        <v>0</v>
      </c>
      <c r="R1625">
        <v>0</v>
      </c>
      <c r="S1625">
        <v>0</v>
      </c>
      <c r="T1625">
        <v>0</v>
      </c>
      <c r="U1625">
        <f t="shared" si="177"/>
        <v>1.8222796055853758</v>
      </c>
      <c r="V1625" t="str">
        <f t="shared" si="174"/>
        <v>2018/19Expenditure driversDiversions Rail ElecBPDT</v>
      </c>
    </row>
    <row r="1626" spans="1:22">
      <c r="A1626" t="s">
        <v>141</v>
      </c>
      <c r="C1626" t="s">
        <v>1344</v>
      </c>
      <c r="D1626" t="s">
        <v>68</v>
      </c>
      <c r="E1626" t="s">
        <v>1347</v>
      </c>
      <c r="F1626" t="s">
        <v>1289</v>
      </c>
      <c r="G1626">
        <v>0</v>
      </c>
      <c r="H1626">
        <v>14.056129242726227</v>
      </c>
      <c r="I1626">
        <v>4.6621573636395865</v>
      </c>
      <c r="J1626">
        <v>1.5977857558437243</v>
      </c>
      <c r="K1626">
        <v>0</v>
      </c>
      <c r="L1626">
        <v>0</v>
      </c>
      <c r="M1626">
        <v>0</v>
      </c>
      <c r="N1626">
        <v>0</v>
      </c>
      <c r="O1626">
        <v>0</v>
      </c>
      <c r="P1626">
        <v>0</v>
      </c>
      <c r="Q1626">
        <v>0</v>
      </c>
      <c r="R1626">
        <v>0</v>
      </c>
      <c r="S1626">
        <v>0</v>
      </c>
      <c r="T1626">
        <v>0</v>
      </c>
      <c r="U1626">
        <f t="shared" si="177"/>
        <v>1.4511480258721099</v>
      </c>
      <c r="V1626" t="str">
        <f t="shared" si="174"/>
        <v>2019/20Expenditure driversDiversions Rail ElecBPDT</v>
      </c>
    </row>
    <row r="1627" spans="1:22">
      <c r="A1627" t="s">
        <v>126</v>
      </c>
      <c r="C1627" t="s">
        <v>1344</v>
      </c>
      <c r="D1627" t="s">
        <v>68</v>
      </c>
      <c r="E1627" t="s">
        <v>1347</v>
      </c>
      <c r="F1627" t="s">
        <v>1289</v>
      </c>
      <c r="G1627">
        <v>0</v>
      </c>
      <c r="H1627">
        <v>14.201556696026527</v>
      </c>
      <c r="I1627">
        <v>4.709544021491066</v>
      </c>
      <c r="J1627">
        <v>7.3458397478671005</v>
      </c>
      <c r="K1627">
        <v>0</v>
      </c>
      <c r="L1627">
        <v>0</v>
      </c>
      <c r="M1627">
        <v>0</v>
      </c>
      <c r="N1627">
        <v>0</v>
      </c>
      <c r="O1627">
        <v>0</v>
      </c>
      <c r="P1627">
        <v>0</v>
      </c>
      <c r="Q1627">
        <v>0</v>
      </c>
      <c r="R1627">
        <v>0</v>
      </c>
      <c r="S1627">
        <v>0</v>
      </c>
      <c r="T1627">
        <v>0</v>
      </c>
      <c r="U1627">
        <f t="shared" si="177"/>
        <v>1.8754957475274778</v>
      </c>
      <c r="V1627" t="str">
        <f t="shared" si="174"/>
        <v>2020/21Expenditure driversDiversions Rail ElecBPDT</v>
      </c>
    </row>
    <row r="1628" spans="1:22">
      <c r="A1628" t="s">
        <v>142</v>
      </c>
      <c r="C1628" t="s">
        <v>1344</v>
      </c>
      <c r="D1628" t="s">
        <v>68</v>
      </c>
      <c r="E1628" t="s">
        <v>1347</v>
      </c>
      <c r="F1628" t="s">
        <v>1289</v>
      </c>
      <c r="G1628">
        <v>0</v>
      </c>
      <c r="H1628">
        <v>11.31332378761978</v>
      </c>
      <c r="I1628">
        <v>0</v>
      </c>
      <c r="J1628">
        <v>7.3612978418377155</v>
      </c>
      <c r="K1628">
        <v>0</v>
      </c>
      <c r="L1628">
        <v>0</v>
      </c>
      <c r="M1628">
        <v>1.0007598434037932</v>
      </c>
      <c r="N1628">
        <v>0</v>
      </c>
      <c r="O1628">
        <v>0</v>
      </c>
      <c r="P1628">
        <v>0</v>
      </c>
      <c r="Q1628">
        <v>0</v>
      </c>
      <c r="R1628">
        <v>0</v>
      </c>
      <c r="S1628">
        <v>0</v>
      </c>
      <c r="T1628">
        <v>0</v>
      </c>
      <c r="U1628">
        <f t="shared" si="177"/>
        <v>1.4053843909186632</v>
      </c>
      <c r="V1628" t="str">
        <f t="shared" si="174"/>
        <v>2021/22Expenditure driversDiversions Rail ElecBPDT</v>
      </c>
    </row>
    <row r="1629" spans="1:22">
      <c r="A1629" t="s">
        <v>143</v>
      </c>
      <c r="C1629" t="s">
        <v>1344</v>
      </c>
      <c r="D1629" t="s">
        <v>68</v>
      </c>
      <c r="E1629" t="s">
        <v>1347</v>
      </c>
      <c r="F1629" t="s">
        <v>1289</v>
      </c>
      <c r="G1629">
        <v>0</v>
      </c>
      <c r="H1629">
        <v>0</v>
      </c>
      <c r="I1629">
        <v>0</v>
      </c>
      <c r="J1629">
        <v>7.5106238550647069</v>
      </c>
      <c r="K1629">
        <v>0</v>
      </c>
      <c r="L1629">
        <v>0</v>
      </c>
      <c r="M1629">
        <v>7.8398212226386326</v>
      </c>
      <c r="N1629">
        <v>0</v>
      </c>
      <c r="O1629">
        <v>0</v>
      </c>
      <c r="P1629">
        <v>0</v>
      </c>
      <c r="Q1629">
        <v>0</v>
      </c>
      <c r="R1629">
        <v>0</v>
      </c>
      <c r="S1629">
        <v>0</v>
      </c>
      <c r="T1629">
        <v>0</v>
      </c>
      <c r="U1629">
        <f t="shared" si="177"/>
        <v>1.0964603626930958</v>
      </c>
      <c r="V1629" t="str">
        <f t="shared" si="174"/>
        <v>2022/23Expenditure driversDiversions Rail ElecBPDT</v>
      </c>
    </row>
    <row r="1630" spans="1:22">
      <c r="A1630" t="s">
        <v>137</v>
      </c>
      <c r="C1630" t="s">
        <v>1344</v>
      </c>
      <c r="D1630" t="s">
        <v>68</v>
      </c>
      <c r="E1630" t="s">
        <v>1348</v>
      </c>
      <c r="F1630" t="s">
        <v>1289</v>
      </c>
      <c r="G1630">
        <f t="array" ref="G1630:T1637">TRANSPOSE('Ch4 expenditure drivers'!N374:U387)</f>
        <v>0</v>
      </c>
      <c r="H1630">
        <v>0</v>
      </c>
      <c r="I1630">
        <v>0</v>
      </c>
      <c r="J1630">
        <v>0.63791125395556669</v>
      </c>
      <c r="K1630">
        <v>5.4319753434556048</v>
      </c>
      <c r="L1630">
        <v>17.132065808684391</v>
      </c>
      <c r="M1630">
        <v>7.1550270268263585</v>
      </c>
      <c r="N1630">
        <v>0</v>
      </c>
      <c r="O1630">
        <v>0</v>
      </c>
      <c r="P1630">
        <v>0</v>
      </c>
      <c r="Q1630">
        <v>0</v>
      </c>
      <c r="R1630">
        <v>0</v>
      </c>
      <c r="S1630">
        <v>0</v>
      </c>
      <c r="T1630">
        <v>1.4427317870644731</v>
      </c>
      <c r="U1630">
        <f t="shared" si="177"/>
        <v>2.2714079442847428</v>
      </c>
      <c r="V1630" t="str">
        <f t="shared" si="174"/>
        <v>2015/16Expenditure driversDiversions Rail ElecDNO Baseline</v>
      </c>
    </row>
    <row r="1631" spans="1:22">
      <c r="A1631" t="s">
        <v>138</v>
      </c>
      <c r="C1631" t="s">
        <v>1344</v>
      </c>
      <c r="D1631" t="s">
        <v>68</v>
      </c>
      <c r="E1631" t="s">
        <v>1348</v>
      </c>
      <c r="F1631" t="s">
        <v>1289</v>
      </c>
      <c r="G1631">
        <v>0</v>
      </c>
      <c r="H1631">
        <v>0</v>
      </c>
      <c r="I1631">
        <v>0</v>
      </c>
      <c r="J1631">
        <v>0.1755411413337436</v>
      </c>
      <c r="K1631">
        <v>5.4376186280289192</v>
      </c>
      <c r="L1631">
        <v>17.151029199472973</v>
      </c>
      <c r="M1631">
        <v>7.1738604553033403</v>
      </c>
      <c r="N1631">
        <v>0</v>
      </c>
      <c r="O1631">
        <v>0</v>
      </c>
      <c r="P1631">
        <v>0</v>
      </c>
      <c r="Q1631">
        <v>0</v>
      </c>
      <c r="R1631">
        <v>0</v>
      </c>
      <c r="S1631">
        <v>0</v>
      </c>
      <c r="T1631">
        <v>2.8854635741289463</v>
      </c>
      <c r="U1631">
        <f t="shared" si="177"/>
        <v>2.3445366427334231</v>
      </c>
      <c r="V1631" t="str">
        <f t="shared" si="174"/>
        <v>2016/17Expenditure driversDiversions Rail ElecDNO Baseline</v>
      </c>
    </row>
    <row r="1632" spans="1:22">
      <c r="A1632" t="s">
        <v>139</v>
      </c>
      <c r="C1632" t="s">
        <v>1344</v>
      </c>
      <c r="D1632" t="s">
        <v>68</v>
      </c>
      <c r="E1632" t="s">
        <v>1348</v>
      </c>
      <c r="F1632" t="s">
        <v>1289</v>
      </c>
      <c r="G1632">
        <v>0</v>
      </c>
      <c r="H1632">
        <v>0</v>
      </c>
      <c r="I1632">
        <v>0</v>
      </c>
      <c r="J1632">
        <v>0.17481031181998744</v>
      </c>
      <c r="K1632">
        <v>5.4282692216216661</v>
      </c>
      <c r="L1632">
        <v>6.808401259889914</v>
      </c>
      <c r="M1632">
        <v>0</v>
      </c>
      <c r="N1632">
        <v>0</v>
      </c>
      <c r="O1632">
        <v>0</v>
      </c>
      <c r="P1632">
        <v>0</v>
      </c>
      <c r="Q1632">
        <v>0</v>
      </c>
      <c r="R1632">
        <v>0</v>
      </c>
      <c r="S1632">
        <v>0</v>
      </c>
      <c r="T1632">
        <v>0.84159354245427598</v>
      </c>
      <c r="U1632">
        <f t="shared" si="177"/>
        <v>0.94664816684184594</v>
      </c>
      <c r="V1632" t="str">
        <f t="shared" si="174"/>
        <v>2017/18Expenditure driversDiversions Rail ElecDNO Baseline</v>
      </c>
    </row>
    <row r="1633" spans="1:22">
      <c r="A1633" t="s">
        <v>140</v>
      </c>
      <c r="C1633" t="s">
        <v>1344</v>
      </c>
      <c r="D1633" t="s">
        <v>68</v>
      </c>
      <c r="E1633" t="s">
        <v>1348</v>
      </c>
      <c r="F1633" t="s">
        <v>1289</v>
      </c>
      <c r="G1633">
        <v>0</v>
      </c>
      <c r="H1633">
        <v>0</v>
      </c>
      <c r="I1633">
        <v>0</v>
      </c>
      <c r="J1633">
        <v>0.17470251427475353</v>
      </c>
      <c r="K1633">
        <v>5.4430783241715943</v>
      </c>
      <c r="L1633">
        <v>6.8278350912538661</v>
      </c>
      <c r="M1633">
        <v>0</v>
      </c>
      <c r="N1633">
        <v>0</v>
      </c>
      <c r="O1633">
        <v>0</v>
      </c>
      <c r="P1633">
        <v>0</v>
      </c>
      <c r="Q1633">
        <v>0</v>
      </c>
      <c r="R1633">
        <v>0</v>
      </c>
      <c r="S1633">
        <v>0</v>
      </c>
      <c r="T1633">
        <v>5.0495612547256563</v>
      </c>
      <c r="U1633">
        <f t="shared" si="177"/>
        <v>1.2496555131732765</v>
      </c>
      <c r="V1633" t="str">
        <f t="shared" si="174"/>
        <v>2018/19Expenditure driversDiversions Rail ElecDNO Baseline</v>
      </c>
    </row>
    <row r="1634" spans="1:22">
      <c r="A1634" t="s">
        <v>141</v>
      </c>
      <c r="C1634" t="s">
        <v>1344</v>
      </c>
      <c r="D1634" t="s">
        <v>68</v>
      </c>
      <c r="E1634" t="s">
        <v>1348</v>
      </c>
      <c r="F1634" t="s">
        <v>1289</v>
      </c>
      <c r="G1634">
        <v>0</v>
      </c>
      <c r="H1634">
        <v>0</v>
      </c>
      <c r="I1634">
        <v>0</v>
      </c>
      <c r="J1634">
        <v>1.510537548252916</v>
      </c>
      <c r="K1634">
        <v>0</v>
      </c>
      <c r="L1634">
        <v>0</v>
      </c>
      <c r="M1634">
        <v>0</v>
      </c>
      <c r="N1634">
        <v>0</v>
      </c>
      <c r="O1634">
        <v>0</v>
      </c>
      <c r="P1634">
        <v>0</v>
      </c>
      <c r="Q1634">
        <v>0</v>
      </c>
      <c r="R1634">
        <v>0</v>
      </c>
      <c r="S1634">
        <v>0</v>
      </c>
      <c r="T1634">
        <v>1.5629594359865127</v>
      </c>
      <c r="U1634">
        <f t="shared" si="177"/>
        <v>0.21953549887424489</v>
      </c>
      <c r="V1634" t="str">
        <f t="shared" si="174"/>
        <v>2019/20Expenditure driversDiversions Rail ElecDNO Baseline</v>
      </c>
    </row>
    <row r="1635" spans="1:22">
      <c r="A1635" t="s">
        <v>126</v>
      </c>
      <c r="C1635" t="s">
        <v>1344</v>
      </c>
      <c r="D1635" t="s">
        <v>68</v>
      </c>
      <c r="E1635" t="s">
        <v>1348</v>
      </c>
      <c r="F1635" t="s">
        <v>1289</v>
      </c>
      <c r="G1635">
        <v>0</v>
      </c>
      <c r="H1635">
        <v>0</v>
      </c>
      <c r="I1635">
        <v>0</v>
      </c>
      <c r="J1635">
        <v>-0.83641840243000631</v>
      </c>
      <c r="K1635">
        <v>-4.0817286809032387</v>
      </c>
      <c r="L1635">
        <v>-15.297766048840298</v>
      </c>
      <c r="M1635">
        <v>-3.7030115867988145</v>
      </c>
      <c r="N1635">
        <v>0</v>
      </c>
      <c r="O1635">
        <v>0</v>
      </c>
      <c r="P1635">
        <v>0</v>
      </c>
      <c r="Q1635">
        <v>0</v>
      </c>
      <c r="R1635">
        <v>0</v>
      </c>
      <c r="S1635">
        <v>0</v>
      </c>
      <c r="T1635">
        <v>7.4541142331664449</v>
      </c>
      <c r="U1635">
        <f t="shared" si="177"/>
        <v>-1.1760578918432796</v>
      </c>
      <c r="V1635" t="str">
        <f t="shared" si="174"/>
        <v>2020/21Expenditure driversDiversions Rail ElecDNO Baseline</v>
      </c>
    </row>
    <row r="1636" spans="1:22">
      <c r="A1636" t="s">
        <v>142</v>
      </c>
      <c r="C1636" t="s">
        <v>1344</v>
      </c>
      <c r="D1636" t="s">
        <v>68</v>
      </c>
      <c r="E1636" t="s">
        <v>1348</v>
      </c>
      <c r="F1636" t="s">
        <v>1289</v>
      </c>
      <c r="G1636">
        <v>0</v>
      </c>
      <c r="H1636">
        <v>0</v>
      </c>
      <c r="I1636">
        <v>0</v>
      </c>
      <c r="J1636">
        <v>-0.82180440848142067</v>
      </c>
      <c r="K1636">
        <v>-4.0817286809032387</v>
      </c>
      <c r="L1636">
        <v>-15.297766048840298</v>
      </c>
      <c r="M1636">
        <v>-2.7568989338875487</v>
      </c>
      <c r="N1636">
        <v>0</v>
      </c>
      <c r="O1636">
        <v>0</v>
      </c>
      <c r="P1636">
        <v>0</v>
      </c>
      <c r="Q1636">
        <v>0</v>
      </c>
      <c r="R1636">
        <v>0</v>
      </c>
      <c r="S1636">
        <v>0</v>
      </c>
      <c r="T1636">
        <v>0</v>
      </c>
      <c r="U1636">
        <f t="shared" si="177"/>
        <v>-1.6398712908651789</v>
      </c>
      <c r="V1636" t="str">
        <f t="shared" si="174"/>
        <v>2021/22Expenditure driversDiversions Rail ElecDNO Baseline</v>
      </c>
    </row>
    <row r="1637" spans="1:22">
      <c r="A1637" t="s">
        <v>143</v>
      </c>
      <c r="C1637" t="s">
        <v>1344</v>
      </c>
      <c r="D1637" t="s">
        <v>68</v>
      </c>
      <c r="E1637" t="s">
        <v>1348</v>
      </c>
      <c r="F1637" t="s">
        <v>1289</v>
      </c>
      <c r="G1637">
        <v>0</v>
      </c>
      <c r="H1637">
        <v>0</v>
      </c>
      <c r="I1637">
        <v>0</v>
      </c>
      <c r="J1637">
        <v>-0.68063244654264898</v>
      </c>
      <c r="K1637">
        <v>-4.0817286809032387</v>
      </c>
      <c r="L1637">
        <v>-15.297766048840298</v>
      </c>
      <c r="M1637">
        <v>3.7087107201961476</v>
      </c>
      <c r="N1637">
        <v>0</v>
      </c>
      <c r="O1637">
        <v>0</v>
      </c>
      <c r="P1637">
        <v>0</v>
      </c>
      <c r="Q1637">
        <v>0</v>
      </c>
      <c r="R1637">
        <v>0</v>
      </c>
      <c r="S1637">
        <v>0</v>
      </c>
      <c r="T1637">
        <v>0</v>
      </c>
      <c r="U1637">
        <f t="shared" si="177"/>
        <v>-1.1679583182921456</v>
      </c>
      <c r="V1637" t="str">
        <f t="shared" si="174"/>
        <v>2022/23Expenditure driversDiversions Rail ElecDNO Baseline</v>
      </c>
    </row>
    <row r="1638" spans="1:22">
      <c r="A1638" t="s">
        <v>137</v>
      </c>
      <c r="C1638" t="s">
        <v>1344</v>
      </c>
      <c r="D1638" t="s">
        <v>68</v>
      </c>
      <c r="E1638" t="s">
        <v>1349</v>
      </c>
      <c r="F1638" t="s">
        <v>1289</v>
      </c>
      <c r="G1638" cm="1">
        <f t="array" ref="G1638:T1644">TRANSPOSE('Ch4 expenditure drivers'!W374:AC387)</f>
        <v>0</v>
      </c>
      <c r="H1638">
        <v>0</v>
      </c>
      <c r="I1638">
        <v>0</v>
      </c>
      <c r="J1638">
        <v>6.3686924176955137E-2</v>
      </c>
      <c r="K1638">
        <v>0</v>
      </c>
      <c r="L1638">
        <v>1.9918055551915141</v>
      </c>
      <c r="M1638">
        <v>2.8115798051905503</v>
      </c>
      <c r="N1638">
        <v>0</v>
      </c>
      <c r="O1638">
        <v>0</v>
      </c>
      <c r="P1638">
        <v>0</v>
      </c>
      <c r="Q1638">
        <v>0</v>
      </c>
      <c r="R1638">
        <v>0</v>
      </c>
      <c r="S1638">
        <v>0</v>
      </c>
      <c r="T1638">
        <v>0</v>
      </c>
      <c r="U1638">
        <f t="shared" si="177"/>
        <v>0.34764802032564429</v>
      </c>
      <c r="V1638" t="str">
        <f t="shared" si="174"/>
        <v>2015/16Expenditure driversDiversions Rail ElecDNO Actual</v>
      </c>
    </row>
    <row r="1639" spans="1:22">
      <c r="A1639" t="s">
        <v>138</v>
      </c>
      <c r="C1639" t="s">
        <v>1344</v>
      </c>
      <c r="D1639" t="s">
        <v>68</v>
      </c>
      <c r="E1639" t="s">
        <v>1349</v>
      </c>
      <c r="F1639" t="s">
        <v>1289</v>
      </c>
      <c r="G1639">
        <v>0.19752693866603302</v>
      </c>
      <c r="H1639">
        <v>0</v>
      </c>
      <c r="I1639">
        <v>0</v>
      </c>
      <c r="J1639">
        <v>0.29014891694843614</v>
      </c>
      <c r="K1639">
        <v>0</v>
      </c>
      <c r="L1639">
        <v>0.15405721531216032</v>
      </c>
      <c r="M1639">
        <v>3.9923363724187901E-2</v>
      </c>
      <c r="N1639">
        <v>0</v>
      </c>
      <c r="O1639">
        <v>0</v>
      </c>
      <c r="P1639">
        <v>0</v>
      </c>
      <c r="Q1639">
        <v>0</v>
      </c>
      <c r="R1639">
        <v>0</v>
      </c>
      <c r="S1639">
        <v>0</v>
      </c>
      <c r="T1639">
        <v>0</v>
      </c>
      <c r="U1639">
        <f t="shared" si="177"/>
        <v>4.8689745332201238E-2</v>
      </c>
      <c r="V1639" t="str">
        <f t="shared" si="174"/>
        <v>2016/17Expenditure driversDiversions Rail ElecDNO Actual</v>
      </c>
    </row>
    <row r="1640" spans="1:22">
      <c r="A1640" t="s">
        <v>139</v>
      </c>
      <c r="C1640" t="s">
        <v>1344</v>
      </c>
      <c r="D1640" t="s">
        <v>68</v>
      </c>
      <c r="E1640" t="s">
        <v>1349</v>
      </c>
      <c r="F1640" t="s">
        <v>1289</v>
      </c>
      <c r="G1640">
        <v>2.546690165437164E-2</v>
      </c>
      <c r="H1640">
        <v>0</v>
      </c>
      <c r="I1640">
        <v>0</v>
      </c>
      <c r="J1640">
        <v>1.4261464926448121E-2</v>
      </c>
      <c r="K1640">
        <v>0</v>
      </c>
      <c r="L1640">
        <v>0</v>
      </c>
      <c r="M1640">
        <v>9.326545316978771E-2</v>
      </c>
      <c r="N1640">
        <v>0</v>
      </c>
      <c r="O1640">
        <v>0</v>
      </c>
      <c r="P1640">
        <v>0</v>
      </c>
      <c r="Q1640">
        <v>0</v>
      </c>
      <c r="R1640">
        <v>0</v>
      </c>
      <c r="S1640">
        <v>0</v>
      </c>
      <c r="T1640">
        <v>0</v>
      </c>
      <c r="U1640">
        <f t="shared" si="177"/>
        <v>9.4995585536148206E-3</v>
      </c>
      <c r="V1640" t="str">
        <f t="shared" si="174"/>
        <v>2017/18Expenditure driversDiversions Rail ElecDNO Actual</v>
      </c>
    </row>
    <row r="1641" spans="1:22">
      <c r="A1641" t="s">
        <v>140</v>
      </c>
      <c r="C1641" t="s">
        <v>1344</v>
      </c>
      <c r="D1641" t="s">
        <v>68</v>
      </c>
      <c r="E1641" t="s">
        <v>1349</v>
      </c>
      <c r="F1641" t="s">
        <v>1289</v>
      </c>
      <c r="G1641">
        <v>0</v>
      </c>
      <c r="H1641">
        <v>0</v>
      </c>
      <c r="I1641">
        <v>0</v>
      </c>
      <c r="J1641">
        <v>0</v>
      </c>
      <c r="K1641">
        <v>0.41449951713329669</v>
      </c>
      <c r="L1641">
        <v>0.1324553305942649</v>
      </c>
      <c r="M1641">
        <v>0.61329234331540228</v>
      </c>
      <c r="N1641">
        <v>0</v>
      </c>
      <c r="O1641">
        <v>0</v>
      </c>
      <c r="P1641">
        <v>0</v>
      </c>
      <c r="Q1641">
        <v>0</v>
      </c>
      <c r="R1641">
        <v>0</v>
      </c>
      <c r="S1641">
        <v>0</v>
      </c>
      <c r="T1641">
        <v>10.46900374954474</v>
      </c>
      <c r="U1641">
        <f>AVERAGE(G1641:T1641)</f>
        <v>0.83066078147055034</v>
      </c>
      <c r="V1641" t="str">
        <f t="shared" si="174"/>
        <v>2018/19Expenditure driversDiversions Rail ElecDNO Actual</v>
      </c>
    </row>
    <row r="1642" spans="1:22">
      <c r="A1642" t="s">
        <v>141</v>
      </c>
      <c r="C1642" t="s">
        <v>1344</v>
      </c>
      <c r="D1642" t="s">
        <v>68</v>
      </c>
      <c r="E1642" t="s">
        <v>1349</v>
      </c>
      <c r="F1642" t="s">
        <v>1289</v>
      </c>
      <c r="G1642">
        <v>0</v>
      </c>
      <c r="H1642">
        <v>0</v>
      </c>
      <c r="I1642">
        <v>0</v>
      </c>
      <c r="J1642">
        <v>0</v>
      </c>
      <c r="K1642">
        <v>0.38284246874161337</v>
      </c>
      <c r="L1642">
        <v>1.4988239827691799E-3</v>
      </c>
      <c r="M1642">
        <v>4.4872648866991005</v>
      </c>
      <c r="N1642">
        <v>0</v>
      </c>
      <c r="O1642">
        <v>0</v>
      </c>
      <c r="P1642">
        <v>0</v>
      </c>
      <c r="Q1642">
        <v>0</v>
      </c>
      <c r="R1642">
        <v>0</v>
      </c>
      <c r="S1642">
        <v>0</v>
      </c>
      <c r="T1642">
        <v>-0.27382168435374138</v>
      </c>
      <c r="U1642">
        <f>AVERAGE(G1642:T1642)</f>
        <v>0.32841317821926724</v>
      </c>
      <c r="V1642" t="str">
        <f t="shared" si="174"/>
        <v>2019/20Expenditure driversDiversions Rail ElecDNO Actual</v>
      </c>
    </row>
    <row r="1643" spans="1:22">
      <c r="A1643" t="s">
        <v>126</v>
      </c>
      <c r="C1643" t="s">
        <v>1344</v>
      </c>
      <c r="D1643" t="s">
        <v>68</v>
      </c>
      <c r="E1643" t="s">
        <v>1349</v>
      </c>
      <c r="F1643" t="s">
        <v>1289</v>
      </c>
      <c r="G1643">
        <v>0</v>
      </c>
      <c r="H1643">
        <v>0</v>
      </c>
      <c r="I1643">
        <v>0</v>
      </c>
      <c r="J1643">
        <v>0</v>
      </c>
      <c r="K1643">
        <v>2.9617271821788312E-2</v>
      </c>
      <c r="L1643">
        <v>0</v>
      </c>
      <c r="M1643">
        <v>3.093524041785789</v>
      </c>
      <c r="N1643">
        <v>0</v>
      </c>
      <c r="O1643">
        <v>0</v>
      </c>
      <c r="P1643">
        <v>0</v>
      </c>
      <c r="Q1643">
        <v>0</v>
      </c>
      <c r="R1643">
        <v>0</v>
      </c>
      <c r="S1643">
        <v>0</v>
      </c>
      <c r="T1643">
        <v>0.2685567594962725</v>
      </c>
      <c r="U1643">
        <f>AVERAGE(G1643:T1643)</f>
        <v>0.24226414807884639</v>
      </c>
      <c r="V1643" t="str">
        <f t="shared" si="174"/>
        <v>2020/21Expenditure driversDiversions Rail ElecDNO Actual</v>
      </c>
    </row>
    <row r="1644" spans="1:22">
      <c r="A1644" t="s">
        <v>142</v>
      </c>
      <c r="C1644" t="s">
        <v>1344</v>
      </c>
      <c r="D1644" t="s">
        <v>68</v>
      </c>
      <c r="E1644" t="s">
        <v>1349</v>
      </c>
      <c r="F1644" t="s">
        <v>1289</v>
      </c>
      <c r="G1644">
        <v>0</v>
      </c>
      <c r="H1644">
        <v>0</v>
      </c>
      <c r="I1644">
        <v>0</v>
      </c>
      <c r="J1644">
        <v>0</v>
      </c>
      <c r="K1644">
        <v>0.46819999999999995</v>
      </c>
      <c r="L1644">
        <v>0</v>
      </c>
      <c r="M1644">
        <v>3.7999999999999996E-3</v>
      </c>
      <c r="N1644">
        <v>0</v>
      </c>
      <c r="O1644">
        <v>0</v>
      </c>
      <c r="P1644">
        <v>0</v>
      </c>
      <c r="Q1644">
        <v>0</v>
      </c>
      <c r="R1644">
        <v>0</v>
      </c>
      <c r="S1644">
        <v>0</v>
      </c>
      <c r="T1644">
        <v>3.4004191400000003</v>
      </c>
      <c r="U1644">
        <f>AVERAGE(G1644:T1644)</f>
        <v>0.27660136714285716</v>
      </c>
      <c r="V1644" t="str">
        <f t="shared" ref="V1644" si="178">CONCATENATE(A1644,B1644,C1644,D1644,E1644)</f>
        <v>2021/22Expenditure driversDiversions Rail ElecDNO Actual</v>
      </c>
    </row>
    <row r="1645" spans="1:22">
      <c r="A1645" t="s">
        <v>137</v>
      </c>
      <c r="C1645" t="s">
        <v>1344</v>
      </c>
      <c r="D1645" t="s">
        <v>68</v>
      </c>
      <c r="E1645" t="s">
        <v>297</v>
      </c>
      <c r="F1645" t="s">
        <v>1289</v>
      </c>
      <c r="G1645">
        <f t="array" ref="G1645:T1648">TRANSPOSE('Ch4 expenditure drivers'!AF374:AI387)</f>
        <v>0</v>
      </c>
      <c r="H1645">
        <v>0</v>
      </c>
      <c r="I1645">
        <v>0</v>
      </c>
      <c r="J1645">
        <v>0.63791125395556669</v>
      </c>
      <c r="K1645">
        <v>5.4319753434556048</v>
      </c>
      <c r="L1645">
        <v>17.132065808684391</v>
      </c>
      <c r="M1645">
        <v>7.1550270268263585</v>
      </c>
      <c r="N1645">
        <v>0</v>
      </c>
      <c r="O1645">
        <v>0</v>
      </c>
      <c r="P1645">
        <v>0</v>
      </c>
      <c r="Q1645">
        <v>0</v>
      </c>
      <c r="R1645">
        <v>0</v>
      </c>
      <c r="S1645">
        <v>0</v>
      </c>
      <c r="T1645">
        <v>1.4427317870644731</v>
      </c>
      <c r="U1645">
        <f t="shared" si="177"/>
        <v>2.2714079442847428</v>
      </c>
      <c r="V1645" t="str">
        <f t="shared" si="174"/>
        <v>2015/16Expenditure driversDiversions Rail ElecAllowance</v>
      </c>
    </row>
    <row r="1646" spans="1:22">
      <c r="A1646" t="s">
        <v>137</v>
      </c>
      <c r="C1646" t="s">
        <v>1344</v>
      </c>
      <c r="D1646" t="s">
        <v>68</v>
      </c>
      <c r="E1646" t="s">
        <v>298</v>
      </c>
      <c r="F1646" t="s">
        <v>1289</v>
      </c>
      <c r="G1646">
        <v>0</v>
      </c>
      <c r="H1646">
        <v>0</v>
      </c>
      <c r="I1646">
        <v>0</v>
      </c>
      <c r="J1646">
        <v>6.3686924176955137E-2</v>
      </c>
      <c r="K1646">
        <v>0</v>
      </c>
      <c r="L1646">
        <v>1.9918055551915141</v>
      </c>
      <c r="M1646">
        <v>2.8115798051905503</v>
      </c>
      <c r="N1646">
        <v>0</v>
      </c>
      <c r="O1646">
        <v>0</v>
      </c>
      <c r="P1646">
        <v>0</v>
      </c>
      <c r="Q1646">
        <v>0</v>
      </c>
      <c r="R1646">
        <v>0</v>
      </c>
      <c r="S1646">
        <v>0</v>
      </c>
      <c r="T1646">
        <v>0</v>
      </c>
      <c r="U1646">
        <f t="shared" si="177"/>
        <v>0.34764802032564429</v>
      </c>
      <c r="V1646" t="str">
        <f t="shared" si="174"/>
        <v>2015/16Expenditure driversDiversions Rail ElecActual</v>
      </c>
    </row>
    <row r="1647" spans="1:22">
      <c r="A1647" t="s">
        <v>137</v>
      </c>
      <c r="C1647" t="s">
        <v>1344</v>
      </c>
      <c r="D1647" t="s">
        <v>68</v>
      </c>
      <c r="E1647" t="s">
        <v>602</v>
      </c>
      <c r="F1647" t="s">
        <v>1289</v>
      </c>
      <c r="G1647">
        <v>0</v>
      </c>
      <c r="H1647">
        <v>0</v>
      </c>
      <c r="I1647">
        <v>0</v>
      </c>
      <c r="J1647">
        <v>-0.5742243297786116</v>
      </c>
      <c r="K1647">
        <v>-5.4319753434556048</v>
      </c>
      <c r="L1647">
        <v>-15.140260253492878</v>
      </c>
      <c r="M1647">
        <v>-4.3434472216358078</v>
      </c>
      <c r="N1647">
        <v>0</v>
      </c>
      <c r="O1647">
        <v>0</v>
      </c>
      <c r="P1647">
        <v>0</v>
      </c>
      <c r="Q1647">
        <v>0</v>
      </c>
      <c r="R1647">
        <v>0</v>
      </c>
      <c r="S1647">
        <v>0</v>
      </c>
      <c r="T1647">
        <v>-1.4427317870644731</v>
      </c>
      <c r="U1647">
        <f>U1646-U1645</f>
        <v>-1.9237599239590986</v>
      </c>
      <c r="V1647" t="str">
        <f t="shared" si="174"/>
        <v>2015/16Expenditure driversDiversions Rail ElecDifference</v>
      </c>
    </row>
    <row r="1648" spans="1:22">
      <c r="A1648" t="s">
        <v>137</v>
      </c>
      <c r="C1648" t="s">
        <v>1344</v>
      </c>
      <c r="D1648" t="s">
        <v>68</v>
      </c>
      <c r="E1648" t="s">
        <v>1346</v>
      </c>
      <c r="F1648" t="s">
        <v>606</v>
      </c>
      <c r="G1648" s="829" t="e">
        <v>#DIV/0!</v>
      </c>
      <c r="H1648" s="829" t="e">
        <v>#DIV/0!</v>
      </c>
      <c r="I1648" s="829" t="e">
        <v>#DIV/0!</v>
      </c>
      <c r="J1648" s="829">
        <v>-0.90016334751574834</v>
      </c>
      <c r="K1648" s="829">
        <v>-1</v>
      </c>
      <c r="L1648" s="829">
        <v>-0.88373815642350317</v>
      </c>
      <c r="M1648" s="829">
        <v>-0.60704833194213126</v>
      </c>
      <c r="N1648" s="829" t="e">
        <v>#DIV/0!</v>
      </c>
      <c r="O1648" s="829" t="e">
        <v>#DIV/0!</v>
      </c>
      <c r="P1648" s="829" t="e">
        <v>#DIV/0!</v>
      </c>
      <c r="Q1648" s="829" t="e">
        <v>#DIV/0!</v>
      </c>
      <c r="R1648" s="829" t="e">
        <v>#DIV/0!</v>
      </c>
      <c r="S1648" s="829" t="e">
        <v>#DIV/0!</v>
      </c>
      <c r="T1648" s="829">
        <v>-1</v>
      </c>
      <c r="U1648" s="829">
        <f>U1647/U1645</f>
        <v>-0.8469460225318014</v>
      </c>
      <c r="V1648" t="str">
        <f t="shared" si="174"/>
        <v>2015/16Expenditure driversDiversions Rail ElecDifference %</v>
      </c>
    </row>
    <row r="1649" spans="1:22">
      <c r="A1649" t="s">
        <v>138</v>
      </c>
      <c r="C1649" t="s">
        <v>1344</v>
      </c>
      <c r="D1649" t="s">
        <v>68</v>
      </c>
      <c r="E1649" t="s">
        <v>297</v>
      </c>
      <c r="F1649" t="s">
        <v>1289</v>
      </c>
      <c r="G1649">
        <f t="array" ref="G1649:T1652">TRANSPOSE('Ch4 expenditure drivers'!AK374:AN387)</f>
        <v>0</v>
      </c>
      <c r="H1649">
        <v>0</v>
      </c>
      <c r="I1649">
        <v>0</v>
      </c>
      <c r="J1649">
        <v>0.1755411413337436</v>
      </c>
      <c r="K1649">
        <v>5.4376186280289192</v>
      </c>
      <c r="L1649">
        <v>17.151029199472973</v>
      </c>
      <c r="M1649">
        <v>7.1738604553033403</v>
      </c>
      <c r="N1649">
        <v>0</v>
      </c>
      <c r="O1649">
        <v>0</v>
      </c>
      <c r="P1649">
        <v>0</v>
      </c>
      <c r="Q1649">
        <v>0</v>
      </c>
      <c r="R1649">
        <v>0</v>
      </c>
      <c r="S1649">
        <v>0</v>
      </c>
      <c r="T1649">
        <v>2.8854635741289463</v>
      </c>
      <c r="U1649">
        <f t="shared" si="177"/>
        <v>2.3445366427334231</v>
      </c>
      <c r="V1649" t="str">
        <f t="shared" si="174"/>
        <v>2016/17Expenditure driversDiversions Rail ElecAllowance</v>
      </c>
    </row>
    <row r="1650" spans="1:22">
      <c r="A1650" t="s">
        <v>138</v>
      </c>
      <c r="C1650" t="s">
        <v>1344</v>
      </c>
      <c r="D1650" t="s">
        <v>68</v>
      </c>
      <c r="E1650" t="s">
        <v>298</v>
      </c>
      <c r="F1650" t="s">
        <v>1289</v>
      </c>
      <c r="G1650">
        <v>0.19752693866603302</v>
      </c>
      <c r="H1650">
        <v>0</v>
      </c>
      <c r="I1650">
        <v>0</v>
      </c>
      <c r="J1650">
        <v>0.29014891694843614</v>
      </c>
      <c r="K1650">
        <v>0</v>
      </c>
      <c r="L1650">
        <v>0.15405721531216032</v>
      </c>
      <c r="M1650">
        <v>3.9923363724187901E-2</v>
      </c>
      <c r="N1650">
        <v>0</v>
      </c>
      <c r="O1650">
        <v>0</v>
      </c>
      <c r="P1650">
        <v>0</v>
      </c>
      <c r="Q1650">
        <v>0</v>
      </c>
      <c r="R1650">
        <v>0</v>
      </c>
      <c r="S1650">
        <v>0</v>
      </c>
      <c r="T1650">
        <v>0</v>
      </c>
      <c r="U1650">
        <f t="shared" si="177"/>
        <v>4.8689745332201238E-2</v>
      </c>
      <c r="V1650" t="str">
        <f t="shared" si="174"/>
        <v>2016/17Expenditure driversDiversions Rail ElecActual</v>
      </c>
    </row>
    <row r="1651" spans="1:22">
      <c r="A1651" t="s">
        <v>138</v>
      </c>
      <c r="C1651" t="s">
        <v>1344</v>
      </c>
      <c r="D1651" t="s">
        <v>68</v>
      </c>
      <c r="E1651" t="s">
        <v>602</v>
      </c>
      <c r="F1651" t="s">
        <v>1289</v>
      </c>
      <c r="G1651">
        <v>0.19752693866603302</v>
      </c>
      <c r="H1651">
        <v>0</v>
      </c>
      <c r="I1651">
        <v>0</v>
      </c>
      <c r="J1651">
        <v>0.11460777561469254</v>
      </c>
      <c r="K1651">
        <v>-5.4376186280289192</v>
      </c>
      <c r="L1651">
        <v>-16.996971984160812</v>
      </c>
      <c r="M1651">
        <v>-7.1339370915791527</v>
      </c>
      <c r="N1651">
        <v>0</v>
      </c>
      <c r="O1651">
        <v>0</v>
      </c>
      <c r="P1651">
        <v>0</v>
      </c>
      <c r="Q1651">
        <v>0</v>
      </c>
      <c r="R1651">
        <v>0</v>
      </c>
      <c r="S1651">
        <v>0</v>
      </c>
      <c r="T1651">
        <v>-2.8854635741289463</v>
      </c>
      <c r="U1651">
        <f>U1650-U1649</f>
        <v>-2.2958468974012218</v>
      </c>
      <c r="V1651" t="str">
        <f t="shared" si="174"/>
        <v>2016/17Expenditure driversDiversions Rail ElecDifference</v>
      </c>
    </row>
    <row r="1652" spans="1:22">
      <c r="A1652" t="s">
        <v>138</v>
      </c>
      <c r="C1652" t="s">
        <v>1344</v>
      </c>
      <c r="D1652" t="s">
        <v>68</v>
      </c>
      <c r="E1652" t="s">
        <v>1346</v>
      </c>
      <c r="F1652" t="s">
        <v>606</v>
      </c>
      <c r="G1652" s="829" t="e">
        <v>#DIV/0!</v>
      </c>
      <c r="H1652" s="829" t="e">
        <v>#DIV/0!</v>
      </c>
      <c r="I1652" s="829" t="e">
        <v>#DIV/0!</v>
      </c>
      <c r="J1652" s="829">
        <v>0.6528827074036001</v>
      </c>
      <c r="K1652" s="829">
        <v>-1</v>
      </c>
      <c r="L1652" s="829">
        <v>-0.99101761104127239</v>
      </c>
      <c r="M1652" s="829">
        <v>-0.99443488426169846</v>
      </c>
      <c r="N1652" s="829" t="e">
        <v>#DIV/0!</v>
      </c>
      <c r="O1652" s="829" t="e">
        <v>#DIV/0!</v>
      </c>
      <c r="P1652" s="829" t="e">
        <v>#DIV/0!</v>
      </c>
      <c r="Q1652" s="829" t="e">
        <v>#DIV/0!</v>
      </c>
      <c r="R1652" s="829" t="e">
        <v>#DIV/0!</v>
      </c>
      <c r="S1652" s="829" t="e">
        <v>#DIV/0!</v>
      </c>
      <c r="T1652" s="829">
        <v>-1</v>
      </c>
      <c r="U1652" s="829">
        <f>U1651/U1649</f>
        <v>-0.97923267888215415</v>
      </c>
      <c r="V1652" t="str">
        <f t="shared" si="174"/>
        <v>2016/17Expenditure driversDiversions Rail ElecDifference %</v>
      </c>
    </row>
    <row r="1653" spans="1:22">
      <c r="A1653" t="s">
        <v>139</v>
      </c>
      <c r="C1653" t="s">
        <v>1344</v>
      </c>
      <c r="D1653" t="s">
        <v>68</v>
      </c>
      <c r="E1653" t="s">
        <v>297</v>
      </c>
      <c r="F1653" t="s">
        <v>1289</v>
      </c>
      <c r="G1653">
        <f t="array" ref="G1653:T1656">TRANSPOSE('Ch4 expenditure drivers'!AP374:AS387)</f>
        <v>0</v>
      </c>
      <c r="H1653">
        <v>0</v>
      </c>
      <c r="I1653">
        <v>0</v>
      </c>
      <c r="J1653">
        <v>0.17481031181998744</v>
      </c>
      <c r="K1653">
        <v>5.4282692216216661</v>
      </c>
      <c r="L1653">
        <v>6.808401259889914</v>
      </c>
      <c r="M1653">
        <v>0</v>
      </c>
      <c r="N1653">
        <v>0</v>
      </c>
      <c r="O1653">
        <v>0</v>
      </c>
      <c r="P1653">
        <v>0</v>
      </c>
      <c r="Q1653">
        <v>0</v>
      </c>
      <c r="R1653">
        <v>0</v>
      </c>
      <c r="S1653">
        <v>0</v>
      </c>
      <c r="T1653">
        <v>0.84159354245427598</v>
      </c>
      <c r="U1653">
        <f t="shared" si="177"/>
        <v>0.94664816684184594</v>
      </c>
      <c r="V1653" t="str">
        <f t="shared" si="174"/>
        <v>2017/18Expenditure driversDiversions Rail ElecAllowance</v>
      </c>
    </row>
    <row r="1654" spans="1:22">
      <c r="A1654" t="s">
        <v>139</v>
      </c>
      <c r="C1654" t="s">
        <v>1344</v>
      </c>
      <c r="D1654" t="s">
        <v>68</v>
      </c>
      <c r="E1654" t="s">
        <v>298</v>
      </c>
      <c r="F1654" t="s">
        <v>1289</v>
      </c>
      <c r="G1654">
        <v>2.546690165437164E-2</v>
      </c>
      <c r="H1654">
        <v>0</v>
      </c>
      <c r="I1654">
        <v>0</v>
      </c>
      <c r="J1654">
        <v>1.4261464926448121E-2</v>
      </c>
      <c r="K1654">
        <v>0</v>
      </c>
      <c r="L1654">
        <v>0</v>
      </c>
      <c r="M1654">
        <v>9.326545316978771E-2</v>
      </c>
      <c r="N1654">
        <v>0</v>
      </c>
      <c r="O1654">
        <v>0</v>
      </c>
      <c r="P1654">
        <v>0</v>
      </c>
      <c r="Q1654">
        <v>0</v>
      </c>
      <c r="R1654">
        <v>0</v>
      </c>
      <c r="S1654">
        <v>0</v>
      </c>
      <c r="T1654">
        <v>0</v>
      </c>
      <c r="U1654">
        <f t="shared" si="177"/>
        <v>9.4995585536148206E-3</v>
      </c>
      <c r="V1654" t="str">
        <f t="shared" si="174"/>
        <v>2017/18Expenditure driversDiversions Rail ElecActual</v>
      </c>
    </row>
    <row r="1655" spans="1:22">
      <c r="A1655" t="s">
        <v>139</v>
      </c>
      <c r="C1655" t="s">
        <v>1344</v>
      </c>
      <c r="D1655" t="s">
        <v>68</v>
      </c>
      <c r="E1655" t="s">
        <v>602</v>
      </c>
      <c r="F1655" t="s">
        <v>1289</v>
      </c>
      <c r="G1655">
        <v>2.546690165437164E-2</v>
      </c>
      <c r="H1655">
        <v>0</v>
      </c>
      <c r="I1655">
        <v>0</v>
      </c>
      <c r="J1655">
        <v>-0.16054884689353932</v>
      </c>
      <c r="K1655">
        <v>-5.4282692216216661</v>
      </c>
      <c r="L1655">
        <v>-6.808401259889914</v>
      </c>
      <c r="M1655">
        <v>9.326545316978771E-2</v>
      </c>
      <c r="N1655">
        <v>0</v>
      </c>
      <c r="O1655">
        <v>0</v>
      </c>
      <c r="P1655">
        <v>0</v>
      </c>
      <c r="Q1655">
        <v>0</v>
      </c>
      <c r="R1655">
        <v>0</v>
      </c>
      <c r="S1655">
        <v>0</v>
      </c>
      <c r="T1655">
        <v>-0.84159354245427598</v>
      </c>
      <c r="U1655">
        <f>U1654-U1653</f>
        <v>-0.9371486082882311</v>
      </c>
      <c r="V1655" t="str">
        <f t="shared" si="174"/>
        <v>2017/18Expenditure driversDiversions Rail ElecDifference</v>
      </c>
    </row>
    <row r="1656" spans="1:22">
      <c r="A1656" t="s">
        <v>139</v>
      </c>
      <c r="C1656" t="s">
        <v>1344</v>
      </c>
      <c r="D1656" t="s">
        <v>68</v>
      </c>
      <c r="E1656" t="s">
        <v>1346</v>
      </c>
      <c r="F1656" t="s">
        <v>606</v>
      </c>
      <c r="G1656" s="829" t="e">
        <v>#DIV/0!</v>
      </c>
      <c r="H1656" s="829" t="e">
        <v>#DIV/0!</v>
      </c>
      <c r="I1656" s="829" t="e">
        <v>#DIV/0!</v>
      </c>
      <c r="J1656" s="829">
        <v>-0.91841748476981155</v>
      </c>
      <c r="K1656" s="829">
        <v>-1</v>
      </c>
      <c r="L1656" s="829">
        <v>-1</v>
      </c>
      <c r="M1656" s="829" t="e">
        <v>#DIV/0!</v>
      </c>
      <c r="N1656" s="829" t="e">
        <v>#DIV/0!</v>
      </c>
      <c r="O1656" s="829" t="e">
        <v>#DIV/0!</v>
      </c>
      <c r="P1656" s="829" t="e">
        <v>#DIV/0!</v>
      </c>
      <c r="Q1656" s="829" t="e">
        <v>#DIV/0!</v>
      </c>
      <c r="R1656" s="829" t="e">
        <v>#DIV/0!</v>
      </c>
      <c r="S1656" s="829" t="e">
        <v>#DIV/0!</v>
      </c>
      <c r="T1656" s="829">
        <v>-1</v>
      </c>
      <c r="U1656" s="829">
        <f>U1655/U1653</f>
        <v>-0.98996505894549325</v>
      </c>
      <c r="V1656" t="str">
        <f t="shared" si="174"/>
        <v>2017/18Expenditure driversDiversions Rail ElecDifference %</v>
      </c>
    </row>
    <row r="1657" spans="1:22">
      <c r="A1657" t="s">
        <v>140</v>
      </c>
      <c r="C1657" t="s">
        <v>1344</v>
      </c>
      <c r="D1657" t="s">
        <v>68</v>
      </c>
      <c r="E1657" t="s">
        <v>297</v>
      </c>
      <c r="F1657" t="s">
        <v>1289</v>
      </c>
      <c r="G1657">
        <f t="array" ref="G1657:T1660">TRANSPOSE('Ch4 expenditure drivers'!AU374:AX387)</f>
        <v>0</v>
      </c>
      <c r="H1657">
        <v>0</v>
      </c>
      <c r="I1657">
        <v>0</v>
      </c>
      <c r="J1657">
        <v>0.17470251427475353</v>
      </c>
      <c r="K1657">
        <v>5.4430783241715943</v>
      </c>
      <c r="L1657">
        <v>6.8278350912538661</v>
      </c>
      <c r="M1657">
        <v>0</v>
      </c>
      <c r="N1657">
        <v>0</v>
      </c>
      <c r="O1657">
        <v>0</v>
      </c>
      <c r="P1657">
        <v>0</v>
      </c>
      <c r="Q1657">
        <v>0</v>
      </c>
      <c r="R1657">
        <v>0</v>
      </c>
      <c r="S1657">
        <v>0</v>
      </c>
      <c r="T1657">
        <v>5.0495612547256563</v>
      </c>
      <c r="U1657">
        <f>AVERAGE(G1657:T1657)</f>
        <v>1.2496555131732765</v>
      </c>
      <c r="V1657" t="str">
        <f t="shared" si="174"/>
        <v>2018/19Expenditure driversDiversions Rail ElecAllowance</v>
      </c>
    </row>
    <row r="1658" spans="1:22">
      <c r="A1658" t="s">
        <v>140</v>
      </c>
      <c r="C1658" t="s">
        <v>1344</v>
      </c>
      <c r="D1658" t="s">
        <v>68</v>
      </c>
      <c r="E1658" t="s">
        <v>298</v>
      </c>
      <c r="F1658" t="s">
        <v>1289</v>
      </c>
      <c r="G1658">
        <v>0</v>
      </c>
      <c r="H1658">
        <v>0</v>
      </c>
      <c r="I1658">
        <v>0</v>
      </c>
      <c r="J1658">
        <v>0</v>
      </c>
      <c r="K1658">
        <v>0.41449951713329669</v>
      </c>
      <c r="L1658">
        <v>0.1324553305942649</v>
      </c>
      <c r="M1658">
        <v>0.61329234331540228</v>
      </c>
      <c r="N1658">
        <v>0</v>
      </c>
      <c r="O1658">
        <v>0</v>
      </c>
      <c r="P1658">
        <v>0</v>
      </c>
      <c r="Q1658">
        <v>0</v>
      </c>
      <c r="R1658">
        <v>0</v>
      </c>
      <c r="S1658">
        <v>0</v>
      </c>
      <c r="T1658">
        <v>10.46900374954474</v>
      </c>
      <c r="U1658">
        <f>AVERAGE(G1658:T1658)</f>
        <v>0.83066078147055034</v>
      </c>
      <c r="V1658" t="str">
        <f t="shared" si="174"/>
        <v>2018/19Expenditure driversDiversions Rail ElecActual</v>
      </c>
    </row>
    <row r="1659" spans="1:22">
      <c r="A1659" t="s">
        <v>140</v>
      </c>
      <c r="C1659" t="s">
        <v>1344</v>
      </c>
      <c r="D1659" t="s">
        <v>68</v>
      </c>
      <c r="E1659" t="s">
        <v>602</v>
      </c>
      <c r="F1659" t="s">
        <v>1289</v>
      </c>
      <c r="G1659">
        <v>0</v>
      </c>
      <c r="H1659">
        <v>0</v>
      </c>
      <c r="I1659">
        <v>0</v>
      </c>
      <c r="J1659">
        <v>-0.17470251427475353</v>
      </c>
      <c r="K1659">
        <v>-5.028578807038298</v>
      </c>
      <c r="L1659">
        <v>-6.6953797606596011</v>
      </c>
      <c r="M1659">
        <v>0.61329234331540228</v>
      </c>
      <c r="N1659">
        <v>0</v>
      </c>
      <c r="O1659">
        <v>0</v>
      </c>
      <c r="P1659">
        <v>0</v>
      </c>
      <c r="Q1659">
        <v>0</v>
      </c>
      <c r="R1659">
        <v>0</v>
      </c>
      <c r="S1659">
        <v>0</v>
      </c>
      <c r="T1659">
        <v>5.4194424948190836</v>
      </c>
      <c r="U1659">
        <f>U1658-U1657</f>
        <v>-0.41899473170272616</v>
      </c>
      <c r="V1659" t="str">
        <f t="shared" si="174"/>
        <v>2018/19Expenditure driversDiversions Rail ElecDifference</v>
      </c>
    </row>
    <row r="1660" spans="1:22">
      <c r="A1660" t="s">
        <v>140</v>
      </c>
      <c r="C1660" t="s">
        <v>1344</v>
      </c>
      <c r="D1660" t="s">
        <v>68</v>
      </c>
      <c r="E1660" t="s">
        <v>1346</v>
      </c>
      <c r="F1660" t="s">
        <v>606</v>
      </c>
      <c r="G1660" s="829" t="e">
        <v>#DIV/0!</v>
      </c>
      <c r="H1660" s="829" t="e">
        <v>#DIV/0!</v>
      </c>
      <c r="I1660" s="829" t="e">
        <v>#DIV/0!</v>
      </c>
      <c r="J1660" s="829">
        <v>-1</v>
      </c>
      <c r="K1660" s="829">
        <v>-0.92384832764713509</v>
      </c>
      <c r="L1660" s="829">
        <v>-0.98060068399075218</v>
      </c>
      <c r="M1660" s="829" t="e">
        <v>#DIV/0!</v>
      </c>
      <c r="N1660" s="829" t="e">
        <v>#DIV/0!</v>
      </c>
      <c r="O1660" s="829" t="e">
        <v>#DIV/0!</v>
      </c>
      <c r="P1660" s="829" t="e">
        <v>#DIV/0!</v>
      </c>
      <c r="Q1660" s="829" t="e">
        <v>#DIV/0!</v>
      </c>
      <c r="R1660" s="829" t="e">
        <v>#DIV/0!</v>
      </c>
      <c r="S1660" s="829" t="e">
        <v>#DIV/0!</v>
      </c>
      <c r="T1660" s="829">
        <v>1.0732501739130844</v>
      </c>
      <c r="U1660" s="829">
        <f>U1659/U1657</f>
        <v>-0.33528818725311271</v>
      </c>
      <c r="V1660" t="str">
        <f t="shared" ref="V1660:V1731" si="179">CONCATENATE(A1660,B1660,C1660,D1660,E1660)</f>
        <v>2018/19Expenditure driversDiversions Rail ElecDifference %</v>
      </c>
    </row>
    <row r="1661" spans="1:22">
      <c r="A1661" t="s">
        <v>141</v>
      </c>
      <c r="C1661" t="s">
        <v>1344</v>
      </c>
      <c r="D1661" t="s">
        <v>68</v>
      </c>
      <c r="E1661" t="s">
        <v>297</v>
      </c>
      <c r="F1661" t="s">
        <v>1289</v>
      </c>
      <c r="G1661" s="229">
        <f t="array" ref="G1661:T1664">TRANSPOSE('Ch4 expenditure drivers'!AZ374:BC387)</f>
        <v>0</v>
      </c>
      <c r="H1661" s="229">
        <v>0</v>
      </c>
      <c r="I1661" s="229">
        <v>0</v>
      </c>
      <c r="J1661" s="229">
        <v>1.510537548252916</v>
      </c>
      <c r="K1661" s="229">
        <v>0</v>
      </c>
      <c r="L1661" s="229">
        <v>0</v>
      </c>
      <c r="M1661" s="229">
        <v>0</v>
      </c>
      <c r="N1661" s="229">
        <v>0</v>
      </c>
      <c r="O1661" s="229">
        <v>0</v>
      </c>
      <c r="P1661" s="229">
        <v>0</v>
      </c>
      <c r="Q1661" s="229">
        <v>0</v>
      </c>
      <c r="R1661" s="229">
        <v>0</v>
      </c>
      <c r="S1661" s="229">
        <v>0</v>
      </c>
      <c r="T1661" s="229">
        <v>1.5629594359865127</v>
      </c>
      <c r="U1661" s="229">
        <f>AVERAGE(G1661:T1661)</f>
        <v>0.21953549887424489</v>
      </c>
      <c r="V1661" t="str">
        <f t="shared" si="179"/>
        <v>2019/20Expenditure driversDiversions Rail ElecAllowance</v>
      </c>
    </row>
    <row r="1662" spans="1:22">
      <c r="A1662" t="s">
        <v>141</v>
      </c>
      <c r="C1662" t="s">
        <v>1344</v>
      </c>
      <c r="D1662" t="s">
        <v>68</v>
      </c>
      <c r="E1662" t="s">
        <v>298</v>
      </c>
      <c r="F1662" t="s">
        <v>1289</v>
      </c>
      <c r="G1662" s="229">
        <v>0</v>
      </c>
      <c r="H1662" s="229">
        <v>0</v>
      </c>
      <c r="I1662" s="229">
        <v>0</v>
      </c>
      <c r="J1662" s="229">
        <v>0</v>
      </c>
      <c r="K1662" s="229">
        <v>0.38284246874161337</v>
      </c>
      <c r="L1662" s="229">
        <v>1.4988239827691799E-3</v>
      </c>
      <c r="M1662" s="229">
        <v>4.4872648866991005</v>
      </c>
      <c r="N1662" s="229">
        <v>0</v>
      </c>
      <c r="O1662" s="229">
        <v>0</v>
      </c>
      <c r="P1662" s="229">
        <v>0</v>
      </c>
      <c r="Q1662" s="229">
        <v>0</v>
      </c>
      <c r="R1662" s="229">
        <v>0</v>
      </c>
      <c r="S1662" s="229">
        <v>0</v>
      </c>
      <c r="T1662" s="229">
        <v>-0.27382168435374138</v>
      </c>
      <c r="U1662" s="229">
        <f>AVERAGE(G1662:T1662)</f>
        <v>0.32841317821926724</v>
      </c>
      <c r="V1662" t="str">
        <f t="shared" si="179"/>
        <v>2019/20Expenditure driversDiversions Rail ElecActual</v>
      </c>
    </row>
    <row r="1663" spans="1:22">
      <c r="A1663" t="s">
        <v>141</v>
      </c>
      <c r="C1663" t="s">
        <v>1344</v>
      </c>
      <c r="D1663" t="s">
        <v>68</v>
      </c>
      <c r="E1663" t="s">
        <v>602</v>
      </c>
      <c r="F1663" t="s">
        <v>1289</v>
      </c>
      <c r="G1663" s="229">
        <v>0</v>
      </c>
      <c r="H1663" s="229">
        <v>0</v>
      </c>
      <c r="I1663" s="229">
        <v>0</v>
      </c>
      <c r="J1663" s="229">
        <v>-1.510537548252916</v>
      </c>
      <c r="K1663" s="229">
        <v>0.38284246874161337</v>
      </c>
      <c r="L1663" s="229">
        <v>1.4988239827691799E-3</v>
      </c>
      <c r="M1663" s="229">
        <v>4.4872648866991005</v>
      </c>
      <c r="N1663" s="229">
        <v>0</v>
      </c>
      <c r="O1663" s="229">
        <v>0</v>
      </c>
      <c r="P1663" s="229">
        <v>0</v>
      </c>
      <c r="Q1663" s="229">
        <v>0</v>
      </c>
      <c r="R1663" s="229">
        <v>0</v>
      </c>
      <c r="S1663" s="229">
        <v>0</v>
      </c>
      <c r="T1663" s="229">
        <v>-1.836781120340254</v>
      </c>
      <c r="U1663" s="229">
        <f>U1662-U1661</f>
        <v>0.10887767934502235</v>
      </c>
      <c r="V1663" t="str">
        <f t="shared" si="179"/>
        <v>2019/20Expenditure driversDiversions Rail ElecDifference</v>
      </c>
    </row>
    <row r="1664" spans="1:22">
      <c r="A1664" t="s">
        <v>141</v>
      </c>
      <c r="C1664" t="s">
        <v>1344</v>
      </c>
      <c r="D1664" t="s">
        <v>68</v>
      </c>
      <c r="E1664" t="s">
        <v>1346</v>
      </c>
      <c r="F1664" t="s">
        <v>606</v>
      </c>
      <c r="G1664" s="829" t="e">
        <v>#DIV/0!</v>
      </c>
      <c r="H1664" s="829" t="e">
        <v>#DIV/0!</v>
      </c>
      <c r="I1664" s="829" t="e">
        <v>#DIV/0!</v>
      </c>
      <c r="J1664" s="829">
        <v>-1</v>
      </c>
      <c r="K1664" s="829" t="e">
        <v>#DIV/0!</v>
      </c>
      <c r="L1664" s="829" t="e">
        <v>#DIV/0!</v>
      </c>
      <c r="M1664" s="829" t="e">
        <v>#DIV/0!</v>
      </c>
      <c r="N1664" s="829" t="e">
        <v>#DIV/0!</v>
      </c>
      <c r="O1664" s="829" t="e">
        <v>#DIV/0!</v>
      </c>
      <c r="P1664" s="829" t="e">
        <v>#DIV/0!</v>
      </c>
      <c r="Q1664" s="829" t="e">
        <v>#DIV/0!</v>
      </c>
      <c r="R1664" s="829" t="e">
        <v>#DIV/0!</v>
      </c>
      <c r="S1664" s="829" t="e">
        <v>#DIV/0!</v>
      </c>
      <c r="T1664" s="829">
        <v>-1.1751943640053011</v>
      </c>
      <c r="U1664" s="829">
        <f>U1663/U1661</f>
        <v>0.49594566666136325</v>
      </c>
      <c r="V1664" t="str">
        <f t="shared" si="179"/>
        <v>2019/20Expenditure driversDiversions Rail ElecDifference %</v>
      </c>
    </row>
    <row r="1665" spans="1:22">
      <c r="A1665" t="s">
        <v>126</v>
      </c>
      <c r="C1665" t="s">
        <v>1344</v>
      </c>
      <c r="D1665" t="s">
        <v>68</v>
      </c>
      <c r="E1665" t="s">
        <v>297</v>
      </c>
      <c r="F1665" t="s">
        <v>1289</v>
      </c>
      <c r="G1665" s="229" cm="1">
        <f t="array" ref="G1665:T1668">TRANSPOSE('Ch4 expenditure drivers'!BE374:BH387)</f>
        <v>0</v>
      </c>
      <c r="H1665" s="229">
        <v>0</v>
      </c>
      <c r="I1665" s="229">
        <v>0</v>
      </c>
      <c r="J1665" s="229">
        <v>-0.83641840243000631</v>
      </c>
      <c r="K1665" s="229">
        <v>-4.0817286809032387</v>
      </c>
      <c r="L1665" s="229">
        <v>-15.297766048840298</v>
      </c>
      <c r="M1665" s="229">
        <v>-3.7030115867988145</v>
      </c>
      <c r="N1665" s="229">
        <v>0</v>
      </c>
      <c r="O1665" s="229">
        <v>0</v>
      </c>
      <c r="P1665" s="229">
        <v>0</v>
      </c>
      <c r="Q1665" s="229">
        <v>0</v>
      </c>
      <c r="R1665" s="229">
        <v>0</v>
      </c>
      <c r="S1665" s="229">
        <v>0</v>
      </c>
      <c r="T1665" s="229">
        <v>7.4541142331664449</v>
      </c>
      <c r="U1665" s="229">
        <f>AVERAGE(G1665:T1665)</f>
        <v>-1.1760578918432796</v>
      </c>
      <c r="V1665" t="str">
        <f t="shared" si="179"/>
        <v>2020/21Expenditure driversDiversions Rail ElecAllowance</v>
      </c>
    </row>
    <row r="1666" spans="1:22">
      <c r="A1666" t="s">
        <v>126</v>
      </c>
      <c r="C1666" t="s">
        <v>1344</v>
      </c>
      <c r="D1666" t="s">
        <v>68</v>
      </c>
      <c r="E1666" t="s">
        <v>298</v>
      </c>
      <c r="F1666" t="s">
        <v>1289</v>
      </c>
      <c r="G1666" s="229">
        <v>0</v>
      </c>
      <c r="H1666" s="229">
        <v>0</v>
      </c>
      <c r="I1666" s="229">
        <v>0</v>
      </c>
      <c r="J1666" s="229">
        <v>0</v>
      </c>
      <c r="K1666" s="229">
        <v>2.9617271821788312E-2</v>
      </c>
      <c r="L1666" s="229">
        <v>0</v>
      </c>
      <c r="M1666" s="229">
        <v>3.093524041785789</v>
      </c>
      <c r="N1666" s="229">
        <v>0</v>
      </c>
      <c r="O1666" s="229">
        <v>0</v>
      </c>
      <c r="P1666" s="229">
        <v>0</v>
      </c>
      <c r="Q1666" s="229">
        <v>0</v>
      </c>
      <c r="R1666" s="229">
        <v>0</v>
      </c>
      <c r="S1666" s="229">
        <v>0</v>
      </c>
      <c r="T1666" s="229">
        <v>0.2685567594962725</v>
      </c>
      <c r="U1666" s="229">
        <f>AVERAGE(G1666:T1666)</f>
        <v>0.24226414807884639</v>
      </c>
      <c r="V1666" t="str">
        <f t="shared" si="179"/>
        <v>2020/21Expenditure driversDiversions Rail ElecActual</v>
      </c>
    </row>
    <row r="1667" spans="1:22">
      <c r="A1667" t="s">
        <v>126</v>
      </c>
      <c r="C1667" t="s">
        <v>1344</v>
      </c>
      <c r="D1667" t="s">
        <v>68</v>
      </c>
      <c r="E1667" t="s">
        <v>602</v>
      </c>
      <c r="F1667" t="s">
        <v>1289</v>
      </c>
      <c r="G1667" s="229">
        <v>0</v>
      </c>
      <c r="H1667" s="229">
        <v>0</v>
      </c>
      <c r="I1667" s="229">
        <v>0</v>
      </c>
      <c r="J1667" s="229">
        <v>0.83641840243000631</v>
      </c>
      <c r="K1667" s="229">
        <v>4.1113459527250269</v>
      </c>
      <c r="L1667" s="229">
        <v>15.297766048840298</v>
      </c>
      <c r="M1667" s="229">
        <v>6.7965356285846035</v>
      </c>
      <c r="N1667" s="229">
        <v>0</v>
      </c>
      <c r="O1667" s="229">
        <v>0</v>
      </c>
      <c r="P1667" s="229">
        <v>0</v>
      </c>
      <c r="Q1667" s="229">
        <v>0</v>
      </c>
      <c r="R1667" s="229">
        <v>0</v>
      </c>
      <c r="S1667" s="229">
        <v>0</v>
      </c>
      <c r="T1667" s="229">
        <v>-7.1855574736701726</v>
      </c>
      <c r="U1667" s="229">
        <f>U1666-U1665</f>
        <v>1.4183220399221259</v>
      </c>
      <c r="V1667" t="str">
        <f t="shared" si="179"/>
        <v>2020/21Expenditure driversDiversions Rail ElecDifference</v>
      </c>
    </row>
    <row r="1668" spans="1:22">
      <c r="A1668" t="s">
        <v>126</v>
      </c>
      <c r="C1668" t="s">
        <v>1344</v>
      </c>
      <c r="D1668" t="s">
        <v>68</v>
      </c>
      <c r="E1668" t="s">
        <v>1346</v>
      </c>
      <c r="F1668" t="s">
        <v>606</v>
      </c>
      <c r="G1668" s="829" t="e">
        <v>#DIV/0!</v>
      </c>
      <c r="H1668" s="829" t="e">
        <v>#DIV/0!</v>
      </c>
      <c r="I1668" s="829" t="e">
        <v>#DIV/0!</v>
      </c>
      <c r="J1668" s="829">
        <v>-1</v>
      </c>
      <c r="K1668" s="829">
        <v>-1.0072560608842904</v>
      </c>
      <c r="L1668" s="829">
        <v>-1</v>
      </c>
      <c r="M1668" s="829">
        <v>-1.8354076052081931</v>
      </c>
      <c r="N1668" s="829" t="e">
        <v>#DIV/0!</v>
      </c>
      <c r="O1668" s="829" t="e">
        <v>#DIV/0!</v>
      </c>
      <c r="P1668" s="829" t="e">
        <v>#DIV/0!</v>
      </c>
      <c r="Q1668" s="829" t="e">
        <v>#DIV/0!</v>
      </c>
      <c r="R1668" s="829" t="e">
        <v>#DIV/0!</v>
      </c>
      <c r="S1668" s="829" t="e">
        <v>#DIV/0!</v>
      </c>
      <c r="T1668" s="829">
        <v>-0.96397200913539105</v>
      </c>
      <c r="U1668" s="829">
        <f>U1667/U1665</f>
        <v>-1.2059967878784748</v>
      </c>
      <c r="V1668" t="str">
        <f t="shared" si="179"/>
        <v>2020/21Expenditure driversDiversions Rail ElecDifference %</v>
      </c>
    </row>
    <row r="1669" spans="1:22">
      <c r="A1669" t="s">
        <v>142</v>
      </c>
      <c r="C1669" t="s">
        <v>1344</v>
      </c>
      <c r="D1669" t="s">
        <v>68</v>
      </c>
      <c r="E1669" t="s">
        <v>297</v>
      </c>
      <c r="F1669" t="s">
        <v>1289</v>
      </c>
      <c r="G1669" s="229" cm="1">
        <f t="array" ref="G1669:T1672">TRANSPOSE('Ch4 expenditure drivers'!BJ374:BM387)</f>
        <v>0</v>
      </c>
      <c r="H1669" s="229">
        <v>0</v>
      </c>
      <c r="I1669" s="229">
        <v>0</v>
      </c>
      <c r="J1669" s="229">
        <v>-0.82180440848142067</v>
      </c>
      <c r="K1669" s="229">
        <v>-4.0817286809032387</v>
      </c>
      <c r="L1669" s="229">
        <v>-15.297766048840298</v>
      </c>
      <c r="M1669" s="229">
        <v>-2.7568989338875487</v>
      </c>
      <c r="N1669" s="229">
        <v>0</v>
      </c>
      <c r="O1669" s="229">
        <v>0</v>
      </c>
      <c r="P1669" s="229">
        <v>0</v>
      </c>
      <c r="Q1669" s="229">
        <v>0</v>
      </c>
      <c r="R1669" s="229">
        <v>0</v>
      </c>
      <c r="S1669" s="229">
        <v>0</v>
      </c>
      <c r="T1669" s="229">
        <v>0</v>
      </c>
      <c r="U1669" s="229">
        <f>AVERAGE(G1669:T1669)</f>
        <v>-1.6398712908651789</v>
      </c>
      <c r="V1669" t="str">
        <f t="shared" ref="V1669:V1672" si="180">CONCATENATE(A1669,B1669,C1669,D1669,E1669)</f>
        <v>2021/22Expenditure driversDiversions Rail ElecAllowance</v>
      </c>
    </row>
    <row r="1670" spans="1:22">
      <c r="A1670" t="s">
        <v>142</v>
      </c>
      <c r="C1670" t="s">
        <v>1344</v>
      </c>
      <c r="D1670" t="s">
        <v>68</v>
      </c>
      <c r="E1670" t="s">
        <v>298</v>
      </c>
      <c r="F1670" t="s">
        <v>1289</v>
      </c>
      <c r="G1670" s="229">
        <v>0</v>
      </c>
      <c r="H1670" s="229">
        <v>0</v>
      </c>
      <c r="I1670" s="229">
        <v>0</v>
      </c>
      <c r="J1670" s="229">
        <v>0</v>
      </c>
      <c r="K1670" s="229">
        <v>0.46819999999999995</v>
      </c>
      <c r="L1670" s="229">
        <v>0</v>
      </c>
      <c r="M1670" s="229">
        <v>3.7999999999999996E-3</v>
      </c>
      <c r="N1670" s="229">
        <v>0</v>
      </c>
      <c r="O1670" s="229">
        <v>0</v>
      </c>
      <c r="P1670" s="229">
        <v>0</v>
      </c>
      <c r="Q1670" s="229">
        <v>0</v>
      </c>
      <c r="R1670" s="229">
        <v>0</v>
      </c>
      <c r="S1670" s="229">
        <v>0</v>
      </c>
      <c r="T1670" s="229">
        <v>3.4004191400000003</v>
      </c>
      <c r="U1670" s="229">
        <f>AVERAGE(G1670:T1670)</f>
        <v>0.27660136714285716</v>
      </c>
      <c r="V1670" t="str">
        <f t="shared" si="180"/>
        <v>2021/22Expenditure driversDiversions Rail ElecActual</v>
      </c>
    </row>
    <row r="1671" spans="1:22">
      <c r="A1671" t="s">
        <v>142</v>
      </c>
      <c r="C1671" t="s">
        <v>1344</v>
      </c>
      <c r="D1671" t="s">
        <v>68</v>
      </c>
      <c r="E1671" t="s">
        <v>602</v>
      </c>
      <c r="F1671" t="s">
        <v>1289</v>
      </c>
      <c r="G1671" s="229">
        <v>0</v>
      </c>
      <c r="H1671" s="229">
        <v>0</v>
      </c>
      <c r="I1671" s="229">
        <v>0</v>
      </c>
      <c r="J1671" s="229">
        <v>0.82180440848142067</v>
      </c>
      <c r="K1671" s="229">
        <v>4.5499286809032391</v>
      </c>
      <c r="L1671" s="229">
        <v>15.297766048840298</v>
      </c>
      <c r="M1671" s="229">
        <v>2.7606989338875487</v>
      </c>
      <c r="N1671" s="229">
        <v>0</v>
      </c>
      <c r="O1671" s="229">
        <v>0</v>
      </c>
      <c r="P1671" s="229">
        <v>0</v>
      </c>
      <c r="Q1671" s="229">
        <v>0</v>
      </c>
      <c r="R1671" s="229">
        <v>0</v>
      </c>
      <c r="S1671" s="229">
        <v>0</v>
      </c>
      <c r="T1671" s="229">
        <v>3.4004191400000003</v>
      </c>
      <c r="U1671" s="229">
        <f>U1670-U1669</f>
        <v>1.916472658008036</v>
      </c>
      <c r="V1671" t="str">
        <f t="shared" si="180"/>
        <v>2021/22Expenditure driversDiversions Rail ElecDifference</v>
      </c>
    </row>
    <row r="1672" spans="1:22">
      <c r="A1672" t="s">
        <v>142</v>
      </c>
      <c r="C1672" t="s">
        <v>1344</v>
      </c>
      <c r="D1672" t="s">
        <v>68</v>
      </c>
      <c r="E1672" t="s">
        <v>1346</v>
      </c>
      <c r="F1672" t="s">
        <v>606</v>
      </c>
      <c r="G1672" s="829" t="e">
        <v>#DIV/0!</v>
      </c>
      <c r="H1672" s="829" t="e">
        <v>#DIV/0!</v>
      </c>
      <c r="I1672" s="829" t="e">
        <v>#DIV/0!</v>
      </c>
      <c r="J1672" s="829">
        <v>-1</v>
      </c>
      <c r="K1672" s="829">
        <v>-1.1147063013253475</v>
      </c>
      <c r="L1672" s="829">
        <v>-1</v>
      </c>
      <c r="M1672" s="829">
        <v>-1.0013783602849169</v>
      </c>
      <c r="N1672" s="829" t="e">
        <v>#DIV/0!</v>
      </c>
      <c r="O1672" s="829" t="e">
        <v>#DIV/0!</v>
      </c>
      <c r="P1672" s="829" t="e">
        <v>#DIV/0!</v>
      </c>
      <c r="Q1672" s="829" t="e">
        <v>#DIV/0!</v>
      </c>
      <c r="R1672" s="829" t="e">
        <v>#DIV/0!</v>
      </c>
      <c r="S1672" s="829" t="e">
        <v>#DIV/0!</v>
      </c>
      <c r="T1672" s="829" t="e">
        <v>#DIV/0!</v>
      </c>
      <c r="U1672" s="829">
        <f>U1671/U1669</f>
        <v>-1.1686726078343168</v>
      </c>
      <c r="V1672" t="str">
        <f t="shared" si="180"/>
        <v>2021/22Expenditure driversDiversions Rail ElecDifference %</v>
      </c>
    </row>
    <row r="1673" spans="1:22">
      <c r="A1673" t="s">
        <v>137</v>
      </c>
      <c r="C1673" t="s">
        <v>1344</v>
      </c>
      <c r="D1673" t="s">
        <v>70</v>
      </c>
      <c r="E1673" t="s">
        <v>1347</v>
      </c>
      <c r="F1673" t="s">
        <v>1289</v>
      </c>
      <c r="G1673">
        <f t="array" ref="G1673:T1680">TRANSPOSE('Ch4 expenditure drivers'!E394:L407)</f>
        <v>66.898469966839954</v>
      </c>
      <c r="H1673">
        <v>52.165114941677615</v>
      </c>
      <c r="I1673">
        <v>77.887947813024027</v>
      </c>
      <c r="J1673">
        <v>71.286618800905572</v>
      </c>
      <c r="K1673">
        <v>59.910211084057067</v>
      </c>
      <c r="L1673">
        <v>40.191391266387257</v>
      </c>
      <c r="M1673">
        <v>63.57258907565739</v>
      </c>
      <c r="N1673">
        <v>61.819932487844696</v>
      </c>
      <c r="O1673">
        <v>49.415040081163738</v>
      </c>
      <c r="P1673">
        <v>69.211698947751472</v>
      </c>
      <c r="Q1673">
        <v>41.619614839669502</v>
      </c>
      <c r="R1673">
        <v>73.854937308824745</v>
      </c>
      <c r="S1673">
        <v>33.814284607057708</v>
      </c>
      <c r="T1673">
        <v>79.296364821309481</v>
      </c>
      <c r="U1673">
        <f>AVERAGE(G1673:T1673)</f>
        <v>60.067444003012156</v>
      </c>
      <c r="V1673" t="str">
        <f t="shared" si="179"/>
        <v>2015/16Expenditure driversAsset ReplacementBPDT</v>
      </c>
    </row>
    <row r="1674" spans="1:22">
      <c r="A1674" t="s">
        <v>138</v>
      </c>
      <c r="C1674" t="s">
        <v>1344</v>
      </c>
      <c r="D1674" t="s">
        <v>70</v>
      </c>
      <c r="E1674" t="s">
        <v>1347</v>
      </c>
      <c r="F1674" t="s">
        <v>1289</v>
      </c>
      <c r="G1674">
        <v>57.997389770409036</v>
      </c>
      <c r="H1674">
        <v>56.30821770499557</v>
      </c>
      <c r="I1674">
        <v>73.962197104762581</v>
      </c>
      <c r="J1674">
        <v>72.798333867427019</v>
      </c>
      <c r="K1674">
        <v>60.415367875080442</v>
      </c>
      <c r="L1674">
        <v>41.774342838365534</v>
      </c>
      <c r="M1674">
        <v>63.849115567503233</v>
      </c>
      <c r="N1674">
        <v>64.710062344214748</v>
      </c>
      <c r="O1674">
        <v>60.712165038845882</v>
      </c>
      <c r="P1674">
        <v>74.578871757032658</v>
      </c>
      <c r="Q1674">
        <v>43.162749280659177</v>
      </c>
      <c r="R1674">
        <v>90.305490506909933</v>
      </c>
      <c r="S1674">
        <v>33.715424706261487</v>
      </c>
      <c r="T1674">
        <v>82.751447729498921</v>
      </c>
      <c r="U1674">
        <f t="shared" ref="U1674:U1704" si="181">AVERAGE(G1674:T1674)</f>
        <v>62.645798292283303</v>
      </c>
      <c r="V1674" t="str">
        <f t="shared" si="179"/>
        <v>2016/17Expenditure driversAsset ReplacementBPDT</v>
      </c>
    </row>
    <row r="1675" spans="1:22">
      <c r="A1675" t="s">
        <v>139</v>
      </c>
      <c r="C1675" t="s">
        <v>1344</v>
      </c>
      <c r="D1675" t="s">
        <v>70</v>
      </c>
      <c r="E1675" t="s">
        <v>1347</v>
      </c>
      <c r="F1675" t="s">
        <v>1289</v>
      </c>
      <c r="G1675">
        <v>67.109083777342491</v>
      </c>
      <c r="H1675">
        <v>55.681448569341526</v>
      </c>
      <c r="I1675">
        <v>74.083798373896144</v>
      </c>
      <c r="J1675">
        <v>72.06344268394632</v>
      </c>
      <c r="K1675">
        <v>60.606424237144182</v>
      </c>
      <c r="L1675">
        <v>41.682677980415278</v>
      </c>
      <c r="M1675">
        <v>64.108505206399315</v>
      </c>
      <c r="N1675">
        <v>48.761201997180663</v>
      </c>
      <c r="O1675">
        <v>53.762860676988183</v>
      </c>
      <c r="P1675">
        <v>85.211532160209018</v>
      </c>
      <c r="Q1675">
        <v>44.850346752807347</v>
      </c>
      <c r="R1675">
        <v>81.977613074681543</v>
      </c>
      <c r="S1675">
        <v>33.37574257713262</v>
      </c>
      <c r="T1675">
        <v>82.063338367506844</v>
      </c>
      <c r="U1675">
        <f t="shared" si="181"/>
        <v>61.809858316785103</v>
      </c>
      <c r="V1675" t="str">
        <f t="shared" si="179"/>
        <v>2017/18Expenditure driversAsset ReplacementBPDT</v>
      </c>
    </row>
    <row r="1676" spans="1:22">
      <c r="A1676" t="s">
        <v>140</v>
      </c>
      <c r="C1676" t="s">
        <v>1344</v>
      </c>
      <c r="D1676" t="s">
        <v>70</v>
      </c>
      <c r="E1676" t="s">
        <v>1347</v>
      </c>
      <c r="F1676" t="s">
        <v>1289</v>
      </c>
      <c r="G1676">
        <v>58.974171357315178</v>
      </c>
      <c r="H1676">
        <v>55.791786077911979</v>
      </c>
      <c r="I1676">
        <v>76.11475455849002</v>
      </c>
      <c r="J1676">
        <v>73.257466616910946</v>
      </c>
      <c r="K1676">
        <v>61.217244191626193</v>
      </c>
      <c r="L1676">
        <v>43.736417281126556</v>
      </c>
      <c r="M1676">
        <v>64.322075754378758</v>
      </c>
      <c r="N1676">
        <v>47.225049165139609</v>
      </c>
      <c r="O1676">
        <v>54.492289026943965</v>
      </c>
      <c r="P1676">
        <v>92.529704731005708</v>
      </c>
      <c r="Q1676">
        <v>43.916776723636069</v>
      </c>
      <c r="R1676">
        <v>77.910469235993446</v>
      </c>
      <c r="S1676">
        <v>33.940388268681232</v>
      </c>
      <c r="T1676">
        <v>78.360139137178308</v>
      </c>
      <c r="U1676">
        <f t="shared" si="181"/>
        <v>61.556338009024138</v>
      </c>
      <c r="V1676" t="str">
        <f t="shared" si="179"/>
        <v>2018/19Expenditure driversAsset ReplacementBPDT</v>
      </c>
    </row>
    <row r="1677" spans="1:22">
      <c r="A1677" t="s">
        <v>141</v>
      </c>
      <c r="C1677" t="s">
        <v>1344</v>
      </c>
      <c r="D1677" t="s">
        <v>70</v>
      </c>
      <c r="E1677" t="s">
        <v>1347</v>
      </c>
      <c r="F1677" t="s">
        <v>1289</v>
      </c>
      <c r="G1677">
        <v>72.483611202632105</v>
      </c>
      <c r="H1677">
        <v>51.966561819214029</v>
      </c>
      <c r="I1677">
        <v>61.200287498265538</v>
      </c>
      <c r="J1677">
        <v>73.60690678390813</v>
      </c>
      <c r="K1677">
        <v>61.547323624521567</v>
      </c>
      <c r="L1677">
        <v>43.773821045484624</v>
      </c>
      <c r="M1677">
        <v>65.580225318966455</v>
      </c>
      <c r="N1677">
        <v>49.640169407901546</v>
      </c>
      <c r="O1677">
        <v>52.883397706184532</v>
      </c>
      <c r="P1677">
        <v>90.066149431037132</v>
      </c>
      <c r="Q1677">
        <v>42.854523528832587</v>
      </c>
      <c r="R1677">
        <v>78.114515385170066</v>
      </c>
      <c r="S1677">
        <v>36.390245083527518</v>
      </c>
      <c r="T1677">
        <v>80.311205367863693</v>
      </c>
      <c r="U1677">
        <f t="shared" si="181"/>
        <v>61.458495943107827</v>
      </c>
      <c r="V1677" t="str">
        <f t="shared" si="179"/>
        <v>2019/20Expenditure driversAsset ReplacementBPDT</v>
      </c>
    </row>
    <row r="1678" spans="1:22">
      <c r="A1678" t="s">
        <v>126</v>
      </c>
      <c r="C1678" t="s">
        <v>1344</v>
      </c>
      <c r="D1678" t="s">
        <v>70</v>
      </c>
      <c r="E1678" t="s">
        <v>1347</v>
      </c>
      <c r="F1678" t="s">
        <v>1289</v>
      </c>
      <c r="G1678">
        <v>69.424874601273615</v>
      </c>
      <c r="H1678">
        <v>45.03909135286213</v>
      </c>
      <c r="I1678">
        <v>57.69723805263208</v>
      </c>
      <c r="J1678">
        <v>74.186036861031852</v>
      </c>
      <c r="K1678">
        <v>63.214034128471994</v>
      </c>
      <c r="L1678">
        <v>43.564278623978531</v>
      </c>
      <c r="M1678">
        <v>66.459185715245496</v>
      </c>
      <c r="N1678">
        <v>50.384147071677525</v>
      </c>
      <c r="O1678">
        <v>49.460037945549658</v>
      </c>
      <c r="P1678">
        <v>82.561981399644196</v>
      </c>
      <c r="Q1678">
        <v>41.886907221121945</v>
      </c>
      <c r="R1678">
        <v>79.622485646098681</v>
      </c>
      <c r="S1678">
        <v>36.940592470128294</v>
      </c>
      <c r="T1678">
        <v>76.278264382241574</v>
      </c>
      <c r="U1678">
        <f t="shared" si="181"/>
        <v>59.765653962282684</v>
      </c>
      <c r="V1678" t="str">
        <f t="shared" si="179"/>
        <v>2020/21Expenditure driversAsset ReplacementBPDT</v>
      </c>
    </row>
    <row r="1679" spans="1:22">
      <c r="A1679" t="s">
        <v>142</v>
      </c>
      <c r="C1679" t="s">
        <v>1344</v>
      </c>
      <c r="D1679" t="s">
        <v>70</v>
      </c>
      <c r="E1679" t="s">
        <v>1347</v>
      </c>
      <c r="F1679" t="s">
        <v>1289</v>
      </c>
      <c r="G1679">
        <v>70.393661715430113</v>
      </c>
      <c r="H1679">
        <v>37.751265590004415</v>
      </c>
      <c r="I1679">
        <v>46.031006101588332</v>
      </c>
      <c r="J1679">
        <v>74.820285436626136</v>
      </c>
      <c r="K1679">
        <v>63.893025876589796</v>
      </c>
      <c r="L1679">
        <v>44.632886863608789</v>
      </c>
      <c r="M1679">
        <v>66.755725395883516</v>
      </c>
      <c r="N1679">
        <v>46.017727252275151</v>
      </c>
      <c r="O1679">
        <v>42.744741219883736</v>
      </c>
      <c r="P1679">
        <v>79.75024757292023</v>
      </c>
      <c r="Q1679">
        <v>43.589192102017464</v>
      </c>
      <c r="R1679">
        <v>73.426433476509004</v>
      </c>
      <c r="S1679">
        <v>38.0009603456432</v>
      </c>
      <c r="T1679">
        <v>77.70367588514776</v>
      </c>
      <c r="U1679">
        <f t="shared" si="181"/>
        <v>57.536488202437688</v>
      </c>
      <c r="V1679" t="str">
        <f t="shared" si="179"/>
        <v>2021/22Expenditure driversAsset ReplacementBPDT</v>
      </c>
    </row>
    <row r="1680" spans="1:22">
      <c r="A1680" t="s">
        <v>143</v>
      </c>
      <c r="C1680" t="s">
        <v>1344</v>
      </c>
      <c r="D1680" t="s">
        <v>70</v>
      </c>
      <c r="E1680" t="s">
        <v>1347</v>
      </c>
      <c r="F1680" t="s">
        <v>1289</v>
      </c>
      <c r="G1680">
        <v>66.673772542825375</v>
      </c>
      <c r="H1680">
        <v>36.816913341394041</v>
      </c>
      <c r="I1680">
        <v>52.136616096088161</v>
      </c>
      <c r="J1680">
        <v>74.894585362079241</v>
      </c>
      <c r="K1680">
        <v>64.398718827966817</v>
      </c>
      <c r="L1680">
        <v>44.729366755320576</v>
      </c>
      <c r="M1680">
        <v>67.176434737826597</v>
      </c>
      <c r="N1680">
        <v>42.850181071050471</v>
      </c>
      <c r="O1680">
        <v>45.679390277127538</v>
      </c>
      <c r="P1680">
        <v>71.190854144631587</v>
      </c>
      <c r="Q1680">
        <v>41.556381290769735</v>
      </c>
      <c r="R1680">
        <v>59.664325150083954</v>
      </c>
      <c r="S1680">
        <v>37.919155354227016</v>
      </c>
      <c r="T1680">
        <v>76.133753735415368</v>
      </c>
      <c r="U1680">
        <f t="shared" si="181"/>
        <v>55.844317763343319</v>
      </c>
      <c r="V1680" t="str">
        <f t="shared" si="179"/>
        <v>2022/23Expenditure driversAsset ReplacementBPDT</v>
      </c>
    </row>
    <row r="1681" spans="1:22">
      <c r="A1681" t="s">
        <v>137</v>
      </c>
      <c r="C1681" t="s">
        <v>1344</v>
      </c>
      <c r="D1681" t="s">
        <v>70</v>
      </c>
      <c r="E1681" t="s">
        <v>1348</v>
      </c>
      <c r="F1681" t="s">
        <v>1289</v>
      </c>
      <c r="G1681">
        <f t="array" ref="G1681:T1688">TRANSPOSE('Ch4 expenditure drivers'!N394:U407)</f>
        <v>67.251776708403227</v>
      </c>
      <c r="H1681">
        <v>55.917582788486378</v>
      </c>
      <c r="I1681">
        <v>72.137257304125967</v>
      </c>
      <c r="J1681">
        <v>71.286618800905572</v>
      </c>
      <c r="K1681">
        <v>59.910211084057067</v>
      </c>
      <c r="L1681">
        <v>40.191391266387257</v>
      </c>
      <c r="M1681">
        <v>63.57258907565739</v>
      </c>
      <c r="N1681">
        <v>53.013309470933997</v>
      </c>
      <c r="O1681">
        <v>46.330536644380743</v>
      </c>
      <c r="P1681">
        <v>60.92056433748013</v>
      </c>
      <c r="Q1681">
        <v>41.321341216241841</v>
      </c>
      <c r="R1681">
        <v>66.432978636518172</v>
      </c>
      <c r="S1681">
        <v>31.824570237888782</v>
      </c>
      <c r="T1681">
        <v>80.227778200758195</v>
      </c>
      <c r="U1681">
        <f t="shared" si="181"/>
        <v>57.881321840873206</v>
      </c>
      <c r="V1681" t="str">
        <f t="shared" si="179"/>
        <v>2015/16Expenditure driversAsset ReplacementDNO Baseline</v>
      </c>
    </row>
    <row r="1682" spans="1:22">
      <c r="A1682" t="s">
        <v>138</v>
      </c>
      <c r="C1682" t="s">
        <v>1344</v>
      </c>
      <c r="D1682" t="s">
        <v>70</v>
      </c>
      <c r="E1682" t="s">
        <v>1348</v>
      </c>
      <c r="F1682" t="s">
        <v>1289</v>
      </c>
      <c r="G1682">
        <v>59.290447641441745</v>
      </c>
      <c r="H1682">
        <v>55.705265635314575</v>
      </c>
      <c r="I1682">
        <v>69.34109828578886</v>
      </c>
      <c r="J1682">
        <v>72.798333867427019</v>
      </c>
      <c r="K1682">
        <v>60.415367875080442</v>
      </c>
      <c r="L1682">
        <v>41.774342838365534</v>
      </c>
      <c r="M1682">
        <v>63.849115567503233</v>
      </c>
      <c r="N1682">
        <v>53.771286268446225</v>
      </c>
      <c r="O1682">
        <v>54.854671933659709</v>
      </c>
      <c r="P1682">
        <v>64.099034639529961</v>
      </c>
      <c r="Q1682">
        <v>41.695810976610126</v>
      </c>
      <c r="R1682">
        <v>78.223192969473558</v>
      </c>
      <c r="S1682">
        <v>31.337249999926399</v>
      </c>
      <c r="T1682">
        <v>80.840389726963309</v>
      </c>
      <c r="U1682">
        <f t="shared" si="181"/>
        <v>59.142543444680754</v>
      </c>
      <c r="V1682" t="str">
        <f t="shared" si="179"/>
        <v>2016/17Expenditure driversAsset ReplacementDNO Baseline</v>
      </c>
    </row>
    <row r="1683" spans="1:22">
      <c r="A1683" t="s">
        <v>139</v>
      </c>
      <c r="C1683" t="s">
        <v>1344</v>
      </c>
      <c r="D1683" t="s">
        <v>70</v>
      </c>
      <c r="E1683" t="s">
        <v>1348</v>
      </c>
      <c r="F1683" t="s">
        <v>1289</v>
      </c>
      <c r="G1683">
        <v>64.888352641310348</v>
      </c>
      <c r="H1683">
        <v>50.122554982920946</v>
      </c>
      <c r="I1683">
        <v>66.36186352535104</v>
      </c>
      <c r="J1683">
        <v>72.06344268394632</v>
      </c>
      <c r="K1683">
        <v>60.606424237144182</v>
      </c>
      <c r="L1683">
        <v>41.682677980415278</v>
      </c>
      <c r="M1683">
        <v>64.108505206399315</v>
      </c>
      <c r="N1683">
        <v>41.524007267407143</v>
      </c>
      <c r="O1683">
        <v>48.715868219220987</v>
      </c>
      <c r="P1683">
        <v>69.649876870395744</v>
      </c>
      <c r="Q1683">
        <v>42.037715742626936</v>
      </c>
      <c r="R1683">
        <v>69.489210578986075</v>
      </c>
      <c r="S1683">
        <v>29.917860418334062</v>
      </c>
      <c r="T1683">
        <v>77.834202410518273</v>
      </c>
      <c r="U1683">
        <f t="shared" si="181"/>
        <v>57.071611626069753</v>
      </c>
      <c r="V1683" t="str">
        <f t="shared" si="179"/>
        <v>2017/18Expenditure driversAsset ReplacementDNO Baseline</v>
      </c>
    </row>
    <row r="1684" spans="1:22">
      <c r="A1684" t="s">
        <v>140</v>
      </c>
      <c r="C1684" t="s">
        <v>1344</v>
      </c>
      <c r="D1684" t="s">
        <v>70</v>
      </c>
      <c r="E1684" t="s">
        <v>1348</v>
      </c>
      <c r="F1684" t="s">
        <v>1289</v>
      </c>
      <c r="G1684">
        <v>60.675850424381331</v>
      </c>
      <c r="H1684">
        <v>49.395201447847981</v>
      </c>
      <c r="I1684">
        <v>65.670882790027306</v>
      </c>
      <c r="J1684">
        <v>73.257466616910946</v>
      </c>
      <c r="K1684">
        <v>61.217244191626193</v>
      </c>
      <c r="L1684">
        <v>43.736417281126556</v>
      </c>
      <c r="M1684">
        <v>64.322075754378758</v>
      </c>
      <c r="N1684">
        <v>38.463930561856571</v>
      </c>
      <c r="O1684">
        <v>48.67368750513733</v>
      </c>
      <c r="P1684">
        <v>73.589955617718715</v>
      </c>
      <c r="Q1684">
        <v>40.418985569163901</v>
      </c>
      <c r="R1684">
        <v>65.179635005636612</v>
      </c>
      <c r="S1684">
        <v>29.933980801036316</v>
      </c>
      <c r="T1684">
        <v>74.590070479668</v>
      </c>
      <c r="U1684">
        <f t="shared" si="181"/>
        <v>56.366098860465456</v>
      </c>
      <c r="V1684" t="str">
        <f t="shared" si="179"/>
        <v>2018/19Expenditure driversAsset ReplacementDNO Baseline</v>
      </c>
    </row>
    <row r="1685" spans="1:22">
      <c r="A1685" t="s">
        <v>141</v>
      </c>
      <c r="C1685" t="s">
        <v>1344</v>
      </c>
      <c r="D1685" t="s">
        <v>70</v>
      </c>
      <c r="E1685" t="s">
        <v>1348</v>
      </c>
      <c r="F1685" t="s">
        <v>1289</v>
      </c>
      <c r="G1685">
        <v>66.043443153902118</v>
      </c>
      <c r="H1685">
        <v>45.997457365445861</v>
      </c>
      <c r="I1685">
        <v>53.375869265508065</v>
      </c>
      <c r="J1685">
        <v>73.60690678390813</v>
      </c>
      <c r="K1685">
        <v>61.547323624521567</v>
      </c>
      <c r="L1685">
        <v>43.773821045484624</v>
      </c>
      <c r="M1685">
        <v>65.580225318966455</v>
      </c>
      <c r="N1685">
        <v>39.481355124372691</v>
      </c>
      <c r="O1685">
        <v>47.382658890459467</v>
      </c>
      <c r="P1685">
        <v>71.484588960348219</v>
      </c>
      <c r="Q1685">
        <v>39.055750152828729</v>
      </c>
      <c r="R1685">
        <v>62.470812918765589</v>
      </c>
      <c r="S1685">
        <v>30.588614507490266</v>
      </c>
      <c r="T1685">
        <v>72.129504492819365</v>
      </c>
      <c r="U1685">
        <f t="shared" si="181"/>
        <v>55.179880828915792</v>
      </c>
      <c r="V1685" t="str">
        <f t="shared" si="179"/>
        <v>2019/20Expenditure driversAsset ReplacementDNO Baseline</v>
      </c>
    </row>
    <row r="1686" spans="1:22">
      <c r="A1686" t="s">
        <v>126</v>
      </c>
      <c r="C1686" t="s">
        <v>1344</v>
      </c>
      <c r="D1686" t="s">
        <v>70</v>
      </c>
      <c r="E1686" t="s">
        <v>1348</v>
      </c>
      <c r="F1686" t="s">
        <v>1289</v>
      </c>
      <c r="G1686">
        <v>65.175455456065393</v>
      </c>
      <c r="H1686">
        <v>39.401313160542671</v>
      </c>
      <c r="I1686">
        <v>50.679897821975125</v>
      </c>
      <c r="J1686">
        <v>74.186036861031852</v>
      </c>
      <c r="K1686">
        <v>63.214034128471994</v>
      </c>
      <c r="L1686">
        <v>43.564278623978531</v>
      </c>
      <c r="M1686">
        <v>66.459185715245496</v>
      </c>
      <c r="N1686">
        <v>38.896751079976852</v>
      </c>
      <c r="O1686">
        <v>45.322283992304087</v>
      </c>
      <c r="P1686">
        <v>64.776926067006102</v>
      </c>
      <c r="Q1686">
        <v>37.815947856889487</v>
      </c>
      <c r="R1686">
        <v>63.273499326644838</v>
      </c>
      <c r="S1686">
        <v>30.528646785473303</v>
      </c>
      <c r="T1686">
        <v>67.768859629582096</v>
      </c>
      <c r="U1686">
        <f t="shared" si="181"/>
        <v>53.647365464656268</v>
      </c>
      <c r="V1686" t="str">
        <f t="shared" si="179"/>
        <v>2020/21Expenditure driversAsset ReplacementDNO Baseline</v>
      </c>
    </row>
    <row r="1687" spans="1:22">
      <c r="A1687" t="s">
        <v>142</v>
      </c>
      <c r="C1687" t="s">
        <v>1344</v>
      </c>
      <c r="D1687" t="s">
        <v>70</v>
      </c>
      <c r="E1687" t="s">
        <v>1348</v>
      </c>
      <c r="F1687" t="s">
        <v>1289</v>
      </c>
      <c r="G1687">
        <v>64.865031225860463</v>
      </c>
      <c r="H1687">
        <v>33.946404889638742</v>
      </c>
      <c r="I1687">
        <v>41.436597988157899</v>
      </c>
      <c r="J1687">
        <v>74.820285436626136</v>
      </c>
      <c r="K1687">
        <v>63.893025876589796</v>
      </c>
      <c r="L1687">
        <v>44.632886863608789</v>
      </c>
      <c r="M1687">
        <v>66.755725395883516</v>
      </c>
      <c r="N1687">
        <v>34.615647913035438</v>
      </c>
      <c r="O1687">
        <v>40.687334030106619</v>
      </c>
      <c r="P1687">
        <v>62.112260735894573</v>
      </c>
      <c r="Q1687">
        <v>34.910339017264619</v>
      </c>
      <c r="R1687">
        <v>53.812173555979044</v>
      </c>
      <c r="S1687">
        <v>30.826753160826225</v>
      </c>
      <c r="T1687">
        <v>67.11899700828917</v>
      </c>
      <c r="U1687">
        <f t="shared" si="181"/>
        <v>51.03096164984008</v>
      </c>
      <c r="V1687" t="str">
        <f t="shared" si="179"/>
        <v>2021/22Expenditure driversAsset ReplacementDNO Baseline</v>
      </c>
    </row>
    <row r="1688" spans="1:22">
      <c r="A1688" t="s">
        <v>143</v>
      </c>
      <c r="C1688" t="s">
        <v>1344</v>
      </c>
      <c r="D1688" t="s">
        <v>70</v>
      </c>
      <c r="E1688" t="s">
        <v>1348</v>
      </c>
      <c r="F1688" t="s">
        <v>1289</v>
      </c>
      <c r="G1688">
        <v>62.572452339917746</v>
      </c>
      <c r="H1688">
        <v>33.618376065651653</v>
      </c>
      <c r="I1688">
        <v>46.599237907423934</v>
      </c>
      <c r="J1688">
        <v>74.894585362079241</v>
      </c>
      <c r="K1688">
        <v>64.398718827966817</v>
      </c>
      <c r="L1688">
        <v>44.729366755320576</v>
      </c>
      <c r="M1688">
        <v>67.176434737826597</v>
      </c>
      <c r="N1688">
        <v>32.01975427955891</v>
      </c>
      <c r="O1688">
        <v>40.16700320495093</v>
      </c>
      <c r="P1688">
        <v>56.257375523972321</v>
      </c>
      <c r="Q1688">
        <v>33.017136197109686</v>
      </c>
      <c r="R1688">
        <v>43.73669394248892</v>
      </c>
      <c r="S1688">
        <v>30.18228700889842</v>
      </c>
      <c r="T1688">
        <v>67.436945377843458</v>
      </c>
      <c r="U1688">
        <f t="shared" si="181"/>
        <v>49.771883395072102</v>
      </c>
      <c r="V1688" t="str">
        <f t="shared" si="179"/>
        <v>2022/23Expenditure driversAsset ReplacementDNO Baseline</v>
      </c>
    </row>
    <row r="1689" spans="1:22">
      <c r="A1689" t="s">
        <v>137</v>
      </c>
      <c r="C1689" t="s">
        <v>1344</v>
      </c>
      <c r="D1689" t="s">
        <v>70</v>
      </c>
      <c r="E1689" t="s">
        <v>1349</v>
      </c>
      <c r="F1689" t="s">
        <v>1289</v>
      </c>
      <c r="G1689" cm="1">
        <f t="array" ref="G1689:T1694">TRANSPOSE('Ch4 expenditure drivers'!W394:AB407)</f>
        <v>52.291666930154854</v>
      </c>
      <c r="H1689">
        <v>51.829084834989722</v>
      </c>
      <c r="I1689">
        <v>58.859298451905175</v>
      </c>
      <c r="J1689">
        <v>68.294571194104066</v>
      </c>
      <c r="K1689">
        <v>61.391796152378468</v>
      </c>
      <c r="L1689">
        <v>37.303746288251695</v>
      </c>
      <c r="M1689">
        <v>50.899885129493939</v>
      </c>
      <c r="N1689">
        <v>24.981319354881968</v>
      </c>
      <c r="O1689">
        <v>18.954726083958683</v>
      </c>
      <c r="P1689">
        <v>36.877134552272672</v>
      </c>
      <c r="Q1689">
        <v>43.781615060925688</v>
      </c>
      <c r="R1689">
        <v>58.919001028675808</v>
      </c>
      <c r="S1689">
        <v>26.013513674030971</v>
      </c>
      <c r="T1689">
        <v>46.494433334179668</v>
      </c>
      <c r="U1689">
        <f t="shared" si="181"/>
        <v>45.492270862157383</v>
      </c>
      <c r="V1689" t="str">
        <f t="shared" si="179"/>
        <v>2015/16Expenditure driversAsset ReplacementDNO Actual</v>
      </c>
    </row>
    <row r="1690" spans="1:22">
      <c r="A1690" t="s">
        <v>138</v>
      </c>
      <c r="C1690" t="s">
        <v>1344</v>
      </c>
      <c r="D1690" t="s">
        <v>70</v>
      </c>
      <c r="E1690" t="s">
        <v>1349</v>
      </c>
      <c r="F1690" t="s">
        <v>1289</v>
      </c>
      <c r="G1690">
        <v>52.310977999350619</v>
      </c>
      <c r="H1690">
        <v>56.911839331501376</v>
      </c>
      <c r="I1690">
        <v>49.657453361363814</v>
      </c>
      <c r="J1690">
        <v>74.463766380117121</v>
      </c>
      <c r="K1690">
        <v>70.042136426005314</v>
      </c>
      <c r="L1690">
        <v>38.445259893128849</v>
      </c>
      <c r="M1690">
        <v>66.566220505524697</v>
      </c>
      <c r="N1690">
        <v>27.902713023910874</v>
      </c>
      <c r="O1690">
        <v>31.836152468180689</v>
      </c>
      <c r="P1690">
        <v>36.166032849656141</v>
      </c>
      <c r="Q1690">
        <v>50.82513108192606</v>
      </c>
      <c r="R1690">
        <v>55.897596014910491</v>
      </c>
      <c r="S1690">
        <v>31.751144077473256</v>
      </c>
      <c r="T1690">
        <v>53.609188119952144</v>
      </c>
      <c r="U1690">
        <f t="shared" si="181"/>
        <v>49.741829395214381</v>
      </c>
      <c r="V1690" t="str">
        <f t="shared" si="179"/>
        <v>2016/17Expenditure driversAsset ReplacementDNO Actual</v>
      </c>
    </row>
    <row r="1691" spans="1:22">
      <c r="A1691" t="s">
        <v>139</v>
      </c>
      <c r="C1691" t="s">
        <v>1344</v>
      </c>
      <c r="D1691" t="s">
        <v>70</v>
      </c>
      <c r="E1691" t="s">
        <v>1349</v>
      </c>
      <c r="F1691" t="s">
        <v>1289</v>
      </c>
      <c r="G1691">
        <v>57.732937123012668</v>
      </c>
      <c r="H1691">
        <v>45.380260979128686</v>
      </c>
      <c r="I1691">
        <v>47.015159389177398</v>
      </c>
      <c r="J1691">
        <v>62.065555801213499</v>
      </c>
      <c r="K1691">
        <v>54.098037542741565</v>
      </c>
      <c r="L1691">
        <v>37.045966126122188</v>
      </c>
      <c r="M1691">
        <v>62.593569562180811</v>
      </c>
      <c r="N1691">
        <v>30.401917669633228</v>
      </c>
      <c r="O1691">
        <v>33.948678854891369</v>
      </c>
      <c r="P1691">
        <v>37.200039340881375</v>
      </c>
      <c r="Q1691">
        <v>43.769394370157158</v>
      </c>
      <c r="R1691">
        <v>63.469982908178693</v>
      </c>
      <c r="S1691">
        <v>29.034583479472488</v>
      </c>
      <c r="T1691">
        <v>73.448799151694445</v>
      </c>
      <c r="U1691">
        <f t="shared" si="181"/>
        <v>48.371777307034684</v>
      </c>
      <c r="V1691" t="str">
        <f t="shared" si="179"/>
        <v>2017/18Expenditure driversAsset ReplacementDNO Actual</v>
      </c>
    </row>
    <row r="1692" spans="1:22">
      <c r="A1692" t="s">
        <v>140</v>
      </c>
      <c r="C1692" t="s">
        <v>1344</v>
      </c>
      <c r="D1692" t="s">
        <v>70</v>
      </c>
      <c r="E1692" t="s">
        <v>1349</v>
      </c>
      <c r="F1692" t="s">
        <v>1289</v>
      </c>
      <c r="G1692">
        <v>50.745649874597326</v>
      </c>
      <c r="H1692">
        <v>45.659641504776637</v>
      </c>
      <c r="I1692">
        <v>64.334070185695069</v>
      </c>
      <c r="J1692">
        <v>41.637212358987391</v>
      </c>
      <c r="K1692">
        <v>39.850712850325444</v>
      </c>
      <c r="L1692">
        <v>34.133716728083925</v>
      </c>
      <c r="M1692">
        <v>57.368204897143741</v>
      </c>
      <c r="N1692">
        <v>30.277626449050654</v>
      </c>
      <c r="O1692">
        <v>32.138970973128046</v>
      </c>
      <c r="P1692">
        <v>41.372891282988725</v>
      </c>
      <c r="Q1692">
        <v>45.793010711288474</v>
      </c>
      <c r="R1692">
        <v>70.43679451461297</v>
      </c>
      <c r="S1692">
        <v>37.231583413319676</v>
      </c>
      <c r="T1692">
        <v>50.150885872751132</v>
      </c>
      <c r="U1692">
        <f t="shared" si="181"/>
        <v>45.795069401196372</v>
      </c>
      <c r="V1692" t="str">
        <f t="shared" si="179"/>
        <v>2018/19Expenditure driversAsset ReplacementDNO Actual</v>
      </c>
    </row>
    <row r="1693" spans="1:22">
      <c r="A1693" t="s">
        <v>141</v>
      </c>
      <c r="C1693" t="s">
        <v>1344</v>
      </c>
      <c r="D1693" t="s">
        <v>70</v>
      </c>
      <c r="E1693" t="s">
        <v>1349</v>
      </c>
      <c r="F1693" t="s">
        <v>1289</v>
      </c>
      <c r="G1693">
        <v>37.410231464549533</v>
      </c>
      <c r="H1693">
        <v>55.903144617139048</v>
      </c>
      <c r="I1693">
        <v>80.070466825478519</v>
      </c>
      <c r="J1693">
        <v>53.17559843725271</v>
      </c>
      <c r="K1693">
        <v>51.253677855918973</v>
      </c>
      <c r="L1693">
        <v>29.351255936857029</v>
      </c>
      <c r="M1693">
        <v>55.096448430027316</v>
      </c>
      <c r="N1693">
        <v>19.557250851550581</v>
      </c>
      <c r="O1693">
        <v>24.684181229242604</v>
      </c>
      <c r="P1693">
        <v>33.501175910585488</v>
      </c>
      <c r="Q1693">
        <v>46.843020903789096</v>
      </c>
      <c r="R1693">
        <v>56.593256495805569</v>
      </c>
      <c r="S1693">
        <v>21.277447390728391</v>
      </c>
      <c r="T1693">
        <v>72.382620481728296</v>
      </c>
      <c r="U1693">
        <f>AVERAGE(G1693:T1693)</f>
        <v>45.507126916475229</v>
      </c>
      <c r="V1693" t="str">
        <f t="shared" si="179"/>
        <v>2019/20Expenditure driversAsset ReplacementDNO Actual</v>
      </c>
    </row>
    <row r="1694" spans="1:22">
      <c r="A1694" t="s">
        <v>126</v>
      </c>
      <c r="C1694" t="s">
        <v>1344</v>
      </c>
      <c r="D1694" t="s">
        <v>70</v>
      </c>
      <c r="E1694" t="s">
        <v>1349</v>
      </c>
      <c r="F1694" t="s">
        <v>1289</v>
      </c>
      <c r="G1694">
        <v>32.928579218244629</v>
      </c>
      <c r="H1694">
        <v>57.126926596041564</v>
      </c>
      <c r="I1694">
        <v>78.771285917098709</v>
      </c>
      <c r="J1694">
        <v>63.70283797774735</v>
      </c>
      <c r="K1694">
        <v>63.253078549939332</v>
      </c>
      <c r="L1694">
        <v>32.548535524379012</v>
      </c>
      <c r="M1694">
        <v>54.288353473367181</v>
      </c>
      <c r="N1694">
        <v>31.056435302529263</v>
      </c>
      <c r="O1694">
        <v>20.397371736967575</v>
      </c>
      <c r="P1694">
        <v>41.141386236163861</v>
      </c>
      <c r="Q1694">
        <v>34.653768603787135</v>
      </c>
      <c r="R1694">
        <v>40.221706252208072</v>
      </c>
      <c r="S1694">
        <v>44.847492873884647</v>
      </c>
      <c r="T1694">
        <v>79.273427783454537</v>
      </c>
      <c r="U1694">
        <f>AVERAGE(G1694:T1694)</f>
        <v>48.1579418604152</v>
      </c>
      <c r="V1694" t="str">
        <f t="shared" si="179"/>
        <v>2020/21Expenditure driversAsset ReplacementDNO Actual</v>
      </c>
    </row>
    <row r="1695" spans="1:22">
      <c r="A1695" t="s">
        <v>137</v>
      </c>
      <c r="C1695" t="s">
        <v>1344</v>
      </c>
      <c r="D1695" t="s">
        <v>70</v>
      </c>
      <c r="E1695" t="s">
        <v>297</v>
      </c>
      <c r="F1695" t="s">
        <v>1289</v>
      </c>
      <c r="G1695">
        <f t="array" ref="G1695:T1698">TRANSPOSE('Ch4 expenditure drivers'!AF394:AI407)</f>
        <v>67.251776708403227</v>
      </c>
      <c r="H1695">
        <v>55.917582788486378</v>
      </c>
      <c r="I1695">
        <v>72.137257304125967</v>
      </c>
      <c r="J1695">
        <v>71.286618800905572</v>
      </c>
      <c r="K1695">
        <v>59.910211084057067</v>
      </c>
      <c r="L1695">
        <v>40.191391266387257</v>
      </c>
      <c r="M1695">
        <v>63.57258907565739</v>
      </c>
      <c r="N1695">
        <v>53.013309470933997</v>
      </c>
      <c r="O1695">
        <v>46.330536644380743</v>
      </c>
      <c r="P1695">
        <v>60.92056433748013</v>
      </c>
      <c r="Q1695">
        <v>41.321341216241841</v>
      </c>
      <c r="R1695">
        <v>66.432978636518172</v>
      </c>
      <c r="S1695">
        <v>31.824570237888782</v>
      </c>
      <c r="T1695">
        <v>80.227778200758195</v>
      </c>
      <c r="U1695">
        <f t="shared" si="181"/>
        <v>57.881321840873206</v>
      </c>
      <c r="V1695" t="str">
        <f t="shared" si="179"/>
        <v>2015/16Expenditure driversAsset ReplacementAllowance</v>
      </c>
    </row>
    <row r="1696" spans="1:22">
      <c r="A1696" t="s">
        <v>137</v>
      </c>
      <c r="C1696" t="s">
        <v>1344</v>
      </c>
      <c r="D1696" t="s">
        <v>70</v>
      </c>
      <c r="E1696" t="s">
        <v>298</v>
      </c>
      <c r="F1696" t="s">
        <v>1289</v>
      </c>
      <c r="G1696">
        <v>52.291666930154854</v>
      </c>
      <c r="H1696">
        <v>51.829084834989722</v>
      </c>
      <c r="I1696">
        <v>58.859298451905175</v>
      </c>
      <c r="J1696">
        <v>68.294571194104066</v>
      </c>
      <c r="K1696">
        <v>61.391796152378468</v>
      </c>
      <c r="L1696">
        <v>37.303746288251695</v>
      </c>
      <c r="M1696">
        <v>50.899885129493939</v>
      </c>
      <c r="N1696">
        <v>24.981319354881968</v>
      </c>
      <c r="O1696">
        <v>18.954726083958683</v>
      </c>
      <c r="P1696">
        <v>36.877134552272672</v>
      </c>
      <c r="Q1696">
        <v>43.781615060925688</v>
      </c>
      <c r="R1696">
        <v>58.919001028675808</v>
      </c>
      <c r="S1696">
        <v>26.013513674030971</v>
      </c>
      <c r="T1696">
        <v>46.494433334179668</v>
      </c>
      <c r="U1696">
        <f t="shared" si="181"/>
        <v>45.492270862157383</v>
      </c>
      <c r="V1696" t="str">
        <f t="shared" si="179"/>
        <v>2015/16Expenditure driversAsset ReplacementActual</v>
      </c>
    </row>
    <row r="1697" spans="1:22">
      <c r="A1697" t="s">
        <v>137</v>
      </c>
      <c r="C1697" t="s">
        <v>1344</v>
      </c>
      <c r="D1697" t="s">
        <v>70</v>
      </c>
      <c r="E1697" t="s">
        <v>602</v>
      </c>
      <c r="F1697" t="s">
        <v>1289</v>
      </c>
      <c r="G1697">
        <v>-14.960109778248373</v>
      </c>
      <c r="H1697">
        <v>-4.0884979534966561</v>
      </c>
      <c r="I1697">
        <v>-13.277958852220792</v>
      </c>
      <c r="J1697">
        <v>-2.9920476068015063</v>
      </c>
      <c r="K1697">
        <v>1.4815850683214009</v>
      </c>
      <c r="L1697">
        <v>-2.8876449781355618</v>
      </c>
      <c r="M1697">
        <v>-12.672703946163452</v>
      </c>
      <c r="N1697">
        <v>-28.031990116052029</v>
      </c>
      <c r="O1697">
        <v>-27.37581056042206</v>
      </c>
      <c r="P1697">
        <v>-24.043429785207458</v>
      </c>
      <c r="Q1697">
        <v>2.4602738446838472</v>
      </c>
      <c r="R1697">
        <v>-7.5139776078423637</v>
      </c>
      <c r="S1697">
        <v>-5.8110565638578109</v>
      </c>
      <c r="T1697">
        <v>-33.733344866578527</v>
      </c>
      <c r="U1697">
        <f>U1696-U1695</f>
        <v>-12.389050978715822</v>
      </c>
      <c r="V1697" t="str">
        <f t="shared" si="179"/>
        <v>2015/16Expenditure driversAsset ReplacementDifference</v>
      </c>
    </row>
    <row r="1698" spans="1:22">
      <c r="A1698" t="s">
        <v>137</v>
      </c>
      <c r="C1698" t="s">
        <v>1344</v>
      </c>
      <c r="D1698" t="s">
        <v>70</v>
      </c>
      <c r="E1698" t="s">
        <v>1346</v>
      </c>
      <c r="F1698" t="s">
        <v>606</v>
      </c>
      <c r="G1698" s="829">
        <v>-0.22244928699971553</v>
      </c>
      <c r="H1698" s="829">
        <v>-7.3116500206416149E-2</v>
      </c>
      <c r="I1698" s="829">
        <v>-0.18406520220531514</v>
      </c>
      <c r="J1698" s="829">
        <v>-4.1972079152160564E-2</v>
      </c>
      <c r="K1698" s="829">
        <v>2.4730092608798555E-2</v>
      </c>
      <c r="L1698" s="829">
        <v>-7.1847350568094132E-2</v>
      </c>
      <c r="M1698" s="829">
        <v>-0.19934226575358974</v>
      </c>
      <c r="N1698" s="829">
        <v>-0.52877268738374728</v>
      </c>
      <c r="O1698" s="829">
        <v>-0.59088049790034902</v>
      </c>
      <c r="P1698" s="829">
        <v>-0.3946685334694976</v>
      </c>
      <c r="Q1698" s="829">
        <v>5.9540028766462388E-2</v>
      </c>
      <c r="R1698" s="829">
        <v>-0.11310613737424584</v>
      </c>
      <c r="S1698" s="829">
        <v>-0.1825965447583468</v>
      </c>
      <c r="T1698" s="829">
        <v>-0.42046963811169991</v>
      </c>
      <c r="U1698" s="829">
        <f>U1697/U1695</f>
        <v>-0.21404229524639548</v>
      </c>
      <c r="V1698" t="str">
        <f t="shared" si="179"/>
        <v>2015/16Expenditure driversAsset ReplacementDifference %</v>
      </c>
    </row>
    <row r="1699" spans="1:22">
      <c r="A1699" t="s">
        <v>138</v>
      </c>
      <c r="C1699" t="s">
        <v>1344</v>
      </c>
      <c r="D1699" t="s">
        <v>70</v>
      </c>
      <c r="E1699" t="s">
        <v>297</v>
      </c>
      <c r="F1699" t="s">
        <v>1289</v>
      </c>
      <c r="G1699">
        <f t="array" ref="G1699:T1702">TRANSPOSE('Ch4 expenditure drivers'!AK394:AN407)</f>
        <v>59.290447641441745</v>
      </c>
      <c r="H1699">
        <v>55.705265635314575</v>
      </c>
      <c r="I1699">
        <v>69.34109828578886</v>
      </c>
      <c r="J1699">
        <v>72.798333867427019</v>
      </c>
      <c r="K1699">
        <v>60.415367875080442</v>
      </c>
      <c r="L1699">
        <v>41.774342838365534</v>
      </c>
      <c r="M1699">
        <v>63.849115567503233</v>
      </c>
      <c r="N1699">
        <v>53.771286268446225</v>
      </c>
      <c r="O1699">
        <v>54.854671933659709</v>
      </c>
      <c r="P1699">
        <v>64.099034639529961</v>
      </c>
      <c r="Q1699">
        <v>41.695810976610126</v>
      </c>
      <c r="R1699">
        <v>78.223192969473558</v>
      </c>
      <c r="S1699">
        <v>31.337249999926399</v>
      </c>
      <c r="T1699">
        <v>80.840389726963309</v>
      </c>
      <c r="U1699">
        <f t="shared" si="181"/>
        <v>59.142543444680754</v>
      </c>
      <c r="V1699" t="str">
        <f t="shared" si="179"/>
        <v>2016/17Expenditure driversAsset ReplacementAllowance</v>
      </c>
    </row>
    <row r="1700" spans="1:22">
      <c r="A1700" t="s">
        <v>138</v>
      </c>
      <c r="C1700" t="s">
        <v>1344</v>
      </c>
      <c r="D1700" t="s">
        <v>70</v>
      </c>
      <c r="E1700" t="s">
        <v>298</v>
      </c>
      <c r="F1700" t="s">
        <v>1289</v>
      </c>
      <c r="G1700">
        <v>52.310977999350619</v>
      </c>
      <c r="H1700">
        <v>56.911839331501376</v>
      </c>
      <c r="I1700">
        <v>49.657453361363814</v>
      </c>
      <c r="J1700">
        <v>74.463766380117121</v>
      </c>
      <c r="K1700">
        <v>70.042136426005314</v>
      </c>
      <c r="L1700">
        <v>38.445259893128849</v>
      </c>
      <c r="M1700">
        <v>66.566220505524697</v>
      </c>
      <c r="N1700">
        <v>27.902713023910874</v>
      </c>
      <c r="O1700">
        <v>31.836152468180689</v>
      </c>
      <c r="P1700">
        <v>36.166032849656141</v>
      </c>
      <c r="Q1700">
        <v>50.82513108192606</v>
      </c>
      <c r="R1700">
        <v>55.897596014910491</v>
      </c>
      <c r="S1700">
        <v>31.751144077473256</v>
      </c>
      <c r="T1700">
        <v>53.609188119952144</v>
      </c>
      <c r="U1700">
        <f t="shared" si="181"/>
        <v>49.741829395214381</v>
      </c>
      <c r="V1700" t="str">
        <f t="shared" si="179"/>
        <v>2016/17Expenditure driversAsset ReplacementActual</v>
      </c>
    </row>
    <row r="1701" spans="1:22">
      <c r="A1701" t="s">
        <v>138</v>
      </c>
      <c r="C1701" t="s">
        <v>1344</v>
      </c>
      <c r="D1701" t="s">
        <v>70</v>
      </c>
      <c r="E1701" t="s">
        <v>602</v>
      </c>
      <c r="F1701" t="s">
        <v>1289</v>
      </c>
      <c r="G1701">
        <v>-6.9794696420911251</v>
      </c>
      <c r="H1701">
        <v>1.2065736961868012</v>
      </c>
      <c r="I1701">
        <v>-19.683644924425046</v>
      </c>
      <c r="J1701">
        <v>1.6654325126901028</v>
      </c>
      <c r="K1701">
        <v>9.6267685509248722</v>
      </c>
      <c r="L1701">
        <v>-3.329082945236685</v>
      </c>
      <c r="M1701">
        <v>2.717104938021464</v>
      </c>
      <c r="N1701">
        <v>-25.868573244535352</v>
      </c>
      <c r="O1701">
        <v>-23.01851946547902</v>
      </c>
      <c r="P1701">
        <v>-27.933001789873821</v>
      </c>
      <c r="Q1701">
        <v>9.1293201053159336</v>
      </c>
      <c r="R1701">
        <v>-22.325596954563068</v>
      </c>
      <c r="S1701">
        <v>0.41389407754685692</v>
      </c>
      <c r="T1701">
        <v>-27.231201607011165</v>
      </c>
      <c r="U1701">
        <f>U1700-U1699</f>
        <v>-9.400714049466373</v>
      </c>
      <c r="V1701" t="str">
        <f t="shared" si="179"/>
        <v>2016/17Expenditure driversAsset ReplacementDifference</v>
      </c>
    </row>
    <row r="1702" spans="1:22">
      <c r="A1702" t="s">
        <v>138</v>
      </c>
      <c r="C1702" t="s">
        <v>1344</v>
      </c>
      <c r="D1702" t="s">
        <v>70</v>
      </c>
      <c r="E1702" t="s">
        <v>1346</v>
      </c>
      <c r="F1702" t="s">
        <v>606</v>
      </c>
      <c r="G1702" s="829">
        <v>-0.11771659550117385</v>
      </c>
      <c r="H1702" s="829">
        <v>2.1659957679510445E-2</v>
      </c>
      <c r="I1702" s="829">
        <v>-0.28386693333438473</v>
      </c>
      <c r="J1702" s="829">
        <v>2.2877343810134728E-2</v>
      </c>
      <c r="K1702" s="829">
        <v>0.15934304283026024</v>
      </c>
      <c r="L1702" s="829">
        <v>-7.9692048253581546E-2</v>
      </c>
      <c r="M1702" s="829">
        <v>4.2555091231433861E-2</v>
      </c>
      <c r="N1702" s="829">
        <v>-0.48108526017751985</v>
      </c>
      <c r="O1702" s="829">
        <v>-0.41962732897787119</v>
      </c>
      <c r="P1702" s="829">
        <v>-0.43577882173981292</v>
      </c>
      <c r="Q1702" s="829">
        <v>0.21895053463373476</v>
      </c>
      <c r="R1702" s="829">
        <v>-0.28540891910760519</v>
      </c>
      <c r="S1702" s="829">
        <v>1.3207734486843262E-2</v>
      </c>
      <c r="T1702" s="829">
        <v>-0.33685143897727321</v>
      </c>
      <c r="U1702" s="829">
        <f>U1701/U1699</f>
        <v>-0.15895011445118815</v>
      </c>
      <c r="V1702" t="str">
        <f t="shared" si="179"/>
        <v>2016/17Expenditure driversAsset ReplacementDifference %</v>
      </c>
    </row>
    <row r="1703" spans="1:22">
      <c r="A1703" t="s">
        <v>139</v>
      </c>
      <c r="C1703" t="s">
        <v>1344</v>
      </c>
      <c r="D1703" t="s">
        <v>70</v>
      </c>
      <c r="E1703" t="s">
        <v>297</v>
      </c>
      <c r="F1703" t="s">
        <v>1289</v>
      </c>
      <c r="G1703">
        <f t="array" ref="G1703:T1706">TRANSPOSE('Ch4 expenditure drivers'!AP394:AS407)</f>
        <v>64.888352641310348</v>
      </c>
      <c r="H1703">
        <v>50.122554982920946</v>
      </c>
      <c r="I1703">
        <v>66.36186352535104</v>
      </c>
      <c r="J1703">
        <v>72.06344268394632</v>
      </c>
      <c r="K1703">
        <v>60.606424237144182</v>
      </c>
      <c r="L1703">
        <v>41.682677980415278</v>
      </c>
      <c r="M1703">
        <v>64.108505206399315</v>
      </c>
      <c r="N1703">
        <v>41.524007267407143</v>
      </c>
      <c r="O1703">
        <v>48.715868219220987</v>
      </c>
      <c r="P1703">
        <v>69.649876870395744</v>
      </c>
      <c r="Q1703">
        <v>42.037715742626936</v>
      </c>
      <c r="R1703">
        <v>69.489210578986075</v>
      </c>
      <c r="S1703">
        <v>29.917860418334062</v>
      </c>
      <c r="T1703">
        <v>77.834202410518273</v>
      </c>
      <c r="U1703">
        <f t="shared" si="181"/>
        <v>57.071611626069753</v>
      </c>
      <c r="V1703" t="str">
        <f t="shared" si="179"/>
        <v>2017/18Expenditure driversAsset ReplacementAllowance</v>
      </c>
    </row>
    <row r="1704" spans="1:22">
      <c r="A1704" t="s">
        <v>139</v>
      </c>
      <c r="C1704" t="s">
        <v>1344</v>
      </c>
      <c r="D1704" t="s">
        <v>70</v>
      </c>
      <c r="E1704" t="s">
        <v>298</v>
      </c>
      <c r="F1704" t="s">
        <v>1289</v>
      </c>
      <c r="G1704">
        <v>57.732937123012668</v>
      </c>
      <c r="H1704">
        <v>45.380260979128686</v>
      </c>
      <c r="I1704">
        <v>47.015159389177398</v>
      </c>
      <c r="J1704">
        <v>62.065555801213499</v>
      </c>
      <c r="K1704">
        <v>54.098037542741565</v>
      </c>
      <c r="L1704">
        <v>37.045966126122188</v>
      </c>
      <c r="M1704">
        <v>62.593569562180811</v>
      </c>
      <c r="N1704">
        <v>30.401917669633228</v>
      </c>
      <c r="O1704">
        <v>33.948678854891369</v>
      </c>
      <c r="P1704">
        <v>37.200039340881375</v>
      </c>
      <c r="Q1704">
        <v>43.769394370157158</v>
      </c>
      <c r="R1704">
        <v>63.469982908178693</v>
      </c>
      <c r="S1704">
        <v>29.034583479472488</v>
      </c>
      <c r="T1704">
        <v>73.448799151694445</v>
      </c>
      <c r="U1704">
        <f t="shared" si="181"/>
        <v>48.371777307034684</v>
      </c>
      <c r="V1704" t="str">
        <f t="shared" si="179"/>
        <v>2017/18Expenditure driversAsset ReplacementActual</v>
      </c>
    </row>
    <row r="1705" spans="1:22">
      <c r="A1705" t="s">
        <v>139</v>
      </c>
      <c r="C1705" t="s">
        <v>1344</v>
      </c>
      <c r="D1705" t="s">
        <v>70</v>
      </c>
      <c r="E1705" t="s">
        <v>602</v>
      </c>
      <c r="F1705" t="s">
        <v>1289</v>
      </c>
      <c r="G1705">
        <v>-7.15541551829768</v>
      </c>
      <c r="H1705">
        <v>-4.7422940037922601</v>
      </c>
      <c r="I1705">
        <v>-19.346704136173642</v>
      </c>
      <c r="J1705">
        <v>-9.9978868827328213</v>
      </c>
      <c r="K1705">
        <v>-6.508386694402617</v>
      </c>
      <c r="L1705">
        <v>-4.6367118542930896</v>
      </c>
      <c r="M1705">
        <v>-1.5149356442185038</v>
      </c>
      <c r="N1705">
        <v>-11.122089597773915</v>
      </c>
      <c r="O1705">
        <v>-14.767189364329617</v>
      </c>
      <c r="P1705">
        <v>-32.449837529514369</v>
      </c>
      <c r="Q1705">
        <v>1.7316786275302221</v>
      </c>
      <c r="R1705">
        <v>-6.019227670807382</v>
      </c>
      <c r="S1705">
        <v>-0.88327693886157377</v>
      </c>
      <c r="T1705">
        <v>-4.3854032588238283</v>
      </c>
      <c r="U1705">
        <f>U1704-U1703</f>
        <v>-8.6998343190350695</v>
      </c>
      <c r="V1705" t="str">
        <f t="shared" si="179"/>
        <v>2017/18Expenditure driversAsset ReplacementDifference</v>
      </c>
    </row>
    <row r="1706" spans="1:22">
      <c r="A1706" t="s">
        <v>139</v>
      </c>
      <c r="C1706" t="s">
        <v>1344</v>
      </c>
      <c r="D1706" t="s">
        <v>70</v>
      </c>
      <c r="E1706" t="s">
        <v>1346</v>
      </c>
      <c r="F1706" t="s">
        <v>606</v>
      </c>
      <c r="G1706" s="829">
        <v>-0.11027272579797742</v>
      </c>
      <c r="H1706" s="829">
        <v>-9.4613971801879956E-2</v>
      </c>
      <c r="I1706" s="829">
        <v>-0.2915334667897469</v>
      </c>
      <c r="J1706" s="829">
        <v>-0.1387372918968256</v>
      </c>
      <c r="K1706" s="829">
        <v>-0.10738773614058206</v>
      </c>
      <c r="L1706" s="829">
        <v>-0.11123833877640159</v>
      </c>
      <c r="M1706" s="829">
        <v>-2.363080591789064E-2</v>
      </c>
      <c r="N1706" s="829">
        <v>-0.26784721248480803</v>
      </c>
      <c r="O1706" s="829">
        <v>-0.30312893732853929</v>
      </c>
      <c r="P1706" s="829">
        <v>-0.4658994241999439</v>
      </c>
      <c r="Q1706" s="829">
        <v>4.1193452045118414E-2</v>
      </c>
      <c r="R1706" s="829">
        <v>-8.6621039736313105E-2</v>
      </c>
      <c r="S1706" s="829">
        <v>-2.9523399284271341E-2</v>
      </c>
      <c r="T1706" s="829">
        <v>-5.634288170249431E-2</v>
      </c>
      <c r="U1706" s="829">
        <f>U1705/U1703</f>
        <v>-0.15243715870573157</v>
      </c>
      <c r="V1706" t="str">
        <f t="shared" si="179"/>
        <v>2017/18Expenditure driversAsset ReplacementDifference %</v>
      </c>
    </row>
    <row r="1707" spans="1:22">
      <c r="A1707" t="s">
        <v>140</v>
      </c>
      <c r="C1707" t="s">
        <v>1344</v>
      </c>
      <c r="D1707" t="s">
        <v>70</v>
      </c>
      <c r="E1707" t="s">
        <v>297</v>
      </c>
      <c r="F1707" t="s">
        <v>1289</v>
      </c>
      <c r="G1707">
        <f t="array" ref="G1707:T1710">TRANSPOSE('Ch4 expenditure drivers'!AU394:AX407)</f>
        <v>60.675850424381331</v>
      </c>
      <c r="H1707">
        <v>49.395201447847981</v>
      </c>
      <c r="I1707">
        <v>65.670882790027306</v>
      </c>
      <c r="J1707">
        <v>73.257466616910946</v>
      </c>
      <c r="K1707">
        <v>61.217244191626193</v>
      </c>
      <c r="L1707">
        <v>43.736417281126556</v>
      </c>
      <c r="M1707">
        <v>64.322075754378758</v>
      </c>
      <c r="N1707">
        <v>38.463930561856571</v>
      </c>
      <c r="O1707">
        <v>48.67368750513733</v>
      </c>
      <c r="P1707">
        <v>73.589955617718715</v>
      </c>
      <c r="Q1707">
        <v>40.418985569163901</v>
      </c>
      <c r="R1707">
        <v>65.179635005636612</v>
      </c>
      <c r="S1707">
        <v>29.933980801036316</v>
      </c>
      <c r="T1707">
        <v>74.590070479668</v>
      </c>
      <c r="U1707">
        <f>AVERAGE(G1707:T1707)</f>
        <v>56.366098860465456</v>
      </c>
      <c r="V1707" t="str">
        <f t="shared" si="179"/>
        <v>2018/19Expenditure driversAsset ReplacementAllowance</v>
      </c>
    </row>
    <row r="1708" spans="1:22">
      <c r="A1708" t="s">
        <v>140</v>
      </c>
      <c r="C1708" t="s">
        <v>1344</v>
      </c>
      <c r="D1708" t="s">
        <v>70</v>
      </c>
      <c r="E1708" t="s">
        <v>298</v>
      </c>
      <c r="F1708" t="s">
        <v>1289</v>
      </c>
      <c r="G1708">
        <v>50.745649874597326</v>
      </c>
      <c r="H1708">
        <v>45.659641504776637</v>
      </c>
      <c r="I1708">
        <v>64.334070185695069</v>
      </c>
      <c r="J1708">
        <v>41.637212358987391</v>
      </c>
      <c r="K1708">
        <v>39.850712850325444</v>
      </c>
      <c r="L1708">
        <v>34.133716728083925</v>
      </c>
      <c r="M1708">
        <v>57.368204897143741</v>
      </c>
      <c r="N1708">
        <v>30.277626449050654</v>
      </c>
      <c r="O1708">
        <v>32.138970973128046</v>
      </c>
      <c r="P1708">
        <v>41.372891282988725</v>
      </c>
      <c r="Q1708">
        <v>45.793010711288474</v>
      </c>
      <c r="R1708">
        <v>70.43679451461297</v>
      </c>
      <c r="S1708">
        <v>37.231583413319676</v>
      </c>
      <c r="T1708">
        <v>50.150885872751132</v>
      </c>
      <c r="U1708">
        <f>AVERAGE(G1708:T1708)</f>
        <v>45.795069401196372</v>
      </c>
      <c r="V1708" t="str">
        <f t="shared" si="179"/>
        <v>2018/19Expenditure driversAsset ReplacementActual</v>
      </c>
    </row>
    <row r="1709" spans="1:22">
      <c r="A1709" t="s">
        <v>140</v>
      </c>
      <c r="C1709" t="s">
        <v>1344</v>
      </c>
      <c r="D1709" t="s">
        <v>70</v>
      </c>
      <c r="E1709" t="s">
        <v>602</v>
      </c>
      <c r="F1709" t="s">
        <v>1289</v>
      </c>
      <c r="G1709">
        <v>-9.9302005497840042</v>
      </c>
      <c r="H1709">
        <v>-3.735559943071344</v>
      </c>
      <c r="I1709">
        <v>-1.3368126043322377</v>
      </c>
      <c r="J1709">
        <v>-31.620254257923555</v>
      </c>
      <c r="K1709">
        <v>-21.36653134130075</v>
      </c>
      <c r="L1709">
        <v>-9.6027005530426308</v>
      </c>
      <c r="M1709">
        <v>-6.9538708572350174</v>
      </c>
      <c r="N1709">
        <v>-8.1863041128059173</v>
      </c>
      <c r="O1709">
        <v>-16.534716532009284</v>
      </c>
      <c r="P1709">
        <v>-32.21706433472999</v>
      </c>
      <c r="Q1709">
        <v>5.3740251421245731</v>
      </c>
      <c r="R1709">
        <v>5.2571595089763576</v>
      </c>
      <c r="S1709">
        <v>7.2976026122833595</v>
      </c>
      <c r="T1709">
        <v>-24.439184606916868</v>
      </c>
      <c r="U1709">
        <f>U1708-U1707</f>
        <v>-10.571029459269084</v>
      </c>
      <c r="V1709" t="str">
        <f t="shared" si="179"/>
        <v>2018/19Expenditure driversAsset ReplacementDifference</v>
      </c>
    </row>
    <row r="1710" spans="1:22">
      <c r="A1710" t="s">
        <v>140</v>
      </c>
      <c r="C1710" t="s">
        <v>1344</v>
      </c>
      <c r="D1710" t="s">
        <v>70</v>
      </c>
      <c r="E1710" t="s">
        <v>1346</v>
      </c>
      <c r="F1710" t="s">
        <v>606</v>
      </c>
      <c r="G1710" s="829">
        <v>-0.1636598495172267</v>
      </c>
      <c r="H1710" s="829">
        <v>-7.5625968385115122E-2</v>
      </c>
      <c r="I1710" s="829">
        <v>-2.0356245379044065E-2</v>
      </c>
      <c r="J1710" s="829">
        <v>-0.43163182837425956</v>
      </c>
      <c r="K1710" s="829">
        <v>-0.3490279842460377</v>
      </c>
      <c r="L1710" s="829">
        <v>-0.21955846294676851</v>
      </c>
      <c r="M1710" s="829">
        <v>-0.10811017486110325</v>
      </c>
      <c r="N1710" s="829">
        <v>-0.21283067001280437</v>
      </c>
      <c r="O1710" s="829">
        <v>-0.33970544208848169</v>
      </c>
      <c r="P1710" s="829">
        <v>-0.43779159892539582</v>
      </c>
      <c r="Q1710" s="829">
        <v>0.13295794207721229</v>
      </c>
      <c r="R1710" s="829">
        <v>8.0656473582917859E-2</v>
      </c>
      <c r="S1710" s="829">
        <v>0.24378991423789234</v>
      </c>
      <c r="T1710" s="829">
        <v>-0.32764662172532172</v>
      </c>
      <c r="U1710" s="829">
        <f>U1709/U1707</f>
        <v>-0.18754232904139273</v>
      </c>
      <c r="V1710" t="str">
        <f t="shared" si="179"/>
        <v>2018/19Expenditure driversAsset ReplacementDifference %</v>
      </c>
    </row>
    <row r="1711" spans="1:22">
      <c r="A1711" t="s">
        <v>141</v>
      </c>
      <c r="C1711" t="s">
        <v>1344</v>
      </c>
      <c r="D1711" t="s">
        <v>70</v>
      </c>
      <c r="E1711" t="s">
        <v>297</v>
      </c>
      <c r="F1711" t="s">
        <v>1289</v>
      </c>
      <c r="G1711" s="229">
        <f t="array" ref="G1711:T1714">TRANSPOSE('Ch4 expenditure drivers'!AZ394:BC407)</f>
        <v>66.043443153902118</v>
      </c>
      <c r="H1711" s="229">
        <v>45.997457365445861</v>
      </c>
      <c r="I1711" s="229">
        <v>53.375869265508065</v>
      </c>
      <c r="J1711" s="229">
        <v>73.60690678390813</v>
      </c>
      <c r="K1711" s="229">
        <v>61.547323624521567</v>
      </c>
      <c r="L1711" s="229">
        <v>43.773821045484624</v>
      </c>
      <c r="M1711" s="229">
        <v>65.580225318966455</v>
      </c>
      <c r="N1711" s="229">
        <v>39.481355124372691</v>
      </c>
      <c r="O1711" s="229">
        <v>47.382658890459467</v>
      </c>
      <c r="P1711" s="229">
        <v>71.484588960348219</v>
      </c>
      <c r="Q1711" s="229">
        <v>39.055750152828729</v>
      </c>
      <c r="R1711" s="229">
        <v>62.470812918765589</v>
      </c>
      <c r="S1711" s="229">
        <v>30.588614507490266</v>
      </c>
      <c r="T1711" s="229">
        <v>72.129504492819365</v>
      </c>
      <c r="U1711" s="229">
        <f>AVERAGE(G1711:T1711)</f>
        <v>55.179880828915792</v>
      </c>
      <c r="V1711" t="str">
        <f t="shared" si="179"/>
        <v>2019/20Expenditure driversAsset ReplacementAllowance</v>
      </c>
    </row>
    <row r="1712" spans="1:22">
      <c r="A1712" t="s">
        <v>141</v>
      </c>
      <c r="C1712" t="s">
        <v>1344</v>
      </c>
      <c r="D1712" t="s">
        <v>70</v>
      </c>
      <c r="E1712" t="s">
        <v>298</v>
      </c>
      <c r="F1712" t="s">
        <v>1289</v>
      </c>
      <c r="G1712" s="229">
        <v>37.410231464549533</v>
      </c>
      <c r="H1712" s="229">
        <v>55.903144617139048</v>
      </c>
      <c r="I1712" s="229">
        <v>80.070466825478519</v>
      </c>
      <c r="J1712" s="229">
        <v>53.17559843725271</v>
      </c>
      <c r="K1712" s="229">
        <v>51.253677855918973</v>
      </c>
      <c r="L1712" s="229">
        <v>29.351255936857029</v>
      </c>
      <c r="M1712" s="229">
        <v>55.096448430027316</v>
      </c>
      <c r="N1712" s="229">
        <v>19.557250851550581</v>
      </c>
      <c r="O1712" s="229">
        <v>24.684181229242604</v>
      </c>
      <c r="P1712" s="229">
        <v>33.501175910585488</v>
      </c>
      <c r="Q1712" s="229">
        <v>46.843020903789096</v>
      </c>
      <c r="R1712" s="229">
        <v>56.593256495805569</v>
      </c>
      <c r="S1712" s="229">
        <v>21.277447390728391</v>
      </c>
      <c r="T1712" s="229">
        <v>72.382620481728296</v>
      </c>
      <c r="U1712" s="229">
        <f>AVERAGE(G1712:T1712)</f>
        <v>45.507126916475229</v>
      </c>
      <c r="V1712" t="str">
        <f t="shared" si="179"/>
        <v>2019/20Expenditure driversAsset ReplacementActual</v>
      </c>
    </row>
    <row r="1713" spans="1:22">
      <c r="A1713" t="s">
        <v>141</v>
      </c>
      <c r="C1713" t="s">
        <v>1344</v>
      </c>
      <c r="D1713" t="s">
        <v>70</v>
      </c>
      <c r="E1713" t="s">
        <v>602</v>
      </c>
      <c r="F1713" t="s">
        <v>1289</v>
      </c>
      <c r="G1713" s="229">
        <v>-28.633211689352585</v>
      </c>
      <c r="H1713" s="229">
        <v>9.9056872516931875</v>
      </c>
      <c r="I1713" s="229">
        <v>26.694597559970454</v>
      </c>
      <c r="J1713" s="229">
        <v>-20.43130834665542</v>
      </c>
      <c r="K1713" s="229">
        <v>-10.293645768602595</v>
      </c>
      <c r="L1713" s="229">
        <v>-14.422565108627595</v>
      </c>
      <c r="M1713" s="229">
        <v>-10.48377688893914</v>
      </c>
      <c r="N1713" s="229">
        <v>-19.92410427282211</v>
      </c>
      <c r="O1713" s="229">
        <v>-22.698477661216863</v>
      </c>
      <c r="P1713" s="229">
        <v>-37.983413049762731</v>
      </c>
      <c r="Q1713" s="229">
        <v>7.7872707509603671</v>
      </c>
      <c r="R1713" s="229">
        <v>-5.8775564229600192</v>
      </c>
      <c r="S1713" s="229">
        <v>-9.3111671167618759</v>
      </c>
      <c r="T1713" s="229">
        <v>0.25311598890893094</v>
      </c>
      <c r="U1713" s="229">
        <f>U1712-U1711</f>
        <v>-9.6727539124405624</v>
      </c>
      <c r="V1713" t="str">
        <f t="shared" si="179"/>
        <v>2019/20Expenditure driversAsset ReplacementDifference</v>
      </c>
    </row>
    <row r="1714" spans="1:22">
      <c r="A1714" t="s">
        <v>141</v>
      </c>
      <c r="C1714" t="s">
        <v>1344</v>
      </c>
      <c r="D1714" t="s">
        <v>70</v>
      </c>
      <c r="E1714" t="s">
        <v>1346</v>
      </c>
      <c r="F1714" t="s">
        <v>606</v>
      </c>
      <c r="G1714" s="829">
        <v>-0.43355116453616965</v>
      </c>
      <c r="H1714" s="829">
        <v>0.21535293077165876</v>
      </c>
      <c r="I1714" s="829">
        <v>0.50012483032703936</v>
      </c>
      <c r="J1714" s="829">
        <v>-0.27757325011138889</v>
      </c>
      <c r="K1714" s="829">
        <v>-0.16724765858870619</v>
      </c>
      <c r="L1714" s="829">
        <v>-0.32947923585746275</v>
      </c>
      <c r="M1714" s="829">
        <v>-0.1598618613758731</v>
      </c>
      <c r="N1714" s="829">
        <v>-0.50464590716448154</v>
      </c>
      <c r="O1714" s="829">
        <v>-0.47904609392418918</v>
      </c>
      <c r="P1714" s="829">
        <v>-0.53135107303801865</v>
      </c>
      <c r="Q1714" s="829">
        <v>0.19938858479194646</v>
      </c>
      <c r="R1714" s="829">
        <v>-9.4084839757134997E-2</v>
      </c>
      <c r="S1714" s="829">
        <v>-0.30439976660210749</v>
      </c>
      <c r="T1714" s="829">
        <v>3.5091879625227308E-3</v>
      </c>
      <c r="U1714" s="829">
        <f>U1713/U1711</f>
        <v>-0.17529494024154851</v>
      </c>
      <c r="V1714" t="str">
        <f t="shared" si="179"/>
        <v>2019/20Expenditure driversAsset ReplacementDifference %</v>
      </c>
    </row>
    <row r="1715" spans="1:22">
      <c r="A1715" t="s">
        <v>126</v>
      </c>
      <c r="C1715" t="s">
        <v>1344</v>
      </c>
      <c r="D1715" t="s">
        <v>70</v>
      </c>
      <c r="E1715" t="s">
        <v>297</v>
      </c>
      <c r="F1715" t="s">
        <v>1289</v>
      </c>
      <c r="G1715" s="229" cm="1">
        <f t="array" ref="G1715:T1718">TRANSPOSE('Ch4 expenditure drivers'!BE394:BH407)</f>
        <v>65.175455456065393</v>
      </c>
      <c r="H1715" s="229">
        <v>39.401313160542671</v>
      </c>
      <c r="I1715" s="229">
        <v>50.679897821975125</v>
      </c>
      <c r="J1715" s="229">
        <v>74.186036861031852</v>
      </c>
      <c r="K1715" s="229">
        <v>63.214034128471994</v>
      </c>
      <c r="L1715" s="229">
        <v>43.564278623978531</v>
      </c>
      <c r="M1715" s="229">
        <v>66.459185715245496</v>
      </c>
      <c r="N1715" s="229">
        <v>38.896751079976852</v>
      </c>
      <c r="O1715" s="229">
        <v>45.322283992304087</v>
      </c>
      <c r="P1715" s="229">
        <v>64.776926067006102</v>
      </c>
      <c r="Q1715" s="229">
        <v>37.815947856889487</v>
      </c>
      <c r="R1715" s="229">
        <v>63.273499326644838</v>
      </c>
      <c r="S1715" s="229">
        <v>30.528646785473303</v>
      </c>
      <c r="T1715" s="229">
        <v>67.768859629582096</v>
      </c>
      <c r="U1715" s="229">
        <f>AVERAGE(G1715:T1715)</f>
        <v>53.647365464656268</v>
      </c>
      <c r="V1715" s="229" t="str">
        <f t="shared" si="179"/>
        <v>2020/21Expenditure driversAsset ReplacementAllowance</v>
      </c>
    </row>
    <row r="1716" spans="1:22">
      <c r="A1716" t="s">
        <v>126</v>
      </c>
      <c r="C1716" t="s">
        <v>1344</v>
      </c>
      <c r="D1716" t="s">
        <v>70</v>
      </c>
      <c r="E1716" t="s">
        <v>298</v>
      </c>
      <c r="F1716" t="s">
        <v>1289</v>
      </c>
      <c r="G1716" s="229">
        <v>32.928579218244629</v>
      </c>
      <c r="H1716" s="229">
        <v>57.126926596041564</v>
      </c>
      <c r="I1716" s="229">
        <v>78.771285917098709</v>
      </c>
      <c r="J1716" s="229">
        <v>63.70283797774735</v>
      </c>
      <c r="K1716" s="229">
        <v>63.253078549939332</v>
      </c>
      <c r="L1716" s="229">
        <v>32.548535524379012</v>
      </c>
      <c r="M1716" s="229">
        <v>54.288353473367181</v>
      </c>
      <c r="N1716" s="229">
        <v>31.056435302529263</v>
      </c>
      <c r="O1716" s="229">
        <v>20.397371736967575</v>
      </c>
      <c r="P1716" s="229">
        <v>41.141386236163861</v>
      </c>
      <c r="Q1716" s="229">
        <v>34.653768603787135</v>
      </c>
      <c r="R1716" s="229">
        <v>40.221706252208072</v>
      </c>
      <c r="S1716" s="229">
        <v>44.847492873884647</v>
      </c>
      <c r="T1716" s="229">
        <v>79.273427783454537</v>
      </c>
      <c r="U1716" s="229">
        <f>AVERAGE(G1716:T1716)</f>
        <v>48.1579418604152</v>
      </c>
      <c r="V1716" s="229" t="str">
        <f t="shared" si="179"/>
        <v>2020/21Expenditure driversAsset ReplacementActual</v>
      </c>
    </row>
    <row r="1717" spans="1:22">
      <c r="A1717" t="s">
        <v>126</v>
      </c>
      <c r="C1717" t="s">
        <v>1344</v>
      </c>
      <c r="D1717" t="s">
        <v>70</v>
      </c>
      <c r="E1717" t="s">
        <v>602</v>
      </c>
      <c r="F1717" t="s">
        <v>1289</v>
      </c>
      <c r="G1717" s="229">
        <v>-32.246876237820764</v>
      </c>
      <c r="H1717" s="229">
        <v>17.725613435498893</v>
      </c>
      <c r="I1717" s="229">
        <v>28.091388095123584</v>
      </c>
      <c r="J1717" s="229">
        <v>-10.483198883284501</v>
      </c>
      <c r="K1717" s="229">
        <v>3.9044421467337997E-2</v>
      </c>
      <c r="L1717" s="229">
        <v>-11.015743099599518</v>
      </c>
      <c r="M1717" s="229">
        <v>-12.170832241878315</v>
      </c>
      <c r="N1717" s="229">
        <v>-7.8403157774475893</v>
      </c>
      <c r="O1717" s="229">
        <v>-24.924912255336512</v>
      </c>
      <c r="P1717" s="229">
        <v>-23.635539830842241</v>
      </c>
      <c r="Q1717" s="229">
        <v>-3.1621792531023516</v>
      </c>
      <c r="R1717" s="229">
        <v>-23.051793074436766</v>
      </c>
      <c r="S1717" s="229">
        <v>14.318846088411345</v>
      </c>
      <c r="T1717" s="229">
        <v>11.504568153872441</v>
      </c>
      <c r="U1717" s="229">
        <f>U1716-U1715</f>
        <v>-5.4894236042410682</v>
      </c>
      <c r="V1717" s="229" t="str">
        <f t="shared" si="179"/>
        <v>2020/21Expenditure driversAsset ReplacementDifference</v>
      </c>
    </row>
    <row r="1718" spans="1:22">
      <c r="A1718" t="s">
        <v>126</v>
      </c>
      <c r="C1718" t="s">
        <v>1344</v>
      </c>
      <c r="D1718" t="s">
        <v>70</v>
      </c>
      <c r="E1718" t="s">
        <v>1346</v>
      </c>
      <c r="F1718" t="s">
        <v>606</v>
      </c>
      <c r="G1718" s="829">
        <v>-0.49477024766721117</v>
      </c>
      <c r="H1718" s="829">
        <v>0.44987367205948114</v>
      </c>
      <c r="I1718" s="829">
        <v>0.55429054324065707</v>
      </c>
      <c r="J1718" s="829">
        <v>-0.14130959580604144</v>
      </c>
      <c r="K1718" s="829">
        <v>6.1765432321542267E-4</v>
      </c>
      <c r="L1718" s="829">
        <v>-0.25286182733980272</v>
      </c>
      <c r="M1718" s="829">
        <v>-0.18313243099345364</v>
      </c>
      <c r="N1718" s="829">
        <v>-0.20156736898994124</v>
      </c>
      <c r="O1718" s="829">
        <v>-0.54994828282636565</v>
      </c>
      <c r="P1718" s="829">
        <v>-0.36487590977060763</v>
      </c>
      <c r="Q1718" s="829">
        <v>-8.3620256328607423E-2</v>
      </c>
      <c r="R1718" s="829">
        <v>-0.3643198703999847</v>
      </c>
      <c r="S1718" s="829">
        <v>0.46902983250554031</v>
      </c>
      <c r="T1718" s="829">
        <v>0.16976186727584433</v>
      </c>
      <c r="U1718" s="829">
        <f>U1717/U1715</f>
        <v>-0.10232419722190435</v>
      </c>
      <c r="V1718" t="str">
        <f t="shared" si="179"/>
        <v>2020/21Expenditure driversAsset ReplacementDifference %</v>
      </c>
    </row>
    <row r="1719" spans="1:22">
      <c r="A1719" t="s">
        <v>142</v>
      </c>
      <c r="C1719" t="s">
        <v>1344</v>
      </c>
      <c r="D1719" t="s">
        <v>70</v>
      </c>
      <c r="E1719" t="s">
        <v>297</v>
      </c>
      <c r="F1719" t="s">
        <v>1289</v>
      </c>
      <c r="G1719" s="229" cm="1">
        <f t="array" ref="G1719:T1722">TRANSPOSE('Ch4 expenditure drivers'!BJ394:BM407)</f>
        <v>64.865031225860463</v>
      </c>
      <c r="H1719" s="229">
        <v>33.946404889638742</v>
      </c>
      <c r="I1719" s="229">
        <v>41.436597988157899</v>
      </c>
      <c r="J1719" s="229">
        <v>74.820285436626136</v>
      </c>
      <c r="K1719" s="229">
        <v>63.893025876589796</v>
      </c>
      <c r="L1719" s="229">
        <v>44.632886863608789</v>
      </c>
      <c r="M1719" s="229">
        <v>66.755725395883516</v>
      </c>
      <c r="N1719" s="229">
        <v>34.615647913035438</v>
      </c>
      <c r="O1719" s="229">
        <v>40.687334030106619</v>
      </c>
      <c r="P1719" s="229">
        <v>62.112260735894573</v>
      </c>
      <c r="Q1719" s="229">
        <v>34.910339017264619</v>
      </c>
      <c r="R1719" s="229">
        <v>53.812173555979044</v>
      </c>
      <c r="S1719" s="229">
        <v>30.826753160826225</v>
      </c>
      <c r="T1719" s="229">
        <v>67.11899700828917</v>
      </c>
      <c r="U1719" s="229">
        <f>AVERAGE(G1719:T1719)</f>
        <v>51.03096164984008</v>
      </c>
      <c r="V1719" s="229" t="str">
        <f t="shared" ref="V1719:V1722" si="182">CONCATENATE(A1719,B1719,C1719,D1719,E1719)</f>
        <v>2021/22Expenditure driversAsset ReplacementAllowance</v>
      </c>
    </row>
    <row r="1720" spans="1:22">
      <c r="A1720" t="s">
        <v>142</v>
      </c>
      <c r="C1720" t="s">
        <v>1344</v>
      </c>
      <c r="D1720" t="s">
        <v>70</v>
      </c>
      <c r="E1720" t="s">
        <v>298</v>
      </c>
      <c r="F1720" t="s">
        <v>1289</v>
      </c>
      <c r="G1720" s="229">
        <v>27.265076452012245</v>
      </c>
      <c r="H1720" s="229">
        <v>35.474261869999999</v>
      </c>
      <c r="I1720" s="229">
        <v>68.964270679999984</v>
      </c>
      <c r="J1720" s="229">
        <v>66.489800000000002</v>
      </c>
      <c r="K1720" s="229">
        <v>68.771299999999997</v>
      </c>
      <c r="L1720" s="229">
        <v>37.414400000000008</v>
      </c>
      <c r="M1720" s="229">
        <v>56.602799999999995</v>
      </c>
      <c r="N1720" s="229">
        <v>42.611823432730262</v>
      </c>
      <c r="O1720" s="229">
        <v>16.660359981309252</v>
      </c>
      <c r="P1720" s="229">
        <v>31.027743763963421</v>
      </c>
      <c r="Q1720" s="229">
        <v>27.603440510962699</v>
      </c>
      <c r="R1720" s="229">
        <v>39.66852908295553</v>
      </c>
      <c r="S1720" s="229">
        <v>32.884969669999997</v>
      </c>
      <c r="T1720" s="229">
        <v>53.848192209999993</v>
      </c>
      <c r="U1720" s="229">
        <f>AVERAGE(G1720:T1720)</f>
        <v>43.234783403852383</v>
      </c>
      <c r="V1720" s="229" t="str">
        <f t="shared" si="182"/>
        <v>2021/22Expenditure driversAsset ReplacementActual</v>
      </c>
    </row>
    <row r="1721" spans="1:22">
      <c r="A1721" t="s">
        <v>142</v>
      </c>
      <c r="C1721" t="s">
        <v>1344</v>
      </c>
      <c r="D1721" t="s">
        <v>70</v>
      </c>
      <c r="E1721" t="s">
        <v>602</v>
      </c>
      <c r="F1721" t="s">
        <v>1289</v>
      </c>
      <c r="G1721" s="229">
        <v>-37.599954773848218</v>
      </c>
      <c r="H1721" s="229">
        <v>1.5278569803612569</v>
      </c>
      <c r="I1721" s="229">
        <v>27.527672691842085</v>
      </c>
      <c r="J1721" s="229">
        <v>-8.3304854366261338</v>
      </c>
      <c r="K1721" s="229">
        <v>4.8782741234102005</v>
      </c>
      <c r="L1721" s="229">
        <v>-7.2184868636087813</v>
      </c>
      <c r="M1721" s="229">
        <v>-10.152925395883521</v>
      </c>
      <c r="N1721" s="229">
        <v>7.9961755196948232</v>
      </c>
      <c r="O1721" s="229">
        <v>-24.026974048797367</v>
      </c>
      <c r="P1721" s="229">
        <v>-31.084516971931151</v>
      </c>
      <c r="Q1721" s="229">
        <v>-7.3068985063019198</v>
      </c>
      <c r="R1721" s="229">
        <v>-14.143644473023514</v>
      </c>
      <c r="S1721" s="229">
        <v>2.0582165091737714</v>
      </c>
      <c r="T1721" s="229">
        <v>-13.270804798289177</v>
      </c>
      <c r="U1721" s="229">
        <f>U1720-U1719</f>
        <v>-7.7961782459876972</v>
      </c>
      <c r="V1721" s="229" t="str">
        <f t="shared" si="182"/>
        <v>2021/22Expenditure driversAsset ReplacementDifference</v>
      </c>
    </row>
    <row r="1722" spans="1:22">
      <c r="A1722" t="s">
        <v>142</v>
      </c>
      <c r="C1722" t="s">
        <v>1344</v>
      </c>
      <c r="D1722" t="s">
        <v>70</v>
      </c>
      <c r="E1722" t="s">
        <v>1346</v>
      </c>
      <c r="F1722" t="s">
        <v>606</v>
      </c>
      <c r="G1722" s="829">
        <v>-0.57966448274610294</v>
      </c>
      <c r="H1722" s="829">
        <v>4.5007917195602515E-2</v>
      </c>
      <c r="I1722" s="829">
        <v>0.66433235420796788</v>
      </c>
      <c r="J1722" s="829">
        <v>-0.11133993125009094</v>
      </c>
      <c r="K1722" s="829">
        <v>7.6350651052787044E-2</v>
      </c>
      <c r="L1722" s="829">
        <v>-0.16173022564431835</v>
      </c>
      <c r="M1722" s="829">
        <v>-0.15209070586340448</v>
      </c>
      <c r="N1722" s="829">
        <v>0.23099886906012965</v>
      </c>
      <c r="O1722" s="829">
        <v>-0.59052711664565172</v>
      </c>
      <c r="P1722" s="829">
        <v>-0.5004570209431688</v>
      </c>
      <c r="Q1722" s="829">
        <v>-0.20930471350302138</v>
      </c>
      <c r="R1722" s="829">
        <v>-0.2628335474743525</v>
      </c>
      <c r="S1722" s="829">
        <v>6.6767216723598879E-2</v>
      </c>
      <c r="T1722" s="829">
        <v>-0.19772054693621596</v>
      </c>
      <c r="U1722" s="829">
        <f>U1721/U1719</f>
        <v>-0.15277349267848117</v>
      </c>
      <c r="V1722" t="str">
        <f t="shared" si="182"/>
        <v>2021/22Expenditure driversAsset ReplacementDifference %</v>
      </c>
    </row>
    <row r="1723" spans="1:22" ht="15" customHeight="1">
      <c r="A1723" t="s">
        <v>137</v>
      </c>
      <c r="C1723" t="s">
        <v>1344</v>
      </c>
      <c r="D1723" t="s">
        <v>741</v>
      </c>
      <c r="E1723" t="s">
        <v>1347</v>
      </c>
      <c r="F1723" t="s">
        <v>1289</v>
      </c>
      <c r="G1723">
        <f t="array" ref="G1723:T1730">TRANSPOSE('Ch4 expenditure drivers'!E414:L427)</f>
        <v>18.506409027243553</v>
      </c>
      <c r="H1723">
        <v>14.6139739808416</v>
      </c>
      <c r="I1723">
        <v>9.8372058004369389</v>
      </c>
      <c r="J1723">
        <v>4.6178792600262701</v>
      </c>
      <c r="K1723">
        <v>4.002570572257361</v>
      </c>
      <c r="L1723">
        <v>3.2654352952749117</v>
      </c>
      <c r="M1723">
        <v>4.6515986179091611</v>
      </c>
      <c r="N1723">
        <v>1.9421483110044768</v>
      </c>
      <c r="O1723">
        <v>2.9292312815228083</v>
      </c>
      <c r="P1723">
        <v>6.0762154834240016</v>
      </c>
      <c r="Q1723">
        <v>9.2392398966789706</v>
      </c>
      <c r="R1723">
        <v>17.415395503157082</v>
      </c>
      <c r="S1723">
        <v>4.8025989521001371</v>
      </c>
      <c r="T1723">
        <v>15.88011311123342</v>
      </c>
      <c r="U1723">
        <f>AVERAGE(G1723:T1723)</f>
        <v>8.4128582209364797</v>
      </c>
      <c r="V1723" t="str">
        <f t="shared" si="179"/>
        <v>2015/16Expenditure driversRefurbishment BPDT</v>
      </c>
    </row>
    <row r="1724" spans="1:22">
      <c r="A1724" t="s">
        <v>138</v>
      </c>
      <c r="C1724" t="s">
        <v>1344</v>
      </c>
      <c r="D1724" t="s">
        <v>741</v>
      </c>
      <c r="E1724" t="s">
        <v>1347</v>
      </c>
      <c r="F1724" t="s">
        <v>1289</v>
      </c>
      <c r="G1724">
        <v>18.582481401444998</v>
      </c>
      <c r="H1724">
        <v>13.289475715214188</v>
      </c>
      <c r="I1724">
        <v>12.289622515252082</v>
      </c>
      <c r="J1724">
        <v>4.8192249446441506</v>
      </c>
      <c r="K1724">
        <v>4.0371487625122651</v>
      </c>
      <c r="L1724">
        <v>3.3022259766469393</v>
      </c>
      <c r="M1724">
        <v>4.5920836796780291</v>
      </c>
      <c r="N1724">
        <v>1.7716135922862408</v>
      </c>
      <c r="O1724">
        <v>3.1332415685229122</v>
      </c>
      <c r="P1724">
        <v>4.6440990992613438</v>
      </c>
      <c r="Q1724">
        <v>9.256010750921071</v>
      </c>
      <c r="R1724">
        <v>21.48352524074042</v>
      </c>
      <c r="S1724">
        <v>4.7139837566387781</v>
      </c>
      <c r="T1724">
        <v>15.191260353981376</v>
      </c>
      <c r="U1724">
        <f t="shared" ref="U1724:U1755" si="183">AVERAGE(G1724:T1724)</f>
        <v>8.650428382696056</v>
      </c>
      <c r="V1724" t="str">
        <f t="shared" si="179"/>
        <v>2016/17Expenditure driversRefurbishment BPDT</v>
      </c>
    </row>
    <row r="1725" spans="1:22">
      <c r="A1725" t="s">
        <v>139</v>
      </c>
      <c r="C1725" t="s">
        <v>1344</v>
      </c>
      <c r="D1725" t="s">
        <v>741</v>
      </c>
      <c r="E1725" t="s">
        <v>1347</v>
      </c>
      <c r="F1725" t="s">
        <v>1289</v>
      </c>
      <c r="G1725">
        <v>17.575525169027426</v>
      </c>
      <c r="H1725">
        <v>8.8444903142066185</v>
      </c>
      <c r="I1725">
        <v>12.313689023948703</v>
      </c>
      <c r="J1725">
        <v>4.7107337066274066</v>
      </c>
      <c r="K1725">
        <v>4.0753152182034507</v>
      </c>
      <c r="L1725">
        <v>3.3036315143032438</v>
      </c>
      <c r="M1725">
        <v>4.5869731120491375</v>
      </c>
      <c r="N1725">
        <v>1.7640255752631999</v>
      </c>
      <c r="O1725">
        <v>3.7819749109025094</v>
      </c>
      <c r="P1725">
        <v>4.2736333971410092</v>
      </c>
      <c r="Q1725">
        <v>9.1718847500507348</v>
      </c>
      <c r="R1725">
        <v>19.695968306101847</v>
      </c>
      <c r="S1725">
        <v>4.7850951953658019</v>
      </c>
      <c r="T1725">
        <v>17.942957442122747</v>
      </c>
      <c r="U1725">
        <f t="shared" si="183"/>
        <v>8.3447069739509878</v>
      </c>
      <c r="V1725" t="str">
        <f t="shared" si="179"/>
        <v>2017/18Expenditure driversRefurbishment BPDT</v>
      </c>
    </row>
    <row r="1726" spans="1:22">
      <c r="A1726" t="s">
        <v>140</v>
      </c>
      <c r="C1726" t="s">
        <v>1344</v>
      </c>
      <c r="D1726" t="s">
        <v>741</v>
      </c>
      <c r="E1726" t="s">
        <v>1347</v>
      </c>
      <c r="F1726" t="s">
        <v>1289</v>
      </c>
      <c r="G1726">
        <v>18.182406655396072</v>
      </c>
      <c r="H1726">
        <v>8.669512464812664</v>
      </c>
      <c r="I1726">
        <v>11.67738793700499</v>
      </c>
      <c r="J1726">
        <v>4.9115539571332469</v>
      </c>
      <c r="K1726">
        <v>4.2128019250951132</v>
      </c>
      <c r="L1726">
        <v>3.5274836884594341</v>
      </c>
      <c r="M1726">
        <v>4.5828521562618665</v>
      </c>
      <c r="N1726">
        <v>2.2406138519009375</v>
      </c>
      <c r="O1726">
        <v>3.5883595476506853</v>
      </c>
      <c r="P1726">
        <v>4.333350688589575</v>
      </c>
      <c r="Q1726">
        <v>7.9148125636949107</v>
      </c>
      <c r="R1726">
        <v>14.038268623696126</v>
      </c>
      <c r="S1726">
        <v>4.6738500106638252</v>
      </c>
      <c r="T1726">
        <v>15.883102168996626</v>
      </c>
      <c r="U1726">
        <f t="shared" si="183"/>
        <v>7.7454540170968622</v>
      </c>
      <c r="V1726" t="str">
        <f t="shared" si="179"/>
        <v>2018/19Expenditure driversRefurbishment BPDT</v>
      </c>
    </row>
    <row r="1727" spans="1:22">
      <c r="A1727" t="s">
        <v>141</v>
      </c>
      <c r="C1727" t="s">
        <v>1344</v>
      </c>
      <c r="D1727" t="s">
        <v>741</v>
      </c>
      <c r="E1727" t="s">
        <v>1347</v>
      </c>
      <c r="F1727" t="s">
        <v>1289</v>
      </c>
      <c r="G1727">
        <v>17.570523296726009</v>
      </c>
      <c r="H1727">
        <v>11.069474228860795</v>
      </c>
      <c r="I1727">
        <v>13.668366060196947</v>
      </c>
      <c r="J1727">
        <v>4.9708433684631581</v>
      </c>
      <c r="K1727">
        <v>4.3284999340617567</v>
      </c>
      <c r="L1727">
        <v>3.5470774412354285</v>
      </c>
      <c r="M1727">
        <v>4.5853490485973341</v>
      </c>
      <c r="N1727">
        <v>3.0513287964181033</v>
      </c>
      <c r="O1727">
        <v>4.5443293164108027</v>
      </c>
      <c r="P1727">
        <v>4.8789153878501619</v>
      </c>
      <c r="Q1727">
        <v>7.9672726845237181</v>
      </c>
      <c r="R1727">
        <v>13.230876196341308</v>
      </c>
      <c r="S1727">
        <v>4.7364507603056296</v>
      </c>
      <c r="T1727">
        <v>15.451345136004496</v>
      </c>
      <c r="U1727">
        <f t="shared" si="183"/>
        <v>8.1143322611425468</v>
      </c>
      <c r="V1727" t="str">
        <f t="shared" si="179"/>
        <v>2019/20Expenditure driversRefurbishment BPDT</v>
      </c>
    </row>
    <row r="1728" spans="1:22">
      <c r="A1728" t="s">
        <v>126</v>
      </c>
      <c r="C1728" t="s">
        <v>1344</v>
      </c>
      <c r="D1728" t="s">
        <v>741</v>
      </c>
      <c r="E1728" t="s">
        <v>1347</v>
      </c>
      <c r="F1728" t="s">
        <v>1289</v>
      </c>
      <c r="G1728">
        <v>18.377378213583757</v>
      </c>
      <c r="H1728">
        <v>8.0536452172848598</v>
      </c>
      <c r="I1728">
        <v>14.847542975608262</v>
      </c>
      <c r="J1728">
        <v>5.0213879241118295</v>
      </c>
      <c r="K1728">
        <v>4.3851978364885635</v>
      </c>
      <c r="L1728">
        <v>3.4349236651740265</v>
      </c>
      <c r="M1728">
        <v>4.4210402276127159</v>
      </c>
      <c r="N1728">
        <v>2.2638224915763518</v>
      </c>
      <c r="O1728">
        <v>5.0034043388023548</v>
      </c>
      <c r="P1728">
        <v>4.9785993745904964</v>
      </c>
      <c r="Q1728">
        <v>8.198916159728908</v>
      </c>
      <c r="R1728">
        <v>15.949501966763389</v>
      </c>
      <c r="S1728">
        <v>4.6485773138300983</v>
      </c>
      <c r="T1728">
        <v>14.098987499779506</v>
      </c>
      <c r="U1728">
        <f t="shared" si="183"/>
        <v>8.1202089432096525</v>
      </c>
      <c r="V1728" t="str">
        <f t="shared" si="179"/>
        <v>2020/21Expenditure driversRefurbishment BPDT</v>
      </c>
    </row>
    <row r="1729" spans="1:22">
      <c r="A1729" t="s">
        <v>142</v>
      </c>
      <c r="C1729" t="s">
        <v>1344</v>
      </c>
      <c r="D1729" t="s">
        <v>741</v>
      </c>
      <c r="E1729" t="s">
        <v>1347</v>
      </c>
      <c r="F1729" t="s">
        <v>1289</v>
      </c>
      <c r="G1729">
        <v>17.751626844007465</v>
      </c>
      <c r="H1729">
        <v>7.8479986644246669</v>
      </c>
      <c r="I1729">
        <v>13.162485790858851</v>
      </c>
      <c r="J1729">
        <v>5.0895319596610422</v>
      </c>
      <c r="K1729">
        <v>4.444891005032666</v>
      </c>
      <c r="L1729">
        <v>3.466087928289578</v>
      </c>
      <c r="M1729">
        <v>4.4538941170495088</v>
      </c>
      <c r="N1729">
        <v>3.3447690705669788</v>
      </c>
      <c r="O1729">
        <v>5.2438412945843496</v>
      </c>
      <c r="P1729">
        <v>5.4629522650403777</v>
      </c>
      <c r="Q1729">
        <v>8.2574125073832843</v>
      </c>
      <c r="R1729">
        <v>14.721542926910461</v>
      </c>
      <c r="S1729">
        <v>4.7144347981153345</v>
      </c>
      <c r="T1729">
        <v>13.595497123564</v>
      </c>
      <c r="U1729">
        <f t="shared" si="183"/>
        <v>7.9683547353920394</v>
      </c>
      <c r="V1729" t="str">
        <f t="shared" si="179"/>
        <v>2021/22Expenditure driversRefurbishment BPDT</v>
      </c>
    </row>
    <row r="1730" spans="1:22">
      <c r="A1730" t="s">
        <v>143</v>
      </c>
      <c r="C1730" t="s">
        <v>1344</v>
      </c>
      <c r="D1730" t="s">
        <v>741</v>
      </c>
      <c r="E1730" t="s">
        <v>1347</v>
      </c>
      <c r="F1730" t="s">
        <v>1289</v>
      </c>
      <c r="G1730">
        <v>18.500836991732772</v>
      </c>
      <c r="H1730">
        <v>9.40568354644331</v>
      </c>
      <c r="I1730">
        <v>17.231584055016388</v>
      </c>
      <c r="J1730">
        <v>5.1094647521674261</v>
      </c>
      <c r="K1730">
        <v>4.5037282293698127</v>
      </c>
      <c r="L1730">
        <v>3.5037164874262707</v>
      </c>
      <c r="M1730">
        <v>4.4216927783638242</v>
      </c>
      <c r="N1730">
        <v>3.1600913065967977</v>
      </c>
      <c r="O1730">
        <v>3.6560019416331819</v>
      </c>
      <c r="P1730">
        <v>5.7125504115649335</v>
      </c>
      <c r="Q1730">
        <v>8.2786272224863833</v>
      </c>
      <c r="R1730">
        <v>11.077062512178724</v>
      </c>
      <c r="S1730">
        <v>4.6001494697098702</v>
      </c>
      <c r="T1730">
        <v>17.432189814121195</v>
      </c>
      <c r="U1730">
        <f t="shared" si="183"/>
        <v>8.3280985370579224</v>
      </c>
      <c r="V1730" t="str">
        <f t="shared" si="179"/>
        <v>2022/23Expenditure driversRefurbishment BPDT</v>
      </c>
    </row>
    <row r="1731" spans="1:22">
      <c r="A1731" t="s">
        <v>137</v>
      </c>
      <c r="C1731" t="s">
        <v>1344</v>
      </c>
      <c r="D1731" t="s">
        <v>741</v>
      </c>
      <c r="E1731" t="s">
        <v>1348</v>
      </c>
      <c r="F1731" t="s">
        <v>1289</v>
      </c>
      <c r="G1731">
        <f t="array" ref="G1731:T1738">TRANSPOSE('Ch4 expenditure drivers'!N414:U427)</f>
        <v>17.196854817064793</v>
      </c>
      <c r="H1731">
        <v>10.568605660793352</v>
      </c>
      <c r="I1731">
        <v>11.309816631961029</v>
      </c>
      <c r="J1731">
        <v>4.6178792600262701</v>
      </c>
      <c r="K1731">
        <v>4.002570572257361</v>
      </c>
      <c r="L1731">
        <v>3.2654352952749117</v>
      </c>
      <c r="M1731">
        <v>4.6515986179091611</v>
      </c>
      <c r="N1731">
        <v>2.7286848144954843</v>
      </c>
      <c r="O1731">
        <v>3.4156269271227191</v>
      </c>
      <c r="P1731">
        <v>4.640513264208086</v>
      </c>
      <c r="Q1731">
        <v>7.8241309362910565</v>
      </c>
      <c r="R1731">
        <v>10.358081469608427</v>
      </c>
      <c r="S1731">
        <v>4.8962782432274992</v>
      </c>
      <c r="T1731">
        <v>15.11514900922551</v>
      </c>
      <c r="U1731">
        <f t="shared" si="183"/>
        <v>7.4708018228189754</v>
      </c>
      <c r="V1731" t="str">
        <f t="shared" si="179"/>
        <v>2015/16Expenditure driversRefurbishment DNO Baseline</v>
      </c>
    </row>
    <row r="1732" spans="1:22">
      <c r="A1732" t="s">
        <v>138</v>
      </c>
      <c r="C1732" t="s">
        <v>1344</v>
      </c>
      <c r="D1732" t="s">
        <v>741</v>
      </c>
      <c r="E1732" t="s">
        <v>1348</v>
      </c>
      <c r="F1732" t="s">
        <v>1289</v>
      </c>
      <c r="G1732">
        <v>15.798157049631993</v>
      </c>
      <c r="H1732">
        <v>9.9723553785680625</v>
      </c>
      <c r="I1732">
        <v>11.555999919931919</v>
      </c>
      <c r="J1732">
        <v>4.8192249446441506</v>
      </c>
      <c r="K1732">
        <v>4.0371487625122651</v>
      </c>
      <c r="L1732">
        <v>3.3022259766469393</v>
      </c>
      <c r="M1732">
        <v>4.5920836796780291</v>
      </c>
      <c r="N1732">
        <v>2.661259412385804</v>
      </c>
      <c r="O1732">
        <v>3.8271775291703141</v>
      </c>
      <c r="P1732">
        <v>4.3691143078963783</v>
      </c>
      <c r="Q1732">
        <v>7.7913906237362651</v>
      </c>
      <c r="R1732">
        <v>12.101624646505737</v>
      </c>
      <c r="S1732">
        <v>4.8012125221245547</v>
      </c>
      <c r="T1732">
        <v>14.850067326293985</v>
      </c>
      <c r="U1732">
        <f t="shared" si="183"/>
        <v>7.4627887199804572</v>
      </c>
      <c r="V1732" t="str">
        <f t="shared" ref="V1732:V1801" si="184">CONCATENATE(A1732,B1732,C1732,D1732,E1732)</f>
        <v>2016/17Expenditure driversRefurbishment DNO Baseline</v>
      </c>
    </row>
    <row r="1733" spans="1:22">
      <c r="A1733" t="s">
        <v>139</v>
      </c>
      <c r="C1733" t="s">
        <v>1344</v>
      </c>
      <c r="D1733" t="s">
        <v>741</v>
      </c>
      <c r="E1733" t="s">
        <v>1348</v>
      </c>
      <c r="F1733" t="s">
        <v>1289</v>
      </c>
      <c r="G1733">
        <v>16.52243319137871</v>
      </c>
      <c r="H1733">
        <v>7.9710256559708084</v>
      </c>
      <c r="I1733">
        <v>11.100052731677398</v>
      </c>
      <c r="J1733">
        <v>4.7107337066274066</v>
      </c>
      <c r="K1733">
        <v>4.0753152182034507</v>
      </c>
      <c r="L1733">
        <v>3.3036315143032438</v>
      </c>
      <c r="M1733">
        <v>4.5869731120491375</v>
      </c>
      <c r="N1733">
        <v>2.1625290847502932</v>
      </c>
      <c r="O1733">
        <v>3.623776488637795</v>
      </c>
      <c r="P1733">
        <v>4.4113629562791967</v>
      </c>
      <c r="Q1733">
        <v>7.7414537331515669</v>
      </c>
      <c r="R1733">
        <v>11.059399791480496</v>
      </c>
      <c r="S1733">
        <v>4.6086521392077895</v>
      </c>
      <c r="T1733">
        <v>15.057830960129683</v>
      </c>
      <c r="U1733">
        <f t="shared" si="183"/>
        <v>7.2096550202747851</v>
      </c>
      <c r="V1733" t="str">
        <f t="shared" si="184"/>
        <v>2017/18Expenditure driversRefurbishment DNO Baseline</v>
      </c>
    </row>
    <row r="1734" spans="1:22">
      <c r="A1734" t="s">
        <v>140</v>
      </c>
      <c r="C1734" t="s">
        <v>1344</v>
      </c>
      <c r="D1734" t="s">
        <v>741</v>
      </c>
      <c r="E1734" t="s">
        <v>1348</v>
      </c>
      <c r="F1734" t="s">
        <v>1289</v>
      </c>
      <c r="G1734">
        <v>16.122024205808618</v>
      </c>
      <c r="H1734">
        <v>7.8122290703622363</v>
      </c>
      <c r="I1734">
        <v>10.670606982091074</v>
      </c>
      <c r="J1734">
        <v>4.9115539571332469</v>
      </c>
      <c r="K1734">
        <v>4.2128019250951132</v>
      </c>
      <c r="L1734">
        <v>3.5274836884594341</v>
      </c>
      <c r="M1734">
        <v>4.5828521562618665</v>
      </c>
      <c r="N1734">
        <v>2.1045192250009652</v>
      </c>
      <c r="O1734">
        <v>3.5574751264173878</v>
      </c>
      <c r="P1734">
        <v>4.5678857707453879</v>
      </c>
      <c r="Q1734">
        <v>7.1877991811608704</v>
      </c>
      <c r="R1734">
        <v>9.0985720868156292</v>
      </c>
      <c r="S1734">
        <v>4.5610020986810476</v>
      </c>
      <c r="T1734">
        <v>14.088773257886558</v>
      </c>
      <c r="U1734">
        <f t="shared" si="183"/>
        <v>6.9289699094228165</v>
      </c>
      <c r="V1734" t="str">
        <f t="shared" si="184"/>
        <v>2018/19Expenditure driversRefurbishment DNO Baseline</v>
      </c>
    </row>
    <row r="1735" spans="1:22">
      <c r="A1735" t="s">
        <v>141</v>
      </c>
      <c r="C1735" t="s">
        <v>1344</v>
      </c>
      <c r="D1735" t="s">
        <v>741</v>
      </c>
      <c r="E1735" t="s">
        <v>1348</v>
      </c>
      <c r="F1735" t="s">
        <v>1289</v>
      </c>
      <c r="G1735">
        <v>16.473004665059079</v>
      </c>
      <c r="H1735">
        <v>8.046877613081147</v>
      </c>
      <c r="I1735">
        <v>9.8255491595060818</v>
      </c>
      <c r="J1735">
        <v>4.9708433684631581</v>
      </c>
      <c r="K1735">
        <v>4.3284999340617567</v>
      </c>
      <c r="L1735">
        <v>3.5470774412354285</v>
      </c>
      <c r="M1735">
        <v>4.5853490485973341</v>
      </c>
      <c r="N1735">
        <v>2.3462197260074618</v>
      </c>
      <c r="O1735">
        <v>3.7194846027631163</v>
      </c>
      <c r="P1735">
        <v>4.6040777045285211</v>
      </c>
      <c r="Q1735">
        <v>7.0306952692128313</v>
      </c>
      <c r="R1735">
        <v>8.735529759645015</v>
      </c>
      <c r="S1735">
        <v>4.5825998628050906</v>
      </c>
      <c r="T1735">
        <v>13.430577445894652</v>
      </c>
      <c r="U1735">
        <f t="shared" si="183"/>
        <v>6.8733132572043356</v>
      </c>
      <c r="V1735" t="str">
        <f t="shared" si="184"/>
        <v>2019/20Expenditure driversRefurbishment DNO Baseline</v>
      </c>
    </row>
    <row r="1736" spans="1:22">
      <c r="A1736" t="s">
        <v>126</v>
      </c>
      <c r="C1736" t="s">
        <v>1344</v>
      </c>
      <c r="D1736" t="s">
        <v>741</v>
      </c>
      <c r="E1736" t="s">
        <v>1348</v>
      </c>
      <c r="F1736" t="s">
        <v>1289</v>
      </c>
      <c r="G1736">
        <v>16.644067866714824</v>
      </c>
      <c r="H1736">
        <v>6.5338215600538554</v>
      </c>
      <c r="I1736">
        <v>9.8758063955889224</v>
      </c>
      <c r="J1736">
        <v>5.0213879241118295</v>
      </c>
      <c r="K1736">
        <v>4.3851978364885635</v>
      </c>
      <c r="L1736">
        <v>3.4349236651740265</v>
      </c>
      <c r="M1736">
        <v>4.4210402276127159</v>
      </c>
      <c r="N1736">
        <v>2.1165170555068467</v>
      </c>
      <c r="O1736">
        <v>3.789308957527719</v>
      </c>
      <c r="P1736">
        <v>4.2976059795353745</v>
      </c>
      <c r="Q1736">
        <v>6.9290938988381212</v>
      </c>
      <c r="R1736">
        <v>9.4329962421814439</v>
      </c>
      <c r="S1736">
        <v>4.5261442855495169</v>
      </c>
      <c r="T1736">
        <v>12.493360928893049</v>
      </c>
      <c r="U1736">
        <f t="shared" si="183"/>
        <v>6.7072337731269158</v>
      </c>
      <c r="V1736" t="str">
        <f t="shared" si="184"/>
        <v>2020/21Expenditure driversRefurbishment DNO Baseline</v>
      </c>
    </row>
    <row r="1737" spans="1:22">
      <c r="A1737" t="s">
        <v>142</v>
      </c>
      <c r="C1737" t="s">
        <v>1344</v>
      </c>
      <c r="D1737" t="s">
        <v>741</v>
      </c>
      <c r="E1737" t="s">
        <v>1348</v>
      </c>
      <c r="F1737" t="s">
        <v>1289</v>
      </c>
      <c r="G1737">
        <v>16.35235481998016</v>
      </c>
      <c r="H1737">
        <v>5.9242384130778412</v>
      </c>
      <c r="I1737">
        <v>8.4427799438803977</v>
      </c>
      <c r="J1737">
        <v>5.0895319596610422</v>
      </c>
      <c r="K1737">
        <v>4.444891005032666</v>
      </c>
      <c r="L1737">
        <v>3.466087928289578</v>
      </c>
      <c r="M1737">
        <v>4.4538941170495088</v>
      </c>
      <c r="N1737">
        <v>2.1918446083310696</v>
      </c>
      <c r="O1737">
        <v>3.669395649200033</v>
      </c>
      <c r="P1737">
        <v>4.3157967074486283</v>
      </c>
      <c r="Q1737">
        <v>6.3467004054987513</v>
      </c>
      <c r="R1737">
        <v>8.1593576829171344</v>
      </c>
      <c r="S1737">
        <v>4.5476031772380177</v>
      </c>
      <c r="T1737">
        <v>12.179855682349219</v>
      </c>
      <c r="U1737">
        <f t="shared" si="183"/>
        <v>6.3988808642824306</v>
      </c>
      <c r="V1737" t="str">
        <f t="shared" si="184"/>
        <v>2021/22Expenditure driversRefurbishment DNO Baseline</v>
      </c>
    </row>
    <row r="1738" spans="1:22">
      <c r="A1738" t="s">
        <v>143</v>
      </c>
      <c r="C1738" t="s">
        <v>1344</v>
      </c>
      <c r="D1738" t="s">
        <v>741</v>
      </c>
      <c r="E1738" t="s">
        <v>1348</v>
      </c>
      <c r="F1738" t="s">
        <v>1289</v>
      </c>
      <c r="G1738">
        <v>16.179719625076277</v>
      </c>
      <c r="H1738">
        <v>6.3155148182460188</v>
      </c>
      <c r="I1738">
        <v>10.006432652257709</v>
      </c>
      <c r="J1738">
        <v>5.1094647521674261</v>
      </c>
      <c r="K1738">
        <v>4.5037282293698127</v>
      </c>
      <c r="L1738">
        <v>3.5037164874262707</v>
      </c>
      <c r="M1738">
        <v>4.4216927783638242</v>
      </c>
      <c r="N1738">
        <v>2.0440177252814649</v>
      </c>
      <c r="O1738">
        <v>3.1744221870173028</v>
      </c>
      <c r="P1738">
        <v>4.1414781951479096</v>
      </c>
      <c r="Q1738">
        <v>6.1398204853234128</v>
      </c>
      <c r="R1738">
        <v>6.4486645601165371</v>
      </c>
      <c r="S1738">
        <v>4.4204922058129323</v>
      </c>
      <c r="T1738">
        <v>13.280272533347803</v>
      </c>
      <c r="U1738">
        <f t="shared" si="183"/>
        <v>6.4063883739253367</v>
      </c>
      <c r="V1738" t="str">
        <f t="shared" si="184"/>
        <v>2022/23Expenditure driversRefurbishment DNO Baseline</v>
      </c>
    </row>
    <row r="1739" spans="1:22">
      <c r="A1739" t="s">
        <v>137</v>
      </c>
      <c r="C1739" t="s">
        <v>1344</v>
      </c>
      <c r="D1739" t="s">
        <v>741</v>
      </c>
      <c r="E1739" t="s">
        <v>1349</v>
      </c>
      <c r="F1739" t="s">
        <v>1289</v>
      </c>
      <c r="G1739" cm="1">
        <f t="array" ref="G1739:T1745">TRANSPOSE('Ch4 expenditure drivers'!W414:AC427)</f>
        <v>8.1491159463296174</v>
      </c>
      <c r="H1739">
        <v>6.634050837671305</v>
      </c>
      <c r="I1739">
        <v>3.5968823873699045</v>
      </c>
      <c r="J1739">
        <v>9.2228501100476823</v>
      </c>
      <c r="K1739">
        <v>8.1910259882127558</v>
      </c>
      <c r="L1739">
        <v>4.2371594299877042</v>
      </c>
      <c r="M1739">
        <v>6.2966098537965491</v>
      </c>
      <c r="N1739">
        <v>3.507069532187566</v>
      </c>
      <c r="O1739">
        <v>2.6089524712032417</v>
      </c>
      <c r="P1739">
        <v>3.359016455856652</v>
      </c>
      <c r="Q1739">
        <v>2.6519745020177465</v>
      </c>
      <c r="R1739">
        <v>5.143488550103541</v>
      </c>
      <c r="S1739">
        <v>1.8993507556192157</v>
      </c>
      <c r="T1739">
        <v>10.855590678594814</v>
      </c>
      <c r="U1739">
        <f t="shared" si="183"/>
        <v>5.4537955356427341</v>
      </c>
      <c r="V1739" t="str">
        <f t="shared" si="184"/>
        <v>2015/16Expenditure driversRefurbishment DNO Actual</v>
      </c>
    </row>
    <row r="1740" spans="1:22">
      <c r="A1740" t="s">
        <v>138</v>
      </c>
      <c r="C1740" t="s">
        <v>1344</v>
      </c>
      <c r="D1740" t="s">
        <v>741</v>
      </c>
      <c r="E1740" t="s">
        <v>1349</v>
      </c>
      <c r="F1740" t="s">
        <v>1289</v>
      </c>
      <c r="G1740">
        <v>9.4165231120936372</v>
      </c>
      <c r="H1740">
        <v>4.8164132857156252</v>
      </c>
      <c r="I1740">
        <v>3.5359213557164324</v>
      </c>
      <c r="J1740">
        <v>9.2763109829730706</v>
      </c>
      <c r="K1740">
        <v>8.8420856916435202</v>
      </c>
      <c r="L1740">
        <v>4.2860079391075958</v>
      </c>
      <c r="M1740">
        <v>5.8872870894215676</v>
      </c>
      <c r="N1740">
        <v>1.9810516360258177</v>
      </c>
      <c r="O1740">
        <v>1.2061110708674911</v>
      </c>
      <c r="P1740">
        <v>1.3367931213937985</v>
      </c>
      <c r="Q1740">
        <v>3.9974716100802787</v>
      </c>
      <c r="R1740">
        <v>5.2279320648218972</v>
      </c>
      <c r="S1740">
        <v>0.40937325573889016</v>
      </c>
      <c r="T1740">
        <v>5.2912829228068015</v>
      </c>
      <c r="U1740">
        <f t="shared" si="183"/>
        <v>4.6793260813147457</v>
      </c>
      <c r="V1740" t="str">
        <f t="shared" si="184"/>
        <v>2016/17Expenditure driversRefurbishment DNO Actual</v>
      </c>
    </row>
    <row r="1741" spans="1:22">
      <c r="A1741" t="s">
        <v>139</v>
      </c>
      <c r="C1741" t="s">
        <v>1344</v>
      </c>
      <c r="D1741" t="s">
        <v>741</v>
      </c>
      <c r="E1741" t="s">
        <v>1349</v>
      </c>
      <c r="F1741" t="s">
        <v>1289</v>
      </c>
      <c r="G1741">
        <v>12.462389304298309</v>
      </c>
      <c r="H1741">
        <v>4.2903845199115942</v>
      </c>
      <c r="I1741">
        <v>6.9590021990748854</v>
      </c>
      <c r="J1741">
        <v>9.2796862179347261</v>
      </c>
      <c r="K1741">
        <v>7.291117350531815</v>
      </c>
      <c r="L1741">
        <v>4.6679132939019592</v>
      </c>
      <c r="M1741">
        <v>7.3565389912261558</v>
      </c>
      <c r="N1741">
        <v>2.8036996935971281</v>
      </c>
      <c r="O1741">
        <v>2.3688852190919913</v>
      </c>
      <c r="P1741">
        <v>2.0353000786449127</v>
      </c>
      <c r="Q1741">
        <v>4.4711654416903013</v>
      </c>
      <c r="R1741">
        <v>9.2593354701229718</v>
      </c>
      <c r="S1741">
        <v>0.98826294892531319</v>
      </c>
      <c r="T1741">
        <v>9.5939841510852339</v>
      </c>
      <c r="U1741">
        <f t="shared" si="183"/>
        <v>5.9876903485740929</v>
      </c>
      <c r="V1741" t="str">
        <f t="shared" si="184"/>
        <v>2017/18Expenditure driversRefurbishment DNO Actual</v>
      </c>
    </row>
    <row r="1742" spans="1:22">
      <c r="A1742" t="s">
        <v>140</v>
      </c>
      <c r="C1742" t="s">
        <v>1344</v>
      </c>
      <c r="D1742" t="s">
        <v>741</v>
      </c>
      <c r="E1742" t="s">
        <v>1349</v>
      </c>
      <c r="F1742" t="s">
        <v>1289</v>
      </c>
      <c r="G1742">
        <v>12.983763163441111</v>
      </c>
      <c r="H1742">
        <v>7.0339071389158567</v>
      </c>
      <c r="I1742">
        <v>7.4390365024000289</v>
      </c>
      <c r="J1742">
        <v>7.9427069634461427</v>
      </c>
      <c r="K1742">
        <v>4.4561443849097095</v>
      </c>
      <c r="L1742">
        <v>3.7751965825179661</v>
      </c>
      <c r="M1742">
        <v>4.9931046761828108</v>
      </c>
      <c r="N1742">
        <v>2.6725333947959267</v>
      </c>
      <c r="O1742">
        <v>3.6017136533566365</v>
      </c>
      <c r="P1742">
        <v>2.6375369225539993</v>
      </c>
      <c r="Q1742">
        <v>5.8523761950152497</v>
      </c>
      <c r="R1742">
        <v>9.1204838697417721</v>
      </c>
      <c r="S1742">
        <v>1.2248174513551333</v>
      </c>
      <c r="T1742">
        <v>20.251957113187768</v>
      </c>
      <c r="U1742">
        <f t="shared" si="183"/>
        <v>6.7132341437014365</v>
      </c>
      <c r="V1742" t="str">
        <f t="shared" si="184"/>
        <v>2018/19Expenditure driversRefurbishment DNO Actual</v>
      </c>
    </row>
    <row r="1743" spans="1:22">
      <c r="A1743" t="s">
        <v>141</v>
      </c>
      <c r="C1743" t="s">
        <v>1344</v>
      </c>
      <c r="D1743" t="s">
        <v>741</v>
      </c>
      <c r="E1743" t="s">
        <v>1349</v>
      </c>
      <c r="F1743" t="s">
        <v>1289</v>
      </c>
      <c r="G1743">
        <v>10.638502099410344</v>
      </c>
      <c r="H1743">
        <v>8.149872037365526</v>
      </c>
      <c r="I1743">
        <v>12.145496612008735</v>
      </c>
      <c r="J1743">
        <v>7.950618875455028</v>
      </c>
      <c r="K1743">
        <v>4.873426179973988</v>
      </c>
      <c r="L1743">
        <v>4.6038519807873604</v>
      </c>
      <c r="M1743">
        <v>5.3319592598454459</v>
      </c>
      <c r="N1743">
        <v>1.6758462504126168</v>
      </c>
      <c r="O1743">
        <v>1.1678981548563012</v>
      </c>
      <c r="P1743">
        <v>2.5882366237694829</v>
      </c>
      <c r="Q1743">
        <v>6.003125571518126</v>
      </c>
      <c r="R1743">
        <v>8.1282021031219429</v>
      </c>
      <c r="S1743">
        <v>2.3334807102911492</v>
      </c>
      <c r="T1743">
        <v>10.72278436055519</v>
      </c>
      <c r="U1743">
        <f>AVERAGE(G1743:T1743)</f>
        <v>6.1652357728122329</v>
      </c>
      <c r="V1743" t="str">
        <f t="shared" si="184"/>
        <v>2019/20Expenditure driversRefurbishment DNO Actual</v>
      </c>
    </row>
    <row r="1744" spans="1:22">
      <c r="A1744" t="s">
        <v>126</v>
      </c>
      <c r="C1744" t="s">
        <v>1344</v>
      </c>
      <c r="D1744" t="s">
        <v>741</v>
      </c>
      <c r="E1744" t="s">
        <v>1349</v>
      </c>
      <c r="F1744" t="s">
        <v>1289</v>
      </c>
      <c r="G1744">
        <v>8.0009453212205841</v>
      </c>
      <c r="H1744">
        <v>10.332983408824036</v>
      </c>
      <c r="I1744">
        <v>11.804601746384742</v>
      </c>
      <c r="J1744">
        <v>6.4250440178538053</v>
      </c>
      <c r="K1744">
        <v>2.7114612352847196</v>
      </c>
      <c r="L1744">
        <v>5.3878048482664616</v>
      </c>
      <c r="M1744">
        <v>5.7945134559620897</v>
      </c>
      <c r="N1744">
        <v>1.259671699429999</v>
      </c>
      <c r="O1744">
        <v>0.69313105061640579</v>
      </c>
      <c r="P1744">
        <v>3.2529400246326268</v>
      </c>
      <c r="Q1744">
        <v>5.6778252229286483</v>
      </c>
      <c r="R1744">
        <v>3.8359847130033167</v>
      </c>
      <c r="S1744">
        <v>1.5384872724737992</v>
      </c>
      <c r="T1744">
        <v>7.8243687950377181</v>
      </c>
      <c r="U1744">
        <f>AVERAGE(G1744:T1744)</f>
        <v>5.3242687722799262</v>
      </c>
      <c r="V1744" t="str">
        <f t="shared" si="184"/>
        <v>2020/21Expenditure driversRefurbishment DNO Actual</v>
      </c>
    </row>
    <row r="1745" spans="1:22">
      <c r="A1745" t="s">
        <v>142</v>
      </c>
      <c r="C1745" t="s">
        <v>1344</v>
      </c>
      <c r="D1745" t="s">
        <v>741</v>
      </c>
      <c r="E1745" t="s">
        <v>1349</v>
      </c>
      <c r="F1745" t="s">
        <v>1289</v>
      </c>
      <c r="G1745">
        <v>6.6676058844303441</v>
      </c>
      <c r="H1745">
        <v>5.8690606899999995</v>
      </c>
      <c r="I1745">
        <v>10.666990389999999</v>
      </c>
      <c r="J1745">
        <v>7.1996000000000002</v>
      </c>
      <c r="K1745">
        <v>2.7203999999999997</v>
      </c>
      <c r="L1745">
        <v>2.8508</v>
      </c>
      <c r="M1745">
        <v>6.5902000000000003</v>
      </c>
      <c r="N1745">
        <v>1.6714482899650285</v>
      </c>
      <c r="O1745">
        <v>0.97828320883341435</v>
      </c>
      <c r="P1745">
        <v>2.9120125828107883</v>
      </c>
      <c r="Q1745">
        <v>4.0764267029922436</v>
      </c>
      <c r="R1745">
        <v>3.4079534910996019</v>
      </c>
      <c r="S1745">
        <v>1.16658222</v>
      </c>
      <c r="T1745">
        <v>6.3719969199999991</v>
      </c>
      <c r="U1745">
        <f>AVERAGE(G1745:T1745)</f>
        <v>4.5106685985808168</v>
      </c>
      <c r="V1745" t="str">
        <f t="shared" ref="V1745" si="185">CONCATENATE(A1745,B1745,C1745,D1745,E1745)</f>
        <v>2021/22Expenditure driversRefurbishment DNO Actual</v>
      </c>
    </row>
    <row r="1746" spans="1:22">
      <c r="A1746" t="s">
        <v>137</v>
      </c>
      <c r="C1746" t="s">
        <v>1344</v>
      </c>
      <c r="D1746" t="s">
        <v>741</v>
      </c>
      <c r="E1746" t="s">
        <v>297</v>
      </c>
      <c r="F1746" t="s">
        <v>1289</v>
      </c>
      <c r="G1746">
        <f t="array" ref="G1746:T1749">TRANSPOSE('Ch4 expenditure drivers'!AF414:AI427)</f>
        <v>17.196854817064793</v>
      </c>
      <c r="H1746">
        <v>10.568605660793352</v>
      </c>
      <c r="I1746">
        <v>11.309816631961029</v>
      </c>
      <c r="J1746">
        <v>4.6178792600262701</v>
      </c>
      <c r="K1746">
        <v>4.002570572257361</v>
      </c>
      <c r="L1746">
        <v>3.2654352952749117</v>
      </c>
      <c r="M1746">
        <v>4.6515986179091611</v>
      </c>
      <c r="N1746">
        <v>2.7286848144954843</v>
      </c>
      <c r="O1746">
        <v>3.4156269271227191</v>
      </c>
      <c r="P1746">
        <v>4.640513264208086</v>
      </c>
      <c r="Q1746">
        <v>7.8241309362910565</v>
      </c>
      <c r="R1746">
        <v>10.358081469608427</v>
      </c>
      <c r="S1746">
        <v>4.8962782432274992</v>
      </c>
      <c r="T1746">
        <v>15.11514900922551</v>
      </c>
      <c r="U1746">
        <f t="shared" si="183"/>
        <v>7.4708018228189754</v>
      </c>
      <c r="V1746" t="str">
        <f t="shared" si="184"/>
        <v>2015/16Expenditure driversRefurbishment Allowance</v>
      </c>
    </row>
    <row r="1747" spans="1:22">
      <c r="A1747" t="s">
        <v>137</v>
      </c>
      <c r="C1747" t="s">
        <v>1344</v>
      </c>
      <c r="D1747" t="s">
        <v>741</v>
      </c>
      <c r="E1747" t="s">
        <v>298</v>
      </c>
      <c r="F1747" t="s">
        <v>1289</v>
      </c>
      <c r="G1747">
        <v>8.1491159463296174</v>
      </c>
      <c r="H1747">
        <v>6.634050837671305</v>
      </c>
      <c r="I1747">
        <v>3.5968823873699045</v>
      </c>
      <c r="J1747">
        <v>9.2228501100476823</v>
      </c>
      <c r="K1747">
        <v>8.1910259882127558</v>
      </c>
      <c r="L1747">
        <v>4.2371594299877042</v>
      </c>
      <c r="M1747">
        <v>6.2966098537965491</v>
      </c>
      <c r="N1747">
        <v>3.507069532187566</v>
      </c>
      <c r="O1747">
        <v>2.6089524712032417</v>
      </c>
      <c r="P1747">
        <v>3.359016455856652</v>
      </c>
      <c r="Q1747">
        <v>2.6519745020177465</v>
      </c>
      <c r="R1747">
        <v>5.143488550103541</v>
      </c>
      <c r="S1747">
        <v>1.8993507556192157</v>
      </c>
      <c r="T1747">
        <v>10.855590678594814</v>
      </c>
      <c r="U1747">
        <f t="shared" si="183"/>
        <v>5.4537955356427341</v>
      </c>
      <c r="V1747" t="str">
        <f t="shared" si="184"/>
        <v>2015/16Expenditure driversRefurbishment Actual</v>
      </c>
    </row>
    <row r="1748" spans="1:22">
      <c r="A1748" t="s">
        <v>137</v>
      </c>
      <c r="C1748" t="s">
        <v>1344</v>
      </c>
      <c r="D1748" t="s">
        <v>741</v>
      </c>
      <c r="E1748" t="s">
        <v>602</v>
      </c>
      <c r="F1748" t="s">
        <v>1289</v>
      </c>
      <c r="G1748">
        <v>-9.0477388707351754</v>
      </c>
      <c r="H1748">
        <v>-3.9345548231220473</v>
      </c>
      <c r="I1748">
        <v>-7.7129342445911249</v>
      </c>
      <c r="J1748">
        <v>4.6049708500214122</v>
      </c>
      <c r="K1748">
        <v>4.1884554159553948</v>
      </c>
      <c r="L1748">
        <v>0.97172413471279251</v>
      </c>
      <c r="M1748">
        <v>1.6450112358873881</v>
      </c>
      <c r="N1748">
        <v>0.77838471769208173</v>
      </c>
      <c r="O1748">
        <v>-0.8066744559194774</v>
      </c>
      <c r="P1748">
        <v>-1.281496808351434</v>
      </c>
      <c r="Q1748">
        <v>-5.17215643427331</v>
      </c>
      <c r="R1748">
        <v>-5.2145929195048861</v>
      </c>
      <c r="S1748">
        <v>-2.9969274876082834</v>
      </c>
      <c r="T1748">
        <v>-4.2595583306306963</v>
      </c>
      <c r="U1748">
        <f>U1747-U1746</f>
        <v>-2.0170062871762413</v>
      </c>
      <c r="V1748" t="str">
        <f t="shared" si="184"/>
        <v>2015/16Expenditure driversRefurbishment Difference</v>
      </c>
    </row>
    <row r="1749" spans="1:22">
      <c r="A1749" t="s">
        <v>137</v>
      </c>
      <c r="C1749" t="s">
        <v>1344</v>
      </c>
      <c r="D1749" t="s">
        <v>741</v>
      </c>
      <c r="E1749" t="s">
        <v>1346</v>
      </c>
      <c r="F1749" t="s">
        <v>606</v>
      </c>
      <c r="G1749" s="829">
        <v>-0.52612753709805804</v>
      </c>
      <c r="H1749" s="829">
        <v>-0.37228703098632715</v>
      </c>
      <c r="I1749" s="829">
        <v>-0.68196810749298287</v>
      </c>
      <c r="J1749" s="829">
        <v>0.99720468871574941</v>
      </c>
      <c r="K1749" s="829">
        <v>1.046441365702941</v>
      </c>
      <c r="L1749" s="829">
        <v>0.29757874428529585</v>
      </c>
      <c r="M1749" s="829">
        <v>0.35364427823886518</v>
      </c>
      <c r="N1749" s="829">
        <v>0.28526003207006517</v>
      </c>
      <c r="O1749" s="829">
        <v>-0.23617171111805521</v>
      </c>
      <c r="P1749" s="829">
        <v>-0.27615410955411296</v>
      </c>
      <c r="Q1749" s="829">
        <v>-0.66105187609821803</v>
      </c>
      <c r="R1749" s="829">
        <v>-0.50343231367748809</v>
      </c>
      <c r="S1749" s="829">
        <v>-0.61208275729705808</v>
      </c>
      <c r="T1749" s="829">
        <v>-0.2818072337911377</v>
      </c>
      <c r="U1749" s="829">
        <f>U1748/U1746</f>
        <v>-0.26998524857337997</v>
      </c>
      <c r="V1749" t="str">
        <f t="shared" si="184"/>
        <v>2015/16Expenditure driversRefurbishment Difference %</v>
      </c>
    </row>
    <row r="1750" spans="1:22">
      <c r="A1750" t="s">
        <v>138</v>
      </c>
      <c r="C1750" t="s">
        <v>1344</v>
      </c>
      <c r="D1750" t="s">
        <v>741</v>
      </c>
      <c r="E1750" t="s">
        <v>297</v>
      </c>
      <c r="F1750" t="s">
        <v>1289</v>
      </c>
      <c r="G1750">
        <f t="array" ref="G1750:T1753">TRANSPOSE('Ch4 expenditure drivers'!AK414:AN427)</f>
        <v>15.798157049631993</v>
      </c>
      <c r="H1750">
        <v>9.9723553785680625</v>
      </c>
      <c r="I1750">
        <v>11.555999919931919</v>
      </c>
      <c r="J1750">
        <v>4.8192249446441506</v>
      </c>
      <c r="K1750">
        <v>4.0371487625122651</v>
      </c>
      <c r="L1750">
        <v>3.3022259766469393</v>
      </c>
      <c r="M1750">
        <v>4.5920836796780291</v>
      </c>
      <c r="N1750">
        <v>2.661259412385804</v>
      </c>
      <c r="O1750">
        <v>3.8271775291703141</v>
      </c>
      <c r="P1750">
        <v>4.3691143078963783</v>
      </c>
      <c r="Q1750">
        <v>7.7913906237362651</v>
      </c>
      <c r="R1750">
        <v>12.101624646505737</v>
      </c>
      <c r="S1750">
        <v>4.8012125221245547</v>
      </c>
      <c r="T1750">
        <v>14.850067326293985</v>
      </c>
      <c r="U1750">
        <f t="shared" si="183"/>
        <v>7.4627887199804572</v>
      </c>
      <c r="V1750" t="str">
        <f t="shared" si="184"/>
        <v>2016/17Expenditure driversRefurbishment Allowance</v>
      </c>
    </row>
    <row r="1751" spans="1:22">
      <c r="A1751" t="s">
        <v>138</v>
      </c>
      <c r="C1751" t="s">
        <v>1344</v>
      </c>
      <c r="D1751" t="s">
        <v>741</v>
      </c>
      <c r="E1751" t="s">
        <v>298</v>
      </c>
      <c r="F1751" t="s">
        <v>1289</v>
      </c>
      <c r="G1751">
        <v>9.4165231120936372</v>
      </c>
      <c r="H1751">
        <v>4.8164132857156252</v>
      </c>
      <c r="I1751">
        <v>3.5359213557164324</v>
      </c>
      <c r="J1751">
        <v>9.2763109829730706</v>
      </c>
      <c r="K1751">
        <v>8.8420856916435202</v>
      </c>
      <c r="L1751">
        <v>4.2860079391075958</v>
      </c>
      <c r="M1751">
        <v>5.8872870894215676</v>
      </c>
      <c r="N1751">
        <v>1.9810516360258177</v>
      </c>
      <c r="O1751">
        <v>1.2061110708674911</v>
      </c>
      <c r="P1751">
        <v>1.3367931213937985</v>
      </c>
      <c r="Q1751">
        <v>3.9974716100802787</v>
      </c>
      <c r="R1751">
        <v>5.2279320648218972</v>
      </c>
      <c r="S1751">
        <v>0.40937325573889016</v>
      </c>
      <c r="T1751">
        <v>5.2912829228068015</v>
      </c>
      <c r="U1751">
        <f t="shared" si="183"/>
        <v>4.6793260813147457</v>
      </c>
      <c r="V1751" t="str">
        <f t="shared" si="184"/>
        <v>2016/17Expenditure driversRefurbishment Actual</v>
      </c>
    </row>
    <row r="1752" spans="1:22">
      <c r="A1752" t="s">
        <v>138</v>
      </c>
      <c r="C1752" t="s">
        <v>1344</v>
      </c>
      <c r="D1752" t="s">
        <v>741</v>
      </c>
      <c r="E1752" t="s">
        <v>602</v>
      </c>
      <c r="F1752" t="s">
        <v>1289</v>
      </c>
      <c r="G1752">
        <v>-6.3816339375383553</v>
      </c>
      <c r="H1752">
        <v>-5.1559420928524373</v>
      </c>
      <c r="I1752">
        <v>-8.0200785642154866</v>
      </c>
      <c r="J1752">
        <v>4.4570860383289199</v>
      </c>
      <c r="K1752">
        <v>4.8049369291312551</v>
      </c>
      <c r="L1752">
        <v>0.98378196246065652</v>
      </c>
      <c r="M1752">
        <v>1.2952034097435385</v>
      </c>
      <c r="N1752">
        <v>-0.6802077763599863</v>
      </c>
      <c r="O1752">
        <v>-2.6210664583028231</v>
      </c>
      <c r="P1752">
        <v>-3.0323211865025801</v>
      </c>
      <c r="Q1752">
        <v>-3.7939190136559864</v>
      </c>
      <c r="R1752">
        <v>-6.8736925816838399</v>
      </c>
      <c r="S1752">
        <v>-4.3918392663856647</v>
      </c>
      <c r="T1752">
        <v>-9.5587844034871843</v>
      </c>
      <c r="U1752">
        <f>U1751-U1750</f>
        <v>-2.7834626386657115</v>
      </c>
      <c r="V1752" t="str">
        <f t="shared" si="184"/>
        <v>2016/17Expenditure driversRefurbishment Difference</v>
      </c>
    </row>
    <row r="1753" spans="1:22">
      <c r="A1753" t="s">
        <v>138</v>
      </c>
      <c r="C1753" t="s">
        <v>1344</v>
      </c>
      <c r="D1753" t="s">
        <v>741</v>
      </c>
      <c r="E1753" t="s">
        <v>1346</v>
      </c>
      <c r="F1753" t="s">
        <v>606</v>
      </c>
      <c r="G1753" s="829">
        <v>-0.40394799959828298</v>
      </c>
      <c r="H1753" s="829">
        <v>-0.51702350118140117</v>
      </c>
      <c r="I1753" s="829">
        <v>-0.69401857215162877</v>
      </c>
      <c r="J1753" s="829">
        <v>0.92485536357507159</v>
      </c>
      <c r="K1753" s="829">
        <v>1.1901807963452913</v>
      </c>
      <c r="L1753" s="829">
        <v>0.29791479124017517</v>
      </c>
      <c r="M1753" s="829">
        <v>0.28205135186786295</v>
      </c>
      <c r="N1753" s="829">
        <v>-0.25559619373978426</v>
      </c>
      <c r="O1753" s="829">
        <v>-0.6848562519834398</v>
      </c>
      <c r="P1753" s="829">
        <v>-0.69403567240669617</v>
      </c>
      <c r="Q1753" s="829">
        <v>-0.48693733851540089</v>
      </c>
      <c r="R1753" s="829">
        <v>-0.56799750301861929</v>
      </c>
      <c r="S1753" s="829">
        <v>-0.91473544362961445</v>
      </c>
      <c r="T1753" s="829">
        <v>-0.64368626710278321</v>
      </c>
      <c r="U1753" s="829">
        <f>U1752/U1750</f>
        <v>-0.37297888806813234</v>
      </c>
      <c r="V1753" t="str">
        <f t="shared" si="184"/>
        <v>2016/17Expenditure driversRefurbishment Difference %</v>
      </c>
    </row>
    <row r="1754" spans="1:22">
      <c r="A1754" t="s">
        <v>139</v>
      </c>
      <c r="C1754" t="s">
        <v>1344</v>
      </c>
      <c r="D1754" t="s">
        <v>741</v>
      </c>
      <c r="E1754" t="s">
        <v>297</v>
      </c>
      <c r="F1754" t="s">
        <v>1289</v>
      </c>
      <c r="G1754">
        <f t="array" ref="G1754:T1757">TRANSPOSE('Ch4 expenditure drivers'!AP414:AS427)</f>
        <v>16.52243319137871</v>
      </c>
      <c r="H1754">
        <v>7.9710256559708084</v>
      </c>
      <c r="I1754">
        <v>11.100052731677398</v>
      </c>
      <c r="J1754">
        <v>4.7107337066274066</v>
      </c>
      <c r="K1754">
        <v>4.0753152182034507</v>
      </c>
      <c r="L1754">
        <v>3.3036315143032438</v>
      </c>
      <c r="M1754">
        <v>4.5869731120491375</v>
      </c>
      <c r="N1754">
        <v>2.1625290847502932</v>
      </c>
      <c r="O1754">
        <v>3.623776488637795</v>
      </c>
      <c r="P1754">
        <v>4.4113629562791967</v>
      </c>
      <c r="Q1754">
        <v>7.7414537331515669</v>
      </c>
      <c r="R1754">
        <v>11.059399791480496</v>
      </c>
      <c r="S1754">
        <v>4.6086521392077895</v>
      </c>
      <c r="T1754">
        <v>15.057830960129683</v>
      </c>
      <c r="U1754">
        <f t="shared" si="183"/>
        <v>7.2096550202747851</v>
      </c>
      <c r="V1754" t="str">
        <f t="shared" si="184"/>
        <v>2017/18Expenditure driversRefurbishment Allowance</v>
      </c>
    </row>
    <row r="1755" spans="1:22">
      <c r="A1755" t="s">
        <v>139</v>
      </c>
      <c r="C1755" t="s">
        <v>1344</v>
      </c>
      <c r="D1755" t="s">
        <v>741</v>
      </c>
      <c r="E1755" t="s">
        <v>298</v>
      </c>
      <c r="F1755" t="s">
        <v>1289</v>
      </c>
      <c r="G1755">
        <v>12.462389304298309</v>
      </c>
      <c r="H1755">
        <v>4.2903845199115942</v>
      </c>
      <c r="I1755">
        <v>6.9590021990748854</v>
      </c>
      <c r="J1755">
        <v>9.2796862179347261</v>
      </c>
      <c r="K1755">
        <v>7.291117350531815</v>
      </c>
      <c r="L1755">
        <v>4.6679132939019592</v>
      </c>
      <c r="M1755">
        <v>7.3565389912261558</v>
      </c>
      <c r="N1755">
        <v>2.8036996935971281</v>
      </c>
      <c r="O1755">
        <v>2.3688852190919913</v>
      </c>
      <c r="P1755">
        <v>2.0353000786449127</v>
      </c>
      <c r="Q1755">
        <v>4.4711654416903013</v>
      </c>
      <c r="R1755">
        <v>9.2593354701229718</v>
      </c>
      <c r="S1755">
        <v>0.98826294892531319</v>
      </c>
      <c r="T1755">
        <v>9.5939841510852339</v>
      </c>
      <c r="U1755">
        <f t="shared" si="183"/>
        <v>5.9876903485740929</v>
      </c>
      <c r="V1755" t="str">
        <f t="shared" si="184"/>
        <v>2017/18Expenditure driversRefurbishment Actual</v>
      </c>
    </row>
    <row r="1756" spans="1:22">
      <c r="A1756" t="s">
        <v>139</v>
      </c>
      <c r="C1756" t="s">
        <v>1344</v>
      </c>
      <c r="D1756" t="s">
        <v>741</v>
      </c>
      <c r="E1756" t="s">
        <v>602</v>
      </c>
      <c r="F1756" t="s">
        <v>1289</v>
      </c>
      <c r="G1756">
        <v>-4.0600438870804005</v>
      </c>
      <c r="H1756">
        <v>-3.6806411360592142</v>
      </c>
      <c r="I1756">
        <v>-4.1410505326025122</v>
      </c>
      <c r="J1756">
        <v>4.5689525113073195</v>
      </c>
      <c r="K1756">
        <v>3.2158021323283643</v>
      </c>
      <c r="L1756">
        <v>1.3642817795987154</v>
      </c>
      <c r="M1756">
        <v>2.7695658791770184</v>
      </c>
      <c r="N1756">
        <v>0.64117060884683497</v>
      </c>
      <c r="O1756">
        <v>-1.2548912695458037</v>
      </c>
      <c r="P1756">
        <v>-2.376062877634284</v>
      </c>
      <c r="Q1756">
        <v>-3.2702882914612657</v>
      </c>
      <c r="R1756">
        <v>-1.8000643213575245</v>
      </c>
      <c r="S1756">
        <v>-3.6203891902824763</v>
      </c>
      <c r="T1756">
        <v>-5.4638468090444494</v>
      </c>
      <c r="U1756">
        <f>U1755-U1754</f>
        <v>-1.2219646717006922</v>
      </c>
      <c r="V1756" t="str">
        <f t="shared" si="184"/>
        <v>2017/18Expenditure driversRefurbishment Difference</v>
      </c>
    </row>
    <row r="1757" spans="1:22">
      <c r="A1757" t="s">
        <v>139</v>
      </c>
      <c r="C1757" t="s">
        <v>1344</v>
      </c>
      <c r="D1757" t="s">
        <v>741</v>
      </c>
      <c r="E1757" t="s">
        <v>1346</v>
      </c>
      <c r="F1757" t="s">
        <v>606</v>
      </c>
      <c r="G1757" s="829">
        <v>-0.24572917560343976</v>
      </c>
      <c r="H1757" s="829">
        <v>-0.46175251403214068</v>
      </c>
      <c r="I1757" s="829">
        <v>-0.37306584326259612</v>
      </c>
      <c r="J1757" s="829">
        <v>0.96990252386361409</v>
      </c>
      <c r="K1757" s="829">
        <v>0.7890928578884282</v>
      </c>
      <c r="L1757" s="829">
        <v>0.4129642708915891</v>
      </c>
      <c r="M1757" s="829">
        <v>0.60378942965719085</v>
      </c>
      <c r="N1757" s="829">
        <v>0.29649109155027659</v>
      </c>
      <c r="O1757" s="829">
        <v>-0.34629378315148979</v>
      </c>
      <c r="P1757" s="829">
        <v>-0.53862330104852574</v>
      </c>
      <c r="Q1757" s="829">
        <v>-0.42243852436355289</v>
      </c>
      <c r="R1757" s="829">
        <v>-0.16276329233926301</v>
      </c>
      <c r="S1757" s="829">
        <v>-0.78556356195388788</v>
      </c>
      <c r="T1757" s="829">
        <v>-0.36285749411795715</v>
      </c>
      <c r="U1757" s="829">
        <f>U1756/U1754</f>
        <v>-0.16949003360969675</v>
      </c>
      <c r="V1757" t="str">
        <f t="shared" si="184"/>
        <v>2017/18Expenditure driversRefurbishment Difference %</v>
      </c>
    </row>
    <row r="1758" spans="1:22">
      <c r="A1758" t="s">
        <v>140</v>
      </c>
      <c r="C1758" t="s">
        <v>1344</v>
      </c>
      <c r="D1758" t="s">
        <v>741</v>
      </c>
      <c r="E1758" t="s">
        <v>297</v>
      </c>
      <c r="F1758" t="s">
        <v>1289</v>
      </c>
      <c r="G1758">
        <f t="array" ref="G1758:T1761">TRANSPOSE('Ch4 expenditure drivers'!AU414:AX427)</f>
        <v>16.122024205808618</v>
      </c>
      <c r="H1758">
        <v>7.8122290703622363</v>
      </c>
      <c r="I1758">
        <v>10.670606982091074</v>
      </c>
      <c r="J1758">
        <v>4.9115539571332469</v>
      </c>
      <c r="K1758">
        <v>4.2128019250951132</v>
      </c>
      <c r="L1758">
        <v>3.5274836884594341</v>
      </c>
      <c r="M1758">
        <v>4.5828521562618665</v>
      </c>
      <c r="N1758">
        <v>2.1045192250009652</v>
      </c>
      <c r="O1758">
        <v>3.5574751264173878</v>
      </c>
      <c r="P1758">
        <v>4.5678857707453879</v>
      </c>
      <c r="Q1758">
        <v>7.1877991811608704</v>
      </c>
      <c r="R1758">
        <v>9.0985720868156292</v>
      </c>
      <c r="S1758">
        <v>4.5610020986810476</v>
      </c>
      <c r="T1758">
        <v>14.088773257886558</v>
      </c>
      <c r="U1758">
        <f>AVERAGE(G1758:T1758)</f>
        <v>6.9289699094228165</v>
      </c>
      <c r="V1758" t="str">
        <f t="shared" si="184"/>
        <v>2018/19Expenditure driversRefurbishment Allowance</v>
      </c>
    </row>
    <row r="1759" spans="1:22">
      <c r="A1759" t="s">
        <v>140</v>
      </c>
      <c r="C1759" t="s">
        <v>1344</v>
      </c>
      <c r="D1759" t="s">
        <v>741</v>
      </c>
      <c r="E1759" t="s">
        <v>298</v>
      </c>
      <c r="F1759" t="s">
        <v>1289</v>
      </c>
      <c r="G1759">
        <v>12.983763163441111</v>
      </c>
      <c r="H1759">
        <v>7.0339071389158567</v>
      </c>
      <c r="I1759">
        <v>7.4390365024000289</v>
      </c>
      <c r="J1759">
        <v>7.9427069634461427</v>
      </c>
      <c r="K1759">
        <v>4.4561443849097095</v>
      </c>
      <c r="L1759">
        <v>3.7751965825179661</v>
      </c>
      <c r="M1759">
        <v>4.9931046761828108</v>
      </c>
      <c r="N1759">
        <v>2.6725333947959267</v>
      </c>
      <c r="O1759">
        <v>3.6017136533566365</v>
      </c>
      <c r="P1759">
        <v>2.6375369225539993</v>
      </c>
      <c r="Q1759">
        <v>5.8523761950152497</v>
      </c>
      <c r="R1759">
        <v>9.1204838697417721</v>
      </c>
      <c r="S1759">
        <v>1.2248174513551333</v>
      </c>
      <c r="T1759">
        <v>20.251957113187768</v>
      </c>
      <c r="U1759">
        <f>AVERAGE(G1759:T1759)</f>
        <v>6.7132341437014365</v>
      </c>
      <c r="V1759" t="str">
        <f t="shared" si="184"/>
        <v>2018/19Expenditure driversRefurbishment Actual</v>
      </c>
    </row>
    <row r="1760" spans="1:22">
      <c r="A1760" t="s">
        <v>140</v>
      </c>
      <c r="C1760" t="s">
        <v>1344</v>
      </c>
      <c r="D1760" t="s">
        <v>741</v>
      </c>
      <c r="E1760" t="s">
        <v>602</v>
      </c>
      <c r="F1760" t="s">
        <v>1289</v>
      </c>
      <c r="G1760">
        <v>-3.1382610423675068</v>
      </c>
      <c r="H1760">
        <v>-0.77832193144637962</v>
      </c>
      <c r="I1760">
        <v>-3.2315704796910456</v>
      </c>
      <c r="J1760">
        <v>3.0311530063128957</v>
      </c>
      <c r="K1760">
        <v>0.24334245981459635</v>
      </c>
      <c r="L1760">
        <v>0.24771289405853203</v>
      </c>
      <c r="M1760">
        <v>0.41025251992094436</v>
      </c>
      <c r="N1760">
        <v>0.56801416979496144</v>
      </c>
      <c r="O1760">
        <v>4.4238526939248679E-2</v>
      </c>
      <c r="P1760">
        <v>-1.9303488481913886</v>
      </c>
      <c r="Q1760">
        <v>-1.3354229861456206</v>
      </c>
      <c r="R1760">
        <v>2.191178292614282E-2</v>
      </c>
      <c r="S1760">
        <v>-3.336184647325914</v>
      </c>
      <c r="T1760">
        <v>6.1631838553012095</v>
      </c>
      <c r="U1760">
        <f>U1759-U1758</f>
        <v>-0.21573576572138009</v>
      </c>
      <c r="V1760" t="str">
        <f t="shared" si="184"/>
        <v>2018/19Expenditure driversRefurbishment Difference</v>
      </c>
    </row>
    <row r="1761" spans="1:22">
      <c r="A1761" t="s">
        <v>140</v>
      </c>
      <c r="C1761" t="s">
        <v>1344</v>
      </c>
      <c r="D1761" t="s">
        <v>741</v>
      </c>
      <c r="E1761" t="s">
        <v>1346</v>
      </c>
      <c r="F1761" t="s">
        <v>606</v>
      </c>
      <c r="G1761" s="829">
        <v>-0.19465676284227509</v>
      </c>
      <c r="H1761" s="829">
        <v>-9.9628662246880384E-2</v>
      </c>
      <c r="I1761" s="829">
        <v>-0.30284785908755946</v>
      </c>
      <c r="J1761" s="829">
        <v>0.61714745124822068</v>
      </c>
      <c r="K1761" s="829">
        <v>5.7762615983684623E-2</v>
      </c>
      <c r="L1761" s="829">
        <v>7.0223682357186526E-2</v>
      </c>
      <c r="M1761" s="829">
        <v>8.9519038784698315E-2</v>
      </c>
      <c r="N1761" s="829">
        <v>0.26990210545342058</v>
      </c>
      <c r="O1761" s="829">
        <v>1.2435372101617418E-2</v>
      </c>
      <c r="P1761" s="829">
        <v>-0.42259131359066238</v>
      </c>
      <c r="Q1761" s="829">
        <v>-0.18579024712400802</v>
      </c>
      <c r="R1761" s="829">
        <v>2.4082661231968798E-3</v>
      </c>
      <c r="S1761" s="829">
        <v>-0.731458695949882</v>
      </c>
      <c r="T1761" s="829">
        <v>0.43745354847351287</v>
      </c>
      <c r="U1761" s="829">
        <f>U1760/U1758</f>
        <v>-3.113533014885771E-2</v>
      </c>
      <c r="V1761" t="str">
        <f t="shared" si="184"/>
        <v>2018/19Expenditure driversRefurbishment Difference %</v>
      </c>
    </row>
    <row r="1762" spans="1:22">
      <c r="A1762" t="s">
        <v>141</v>
      </c>
      <c r="C1762" t="s">
        <v>1344</v>
      </c>
      <c r="D1762" t="s">
        <v>741</v>
      </c>
      <c r="E1762" t="s">
        <v>297</v>
      </c>
      <c r="F1762" t="s">
        <v>1289</v>
      </c>
      <c r="G1762" s="229">
        <f t="array" ref="G1762:T1765">TRANSPOSE('Ch4 expenditure drivers'!AZ414:BC427)</f>
        <v>16.473004665059079</v>
      </c>
      <c r="H1762" s="229">
        <v>8.046877613081147</v>
      </c>
      <c r="I1762" s="229">
        <v>9.8255491595060818</v>
      </c>
      <c r="J1762" s="229">
        <v>4.9708433684631581</v>
      </c>
      <c r="K1762" s="229">
        <v>4.3284999340617567</v>
      </c>
      <c r="L1762" s="229">
        <v>3.5470774412354285</v>
      </c>
      <c r="M1762" s="229">
        <v>4.5853490485973341</v>
      </c>
      <c r="N1762" s="229">
        <v>2.3462197260074618</v>
      </c>
      <c r="O1762" s="229">
        <v>3.7194846027631163</v>
      </c>
      <c r="P1762" s="229">
        <v>4.6040777045285211</v>
      </c>
      <c r="Q1762" s="229">
        <v>7.0306952692128313</v>
      </c>
      <c r="R1762" s="229">
        <v>8.735529759645015</v>
      </c>
      <c r="S1762" s="229">
        <v>4.5825998628050906</v>
      </c>
      <c r="T1762" s="229">
        <v>13.430577445894652</v>
      </c>
      <c r="U1762" s="229">
        <f>AVERAGE(G1762:T1762)</f>
        <v>6.8733132572043356</v>
      </c>
      <c r="V1762" t="str">
        <f t="shared" si="184"/>
        <v>2019/20Expenditure driversRefurbishment Allowance</v>
      </c>
    </row>
    <row r="1763" spans="1:22">
      <c r="A1763" t="s">
        <v>141</v>
      </c>
      <c r="C1763" t="s">
        <v>1344</v>
      </c>
      <c r="D1763" t="s">
        <v>741</v>
      </c>
      <c r="E1763" t="s">
        <v>298</v>
      </c>
      <c r="F1763" t="s">
        <v>1289</v>
      </c>
      <c r="G1763" s="229">
        <v>10.638502099410344</v>
      </c>
      <c r="H1763" s="229">
        <v>8.149872037365526</v>
      </c>
      <c r="I1763" s="229">
        <v>12.145496612008735</v>
      </c>
      <c r="J1763" s="229">
        <v>7.950618875455028</v>
      </c>
      <c r="K1763" s="229">
        <v>4.873426179973988</v>
      </c>
      <c r="L1763" s="229">
        <v>4.6038519807873604</v>
      </c>
      <c r="M1763" s="229">
        <v>5.3319592598454459</v>
      </c>
      <c r="N1763" s="229">
        <v>1.6758462504126168</v>
      </c>
      <c r="O1763" s="229">
        <v>1.1678981548563012</v>
      </c>
      <c r="P1763" s="229">
        <v>2.5882366237694829</v>
      </c>
      <c r="Q1763" s="229">
        <v>6.003125571518126</v>
      </c>
      <c r="R1763" s="229">
        <v>8.1282021031219429</v>
      </c>
      <c r="S1763" s="229">
        <v>2.3334807102911492</v>
      </c>
      <c r="T1763" s="229">
        <v>10.72278436055519</v>
      </c>
      <c r="U1763" s="229">
        <f>AVERAGE(G1763:T1763)</f>
        <v>6.1652357728122329</v>
      </c>
      <c r="V1763" t="str">
        <f t="shared" si="184"/>
        <v>2019/20Expenditure driversRefurbishment Actual</v>
      </c>
    </row>
    <row r="1764" spans="1:22">
      <c r="A1764" t="s">
        <v>141</v>
      </c>
      <c r="C1764" t="s">
        <v>1344</v>
      </c>
      <c r="D1764" t="s">
        <v>741</v>
      </c>
      <c r="E1764" t="s">
        <v>602</v>
      </c>
      <c r="F1764" t="s">
        <v>1289</v>
      </c>
      <c r="G1764" s="229">
        <v>-5.8345025656487355</v>
      </c>
      <c r="H1764" s="229">
        <v>0.10299442428437899</v>
      </c>
      <c r="I1764" s="229">
        <v>2.3199474525026531</v>
      </c>
      <c r="J1764" s="229">
        <v>2.9797755069918699</v>
      </c>
      <c r="K1764" s="229">
        <v>0.54492624591223127</v>
      </c>
      <c r="L1764" s="229">
        <v>1.0567745395519319</v>
      </c>
      <c r="M1764" s="229">
        <v>0.74661021124811189</v>
      </c>
      <c r="N1764" s="229">
        <v>-0.67037347559484495</v>
      </c>
      <c r="O1764" s="229">
        <v>-2.5515864479068151</v>
      </c>
      <c r="P1764" s="229">
        <v>-2.0158410807590381</v>
      </c>
      <c r="Q1764" s="229">
        <v>-1.0275696976947053</v>
      </c>
      <c r="R1764" s="229">
        <v>-0.60732765652307208</v>
      </c>
      <c r="S1764" s="229">
        <v>-2.2491191525139413</v>
      </c>
      <c r="T1764" s="229">
        <v>-2.7077930853394623</v>
      </c>
      <c r="U1764" s="229">
        <f>U1763-U1762</f>
        <v>-0.70807748439210272</v>
      </c>
      <c r="V1764" t="str">
        <f t="shared" si="184"/>
        <v>2019/20Expenditure driversRefurbishment Difference</v>
      </c>
    </row>
    <row r="1765" spans="1:22">
      <c r="A1765" t="s">
        <v>141</v>
      </c>
      <c r="C1765" t="s">
        <v>1344</v>
      </c>
      <c r="D1765" t="s">
        <v>741</v>
      </c>
      <c r="E1765" t="s">
        <v>1346</v>
      </c>
      <c r="F1765" t="s">
        <v>606</v>
      </c>
      <c r="G1765" s="829">
        <v>-0.35418569254850696</v>
      </c>
      <c r="H1765" s="829">
        <v>1.2799302939185931E-2</v>
      </c>
      <c r="I1765" s="829">
        <v>0.2361137698098163</v>
      </c>
      <c r="J1765" s="829">
        <v>0.59945069400026796</v>
      </c>
      <c r="K1765" s="829">
        <v>0.12589263121482505</v>
      </c>
      <c r="L1765" s="829">
        <v>0.29792824009612345</v>
      </c>
      <c r="M1765" s="829">
        <v>0.162825164090071</v>
      </c>
      <c r="N1765" s="829">
        <v>-0.28572493367260732</v>
      </c>
      <c r="O1765" s="829">
        <v>-0.6860053798881981</v>
      </c>
      <c r="P1765" s="829">
        <v>-0.43783819694795301</v>
      </c>
      <c r="Q1765" s="829">
        <v>-0.1461547767820911</v>
      </c>
      <c r="R1765" s="829">
        <v>-6.9523849524124562E-2</v>
      </c>
      <c r="S1765" s="829">
        <v>-0.49079544796590985</v>
      </c>
      <c r="T1765" s="829">
        <v>-0.2016140479624097</v>
      </c>
      <c r="U1765" s="829">
        <f>U1764/U1762</f>
        <v>-0.10301836361814644</v>
      </c>
      <c r="V1765" t="str">
        <f t="shared" si="184"/>
        <v>2019/20Expenditure driversRefurbishment Difference %</v>
      </c>
    </row>
    <row r="1766" spans="1:22">
      <c r="A1766" t="s">
        <v>126</v>
      </c>
      <c r="C1766" t="s">
        <v>1344</v>
      </c>
      <c r="D1766" t="s">
        <v>741</v>
      </c>
      <c r="E1766" t="s">
        <v>297</v>
      </c>
      <c r="F1766" t="s">
        <v>1289</v>
      </c>
      <c r="G1766" s="229" cm="1">
        <f t="array" ref="G1766:T1769">TRANSPOSE('Ch4 expenditure drivers'!BE414:BH427)</f>
        <v>16.644067866714824</v>
      </c>
      <c r="H1766" s="229">
        <v>6.5338215600538554</v>
      </c>
      <c r="I1766" s="229">
        <v>9.8758063955889224</v>
      </c>
      <c r="J1766" s="229">
        <v>5.0213879241118295</v>
      </c>
      <c r="K1766" s="229">
        <v>4.3851978364885635</v>
      </c>
      <c r="L1766" s="229">
        <v>3.4349236651740265</v>
      </c>
      <c r="M1766" s="229">
        <v>4.4210402276127159</v>
      </c>
      <c r="N1766" s="229">
        <v>2.1165170555068467</v>
      </c>
      <c r="O1766" s="229">
        <v>3.789308957527719</v>
      </c>
      <c r="P1766" s="229">
        <v>4.2976059795353745</v>
      </c>
      <c r="Q1766" s="229">
        <v>6.9290938988381212</v>
      </c>
      <c r="R1766" s="229">
        <v>9.4329962421814439</v>
      </c>
      <c r="S1766" s="229">
        <v>4.5261442855495169</v>
      </c>
      <c r="T1766" s="229">
        <v>12.493360928893049</v>
      </c>
      <c r="U1766" s="229">
        <f>AVERAGE(G1766:T1766)</f>
        <v>6.7072337731269158</v>
      </c>
      <c r="V1766" t="str">
        <f t="shared" si="184"/>
        <v>2020/21Expenditure driversRefurbishment Allowance</v>
      </c>
    </row>
    <row r="1767" spans="1:22">
      <c r="A1767" t="s">
        <v>126</v>
      </c>
      <c r="C1767" t="s">
        <v>1344</v>
      </c>
      <c r="D1767" t="s">
        <v>741</v>
      </c>
      <c r="E1767" t="s">
        <v>298</v>
      </c>
      <c r="F1767" t="s">
        <v>1289</v>
      </c>
      <c r="G1767" s="229">
        <v>8.0009453212205841</v>
      </c>
      <c r="H1767" s="229">
        <v>10.332983408824036</v>
      </c>
      <c r="I1767" s="229">
        <v>11.804601746384742</v>
      </c>
      <c r="J1767" s="229">
        <v>6.4250440178538053</v>
      </c>
      <c r="K1767" s="229">
        <v>2.7114612352847196</v>
      </c>
      <c r="L1767" s="229">
        <v>5.3878048482664616</v>
      </c>
      <c r="M1767" s="229">
        <v>5.7945134559620897</v>
      </c>
      <c r="N1767" s="229">
        <v>1.259671699429999</v>
      </c>
      <c r="O1767" s="229">
        <v>0.69313105061640579</v>
      </c>
      <c r="P1767" s="229">
        <v>3.2529400246326268</v>
      </c>
      <c r="Q1767" s="229">
        <v>5.6778252229286483</v>
      </c>
      <c r="R1767" s="229">
        <v>3.8359847130033167</v>
      </c>
      <c r="S1767" s="229">
        <v>1.5384872724737992</v>
      </c>
      <c r="T1767" s="229">
        <v>7.8243687950377181</v>
      </c>
      <c r="U1767" s="229">
        <f>AVERAGE(G1767:T1767)</f>
        <v>5.3242687722799262</v>
      </c>
      <c r="V1767" t="str">
        <f t="shared" si="184"/>
        <v>2020/21Expenditure driversRefurbishment Actual</v>
      </c>
    </row>
    <row r="1768" spans="1:22">
      <c r="A1768" t="s">
        <v>126</v>
      </c>
      <c r="C1768" t="s">
        <v>1344</v>
      </c>
      <c r="D1768" t="s">
        <v>741</v>
      </c>
      <c r="E1768" t="s">
        <v>602</v>
      </c>
      <c r="F1768" t="s">
        <v>1289</v>
      </c>
      <c r="G1768" s="229">
        <v>-8.64312254549424</v>
      </c>
      <c r="H1768" s="229">
        <v>3.799161848770181</v>
      </c>
      <c r="I1768" s="229">
        <v>1.92879535079582</v>
      </c>
      <c r="J1768" s="229">
        <v>1.4036560937419758</v>
      </c>
      <c r="K1768" s="229">
        <v>-1.6737366012038439</v>
      </c>
      <c r="L1768" s="229">
        <v>1.9528811830924351</v>
      </c>
      <c r="M1768" s="229">
        <v>1.3734732283493738</v>
      </c>
      <c r="N1768" s="229">
        <v>-0.85684535607684764</v>
      </c>
      <c r="O1768" s="229">
        <v>-3.0961779069113131</v>
      </c>
      <c r="P1768" s="229">
        <v>-1.0446659549027477</v>
      </c>
      <c r="Q1768" s="229">
        <v>-1.2512686759094729</v>
      </c>
      <c r="R1768" s="229">
        <v>-5.5970115291781273</v>
      </c>
      <c r="S1768" s="229">
        <v>-2.9876570130757178</v>
      </c>
      <c r="T1768" s="229">
        <v>-4.6689921338553306</v>
      </c>
      <c r="U1768" s="229">
        <f>U1767-U1766</f>
        <v>-1.3829650008469896</v>
      </c>
      <c r="V1768" t="str">
        <f t="shared" si="184"/>
        <v>2020/21Expenditure driversRefurbishment Difference</v>
      </c>
    </row>
    <row r="1769" spans="1:22">
      <c r="A1769" t="s">
        <v>126</v>
      </c>
      <c r="C1769" t="s">
        <v>1344</v>
      </c>
      <c r="D1769" t="s">
        <v>741</v>
      </c>
      <c r="E1769" t="s">
        <v>1346</v>
      </c>
      <c r="F1769" t="s">
        <v>606</v>
      </c>
      <c r="G1769" s="829">
        <v>-0.51929147457869651</v>
      </c>
      <c r="H1769" s="829">
        <v>0.58146091285952817</v>
      </c>
      <c r="I1769" s="829">
        <v>0.19530509950633762</v>
      </c>
      <c r="J1769" s="829">
        <v>0.27953548201322265</v>
      </c>
      <c r="K1769" s="829">
        <v>-0.38167869811412758</v>
      </c>
      <c r="L1769" s="829">
        <v>0.56853699629260745</v>
      </c>
      <c r="M1769" s="829">
        <v>0.31066743518210987</v>
      </c>
      <c r="N1769" s="829">
        <v>-0.40483744454006165</v>
      </c>
      <c r="O1769" s="829">
        <v>-0.81708246585714417</v>
      </c>
      <c r="P1769" s="829">
        <v>-0.24308090594561424</v>
      </c>
      <c r="Q1769" s="829">
        <v>-0.18058186166582144</v>
      </c>
      <c r="R1769" s="829">
        <v>-0.59334397952476881</v>
      </c>
      <c r="S1769" s="829">
        <v>-0.66008876973151731</v>
      </c>
      <c r="T1769" s="829">
        <v>-0.37371786186513528</v>
      </c>
      <c r="U1769" s="829">
        <f>U1768/U1766</f>
        <v>-0.20619006994924685</v>
      </c>
      <c r="V1769" t="str">
        <f t="shared" si="184"/>
        <v>2020/21Expenditure driversRefurbishment Difference %</v>
      </c>
    </row>
    <row r="1770" spans="1:22">
      <c r="A1770" t="s">
        <v>142</v>
      </c>
      <c r="C1770" t="s">
        <v>1344</v>
      </c>
      <c r="D1770" t="s">
        <v>741</v>
      </c>
      <c r="E1770" t="s">
        <v>297</v>
      </c>
      <c r="F1770" t="s">
        <v>1289</v>
      </c>
      <c r="G1770" s="229" cm="1">
        <f t="array" ref="G1770:T1773">TRANSPOSE('Ch4 expenditure drivers'!BJ414:BM427)</f>
        <v>16.35235481998016</v>
      </c>
      <c r="H1770" s="229">
        <v>5.9242384130778412</v>
      </c>
      <c r="I1770" s="229">
        <v>8.4427799438803977</v>
      </c>
      <c r="J1770" s="229">
        <v>5.0895319596610422</v>
      </c>
      <c r="K1770" s="229">
        <v>4.444891005032666</v>
      </c>
      <c r="L1770" s="229">
        <v>3.466087928289578</v>
      </c>
      <c r="M1770" s="229">
        <v>4.4538941170495088</v>
      </c>
      <c r="N1770" s="229">
        <v>2.1918446083310696</v>
      </c>
      <c r="O1770" s="229">
        <v>3.669395649200033</v>
      </c>
      <c r="P1770" s="229">
        <v>4.3157967074486283</v>
      </c>
      <c r="Q1770" s="229">
        <v>6.3467004054987513</v>
      </c>
      <c r="R1770" s="229">
        <v>8.1593576829171344</v>
      </c>
      <c r="S1770" s="229">
        <v>4.5476031772380177</v>
      </c>
      <c r="T1770" s="229">
        <v>12.179855682349219</v>
      </c>
      <c r="U1770" s="229">
        <f>AVERAGE(G1770:T1770)</f>
        <v>6.3988808642824306</v>
      </c>
      <c r="V1770" t="str">
        <f t="shared" ref="V1770:V1773" si="186">CONCATENATE(A1770,B1770,C1770,D1770,E1770)</f>
        <v>2021/22Expenditure driversRefurbishment Allowance</v>
      </c>
    </row>
    <row r="1771" spans="1:22">
      <c r="A1771" t="s">
        <v>142</v>
      </c>
      <c r="C1771" t="s">
        <v>1344</v>
      </c>
      <c r="D1771" t="s">
        <v>741</v>
      </c>
      <c r="E1771" t="s">
        <v>298</v>
      </c>
      <c r="F1771" t="s">
        <v>1289</v>
      </c>
      <c r="G1771" s="229">
        <v>6.6676058844303441</v>
      </c>
      <c r="H1771" s="229">
        <v>5.8690606899999995</v>
      </c>
      <c r="I1771" s="229">
        <v>10.666990389999999</v>
      </c>
      <c r="J1771" s="229">
        <v>7.1996000000000002</v>
      </c>
      <c r="K1771" s="229">
        <v>2.7203999999999997</v>
      </c>
      <c r="L1771" s="229">
        <v>2.8508</v>
      </c>
      <c r="M1771" s="229">
        <v>6.5902000000000003</v>
      </c>
      <c r="N1771" s="229">
        <v>1.6714482899650285</v>
      </c>
      <c r="O1771" s="229">
        <v>0.97828320883341435</v>
      </c>
      <c r="P1771" s="229">
        <v>2.9120125828107883</v>
      </c>
      <c r="Q1771" s="229">
        <v>4.0764267029922436</v>
      </c>
      <c r="R1771" s="229">
        <v>3.4079534910996019</v>
      </c>
      <c r="S1771" s="229">
        <v>1.16658222</v>
      </c>
      <c r="T1771" s="229">
        <v>6.3719969199999991</v>
      </c>
      <c r="U1771" s="229">
        <f>AVERAGE(G1771:T1771)</f>
        <v>4.5106685985808168</v>
      </c>
      <c r="V1771" t="str">
        <f t="shared" si="186"/>
        <v>2021/22Expenditure driversRefurbishment Actual</v>
      </c>
    </row>
    <row r="1772" spans="1:22">
      <c r="A1772" t="s">
        <v>142</v>
      </c>
      <c r="C1772" t="s">
        <v>1344</v>
      </c>
      <c r="D1772" t="s">
        <v>741</v>
      </c>
      <c r="E1772" t="s">
        <v>602</v>
      </c>
      <c r="F1772" t="s">
        <v>1289</v>
      </c>
      <c r="G1772" s="229">
        <v>-9.6847489355498162</v>
      </c>
      <c r="H1772" s="229">
        <v>-5.5177723077841634E-2</v>
      </c>
      <c r="I1772" s="229">
        <v>2.2242104461196011</v>
      </c>
      <c r="J1772" s="229">
        <v>2.110068040338958</v>
      </c>
      <c r="K1772" s="229">
        <v>-1.7244910050326663</v>
      </c>
      <c r="L1772" s="229">
        <v>-0.61528792828957801</v>
      </c>
      <c r="M1772" s="229">
        <v>2.1363058829504915</v>
      </c>
      <c r="N1772" s="229">
        <v>-0.52039631836604117</v>
      </c>
      <c r="O1772" s="229">
        <v>-2.6911124403666187</v>
      </c>
      <c r="P1772" s="229">
        <v>-1.40378412463784</v>
      </c>
      <c r="Q1772" s="229">
        <v>-2.2702737025065076</v>
      </c>
      <c r="R1772" s="229">
        <v>-4.7514041918175325</v>
      </c>
      <c r="S1772" s="229">
        <v>-3.3810209572380177</v>
      </c>
      <c r="T1772" s="229">
        <v>-5.8078587623492197</v>
      </c>
      <c r="U1772" s="229">
        <f>U1771-U1770</f>
        <v>-1.8882122657016138</v>
      </c>
      <c r="V1772" t="str">
        <f t="shared" si="186"/>
        <v>2021/22Expenditure driversRefurbishment Difference</v>
      </c>
    </row>
    <row r="1773" spans="1:22">
      <c r="A1773" t="s">
        <v>142</v>
      </c>
      <c r="C1773" t="s">
        <v>1344</v>
      </c>
      <c r="D1773" t="s">
        <v>741</v>
      </c>
      <c r="E1773" t="s">
        <v>1346</v>
      </c>
      <c r="F1773" t="s">
        <v>606</v>
      </c>
      <c r="G1773" s="829">
        <v>-0.5922540846359623</v>
      </c>
      <c r="H1773" s="829">
        <v>-9.3138930661595294E-3</v>
      </c>
      <c r="I1773" s="829">
        <v>0.26344527050379674</v>
      </c>
      <c r="J1773" s="829">
        <v>0.41458980060702605</v>
      </c>
      <c r="K1773" s="829">
        <v>-0.38797149425714494</v>
      </c>
      <c r="L1773" s="829">
        <v>-0.17751653766995062</v>
      </c>
      <c r="M1773" s="829">
        <v>0.47964900529914073</v>
      </c>
      <c r="N1773" s="829">
        <v>-0.23742391061302706</v>
      </c>
      <c r="O1773" s="829">
        <v>-0.7333939148680545</v>
      </c>
      <c r="P1773" s="829">
        <v>-0.32526650808529761</v>
      </c>
      <c r="Q1773" s="829">
        <v>-0.35770929104193311</v>
      </c>
      <c r="R1773" s="829">
        <v>-0.5823257634317619</v>
      </c>
      <c r="S1773" s="829">
        <v>-0.74347317157331161</v>
      </c>
      <c r="T1773" s="829">
        <v>-0.47684134474317641</v>
      </c>
      <c r="U1773" s="829">
        <f>U1772/U1770</f>
        <v>-0.29508476650054927</v>
      </c>
      <c r="V1773" t="str">
        <f t="shared" si="186"/>
        <v>2021/22Expenditure driversRefurbishment Difference %</v>
      </c>
    </row>
    <row r="1774" spans="1:22">
      <c r="A1774" t="s">
        <v>137</v>
      </c>
      <c r="C1774" t="s">
        <v>1344</v>
      </c>
      <c r="D1774" t="s">
        <v>73</v>
      </c>
      <c r="E1774" t="s">
        <v>1347</v>
      </c>
      <c r="F1774" t="s">
        <v>1289</v>
      </c>
      <c r="G1774">
        <f t="array" ref="G1774:T1781">TRANSPOSE('Ch4 expenditure drivers'!E434:L447)</f>
        <v>6.0959942167020449</v>
      </c>
      <c r="H1774">
        <v>2.3062739972705502</v>
      </c>
      <c r="I1774">
        <v>3.7663977327304257</v>
      </c>
      <c r="J1774">
        <v>8.7376568410989375</v>
      </c>
      <c r="K1774">
        <v>6.8576782668206544</v>
      </c>
      <c r="L1774">
        <v>3.069280790915931</v>
      </c>
      <c r="M1774">
        <v>5.6471176426655791</v>
      </c>
      <c r="N1774">
        <v>14.461540730771599</v>
      </c>
      <c r="O1774">
        <v>3.4383379860030443</v>
      </c>
      <c r="P1774">
        <v>5.7072587918446427</v>
      </c>
      <c r="Q1774">
        <v>5.9528020922038802</v>
      </c>
      <c r="R1774">
        <v>8.3783106191479586</v>
      </c>
      <c r="S1774">
        <v>0.88028927379926292</v>
      </c>
      <c r="T1774">
        <v>5.2603221778409308</v>
      </c>
      <c r="U1774">
        <f>AVERAGE(G1774:T1774)</f>
        <v>5.7542329399868164</v>
      </c>
      <c r="V1774" t="str">
        <f t="shared" si="184"/>
        <v>2015/16Expenditure driversCivil Works Condition DrivenBPDT</v>
      </c>
    </row>
    <row r="1775" spans="1:22">
      <c r="A1775" t="s">
        <v>138</v>
      </c>
      <c r="C1775" t="s">
        <v>1344</v>
      </c>
      <c r="D1775" t="s">
        <v>73</v>
      </c>
      <c r="E1775" t="s">
        <v>1347</v>
      </c>
      <c r="F1775" t="s">
        <v>1289</v>
      </c>
      <c r="G1775">
        <v>6.1228307953972783</v>
      </c>
      <c r="H1775">
        <v>2.3017357317248424</v>
      </c>
      <c r="I1775">
        <v>3.7694482990785567</v>
      </c>
      <c r="J1775">
        <v>8.7444334066924068</v>
      </c>
      <c r="K1775">
        <v>6.8631714063759954</v>
      </c>
      <c r="L1775">
        <v>3.073847484212247</v>
      </c>
      <c r="M1775">
        <v>5.6523447193778713</v>
      </c>
      <c r="N1775">
        <v>13.788923692889645</v>
      </c>
      <c r="O1775">
        <v>3.8709512956398338</v>
      </c>
      <c r="P1775">
        <v>5.3208340591354615</v>
      </c>
      <c r="Q1775">
        <v>5.9760307024532775</v>
      </c>
      <c r="R1775">
        <v>8.397135967778425</v>
      </c>
      <c r="S1775">
        <v>0.87817922809437654</v>
      </c>
      <c r="T1775">
        <v>5.2473322828468412</v>
      </c>
      <c r="U1775">
        <f t="shared" ref="U1775:U1806" si="187">AVERAGE(G1775:T1775)</f>
        <v>5.7147999336926469</v>
      </c>
      <c r="V1775" t="str">
        <f t="shared" si="184"/>
        <v>2016/17Expenditure driversCivil Works Condition DrivenBPDT</v>
      </c>
    </row>
    <row r="1776" spans="1:22">
      <c r="A1776" t="s">
        <v>139</v>
      </c>
      <c r="C1776" t="s">
        <v>1344</v>
      </c>
      <c r="D1776" t="s">
        <v>73</v>
      </c>
      <c r="E1776" t="s">
        <v>1347</v>
      </c>
      <c r="F1776" t="s">
        <v>1289</v>
      </c>
      <c r="G1776">
        <v>7.8152852850924743</v>
      </c>
      <c r="H1776">
        <v>2.3107244690633664</v>
      </c>
      <c r="I1776">
        <v>3.7825962633858223</v>
      </c>
      <c r="J1776">
        <v>8.7325110385197569</v>
      </c>
      <c r="K1776">
        <v>6.8529751569501505</v>
      </c>
      <c r="L1776">
        <v>3.0686472637195346</v>
      </c>
      <c r="M1776">
        <v>5.6417394819954101</v>
      </c>
      <c r="N1776">
        <v>12.562752921238271</v>
      </c>
      <c r="O1776">
        <v>3.4684092671375937</v>
      </c>
      <c r="P1776">
        <v>5.5591268253323038</v>
      </c>
      <c r="Q1776">
        <v>5.9948149575093304</v>
      </c>
      <c r="R1776">
        <v>8.4195635213839193</v>
      </c>
      <c r="S1776">
        <v>0.8773355626285988</v>
      </c>
      <c r="T1776">
        <v>5.2427213720563257</v>
      </c>
      <c r="U1776">
        <f t="shared" si="187"/>
        <v>5.7378002418580616</v>
      </c>
      <c r="V1776" t="str">
        <f t="shared" si="184"/>
        <v>2017/18Expenditure driversCivil Works Condition DrivenBPDT</v>
      </c>
    </row>
    <row r="1777" spans="1:22">
      <c r="A1777" t="s">
        <v>140</v>
      </c>
      <c r="C1777" t="s">
        <v>1344</v>
      </c>
      <c r="D1777" t="s">
        <v>73</v>
      </c>
      <c r="E1777" t="s">
        <v>1347</v>
      </c>
      <c r="F1777" t="s">
        <v>1289</v>
      </c>
      <c r="G1777">
        <v>7.7947685547725571</v>
      </c>
      <c r="H1777">
        <v>2.3185344999482118</v>
      </c>
      <c r="I1777">
        <v>3.7958034570216195</v>
      </c>
      <c r="J1777">
        <v>8.7577655964644787</v>
      </c>
      <c r="K1777">
        <v>6.8702615946781398</v>
      </c>
      <c r="L1777">
        <v>3.0772701787215961</v>
      </c>
      <c r="M1777">
        <v>5.6577117734556079</v>
      </c>
      <c r="N1777">
        <v>6.1919558022643502</v>
      </c>
      <c r="O1777">
        <v>3.9433752170930707</v>
      </c>
      <c r="P1777">
        <v>5.4869337784799299</v>
      </c>
      <c r="Q1777">
        <v>6.0351372524907507</v>
      </c>
      <c r="R1777">
        <v>8.4289757335079702</v>
      </c>
      <c r="S1777">
        <v>0.87095952987656311</v>
      </c>
      <c r="T1777">
        <v>5.2044650043998546</v>
      </c>
      <c r="U1777">
        <f t="shared" si="187"/>
        <v>5.3167084266553362</v>
      </c>
      <c r="V1777" t="str">
        <f t="shared" si="184"/>
        <v>2018/19Expenditure driversCivil Works Condition DrivenBPDT</v>
      </c>
    </row>
    <row r="1778" spans="1:22">
      <c r="A1778" t="s">
        <v>141</v>
      </c>
      <c r="C1778" t="s">
        <v>1344</v>
      </c>
      <c r="D1778" t="s">
        <v>73</v>
      </c>
      <c r="E1778" t="s">
        <v>1347</v>
      </c>
      <c r="F1778" t="s">
        <v>1289</v>
      </c>
      <c r="G1778">
        <v>7.808985584675689</v>
      </c>
      <c r="H1778">
        <v>2.3284899414117239</v>
      </c>
      <c r="I1778">
        <v>3.8135250154988372</v>
      </c>
      <c r="J1778">
        <v>8.7826616754966409</v>
      </c>
      <c r="K1778">
        <v>6.8871372786813811</v>
      </c>
      <c r="L1778">
        <v>3.0848019678540495</v>
      </c>
      <c r="M1778">
        <v>5.6738783020352885</v>
      </c>
      <c r="N1778">
        <v>5.9965811587966389</v>
      </c>
      <c r="O1778">
        <v>3.533532536811856</v>
      </c>
      <c r="P1778">
        <v>6.0185052467698554</v>
      </c>
      <c r="Q1778">
        <v>6.0334439953949479</v>
      </c>
      <c r="R1778">
        <v>8.4947520319425784</v>
      </c>
      <c r="S1778">
        <v>0.86866891029683269</v>
      </c>
      <c r="T1778">
        <v>5.413834922983968</v>
      </c>
      <c r="U1778">
        <f t="shared" si="187"/>
        <v>5.3384856120464486</v>
      </c>
      <c r="V1778" t="str">
        <f t="shared" si="184"/>
        <v>2019/20Expenditure driversCivil Works Condition DrivenBPDT</v>
      </c>
    </row>
    <row r="1779" spans="1:22">
      <c r="A1779" t="s">
        <v>126</v>
      </c>
      <c r="C1779" t="s">
        <v>1344</v>
      </c>
      <c r="D1779" t="s">
        <v>73</v>
      </c>
      <c r="E1779" t="s">
        <v>1347</v>
      </c>
      <c r="F1779" t="s">
        <v>1289</v>
      </c>
      <c r="G1779">
        <v>7.8762942601648849</v>
      </c>
      <c r="H1779">
        <v>2.3453510747147273</v>
      </c>
      <c r="I1779">
        <v>3.8288581714909178</v>
      </c>
      <c r="J1779">
        <v>8.8149274279968068</v>
      </c>
      <c r="K1779">
        <v>6.9058932019055748</v>
      </c>
      <c r="L1779">
        <v>3.0920594898715428</v>
      </c>
      <c r="M1779">
        <v>5.6896499079092173</v>
      </c>
      <c r="N1779">
        <v>6.0466210501811215</v>
      </c>
      <c r="O1779">
        <v>4.0143136816924629</v>
      </c>
      <c r="P1779">
        <v>5.5033594867984217</v>
      </c>
      <c r="Q1779">
        <v>6.0683277851411415</v>
      </c>
      <c r="R1779">
        <v>8.5387661282398053</v>
      </c>
      <c r="S1779">
        <v>0.86650570424498874</v>
      </c>
      <c r="T1779">
        <v>5.1777842834524925</v>
      </c>
      <c r="U1779">
        <f t="shared" si="187"/>
        <v>5.3406222609860077</v>
      </c>
      <c r="V1779" t="str">
        <f t="shared" si="184"/>
        <v>2020/21Expenditure driversCivil Works Condition DrivenBPDT</v>
      </c>
    </row>
    <row r="1780" spans="1:22">
      <c r="A1780" t="s">
        <v>142</v>
      </c>
      <c r="C1780" t="s">
        <v>1344</v>
      </c>
      <c r="D1780" t="s">
        <v>73</v>
      </c>
      <c r="E1780" t="s">
        <v>1347</v>
      </c>
      <c r="F1780" t="s">
        <v>1289</v>
      </c>
      <c r="G1780">
        <v>7.9008386268924848</v>
      </c>
      <c r="H1780">
        <v>2.3754979124783602</v>
      </c>
      <c r="I1780">
        <v>3.8821871617733761</v>
      </c>
      <c r="J1780">
        <v>8.8391247052526172</v>
      </c>
      <c r="K1780">
        <v>6.9218122210811055</v>
      </c>
      <c r="L1780">
        <v>3.1017687870770829</v>
      </c>
      <c r="M1780">
        <v>5.7036145729075374</v>
      </c>
      <c r="N1780">
        <v>6.1670080309456825</v>
      </c>
      <c r="O1780">
        <v>3.5373324193995872</v>
      </c>
      <c r="P1780">
        <v>5.5552372672896722</v>
      </c>
      <c r="Q1780">
        <v>6.1297627332957951</v>
      </c>
      <c r="R1780">
        <v>8.6148405478968115</v>
      </c>
      <c r="S1780">
        <v>0.86445046522694458</v>
      </c>
      <c r="T1780">
        <v>5.1656013457733954</v>
      </c>
      <c r="U1780">
        <f t="shared" si="187"/>
        <v>5.3399340569493177</v>
      </c>
      <c r="V1780" t="str">
        <f t="shared" si="184"/>
        <v>2021/22Expenditure driversCivil Works Condition DrivenBPDT</v>
      </c>
    </row>
    <row r="1781" spans="1:22">
      <c r="A1781" t="s">
        <v>143</v>
      </c>
      <c r="C1781" t="s">
        <v>1344</v>
      </c>
      <c r="D1781" t="s">
        <v>73</v>
      </c>
      <c r="E1781" t="s">
        <v>1347</v>
      </c>
      <c r="F1781" t="s">
        <v>1289</v>
      </c>
      <c r="G1781">
        <v>7.6965666029556896</v>
      </c>
      <c r="H1781">
        <v>2.3850180035962825</v>
      </c>
      <c r="I1781">
        <v>3.9024739979131042</v>
      </c>
      <c r="J1781">
        <v>8.8656318440980346</v>
      </c>
      <c r="K1781">
        <v>6.9384544417138949</v>
      </c>
      <c r="L1781">
        <v>3.1088486227900143</v>
      </c>
      <c r="M1781">
        <v>5.7217550468324827</v>
      </c>
      <c r="N1781">
        <v>6.019643264359015</v>
      </c>
      <c r="O1781">
        <v>3.6050812244898931</v>
      </c>
      <c r="P1781">
        <v>5.6339949432291068</v>
      </c>
      <c r="Q1781">
        <v>6.1670233894429805</v>
      </c>
      <c r="R1781">
        <v>8.6668091322315668</v>
      </c>
      <c r="S1781">
        <v>0.86258955533823678</v>
      </c>
      <c r="T1781">
        <v>5.1544209562194299</v>
      </c>
      <c r="U1781">
        <f t="shared" si="187"/>
        <v>5.3377365018006939</v>
      </c>
      <c r="V1781" t="str">
        <f t="shared" si="184"/>
        <v>2022/23Expenditure driversCivil Works Condition DrivenBPDT</v>
      </c>
    </row>
    <row r="1782" spans="1:22">
      <c r="A1782" t="s">
        <v>137</v>
      </c>
      <c r="C1782" t="s">
        <v>1344</v>
      </c>
      <c r="D1782" t="s">
        <v>73</v>
      </c>
      <c r="E1782" t="s">
        <v>1348</v>
      </c>
      <c r="F1782" t="s">
        <v>1289</v>
      </c>
      <c r="G1782">
        <f t="array" ref="G1782:T1789">TRANSPOSE('Ch4 expenditure drivers'!N434:U447)</f>
        <v>7.1960134825996676</v>
      </c>
      <c r="H1782">
        <v>2.4916762628659166</v>
      </c>
      <c r="I1782">
        <v>3.4821991009033364</v>
      </c>
      <c r="J1782">
        <v>8.7376568410989375</v>
      </c>
      <c r="K1782">
        <v>6.8576782668206544</v>
      </c>
      <c r="L1782">
        <v>3.069280790915931</v>
      </c>
      <c r="M1782">
        <v>5.6471176426655791</v>
      </c>
      <c r="N1782">
        <v>8.762943188303522</v>
      </c>
      <c r="O1782">
        <v>5.5949326694380295</v>
      </c>
      <c r="P1782">
        <v>6.5277718431572778</v>
      </c>
      <c r="Q1782">
        <v>6.155197563335709</v>
      </c>
      <c r="R1782">
        <v>6.6867949063776564</v>
      </c>
      <c r="S1782">
        <v>1.210151142002114</v>
      </c>
      <c r="T1782">
        <v>6.799097029832776</v>
      </c>
      <c r="U1782">
        <f t="shared" si="187"/>
        <v>5.6584650521655089</v>
      </c>
      <c r="V1782" t="str">
        <f t="shared" si="184"/>
        <v>2015/16Expenditure driversCivil Works Condition DrivenDNO Baseline</v>
      </c>
    </row>
    <row r="1783" spans="1:22">
      <c r="A1783" t="s">
        <v>138</v>
      </c>
      <c r="C1783" t="s">
        <v>1344</v>
      </c>
      <c r="D1783" t="s">
        <v>73</v>
      </c>
      <c r="E1783" t="s">
        <v>1348</v>
      </c>
      <c r="F1783" t="s">
        <v>1289</v>
      </c>
      <c r="G1783">
        <v>6.5881748352850034</v>
      </c>
      <c r="H1783">
        <v>2.0174298386917617</v>
      </c>
      <c r="I1783">
        <v>3.0039241199871038</v>
      </c>
      <c r="J1783">
        <v>8.7444334066924068</v>
      </c>
      <c r="K1783">
        <v>6.8631714063759954</v>
      </c>
      <c r="L1783">
        <v>3.073847484212247</v>
      </c>
      <c r="M1783">
        <v>5.6523447193778713</v>
      </c>
      <c r="N1783">
        <v>8.0864338902058979</v>
      </c>
      <c r="O1783">
        <v>5.1111038647940994</v>
      </c>
      <c r="P1783">
        <v>5.9419730385825709</v>
      </c>
      <c r="Q1783">
        <v>5.9854220181497695</v>
      </c>
      <c r="R1783">
        <v>5.6519438618430362</v>
      </c>
      <c r="S1783">
        <v>1.1898878802177804</v>
      </c>
      <c r="T1783">
        <v>6.4991196703105301</v>
      </c>
      <c r="U1783">
        <f t="shared" si="187"/>
        <v>5.3149435739090052</v>
      </c>
      <c r="V1783" t="str">
        <f t="shared" si="184"/>
        <v>2016/17Expenditure driversCivil Works Condition DrivenDNO Baseline</v>
      </c>
    </row>
    <row r="1784" spans="1:22">
      <c r="A1784" t="s">
        <v>139</v>
      </c>
      <c r="C1784" t="s">
        <v>1344</v>
      </c>
      <c r="D1784" t="s">
        <v>73</v>
      </c>
      <c r="E1784" t="s">
        <v>1348</v>
      </c>
      <c r="F1784" t="s">
        <v>1289</v>
      </c>
      <c r="G1784">
        <v>8.0737279769662749</v>
      </c>
      <c r="H1784">
        <v>1.663222608880778</v>
      </c>
      <c r="I1784">
        <v>3.127469152948787</v>
      </c>
      <c r="J1784">
        <v>8.7325110385197569</v>
      </c>
      <c r="K1784">
        <v>6.8529751569501505</v>
      </c>
      <c r="L1784">
        <v>3.0686472637195346</v>
      </c>
      <c r="M1784">
        <v>5.6417394819954101</v>
      </c>
      <c r="N1784">
        <v>6.6307276736857883</v>
      </c>
      <c r="O1784">
        <v>4.2017631635402157</v>
      </c>
      <c r="P1784">
        <v>5.1681412465784851</v>
      </c>
      <c r="Q1784">
        <v>5.8979139253557999</v>
      </c>
      <c r="R1784">
        <v>7.0628140918022275</v>
      </c>
      <c r="S1784">
        <v>1.1327516837923584</v>
      </c>
      <c r="T1784">
        <v>6.4698254966556092</v>
      </c>
      <c r="U1784">
        <f t="shared" si="187"/>
        <v>5.2660164258136559</v>
      </c>
      <c r="V1784" t="str">
        <f t="shared" si="184"/>
        <v>2017/18Expenditure driversCivil Works Condition DrivenDNO Baseline</v>
      </c>
    </row>
    <row r="1785" spans="1:22">
      <c r="A1785" t="s">
        <v>140</v>
      </c>
      <c r="C1785" t="s">
        <v>1344</v>
      </c>
      <c r="D1785" t="s">
        <v>73</v>
      </c>
      <c r="E1785" t="s">
        <v>1348</v>
      </c>
      <c r="F1785" t="s">
        <v>1289</v>
      </c>
      <c r="G1785">
        <v>7.7688121725756396</v>
      </c>
      <c r="H1785">
        <v>1.671933027210829</v>
      </c>
      <c r="I1785">
        <v>2.6360365071215717</v>
      </c>
      <c r="J1785">
        <v>8.7577655964644787</v>
      </c>
      <c r="K1785">
        <v>6.8702615946781398</v>
      </c>
      <c r="L1785">
        <v>3.0772701787215961</v>
      </c>
      <c r="M1785">
        <v>5.6577117734556079</v>
      </c>
      <c r="N1785">
        <v>4.3594651670079312</v>
      </c>
      <c r="O1785">
        <v>4.2738699354553384</v>
      </c>
      <c r="P1785">
        <v>5.2258196731208519</v>
      </c>
      <c r="Q1785">
        <v>5.7275004420267779</v>
      </c>
      <c r="R1785">
        <v>5.516680073179649</v>
      </c>
      <c r="S1785">
        <v>1.1258986793310939</v>
      </c>
      <c r="T1785">
        <v>6.0607759506953656</v>
      </c>
      <c r="U1785">
        <f t="shared" si="187"/>
        <v>4.9092714836460631</v>
      </c>
      <c r="V1785" t="str">
        <f t="shared" si="184"/>
        <v>2018/19Expenditure driversCivil Works Condition DrivenDNO Baseline</v>
      </c>
    </row>
    <row r="1786" spans="1:22">
      <c r="A1786" t="s">
        <v>141</v>
      </c>
      <c r="C1786" t="s">
        <v>1344</v>
      </c>
      <c r="D1786" t="s">
        <v>73</v>
      </c>
      <c r="E1786" t="s">
        <v>1348</v>
      </c>
      <c r="F1786" t="s">
        <v>1289</v>
      </c>
      <c r="G1786">
        <v>8.0478487080679706</v>
      </c>
      <c r="H1786">
        <v>1.7450291966651854</v>
      </c>
      <c r="I1786">
        <v>2.8031135524388877</v>
      </c>
      <c r="J1786">
        <v>8.7826616754966409</v>
      </c>
      <c r="K1786">
        <v>6.8871372786813811</v>
      </c>
      <c r="L1786">
        <v>3.0848019678540495</v>
      </c>
      <c r="M1786">
        <v>5.6738783020352885</v>
      </c>
      <c r="N1786">
        <v>4.6288835960659345</v>
      </c>
      <c r="O1786">
        <v>3.9550627492907258</v>
      </c>
      <c r="P1786">
        <v>5.2889438019704613</v>
      </c>
      <c r="Q1786">
        <v>5.6911310852160373</v>
      </c>
      <c r="R1786">
        <v>6.8016713155779769</v>
      </c>
      <c r="S1786">
        <v>1.1275284789676612</v>
      </c>
      <c r="T1786">
        <v>5.7919542704057116</v>
      </c>
      <c r="U1786">
        <f t="shared" si="187"/>
        <v>5.0221175699095655</v>
      </c>
      <c r="V1786" t="str">
        <f t="shared" si="184"/>
        <v>2019/20Expenditure driversCivil Works Condition DrivenDNO Baseline</v>
      </c>
    </row>
    <row r="1787" spans="1:22">
      <c r="A1787" t="s">
        <v>126</v>
      </c>
      <c r="C1787" t="s">
        <v>1344</v>
      </c>
      <c r="D1787" t="s">
        <v>73</v>
      </c>
      <c r="E1787" t="s">
        <v>1348</v>
      </c>
      <c r="F1787" t="s">
        <v>1289</v>
      </c>
      <c r="G1787">
        <v>8.0320203615037862</v>
      </c>
      <c r="H1787">
        <v>1.6835823788410873</v>
      </c>
      <c r="I1787">
        <v>3.1005342104265909</v>
      </c>
      <c r="J1787">
        <v>8.8149274279968068</v>
      </c>
      <c r="K1787">
        <v>6.9058932019055748</v>
      </c>
      <c r="L1787">
        <v>3.0920594898715428</v>
      </c>
      <c r="M1787">
        <v>5.6896499079092173</v>
      </c>
      <c r="N1787">
        <v>4.7853647289354804</v>
      </c>
      <c r="O1787">
        <v>4.6234564972589505</v>
      </c>
      <c r="P1787">
        <v>4.8452867794754173</v>
      </c>
      <c r="Q1787">
        <v>5.6779459479427468</v>
      </c>
      <c r="R1787">
        <v>6.6738196907635112</v>
      </c>
      <c r="S1787">
        <v>1.0971040174037738</v>
      </c>
      <c r="T1787">
        <v>5.5099717948884761</v>
      </c>
      <c r="U1787">
        <f t="shared" si="187"/>
        <v>5.0379726025087814</v>
      </c>
      <c r="V1787" t="str">
        <f t="shared" si="184"/>
        <v>2020/21Expenditure driversCivil Works Condition DrivenDNO Baseline</v>
      </c>
    </row>
    <row r="1788" spans="1:22">
      <c r="A1788" t="s">
        <v>142</v>
      </c>
      <c r="C1788" t="s">
        <v>1344</v>
      </c>
      <c r="D1788" t="s">
        <v>73</v>
      </c>
      <c r="E1788" t="s">
        <v>1348</v>
      </c>
      <c r="F1788" t="s">
        <v>1289</v>
      </c>
      <c r="G1788">
        <v>7.9803503846307047</v>
      </c>
      <c r="H1788">
        <v>1.6940759053502952</v>
      </c>
      <c r="I1788">
        <v>3.102481201252806</v>
      </c>
      <c r="J1788">
        <v>8.8391247052526172</v>
      </c>
      <c r="K1788">
        <v>6.9218122210811055</v>
      </c>
      <c r="L1788">
        <v>3.1017687870770829</v>
      </c>
      <c r="M1788">
        <v>5.7036145729075374</v>
      </c>
      <c r="N1788">
        <v>4.3160866852304283</v>
      </c>
      <c r="O1788">
        <v>4.9181773497606569</v>
      </c>
      <c r="P1788">
        <v>5.2241820222012807</v>
      </c>
      <c r="Q1788">
        <v>5.0783561874061984</v>
      </c>
      <c r="R1788">
        <v>5.7911898874646628</v>
      </c>
      <c r="S1788">
        <v>1.0980797158228646</v>
      </c>
      <c r="T1788">
        <v>5.3872561760757023</v>
      </c>
      <c r="U1788">
        <f t="shared" si="187"/>
        <v>4.9397539858224251</v>
      </c>
      <c r="V1788" t="str">
        <f t="shared" si="184"/>
        <v>2021/22Expenditure driversCivil Works Condition DrivenDNO Baseline</v>
      </c>
    </row>
    <row r="1789" spans="1:22">
      <c r="A1789" t="s">
        <v>143</v>
      </c>
      <c r="C1789" t="s">
        <v>1344</v>
      </c>
      <c r="D1789" t="s">
        <v>73</v>
      </c>
      <c r="E1789" t="s">
        <v>1348</v>
      </c>
      <c r="F1789" t="s">
        <v>1289</v>
      </c>
      <c r="G1789">
        <v>7.6816038538308051</v>
      </c>
      <c r="H1789">
        <v>1.8073236861626787</v>
      </c>
      <c r="I1789">
        <v>2.8990326532467434</v>
      </c>
      <c r="J1789">
        <v>8.8656318440980346</v>
      </c>
      <c r="K1789">
        <v>6.9384544417138949</v>
      </c>
      <c r="L1789">
        <v>3.1088486227900143</v>
      </c>
      <c r="M1789">
        <v>5.7217550468324827</v>
      </c>
      <c r="N1789">
        <v>4.150144452180025</v>
      </c>
      <c r="O1789">
        <v>4.7809913276816074</v>
      </c>
      <c r="P1789">
        <v>5.2873214024548023</v>
      </c>
      <c r="Q1789">
        <v>5.0803246334832401</v>
      </c>
      <c r="R1789">
        <v>5.1633332391226059</v>
      </c>
      <c r="S1789">
        <v>1.0717870991144514</v>
      </c>
      <c r="T1789">
        <v>5.5444225821235014</v>
      </c>
      <c r="U1789">
        <f t="shared" si="187"/>
        <v>4.8643553489167761</v>
      </c>
      <c r="V1789" t="str">
        <f t="shared" si="184"/>
        <v>2022/23Expenditure driversCivil Works Condition DrivenDNO Baseline</v>
      </c>
    </row>
    <row r="1790" spans="1:22">
      <c r="A1790" t="s">
        <v>137</v>
      </c>
      <c r="C1790" t="s">
        <v>1344</v>
      </c>
      <c r="D1790" t="s">
        <v>73</v>
      </c>
      <c r="E1790" t="s">
        <v>1349</v>
      </c>
      <c r="F1790" t="s">
        <v>1289</v>
      </c>
      <c r="G1790" cm="1">
        <f t="array" ref="G1790:T1796">TRANSPOSE('Ch4 expenditure drivers'!W434:AC447)</f>
        <v>6.5114762778943636</v>
      </c>
      <c r="H1790">
        <v>2.0876256328517035</v>
      </c>
      <c r="I1790">
        <v>4.9824769810370837</v>
      </c>
      <c r="J1790">
        <v>7.9645835911391387</v>
      </c>
      <c r="K1790">
        <v>4.8932187054075618</v>
      </c>
      <c r="L1790">
        <v>1.6225173451334256</v>
      </c>
      <c r="M1790">
        <v>3.0111561551537394</v>
      </c>
      <c r="N1790">
        <v>2.1128489016090821</v>
      </c>
      <c r="O1790">
        <v>1.5048494361918734</v>
      </c>
      <c r="P1790">
        <v>2.0756326066770638</v>
      </c>
      <c r="Q1790">
        <v>5.4378887667468963</v>
      </c>
      <c r="R1790">
        <v>9.4547734586531824</v>
      </c>
      <c r="S1790">
        <v>2.4347355193826536</v>
      </c>
      <c r="T1790">
        <v>4.4185052479831013</v>
      </c>
      <c r="U1790">
        <f t="shared" si="187"/>
        <v>4.1794491875614908</v>
      </c>
      <c r="V1790" t="str">
        <f t="shared" si="184"/>
        <v>2015/16Expenditure driversCivil Works Condition DrivenDNO Actual</v>
      </c>
    </row>
    <row r="1791" spans="1:22">
      <c r="A1791" t="s">
        <v>138</v>
      </c>
      <c r="C1791" t="s">
        <v>1344</v>
      </c>
      <c r="D1791" t="s">
        <v>73</v>
      </c>
      <c r="E1791" t="s">
        <v>1349</v>
      </c>
      <c r="F1791" t="s">
        <v>1289</v>
      </c>
      <c r="G1791">
        <v>6.4725785445984387</v>
      </c>
      <c r="H1791">
        <v>4.3074157871769652</v>
      </c>
      <c r="I1791">
        <v>7.5201076288465414</v>
      </c>
      <c r="J1791">
        <v>6.7751122456526982</v>
      </c>
      <c r="K1791">
        <v>6.9297565692549217</v>
      </c>
      <c r="L1791">
        <v>2.0739013238135491</v>
      </c>
      <c r="M1791">
        <v>2.8923302801594009</v>
      </c>
      <c r="N1791">
        <v>3.1624403123381031</v>
      </c>
      <c r="O1791">
        <v>0.85124113330519091</v>
      </c>
      <c r="P1791">
        <v>3.0049264785086329</v>
      </c>
      <c r="Q1791">
        <v>5.6683460730629944</v>
      </c>
      <c r="R1791">
        <v>8.3311141308401329</v>
      </c>
      <c r="S1791">
        <v>1.4311873382967788</v>
      </c>
      <c r="T1791">
        <v>4.9553613996619523</v>
      </c>
      <c r="U1791">
        <f t="shared" si="187"/>
        <v>4.5982728032511648</v>
      </c>
      <c r="V1791" t="str">
        <f t="shared" si="184"/>
        <v>2016/17Expenditure driversCivil Works Condition DrivenDNO Actual</v>
      </c>
    </row>
    <row r="1792" spans="1:22">
      <c r="A1792" t="s">
        <v>139</v>
      </c>
      <c r="C1792" t="s">
        <v>1344</v>
      </c>
      <c r="D1792" t="s">
        <v>73</v>
      </c>
      <c r="E1792" t="s">
        <v>1349</v>
      </c>
      <c r="F1792" t="s">
        <v>1289</v>
      </c>
      <c r="G1792">
        <v>6.0090543795440201</v>
      </c>
      <c r="H1792">
        <v>1.4699753577000381</v>
      </c>
      <c r="I1792">
        <v>2.9467061996727413</v>
      </c>
      <c r="J1792">
        <v>4.8569342972921845</v>
      </c>
      <c r="K1792">
        <v>5.2398433119443579</v>
      </c>
      <c r="L1792">
        <v>2.7033399071689437</v>
      </c>
      <c r="M1792">
        <v>2.4189029122470056</v>
      </c>
      <c r="N1792">
        <v>3.3066034426810367</v>
      </c>
      <c r="O1792">
        <v>1.3754806981769245</v>
      </c>
      <c r="P1792">
        <v>2.6929281355271315</v>
      </c>
      <c r="Q1792">
        <v>5.959125596609022</v>
      </c>
      <c r="R1792">
        <v>7.8171464190459758</v>
      </c>
      <c r="S1792">
        <v>0.93948736932348276</v>
      </c>
      <c r="T1792">
        <v>3.4683606949690535</v>
      </c>
      <c r="U1792">
        <f t="shared" si="187"/>
        <v>3.6574206229929942</v>
      </c>
      <c r="V1792" t="str">
        <f t="shared" si="184"/>
        <v>2017/18Expenditure driversCivil Works Condition DrivenDNO Actual</v>
      </c>
    </row>
    <row r="1793" spans="1:22">
      <c r="A1793" t="s">
        <v>140</v>
      </c>
      <c r="C1793" t="s">
        <v>1344</v>
      </c>
      <c r="D1793" t="s">
        <v>73</v>
      </c>
      <c r="E1793" t="s">
        <v>1349</v>
      </c>
      <c r="F1793" t="s">
        <v>1289</v>
      </c>
      <c r="G1793">
        <v>3.9773852624415129</v>
      </c>
      <c r="H1793">
        <v>1.6979499818941948</v>
      </c>
      <c r="I1793">
        <v>2.7707568087394989</v>
      </c>
      <c r="J1793">
        <v>5.5444527355387061</v>
      </c>
      <c r="K1793">
        <v>4.0061696838776184</v>
      </c>
      <c r="L1793">
        <v>2.3827681569175594</v>
      </c>
      <c r="M1793">
        <v>2.0377912138026457</v>
      </c>
      <c r="N1793">
        <v>2.009160612805637</v>
      </c>
      <c r="O1793">
        <v>0.8542112471415485</v>
      </c>
      <c r="P1793">
        <v>2.5117180796321255</v>
      </c>
      <c r="Q1793">
        <v>5.5611770449094271</v>
      </c>
      <c r="R1793">
        <v>7.2594734539860486</v>
      </c>
      <c r="S1793">
        <v>0.67410138844106049</v>
      </c>
      <c r="T1793">
        <v>3.2047144171002588</v>
      </c>
      <c r="U1793">
        <f>AVERAGE(G1793:T1793)</f>
        <v>3.1779878633734171</v>
      </c>
      <c r="V1793" t="str">
        <f t="shared" si="184"/>
        <v>2018/19Expenditure driversCivil Works Condition DrivenDNO Actual</v>
      </c>
    </row>
    <row r="1794" spans="1:22">
      <c r="A1794" t="s">
        <v>141</v>
      </c>
      <c r="C1794" t="s">
        <v>1344</v>
      </c>
      <c r="D1794" t="s">
        <v>73</v>
      </c>
      <c r="E1794" t="s">
        <v>1349</v>
      </c>
      <c r="F1794" t="s">
        <v>1289</v>
      </c>
      <c r="G1794">
        <v>3.3859284602143824</v>
      </c>
      <c r="H1794">
        <v>1.5563753688240911</v>
      </c>
      <c r="I1794">
        <v>2.409896741413708</v>
      </c>
      <c r="J1794">
        <v>6.5148525588180659</v>
      </c>
      <c r="K1794">
        <v>3.6730822874876994</v>
      </c>
      <c r="L1794">
        <v>2.6144843202290105</v>
      </c>
      <c r="M1794">
        <v>2.1804677183614207</v>
      </c>
      <c r="N1794">
        <v>1.2249390048507374</v>
      </c>
      <c r="O1794">
        <v>1.8291890600672467</v>
      </c>
      <c r="P1794">
        <v>4.0046764748724701</v>
      </c>
      <c r="Q1794">
        <v>4.2713352344958135</v>
      </c>
      <c r="R1794">
        <v>5.9750586033114486</v>
      </c>
      <c r="S1794">
        <v>1.2008976972420367</v>
      </c>
      <c r="T1794">
        <v>3.4246907214141795</v>
      </c>
      <c r="U1794">
        <f>AVERAGE(G1794:T1794)</f>
        <v>3.1618481608287361</v>
      </c>
      <c r="V1794" t="str">
        <f t="shared" si="184"/>
        <v>2019/20Expenditure driversCivil Works Condition DrivenDNO Actual</v>
      </c>
    </row>
    <row r="1795" spans="1:22">
      <c r="A1795" t="s">
        <v>126</v>
      </c>
      <c r="C1795" t="s">
        <v>1344</v>
      </c>
      <c r="D1795" t="s">
        <v>73</v>
      </c>
      <c r="E1795" t="s">
        <v>1349</v>
      </c>
      <c r="F1795" t="s">
        <v>1289</v>
      </c>
      <c r="G1795">
        <v>3.4628086813511483</v>
      </c>
      <c r="H1795">
        <v>1.4474338147971728</v>
      </c>
      <c r="I1795">
        <v>2.0836128346843803</v>
      </c>
      <c r="J1795">
        <v>8.4260080573279819</v>
      </c>
      <c r="K1795">
        <v>3.8421005870814886</v>
      </c>
      <c r="L1795">
        <v>2.3443128406653369</v>
      </c>
      <c r="M1795">
        <v>1.776401653482546</v>
      </c>
      <c r="N1795">
        <v>1.6496598076341542</v>
      </c>
      <c r="O1795">
        <v>2.0232734398253576</v>
      </c>
      <c r="P1795">
        <v>2.2454281869452641</v>
      </c>
      <c r="Q1795">
        <v>4.1232093725275503</v>
      </c>
      <c r="R1795">
        <v>3.9575260797525762</v>
      </c>
      <c r="S1795">
        <v>0.80370827173938619</v>
      </c>
      <c r="T1795">
        <v>2.7518204060011495</v>
      </c>
      <c r="U1795">
        <f>AVERAGE(G1795:T1795)</f>
        <v>2.9240931452725354</v>
      </c>
      <c r="V1795" t="str">
        <f t="shared" si="184"/>
        <v>2020/21Expenditure driversCivil Works Condition DrivenDNO Actual</v>
      </c>
    </row>
    <row r="1796" spans="1:22">
      <c r="A1796" t="s">
        <v>142</v>
      </c>
      <c r="C1796" t="s">
        <v>1344</v>
      </c>
      <c r="D1796" t="s">
        <v>73</v>
      </c>
      <c r="E1796" t="s">
        <v>1349</v>
      </c>
      <c r="F1796" t="s">
        <v>1289</v>
      </c>
      <c r="G1796">
        <v>3.3403279752019843</v>
      </c>
      <c r="H1796">
        <v>0.61726011999999997</v>
      </c>
      <c r="I1796">
        <v>1.6223996399999996</v>
      </c>
      <c r="J1796">
        <v>5.5779000000000005</v>
      </c>
      <c r="K1796">
        <v>3.4984999999999999</v>
      </c>
      <c r="L1796">
        <v>1.6272999999999997</v>
      </c>
      <c r="M1796">
        <v>1.9449999999999996</v>
      </c>
      <c r="N1796">
        <v>2.4862505664720644</v>
      </c>
      <c r="O1796">
        <v>2.1525270582936238</v>
      </c>
      <c r="P1796">
        <v>3.6875382627967372</v>
      </c>
      <c r="Q1796">
        <v>3.6448460826739861</v>
      </c>
      <c r="R1796">
        <v>3.6812350936092639</v>
      </c>
      <c r="S1796">
        <v>0.96003467000000009</v>
      </c>
      <c r="T1796">
        <v>1.8351280599999999</v>
      </c>
      <c r="U1796">
        <f>AVERAGE(G1796:T1796)</f>
        <v>2.6197319663605474</v>
      </c>
      <c r="V1796" t="str">
        <f t="shared" ref="V1796" si="188">CONCATENATE(A1796,B1796,C1796,D1796,E1796)</f>
        <v>2021/22Expenditure driversCivil Works Condition DrivenDNO Actual</v>
      </c>
    </row>
    <row r="1797" spans="1:22">
      <c r="A1797" t="s">
        <v>137</v>
      </c>
      <c r="C1797" t="s">
        <v>1344</v>
      </c>
      <c r="D1797" t="s">
        <v>73</v>
      </c>
      <c r="E1797" t="s">
        <v>297</v>
      </c>
      <c r="F1797" t="s">
        <v>1289</v>
      </c>
      <c r="G1797">
        <f t="array" ref="G1797:T1800">TRANSPOSE('Ch4 expenditure drivers'!AF434:AI447)</f>
        <v>7.1960134825996676</v>
      </c>
      <c r="H1797">
        <v>2.4916762628659166</v>
      </c>
      <c r="I1797">
        <v>3.4821991009033364</v>
      </c>
      <c r="J1797">
        <v>8.7376568410989375</v>
      </c>
      <c r="K1797">
        <v>6.8576782668206544</v>
      </c>
      <c r="L1797">
        <v>3.069280790915931</v>
      </c>
      <c r="M1797">
        <v>5.6471176426655791</v>
      </c>
      <c r="N1797">
        <v>8.762943188303522</v>
      </c>
      <c r="O1797">
        <v>5.5949326694380295</v>
      </c>
      <c r="P1797">
        <v>6.5277718431572778</v>
      </c>
      <c r="Q1797">
        <v>6.155197563335709</v>
      </c>
      <c r="R1797">
        <v>6.6867949063776564</v>
      </c>
      <c r="S1797">
        <v>1.210151142002114</v>
      </c>
      <c r="T1797">
        <v>6.799097029832776</v>
      </c>
      <c r="U1797">
        <f t="shared" si="187"/>
        <v>5.6584650521655089</v>
      </c>
      <c r="V1797" t="str">
        <f t="shared" si="184"/>
        <v>2015/16Expenditure driversCivil Works Condition DrivenAllowance</v>
      </c>
    </row>
    <row r="1798" spans="1:22">
      <c r="A1798" t="s">
        <v>137</v>
      </c>
      <c r="C1798" t="s">
        <v>1344</v>
      </c>
      <c r="D1798" t="s">
        <v>73</v>
      </c>
      <c r="E1798" t="s">
        <v>298</v>
      </c>
      <c r="F1798" t="s">
        <v>1289</v>
      </c>
      <c r="G1798">
        <v>6.5114762778943636</v>
      </c>
      <c r="H1798">
        <v>2.0876256328517035</v>
      </c>
      <c r="I1798">
        <v>4.9824769810370837</v>
      </c>
      <c r="J1798">
        <v>7.9645835911391387</v>
      </c>
      <c r="K1798">
        <v>4.8932187054075618</v>
      </c>
      <c r="L1798">
        <v>1.6225173451334256</v>
      </c>
      <c r="M1798">
        <v>3.0111561551537394</v>
      </c>
      <c r="N1798">
        <v>2.1128489016090821</v>
      </c>
      <c r="O1798">
        <v>1.5048494361918734</v>
      </c>
      <c r="P1798">
        <v>2.0756326066770638</v>
      </c>
      <c r="Q1798">
        <v>5.4378887667468963</v>
      </c>
      <c r="R1798">
        <v>9.4547734586531824</v>
      </c>
      <c r="S1798">
        <v>2.4347355193826536</v>
      </c>
      <c r="T1798">
        <v>4.4185052479831013</v>
      </c>
      <c r="U1798">
        <f t="shared" si="187"/>
        <v>4.1794491875614908</v>
      </c>
      <c r="V1798" t="str">
        <f t="shared" si="184"/>
        <v>2015/16Expenditure driversCivil Works Condition DrivenActual</v>
      </c>
    </row>
    <row r="1799" spans="1:22">
      <c r="A1799" t="s">
        <v>137</v>
      </c>
      <c r="C1799" t="s">
        <v>1344</v>
      </c>
      <c r="D1799" t="s">
        <v>73</v>
      </c>
      <c r="E1799" t="s">
        <v>602</v>
      </c>
      <c r="F1799" t="s">
        <v>1289</v>
      </c>
      <c r="G1799">
        <v>-0.68453720470530399</v>
      </c>
      <c r="H1799">
        <v>-0.40405063001421304</v>
      </c>
      <c r="I1799">
        <v>1.5002778801337473</v>
      </c>
      <c r="J1799">
        <v>-0.77307324995979876</v>
      </c>
      <c r="K1799">
        <v>-1.9644595614130926</v>
      </c>
      <c r="L1799">
        <v>-1.4467634457825054</v>
      </c>
      <c r="M1799">
        <v>-2.6359614875118398</v>
      </c>
      <c r="N1799">
        <v>-6.6500942866944399</v>
      </c>
      <c r="O1799">
        <v>-4.0900832332461565</v>
      </c>
      <c r="P1799">
        <v>-4.4521392364802139</v>
      </c>
      <c r="Q1799">
        <v>-0.71730879658881275</v>
      </c>
      <c r="R1799">
        <v>2.767978552275526</v>
      </c>
      <c r="S1799">
        <v>1.2245843773805396</v>
      </c>
      <c r="T1799">
        <v>-2.3805917818496747</v>
      </c>
      <c r="U1799">
        <f>U1798-U1797</f>
        <v>-1.4790158646040181</v>
      </c>
      <c r="V1799" t="str">
        <f t="shared" si="184"/>
        <v>2015/16Expenditure driversCivil Works Condition DrivenDifference</v>
      </c>
    </row>
    <row r="1800" spans="1:22">
      <c r="A1800" t="s">
        <v>137</v>
      </c>
      <c r="C1800" t="s">
        <v>1344</v>
      </c>
      <c r="D1800" t="s">
        <v>73</v>
      </c>
      <c r="E1800" t="s">
        <v>1346</v>
      </c>
      <c r="F1800" t="s">
        <v>606</v>
      </c>
      <c r="G1800" s="829">
        <v>-9.512728212093409E-2</v>
      </c>
      <c r="H1800" s="829">
        <v>-0.16216016343530743</v>
      </c>
      <c r="I1800" s="829">
        <v>0.43084207325897933</v>
      </c>
      <c r="J1800" s="829">
        <v>-8.8476036999247623E-2</v>
      </c>
      <c r="K1800" s="829">
        <v>-0.28646131897404575</v>
      </c>
      <c r="L1800" s="829">
        <v>-0.47136887901050073</v>
      </c>
      <c r="M1800" s="829">
        <v>-0.46677998481852079</v>
      </c>
      <c r="N1800" s="829">
        <v>-0.75888821184767685</v>
      </c>
      <c r="O1800" s="829">
        <v>-0.73103350386823795</v>
      </c>
      <c r="P1800" s="829">
        <v>-0.68203046053871486</v>
      </c>
      <c r="Q1800" s="829">
        <v>-0.11653708743023335</v>
      </c>
      <c r="R1800" s="829">
        <v>0.41394697923746915</v>
      </c>
      <c r="S1800" s="829">
        <v>1.0119268039152092</v>
      </c>
      <c r="T1800" s="829">
        <v>-0.35013352087846661</v>
      </c>
      <c r="U1800" s="829">
        <f>U1799/U1797</f>
        <v>-0.26138110794516528</v>
      </c>
      <c r="V1800" t="str">
        <f t="shared" si="184"/>
        <v>2015/16Expenditure driversCivil Works Condition DrivenDifference %</v>
      </c>
    </row>
    <row r="1801" spans="1:22">
      <c r="A1801" t="s">
        <v>138</v>
      </c>
      <c r="C1801" t="s">
        <v>1344</v>
      </c>
      <c r="D1801" t="s">
        <v>73</v>
      </c>
      <c r="E1801" t="s">
        <v>297</v>
      </c>
      <c r="F1801" t="s">
        <v>1289</v>
      </c>
      <c r="G1801">
        <f t="array" ref="G1801:T1804">TRANSPOSE('Ch4 expenditure drivers'!AK434:AN447)</f>
        <v>6.5881748352850034</v>
      </c>
      <c r="H1801">
        <v>2.0174298386917617</v>
      </c>
      <c r="I1801">
        <v>3.0039241199871038</v>
      </c>
      <c r="J1801">
        <v>8.7444334066924068</v>
      </c>
      <c r="K1801">
        <v>6.8631714063759954</v>
      </c>
      <c r="L1801">
        <v>3.073847484212247</v>
      </c>
      <c r="M1801">
        <v>5.6523447193778713</v>
      </c>
      <c r="N1801">
        <v>8.0864338902058979</v>
      </c>
      <c r="O1801">
        <v>5.1111038647940994</v>
      </c>
      <c r="P1801">
        <v>5.9419730385825709</v>
      </c>
      <c r="Q1801">
        <v>5.9854220181497695</v>
      </c>
      <c r="R1801">
        <v>5.6519438618430362</v>
      </c>
      <c r="S1801">
        <v>1.1898878802177804</v>
      </c>
      <c r="T1801">
        <v>6.4991196703105301</v>
      </c>
      <c r="U1801">
        <f t="shared" si="187"/>
        <v>5.3149435739090052</v>
      </c>
      <c r="V1801" t="str">
        <f t="shared" si="184"/>
        <v>2016/17Expenditure driversCivil Works Condition DrivenAllowance</v>
      </c>
    </row>
    <row r="1802" spans="1:22">
      <c r="A1802" t="s">
        <v>138</v>
      </c>
      <c r="C1802" t="s">
        <v>1344</v>
      </c>
      <c r="D1802" t="s">
        <v>73</v>
      </c>
      <c r="E1802" t="s">
        <v>298</v>
      </c>
      <c r="F1802" t="s">
        <v>1289</v>
      </c>
      <c r="G1802">
        <v>6.4725785445984387</v>
      </c>
      <c r="H1802">
        <v>4.3074157871769652</v>
      </c>
      <c r="I1802">
        <v>7.5201076288465414</v>
      </c>
      <c r="J1802">
        <v>6.7751122456526982</v>
      </c>
      <c r="K1802">
        <v>6.9297565692549217</v>
      </c>
      <c r="L1802">
        <v>2.0739013238135491</v>
      </c>
      <c r="M1802">
        <v>2.8923302801594009</v>
      </c>
      <c r="N1802">
        <v>3.1624403123381031</v>
      </c>
      <c r="O1802">
        <v>0.85124113330519091</v>
      </c>
      <c r="P1802">
        <v>3.0049264785086329</v>
      </c>
      <c r="Q1802">
        <v>5.6683460730629944</v>
      </c>
      <c r="R1802">
        <v>8.3311141308401329</v>
      </c>
      <c r="S1802">
        <v>1.4311873382967788</v>
      </c>
      <c r="T1802">
        <v>4.9553613996619523</v>
      </c>
      <c r="U1802">
        <f t="shared" si="187"/>
        <v>4.5982728032511648</v>
      </c>
      <c r="V1802" t="str">
        <f t="shared" ref="V1802:V1870" si="189">CONCATENATE(A1802,B1802,C1802,D1802,E1802)</f>
        <v>2016/17Expenditure driversCivil Works Condition DrivenActual</v>
      </c>
    </row>
    <row r="1803" spans="1:22">
      <c r="A1803" t="s">
        <v>138</v>
      </c>
      <c r="C1803" t="s">
        <v>1344</v>
      </c>
      <c r="D1803" t="s">
        <v>73</v>
      </c>
      <c r="E1803" t="s">
        <v>602</v>
      </c>
      <c r="F1803" t="s">
        <v>1289</v>
      </c>
      <c r="G1803">
        <v>-0.11559629068656463</v>
      </c>
      <c r="H1803">
        <v>2.2899859484852034</v>
      </c>
      <c r="I1803">
        <v>4.516183508859438</v>
      </c>
      <c r="J1803">
        <v>-1.9693211610397086</v>
      </c>
      <c r="K1803">
        <v>6.6585162878926241E-2</v>
      </c>
      <c r="L1803">
        <v>-0.99994616039869788</v>
      </c>
      <c r="M1803">
        <v>-2.7600144392184705</v>
      </c>
      <c r="N1803">
        <v>-4.9239935778677948</v>
      </c>
      <c r="O1803">
        <v>-4.2598627314889086</v>
      </c>
      <c r="P1803">
        <v>-2.9370465600739379</v>
      </c>
      <c r="Q1803">
        <v>-0.31707594508677506</v>
      </c>
      <c r="R1803">
        <v>2.6791702689970966</v>
      </c>
      <c r="S1803">
        <v>0.24129945807899844</v>
      </c>
      <c r="T1803">
        <v>-1.5437582706485777</v>
      </c>
      <c r="U1803">
        <f>U1802-U1801</f>
        <v>-0.71667077065784035</v>
      </c>
      <c r="V1803" t="str">
        <f t="shared" si="189"/>
        <v>2016/17Expenditure driversCivil Works Condition DrivenDifference</v>
      </c>
    </row>
    <row r="1804" spans="1:22">
      <c r="A1804" t="s">
        <v>138</v>
      </c>
      <c r="C1804" t="s">
        <v>1344</v>
      </c>
      <c r="D1804" t="s">
        <v>73</v>
      </c>
      <c r="E1804" t="s">
        <v>1346</v>
      </c>
      <c r="F1804" t="s">
        <v>606</v>
      </c>
      <c r="G1804" s="829">
        <v>-1.754602656678949E-2</v>
      </c>
      <c r="H1804" s="829">
        <v>1.1351006635106506</v>
      </c>
      <c r="I1804" s="829">
        <v>1.5034279590520503</v>
      </c>
      <c r="J1804" s="829">
        <v>-0.22520854919342417</v>
      </c>
      <c r="K1804" s="829">
        <v>9.7018067794529452E-3</v>
      </c>
      <c r="L1804" s="829">
        <v>-0.32530766914577741</v>
      </c>
      <c r="M1804" s="829">
        <v>-0.4882954908529098</v>
      </c>
      <c r="N1804" s="829">
        <v>-0.60892027866963983</v>
      </c>
      <c r="O1804" s="829">
        <v>-0.83345258562076141</v>
      </c>
      <c r="P1804" s="829">
        <v>-0.49428809942472512</v>
      </c>
      <c r="Q1804" s="829">
        <v>-5.2974701554092E-2</v>
      </c>
      <c r="R1804" s="829">
        <v>0.47402634111150727</v>
      </c>
      <c r="S1804" s="829">
        <v>0.20279176054371978</v>
      </c>
      <c r="T1804" s="829">
        <v>-0.23753344282931421</v>
      </c>
      <c r="U1804" s="829">
        <f>U1803/U1801</f>
        <v>-0.13484071104272274</v>
      </c>
      <c r="V1804" t="str">
        <f t="shared" si="189"/>
        <v>2016/17Expenditure driversCivil Works Condition DrivenDifference %</v>
      </c>
    </row>
    <row r="1805" spans="1:22">
      <c r="A1805" t="s">
        <v>139</v>
      </c>
      <c r="C1805" t="s">
        <v>1344</v>
      </c>
      <c r="D1805" t="s">
        <v>73</v>
      </c>
      <c r="E1805" t="s">
        <v>297</v>
      </c>
      <c r="F1805" t="s">
        <v>1289</v>
      </c>
      <c r="G1805">
        <f t="array" ref="G1805:T1808">TRANSPOSE('Ch4 expenditure drivers'!AP434:AS447)</f>
        <v>8.0737279769662749</v>
      </c>
      <c r="H1805">
        <v>1.663222608880778</v>
      </c>
      <c r="I1805">
        <v>3.127469152948787</v>
      </c>
      <c r="J1805">
        <v>8.7325110385197569</v>
      </c>
      <c r="K1805">
        <v>6.8529751569501505</v>
      </c>
      <c r="L1805">
        <v>3.0686472637195346</v>
      </c>
      <c r="M1805">
        <v>5.6417394819954101</v>
      </c>
      <c r="N1805">
        <v>6.6307276736857883</v>
      </c>
      <c r="O1805">
        <v>4.2017631635402157</v>
      </c>
      <c r="P1805">
        <v>5.1681412465784851</v>
      </c>
      <c r="Q1805">
        <v>5.8979139253557999</v>
      </c>
      <c r="R1805">
        <v>7.0628140918022275</v>
      </c>
      <c r="S1805">
        <v>1.1327516837923584</v>
      </c>
      <c r="T1805">
        <v>6.4698254966556092</v>
      </c>
      <c r="U1805">
        <f t="shared" si="187"/>
        <v>5.2660164258136559</v>
      </c>
      <c r="V1805" t="str">
        <f t="shared" si="189"/>
        <v>2017/18Expenditure driversCivil Works Condition DrivenAllowance</v>
      </c>
    </row>
    <row r="1806" spans="1:22">
      <c r="A1806" t="s">
        <v>139</v>
      </c>
      <c r="C1806" t="s">
        <v>1344</v>
      </c>
      <c r="D1806" t="s">
        <v>73</v>
      </c>
      <c r="E1806" t="s">
        <v>298</v>
      </c>
      <c r="F1806" t="s">
        <v>1289</v>
      </c>
      <c r="G1806">
        <v>6.0090543795440201</v>
      </c>
      <c r="H1806">
        <v>1.4699753577000381</v>
      </c>
      <c r="I1806">
        <v>2.9467061996727413</v>
      </c>
      <c r="J1806">
        <v>4.8569342972921845</v>
      </c>
      <c r="K1806">
        <v>5.2398433119443579</v>
      </c>
      <c r="L1806">
        <v>2.7033399071689437</v>
      </c>
      <c r="M1806">
        <v>2.4189029122470056</v>
      </c>
      <c r="N1806">
        <v>3.3066034426810367</v>
      </c>
      <c r="O1806">
        <v>1.3754806981769245</v>
      </c>
      <c r="P1806">
        <v>2.6929281355271315</v>
      </c>
      <c r="Q1806">
        <v>5.959125596609022</v>
      </c>
      <c r="R1806">
        <v>7.8171464190459758</v>
      </c>
      <c r="S1806">
        <v>0.93948736932348276</v>
      </c>
      <c r="T1806">
        <v>3.4683606949690535</v>
      </c>
      <c r="U1806">
        <f t="shared" si="187"/>
        <v>3.6574206229929942</v>
      </c>
      <c r="V1806" t="str">
        <f t="shared" si="189"/>
        <v>2017/18Expenditure driversCivil Works Condition DrivenActual</v>
      </c>
    </row>
    <row r="1807" spans="1:22">
      <c r="A1807" t="s">
        <v>139</v>
      </c>
      <c r="C1807" t="s">
        <v>1344</v>
      </c>
      <c r="D1807" t="s">
        <v>73</v>
      </c>
      <c r="E1807" t="s">
        <v>602</v>
      </c>
      <c r="F1807" t="s">
        <v>1289</v>
      </c>
      <c r="G1807">
        <v>-2.0646735974222548</v>
      </c>
      <c r="H1807">
        <v>-0.19324725118073993</v>
      </c>
      <c r="I1807">
        <v>-0.18076295327604575</v>
      </c>
      <c r="J1807">
        <v>-3.8755767412275723</v>
      </c>
      <c r="K1807">
        <v>-1.6131318450057925</v>
      </c>
      <c r="L1807">
        <v>-0.36530735655059088</v>
      </c>
      <c r="M1807">
        <v>-3.2228365697484045</v>
      </c>
      <c r="N1807">
        <v>-3.3241242310047516</v>
      </c>
      <c r="O1807">
        <v>-2.826282465363291</v>
      </c>
      <c r="P1807">
        <v>-2.4752131110513536</v>
      </c>
      <c r="Q1807">
        <v>6.1211671253222022E-2</v>
      </c>
      <c r="R1807">
        <v>0.75433232724374832</v>
      </c>
      <c r="S1807">
        <v>-0.1932643144688756</v>
      </c>
      <c r="T1807">
        <v>-3.0014648016865557</v>
      </c>
      <c r="U1807">
        <f>U1806-U1805</f>
        <v>-1.6085958028206617</v>
      </c>
      <c r="V1807" t="str">
        <f t="shared" si="189"/>
        <v>2017/18Expenditure driversCivil Works Condition DrivenDifference</v>
      </c>
    </row>
    <row r="1808" spans="1:22">
      <c r="A1808" t="s">
        <v>139</v>
      </c>
      <c r="C1808" t="s">
        <v>1344</v>
      </c>
      <c r="D1808" t="s">
        <v>73</v>
      </c>
      <c r="E1808" t="s">
        <v>1346</v>
      </c>
      <c r="F1808" t="s">
        <v>606</v>
      </c>
      <c r="G1808" s="829">
        <v>-0.25572741654321396</v>
      </c>
      <c r="H1808" s="829">
        <v>-0.1161884465428116</v>
      </c>
      <c r="I1808" s="829">
        <v>-5.7798476798919134E-2</v>
      </c>
      <c r="J1808" s="829">
        <v>-0.44381011648678309</v>
      </c>
      <c r="K1808" s="829">
        <v>-0.23539146254890278</v>
      </c>
      <c r="L1808" s="829">
        <v>-0.11904507920138029</v>
      </c>
      <c r="M1808" s="829">
        <v>-0.57124873986711078</v>
      </c>
      <c r="N1808" s="829">
        <v>-0.50132118141371174</v>
      </c>
      <c r="O1808" s="829">
        <v>-0.67264202082775015</v>
      </c>
      <c r="P1808" s="829">
        <v>-0.4789368155698227</v>
      </c>
      <c r="Q1808" s="829">
        <v>1.0378529091458272E-2</v>
      </c>
      <c r="R1808" s="829">
        <v>0.10680336724695869</v>
      </c>
      <c r="S1808" s="829">
        <v>-0.17061489930594739</v>
      </c>
      <c r="T1808" s="829">
        <v>-0.46391742763975269</v>
      </c>
      <c r="U1808" s="829">
        <f>U1807/U1805</f>
        <v>-0.30546729686133034</v>
      </c>
      <c r="V1808" t="str">
        <f t="shared" si="189"/>
        <v>2017/18Expenditure driversCivil Works Condition DrivenDifference %</v>
      </c>
    </row>
    <row r="1809" spans="1:22">
      <c r="A1809" t="s">
        <v>140</v>
      </c>
      <c r="C1809" t="s">
        <v>1344</v>
      </c>
      <c r="D1809" t="s">
        <v>73</v>
      </c>
      <c r="E1809" t="s">
        <v>297</v>
      </c>
      <c r="F1809" t="s">
        <v>1289</v>
      </c>
      <c r="G1809">
        <f t="array" ref="G1809:T1812">TRANSPOSE('Ch4 expenditure drivers'!AU434:AX447)</f>
        <v>7.7688121725756396</v>
      </c>
      <c r="H1809">
        <v>1.671933027210829</v>
      </c>
      <c r="I1809">
        <v>2.6360365071215717</v>
      </c>
      <c r="J1809">
        <v>8.7577655964644787</v>
      </c>
      <c r="K1809">
        <v>6.8702615946781398</v>
      </c>
      <c r="L1809">
        <v>3.0772701787215961</v>
      </c>
      <c r="M1809">
        <v>5.6577117734556079</v>
      </c>
      <c r="N1809">
        <v>4.3594651670079312</v>
      </c>
      <c r="O1809">
        <v>4.2738699354553384</v>
      </c>
      <c r="P1809">
        <v>5.2258196731208519</v>
      </c>
      <c r="Q1809">
        <v>5.7275004420267779</v>
      </c>
      <c r="R1809">
        <v>5.516680073179649</v>
      </c>
      <c r="S1809">
        <v>1.1258986793310939</v>
      </c>
      <c r="T1809">
        <v>6.0607759506953656</v>
      </c>
      <c r="U1809">
        <f>AVERAGE(G1809:T1809)</f>
        <v>4.9092714836460631</v>
      </c>
      <c r="V1809" t="str">
        <f t="shared" si="189"/>
        <v>2018/19Expenditure driversCivil Works Condition DrivenAllowance</v>
      </c>
    </row>
    <row r="1810" spans="1:22">
      <c r="A1810" t="s">
        <v>140</v>
      </c>
      <c r="C1810" t="s">
        <v>1344</v>
      </c>
      <c r="D1810" t="s">
        <v>73</v>
      </c>
      <c r="E1810" t="s">
        <v>298</v>
      </c>
      <c r="F1810" t="s">
        <v>1289</v>
      </c>
      <c r="G1810">
        <v>3.9773852624415129</v>
      </c>
      <c r="H1810">
        <v>1.6979499818941948</v>
      </c>
      <c r="I1810">
        <v>2.7707568087394989</v>
      </c>
      <c r="J1810">
        <v>5.5444527355387061</v>
      </c>
      <c r="K1810">
        <v>4.0061696838776184</v>
      </c>
      <c r="L1810">
        <v>2.3827681569175594</v>
      </c>
      <c r="M1810">
        <v>2.0377912138026457</v>
      </c>
      <c r="N1810">
        <v>2.009160612805637</v>
      </c>
      <c r="O1810">
        <v>0.8542112471415485</v>
      </c>
      <c r="P1810">
        <v>2.5117180796321255</v>
      </c>
      <c r="Q1810">
        <v>5.5611770449094271</v>
      </c>
      <c r="R1810">
        <v>7.2594734539860486</v>
      </c>
      <c r="S1810">
        <v>0.67410138844106049</v>
      </c>
      <c r="T1810">
        <v>3.2047144171002588</v>
      </c>
      <c r="U1810">
        <f>AVERAGE(G1810:T1810)</f>
        <v>3.1779878633734171</v>
      </c>
      <c r="V1810" t="str">
        <f t="shared" si="189"/>
        <v>2018/19Expenditure driversCivil Works Condition DrivenActual</v>
      </c>
    </row>
    <row r="1811" spans="1:22">
      <c r="A1811" t="s">
        <v>140</v>
      </c>
      <c r="C1811" t="s">
        <v>1344</v>
      </c>
      <c r="D1811" t="s">
        <v>73</v>
      </c>
      <c r="E1811" t="s">
        <v>602</v>
      </c>
      <c r="F1811" t="s">
        <v>1289</v>
      </c>
      <c r="G1811">
        <v>-3.7914269101341267</v>
      </c>
      <c r="H1811">
        <v>2.6016954683365734E-2</v>
      </c>
      <c r="I1811">
        <v>0.13472030161792725</v>
      </c>
      <c r="J1811">
        <v>-3.2133128609257726</v>
      </c>
      <c r="K1811">
        <v>-2.8640919108005214</v>
      </c>
      <c r="L1811">
        <v>-0.69450202180403675</v>
      </c>
      <c r="M1811">
        <v>-3.6199205596529622</v>
      </c>
      <c r="N1811">
        <v>-2.3503045542022942</v>
      </c>
      <c r="O1811">
        <v>-3.4196586883137901</v>
      </c>
      <c r="P1811">
        <v>-2.7141015934887265</v>
      </c>
      <c r="Q1811">
        <v>-0.16632339711735078</v>
      </c>
      <c r="R1811">
        <v>1.7427933808063996</v>
      </c>
      <c r="S1811">
        <v>-0.4517972908900334</v>
      </c>
      <c r="T1811">
        <v>-2.8560615335951067</v>
      </c>
      <c r="U1811">
        <f>U1810-U1809</f>
        <v>-1.731283620272646</v>
      </c>
      <c r="V1811" t="str">
        <f t="shared" si="189"/>
        <v>2018/19Expenditure driversCivil Works Condition DrivenDifference</v>
      </c>
    </row>
    <row r="1812" spans="1:22">
      <c r="A1812" t="s">
        <v>140</v>
      </c>
      <c r="C1812" t="s">
        <v>1344</v>
      </c>
      <c r="D1812" t="s">
        <v>73</v>
      </c>
      <c r="E1812" t="s">
        <v>1346</v>
      </c>
      <c r="F1812" t="s">
        <v>606</v>
      </c>
      <c r="G1812" s="829">
        <v>-0.48803173843204561</v>
      </c>
      <c r="H1812" s="829">
        <v>1.5561002899002498E-2</v>
      </c>
      <c r="I1812" s="829">
        <v>5.110714561576217E-2</v>
      </c>
      <c r="J1812" s="829">
        <v>-0.36691012399589584</v>
      </c>
      <c r="K1812" s="829">
        <v>-0.41688251187103442</v>
      </c>
      <c r="L1812" s="829">
        <v>-0.22568769768943614</v>
      </c>
      <c r="M1812" s="829">
        <v>-0.63982060320509981</v>
      </c>
      <c r="N1812" s="829">
        <v>-0.53912681124033357</v>
      </c>
      <c r="O1812" s="829">
        <v>-0.80013166988186768</v>
      </c>
      <c r="P1812" s="829">
        <v>-0.51936380572961272</v>
      </c>
      <c r="Q1812" s="829">
        <v>-2.9039438547558503E-2</v>
      </c>
      <c r="R1812" s="829">
        <v>0.31591344027349144</v>
      </c>
      <c r="S1812" s="829">
        <v>-0.40127704133950143</v>
      </c>
      <c r="T1812" s="829">
        <v>-0.47123694339293715</v>
      </c>
      <c r="U1812" s="829">
        <f>U1811/U1809</f>
        <v>-0.35265591361976184</v>
      </c>
      <c r="V1812" t="str">
        <f t="shared" si="189"/>
        <v>2018/19Expenditure driversCivil Works Condition DrivenDifference %</v>
      </c>
    </row>
    <row r="1813" spans="1:22">
      <c r="A1813" t="s">
        <v>141</v>
      </c>
      <c r="C1813" t="s">
        <v>1344</v>
      </c>
      <c r="D1813" t="s">
        <v>73</v>
      </c>
      <c r="E1813" t="s">
        <v>297</v>
      </c>
      <c r="F1813" t="s">
        <v>1289</v>
      </c>
      <c r="G1813" s="229">
        <f t="array" ref="G1813:T1816">TRANSPOSE('Ch4 expenditure drivers'!AZ434:BC447)</f>
        <v>8.0478487080679706</v>
      </c>
      <c r="H1813" s="229">
        <v>1.7450291966651854</v>
      </c>
      <c r="I1813" s="229">
        <v>2.8031135524388877</v>
      </c>
      <c r="J1813" s="229">
        <v>8.7826616754966409</v>
      </c>
      <c r="K1813" s="229">
        <v>6.8871372786813811</v>
      </c>
      <c r="L1813" s="229">
        <v>3.0848019678540495</v>
      </c>
      <c r="M1813" s="229">
        <v>5.6738783020352885</v>
      </c>
      <c r="N1813" s="229">
        <v>4.6288835960659345</v>
      </c>
      <c r="O1813" s="229">
        <v>3.9550627492907258</v>
      </c>
      <c r="P1813" s="229">
        <v>5.2889438019704613</v>
      </c>
      <c r="Q1813" s="229">
        <v>5.6911310852160373</v>
      </c>
      <c r="R1813" s="229">
        <v>6.8016713155779769</v>
      </c>
      <c r="S1813" s="229">
        <v>1.1275284789676612</v>
      </c>
      <c r="T1813" s="229">
        <v>5.7919542704057116</v>
      </c>
      <c r="U1813" s="229">
        <f>AVERAGE(G1813:T1813)</f>
        <v>5.0221175699095655</v>
      </c>
      <c r="V1813" t="str">
        <f t="shared" si="189"/>
        <v>2019/20Expenditure driversCivil Works Condition DrivenAllowance</v>
      </c>
    </row>
    <row r="1814" spans="1:22">
      <c r="A1814" t="s">
        <v>141</v>
      </c>
      <c r="C1814" t="s">
        <v>1344</v>
      </c>
      <c r="D1814" t="s">
        <v>73</v>
      </c>
      <c r="E1814" t="s">
        <v>298</v>
      </c>
      <c r="F1814" t="s">
        <v>1289</v>
      </c>
      <c r="G1814" s="229">
        <v>3.3859284602143824</v>
      </c>
      <c r="H1814" s="229">
        <v>1.5563753688240911</v>
      </c>
      <c r="I1814" s="229">
        <v>2.409896741413708</v>
      </c>
      <c r="J1814" s="229">
        <v>6.5148525588180659</v>
      </c>
      <c r="K1814" s="229">
        <v>3.6730822874876994</v>
      </c>
      <c r="L1814" s="229">
        <v>2.6144843202290105</v>
      </c>
      <c r="M1814" s="229">
        <v>2.1804677183614207</v>
      </c>
      <c r="N1814" s="229">
        <v>1.2249390048507374</v>
      </c>
      <c r="O1814" s="229">
        <v>1.8291890600672467</v>
      </c>
      <c r="P1814" s="229">
        <v>4.0046764748724701</v>
      </c>
      <c r="Q1814" s="229">
        <v>4.2713352344958135</v>
      </c>
      <c r="R1814" s="229">
        <v>5.9750586033114486</v>
      </c>
      <c r="S1814" s="229">
        <v>1.2008976972420367</v>
      </c>
      <c r="T1814" s="229">
        <v>3.4246907214141795</v>
      </c>
      <c r="U1814" s="229">
        <f>AVERAGE(G1814:T1814)</f>
        <v>3.1618481608287361</v>
      </c>
      <c r="V1814" t="str">
        <f t="shared" si="189"/>
        <v>2019/20Expenditure driversCivil Works Condition DrivenActual</v>
      </c>
    </row>
    <row r="1815" spans="1:22">
      <c r="A1815" t="s">
        <v>141</v>
      </c>
      <c r="C1815" t="s">
        <v>1344</v>
      </c>
      <c r="D1815" t="s">
        <v>73</v>
      </c>
      <c r="E1815" t="s">
        <v>602</v>
      </c>
      <c r="F1815" t="s">
        <v>1289</v>
      </c>
      <c r="G1815" s="229">
        <v>-4.6619202478535886</v>
      </c>
      <c r="H1815" s="229">
        <v>-0.1886538278410943</v>
      </c>
      <c r="I1815" s="229">
        <v>-0.39321681102517969</v>
      </c>
      <c r="J1815" s="229">
        <v>-2.267809116678575</v>
      </c>
      <c r="K1815" s="229">
        <v>-3.2140549911936818</v>
      </c>
      <c r="L1815" s="229">
        <v>-0.47031764762503903</v>
      </c>
      <c r="M1815" s="229">
        <v>-3.4934105836738678</v>
      </c>
      <c r="N1815" s="229">
        <v>-3.4039445912151969</v>
      </c>
      <c r="O1815" s="229">
        <v>-2.1258736892234791</v>
      </c>
      <c r="P1815" s="229">
        <v>-1.2842673270979912</v>
      </c>
      <c r="Q1815" s="229">
        <v>-1.4197958507202237</v>
      </c>
      <c r="R1815" s="229">
        <v>-0.82661271226652833</v>
      </c>
      <c r="S1815" s="229">
        <v>7.3369218274375481E-2</v>
      </c>
      <c r="T1815" s="229">
        <v>-2.3672635489915321</v>
      </c>
      <c r="U1815" s="229">
        <f>U1814-U1813</f>
        <v>-1.8602694090808294</v>
      </c>
      <c r="V1815" t="str">
        <f t="shared" si="189"/>
        <v>2019/20Expenditure driversCivil Works Condition DrivenDifference</v>
      </c>
    </row>
    <row r="1816" spans="1:22">
      <c r="A1816" t="s">
        <v>141</v>
      </c>
      <c r="C1816" t="s">
        <v>1344</v>
      </c>
      <c r="D1816" t="s">
        <v>73</v>
      </c>
      <c r="E1816" t="s">
        <v>1346</v>
      </c>
      <c r="F1816" t="s">
        <v>606</v>
      </c>
      <c r="G1816" s="829">
        <v>-0.57927533393862296</v>
      </c>
      <c r="H1816" s="829">
        <v>-0.10810926728424869</v>
      </c>
      <c r="I1816" s="829">
        <v>-0.1402785879591128</v>
      </c>
      <c r="J1816" s="829">
        <v>-0.25821433188138093</v>
      </c>
      <c r="K1816" s="829">
        <v>-0.46667502928140386</v>
      </c>
      <c r="L1816" s="829">
        <v>-0.15246283311736109</v>
      </c>
      <c r="M1816" s="829">
        <v>-0.61570065442199196</v>
      </c>
      <c r="N1816" s="829">
        <v>-0.73537053169973698</v>
      </c>
      <c r="O1816" s="829">
        <v>-0.53750694337396265</v>
      </c>
      <c r="P1816" s="829">
        <v>-0.24282113313806086</v>
      </c>
      <c r="Q1816" s="829">
        <v>-0.24947516222363164</v>
      </c>
      <c r="R1816" s="829">
        <v>-0.12153082292778894</v>
      </c>
      <c r="S1816" s="829">
        <v>6.5070833813040921E-2</v>
      </c>
      <c r="T1816" s="829">
        <v>-0.40871585625031381</v>
      </c>
      <c r="U1816" s="829">
        <f>U1815/U1813</f>
        <v>-0.37041534436126866</v>
      </c>
      <c r="V1816" t="str">
        <f t="shared" si="189"/>
        <v>2019/20Expenditure driversCivil Works Condition DrivenDifference %</v>
      </c>
    </row>
    <row r="1817" spans="1:22">
      <c r="A1817" t="s">
        <v>126</v>
      </c>
      <c r="C1817" t="s">
        <v>1344</v>
      </c>
      <c r="D1817" t="s">
        <v>73</v>
      </c>
      <c r="E1817" t="s">
        <v>297</v>
      </c>
      <c r="F1817" t="s">
        <v>1289</v>
      </c>
      <c r="G1817" s="229" cm="1">
        <f t="array" ref="G1817:T1820">TRANSPOSE('Ch4 expenditure drivers'!BE434:BH447)</f>
        <v>8.0320203615037862</v>
      </c>
      <c r="H1817" s="229">
        <v>1.6835823788410873</v>
      </c>
      <c r="I1817" s="229">
        <v>3.1005342104265909</v>
      </c>
      <c r="J1817" s="229">
        <v>8.8149274279968068</v>
      </c>
      <c r="K1817" s="229">
        <v>6.9058932019055748</v>
      </c>
      <c r="L1817" s="229">
        <v>3.0920594898715428</v>
      </c>
      <c r="M1817" s="229">
        <v>5.6896499079092173</v>
      </c>
      <c r="N1817" s="229">
        <v>4.7853647289354804</v>
      </c>
      <c r="O1817" s="229">
        <v>4.6234564972589505</v>
      </c>
      <c r="P1817" s="229">
        <v>4.8452867794754173</v>
      </c>
      <c r="Q1817" s="229">
        <v>5.6779459479427468</v>
      </c>
      <c r="R1817" s="229">
        <v>6.6738196907635112</v>
      </c>
      <c r="S1817" s="229">
        <v>1.0971040174037738</v>
      </c>
      <c r="T1817" s="229">
        <v>5.5099717948884761</v>
      </c>
      <c r="U1817" s="229">
        <f>AVERAGE(G1817:T1817)</f>
        <v>5.0379726025087814</v>
      </c>
      <c r="V1817" s="229" t="str">
        <f t="shared" si="189"/>
        <v>2020/21Expenditure driversCivil Works Condition DrivenAllowance</v>
      </c>
    </row>
    <row r="1818" spans="1:22">
      <c r="A1818" t="s">
        <v>126</v>
      </c>
      <c r="C1818" t="s">
        <v>1344</v>
      </c>
      <c r="D1818" t="s">
        <v>73</v>
      </c>
      <c r="E1818" t="s">
        <v>298</v>
      </c>
      <c r="F1818" t="s">
        <v>1289</v>
      </c>
      <c r="G1818" s="229">
        <v>3.4628086813511483</v>
      </c>
      <c r="H1818" s="229">
        <v>1.4474338147971728</v>
      </c>
      <c r="I1818" s="229">
        <v>2.0836128346843803</v>
      </c>
      <c r="J1818" s="229">
        <v>8.4260080573279819</v>
      </c>
      <c r="K1818" s="229">
        <v>3.8421005870814886</v>
      </c>
      <c r="L1818" s="229">
        <v>2.3443128406653369</v>
      </c>
      <c r="M1818" s="229">
        <v>1.776401653482546</v>
      </c>
      <c r="N1818" s="229">
        <v>1.6496598076341542</v>
      </c>
      <c r="O1818" s="229">
        <v>2.0232734398253576</v>
      </c>
      <c r="P1818" s="229">
        <v>2.2454281869452641</v>
      </c>
      <c r="Q1818" s="229">
        <v>4.1232093725275503</v>
      </c>
      <c r="R1818" s="229">
        <v>3.9575260797525762</v>
      </c>
      <c r="S1818" s="229">
        <v>0.80370827173938619</v>
      </c>
      <c r="T1818" s="229">
        <v>2.7518204060011495</v>
      </c>
      <c r="U1818" s="229">
        <f>AVERAGE(G1818:T1818)</f>
        <v>2.9240931452725354</v>
      </c>
      <c r="V1818" s="229" t="str">
        <f t="shared" si="189"/>
        <v>2020/21Expenditure driversCivil Works Condition DrivenActual</v>
      </c>
    </row>
    <row r="1819" spans="1:22">
      <c r="A1819" t="s">
        <v>126</v>
      </c>
      <c r="C1819" t="s">
        <v>1344</v>
      </c>
      <c r="D1819" t="s">
        <v>73</v>
      </c>
      <c r="E1819" t="s">
        <v>602</v>
      </c>
      <c r="F1819" t="s">
        <v>1289</v>
      </c>
      <c r="G1819" s="229">
        <v>-4.5692116801526375</v>
      </c>
      <c r="H1819" s="229">
        <v>-0.23614856404391449</v>
      </c>
      <c r="I1819" s="229">
        <v>-1.0169213757422106</v>
      </c>
      <c r="J1819" s="229">
        <v>-0.38891937066882498</v>
      </c>
      <c r="K1819" s="229">
        <v>-3.0637926148240862</v>
      </c>
      <c r="L1819" s="229">
        <v>-0.74774664920620593</v>
      </c>
      <c r="M1819" s="229">
        <v>-3.9132482544266711</v>
      </c>
      <c r="N1819" s="229">
        <v>-3.1357049213013264</v>
      </c>
      <c r="O1819" s="229">
        <v>-2.6001830574335929</v>
      </c>
      <c r="P1819" s="229">
        <v>-2.5998585925301532</v>
      </c>
      <c r="Q1819" s="229">
        <v>-1.5547365754151965</v>
      </c>
      <c r="R1819" s="229">
        <v>-2.716293611010935</v>
      </c>
      <c r="S1819" s="229">
        <v>-0.29339574566438764</v>
      </c>
      <c r="T1819" s="229">
        <v>-2.7581513888873266</v>
      </c>
      <c r="U1819" s="229">
        <f>U1818-U1817</f>
        <v>-2.113879457236246</v>
      </c>
      <c r="V1819" s="229" t="str">
        <f t="shared" si="189"/>
        <v>2020/21Expenditure driversCivil Works Condition DrivenDifference</v>
      </c>
    </row>
    <row r="1820" spans="1:22">
      <c r="A1820" t="s">
        <v>126</v>
      </c>
      <c r="C1820" t="s">
        <v>1344</v>
      </c>
      <c r="D1820" t="s">
        <v>73</v>
      </c>
      <c r="E1820" t="s">
        <v>1346</v>
      </c>
      <c r="F1820" t="s">
        <v>606</v>
      </c>
      <c r="G1820" s="829">
        <v>-0.56887451407022727</v>
      </c>
      <c r="H1820" s="829">
        <v>-0.14026552369030496</v>
      </c>
      <c r="I1820" s="829">
        <v>-0.32798263354826723</v>
      </c>
      <c r="J1820" s="829">
        <v>-4.4120541416324169E-2</v>
      </c>
      <c r="K1820" s="829">
        <v>-0.44364900024499071</v>
      </c>
      <c r="L1820" s="829">
        <v>-0.24182802810086634</v>
      </c>
      <c r="M1820" s="829">
        <v>-0.68778366292569959</v>
      </c>
      <c r="N1820" s="829">
        <v>-0.65526978588294016</v>
      </c>
      <c r="O1820" s="829">
        <v>-0.56238942855310314</v>
      </c>
      <c r="P1820" s="829">
        <v>-0.53657476035126062</v>
      </c>
      <c r="Q1820" s="829">
        <v>-0.27382024937706817</v>
      </c>
      <c r="R1820" s="829">
        <v>-0.40700734165327446</v>
      </c>
      <c r="S1820" s="829">
        <v>-0.2674274644975686</v>
      </c>
      <c r="T1820" s="829">
        <v>-0.50057450229527944</v>
      </c>
      <c r="U1820" s="829">
        <f>U1819/U1817</f>
        <v>-0.41958931181634218</v>
      </c>
      <c r="V1820" t="str">
        <f t="shared" si="189"/>
        <v>2020/21Expenditure driversCivil Works Condition DrivenDifference %</v>
      </c>
    </row>
    <row r="1821" spans="1:22">
      <c r="A1821" t="s">
        <v>142</v>
      </c>
      <c r="C1821" t="s">
        <v>1344</v>
      </c>
      <c r="D1821" t="s">
        <v>73</v>
      </c>
      <c r="E1821" t="s">
        <v>297</v>
      </c>
      <c r="F1821" t="s">
        <v>1289</v>
      </c>
      <c r="G1821" s="229" cm="1">
        <f t="array" ref="G1821:T1824">TRANSPOSE('Ch4 expenditure drivers'!BJ434:BM447)</f>
        <v>7.9803503846307047</v>
      </c>
      <c r="H1821" s="229">
        <v>1.6940759053502952</v>
      </c>
      <c r="I1821" s="229">
        <v>3.102481201252806</v>
      </c>
      <c r="J1821" s="229">
        <v>8.8391247052526172</v>
      </c>
      <c r="K1821" s="229">
        <v>6.9218122210811055</v>
      </c>
      <c r="L1821" s="229">
        <v>3.1017687870770829</v>
      </c>
      <c r="M1821" s="229">
        <v>5.7036145729075374</v>
      </c>
      <c r="N1821" s="229">
        <v>4.3160866852304283</v>
      </c>
      <c r="O1821" s="229">
        <v>4.9181773497606569</v>
      </c>
      <c r="P1821" s="229">
        <v>5.2241820222012807</v>
      </c>
      <c r="Q1821" s="229">
        <v>5.0783561874061984</v>
      </c>
      <c r="R1821" s="229">
        <v>5.7911898874646628</v>
      </c>
      <c r="S1821" s="229">
        <v>1.0980797158228646</v>
      </c>
      <c r="T1821" s="229">
        <v>5.3872561760757023</v>
      </c>
      <c r="U1821" s="229">
        <f>AVERAGE(G1821:T1821)</f>
        <v>4.9397539858224251</v>
      </c>
      <c r="V1821" s="229" t="str">
        <f t="shared" ref="V1821:V1824" si="190">CONCATENATE(A1821,B1821,C1821,D1821,E1821)</f>
        <v>2021/22Expenditure driversCivil Works Condition DrivenAllowance</v>
      </c>
    </row>
    <row r="1822" spans="1:22">
      <c r="A1822" t="s">
        <v>142</v>
      </c>
      <c r="C1822" t="s">
        <v>1344</v>
      </c>
      <c r="D1822" t="s">
        <v>73</v>
      </c>
      <c r="E1822" t="s">
        <v>298</v>
      </c>
      <c r="F1822" t="s">
        <v>1289</v>
      </c>
      <c r="G1822" s="229">
        <v>3.3403279752019843</v>
      </c>
      <c r="H1822" s="229">
        <v>0.61726011999999997</v>
      </c>
      <c r="I1822" s="229">
        <v>1.6223996399999996</v>
      </c>
      <c r="J1822" s="229">
        <v>5.5779000000000005</v>
      </c>
      <c r="K1822" s="229">
        <v>3.4984999999999999</v>
      </c>
      <c r="L1822" s="229">
        <v>1.6272999999999997</v>
      </c>
      <c r="M1822" s="229">
        <v>1.9449999999999996</v>
      </c>
      <c r="N1822" s="229">
        <v>2.4862505664720644</v>
      </c>
      <c r="O1822" s="229">
        <v>2.1525270582936238</v>
      </c>
      <c r="P1822" s="229">
        <v>3.6875382627967372</v>
      </c>
      <c r="Q1822" s="229">
        <v>3.6448460826739861</v>
      </c>
      <c r="R1822" s="229">
        <v>3.6812350936092639</v>
      </c>
      <c r="S1822" s="229">
        <v>0.96003467000000009</v>
      </c>
      <c r="T1822" s="229">
        <v>1.8351280599999999</v>
      </c>
      <c r="U1822" s="229">
        <f>AVERAGE(G1822:T1822)</f>
        <v>2.6197319663605474</v>
      </c>
      <c r="V1822" s="229" t="str">
        <f t="shared" si="190"/>
        <v>2021/22Expenditure driversCivil Works Condition DrivenActual</v>
      </c>
    </row>
    <row r="1823" spans="1:22">
      <c r="A1823" t="s">
        <v>142</v>
      </c>
      <c r="C1823" t="s">
        <v>1344</v>
      </c>
      <c r="D1823" t="s">
        <v>73</v>
      </c>
      <c r="E1823" t="s">
        <v>602</v>
      </c>
      <c r="F1823" t="s">
        <v>1289</v>
      </c>
      <c r="G1823" s="229">
        <v>-4.6400224094287204</v>
      </c>
      <c r="H1823" s="229">
        <v>-1.0768157853502953</v>
      </c>
      <c r="I1823" s="229">
        <v>-1.4800815612528064</v>
      </c>
      <c r="J1823" s="229">
        <v>-3.2612247052526167</v>
      </c>
      <c r="K1823" s="229">
        <v>-3.4233122210811056</v>
      </c>
      <c r="L1823" s="229">
        <v>-1.4744687870770832</v>
      </c>
      <c r="M1823" s="229">
        <v>-3.758614572907538</v>
      </c>
      <c r="N1823" s="229">
        <v>-1.8298361187583638</v>
      </c>
      <c r="O1823" s="229">
        <v>-2.7656502914670331</v>
      </c>
      <c r="P1823" s="229">
        <v>-1.5366437594045435</v>
      </c>
      <c r="Q1823" s="229">
        <v>-1.4335101047322123</v>
      </c>
      <c r="R1823" s="229">
        <v>-2.1099547938553989</v>
      </c>
      <c r="S1823" s="229">
        <v>-0.13804504582286448</v>
      </c>
      <c r="T1823" s="229">
        <v>-3.5521281160757026</v>
      </c>
      <c r="U1823" s="229">
        <f>U1822-U1821</f>
        <v>-2.3200220194618777</v>
      </c>
      <c r="V1823" s="229" t="str">
        <f t="shared" si="190"/>
        <v>2021/22Expenditure driversCivil Works Condition DrivenDifference</v>
      </c>
    </row>
    <row r="1824" spans="1:22">
      <c r="A1824" t="s">
        <v>142</v>
      </c>
      <c r="C1824" t="s">
        <v>1344</v>
      </c>
      <c r="D1824" t="s">
        <v>73</v>
      </c>
      <c r="E1824" t="s">
        <v>1346</v>
      </c>
      <c r="F1824" t="s">
        <v>606</v>
      </c>
      <c r="G1824" s="829">
        <v>-0.58143091290388749</v>
      </c>
      <c r="H1824" s="829">
        <v>-0.63563609041923952</v>
      </c>
      <c r="I1824" s="829">
        <v>-0.47706382899439909</v>
      </c>
      <c r="J1824" s="829">
        <v>-0.36895335386711375</v>
      </c>
      <c r="K1824" s="829">
        <v>-0.4945687793516052</v>
      </c>
      <c r="L1824" s="829">
        <v>-0.47536386116856</v>
      </c>
      <c r="M1824" s="829">
        <v>-0.6589881775604457</v>
      </c>
      <c r="N1824" s="829">
        <v>-0.42395722148492299</v>
      </c>
      <c r="O1824" s="829">
        <v>-0.56233236314701496</v>
      </c>
      <c r="P1824" s="829">
        <v>-0.29414054733817591</v>
      </c>
      <c r="Q1824" s="829">
        <v>-0.28227836958092267</v>
      </c>
      <c r="R1824" s="829">
        <v>-0.36433873432858899</v>
      </c>
      <c r="S1824" s="829">
        <v>-0.12571495842578068</v>
      </c>
      <c r="T1824" s="829">
        <v>-0.65935756533174894</v>
      </c>
      <c r="U1824" s="829">
        <f>U1823/U1821</f>
        <v>-0.46966347435936423</v>
      </c>
      <c r="V1824" t="str">
        <f t="shared" si="190"/>
        <v>2021/22Expenditure driversCivil Works Condition DrivenDifference %</v>
      </c>
    </row>
    <row r="1825" spans="1:22">
      <c r="A1825" t="s">
        <v>137</v>
      </c>
      <c r="C1825" t="s">
        <v>1344</v>
      </c>
      <c r="D1825" t="s">
        <v>74</v>
      </c>
      <c r="E1825" t="s">
        <v>1347</v>
      </c>
      <c r="F1825" t="s">
        <v>1289</v>
      </c>
      <c r="G1825">
        <f t="array" ref="G1825:T1832">TRANSPOSE('Ch4 expenditure drivers'!E454:L467)</f>
        <v>11.601532292354443</v>
      </c>
      <c r="H1825">
        <v>3.3591355895371069</v>
      </c>
      <c r="I1825">
        <v>7.1979950080144182</v>
      </c>
      <c r="J1825">
        <v>7.4664545176611021</v>
      </c>
      <c r="K1825">
        <v>7.827317248497133</v>
      </c>
      <c r="L1825">
        <v>4.9457811390124844</v>
      </c>
      <c r="M1825">
        <v>5.0816099413301838</v>
      </c>
      <c r="N1825">
        <v>4.7343089684530151</v>
      </c>
      <c r="O1825">
        <v>4.780574517621007</v>
      </c>
      <c r="P1825">
        <v>5.983141350502863</v>
      </c>
      <c r="Q1825">
        <v>3.0933907170941071</v>
      </c>
      <c r="R1825">
        <v>3.6674792476584965</v>
      </c>
      <c r="S1825">
        <v>4.906747567563194</v>
      </c>
      <c r="T1825">
        <v>7.5618046236563004</v>
      </c>
      <c r="U1825">
        <f>AVERAGE(G1825:T1825)</f>
        <v>5.8719480520682756</v>
      </c>
      <c r="V1825" t="str">
        <f t="shared" si="189"/>
        <v>2015/16Expenditure driversOperational IT and telecomsBPDT</v>
      </c>
    </row>
    <row r="1826" spans="1:22">
      <c r="A1826" t="s">
        <v>138</v>
      </c>
      <c r="C1826" t="s">
        <v>1344</v>
      </c>
      <c r="D1826" t="s">
        <v>74</v>
      </c>
      <c r="E1826" t="s">
        <v>1347</v>
      </c>
      <c r="F1826" t="s">
        <v>1289</v>
      </c>
      <c r="G1826">
        <v>7.7933011426383114</v>
      </c>
      <c r="H1826">
        <v>4.7373736485835609</v>
      </c>
      <c r="I1826">
        <v>8.1993539671769202</v>
      </c>
      <c r="J1826">
        <v>5.2114576413683906</v>
      </c>
      <c r="K1826">
        <v>5.3447811634532103</v>
      </c>
      <c r="L1826">
        <v>2.7070063303253047</v>
      </c>
      <c r="M1826">
        <v>2.2577993905403031</v>
      </c>
      <c r="N1826">
        <v>7.312241736583089</v>
      </c>
      <c r="O1826">
        <v>4.9040387473796274</v>
      </c>
      <c r="P1826">
        <v>6.0769716561701088</v>
      </c>
      <c r="Q1826">
        <v>3.0875483560295187</v>
      </c>
      <c r="R1826">
        <v>4.128705013386047</v>
      </c>
      <c r="S1826">
        <v>4.1486197605601749</v>
      </c>
      <c r="T1826">
        <v>6.8267003871413365</v>
      </c>
      <c r="U1826">
        <f t="shared" ref="U1826:U1857" si="191">AVERAGE(G1826:T1826)</f>
        <v>5.1954213529525646</v>
      </c>
      <c r="V1826" t="str">
        <f t="shared" si="189"/>
        <v>2016/17Expenditure driversOperational IT and telecomsBPDT</v>
      </c>
    </row>
    <row r="1827" spans="1:22">
      <c r="A1827" t="s">
        <v>139</v>
      </c>
      <c r="C1827" t="s">
        <v>1344</v>
      </c>
      <c r="D1827" t="s">
        <v>74</v>
      </c>
      <c r="E1827" t="s">
        <v>1347</v>
      </c>
      <c r="F1827" t="s">
        <v>1289</v>
      </c>
      <c r="G1827">
        <v>8.4472068006243131</v>
      </c>
      <c r="H1827">
        <v>4.3199665364414699</v>
      </c>
      <c r="I1827">
        <v>7.3700806059929578</v>
      </c>
      <c r="J1827">
        <v>9.0993955017031549</v>
      </c>
      <c r="K1827">
        <v>9.2290733750265463</v>
      </c>
      <c r="L1827">
        <v>7.6799445096646322</v>
      </c>
      <c r="M1827">
        <v>6.6599689471758028</v>
      </c>
      <c r="N1827">
        <v>8.758828843059451</v>
      </c>
      <c r="O1827">
        <v>5.6246912883840823</v>
      </c>
      <c r="P1827">
        <v>7.4622589385294695</v>
      </c>
      <c r="Q1827">
        <v>3.0600508699265885</v>
      </c>
      <c r="R1827">
        <v>5.0892147757057371</v>
      </c>
      <c r="S1827">
        <v>3.4514890871098443</v>
      </c>
      <c r="T1827">
        <v>5.0355231427292759</v>
      </c>
      <c r="U1827">
        <f t="shared" si="191"/>
        <v>6.5205495158623803</v>
      </c>
      <c r="V1827" t="str">
        <f t="shared" si="189"/>
        <v>2017/18Expenditure driversOperational IT and telecomsBPDT</v>
      </c>
    </row>
    <row r="1828" spans="1:22">
      <c r="A1828" t="s">
        <v>140</v>
      </c>
      <c r="C1828" t="s">
        <v>1344</v>
      </c>
      <c r="D1828" t="s">
        <v>74</v>
      </c>
      <c r="E1828" t="s">
        <v>1347</v>
      </c>
      <c r="F1828" t="s">
        <v>1289</v>
      </c>
      <c r="G1828">
        <v>10.759606921426558</v>
      </c>
      <c r="H1828">
        <v>4.2274989965956626</v>
      </c>
      <c r="I1828">
        <v>7.1824483438607825</v>
      </c>
      <c r="J1828">
        <v>1.5726282750918494</v>
      </c>
      <c r="K1828">
        <v>1.7028923637425946</v>
      </c>
      <c r="L1828">
        <v>7.0943379096309958</v>
      </c>
      <c r="M1828">
        <v>7.0722569906449584</v>
      </c>
      <c r="N1828">
        <v>8.4031359883537995</v>
      </c>
      <c r="O1828">
        <v>6.0427999593966844</v>
      </c>
      <c r="P1828">
        <v>7.6417237510859808</v>
      </c>
      <c r="Q1828">
        <v>3.2226431375620881</v>
      </c>
      <c r="R1828">
        <v>5.7085738483038853</v>
      </c>
      <c r="S1828">
        <v>3.5299058799835037</v>
      </c>
      <c r="T1828">
        <v>5.0452394098177908</v>
      </c>
      <c r="U1828">
        <f t="shared" si="191"/>
        <v>5.6575494125355092</v>
      </c>
      <c r="V1828" t="str">
        <f t="shared" si="189"/>
        <v>2018/19Expenditure driversOperational IT and telecomsBPDT</v>
      </c>
    </row>
    <row r="1829" spans="1:22">
      <c r="A1829" t="s">
        <v>141</v>
      </c>
      <c r="C1829" t="s">
        <v>1344</v>
      </c>
      <c r="D1829" t="s">
        <v>74</v>
      </c>
      <c r="E1829" t="s">
        <v>1347</v>
      </c>
      <c r="F1829" t="s">
        <v>1289</v>
      </c>
      <c r="G1829">
        <v>9.30546207771072</v>
      </c>
      <c r="H1829">
        <v>3.117966978782742</v>
      </c>
      <c r="I1829">
        <v>6.0755689707149081</v>
      </c>
      <c r="J1829">
        <v>2.264141210134651</v>
      </c>
      <c r="K1829">
        <v>2.623566246202671</v>
      </c>
      <c r="L1829">
        <v>1.7237383672079556</v>
      </c>
      <c r="M1829">
        <v>2.3574460263997694</v>
      </c>
      <c r="N1829">
        <v>8.6213103074940296</v>
      </c>
      <c r="O1829">
        <v>6.5120961030517606</v>
      </c>
      <c r="P1829">
        <v>8.2574080938563377</v>
      </c>
      <c r="Q1829">
        <v>3.0362933993596175</v>
      </c>
      <c r="R1829">
        <v>5.5904325310630956</v>
      </c>
      <c r="S1829">
        <v>2.6933561293933481</v>
      </c>
      <c r="T1829">
        <v>4.2630451794801765</v>
      </c>
      <c r="U1829">
        <f t="shared" si="191"/>
        <v>4.7458451157751265</v>
      </c>
      <c r="V1829" t="str">
        <f t="shared" si="189"/>
        <v>2019/20Expenditure driversOperational IT and telecomsBPDT</v>
      </c>
    </row>
    <row r="1830" spans="1:22">
      <c r="A1830" t="s">
        <v>126</v>
      </c>
      <c r="C1830" t="s">
        <v>1344</v>
      </c>
      <c r="D1830" t="s">
        <v>74</v>
      </c>
      <c r="E1830" t="s">
        <v>1347</v>
      </c>
      <c r="F1830" t="s">
        <v>1289</v>
      </c>
      <c r="G1830">
        <v>8.7331915277109591</v>
      </c>
      <c r="H1830">
        <v>3.6224386063502454</v>
      </c>
      <c r="I1830">
        <v>6.569591745847803</v>
      </c>
      <c r="J1830">
        <v>2.6355572076481386</v>
      </c>
      <c r="K1830">
        <v>2.7674060343369393</v>
      </c>
      <c r="L1830">
        <v>3.0346863540731075</v>
      </c>
      <c r="M1830">
        <v>3.798873765207528</v>
      </c>
      <c r="N1830">
        <v>8.9363553223888594</v>
      </c>
      <c r="O1830">
        <v>6.517905109868857</v>
      </c>
      <c r="P1830">
        <v>8.414282168188512</v>
      </c>
      <c r="Q1830">
        <v>4.5789003429653361</v>
      </c>
      <c r="R1830">
        <v>6.9760563735100973</v>
      </c>
      <c r="S1830">
        <v>2.363835311465559</v>
      </c>
      <c r="T1830">
        <v>3.7355433106056384</v>
      </c>
      <c r="U1830">
        <f t="shared" si="191"/>
        <v>5.1917587985833986</v>
      </c>
      <c r="V1830" t="str">
        <f t="shared" si="189"/>
        <v>2020/21Expenditure driversOperational IT and telecomsBPDT</v>
      </c>
    </row>
    <row r="1831" spans="1:22">
      <c r="A1831" t="s">
        <v>142</v>
      </c>
      <c r="C1831" t="s">
        <v>1344</v>
      </c>
      <c r="D1831" t="s">
        <v>74</v>
      </c>
      <c r="E1831" t="s">
        <v>1347</v>
      </c>
      <c r="F1831" t="s">
        <v>1289</v>
      </c>
      <c r="G1831">
        <v>15.695690471520804</v>
      </c>
      <c r="H1831">
        <v>3.4705596268762124</v>
      </c>
      <c r="I1831">
        <v>6.4007011191943892</v>
      </c>
      <c r="J1831">
        <v>1.0589538411926898</v>
      </c>
      <c r="K1831">
        <v>1.1891995703062208</v>
      </c>
      <c r="L1831">
        <v>1.2628352412898549</v>
      </c>
      <c r="M1831">
        <v>1.6655755555344247</v>
      </c>
      <c r="N1831">
        <v>9.205487030095707</v>
      </c>
      <c r="O1831">
        <v>6.9011103809986212</v>
      </c>
      <c r="P1831">
        <v>9.0650130916766809</v>
      </c>
      <c r="Q1831">
        <v>4.2497719983974047</v>
      </c>
      <c r="R1831">
        <v>6.9241758654729599</v>
      </c>
      <c r="S1831">
        <v>1.8825361959834204</v>
      </c>
      <c r="T1831">
        <v>3.3759896455490921</v>
      </c>
      <c r="U1831">
        <f t="shared" si="191"/>
        <v>5.1676856881491782</v>
      </c>
      <c r="V1831" t="str">
        <f t="shared" si="189"/>
        <v>2021/22Expenditure driversOperational IT and telecomsBPDT</v>
      </c>
    </row>
    <row r="1832" spans="1:22">
      <c r="A1832" t="s">
        <v>143</v>
      </c>
      <c r="C1832" t="s">
        <v>1344</v>
      </c>
      <c r="D1832" t="s">
        <v>74</v>
      </c>
      <c r="E1832" t="s">
        <v>1347</v>
      </c>
      <c r="F1832" t="s">
        <v>1289</v>
      </c>
      <c r="G1832">
        <v>15.687394087565941</v>
      </c>
      <c r="H1832">
        <v>4.1791286929621005</v>
      </c>
      <c r="I1832">
        <v>6.3484495285705131</v>
      </c>
      <c r="J1832">
        <v>3.6193481711775668</v>
      </c>
      <c r="K1832">
        <v>3.7506252627203431</v>
      </c>
      <c r="L1832">
        <v>3.8248716246899934</v>
      </c>
      <c r="M1832">
        <v>4.240994174444821</v>
      </c>
      <c r="N1832">
        <v>8.9544178123993934</v>
      </c>
      <c r="O1832">
        <v>7.4164918972300828</v>
      </c>
      <c r="P1832">
        <v>9.1690401569271103</v>
      </c>
      <c r="Q1832">
        <v>3.5101721820043004</v>
      </c>
      <c r="R1832">
        <v>6.531381568055</v>
      </c>
      <c r="S1832">
        <v>1.2805963029991303</v>
      </c>
      <c r="T1832">
        <v>3.1094011452879893</v>
      </c>
      <c r="U1832">
        <f t="shared" si="191"/>
        <v>5.8301651862167336</v>
      </c>
      <c r="V1832" t="str">
        <f t="shared" si="189"/>
        <v>2022/23Expenditure driversOperational IT and telecomsBPDT</v>
      </c>
    </row>
    <row r="1833" spans="1:22">
      <c r="A1833" t="s">
        <v>137</v>
      </c>
      <c r="C1833" t="s">
        <v>1344</v>
      </c>
      <c r="D1833" t="s">
        <v>74</v>
      </c>
      <c r="E1833" t="s">
        <v>1348</v>
      </c>
      <c r="F1833" t="s">
        <v>1289</v>
      </c>
      <c r="G1833">
        <f t="array" ref="G1833:T1840">TRANSPOSE('Ch4 expenditure drivers'!N454:U467)</f>
        <v>8.583313282732572</v>
      </c>
      <c r="H1833">
        <v>3.9874742913901366</v>
      </c>
      <c r="I1833">
        <v>7.4359134736180064</v>
      </c>
      <c r="J1833">
        <v>7.4664545176611021</v>
      </c>
      <c r="K1833">
        <v>7.827317248497133</v>
      </c>
      <c r="L1833">
        <v>4.9457811390124844</v>
      </c>
      <c r="M1833">
        <v>5.0816099413301838</v>
      </c>
      <c r="N1833">
        <v>6.2198133124781529</v>
      </c>
      <c r="O1833">
        <v>4.5030365101353453</v>
      </c>
      <c r="P1833">
        <v>6.6170822830635476</v>
      </c>
      <c r="Q1833">
        <v>5.2304493159124679</v>
      </c>
      <c r="R1833">
        <v>6.7356024693671586</v>
      </c>
      <c r="S1833">
        <v>3.8010164076812663</v>
      </c>
      <c r="T1833">
        <v>6.95329613584261</v>
      </c>
      <c r="U1833">
        <f t="shared" si="191"/>
        <v>6.0991543091944402</v>
      </c>
      <c r="V1833" t="str">
        <f t="shared" si="189"/>
        <v>2015/16Expenditure driversOperational IT and telecomsDNO Baseline</v>
      </c>
    </row>
    <row r="1834" spans="1:22">
      <c r="A1834" t="s">
        <v>138</v>
      </c>
      <c r="C1834" t="s">
        <v>1344</v>
      </c>
      <c r="D1834" t="s">
        <v>74</v>
      </c>
      <c r="E1834" t="s">
        <v>1348</v>
      </c>
      <c r="F1834" t="s">
        <v>1289</v>
      </c>
      <c r="G1834">
        <v>6.4358023995656906</v>
      </c>
      <c r="H1834">
        <v>4.1380798462179635</v>
      </c>
      <c r="I1834">
        <v>7.3569342918392886</v>
      </c>
      <c r="J1834">
        <v>5.2114576413683906</v>
      </c>
      <c r="K1834">
        <v>5.3447811634532103</v>
      </c>
      <c r="L1834">
        <v>2.7070063303253047</v>
      </c>
      <c r="M1834">
        <v>2.2577993905403031</v>
      </c>
      <c r="N1834">
        <v>7.656123263460608</v>
      </c>
      <c r="O1834">
        <v>5.6149906330446742</v>
      </c>
      <c r="P1834">
        <v>8.7080852219218592</v>
      </c>
      <c r="Q1834">
        <v>3.5614431382696603</v>
      </c>
      <c r="R1834">
        <v>7.189850798523354</v>
      </c>
      <c r="S1834">
        <v>3.3618377701214981</v>
      </c>
      <c r="T1834">
        <v>6.9174146231673816</v>
      </c>
      <c r="U1834">
        <f t="shared" si="191"/>
        <v>5.4615433222727985</v>
      </c>
      <c r="V1834" t="str">
        <f t="shared" si="189"/>
        <v>2016/17Expenditure driversOperational IT and telecomsDNO Baseline</v>
      </c>
    </row>
    <row r="1835" spans="1:22">
      <c r="A1835" t="s">
        <v>139</v>
      </c>
      <c r="C1835" t="s">
        <v>1344</v>
      </c>
      <c r="D1835" t="s">
        <v>74</v>
      </c>
      <c r="E1835" t="s">
        <v>1348</v>
      </c>
      <c r="F1835" t="s">
        <v>1289</v>
      </c>
      <c r="G1835">
        <v>6.7725855337350662</v>
      </c>
      <c r="H1835">
        <v>3.8189309134715761</v>
      </c>
      <c r="I1835">
        <v>6.8142469007664674</v>
      </c>
      <c r="J1835">
        <v>9.0993955017031549</v>
      </c>
      <c r="K1835">
        <v>9.2290733750265463</v>
      </c>
      <c r="L1835">
        <v>7.6799445096646322</v>
      </c>
      <c r="M1835">
        <v>6.6599689471758028</v>
      </c>
      <c r="N1835">
        <v>7.2249768992988468</v>
      </c>
      <c r="O1835">
        <v>5.1804449010966502</v>
      </c>
      <c r="P1835">
        <v>6.9483140532270342</v>
      </c>
      <c r="Q1835">
        <v>3.2719482271030857</v>
      </c>
      <c r="R1835">
        <v>5.3904772000421755</v>
      </c>
      <c r="S1835">
        <v>2.8354740551988176</v>
      </c>
      <c r="T1835">
        <v>5.6496842961114764</v>
      </c>
      <c r="U1835">
        <f t="shared" si="191"/>
        <v>6.1839618081158081</v>
      </c>
      <c r="V1835" t="str">
        <f t="shared" si="189"/>
        <v>2017/18Expenditure driversOperational IT and telecomsDNO Baseline</v>
      </c>
    </row>
    <row r="1836" spans="1:22">
      <c r="A1836" t="s">
        <v>140</v>
      </c>
      <c r="C1836" t="s">
        <v>1344</v>
      </c>
      <c r="D1836" t="s">
        <v>74</v>
      </c>
      <c r="E1836" t="s">
        <v>1348</v>
      </c>
      <c r="F1836" t="s">
        <v>1289</v>
      </c>
      <c r="G1836">
        <v>8.2211683739992303</v>
      </c>
      <c r="H1836">
        <v>3.9506673845267875</v>
      </c>
      <c r="I1836">
        <v>6.8617524394692992</v>
      </c>
      <c r="J1836">
        <v>1.5726282750918494</v>
      </c>
      <c r="K1836">
        <v>1.7028923637425946</v>
      </c>
      <c r="L1836">
        <v>7.0943379096309958</v>
      </c>
      <c r="M1836">
        <v>7.0722569906449584</v>
      </c>
      <c r="N1836">
        <v>6.8187509728798368</v>
      </c>
      <c r="O1836">
        <v>4.992208735637333</v>
      </c>
      <c r="P1836">
        <v>6.8511588846479485</v>
      </c>
      <c r="Q1836">
        <v>3.2696898846113616</v>
      </c>
      <c r="R1836">
        <v>4.094071743219434</v>
      </c>
      <c r="S1836">
        <v>2.9114109603798379</v>
      </c>
      <c r="T1836">
        <v>5.8953149885966925</v>
      </c>
      <c r="U1836">
        <f t="shared" si="191"/>
        <v>5.093450707648441</v>
      </c>
      <c r="V1836" t="str">
        <f t="shared" si="189"/>
        <v>2018/19Expenditure driversOperational IT and telecomsDNO Baseline</v>
      </c>
    </row>
    <row r="1837" spans="1:22">
      <c r="A1837" t="s">
        <v>141</v>
      </c>
      <c r="C1837" t="s">
        <v>1344</v>
      </c>
      <c r="D1837" t="s">
        <v>74</v>
      </c>
      <c r="E1837" t="s">
        <v>1348</v>
      </c>
      <c r="F1837" t="s">
        <v>1289</v>
      </c>
      <c r="G1837">
        <v>7.5940778367007615</v>
      </c>
      <c r="H1837">
        <v>3.3367222672264019</v>
      </c>
      <c r="I1837">
        <v>6.2334295479715154</v>
      </c>
      <c r="J1837">
        <v>2.264141210134651</v>
      </c>
      <c r="K1837">
        <v>2.623566246202671</v>
      </c>
      <c r="L1837">
        <v>1.7237383672079556</v>
      </c>
      <c r="M1837">
        <v>2.3574460263997694</v>
      </c>
      <c r="N1837">
        <v>6.7927073605124741</v>
      </c>
      <c r="O1837">
        <v>5.1266786922187269</v>
      </c>
      <c r="P1837">
        <v>7.0968299105535477</v>
      </c>
      <c r="Q1837">
        <v>3.5640624674275219</v>
      </c>
      <c r="R1837">
        <v>4.7289473714005377</v>
      </c>
      <c r="S1837">
        <v>2.5006224464776881</v>
      </c>
      <c r="T1837">
        <v>4.4764446549247072</v>
      </c>
      <c r="U1837">
        <f t="shared" si="191"/>
        <v>4.3156724575256371</v>
      </c>
      <c r="V1837" t="str">
        <f t="shared" si="189"/>
        <v>2019/20Expenditure driversOperational IT and telecomsDNO Baseline</v>
      </c>
    </row>
    <row r="1838" spans="1:22">
      <c r="A1838" t="s">
        <v>126</v>
      </c>
      <c r="C1838" t="s">
        <v>1344</v>
      </c>
      <c r="D1838" t="s">
        <v>74</v>
      </c>
      <c r="E1838" t="s">
        <v>1348</v>
      </c>
      <c r="F1838" t="s">
        <v>1289</v>
      </c>
      <c r="G1838">
        <v>7.0663406611712967</v>
      </c>
      <c r="H1838">
        <v>3.2762776631663066</v>
      </c>
      <c r="I1838">
        <v>5.9202780557689829</v>
      </c>
      <c r="J1838">
        <v>2.6355572076481386</v>
      </c>
      <c r="K1838">
        <v>2.7674060343369393</v>
      </c>
      <c r="L1838">
        <v>3.0346863540731075</v>
      </c>
      <c r="M1838">
        <v>3.798873765207528</v>
      </c>
      <c r="N1838">
        <v>6.910262590809479</v>
      </c>
      <c r="O1838">
        <v>4.7972982876637502</v>
      </c>
      <c r="P1838">
        <v>5.8564709407746962</v>
      </c>
      <c r="Q1838">
        <v>2.8462581642993752</v>
      </c>
      <c r="R1838">
        <v>3.7141539002518624</v>
      </c>
      <c r="S1838">
        <v>2.3152917822938908</v>
      </c>
      <c r="T1838">
        <v>4.1756884603405036</v>
      </c>
      <c r="U1838">
        <f t="shared" si="191"/>
        <v>4.2224888477004185</v>
      </c>
      <c r="V1838" t="str">
        <f t="shared" si="189"/>
        <v>2020/21Expenditure driversOperational IT and telecomsDNO Baseline</v>
      </c>
    </row>
    <row r="1839" spans="1:22">
      <c r="A1839" t="s">
        <v>142</v>
      </c>
      <c r="C1839" t="s">
        <v>1344</v>
      </c>
      <c r="D1839" t="s">
        <v>74</v>
      </c>
      <c r="E1839" t="s">
        <v>1348</v>
      </c>
      <c r="F1839" t="s">
        <v>1289</v>
      </c>
      <c r="G1839">
        <v>10.767182167049359</v>
      </c>
      <c r="H1839">
        <v>3.9216485744356424</v>
      </c>
      <c r="I1839">
        <v>6.8430283691867499</v>
      </c>
      <c r="J1839">
        <v>1.0589538411926898</v>
      </c>
      <c r="K1839">
        <v>1.1891995703062208</v>
      </c>
      <c r="L1839">
        <v>1.2628352412898549</v>
      </c>
      <c r="M1839">
        <v>1.6655755555344247</v>
      </c>
      <c r="N1839">
        <v>7.6692612545416861</v>
      </c>
      <c r="O1839">
        <v>5.3291595470036155</v>
      </c>
      <c r="P1839">
        <v>6.0882624211364078</v>
      </c>
      <c r="Q1839">
        <v>2.7087354498103071</v>
      </c>
      <c r="R1839">
        <v>3.5987083250664096</v>
      </c>
      <c r="S1839">
        <v>1.9932593721956835</v>
      </c>
      <c r="T1839">
        <v>3.9846312757337565</v>
      </c>
      <c r="U1839">
        <f t="shared" si="191"/>
        <v>4.1486029260344859</v>
      </c>
      <c r="V1839" t="str">
        <f t="shared" si="189"/>
        <v>2021/22Expenditure driversOperational IT and telecomsDNO Baseline</v>
      </c>
    </row>
    <row r="1840" spans="1:22">
      <c r="A1840" t="s">
        <v>143</v>
      </c>
      <c r="C1840" t="s">
        <v>1344</v>
      </c>
      <c r="D1840" t="s">
        <v>74</v>
      </c>
      <c r="E1840" t="s">
        <v>1348</v>
      </c>
      <c r="F1840" t="s">
        <v>1289</v>
      </c>
      <c r="G1840">
        <v>10.66934505214129</v>
      </c>
      <c r="H1840">
        <v>3.7063647473565018</v>
      </c>
      <c r="I1840">
        <v>6.127948790346756</v>
      </c>
      <c r="J1840">
        <v>3.6193481711775668</v>
      </c>
      <c r="K1840">
        <v>3.7506252627203431</v>
      </c>
      <c r="L1840">
        <v>3.8248716246899934</v>
      </c>
      <c r="M1840">
        <v>4.240994174444821</v>
      </c>
      <c r="N1840">
        <v>6.6309438747918827</v>
      </c>
      <c r="O1840">
        <v>5.0893004116838787</v>
      </c>
      <c r="P1840">
        <v>5.8849922492159843</v>
      </c>
      <c r="Q1840">
        <v>2.3670105211416428</v>
      </c>
      <c r="R1840">
        <v>3.3762478584342857</v>
      </c>
      <c r="S1840">
        <v>1.7372349417581265</v>
      </c>
      <c r="T1840">
        <v>3.7539352880980692</v>
      </c>
      <c r="U1840">
        <f t="shared" si="191"/>
        <v>4.6270830691429383</v>
      </c>
      <c r="V1840" t="str">
        <f t="shared" si="189"/>
        <v>2022/23Expenditure driversOperational IT and telecomsDNO Baseline</v>
      </c>
    </row>
    <row r="1841" spans="1:22">
      <c r="A1841" t="s">
        <v>137</v>
      </c>
      <c r="C1841" t="s">
        <v>1344</v>
      </c>
      <c r="D1841" t="s">
        <v>74</v>
      </c>
      <c r="E1841" t="s">
        <v>1349</v>
      </c>
      <c r="F1841" t="s">
        <v>1289</v>
      </c>
      <c r="G1841" cm="1">
        <f t="array" ref="G1841:T1847">TRANSPOSE('Ch4 expenditure drivers'!W454:AC467)</f>
        <v>11.679614726682527</v>
      </c>
      <c r="H1841">
        <v>1.0854601775258923</v>
      </c>
      <c r="I1841">
        <v>0.99886869024873837</v>
      </c>
      <c r="J1841">
        <v>2.4287386338669328</v>
      </c>
      <c r="K1841">
        <v>2.7507713860611411</v>
      </c>
      <c r="L1841">
        <v>0.74505305647315478</v>
      </c>
      <c r="M1841">
        <v>1.6015282458284028</v>
      </c>
      <c r="N1841">
        <v>3.7810968725302541</v>
      </c>
      <c r="O1841">
        <v>4.3540613443350615</v>
      </c>
      <c r="P1841">
        <v>6.1936841630609907</v>
      </c>
      <c r="Q1841">
        <v>3.4829553684247148</v>
      </c>
      <c r="R1841">
        <v>3.8657540747317878</v>
      </c>
      <c r="S1841">
        <v>1.7119261608783323</v>
      </c>
      <c r="T1841">
        <v>3.3083530720863892</v>
      </c>
      <c r="U1841">
        <f t="shared" si="191"/>
        <v>3.4277047123381656</v>
      </c>
      <c r="V1841" t="str">
        <f t="shared" si="189"/>
        <v>2015/16Expenditure driversOperational IT and telecomsDNO Actual</v>
      </c>
    </row>
    <row r="1842" spans="1:22">
      <c r="A1842" t="s">
        <v>138</v>
      </c>
      <c r="C1842" t="s">
        <v>1344</v>
      </c>
      <c r="D1842" t="s">
        <v>74</v>
      </c>
      <c r="E1842" t="s">
        <v>1349</v>
      </c>
      <c r="F1842" t="s">
        <v>1289</v>
      </c>
      <c r="G1842">
        <v>11.597589870170689</v>
      </c>
      <c r="H1842">
        <v>0.28959367437348316</v>
      </c>
      <c r="I1842">
        <v>0.62384374063985382</v>
      </c>
      <c r="J1842">
        <v>5.281273912419997</v>
      </c>
      <c r="K1842">
        <v>3.5295776181922474</v>
      </c>
      <c r="L1842">
        <v>0.57066925793986234</v>
      </c>
      <c r="M1842">
        <v>0.9709596901038523</v>
      </c>
      <c r="N1842">
        <v>4.5292225295420145</v>
      </c>
      <c r="O1842">
        <v>4.2372963902326122</v>
      </c>
      <c r="P1842">
        <v>5.628582634717775</v>
      </c>
      <c r="Q1842">
        <v>4.106081117027446</v>
      </c>
      <c r="R1842">
        <v>6.6672256429490657</v>
      </c>
      <c r="S1842">
        <v>1.3699331317543684</v>
      </c>
      <c r="T1842">
        <v>1.1724210846111316</v>
      </c>
      <c r="U1842">
        <f t="shared" si="191"/>
        <v>3.6124478781910274</v>
      </c>
      <c r="V1842" t="str">
        <f t="shared" si="189"/>
        <v>2016/17Expenditure driversOperational IT and telecomsDNO Actual</v>
      </c>
    </row>
    <row r="1843" spans="1:22">
      <c r="A1843" t="s">
        <v>139</v>
      </c>
      <c r="C1843" t="s">
        <v>1344</v>
      </c>
      <c r="D1843" t="s">
        <v>74</v>
      </c>
      <c r="E1843" t="s">
        <v>1349</v>
      </c>
      <c r="F1843" t="s">
        <v>1289</v>
      </c>
      <c r="G1843">
        <v>9.8493048708517641</v>
      </c>
      <c r="H1843">
        <v>1.2310923893427135</v>
      </c>
      <c r="I1843">
        <v>1.1298256888532345</v>
      </c>
      <c r="J1843">
        <v>7.830110175767893</v>
      </c>
      <c r="K1843">
        <v>6.2476535000800268</v>
      </c>
      <c r="L1843">
        <v>1.3589138722772709</v>
      </c>
      <c r="M1843">
        <v>2.9246189859880389</v>
      </c>
      <c r="N1843">
        <v>4.8709525775879321</v>
      </c>
      <c r="O1843">
        <v>4.3812305574421053</v>
      </c>
      <c r="P1843">
        <v>7.2429883074587265</v>
      </c>
      <c r="Q1843">
        <v>3.2623047377766392</v>
      </c>
      <c r="R1843">
        <v>8.1096398930830276</v>
      </c>
      <c r="S1843">
        <v>1.894020743850138</v>
      </c>
      <c r="T1843">
        <v>1.6645156067869751</v>
      </c>
      <c r="U1843">
        <f t="shared" si="191"/>
        <v>4.4283694219390339</v>
      </c>
      <c r="V1843" t="str">
        <f t="shared" si="189"/>
        <v>2017/18Expenditure driversOperational IT and telecomsDNO Actual</v>
      </c>
    </row>
    <row r="1844" spans="1:22">
      <c r="A1844" t="s">
        <v>140</v>
      </c>
      <c r="C1844" t="s">
        <v>1344</v>
      </c>
      <c r="D1844" t="s">
        <v>74</v>
      </c>
      <c r="E1844" t="s">
        <v>1349</v>
      </c>
      <c r="F1844" t="s">
        <v>1289</v>
      </c>
      <c r="G1844">
        <v>10.437584869562617</v>
      </c>
      <c r="H1844">
        <v>1.6680448286642631</v>
      </c>
      <c r="I1844">
        <v>2.8486655274254868</v>
      </c>
      <c r="J1844">
        <v>3.8443896656642242</v>
      </c>
      <c r="K1844">
        <v>1.1437726474367118</v>
      </c>
      <c r="L1844">
        <v>0.79319435949567241</v>
      </c>
      <c r="M1844">
        <v>0.23415817979019299</v>
      </c>
      <c r="N1844">
        <v>4.7744602237982861</v>
      </c>
      <c r="O1844">
        <v>4.0353130298046276</v>
      </c>
      <c r="P1844">
        <v>5.8494879340790167</v>
      </c>
      <c r="Q1844">
        <v>4.2526041910610894</v>
      </c>
      <c r="R1844">
        <v>8.3158598091762865</v>
      </c>
      <c r="S1844">
        <v>2.6921389848081971</v>
      </c>
      <c r="T1844">
        <v>2.324306418809635</v>
      </c>
      <c r="U1844">
        <f>AVERAGE(G1844:T1844)</f>
        <v>3.8009986192554499</v>
      </c>
      <c r="V1844" t="str">
        <f t="shared" si="189"/>
        <v>2018/19Expenditure driversOperational IT and telecomsDNO Actual</v>
      </c>
    </row>
    <row r="1845" spans="1:22">
      <c r="A1845" t="s">
        <v>141</v>
      </c>
      <c r="C1845" t="s">
        <v>1344</v>
      </c>
      <c r="D1845" t="s">
        <v>74</v>
      </c>
      <c r="E1845" t="s">
        <v>1349</v>
      </c>
      <c r="F1845" t="s">
        <v>1289</v>
      </c>
      <c r="G1845">
        <v>10.221564737647906</v>
      </c>
      <c r="H1845">
        <v>1.8273242701578802</v>
      </c>
      <c r="I1845">
        <v>4.2942653099601493</v>
      </c>
      <c r="J1845">
        <v>2.8326702685778384</v>
      </c>
      <c r="K1845">
        <v>2.2850642205875271</v>
      </c>
      <c r="L1845">
        <v>0.99725324282106509</v>
      </c>
      <c r="M1845">
        <v>1.6310416698206043</v>
      </c>
      <c r="N1845">
        <v>6.9622931272584614</v>
      </c>
      <c r="O1845">
        <v>6.0424944116166213</v>
      </c>
      <c r="P1845">
        <v>8.1191932114109377</v>
      </c>
      <c r="Q1845">
        <v>4.5430420367467885</v>
      </c>
      <c r="R1845">
        <v>6.8633649995286286</v>
      </c>
      <c r="S1845">
        <v>3.196333652775897</v>
      </c>
      <c r="T1845">
        <v>4.874618420688738</v>
      </c>
      <c r="U1845">
        <f>AVERAGE(G1845:T1845)</f>
        <v>4.6207516842570744</v>
      </c>
      <c r="V1845" t="str">
        <f t="shared" si="189"/>
        <v>2019/20Expenditure driversOperational IT and telecomsDNO Actual</v>
      </c>
    </row>
    <row r="1846" spans="1:22">
      <c r="A1846" t="s">
        <v>126</v>
      </c>
      <c r="C1846" t="s">
        <v>1344</v>
      </c>
      <c r="D1846" t="s">
        <v>74</v>
      </c>
      <c r="E1846" t="s">
        <v>1349</v>
      </c>
      <c r="F1846" t="s">
        <v>1289</v>
      </c>
      <c r="G1846">
        <v>6.8895721657690814</v>
      </c>
      <c r="H1846">
        <v>1.6864174004738806</v>
      </c>
      <c r="I1846">
        <v>3.4208370259857164</v>
      </c>
      <c r="J1846">
        <v>5.1867247277906765</v>
      </c>
      <c r="K1846">
        <v>4.6040049046969926</v>
      </c>
      <c r="L1846">
        <v>2.8349017931991018</v>
      </c>
      <c r="M1846">
        <v>4.7590724778782132</v>
      </c>
      <c r="N1846">
        <v>3.9195494506599764</v>
      </c>
      <c r="O1846">
        <v>7.1007434424934424</v>
      </c>
      <c r="P1846">
        <v>9.4736227224511307</v>
      </c>
      <c r="Q1846">
        <v>3.4330799599490769</v>
      </c>
      <c r="R1846">
        <v>6.6145525538752494</v>
      </c>
      <c r="S1846">
        <v>3.1054587234150675</v>
      </c>
      <c r="T1846">
        <v>4.775575348668478</v>
      </c>
      <c r="U1846">
        <f>AVERAGE(G1846:T1846)</f>
        <v>4.8431509069504344</v>
      </c>
      <c r="V1846" t="str">
        <f t="shared" si="189"/>
        <v>2020/21Expenditure driversOperational IT and telecomsDNO Actual</v>
      </c>
    </row>
    <row r="1847" spans="1:22">
      <c r="A1847" t="s">
        <v>142</v>
      </c>
      <c r="C1847" t="s">
        <v>1344</v>
      </c>
      <c r="D1847" t="s">
        <v>74</v>
      </c>
      <c r="E1847" t="s">
        <v>1349</v>
      </c>
      <c r="F1847" t="s">
        <v>1289</v>
      </c>
      <c r="G1847">
        <v>5.966767296606494</v>
      </c>
      <c r="H1847">
        <v>8.9969396099999965</v>
      </c>
      <c r="I1847">
        <v>4.8622596800000002</v>
      </c>
      <c r="J1847">
        <v>3.0106000000000002</v>
      </c>
      <c r="K1847">
        <v>2.9646999999999997</v>
      </c>
      <c r="L1847">
        <v>2.1769999999999996</v>
      </c>
      <c r="M1847">
        <v>2.7907999999999999</v>
      </c>
      <c r="N1847">
        <v>5.1541619783120902</v>
      </c>
      <c r="O1847">
        <v>6.0353012891735762</v>
      </c>
      <c r="P1847">
        <v>8.6302650698002683</v>
      </c>
      <c r="Q1847">
        <v>5.7279613899999999</v>
      </c>
      <c r="R1847">
        <v>7.1376170734955666</v>
      </c>
      <c r="S1847">
        <v>2.91089464</v>
      </c>
      <c r="T1847">
        <v>3.1512245999999999</v>
      </c>
      <c r="U1847">
        <f>AVERAGE(G1847:T1847)</f>
        <v>4.9654637590991424</v>
      </c>
      <c r="V1847" t="str">
        <f t="shared" ref="V1847" si="192">CONCATENATE(A1847,B1847,C1847,D1847,E1847)</f>
        <v>2021/22Expenditure driversOperational IT and telecomsDNO Actual</v>
      </c>
    </row>
    <row r="1848" spans="1:22">
      <c r="A1848" t="s">
        <v>137</v>
      </c>
      <c r="C1848" t="s">
        <v>1344</v>
      </c>
      <c r="D1848" t="s">
        <v>74</v>
      </c>
      <c r="E1848" t="s">
        <v>297</v>
      </c>
      <c r="F1848" t="s">
        <v>1289</v>
      </c>
      <c r="G1848">
        <f t="array" ref="G1848:T1851">TRANSPOSE('Ch4 expenditure drivers'!AF454:AI467)</f>
        <v>8.583313282732572</v>
      </c>
      <c r="H1848">
        <v>3.9874742913901366</v>
      </c>
      <c r="I1848">
        <v>7.4359134736180064</v>
      </c>
      <c r="J1848">
        <v>7.4664545176611021</v>
      </c>
      <c r="K1848">
        <v>7.827317248497133</v>
      </c>
      <c r="L1848">
        <v>4.9457811390124844</v>
      </c>
      <c r="M1848">
        <v>5.0816099413301838</v>
      </c>
      <c r="N1848">
        <v>6.2198133124781529</v>
      </c>
      <c r="O1848">
        <v>4.5030365101353453</v>
      </c>
      <c r="P1848">
        <v>6.6170822830635476</v>
      </c>
      <c r="Q1848">
        <v>5.2304493159124679</v>
      </c>
      <c r="R1848">
        <v>6.7356024693671586</v>
      </c>
      <c r="S1848">
        <v>3.8010164076812663</v>
      </c>
      <c r="T1848">
        <v>6.95329613584261</v>
      </c>
      <c r="U1848">
        <f t="shared" si="191"/>
        <v>6.0991543091944402</v>
      </c>
      <c r="V1848" t="str">
        <f t="shared" si="189"/>
        <v>2015/16Expenditure driversOperational IT and telecomsAllowance</v>
      </c>
    </row>
    <row r="1849" spans="1:22">
      <c r="A1849" t="s">
        <v>137</v>
      </c>
      <c r="C1849" t="s">
        <v>1344</v>
      </c>
      <c r="D1849" t="s">
        <v>74</v>
      </c>
      <c r="E1849" t="s">
        <v>298</v>
      </c>
      <c r="F1849" t="s">
        <v>1289</v>
      </c>
      <c r="G1849">
        <v>11.679614726682527</v>
      </c>
      <c r="H1849">
        <v>1.0854601775258923</v>
      </c>
      <c r="I1849">
        <v>0.99886869024873837</v>
      </c>
      <c r="J1849">
        <v>2.4287386338669328</v>
      </c>
      <c r="K1849">
        <v>2.7507713860611411</v>
      </c>
      <c r="L1849">
        <v>0.74505305647315478</v>
      </c>
      <c r="M1849">
        <v>1.6015282458284028</v>
      </c>
      <c r="N1849">
        <v>3.7810968725302541</v>
      </c>
      <c r="O1849">
        <v>4.3540613443350615</v>
      </c>
      <c r="P1849">
        <v>6.1936841630609907</v>
      </c>
      <c r="Q1849">
        <v>3.4829553684247148</v>
      </c>
      <c r="R1849">
        <v>3.8657540747317878</v>
      </c>
      <c r="S1849">
        <v>1.7119261608783323</v>
      </c>
      <c r="T1849">
        <v>3.3083530720863892</v>
      </c>
      <c r="U1849">
        <f t="shared" si="191"/>
        <v>3.4277047123381656</v>
      </c>
      <c r="V1849" t="str">
        <f t="shared" si="189"/>
        <v>2015/16Expenditure driversOperational IT and telecomsActual</v>
      </c>
    </row>
    <row r="1850" spans="1:22">
      <c r="A1850" t="s">
        <v>137</v>
      </c>
      <c r="C1850" t="s">
        <v>1344</v>
      </c>
      <c r="D1850" t="s">
        <v>74</v>
      </c>
      <c r="E1850" t="s">
        <v>602</v>
      </c>
      <c r="F1850" t="s">
        <v>1289</v>
      </c>
      <c r="G1850">
        <v>3.0963014439499545</v>
      </c>
      <c r="H1850">
        <v>-2.9020141138642446</v>
      </c>
      <c r="I1850">
        <v>-6.4370447833692683</v>
      </c>
      <c r="J1850">
        <v>-5.0377158837941689</v>
      </c>
      <c r="K1850">
        <v>-5.0765458624359923</v>
      </c>
      <c r="L1850">
        <v>-4.2007280825393298</v>
      </c>
      <c r="M1850">
        <v>-3.4800816955017808</v>
      </c>
      <c r="N1850">
        <v>-2.4387164399478989</v>
      </c>
      <c r="O1850">
        <v>-0.1489751658002838</v>
      </c>
      <c r="P1850">
        <v>-0.42339812000255694</v>
      </c>
      <c r="Q1850">
        <v>-1.7474939474877531</v>
      </c>
      <c r="R1850">
        <v>-2.8698483946353708</v>
      </c>
      <c r="S1850">
        <v>-2.0890902468029342</v>
      </c>
      <c r="T1850">
        <v>-3.6449430637562208</v>
      </c>
      <c r="U1850">
        <f>U1849-U1848</f>
        <v>-2.6714495968562746</v>
      </c>
      <c r="V1850" t="str">
        <f t="shared" si="189"/>
        <v>2015/16Expenditure driversOperational IT and telecomsDifference</v>
      </c>
    </row>
    <row r="1851" spans="1:22">
      <c r="A1851" t="s">
        <v>137</v>
      </c>
      <c r="C1851" t="s">
        <v>1344</v>
      </c>
      <c r="D1851" t="s">
        <v>74</v>
      </c>
      <c r="E1851" t="s">
        <v>1346</v>
      </c>
      <c r="F1851" t="s">
        <v>606</v>
      </c>
      <c r="G1851" s="829">
        <v>0.36073499148387372</v>
      </c>
      <c r="H1851" s="829">
        <v>-0.72778252643041552</v>
      </c>
      <c r="I1851" s="829">
        <v>-0.86566967275874851</v>
      </c>
      <c r="J1851" s="829">
        <v>-0.67471326208148585</v>
      </c>
      <c r="K1851" s="829">
        <v>-0.64856779165437606</v>
      </c>
      <c r="L1851" s="829">
        <v>-0.84935583772679479</v>
      </c>
      <c r="M1851" s="829">
        <v>-0.6848384145341978</v>
      </c>
      <c r="N1851" s="829">
        <v>-0.3920883662304398</v>
      </c>
      <c r="O1851" s="829">
        <v>-3.3083268471169054E-2</v>
      </c>
      <c r="P1851" s="829">
        <v>-6.3985621137921528E-2</v>
      </c>
      <c r="Q1851" s="829">
        <v>-0.33410015888527878</v>
      </c>
      <c r="R1851" s="829">
        <v>-0.42607152184042218</v>
      </c>
      <c r="S1851" s="829">
        <v>-0.54961358298301632</v>
      </c>
      <c r="T1851" s="829">
        <v>-0.52420362840112544</v>
      </c>
      <c r="U1851" s="829">
        <f>U1850/U1848</f>
        <v>-0.43800328068910793</v>
      </c>
      <c r="V1851" t="str">
        <f t="shared" si="189"/>
        <v>2015/16Expenditure driversOperational IT and telecomsDifference %</v>
      </c>
    </row>
    <row r="1852" spans="1:22">
      <c r="A1852" t="s">
        <v>138</v>
      </c>
      <c r="C1852" t="s">
        <v>1344</v>
      </c>
      <c r="D1852" t="s">
        <v>74</v>
      </c>
      <c r="E1852" t="s">
        <v>297</v>
      </c>
      <c r="F1852" t="s">
        <v>1289</v>
      </c>
      <c r="G1852">
        <f t="array" ref="G1852:T1855">TRANSPOSE('Ch4 expenditure drivers'!AK454:AN467)</f>
        <v>6.4358023995656906</v>
      </c>
      <c r="H1852">
        <v>4.1380798462179635</v>
      </c>
      <c r="I1852">
        <v>7.3569342918392886</v>
      </c>
      <c r="J1852">
        <v>5.2114576413683906</v>
      </c>
      <c r="K1852">
        <v>5.3447811634532103</v>
      </c>
      <c r="L1852">
        <v>2.7070063303253047</v>
      </c>
      <c r="M1852">
        <v>2.2577993905403031</v>
      </c>
      <c r="N1852">
        <v>7.656123263460608</v>
      </c>
      <c r="O1852">
        <v>5.6149906330446742</v>
      </c>
      <c r="P1852">
        <v>8.7080852219218592</v>
      </c>
      <c r="Q1852">
        <v>3.5614431382696603</v>
      </c>
      <c r="R1852">
        <v>7.189850798523354</v>
      </c>
      <c r="S1852">
        <v>3.3618377701214981</v>
      </c>
      <c r="T1852">
        <v>6.9174146231673816</v>
      </c>
      <c r="U1852">
        <f t="shared" si="191"/>
        <v>5.4615433222727985</v>
      </c>
      <c r="V1852" t="str">
        <f t="shared" si="189"/>
        <v>2016/17Expenditure driversOperational IT and telecomsAllowance</v>
      </c>
    </row>
    <row r="1853" spans="1:22">
      <c r="A1853" t="s">
        <v>138</v>
      </c>
      <c r="C1853" t="s">
        <v>1344</v>
      </c>
      <c r="D1853" t="s">
        <v>74</v>
      </c>
      <c r="E1853" t="s">
        <v>298</v>
      </c>
      <c r="F1853" t="s">
        <v>1289</v>
      </c>
      <c r="G1853">
        <v>11.597589870170689</v>
      </c>
      <c r="H1853">
        <v>0.28959367437348316</v>
      </c>
      <c r="I1853">
        <v>0.62384374063985382</v>
      </c>
      <c r="J1853">
        <v>5.281273912419997</v>
      </c>
      <c r="K1853">
        <v>3.5295776181922474</v>
      </c>
      <c r="L1853">
        <v>0.57066925793986234</v>
      </c>
      <c r="M1853">
        <v>0.9709596901038523</v>
      </c>
      <c r="N1853">
        <v>4.5292225295420145</v>
      </c>
      <c r="O1853">
        <v>4.2372963902326122</v>
      </c>
      <c r="P1853">
        <v>5.628582634717775</v>
      </c>
      <c r="Q1853">
        <v>4.106081117027446</v>
      </c>
      <c r="R1853">
        <v>6.6672256429490657</v>
      </c>
      <c r="S1853">
        <v>1.3699331317543684</v>
      </c>
      <c r="T1853">
        <v>1.1724210846111316</v>
      </c>
      <c r="U1853">
        <f t="shared" si="191"/>
        <v>3.6124478781910274</v>
      </c>
      <c r="V1853" t="str">
        <f t="shared" si="189"/>
        <v>2016/17Expenditure driversOperational IT and telecomsActual</v>
      </c>
    </row>
    <row r="1854" spans="1:22">
      <c r="A1854" t="s">
        <v>138</v>
      </c>
      <c r="C1854" t="s">
        <v>1344</v>
      </c>
      <c r="D1854" t="s">
        <v>74</v>
      </c>
      <c r="E1854" t="s">
        <v>602</v>
      </c>
      <c r="F1854" t="s">
        <v>1289</v>
      </c>
      <c r="G1854">
        <v>5.161787470604998</v>
      </c>
      <c r="H1854">
        <v>-3.8484861718444803</v>
      </c>
      <c r="I1854">
        <v>-6.7330905511994352</v>
      </c>
      <c r="J1854">
        <v>6.9816271051606371E-2</v>
      </c>
      <c r="K1854">
        <v>-1.8152035452609629</v>
      </c>
      <c r="L1854">
        <v>-2.1363370723854422</v>
      </c>
      <c r="M1854">
        <v>-1.2868397004364507</v>
      </c>
      <c r="N1854">
        <v>-3.1269007339185935</v>
      </c>
      <c r="O1854">
        <v>-1.377694242812062</v>
      </c>
      <c r="P1854">
        <v>-3.0795025872040842</v>
      </c>
      <c r="Q1854">
        <v>0.54463797875778575</v>
      </c>
      <c r="R1854">
        <v>-0.52262515557428824</v>
      </c>
      <c r="S1854">
        <v>-1.9919046383671297</v>
      </c>
      <c r="T1854">
        <v>-5.7449935385562503</v>
      </c>
      <c r="U1854">
        <f>U1853-U1852</f>
        <v>-1.8490954440817711</v>
      </c>
      <c r="V1854" t="str">
        <f t="shared" si="189"/>
        <v>2016/17Expenditure driversOperational IT and telecomsDifference</v>
      </c>
    </row>
    <row r="1855" spans="1:22">
      <c r="A1855" t="s">
        <v>138</v>
      </c>
      <c r="C1855" t="s">
        <v>1344</v>
      </c>
      <c r="D1855" t="s">
        <v>74</v>
      </c>
      <c r="E1855" t="s">
        <v>1346</v>
      </c>
      <c r="F1855" t="s">
        <v>606</v>
      </c>
      <c r="G1855" s="829">
        <v>0.80204256596711743</v>
      </c>
      <c r="H1855" s="829">
        <v>-0.93001737879993784</v>
      </c>
      <c r="I1855" s="829">
        <v>-0.91520330128109817</v>
      </c>
      <c r="J1855" s="829">
        <v>1.3396687809070338E-2</v>
      </c>
      <c r="K1855" s="829">
        <v>-0.33962167762321965</v>
      </c>
      <c r="L1855" s="829">
        <v>-0.7891880593159587</v>
      </c>
      <c r="M1855" s="829">
        <v>-0.56995307281418983</v>
      </c>
      <c r="N1855" s="829">
        <v>-0.40841828511852069</v>
      </c>
      <c r="O1855" s="829">
        <v>-0.24536002512706254</v>
      </c>
      <c r="P1855" s="829">
        <v>-0.35363716692295338</v>
      </c>
      <c r="Q1855" s="829">
        <v>0.15292620368000598</v>
      </c>
      <c r="R1855" s="829">
        <v>-7.2689290809987955E-2</v>
      </c>
      <c r="S1855" s="829">
        <v>-0.5925046877842477</v>
      </c>
      <c r="T1855" s="829">
        <v>-0.83051166534321497</v>
      </c>
      <c r="U1855" s="829">
        <f>U1854/U1852</f>
        <v>-0.33856647012959656</v>
      </c>
      <c r="V1855" t="str">
        <f t="shared" si="189"/>
        <v>2016/17Expenditure driversOperational IT and telecomsDifference %</v>
      </c>
    </row>
    <row r="1856" spans="1:22">
      <c r="A1856" t="s">
        <v>139</v>
      </c>
      <c r="C1856" t="s">
        <v>1344</v>
      </c>
      <c r="D1856" t="s">
        <v>74</v>
      </c>
      <c r="E1856" t="s">
        <v>297</v>
      </c>
      <c r="F1856" t="s">
        <v>1289</v>
      </c>
      <c r="G1856">
        <f t="array" ref="G1856:T1859">TRANSPOSE('Ch4 expenditure drivers'!AP454:AS467)</f>
        <v>6.7725855337350662</v>
      </c>
      <c r="H1856">
        <v>3.8189309134715761</v>
      </c>
      <c r="I1856">
        <v>6.8142469007664674</v>
      </c>
      <c r="J1856">
        <v>9.0993955017031549</v>
      </c>
      <c r="K1856">
        <v>9.2290733750265463</v>
      </c>
      <c r="L1856">
        <v>7.6799445096646322</v>
      </c>
      <c r="M1856">
        <v>6.6599689471758028</v>
      </c>
      <c r="N1856">
        <v>7.2249768992988468</v>
      </c>
      <c r="O1856">
        <v>5.1804449010966502</v>
      </c>
      <c r="P1856">
        <v>6.9483140532270342</v>
      </c>
      <c r="Q1856">
        <v>3.2719482271030857</v>
      </c>
      <c r="R1856">
        <v>5.3904772000421755</v>
      </c>
      <c r="S1856">
        <v>2.8354740551988176</v>
      </c>
      <c r="T1856">
        <v>5.6496842961114764</v>
      </c>
      <c r="U1856">
        <f t="shared" si="191"/>
        <v>6.1839618081158081</v>
      </c>
      <c r="V1856" t="str">
        <f t="shared" si="189"/>
        <v>2017/18Expenditure driversOperational IT and telecomsAllowance</v>
      </c>
    </row>
    <row r="1857" spans="1:22">
      <c r="A1857" t="s">
        <v>139</v>
      </c>
      <c r="C1857" t="s">
        <v>1344</v>
      </c>
      <c r="D1857" t="s">
        <v>74</v>
      </c>
      <c r="E1857" t="s">
        <v>298</v>
      </c>
      <c r="F1857" t="s">
        <v>1289</v>
      </c>
      <c r="G1857">
        <v>9.8493048708517641</v>
      </c>
      <c r="H1857">
        <v>1.2310923893427135</v>
      </c>
      <c r="I1857">
        <v>1.1298256888532345</v>
      </c>
      <c r="J1857">
        <v>7.830110175767893</v>
      </c>
      <c r="K1857">
        <v>6.2476535000800268</v>
      </c>
      <c r="L1857">
        <v>1.3589138722772709</v>
      </c>
      <c r="M1857">
        <v>2.9246189859880389</v>
      </c>
      <c r="N1857">
        <v>4.8709525775879321</v>
      </c>
      <c r="O1857">
        <v>4.3812305574421053</v>
      </c>
      <c r="P1857">
        <v>7.2429883074587265</v>
      </c>
      <c r="Q1857">
        <v>3.2623047377766392</v>
      </c>
      <c r="R1857">
        <v>8.1096398930830276</v>
      </c>
      <c r="S1857">
        <v>1.894020743850138</v>
      </c>
      <c r="T1857">
        <v>1.6645156067869751</v>
      </c>
      <c r="U1857">
        <f t="shared" si="191"/>
        <v>4.4283694219390339</v>
      </c>
      <c r="V1857" t="str">
        <f t="shared" si="189"/>
        <v>2017/18Expenditure driversOperational IT and telecomsActual</v>
      </c>
    </row>
    <row r="1858" spans="1:22">
      <c r="A1858" t="s">
        <v>139</v>
      </c>
      <c r="C1858" t="s">
        <v>1344</v>
      </c>
      <c r="D1858" t="s">
        <v>74</v>
      </c>
      <c r="E1858" t="s">
        <v>602</v>
      </c>
      <c r="F1858" t="s">
        <v>1289</v>
      </c>
      <c r="G1858">
        <v>3.0767193371166979</v>
      </c>
      <c r="H1858">
        <v>-2.5878385241288626</v>
      </c>
      <c r="I1858">
        <v>-5.6844212119132331</v>
      </c>
      <c r="J1858">
        <v>-1.2692853259352619</v>
      </c>
      <c r="K1858">
        <v>-2.9814198749465195</v>
      </c>
      <c r="L1858">
        <v>-6.321030637387361</v>
      </c>
      <c r="M1858">
        <v>-3.7353499611877639</v>
      </c>
      <c r="N1858">
        <v>-2.3540243217109147</v>
      </c>
      <c r="O1858">
        <v>-0.79921434365454491</v>
      </c>
      <c r="P1858">
        <v>0.29467425423169225</v>
      </c>
      <c r="Q1858">
        <v>-9.6434893264465416E-3</v>
      </c>
      <c r="R1858">
        <v>2.7191626930408521</v>
      </c>
      <c r="S1858">
        <v>-0.9414533113486796</v>
      </c>
      <c r="T1858">
        <v>-3.9851686893245013</v>
      </c>
      <c r="U1858">
        <f>U1857-U1856</f>
        <v>-1.7555923861767742</v>
      </c>
      <c r="V1858" t="str">
        <f t="shared" si="189"/>
        <v>2017/18Expenditure driversOperational IT and telecomsDifference</v>
      </c>
    </row>
    <row r="1859" spans="1:22">
      <c r="A1859" t="s">
        <v>139</v>
      </c>
      <c r="C1859" t="s">
        <v>1344</v>
      </c>
      <c r="D1859" t="s">
        <v>74</v>
      </c>
      <c r="E1859" t="s">
        <v>1346</v>
      </c>
      <c r="F1859" t="s">
        <v>606</v>
      </c>
      <c r="G1859" s="829">
        <v>0.45429021483614895</v>
      </c>
      <c r="H1859" s="829">
        <v>-0.67763428633915868</v>
      </c>
      <c r="I1859" s="829">
        <v>-0.83419654360834039</v>
      </c>
      <c r="J1859" s="829">
        <v>-0.13949117012198084</v>
      </c>
      <c r="K1859" s="829">
        <v>-0.32304650248139821</v>
      </c>
      <c r="L1859" s="829">
        <v>-0.82305681107888473</v>
      </c>
      <c r="M1859" s="829">
        <v>-0.56086597262165316</v>
      </c>
      <c r="N1859" s="829">
        <v>-0.32581755686158148</v>
      </c>
      <c r="O1859" s="829">
        <v>-0.15427523290236306</v>
      </c>
      <c r="P1859" s="829">
        <v>4.240946105405749E-2</v>
      </c>
      <c r="Q1859" s="829">
        <v>-2.9473233245455978E-3</v>
      </c>
      <c r="R1859" s="829">
        <v>0.50443821430495561</v>
      </c>
      <c r="S1859" s="829">
        <v>-0.33202677683561693</v>
      </c>
      <c r="T1859" s="829">
        <v>-0.70537900534856157</v>
      </c>
      <c r="U1859" s="829">
        <f>U1858/U1856</f>
        <v>-0.2838944418888133</v>
      </c>
      <c r="V1859" t="str">
        <f t="shared" si="189"/>
        <v>2017/18Expenditure driversOperational IT and telecomsDifference %</v>
      </c>
    </row>
    <row r="1860" spans="1:22">
      <c r="A1860" t="s">
        <v>140</v>
      </c>
      <c r="C1860" t="s">
        <v>1344</v>
      </c>
      <c r="D1860" t="s">
        <v>74</v>
      </c>
      <c r="E1860" t="s">
        <v>297</v>
      </c>
      <c r="F1860" t="s">
        <v>1289</v>
      </c>
      <c r="G1860">
        <f t="array" ref="G1860:T1863">TRANSPOSE('Ch4 expenditure drivers'!AU454:AX467)</f>
        <v>8.2211683739992303</v>
      </c>
      <c r="H1860">
        <v>3.9506673845267875</v>
      </c>
      <c r="I1860">
        <v>6.8617524394692992</v>
      </c>
      <c r="J1860">
        <v>1.5726282750918494</v>
      </c>
      <c r="K1860">
        <v>1.7028923637425946</v>
      </c>
      <c r="L1860">
        <v>7.0943379096309958</v>
      </c>
      <c r="M1860">
        <v>7.0722569906449584</v>
      </c>
      <c r="N1860">
        <v>6.8187509728798368</v>
      </c>
      <c r="O1860">
        <v>4.992208735637333</v>
      </c>
      <c r="P1860">
        <v>6.8511588846479485</v>
      </c>
      <c r="Q1860">
        <v>3.2696898846113616</v>
      </c>
      <c r="R1860">
        <v>4.094071743219434</v>
      </c>
      <c r="S1860">
        <v>2.9114109603798379</v>
      </c>
      <c r="T1860">
        <v>5.8953149885966925</v>
      </c>
      <c r="U1860">
        <f>AVERAGE(G1860:T1860)</f>
        <v>5.093450707648441</v>
      </c>
      <c r="V1860" t="str">
        <f t="shared" si="189"/>
        <v>2018/19Expenditure driversOperational IT and telecomsAllowance</v>
      </c>
    </row>
    <row r="1861" spans="1:22">
      <c r="A1861" t="s">
        <v>140</v>
      </c>
      <c r="C1861" t="s">
        <v>1344</v>
      </c>
      <c r="D1861" t="s">
        <v>74</v>
      </c>
      <c r="E1861" t="s">
        <v>298</v>
      </c>
      <c r="F1861" t="s">
        <v>1289</v>
      </c>
      <c r="G1861">
        <v>10.437584869562617</v>
      </c>
      <c r="H1861">
        <v>1.6680448286642631</v>
      </c>
      <c r="I1861">
        <v>2.8486655274254868</v>
      </c>
      <c r="J1861">
        <v>3.8443896656642242</v>
      </c>
      <c r="K1861">
        <v>1.1437726474367118</v>
      </c>
      <c r="L1861">
        <v>0.79319435949567241</v>
      </c>
      <c r="M1861">
        <v>0.23415817979019299</v>
      </c>
      <c r="N1861">
        <v>4.7744602237982861</v>
      </c>
      <c r="O1861">
        <v>4.0353130298046276</v>
      </c>
      <c r="P1861">
        <v>5.8494879340790167</v>
      </c>
      <c r="Q1861">
        <v>4.2526041910610894</v>
      </c>
      <c r="R1861">
        <v>8.3158598091762865</v>
      </c>
      <c r="S1861">
        <v>2.6921389848081971</v>
      </c>
      <c r="T1861">
        <v>2.324306418809635</v>
      </c>
      <c r="U1861">
        <f>AVERAGE(G1861:T1861)</f>
        <v>3.8009986192554499</v>
      </c>
      <c r="V1861" t="str">
        <f t="shared" si="189"/>
        <v>2018/19Expenditure driversOperational IT and telecomsActual</v>
      </c>
    </row>
    <row r="1862" spans="1:22">
      <c r="A1862" t="s">
        <v>140</v>
      </c>
      <c r="C1862" t="s">
        <v>1344</v>
      </c>
      <c r="D1862" t="s">
        <v>74</v>
      </c>
      <c r="E1862" t="s">
        <v>602</v>
      </c>
      <c r="F1862" t="s">
        <v>1289</v>
      </c>
      <c r="G1862">
        <v>2.2164164955633865</v>
      </c>
      <c r="H1862">
        <v>-2.2826225558625244</v>
      </c>
      <c r="I1862">
        <v>-4.0130869120438124</v>
      </c>
      <c r="J1862">
        <v>2.271761390572375</v>
      </c>
      <c r="K1862">
        <v>-0.55911971630588275</v>
      </c>
      <c r="L1862">
        <v>-6.3011435501353237</v>
      </c>
      <c r="M1862">
        <v>-6.8380988108547651</v>
      </c>
      <c r="N1862">
        <v>-2.0442907490815507</v>
      </c>
      <c r="O1862">
        <v>-0.95689570583270545</v>
      </c>
      <c r="P1862">
        <v>-1.0016709505689319</v>
      </c>
      <c r="Q1862">
        <v>0.98291430644972788</v>
      </c>
      <c r="R1862">
        <v>4.2217880659568525</v>
      </c>
      <c r="S1862">
        <v>-0.2192719755716408</v>
      </c>
      <c r="T1862">
        <v>-3.5710085697870575</v>
      </c>
      <c r="U1862">
        <f>U1861-U1860</f>
        <v>-1.2924520883929911</v>
      </c>
      <c r="V1862" t="str">
        <f t="shared" si="189"/>
        <v>2018/19Expenditure driversOperational IT and telecomsDifference</v>
      </c>
    </row>
    <row r="1863" spans="1:22">
      <c r="A1863" t="s">
        <v>140</v>
      </c>
      <c r="C1863" t="s">
        <v>1344</v>
      </c>
      <c r="D1863" t="s">
        <v>74</v>
      </c>
      <c r="E1863" t="s">
        <v>1346</v>
      </c>
      <c r="F1863" t="s">
        <v>606</v>
      </c>
      <c r="G1863" s="829">
        <v>0.26959872304442284</v>
      </c>
      <c r="H1863" s="829">
        <v>-0.57778150719614119</v>
      </c>
      <c r="I1863" s="829">
        <v>-0.58484868806403512</v>
      </c>
      <c r="J1863" s="829">
        <v>1.4445634906568703</v>
      </c>
      <c r="K1863" s="829">
        <v>-0.32833532418752337</v>
      </c>
      <c r="L1863" s="829">
        <v>-0.88819332126555994</v>
      </c>
      <c r="M1863" s="829">
        <v>-0.96689060082234946</v>
      </c>
      <c r="N1863" s="829">
        <v>-0.29980428339622489</v>
      </c>
      <c r="O1863" s="829">
        <v>-0.19167782368590058</v>
      </c>
      <c r="P1863" s="829">
        <v>-0.1462046009199221</v>
      </c>
      <c r="Q1863" s="829">
        <v>0.3006139239919256</v>
      </c>
      <c r="R1863" s="829">
        <v>1.0311954285972007</v>
      </c>
      <c r="S1863" s="829">
        <v>-7.5314676820146823E-2</v>
      </c>
      <c r="T1863" s="829">
        <v>-0.60573668696150407</v>
      </c>
      <c r="U1863" s="829">
        <f>U1862/U1860</f>
        <v>-0.25374783473455742</v>
      </c>
      <c r="V1863" t="str">
        <f t="shared" si="189"/>
        <v>2018/19Expenditure driversOperational IT and telecomsDifference %</v>
      </c>
    </row>
    <row r="1864" spans="1:22">
      <c r="A1864" t="s">
        <v>141</v>
      </c>
      <c r="C1864" t="s">
        <v>1344</v>
      </c>
      <c r="D1864" t="s">
        <v>74</v>
      </c>
      <c r="E1864" t="s">
        <v>297</v>
      </c>
      <c r="F1864" t="s">
        <v>1289</v>
      </c>
      <c r="G1864" s="229">
        <f t="array" ref="G1864:T1867">TRANSPOSE('Ch4 expenditure drivers'!AZ454:BC467)</f>
        <v>7.5940778367007615</v>
      </c>
      <c r="H1864" s="229">
        <v>3.3367222672264019</v>
      </c>
      <c r="I1864" s="229">
        <v>6.2334295479715154</v>
      </c>
      <c r="J1864" s="229">
        <v>2.264141210134651</v>
      </c>
      <c r="K1864" s="229">
        <v>2.623566246202671</v>
      </c>
      <c r="L1864" s="229">
        <v>1.7237383672079556</v>
      </c>
      <c r="M1864" s="229">
        <v>2.3574460263997694</v>
      </c>
      <c r="N1864" s="229">
        <v>6.7927073605124741</v>
      </c>
      <c r="O1864" s="229">
        <v>5.1266786922187269</v>
      </c>
      <c r="P1864" s="229">
        <v>7.0968299105535477</v>
      </c>
      <c r="Q1864" s="229">
        <v>3.5640624674275219</v>
      </c>
      <c r="R1864" s="229">
        <v>4.7289473714005377</v>
      </c>
      <c r="S1864" s="229">
        <v>2.5006224464776881</v>
      </c>
      <c r="T1864" s="229">
        <v>4.4764446549247072</v>
      </c>
      <c r="U1864" s="229">
        <f>AVERAGE(G1864:T1864)</f>
        <v>4.3156724575256371</v>
      </c>
      <c r="V1864" t="str">
        <f t="shared" si="189"/>
        <v>2019/20Expenditure driversOperational IT and telecomsAllowance</v>
      </c>
    </row>
    <row r="1865" spans="1:22">
      <c r="A1865" t="s">
        <v>141</v>
      </c>
      <c r="C1865" t="s">
        <v>1344</v>
      </c>
      <c r="D1865" t="s">
        <v>74</v>
      </c>
      <c r="E1865" t="s">
        <v>298</v>
      </c>
      <c r="F1865" t="s">
        <v>1289</v>
      </c>
      <c r="G1865" s="229">
        <v>10.221564737647906</v>
      </c>
      <c r="H1865" s="229">
        <v>1.8273242701578802</v>
      </c>
      <c r="I1865" s="229">
        <v>4.2942653099601493</v>
      </c>
      <c r="J1865" s="229">
        <v>2.8326702685778384</v>
      </c>
      <c r="K1865" s="229">
        <v>2.2850642205875271</v>
      </c>
      <c r="L1865" s="229">
        <v>0.99725324282106509</v>
      </c>
      <c r="M1865" s="229">
        <v>1.6310416698206043</v>
      </c>
      <c r="N1865" s="229">
        <v>6.9622931272584614</v>
      </c>
      <c r="O1865" s="229">
        <v>6.0424944116166213</v>
      </c>
      <c r="P1865" s="229">
        <v>8.1191932114109377</v>
      </c>
      <c r="Q1865" s="229">
        <v>4.5430420367467885</v>
      </c>
      <c r="R1865" s="229">
        <v>6.8633649995286286</v>
      </c>
      <c r="S1865" s="229">
        <v>3.196333652775897</v>
      </c>
      <c r="T1865" s="229">
        <v>4.874618420688738</v>
      </c>
      <c r="U1865" s="229">
        <f>AVERAGE(G1865:T1865)</f>
        <v>4.6207516842570744</v>
      </c>
      <c r="V1865" t="str">
        <f t="shared" si="189"/>
        <v>2019/20Expenditure driversOperational IT and telecomsActual</v>
      </c>
    </row>
    <row r="1866" spans="1:22">
      <c r="A1866" t="s">
        <v>141</v>
      </c>
      <c r="C1866" t="s">
        <v>1344</v>
      </c>
      <c r="D1866" t="s">
        <v>74</v>
      </c>
      <c r="E1866" t="s">
        <v>602</v>
      </c>
      <c r="F1866" t="s">
        <v>1289</v>
      </c>
      <c r="G1866" s="229">
        <v>2.6274869009471447</v>
      </c>
      <c r="H1866" s="229">
        <v>-1.5093979970685216</v>
      </c>
      <c r="I1866" s="229">
        <v>-1.9391642380113661</v>
      </c>
      <c r="J1866" s="229">
        <v>0.56852905844318746</v>
      </c>
      <c r="K1866" s="229">
        <v>-0.33850202561514386</v>
      </c>
      <c r="L1866" s="229">
        <v>-0.7264851243868905</v>
      </c>
      <c r="M1866" s="229">
        <v>-0.72640435657916513</v>
      </c>
      <c r="N1866" s="229">
        <v>0.16958576674598724</v>
      </c>
      <c r="O1866" s="229">
        <v>0.91581571939789441</v>
      </c>
      <c r="P1866" s="229">
        <v>1.02236330085739</v>
      </c>
      <c r="Q1866" s="229">
        <v>0.97897956931926666</v>
      </c>
      <c r="R1866" s="229">
        <v>2.1344176281280909</v>
      </c>
      <c r="S1866" s="229">
        <v>0.69571120629820893</v>
      </c>
      <c r="T1866" s="229">
        <v>0.39817376576403074</v>
      </c>
      <c r="U1866" s="229">
        <f>U1865-U1864</f>
        <v>0.30507922673143728</v>
      </c>
      <c r="V1866" t="str">
        <f t="shared" si="189"/>
        <v>2019/20Expenditure driversOperational IT and telecomsDifference</v>
      </c>
    </row>
    <row r="1867" spans="1:22">
      <c r="A1867" t="s">
        <v>141</v>
      </c>
      <c r="C1867" t="s">
        <v>1344</v>
      </c>
      <c r="D1867" t="s">
        <v>74</v>
      </c>
      <c r="E1867" t="s">
        <v>1346</v>
      </c>
      <c r="F1867" t="s">
        <v>606</v>
      </c>
      <c r="G1867" s="829">
        <v>0.34599156835725209</v>
      </c>
      <c r="H1867" s="829">
        <v>-0.45235949419403881</v>
      </c>
      <c r="I1867" s="829">
        <v>-0.3110910652134361</v>
      </c>
      <c r="J1867" s="829">
        <v>0.25110141359485982</v>
      </c>
      <c r="K1867" s="829">
        <v>-0.1290236242767222</v>
      </c>
      <c r="L1867" s="829">
        <v>-0.42145904402164169</v>
      </c>
      <c r="M1867" s="829">
        <v>-0.3081319141327325</v>
      </c>
      <c r="N1867" s="829">
        <v>2.496585790399675E-2</v>
      </c>
      <c r="O1867" s="829">
        <v>0.17863723755263219</v>
      </c>
      <c r="P1867" s="829">
        <v>0.14405915228953914</v>
      </c>
      <c r="Q1867" s="829">
        <v>0.2746808110874322</v>
      </c>
      <c r="R1867" s="829">
        <v>0.45135152931421946</v>
      </c>
      <c r="S1867" s="829">
        <v>0.27821521288756312</v>
      </c>
      <c r="T1867" s="829">
        <v>8.8948662712937734E-2</v>
      </c>
      <c r="U1867" s="829">
        <f>U1866/U1864</f>
        <v>7.0691005801295795E-2</v>
      </c>
      <c r="V1867" t="str">
        <f t="shared" si="189"/>
        <v>2019/20Expenditure driversOperational IT and telecomsDifference %</v>
      </c>
    </row>
    <row r="1868" spans="1:22">
      <c r="A1868" t="s">
        <v>126</v>
      </c>
      <c r="C1868" t="s">
        <v>1344</v>
      </c>
      <c r="D1868" t="s">
        <v>74</v>
      </c>
      <c r="E1868" t="s">
        <v>297</v>
      </c>
      <c r="F1868" t="s">
        <v>1289</v>
      </c>
      <c r="G1868" s="229" cm="1">
        <f t="array" ref="G1868:T1871">TRANSPOSE('Ch4 expenditure drivers'!BE454:BH467)</f>
        <v>7.0663406611712967</v>
      </c>
      <c r="H1868" s="229">
        <v>3.2762776631663066</v>
      </c>
      <c r="I1868" s="229">
        <v>5.9202780557689829</v>
      </c>
      <c r="J1868" s="229">
        <v>2.6355572076481386</v>
      </c>
      <c r="K1868" s="229">
        <v>2.7674060343369393</v>
      </c>
      <c r="L1868" s="229">
        <v>3.0346863540731075</v>
      </c>
      <c r="M1868" s="229">
        <v>3.798873765207528</v>
      </c>
      <c r="N1868" s="229">
        <v>6.910262590809479</v>
      </c>
      <c r="O1868" s="229">
        <v>4.7972982876637502</v>
      </c>
      <c r="P1868" s="229">
        <v>5.8564709407746962</v>
      </c>
      <c r="Q1868" s="229">
        <v>2.8462581642993752</v>
      </c>
      <c r="R1868" s="229">
        <v>3.7141539002518624</v>
      </c>
      <c r="S1868" s="229">
        <v>2.3152917822938908</v>
      </c>
      <c r="T1868" s="229">
        <v>4.1756884603405036</v>
      </c>
      <c r="U1868" s="229">
        <f>AVERAGE(G1868:T1868)</f>
        <v>4.2224888477004185</v>
      </c>
      <c r="V1868" t="str">
        <f t="shared" si="189"/>
        <v>2020/21Expenditure driversOperational IT and telecomsAllowance</v>
      </c>
    </row>
    <row r="1869" spans="1:22">
      <c r="A1869" t="s">
        <v>126</v>
      </c>
      <c r="C1869" t="s">
        <v>1344</v>
      </c>
      <c r="D1869" t="s">
        <v>74</v>
      </c>
      <c r="E1869" t="s">
        <v>298</v>
      </c>
      <c r="F1869" t="s">
        <v>1289</v>
      </c>
      <c r="G1869" s="229">
        <v>6.8895721657690814</v>
      </c>
      <c r="H1869" s="229">
        <v>1.6864174004738806</v>
      </c>
      <c r="I1869" s="229">
        <v>3.4208370259857164</v>
      </c>
      <c r="J1869" s="229">
        <v>5.1867247277906765</v>
      </c>
      <c r="K1869" s="229">
        <v>4.6040049046969926</v>
      </c>
      <c r="L1869" s="229">
        <v>2.8349017931991018</v>
      </c>
      <c r="M1869" s="229">
        <v>4.7590724778782132</v>
      </c>
      <c r="N1869" s="229">
        <v>3.9195494506599764</v>
      </c>
      <c r="O1869" s="229">
        <v>7.1007434424934424</v>
      </c>
      <c r="P1869" s="229">
        <v>9.4736227224511307</v>
      </c>
      <c r="Q1869" s="229">
        <v>3.4330799599490769</v>
      </c>
      <c r="R1869" s="229">
        <v>6.6145525538752494</v>
      </c>
      <c r="S1869" s="229">
        <v>3.1054587234150675</v>
      </c>
      <c r="T1869" s="229">
        <v>4.775575348668478</v>
      </c>
      <c r="U1869" s="229">
        <f>AVERAGE(G1869:T1869)</f>
        <v>4.8431509069504344</v>
      </c>
      <c r="V1869" t="str">
        <f t="shared" si="189"/>
        <v>2020/21Expenditure driversOperational IT and telecomsActual</v>
      </c>
    </row>
    <row r="1870" spans="1:22">
      <c r="A1870" t="s">
        <v>126</v>
      </c>
      <c r="C1870" t="s">
        <v>1344</v>
      </c>
      <c r="D1870" t="s">
        <v>74</v>
      </c>
      <c r="E1870" t="s">
        <v>602</v>
      </c>
      <c r="F1870" t="s">
        <v>1289</v>
      </c>
      <c r="G1870" s="229">
        <v>-0.17676849540221529</v>
      </c>
      <c r="H1870" s="229">
        <v>-1.5898602626924261</v>
      </c>
      <c r="I1870" s="229">
        <v>-2.4994410297832665</v>
      </c>
      <c r="J1870" s="229">
        <v>2.5511675201425379</v>
      </c>
      <c r="K1870" s="229">
        <v>1.8365988703600533</v>
      </c>
      <c r="L1870" s="229">
        <v>-0.19978456087400565</v>
      </c>
      <c r="M1870" s="229">
        <v>0.96019871267068524</v>
      </c>
      <c r="N1870" s="229">
        <v>-2.9907131401495026</v>
      </c>
      <c r="O1870" s="229">
        <v>2.3034451548296921</v>
      </c>
      <c r="P1870" s="229">
        <v>3.6171517816764345</v>
      </c>
      <c r="Q1870" s="229">
        <v>0.58682179564970172</v>
      </c>
      <c r="R1870" s="229">
        <v>2.900398653623387</v>
      </c>
      <c r="S1870" s="229">
        <v>0.79016694112117669</v>
      </c>
      <c r="T1870" s="229">
        <v>0.59988688832797443</v>
      </c>
      <c r="U1870" s="229">
        <f>U1869-U1868</f>
        <v>0.62066205925001583</v>
      </c>
      <c r="V1870" t="str">
        <f t="shared" si="189"/>
        <v>2020/21Expenditure driversOperational IT and telecomsDifference</v>
      </c>
    </row>
    <row r="1871" spans="1:22">
      <c r="A1871" t="s">
        <v>126</v>
      </c>
      <c r="C1871" t="s">
        <v>1344</v>
      </c>
      <c r="D1871" t="s">
        <v>74</v>
      </c>
      <c r="E1871" t="s">
        <v>1346</v>
      </c>
      <c r="F1871" t="s">
        <v>606</v>
      </c>
      <c r="G1871" s="829">
        <v>-2.5015563766057472E-2</v>
      </c>
      <c r="H1871" s="829">
        <v>-0.48526420106772356</v>
      </c>
      <c r="I1871" s="829">
        <v>-0.42218304718774141</v>
      </c>
      <c r="J1871" s="829">
        <v>0.96798032413763979</v>
      </c>
      <c r="K1871" s="829">
        <v>0.6636535613394714</v>
      </c>
      <c r="L1871" s="829">
        <v>-6.5833676882574049E-2</v>
      </c>
      <c r="M1871" s="829">
        <v>0.25275878379134054</v>
      </c>
      <c r="N1871" s="829">
        <v>-0.43279298012887318</v>
      </c>
      <c r="O1871" s="829">
        <v>0.48015466554435443</v>
      </c>
      <c r="P1871" s="829">
        <v>0.61763335262070918</v>
      </c>
      <c r="Q1871" s="829">
        <v>0.20617307418216987</v>
      </c>
      <c r="R1871" s="829">
        <v>0.78090427362923942</v>
      </c>
      <c r="S1871" s="829">
        <v>0.3412817974667165</v>
      </c>
      <c r="T1871" s="829">
        <v>0.1436617923069522</v>
      </c>
      <c r="U1871" s="829">
        <f>U1870/U1868</f>
        <v>0.14698962664828125</v>
      </c>
      <c r="V1871" t="str">
        <f t="shared" ref="V1871:V1943" si="193">CONCATENATE(A1871,B1871,C1871,D1871,E1871)</f>
        <v>2020/21Expenditure driversOperational IT and telecomsDifference %</v>
      </c>
    </row>
    <row r="1872" spans="1:22">
      <c r="A1872" t="s">
        <v>142</v>
      </c>
      <c r="C1872" t="s">
        <v>1344</v>
      </c>
      <c r="D1872" t="s">
        <v>74</v>
      </c>
      <c r="E1872" t="s">
        <v>297</v>
      </c>
      <c r="F1872" t="s">
        <v>1289</v>
      </c>
      <c r="G1872" s="229" cm="1">
        <f t="array" ref="G1872:T1875">TRANSPOSE('Ch4 expenditure drivers'!BJ454:BM467)</f>
        <v>10.767182167049359</v>
      </c>
      <c r="H1872" s="229">
        <v>3.9216485744356424</v>
      </c>
      <c r="I1872" s="229">
        <v>6.8430283691867499</v>
      </c>
      <c r="J1872" s="229">
        <v>1.0589538411926898</v>
      </c>
      <c r="K1872" s="229">
        <v>1.1891995703062208</v>
      </c>
      <c r="L1872" s="229">
        <v>1.2628352412898549</v>
      </c>
      <c r="M1872" s="229">
        <v>1.6655755555344247</v>
      </c>
      <c r="N1872" s="229">
        <v>7.6692612545416861</v>
      </c>
      <c r="O1872" s="229">
        <v>5.3291595470036155</v>
      </c>
      <c r="P1872" s="229">
        <v>6.0882624211364078</v>
      </c>
      <c r="Q1872" s="229">
        <v>2.7087354498103071</v>
      </c>
      <c r="R1872" s="229">
        <v>3.5987083250664096</v>
      </c>
      <c r="S1872" s="229">
        <v>1.9932593721956835</v>
      </c>
      <c r="T1872" s="229">
        <v>3.9846312757337565</v>
      </c>
      <c r="U1872" s="229">
        <f>AVERAGE(G1872:T1872)</f>
        <v>4.1486029260344859</v>
      </c>
      <c r="V1872" t="str">
        <f t="shared" si="193"/>
        <v>2021/22Expenditure driversOperational IT and telecomsAllowance</v>
      </c>
    </row>
    <row r="1873" spans="1:22">
      <c r="A1873" t="s">
        <v>142</v>
      </c>
      <c r="C1873" t="s">
        <v>1344</v>
      </c>
      <c r="D1873" t="s">
        <v>74</v>
      </c>
      <c r="E1873" t="s">
        <v>298</v>
      </c>
      <c r="F1873" t="s">
        <v>1289</v>
      </c>
      <c r="G1873" s="229">
        <v>5.966767296606494</v>
      </c>
      <c r="H1873" s="229">
        <v>8.9969396099999965</v>
      </c>
      <c r="I1873" s="229">
        <v>4.8622596800000002</v>
      </c>
      <c r="J1873" s="229">
        <v>3.0106000000000002</v>
      </c>
      <c r="K1873" s="229">
        <v>2.9646999999999997</v>
      </c>
      <c r="L1873" s="229">
        <v>2.1769999999999996</v>
      </c>
      <c r="M1873" s="229">
        <v>2.7907999999999999</v>
      </c>
      <c r="N1873" s="229">
        <v>5.1541619783120902</v>
      </c>
      <c r="O1873" s="229">
        <v>6.0353012891735762</v>
      </c>
      <c r="P1873" s="229">
        <v>8.6302650698002683</v>
      </c>
      <c r="Q1873" s="229">
        <v>5.7279613899999999</v>
      </c>
      <c r="R1873" s="229">
        <v>7.1376170734955666</v>
      </c>
      <c r="S1873" s="229">
        <v>2.91089464</v>
      </c>
      <c r="T1873" s="229">
        <v>3.1512245999999999</v>
      </c>
      <c r="U1873" s="229">
        <f>AVERAGE(G1873:T1873)</f>
        <v>4.9654637590991424</v>
      </c>
      <c r="V1873" t="str">
        <f t="shared" si="193"/>
        <v>2021/22Expenditure driversOperational IT and telecomsActual</v>
      </c>
    </row>
    <row r="1874" spans="1:22">
      <c r="A1874" t="s">
        <v>142</v>
      </c>
      <c r="C1874" t="s">
        <v>1344</v>
      </c>
      <c r="D1874" t="s">
        <v>74</v>
      </c>
      <c r="E1874" t="s">
        <v>602</v>
      </c>
      <c r="F1874" t="s">
        <v>1289</v>
      </c>
      <c r="G1874" s="229">
        <v>-4.8004148704428653</v>
      </c>
      <c r="H1874" s="229">
        <v>5.0752910355643541</v>
      </c>
      <c r="I1874" s="229">
        <v>-1.9807686891867498</v>
      </c>
      <c r="J1874" s="229">
        <v>1.9516461588073104</v>
      </c>
      <c r="K1874" s="229">
        <v>1.7755004296937789</v>
      </c>
      <c r="L1874" s="229">
        <v>0.91416475871014469</v>
      </c>
      <c r="M1874" s="229">
        <v>1.1252244444655752</v>
      </c>
      <c r="N1874" s="229">
        <v>-2.5150992762295958</v>
      </c>
      <c r="O1874" s="229">
        <v>0.70614174216996073</v>
      </c>
      <c r="P1874" s="229">
        <v>2.5420026486638605</v>
      </c>
      <c r="Q1874" s="229">
        <v>3.0192259401896928</v>
      </c>
      <c r="R1874" s="229">
        <v>3.538908748429157</v>
      </c>
      <c r="S1874" s="229">
        <v>0.91763526780431648</v>
      </c>
      <c r="T1874" s="229">
        <v>-0.8334066757337566</v>
      </c>
      <c r="U1874" s="229">
        <f>U1873-U1872</f>
        <v>0.81686083306465651</v>
      </c>
      <c r="V1874" t="str">
        <f t="shared" si="193"/>
        <v>2021/22Expenditure driversOperational IT and telecomsDifference</v>
      </c>
    </row>
    <row r="1875" spans="1:22">
      <c r="A1875" t="s">
        <v>142</v>
      </c>
      <c r="C1875" t="s">
        <v>1344</v>
      </c>
      <c r="D1875" t="s">
        <v>74</v>
      </c>
      <c r="E1875" t="s">
        <v>1346</v>
      </c>
      <c r="F1875" t="s">
        <v>606</v>
      </c>
      <c r="G1875" s="829">
        <v>-0.4458376199051875</v>
      </c>
      <c r="H1875" s="829">
        <v>1.2941728304389768</v>
      </c>
      <c r="I1875" s="829">
        <v>-0.28945790990811737</v>
      </c>
      <c r="J1875" s="829">
        <v>1.8429945507437695</v>
      </c>
      <c r="K1875" s="829">
        <v>1.4930214187990201</v>
      </c>
      <c r="L1875" s="829">
        <v>0.72389867563120935</v>
      </c>
      <c r="M1875" s="829">
        <v>0.67557694439417382</v>
      </c>
      <c r="N1875" s="829">
        <v>-0.32794544256008629</v>
      </c>
      <c r="O1875" s="829">
        <v>0.13250527328779216</v>
      </c>
      <c r="P1875" s="829">
        <v>0.41752514475047575</v>
      </c>
      <c r="Q1875" s="829">
        <v>1.1146256237024288</v>
      </c>
      <c r="R1875" s="829">
        <v>0.98338304434935031</v>
      </c>
      <c r="S1875" s="829">
        <v>0.46036922269352804</v>
      </c>
      <c r="T1875" s="829">
        <v>-0.20915528139558848</v>
      </c>
      <c r="U1875" s="829">
        <f>U1874/U1872</f>
        <v>0.19690022102102384</v>
      </c>
      <c r="V1875" t="str">
        <f t="shared" ref="V1875" si="194">CONCATENATE(A1875,B1875,C1875,D1875,E1875)</f>
        <v>2021/22Expenditure driversOperational IT and telecomsDifference %</v>
      </c>
    </row>
    <row r="1876" spans="1:22">
      <c r="A1876" t="s">
        <v>137</v>
      </c>
      <c r="C1876" t="s">
        <v>1344</v>
      </c>
      <c r="D1876" t="s">
        <v>75</v>
      </c>
      <c r="E1876" t="s">
        <v>1347</v>
      </c>
      <c r="F1876" t="s">
        <v>1289</v>
      </c>
      <c r="G1876">
        <f t="array" ref="G1876:T1883">TRANSPOSE('Ch4 expenditure drivers'!E474:L487)</f>
        <v>0</v>
      </c>
      <c r="H1876">
        <v>2.2383493841291044</v>
      </c>
      <c r="I1876">
        <v>2.2336229293680292</v>
      </c>
      <c r="J1876">
        <v>0.29310526019539673</v>
      </c>
      <c r="K1876">
        <v>0.52908068248688034</v>
      </c>
      <c r="L1876">
        <v>0.11094996115045777</v>
      </c>
      <c r="M1876">
        <v>0.24685208931870709</v>
      </c>
      <c r="N1876">
        <v>0.57831861722688827</v>
      </c>
      <c r="O1876">
        <v>0.93003824501482901</v>
      </c>
      <c r="P1876">
        <v>1.2513725059459202</v>
      </c>
      <c r="Q1876">
        <v>0.30377322121376626</v>
      </c>
      <c r="R1876">
        <v>0.63755171906333175</v>
      </c>
      <c r="S1876">
        <v>1.448774692359778</v>
      </c>
      <c r="T1876">
        <v>2.0713870434453479</v>
      </c>
      <c r="U1876">
        <f>AVERAGE(G1876:T1876)</f>
        <v>0.91951259649417405</v>
      </c>
      <c r="V1876" t="str">
        <f t="shared" si="193"/>
        <v>2015/16Expenditure driversBlackstartBPDT</v>
      </c>
    </row>
    <row r="1877" spans="1:22">
      <c r="A1877" t="s">
        <v>138</v>
      </c>
      <c r="C1877" t="s">
        <v>1344</v>
      </c>
      <c r="D1877" t="s">
        <v>75</v>
      </c>
      <c r="E1877" t="s">
        <v>1347</v>
      </c>
      <c r="F1877" t="s">
        <v>1289</v>
      </c>
      <c r="G1877">
        <v>0</v>
      </c>
      <c r="H1877">
        <v>2.1196614540485181</v>
      </c>
      <c r="I1877">
        <v>2.1774373847930311</v>
      </c>
      <c r="J1877">
        <v>0.62025699754064401</v>
      </c>
      <c r="K1877">
        <v>1.1798821167169296</v>
      </c>
      <c r="L1877">
        <v>0.29136120529617182</v>
      </c>
      <c r="M1877">
        <v>0.64030984196443763</v>
      </c>
      <c r="N1877">
        <v>0.5823829928221691</v>
      </c>
      <c r="O1877">
        <v>0.92963766913646506</v>
      </c>
      <c r="P1877">
        <v>1.2629612480041728</v>
      </c>
      <c r="Q1877">
        <v>0.25922724755624021</v>
      </c>
      <c r="R1877">
        <v>0.84154504960399212</v>
      </c>
      <c r="S1877">
        <v>1.4453019920691477</v>
      </c>
      <c r="T1877">
        <v>1.0859048698708282</v>
      </c>
      <c r="U1877">
        <f t="shared" ref="U1877:U1908" si="195">AVERAGE(G1877:T1877)</f>
        <v>0.95970500495876776</v>
      </c>
      <c r="V1877" t="str">
        <f t="shared" si="193"/>
        <v>2016/17Expenditure driversBlackstartBPDT</v>
      </c>
    </row>
    <row r="1878" spans="1:22">
      <c r="A1878" t="s">
        <v>139</v>
      </c>
      <c r="C1878" t="s">
        <v>1344</v>
      </c>
      <c r="D1878" t="s">
        <v>75</v>
      </c>
      <c r="E1878" t="s">
        <v>1347</v>
      </c>
      <c r="F1878" t="s">
        <v>1289</v>
      </c>
      <c r="G1878">
        <v>0</v>
      </c>
      <c r="H1878">
        <v>0.8557548360668441</v>
      </c>
      <c r="I1878">
        <v>2.1629508365737418</v>
      </c>
      <c r="J1878">
        <v>0.94441472413524252</v>
      </c>
      <c r="K1878">
        <v>1.7786734679560345</v>
      </c>
      <c r="L1878">
        <v>0.42561223418389182</v>
      </c>
      <c r="M1878">
        <v>0.934709492122617</v>
      </c>
      <c r="N1878">
        <v>0.57977660756770044</v>
      </c>
      <c r="O1878">
        <v>0.93697496848230311</v>
      </c>
      <c r="P1878">
        <v>1.2733966651295183</v>
      </c>
      <c r="Q1878">
        <v>0.28582861443617724</v>
      </c>
      <c r="R1878">
        <v>0.93346833863885781</v>
      </c>
      <c r="S1878">
        <v>1.4439134926155974</v>
      </c>
      <c r="T1878">
        <v>0</v>
      </c>
      <c r="U1878">
        <f t="shared" si="195"/>
        <v>0.89681959127918021</v>
      </c>
      <c r="V1878" t="str">
        <f t="shared" si="193"/>
        <v>2017/18Expenditure driversBlackstartBPDT</v>
      </c>
    </row>
    <row r="1879" spans="1:22">
      <c r="A1879" t="s">
        <v>140</v>
      </c>
      <c r="C1879" t="s">
        <v>1344</v>
      </c>
      <c r="D1879" t="s">
        <v>75</v>
      </c>
      <c r="E1879" t="s">
        <v>1347</v>
      </c>
      <c r="F1879" t="s">
        <v>1289</v>
      </c>
      <c r="G1879">
        <v>0</v>
      </c>
      <c r="H1879">
        <v>0.13141456845238511</v>
      </c>
      <c r="I1879">
        <v>1.602697892725655</v>
      </c>
      <c r="J1879">
        <v>1.0442780480239542</v>
      </c>
      <c r="K1879">
        <v>1.9928920577143547</v>
      </c>
      <c r="L1879">
        <v>0.49212527791163008</v>
      </c>
      <c r="M1879">
        <v>1.0818558393062885</v>
      </c>
      <c r="N1879">
        <v>0.5742583237236184</v>
      </c>
      <c r="O1879">
        <v>0.94439963846702546</v>
      </c>
      <c r="P1879">
        <v>1.2845774700494414</v>
      </c>
      <c r="Q1879">
        <v>0.28606487109867679</v>
      </c>
      <c r="R1879">
        <v>0.91362262528556726</v>
      </c>
      <c r="S1879">
        <v>1.4678452481133204</v>
      </c>
      <c r="T1879">
        <v>0</v>
      </c>
      <c r="U1879">
        <f t="shared" si="195"/>
        <v>0.84400227577656561</v>
      </c>
      <c r="V1879" t="str">
        <f t="shared" si="193"/>
        <v>2018/19Expenditure driversBlackstartBPDT</v>
      </c>
    </row>
    <row r="1880" spans="1:22">
      <c r="A1880" t="s">
        <v>141</v>
      </c>
      <c r="C1880" t="s">
        <v>1344</v>
      </c>
      <c r="D1880" t="s">
        <v>75</v>
      </c>
      <c r="E1880" t="s">
        <v>1347</v>
      </c>
      <c r="F1880" t="s">
        <v>1289</v>
      </c>
      <c r="G1880">
        <v>0</v>
      </c>
      <c r="H1880">
        <v>0.13120390017954331</v>
      </c>
      <c r="I1880">
        <v>0</v>
      </c>
      <c r="J1880">
        <v>0.72090033588423452</v>
      </c>
      <c r="K1880">
        <v>1.3940837045446857</v>
      </c>
      <c r="L1880">
        <v>0.3584579340405768</v>
      </c>
      <c r="M1880">
        <v>0.78952939310485248</v>
      </c>
      <c r="N1880">
        <v>0.35302924194420643</v>
      </c>
      <c r="O1880">
        <v>0.6118545916637772</v>
      </c>
      <c r="P1880">
        <v>0.78873025734563207</v>
      </c>
      <c r="Q1880">
        <v>0.26437019289591257</v>
      </c>
      <c r="R1880">
        <v>0.70733169925345485</v>
      </c>
      <c r="S1880">
        <v>0</v>
      </c>
      <c r="T1880">
        <v>0</v>
      </c>
      <c r="U1880">
        <f t="shared" si="195"/>
        <v>0.43710651791834831</v>
      </c>
      <c r="V1880" t="str">
        <f t="shared" si="193"/>
        <v>2019/20Expenditure driversBlackstartBPDT</v>
      </c>
    </row>
    <row r="1881" spans="1:22">
      <c r="A1881" t="s">
        <v>126</v>
      </c>
      <c r="C1881" t="s">
        <v>1344</v>
      </c>
      <c r="D1881" t="s">
        <v>75</v>
      </c>
      <c r="E1881" t="s">
        <v>1347</v>
      </c>
      <c r="F1881" t="s">
        <v>1289</v>
      </c>
      <c r="G1881">
        <v>3.3966300820495832</v>
      </c>
      <c r="H1881">
        <v>0</v>
      </c>
      <c r="I1881">
        <v>0</v>
      </c>
      <c r="J1881">
        <v>0.39511377234710016</v>
      </c>
      <c r="K1881">
        <v>0.79228189587602704</v>
      </c>
      <c r="L1881">
        <v>0.22489993884116866</v>
      </c>
      <c r="M1881">
        <v>0.49680531105875103</v>
      </c>
      <c r="N1881">
        <v>0</v>
      </c>
      <c r="O1881">
        <v>0</v>
      </c>
      <c r="P1881">
        <v>0</v>
      </c>
      <c r="Q1881">
        <v>0.2658927235925907</v>
      </c>
      <c r="R1881">
        <v>0.68533736931566391</v>
      </c>
      <c r="S1881">
        <v>0</v>
      </c>
      <c r="T1881">
        <v>0</v>
      </c>
      <c r="U1881">
        <f t="shared" si="195"/>
        <v>0.44692579236292035</v>
      </c>
      <c r="V1881" t="str">
        <f t="shared" si="193"/>
        <v>2020/21Expenditure driversBlackstartBPDT</v>
      </c>
    </row>
    <row r="1882" spans="1:22">
      <c r="A1882" t="s">
        <v>142</v>
      </c>
      <c r="C1882" t="s">
        <v>1344</v>
      </c>
      <c r="D1882" t="s">
        <v>75</v>
      </c>
      <c r="E1882" t="s">
        <v>1347</v>
      </c>
      <c r="F1882" t="s">
        <v>1289</v>
      </c>
      <c r="G1882">
        <v>3.404375410806626</v>
      </c>
      <c r="H1882">
        <v>0</v>
      </c>
      <c r="I1882">
        <v>0</v>
      </c>
      <c r="J1882">
        <v>0.3971933414603101</v>
      </c>
      <c r="K1882">
        <v>0.79475302353814059</v>
      </c>
      <c r="L1882">
        <v>0.22611943614191093</v>
      </c>
      <c r="M1882">
        <v>0.49539227963523441</v>
      </c>
      <c r="N1882">
        <v>0</v>
      </c>
      <c r="O1882">
        <v>0</v>
      </c>
      <c r="P1882">
        <v>0</v>
      </c>
      <c r="Q1882">
        <v>0.25236197244525038</v>
      </c>
      <c r="R1882">
        <v>0.60960164772489056</v>
      </c>
      <c r="S1882">
        <v>0</v>
      </c>
      <c r="T1882">
        <v>0</v>
      </c>
      <c r="U1882">
        <f t="shared" si="195"/>
        <v>0.44141407941088306</v>
      </c>
      <c r="V1882" t="str">
        <f t="shared" si="193"/>
        <v>2021/22Expenditure driversBlackstartBPDT</v>
      </c>
    </row>
    <row r="1883" spans="1:22">
      <c r="A1883" t="s">
        <v>143</v>
      </c>
      <c r="C1883" t="s">
        <v>1344</v>
      </c>
      <c r="D1883" t="s">
        <v>75</v>
      </c>
      <c r="E1883" t="s">
        <v>1347</v>
      </c>
      <c r="F1883" t="s">
        <v>1289</v>
      </c>
      <c r="G1883">
        <v>3.4388629636017574</v>
      </c>
      <c r="H1883">
        <v>0</v>
      </c>
      <c r="I1883">
        <v>0</v>
      </c>
      <c r="J1883">
        <v>0.16476167406358741</v>
      </c>
      <c r="K1883">
        <v>0.35320850375509638</v>
      </c>
      <c r="L1883">
        <v>0.11283034211285412</v>
      </c>
      <c r="M1883">
        <v>0.25021463530500948</v>
      </c>
      <c r="N1883">
        <v>0</v>
      </c>
      <c r="O1883">
        <v>0</v>
      </c>
      <c r="P1883">
        <v>0</v>
      </c>
      <c r="Q1883">
        <v>0.23010611867767028</v>
      </c>
      <c r="R1883">
        <v>0.44570698059055902</v>
      </c>
      <c r="S1883">
        <v>0</v>
      </c>
      <c r="T1883">
        <v>0</v>
      </c>
      <c r="U1883">
        <f t="shared" si="195"/>
        <v>0.35683508700760963</v>
      </c>
      <c r="V1883" t="str">
        <f t="shared" si="193"/>
        <v>2022/23Expenditure driversBlackstartBPDT</v>
      </c>
    </row>
    <row r="1884" spans="1:22">
      <c r="A1884" t="s">
        <v>137</v>
      </c>
      <c r="C1884" t="s">
        <v>1344</v>
      </c>
      <c r="D1884" t="s">
        <v>75</v>
      </c>
      <c r="E1884" t="s">
        <v>1348</v>
      </c>
      <c r="F1884" t="s">
        <v>1289</v>
      </c>
      <c r="G1884">
        <f t="array" ref="G1884:T1891">TRANSPOSE('Ch4 expenditure drivers'!N474:U487)</f>
        <v>1.0231135969828125</v>
      </c>
      <c r="H1884">
        <v>0.98632589963739714</v>
      </c>
      <c r="I1884">
        <v>1.2644149561267246</v>
      </c>
      <c r="J1884">
        <v>0.29310526019539673</v>
      </c>
      <c r="K1884">
        <v>0.52908068248688034</v>
      </c>
      <c r="L1884">
        <v>0.11094996115045777</v>
      </c>
      <c r="M1884">
        <v>0.24685208931870709</v>
      </c>
      <c r="N1884">
        <v>0.44079192159919312</v>
      </c>
      <c r="O1884">
        <v>0.7362004982197079</v>
      </c>
      <c r="P1884">
        <v>0.95853551031491802</v>
      </c>
      <c r="Q1884">
        <v>0.30704088617963587</v>
      </c>
      <c r="R1884">
        <v>0.69361116614912077</v>
      </c>
      <c r="S1884">
        <v>0.84539117845025213</v>
      </c>
      <c r="T1884">
        <v>0.70525333665139067</v>
      </c>
      <c r="U1884">
        <f t="shared" si="195"/>
        <v>0.6529047816758996</v>
      </c>
      <c r="V1884" t="str">
        <f t="shared" si="193"/>
        <v>2015/16Expenditure driversBlackstartDNO Baseline</v>
      </c>
    </row>
    <row r="1885" spans="1:22">
      <c r="A1885" t="s">
        <v>138</v>
      </c>
      <c r="C1885" t="s">
        <v>1344</v>
      </c>
      <c r="D1885" t="s">
        <v>75</v>
      </c>
      <c r="E1885" t="s">
        <v>1348</v>
      </c>
      <c r="F1885" t="s">
        <v>1289</v>
      </c>
      <c r="G1885">
        <v>0.90797460308216715</v>
      </c>
      <c r="H1885">
        <v>0.94021961360228767</v>
      </c>
      <c r="I1885">
        <v>1.2209757597084936</v>
      </c>
      <c r="J1885">
        <v>0.62025699754064401</v>
      </c>
      <c r="K1885">
        <v>1.1798821167169296</v>
      </c>
      <c r="L1885">
        <v>0.29136120529617182</v>
      </c>
      <c r="M1885">
        <v>0.64030984196443763</v>
      </c>
      <c r="N1885">
        <v>0.43854493791209298</v>
      </c>
      <c r="O1885">
        <v>0.80436574116317006</v>
      </c>
      <c r="P1885">
        <v>0.97943290844055131</v>
      </c>
      <c r="Q1885">
        <v>0.29486783544198109</v>
      </c>
      <c r="R1885">
        <v>0.81263595098687547</v>
      </c>
      <c r="S1885">
        <v>0.83487286205075162</v>
      </c>
      <c r="T1885">
        <v>0.45732390658814032</v>
      </c>
      <c r="U1885">
        <f t="shared" si="195"/>
        <v>0.7445017343210496</v>
      </c>
      <c r="V1885" t="str">
        <f t="shared" si="193"/>
        <v>2016/17Expenditure driversBlackstartDNO Baseline</v>
      </c>
    </row>
    <row r="1886" spans="1:22">
      <c r="A1886" t="s">
        <v>139</v>
      </c>
      <c r="C1886" t="s">
        <v>1344</v>
      </c>
      <c r="D1886" t="s">
        <v>75</v>
      </c>
      <c r="E1886" t="s">
        <v>1348</v>
      </c>
      <c r="F1886" t="s">
        <v>1289</v>
      </c>
      <c r="G1886">
        <v>0.98702830005077447</v>
      </c>
      <c r="H1886">
        <v>0.56899407756807274</v>
      </c>
      <c r="I1886">
        <v>1.1803118935597876</v>
      </c>
      <c r="J1886">
        <v>0.94441472413524252</v>
      </c>
      <c r="K1886">
        <v>1.7786734679560345</v>
      </c>
      <c r="L1886">
        <v>0.42561223418389182</v>
      </c>
      <c r="M1886">
        <v>0.934709492122617</v>
      </c>
      <c r="N1886">
        <v>0.37170456525466677</v>
      </c>
      <c r="O1886">
        <v>0.73717473597580563</v>
      </c>
      <c r="P1886">
        <v>1.0107346664399752</v>
      </c>
      <c r="Q1886">
        <v>0.30044919870599718</v>
      </c>
      <c r="R1886">
        <v>0.78221930595512124</v>
      </c>
      <c r="S1886">
        <v>0.80669192384818356</v>
      </c>
      <c r="T1886">
        <v>0.17771698505997899</v>
      </c>
      <c r="U1886">
        <f t="shared" si="195"/>
        <v>0.78617396934401074</v>
      </c>
      <c r="V1886" t="str">
        <f t="shared" si="193"/>
        <v>2017/18Expenditure driversBlackstartDNO Baseline</v>
      </c>
    </row>
    <row r="1887" spans="1:22">
      <c r="A1887" t="s">
        <v>140</v>
      </c>
      <c r="C1887" t="s">
        <v>1344</v>
      </c>
      <c r="D1887" t="s">
        <v>75</v>
      </c>
      <c r="E1887" t="s">
        <v>1348</v>
      </c>
      <c r="F1887" t="s">
        <v>1289</v>
      </c>
      <c r="G1887">
        <v>0.94229627814058525</v>
      </c>
      <c r="H1887">
        <v>0.38075370681258947</v>
      </c>
      <c r="I1887">
        <v>1.0185104595155632</v>
      </c>
      <c r="J1887">
        <v>1.0442780480239542</v>
      </c>
      <c r="K1887">
        <v>1.9928920577143547</v>
      </c>
      <c r="L1887">
        <v>0.49212527791163008</v>
      </c>
      <c r="M1887">
        <v>1.0818558393062885</v>
      </c>
      <c r="N1887">
        <v>0.34671846051418326</v>
      </c>
      <c r="O1887">
        <v>0.73575241223351096</v>
      </c>
      <c r="P1887">
        <v>1.0432317742860142</v>
      </c>
      <c r="Q1887">
        <v>0.29026623601143442</v>
      </c>
      <c r="R1887">
        <v>0.72793553494924201</v>
      </c>
      <c r="S1887">
        <v>0.81011332868280883</v>
      </c>
      <c r="T1887">
        <v>0.17000155880649284</v>
      </c>
      <c r="U1887">
        <f t="shared" si="195"/>
        <v>0.79119506949347518</v>
      </c>
      <c r="V1887" t="str">
        <f t="shared" si="193"/>
        <v>2018/19Expenditure driversBlackstartDNO Baseline</v>
      </c>
    </row>
    <row r="1888" spans="1:22">
      <c r="A1888" t="s">
        <v>141</v>
      </c>
      <c r="C1888" t="s">
        <v>1344</v>
      </c>
      <c r="D1888" t="s">
        <v>75</v>
      </c>
      <c r="E1888" t="s">
        <v>1348</v>
      </c>
      <c r="F1888" t="s">
        <v>1289</v>
      </c>
      <c r="G1888">
        <v>0.98305482443418402</v>
      </c>
      <c r="H1888">
        <v>0.35807304132116163</v>
      </c>
      <c r="I1888">
        <v>0.51003941253026941</v>
      </c>
      <c r="J1888">
        <v>0.72090033588423452</v>
      </c>
      <c r="K1888">
        <v>1.3940837045446857</v>
      </c>
      <c r="L1888">
        <v>0.3584579340405768</v>
      </c>
      <c r="M1888">
        <v>0.78952939310485248</v>
      </c>
      <c r="N1888">
        <v>0.29669279311639896</v>
      </c>
      <c r="O1888">
        <v>0.6381312757485208</v>
      </c>
      <c r="P1888">
        <v>0.89846257011822972</v>
      </c>
      <c r="Q1888">
        <v>0.27735890293934623</v>
      </c>
      <c r="R1888">
        <v>0.66104449734158099</v>
      </c>
      <c r="S1888">
        <v>0.44428206121493591</v>
      </c>
      <c r="T1888">
        <v>0.16070942448368078</v>
      </c>
      <c r="U1888">
        <f t="shared" si="195"/>
        <v>0.60648715505876127</v>
      </c>
      <c r="V1888" t="str">
        <f t="shared" si="193"/>
        <v>2019/20Expenditure driversBlackstartDNO Baseline</v>
      </c>
    </row>
    <row r="1889" spans="1:22">
      <c r="A1889" t="s">
        <v>126</v>
      </c>
      <c r="C1889" t="s">
        <v>1344</v>
      </c>
      <c r="D1889" t="s">
        <v>75</v>
      </c>
      <c r="E1889" t="s">
        <v>1348</v>
      </c>
      <c r="F1889" t="s">
        <v>1289</v>
      </c>
      <c r="G1889">
        <v>1.8296956712259498</v>
      </c>
      <c r="H1889">
        <v>0.27818334386942528</v>
      </c>
      <c r="I1889">
        <v>0.49050086694801265</v>
      </c>
      <c r="J1889">
        <v>0.39511377234710016</v>
      </c>
      <c r="K1889">
        <v>0.79228189587602704</v>
      </c>
      <c r="L1889">
        <v>0.22489993884116866</v>
      </c>
      <c r="M1889">
        <v>0.49680531105875103</v>
      </c>
      <c r="N1889">
        <v>0.20412028227639614</v>
      </c>
      <c r="O1889">
        <v>0.47678059487334468</v>
      </c>
      <c r="P1889">
        <v>0.63228063375785493</v>
      </c>
      <c r="Q1889">
        <v>0.27114917950538497</v>
      </c>
      <c r="R1889">
        <v>0.65872449804625777</v>
      </c>
      <c r="S1889">
        <v>0.43976587231181896</v>
      </c>
      <c r="T1889">
        <v>0.15055487611965171</v>
      </c>
      <c r="U1889">
        <f t="shared" si="195"/>
        <v>0.52434690978979615</v>
      </c>
      <c r="V1889" t="str">
        <f t="shared" si="193"/>
        <v>2020/21Expenditure driversBlackstartDNO Baseline</v>
      </c>
    </row>
    <row r="1890" spans="1:22">
      <c r="A1890" t="s">
        <v>142</v>
      </c>
      <c r="C1890" t="s">
        <v>1344</v>
      </c>
      <c r="D1890" t="s">
        <v>75</v>
      </c>
      <c r="E1890" t="s">
        <v>1348</v>
      </c>
      <c r="F1890" t="s">
        <v>1289</v>
      </c>
      <c r="G1890">
        <v>1.8207371436328925</v>
      </c>
      <c r="H1890">
        <v>0.24346541092742865</v>
      </c>
      <c r="I1890">
        <v>0.40912932714813738</v>
      </c>
      <c r="J1890">
        <v>0.3971933414603101</v>
      </c>
      <c r="K1890">
        <v>0.79475302353814059</v>
      </c>
      <c r="L1890">
        <v>0.22611943614191093</v>
      </c>
      <c r="M1890">
        <v>0.49539227963523441</v>
      </c>
      <c r="N1890">
        <v>0.17812625429327988</v>
      </c>
      <c r="O1890">
        <v>0.44264414552108433</v>
      </c>
      <c r="P1890">
        <v>0.61081833552455334</v>
      </c>
      <c r="Q1890">
        <v>0.24181557626172767</v>
      </c>
      <c r="R1890">
        <v>0.54950002888237481</v>
      </c>
      <c r="S1890">
        <v>0.44052672231257317</v>
      </c>
      <c r="T1890">
        <v>0.14735995285926684</v>
      </c>
      <c r="U1890">
        <f t="shared" si="195"/>
        <v>0.49982721272420821</v>
      </c>
      <c r="V1890" t="str">
        <f t="shared" si="193"/>
        <v>2021/22Expenditure driversBlackstartDNO Baseline</v>
      </c>
    </row>
    <row r="1891" spans="1:22">
      <c r="A1891" t="s">
        <v>143</v>
      </c>
      <c r="C1891" t="s">
        <v>1344</v>
      </c>
      <c r="D1891" t="s">
        <v>75</v>
      </c>
      <c r="E1891" t="s">
        <v>1348</v>
      </c>
      <c r="F1891" t="s">
        <v>1289</v>
      </c>
      <c r="G1891">
        <v>1.8000850708734804</v>
      </c>
      <c r="H1891">
        <v>0.24366259539774912</v>
      </c>
      <c r="I1891">
        <v>0.45319314745061035</v>
      </c>
      <c r="J1891">
        <v>0.16476167406358741</v>
      </c>
      <c r="K1891">
        <v>0.35320850375509638</v>
      </c>
      <c r="L1891">
        <v>0.11283034211285412</v>
      </c>
      <c r="M1891">
        <v>0.25021463530500948</v>
      </c>
      <c r="N1891">
        <v>0.16467546564618837</v>
      </c>
      <c r="O1891">
        <v>0.42420878694514824</v>
      </c>
      <c r="P1891">
        <v>0.56145076537064964</v>
      </c>
      <c r="Q1891">
        <v>0.22712921235501438</v>
      </c>
      <c r="R1891">
        <v>0.4340212635911494</v>
      </c>
      <c r="S1891">
        <v>0.42762355501630284</v>
      </c>
      <c r="T1891">
        <v>0.14981974705916196</v>
      </c>
      <c r="U1891">
        <f t="shared" si="195"/>
        <v>0.41192034035300013</v>
      </c>
      <c r="V1891" t="str">
        <f t="shared" si="193"/>
        <v>2022/23Expenditure driversBlackstartDNO Baseline</v>
      </c>
    </row>
    <row r="1892" spans="1:22">
      <c r="A1892" t="s">
        <v>137</v>
      </c>
      <c r="C1892" t="s">
        <v>1344</v>
      </c>
      <c r="D1892" t="s">
        <v>75</v>
      </c>
      <c r="E1892" t="s">
        <v>1349</v>
      </c>
      <c r="F1892" t="s">
        <v>1289</v>
      </c>
      <c r="G1892" cm="1">
        <f t="array" ref="G1892:T1898">TRANSPOSE('Ch4 expenditure drivers'!W474:AC487)</f>
        <v>6.1680912721397405E-2</v>
      </c>
      <c r="H1892">
        <v>0.8590293309405288</v>
      </c>
      <c r="I1892">
        <v>0.80536300836807684</v>
      </c>
      <c r="J1892">
        <v>0.64862313738036415</v>
      </c>
      <c r="K1892">
        <v>0.97545339798714881</v>
      </c>
      <c r="L1892">
        <v>0.95986149564627488</v>
      </c>
      <c r="M1892">
        <v>0.98852660841142048</v>
      </c>
      <c r="N1892">
        <v>0</v>
      </c>
      <c r="O1892">
        <v>0</v>
      </c>
      <c r="P1892">
        <v>4.4883075088965045E-2</v>
      </c>
      <c r="Q1892">
        <v>0</v>
      </c>
      <c r="R1892">
        <v>0</v>
      </c>
      <c r="S1892">
        <v>1.1406076250901003</v>
      </c>
      <c r="T1892">
        <v>0.72202501609278691</v>
      </c>
      <c r="U1892">
        <f t="shared" si="195"/>
        <v>0.5147181148376474</v>
      </c>
      <c r="V1892" t="str">
        <f t="shared" si="193"/>
        <v>2015/16Expenditure driversBlackstartDNO Actual</v>
      </c>
    </row>
    <row r="1893" spans="1:22">
      <c r="A1893" t="s">
        <v>138</v>
      </c>
      <c r="C1893" t="s">
        <v>1344</v>
      </c>
      <c r="D1893" t="s">
        <v>75</v>
      </c>
      <c r="E1893" t="s">
        <v>1349</v>
      </c>
      <c r="F1893" t="s">
        <v>1289</v>
      </c>
      <c r="G1893">
        <v>8.2782268898683731E-3</v>
      </c>
      <c r="H1893">
        <v>1.4122945291592788</v>
      </c>
      <c r="I1893">
        <v>1.5766978513270038</v>
      </c>
      <c r="J1893">
        <v>1.5689881943605846</v>
      </c>
      <c r="K1893">
        <v>2.0054444971923679</v>
      </c>
      <c r="L1893">
        <v>1.2545329942035985</v>
      </c>
      <c r="M1893">
        <v>1.5506704157106628</v>
      </c>
      <c r="N1893">
        <v>0.7285433238421084</v>
      </c>
      <c r="O1893">
        <v>0.58609460584030948</v>
      </c>
      <c r="P1893">
        <v>0.83916229349953086</v>
      </c>
      <c r="Q1893">
        <v>0</v>
      </c>
      <c r="R1893">
        <v>0.1635909643562794</v>
      </c>
      <c r="S1893">
        <v>0.59286757580160887</v>
      </c>
      <c r="T1893">
        <v>0.51866191396796879</v>
      </c>
      <c r="U1893">
        <f t="shared" si="195"/>
        <v>0.91470195615365502</v>
      </c>
      <c r="V1893" t="str">
        <f t="shared" si="193"/>
        <v>2016/17Expenditure driversBlackstartDNO Actual</v>
      </c>
    </row>
    <row r="1894" spans="1:22">
      <c r="A1894" t="s">
        <v>139</v>
      </c>
      <c r="C1894" t="s">
        <v>1344</v>
      </c>
      <c r="D1894" t="s">
        <v>75</v>
      </c>
      <c r="E1894" t="s">
        <v>1349</v>
      </c>
      <c r="F1894" t="s">
        <v>1289</v>
      </c>
      <c r="G1894">
        <v>0.15136285222840734</v>
      </c>
      <c r="H1894">
        <v>1.0932633940441985</v>
      </c>
      <c r="I1894">
        <v>1.6906437959838381</v>
      </c>
      <c r="J1894">
        <v>1.0947372124492558</v>
      </c>
      <c r="K1894">
        <v>1.9541602536121176</v>
      </c>
      <c r="L1894">
        <v>1.2302211292505127</v>
      </c>
      <c r="M1894">
        <v>2.3566504859807642</v>
      </c>
      <c r="N1894">
        <v>1.3759852747422321</v>
      </c>
      <c r="O1894">
        <v>1.225406656270015</v>
      </c>
      <c r="P1894">
        <v>0.69626532221068116</v>
      </c>
      <c r="Q1894">
        <v>0</v>
      </c>
      <c r="R1894">
        <v>0.128209327003448</v>
      </c>
      <c r="S1894">
        <v>0.16194642716821625</v>
      </c>
      <c r="T1894">
        <v>1.0269850106948506</v>
      </c>
      <c r="U1894">
        <f t="shared" si="195"/>
        <v>1.0132740815456101</v>
      </c>
      <c r="V1894" t="str">
        <f t="shared" si="193"/>
        <v>2017/18Expenditure driversBlackstartDNO Actual</v>
      </c>
    </row>
    <row r="1895" spans="1:22">
      <c r="A1895" t="s">
        <v>140</v>
      </c>
      <c r="C1895" t="s">
        <v>1344</v>
      </c>
      <c r="D1895" t="s">
        <v>75</v>
      </c>
      <c r="E1895" t="s">
        <v>1349</v>
      </c>
      <c r="F1895" t="s">
        <v>1289</v>
      </c>
      <c r="G1895">
        <v>0.62367327504445336</v>
      </c>
      <c r="H1895">
        <v>0.71277749871801177</v>
      </c>
      <c r="I1895">
        <v>1.4124466778469076</v>
      </c>
      <c r="J1895">
        <v>0.87172301735213975</v>
      </c>
      <c r="K1895">
        <v>1.0954473195250398</v>
      </c>
      <c r="L1895">
        <v>0.36211046846541572</v>
      </c>
      <c r="M1895">
        <v>1.1092859361542915</v>
      </c>
      <c r="N1895">
        <v>1.1034318760701685</v>
      </c>
      <c r="O1895">
        <v>2.3408300214314961</v>
      </c>
      <c r="P1895">
        <v>2.5388110358619231</v>
      </c>
      <c r="Q1895">
        <v>0</v>
      </c>
      <c r="R1895">
        <v>0.24715873698885898</v>
      </c>
      <c r="S1895">
        <v>0.88649839190159163</v>
      </c>
      <c r="T1895">
        <v>0.31122433749558776</v>
      </c>
      <c r="U1895">
        <f>AVERAGE(G1895:T1895)</f>
        <v>0.97252989948970592</v>
      </c>
      <c r="V1895" t="str">
        <f t="shared" si="193"/>
        <v>2018/19Expenditure driversBlackstartDNO Actual</v>
      </c>
    </row>
    <row r="1896" spans="1:22">
      <c r="A1896" t="s">
        <v>141</v>
      </c>
      <c r="C1896" t="s">
        <v>1344</v>
      </c>
      <c r="D1896" t="s">
        <v>75</v>
      </c>
      <c r="E1896" t="s">
        <v>1349</v>
      </c>
      <c r="F1896" t="s">
        <v>1289</v>
      </c>
      <c r="G1896">
        <v>1.4403735675211435</v>
      </c>
      <c r="H1896">
        <v>0.36271086493985411</v>
      </c>
      <c r="I1896">
        <v>0.49729663850506867</v>
      </c>
      <c r="J1896">
        <v>0.395047178315591</v>
      </c>
      <c r="K1896">
        <v>1.1517391719022028</v>
      </c>
      <c r="L1896">
        <v>0.1049176787938426</v>
      </c>
      <c r="M1896">
        <v>0.42202601000543621</v>
      </c>
      <c r="N1896">
        <v>0.41131378973926913</v>
      </c>
      <c r="O1896">
        <v>0.96422646547149726</v>
      </c>
      <c r="P1896">
        <v>2.1147981773545483</v>
      </c>
      <c r="Q1896">
        <v>1.5038824993117175E-2</v>
      </c>
      <c r="R1896">
        <v>0.32672083763997078</v>
      </c>
      <c r="S1896">
        <v>1.9675094539467801E-2</v>
      </c>
      <c r="T1896">
        <v>0.19832826493060193</v>
      </c>
      <c r="U1896">
        <f>AVERAGE(G1896:T1896)</f>
        <v>0.60172946890368639</v>
      </c>
      <c r="V1896" t="str">
        <f t="shared" si="193"/>
        <v>2019/20Expenditure driversBlackstartDNO Actual</v>
      </c>
    </row>
    <row r="1897" spans="1:22">
      <c r="A1897" t="s">
        <v>126</v>
      </c>
      <c r="C1897" t="s">
        <v>1344</v>
      </c>
      <c r="D1897" t="s">
        <v>75</v>
      </c>
      <c r="E1897" t="s">
        <v>1349</v>
      </c>
      <c r="F1897" t="s">
        <v>1289</v>
      </c>
      <c r="G1897">
        <v>0.98425312202869275</v>
      </c>
      <c r="H1897">
        <v>0.32880013088368171</v>
      </c>
      <c r="I1897">
        <v>0.70339109204955008</v>
      </c>
      <c r="J1897">
        <v>1.057759707921011E-3</v>
      </c>
      <c r="K1897">
        <v>0.35868631695601488</v>
      </c>
      <c r="L1897">
        <v>4.707030700248499E-2</v>
      </c>
      <c r="M1897">
        <v>0.5270816624570398</v>
      </c>
      <c r="N1897">
        <v>0.25160346028548786</v>
      </c>
      <c r="O1897">
        <v>0.94197623705630384</v>
      </c>
      <c r="P1897">
        <v>1.7978013541801714</v>
      </c>
      <c r="Q1897">
        <v>4.1797088262962197E-3</v>
      </c>
      <c r="R1897">
        <v>0.1371977201915249</v>
      </c>
      <c r="S1897">
        <v>1.384398021246435E-2</v>
      </c>
      <c r="T1897">
        <v>0.11511405331277813</v>
      </c>
      <c r="U1897">
        <f>AVERAGE(G1897:T1897)</f>
        <v>0.44371835036788648</v>
      </c>
      <c r="V1897" t="str">
        <f t="shared" si="193"/>
        <v>2020/21Expenditure driversBlackstartDNO Actual</v>
      </c>
    </row>
    <row r="1898" spans="1:22">
      <c r="A1898" t="s">
        <v>142</v>
      </c>
      <c r="C1898" t="s">
        <v>1344</v>
      </c>
      <c r="D1898" t="s">
        <v>75</v>
      </c>
      <c r="E1898" t="s">
        <v>1349</v>
      </c>
      <c r="F1898" t="s">
        <v>1289</v>
      </c>
      <c r="G1898">
        <v>0.29075524989060997</v>
      </c>
      <c r="H1898">
        <v>0.14376096999999999</v>
      </c>
      <c r="I1898">
        <v>0.44858133</v>
      </c>
      <c r="J1898">
        <v>8.8200000000000001E-2</v>
      </c>
      <c r="K1898">
        <v>0.25559999999999999</v>
      </c>
      <c r="L1898">
        <v>0</v>
      </c>
      <c r="M1898">
        <v>0.1462</v>
      </c>
      <c r="N1898">
        <v>0.34952613375183789</v>
      </c>
      <c r="O1898">
        <v>1.2098628339399866</v>
      </c>
      <c r="P1898">
        <v>1.8065587659876983</v>
      </c>
      <c r="Q1898">
        <v>3.5271433959091991E-2</v>
      </c>
      <c r="R1898">
        <v>0.18224608660432504</v>
      </c>
      <c r="S1898">
        <v>0</v>
      </c>
      <c r="T1898">
        <v>0.13708236999999998</v>
      </c>
      <c r="U1898">
        <f>AVERAGE(G1898:T1898)</f>
        <v>0.36383179815239636</v>
      </c>
      <c r="V1898" t="str">
        <f t="shared" ref="V1898" si="196">CONCATENATE(A1898,B1898,C1898,D1898,E1898)</f>
        <v>2021/22Expenditure driversBlackstartDNO Actual</v>
      </c>
    </row>
    <row r="1899" spans="1:22">
      <c r="A1899" t="s">
        <v>137</v>
      </c>
      <c r="C1899" t="s">
        <v>1344</v>
      </c>
      <c r="D1899" t="s">
        <v>75</v>
      </c>
      <c r="E1899" t="s">
        <v>297</v>
      </c>
      <c r="F1899" t="s">
        <v>1289</v>
      </c>
      <c r="G1899">
        <f t="array" ref="G1899:T1902">TRANSPOSE('Ch4 expenditure drivers'!AF474:AI487)</f>
        <v>1.0231135969828125</v>
      </c>
      <c r="H1899">
        <v>0.98632589963739714</v>
      </c>
      <c r="I1899">
        <v>1.2644149561267246</v>
      </c>
      <c r="J1899">
        <v>0.29310526019539673</v>
      </c>
      <c r="K1899">
        <v>0.52908068248688034</v>
      </c>
      <c r="L1899">
        <v>0.11094996115045777</v>
      </c>
      <c r="M1899">
        <v>0.24685208931870709</v>
      </c>
      <c r="N1899">
        <v>0.44079192159919312</v>
      </c>
      <c r="O1899">
        <v>0.7362004982197079</v>
      </c>
      <c r="P1899">
        <v>0.95853551031491802</v>
      </c>
      <c r="Q1899">
        <v>0.30704088617963587</v>
      </c>
      <c r="R1899">
        <v>0.69361116614912077</v>
      </c>
      <c r="S1899">
        <v>0.84539117845025213</v>
      </c>
      <c r="T1899">
        <v>0.70525333665139067</v>
      </c>
      <c r="U1899">
        <f t="shared" si="195"/>
        <v>0.6529047816758996</v>
      </c>
      <c r="V1899" t="str">
        <f t="shared" si="193"/>
        <v>2015/16Expenditure driversBlackstartAllowance</v>
      </c>
    </row>
    <row r="1900" spans="1:22">
      <c r="A1900" t="s">
        <v>137</v>
      </c>
      <c r="C1900" t="s">
        <v>1344</v>
      </c>
      <c r="D1900" t="s">
        <v>75</v>
      </c>
      <c r="E1900" t="s">
        <v>298</v>
      </c>
      <c r="F1900" t="s">
        <v>1289</v>
      </c>
      <c r="G1900">
        <v>6.1680912721397405E-2</v>
      </c>
      <c r="H1900">
        <v>0.8590293309405288</v>
      </c>
      <c r="I1900">
        <v>0.80536300836807684</v>
      </c>
      <c r="J1900">
        <v>0.64862313738036415</v>
      </c>
      <c r="K1900">
        <v>0.97545339798714881</v>
      </c>
      <c r="L1900">
        <v>0.95986149564627488</v>
      </c>
      <c r="M1900">
        <v>0.98852660841142048</v>
      </c>
      <c r="N1900">
        <v>0</v>
      </c>
      <c r="O1900">
        <v>0</v>
      </c>
      <c r="P1900">
        <v>4.4883075088965045E-2</v>
      </c>
      <c r="Q1900">
        <v>0</v>
      </c>
      <c r="R1900">
        <v>0</v>
      </c>
      <c r="S1900">
        <v>1.1406076250901003</v>
      </c>
      <c r="T1900">
        <v>0.72202501609278691</v>
      </c>
      <c r="U1900">
        <f t="shared" si="195"/>
        <v>0.5147181148376474</v>
      </c>
      <c r="V1900" t="str">
        <f t="shared" si="193"/>
        <v>2015/16Expenditure driversBlackstartActual</v>
      </c>
    </row>
    <row r="1901" spans="1:22">
      <c r="A1901" t="s">
        <v>137</v>
      </c>
      <c r="C1901" t="s">
        <v>1344</v>
      </c>
      <c r="D1901" t="s">
        <v>75</v>
      </c>
      <c r="E1901" t="s">
        <v>602</v>
      </c>
      <c r="F1901" t="s">
        <v>1289</v>
      </c>
      <c r="G1901">
        <v>-0.96143268426141504</v>
      </c>
      <c r="H1901">
        <v>-0.12729656869686834</v>
      </c>
      <c r="I1901">
        <v>-0.45905194775864777</v>
      </c>
      <c r="J1901">
        <v>0.35551787718496741</v>
      </c>
      <c r="K1901">
        <v>0.44637271550026847</v>
      </c>
      <c r="L1901">
        <v>0.84891153449581713</v>
      </c>
      <c r="M1901">
        <v>0.74167451909271342</v>
      </c>
      <c r="N1901">
        <v>-0.44079192159919312</v>
      </c>
      <c r="O1901">
        <v>-0.7362004982197079</v>
      </c>
      <c r="P1901">
        <v>-0.91365243522595296</v>
      </c>
      <c r="Q1901">
        <v>-0.30704088617963587</v>
      </c>
      <c r="R1901">
        <v>-0.69361116614912077</v>
      </c>
      <c r="S1901">
        <v>0.29521644663984814</v>
      </c>
      <c r="T1901">
        <v>1.6771679441396237E-2</v>
      </c>
      <c r="U1901">
        <f>U1900-U1899</f>
        <v>-0.1381866668382522</v>
      </c>
      <c r="V1901" t="str">
        <f t="shared" si="193"/>
        <v>2015/16Expenditure driversBlackstartDifference</v>
      </c>
    </row>
    <row r="1902" spans="1:22">
      <c r="A1902" t="s">
        <v>137</v>
      </c>
      <c r="C1902" t="s">
        <v>1344</v>
      </c>
      <c r="D1902" t="s">
        <v>75</v>
      </c>
      <c r="E1902" t="s">
        <v>1346</v>
      </c>
      <c r="F1902" t="s">
        <v>606</v>
      </c>
      <c r="G1902" s="829">
        <v>-0.93971254716651609</v>
      </c>
      <c r="H1902" s="829">
        <v>-0.12906136677914101</v>
      </c>
      <c r="I1902" s="829">
        <v>-0.36305482273387457</v>
      </c>
      <c r="J1902" s="829">
        <v>1.212935847510767</v>
      </c>
      <c r="K1902" s="829">
        <v>0.84367607866941396</v>
      </c>
      <c r="L1902" s="829">
        <v>7.6513008719725413</v>
      </c>
      <c r="M1902" s="829">
        <v>3.0045300452577837</v>
      </c>
      <c r="N1902" s="829">
        <v>-1</v>
      </c>
      <c r="O1902" s="829">
        <v>-1</v>
      </c>
      <c r="P1902" s="829">
        <v>-0.95317536532974234</v>
      </c>
      <c r="Q1902" s="829">
        <v>-1</v>
      </c>
      <c r="R1902" s="829">
        <v>-1</v>
      </c>
      <c r="S1902" s="829">
        <v>0.34920691647271601</v>
      </c>
      <c r="T1902" s="829">
        <v>2.3781070673170795E-2</v>
      </c>
      <c r="U1902" s="829">
        <f>U1901/U1899</f>
        <v>-0.21164903476974034</v>
      </c>
      <c r="V1902" t="str">
        <f t="shared" si="193"/>
        <v>2015/16Expenditure driversBlackstartDifference %</v>
      </c>
    </row>
    <row r="1903" spans="1:22">
      <c r="A1903" t="s">
        <v>138</v>
      </c>
      <c r="C1903" t="s">
        <v>1344</v>
      </c>
      <c r="D1903" t="s">
        <v>75</v>
      </c>
      <c r="E1903" t="s">
        <v>297</v>
      </c>
      <c r="F1903" t="s">
        <v>1289</v>
      </c>
      <c r="G1903">
        <f t="array" ref="G1903:T1906">TRANSPOSE('Ch4 expenditure drivers'!AK474:AN487)</f>
        <v>0.90797460308216715</v>
      </c>
      <c r="H1903">
        <v>0.94021961360228767</v>
      </c>
      <c r="I1903">
        <v>1.2209757597084936</v>
      </c>
      <c r="J1903">
        <v>0.62025699754064401</v>
      </c>
      <c r="K1903">
        <v>1.1798821167169296</v>
      </c>
      <c r="L1903">
        <v>0.29136120529617182</v>
      </c>
      <c r="M1903">
        <v>0.64030984196443763</v>
      </c>
      <c r="N1903">
        <v>0.43854493791209298</v>
      </c>
      <c r="O1903">
        <v>0.80436574116317006</v>
      </c>
      <c r="P1903">
        <v>0.97943290844055131</v>
      </c>
      <c r="Q1903">
        <v>0.29486783544198109</v>
      </c>
      <c r="R1903">
        <v>0.81263595098687547</v>
      </c>
      <c r="S1903">
        <v>0.83487286205075162</v>
      </c>
      <c r="T1903">
        <v>0.45732390658814032</v>
      </c>
      <c r="U1903">
        <f t="shared" si="195"/>
        <v>0.7445017343210496</v>
      </c>
      <c r="V1903" t="str">
        <f t="shared" si="193"/>
        <v>2016/17Expenditure driversBlackstartAllowance</v>
      </c>
    </row>
    <row r="1904" spans="1:22">
      <c r="A1904" t="s">
        <v>138</v>
      </c>
      <c r="C1904" t="s">
        <v>1344</v>
      </c>
      <c r="D1904" t="s">
        <v>75</v>
      </c>
      <c r="E1904" t="s">
        <v>298</v>
      </c>
      <c r="F1904" t="s">
        <v>1289</v>
      </c>
      <c r="G1904">
        <v>8.2782268898683731E-3</v>
      </c>
      <c r="H1904">
        <v>1.4122945291592788</v>
      </c>
      <c r="I1904">
        <v>1.5766978513270038</v>
      </c>
      <c r="J1904">
        <v>1.5689881943605846</v>
      </c>
      <c r="K1904">
        <v>2.0054444971923679</v>
      </c>
      <c r="L1904">
        <v>1.2545329942035985</v>
      </c>
      <c r="M1904">
        <v>1.5506704157106628</v>
      </c>
      <c r="N1904">
        <v>0.7285433238421084</v>
      </c>
      <c r="O1904">
        <v>0.58609460584030948</v>
      </c>
      <c r="P1904">
        <v>0.83916229349953086</v>
      </c>
      <c r="Q1904">
        <v>0</v>
      </c>
      <c r="R1904">
        <v>0.1635909643562794</v>
      </c>
      <c r="S1904">
        <v>0.59286757580160887</v>
      </c>
      <c r="T1904">
        <v>0.51866191396796879</v>
      </c>
      <c r="U1904">
        <f t="shared" si="195"/>
        <v>0.91470195615365502</v>
      </c>
      <c r="V1904" t="str">
        <f t="shared" si="193"/>
        <v>2016/17Expenditure driversBlackstartActual</v>
      </c>
    </row>
    <row r="1905" spans="1:22">
      <c r="A1905" t="s">
        <v>138</v>
      </c>
      <c r="C1905" t="s">
        <v>1344</v>
      </c>
      <c r="D1905" t="s">
        <v>75</v>
      </c>
      <c r="E1905" t="s">
        <v>602</v>
      </c>
      <c r="F1905" t="s">
        <v>1289</v>
      </c>
      <c r="G1905">
        <v>-0.89969637619229881</v>
      </c>
      <c r="H1905">
        <v>0.4720749155569911</v>
      </c>
      <c r="I1905">
        <v>0.35572209161851021</v>
      </c>
      <c r="J1905">
        <v>0.94873119681994056</v>
      </c>
      <c r="K1905">
        <v>0.8255623804754384</v>
      </c>
      <c r="L1905">
        <v>0.96317178890742672</v>
      </c>
      <c r="M1905">
        <v>0.91036057374622514</v>
      </c>
      <c r="N1905">
        <v>0.28999838593001542</v>
      </c>
      <c r="O1905">
        <v>-0.21827113532286058</v>
      </c>
      <c r="P1905">
        <v>-0.14027061494102044</v>
      </c>
      <c r="Q1905">
        <v>-0.29486783544198109</v>
      </c>
      <c r="R1905">
        <v>-0.64904498663059607</v>
      </c>
      <c r="S1905">
        <v>-0.24200528624914275</v>
      </c>
      <c r="T1905">
        <v>6.1338007379828474E-2</v>
      </c>
      <c r="U1905">
        <f>U1904-U1903</f>
        <v>0.17020022183260541</v>
      </c>
      <c r="V1905" t="str">
        <f t="shared" si="193"/>
        <v>2016/17Expenditure driversBlackstartDifference</v>
      </c>
    </row>
    <row r="1906" spans="1:22">
      <c r="A1906" t="s">
        <v>138</v>
      </c>
      <c r="C1906" t="s">
        <v>1344</v>
      </c>
      <c r="D1906" t="s">
        <v>75</v>
      </c>
      <c r="E1906" t="s">
        <v>1346</v>
      </c>
      <c r="F1906" t="s">
        <v>606</v>
      </c>
      <c r="G1906" s="829">
        <v>-0.99088275502225787</v>
      </c>
      <c r="H1906" s="829">
        <v>0.50209005292744135</v>
      </c>
      <c r="I1906" s="829">
        <v>0.29134246834141769</v>
      </c>
      <c r="J1906" s="829">
        <v>1.5295775792642667</v>
      </c>
      <c r="K1906" s="829">
        <v>0.69969903669071587</v>
      </c>
      <c r="L1906" s="829">
        <v>3.3057653915467302</v>
      </c>
      <c r="M1906" s="829">
        <v>1.421750087353469</v>
      </c>
      <c r="N1906" s="829">
        <v>0.66127404710380233</v>
      </c>
      <c r="O1906" s="829">
        <v>-0.27135807028184095</v>
      </c>
      <c r="P1906" s="829">
        <v>-0.14321615470768559</v>
      </c>
      <c r="Q1906" s="829">
        <v>-1</v>
      </c>
      <c r="R1906" s="829">
        <v>-0.79869095853116956</v>
      </c>
      <c r="S1906" s="829">
        <v>-0.28987082614553994</v>
      </c>
      <c r="T1906" s="829">
        <v>0.13412377200536041</v>
      </c>
      <c r="U1906" s="829">
        <f>U1905/U1903</f>
        <v>0.22860957065173257</v>
      </c>
      <c r="V1906" t="str">
        <f t="shared" si="193"/>
        <v>2016/17Expenditure driversBlackstartDifference %</v>
      </c>
    </row>
    <row r="1907" spans="1:22">
      <c r="A1907" t="s">
        <v>139</v>
      </c>
      <c r="C1907" t="s">
        <v>1344</v>
      </c>
      <c r="D1907" t="s">
        <v>75</v>
      </c>
      <c r="E1907" t="s">
        <v>297</v>
      </c>
      <c r="F1907" t="s">
        <v>1289</v>
      </c>
      <c r="G1907">
        <f t="array" ref="G1907:T1910">TRANSPOSE('Ch4 expenditure drivers'!AP474:AS487)</f>
        <v>0.98702830005077447</v>
      </c>
      <c r="H1907">
        <v>0.56899407756807274</v>
      </c>
      <c r="I1907">
        <v>1.1803118935597876</v>
      </c>
      <c r="J1907">
        <v>0.94441472413524252</v>
      </c>
      <c r="K1907">
        <v>1.7786734679560345</v>
      </c>
      <c r="L1907">
        <v>0.42561223418389182</v>
      </c>
      <c r="M1907">
        <v>0.934709492122617</v>
      </c>
      <c r="N1907">
        <v>0.37170456525466677</v>
      </c>
      <c r="O1907">
        <v>0.73717473597580563</v>
      </c>
      <c r="P1907">
        <v>1.0107346664399752</v>
      </c>
      <c r="Q1907">
        <v>0.30044919870599718</v>
      </c>
      <c r="R1907">
        <v>0.78221930595512124</v>
      </c>
      <c r="S1907">
        <v>0.80669192384818356</v>
      </c>
      <c r="T1907">
        <v>0.17771698505997899</v>
      </c>
      <c r="U1907">
        <f t="shared" si="195"/>
        <v>0.78617396934401074</v>
      </c>
      <c r="V1907" t="str">
        <f t="shared" si="193"/>
        <v>2017/18Expenditure driversBlackstartAllowance</v>
      </c>
    </row>
    <row r="1908" spans="1:22">
      <c r="A1908" t="s">
        <v>139</v>
      </c>
      <c r="C1908" t="s">
        <v>1344</v>
      </c>
      <c r="D1908" t="s">
        <v>75</v>
      </c>
      <c r="E1908" t="s">
        <v>298</v>
      </c>
      <c r="F1908" t="s">
        <v>1289</v>
      </c>
      <c r="G1908">
        <v>0.15136285222840734</v>
      </c>
      <c r="H1908">
        <v>1.0932633940441985</v>
      </c>
      <c r="I1908">
        <v>1.6906437959838381</v>
      </c>
      <c r="J1908">
        <v>1.0947372124492558</v>
      </c>
      <c r="K1908">
        <v>1.9541602536121176</v>
      </c>
      <c r="L1908">
        <v>1.2302211292505127</v>
      </c>
      <c r="M1908">
        <v>2.3566504859807642</v>
      </c>
      <c r="N1908">
        <v>1.3759852747422321</v>
      </c>
      <c r="O1908">
        <v>1.225406656270015</v>
      </c>
      <c r="P1908">
        <v>0.69626532221068116</v>
      </c>
      <c r="Q1908">
        <v>0</v>
      </c>
      <c r="R1908">
        <v>0.128209327003448</v>
      </c>
      <c r="S1908">
        <v>0.16194642716821625</v>
      </c>
      <c r="T1908">
        <v>1.0269850106948506</v>
      </c>
      <c r="U1908">
        <f t="shared" si="195"/>
        <v>1.0132740815456101</v>
      </c>
      <c r="V1908" t="str">
        <f t="shared" si="193"/>
        <v>2017/18Expenditure driversBlackstartActual</v>
      </c>
    </row>
    <row r="1909" spans="1:22">
      <c r="A1909" t="s">
        <v>139</v>
      </c>
      <c r="C1909" t="s">
        <v>1344</v>
      </c>
      <c r="D1909" t="s">
        <v>75</v>
      </c>
      <c r="E1909" t="s">
        <v>602</v>
      </c>
      <c r="F1909" t="s">
        <v>1289</v>
      </c>
      <c r="G1909">
        <v>-0.83566544782236707</v>
      </c>
      <c r="H1909">
        <v>0.52426931647612574</v>
      </c>
      <c r="I1909">
        <v>0.51033190242405047</v>
      </c>
      <c r="J1909">
        <v>0.15032248831401329</v>
      </c>
      <c r="K1909">
        <v>0.17548678565608311</v>
      </c>
      <c r="L1909">
        <v>0.80460889506662092</v>
      </c>
      <c r="M1909">
        <v>1.4219409938581471</v>
      </c>
      <c r="N1909">
        <v>1.0042807094875652</v>
      </c>
      <c r="O1909">
        <v>0.48823192029420936</v>
      </c>
      <c r="P1909">
        <v>-0.31446934422929407</v>
      </c>
      <c r="Q1909">
        <v>-0.30044919870599718</v>
      </c>
      <c r="R1909">
        <v>-0.65400997895167323</v>
      </c>
      <c r="S1909">
        <v>-0.64474549667996728</v>
      </c>
      <c r="T1909">
        <v>0.84926802563487158</v>
      </c>
      <c r="U1909">
        <f>U1908-U1907</f>
        <v>0.22710011220159931</v>
      </c>
      <c r="V1909" t="str">
        <f t="shared" si="193"/>
        <v>2017/18Expenditure driversBlackstartDifference</v>
      </c>
    </row>
    <row r="1910" spans="1:22">
      <c r="A1910" t="s">
        <v>139</v>
      </c>
      <c r="C1910" t="s">
        <v>1344</v>
      </c>
      <c r="D1910" t="s">
        <v>75</v>
      </c>
      <c r="E1910" t="s">
        <v>1346</v>
      </c>
      <c r="F1910" t="s">
        <v>606</v>
      </c>
      <c r="G1910" s="829">
        <v>-0.84664791047974919</v>
      </c>
      <c r="H1910" s="829">
        <v>0.92139678978188266</v>
      </c>
      <c r="I1910" s="829">
        <v>0.43237038041267528</v>
      </c>
      <c r="J1910" s="829">
        <v>0.15916999647761393</v>
      </c>
      <c r="K1910" s="829">
        <v>9.8661608674999818E-2</v>
      </c>
      <c r="L1910" s="829">
        <v>1.8904740757968395</v>
      </c>
      <c r="M1910" s="829">
        <v>1.5212651693833597</v>
      </c>
      <c r="N1910" s="829">
        <v>2.7018250604468634</v>
      </c>
      <c r="O1910" s="829">
        <v>0.6623014822231148</v>
      </c>
      <c r="P1910" s="829">
        <v>-0.31112947311575123</v>
      </c>
      <c r="Q1910" s="829">
        <v>-1</v>
      </c>
      <c r="R1910" s="829">
        <v>-0.83609541975328872</v>
      </c>
      <c r="S1910" s="829">
        <v>-0.79924625203178057</v>
      </c>
      <c r="T1910" s="829">
        <v>4.7787667866875303</v>
      </c>
      <c r="U1910" s="829">
        <f>U1909/U1907</f>
        <v>0.28886750395856187</v>
      </c>
      <c r="V1910" t="str">
        <f t="shared" si="193"/>
        <v>2017/18Expenditure driversBlackstartDifference %</v>
      </c>
    </row>
    <row r="1911" spans="1:22">
      <c r="A1911" t="s">
        <v>140</v>
      </c>
      <c r="C1911" t="s">
        <v>1344</v>
      </c>
      <c r="D1911" t="s">
        <v>75</v>
      </c>
      <c r="E1911" t="s">
        <v>297</v>
      </c>
      <c r="F1911" t="s">
        <v>1289</v>
      </c>
      <c r="G1911">
        <f t="array" ref="G1911:T1914">TRANSPOSE('Ch4 expenditure drivers'!AU474:AX487)</f>
        <v>0.94229627814058525</v>
      </c>
      <c r="H1911">
        <v>0.38075370681258947</v>
      </c>
      <c r="I1911">
        <v>1.0185104595155632</v>
      </c>
      <c r="J1911">
        <v>1.0442780480239542</v>
      </c>
      <c r="K1911">
        <v>1.9928920577143547</v>
      </c>
      <c r="L1911">
        <v>0.49212527791163008</v>
      </c>
      <c r="M1911">
        <v>1.0818558393062885</v>
      </c>
      <c r="N1911">
        <v>0.34671846051418326</v>
      </c>
      <c r="O1911">
        <v>0.73575241223351096</v>
      </c>
      <c r="P1911">
        <v>1.0432317742860142</v>
      </c>
      <c r="Q1911">
        <v>0.29026623601143442</v>
      </c>
      <c r="R1911">
        <v>0.72793553494924201</v>
      </c>
      <c r="S1911">
        <v>0.81011332868280883</v>
      </c>
      <c r="T1911">
        <v>0.17000155880649284</v>
      </c>
      <c r="U1911">
        <f>AVERAGE(G1911:T1911)</f>
        <v>0.79119506949347518</v>
      </c>
      <c r="V1911" t="str">
        <f t="shared" si="193"/>
        <v>2018/19Expenditure driversBlackstartAllowance</v>
      </c>
    </row>
    <row r="1912" spans="1:22">
      <c r="A1912" t="s">
        <v>140</v>
      </c>
      <c r="C1912" t="s">
        <v>1344</v>
      </c>
      <c r="D1912" t="s">
        <v>75</v>
      </c>
      <c r="E1912" t="s">
        <v>298</v>
      </c>
      <c r="F1912" t="s">
        <v>1289</v>
      </c>
      <c r="G1912">
        <v>0.62367327504445336</v>
      </c>
      <c r="H1912">
        <v>0.71277749871801177</v>
      </c>
      <c r="I1912">
        <v>1.4124466778469076</v>
      </c>
      <c r="J1912">
        <v>0.87172301735213975</v>
      </c>
      <c r="K1912">
        <v>1.0954473195250398</v>
      </c>
      <c r="L1912">
        <v>0.36211046846541572</v>
      </c>
      <c r="M1912">
        <v>1.1092859361542915</v>
      </c>
      <c r="N1912">
        <v>1.1034318760701685</v>
      </c>
      <c r="O1912">
        <v>2.3408300214314961</v>
      </c>
      <c r="P1912">
        <v>2.5388110358619231</v>
      </c>
      <c r="Q1912">
        <v>0</v>
      </c>
      <c r="R1912">
        <v>0.24715873698885898</v>
      </c>
      <c r="S1912">
        <v>0.88649839190159163</v>
      </c>
      <c r="T1912">
        <v>0.31122433749558776</v>
      </c>
      <c r="U1912">
        <f>AVERAGE(G1912:T1912)</f>
        <v>0.97252989948970592</v>
      </c>
      <c r="V1912" t="str">
        <f t="shared" si="193"/>
        <v>2018/19Expenditure driversBlackstartActual</v>
      </c>
    </row>
    <row r="1913" spans="1:22">
      <c r="A1913" t="s">
        <v>140</v>
      </c>
      <c r="C1913" t="s">
        <v>1344</v>
      </c>
      <c r="D1913" t="s">
        <v>75</v>
      </c>
      <c r="E1913" t="s">
        <v>602</v>
      </c>
      <c r="F1913" t="s">
        <v>1289</v>
      </c>
      <c r="G1913">
        <v>-0.3186230030961319</v>
      </c>
      <c r="H1913">
        <v>0.33202379190542231</v>
      </c>
      <c r="I1913">
        <v>0.3939362183313444</v>
      </c>
      <c r="J1913">
        <v>-0.17255503067181444</v>
      </c>
      <c r="K1913">
        <v>-0.89744473818931492</v>
      </c>
      <c r="L1913">
        <v>-0.13001480944621435</v>
      </c>
      <c r="M1913">
        <v>2.7430096848003016E-2</v>
      </c>
      <c r="N1913">
        <v>0.75671341555598515</v>
      </c>
      <c r="O1913">
        <v>1.605077609197985</v>
      </c>
      <c r="P1913">
        <v>1.4955792615759089</v>
      </c>
      <c r="Q1913">
        <v>-0.29026623601143442</v>
      </c>
      <c r="R1913">
        <v>-0.48077679796038303</v>
      </c>
      <c r="S1913">
        <v>7.63850632187828E-2</v>
      </c>
      <c r="T1913">
        <v>0.14122277868909491</v>
      </c>
      <c r="U1913">
        <f>U1912-U1911</f>
        <v>0.18133482999623074</v>
      </c>
      <c r="V1913" t="str">
        <f t="shared" si="193"/>
        <v>2018/19Expenditure driversBlackstartDifference</v>
      </c>
    </row>
    <row r="1914" spans="1:22">
      <c r="A1914" t="s">
        <v>140</v>
      </c>
      <c r="C1914" t="s">
        <v>1344</v>
      </c>
      <c r="D1914" t="s">
        <v>75</v>
      </c>
      <c r="E1914" t="s">
        <v>1346</v>
      </c>
      <c r="F1914" t="s">
        <v>606</v>
      </c>
      <c r="G1914" s="829">
        <v>-0.33813462972056346</v>
      </c>
      <c r="H1914" s="829">
        <v>0.87201722784237401</v>
      </c>
      <c r="I1914" s="829">
        <v>0.3867768019964305</v>
      </c>
      <c r="J1914" s="829">
        <v>-0.16523858851417345</v>
      </c>
      <c r="K1914" s="829">
        <v>-0.45032280334269237</v>
      </c>
      <c r="L1914" s="829">
        <v>-0.26419047198295076</v>
      </c>
      <c r="M1914" s="829">
        <v>2.5354669126333728E-2</v>
      </c>
      <c r="N1914" s="829">
        <v>2.1825010829644884</v>
      </c>
      <c r="O1914" s="829">
        <v>2.1815458332314241</v>
      </c>
      <c r="P1914" s="829">
        <v>1.4336020992070342</v>
      </c>
      <c r="Q1914" s="829">
        <v>-1</v>
      </c>
      <c r="R1914" s="829">
        <v>-0.66046617437615129</v>
      </c>
      <c r="S1914" s="829">
        <v>9.4289354975778394E-2</v>
      </c>
      <c r="T1914" s="829">
        <v>0.83071461038686201</v>
      </c>
      <c r="U1914" s="829">
        <f>U1913/U1911</f>
        <v>0.22919105159783376</v>
      </c>
      <c r="V1914" t="str">
        <f t="shared" si="193"/>
        <v>2018/19Expenditure driversBlackstartDifference %</v>
      </c>
    </row>
    <row r="1915" spans="1:22">
      <c r="A1915" t="s">
        <v>141</v>
      </c>
      <c r="C1915" t="s">
        <v>1344</v>
      </c>
      <c r="D1915" t="s">
        <v>75</v>
      </c>
      <c r="E1915" t="s">
        <v>297</v>
      </c>
      <c r="F1915" t="s">
        <v>1289</v>
      </c>
      <c r="G1915" s="229">
        <f t="array" ref="G1915:T1918">TRANSPOSE('Ch4 expenditure drivers'!AZ474:BC487)</f>
        <v>0.98305482443418402</v>
      </c>
      <c r="H1915" s="229">
        <v>0.35807304132116163</v>
      </c>
      <c r="I1915" s="229">
        <v>0.51003941253026941</v>
      </c>
      <c r="J1915" s="229">
        <v>0.72090033588423452</v>
      </c>
      <c r="K1915" s="229">
        <v>1.3940837045446857</v>
      </c>
      <c r="L1915" s="229">
        <v>0.3584579340405768</v>
      </c>
      <c r="M1915" s="229">
        <v>0.78952939310485248</v>
      </c>
      <c r="N1915" s="229">
        <v>0.29669279311639896</v>
      </c>
      <c r="O1915" s="229">
        <v>0.6381312757485208</v>
      </c>
      <c r="P1915" s="229">
        <v>0.89846257011822972</v>
      </c>
      <c r="Q1915" s="229">
        <v>0.27735890293934623</v>
      </c>
      <c r="R1915" s="229">
        <v>0.66104449734158099</v>
      </c>
      <c r="S1915" s="229">
        <v>0.44428206121493591</v>
      </c>
      <c r="T1915" s="229">
        <v>0.16070942448368078</v>
      </c>
      <c r="U1915" s="229">
        <f>AVERAGE(G1915:T1915)</f>
        <v>0.60648715505876127</v>
      </c>
      <c r="V1915" t="str">
        <f t="shared" si="193"/>
        <v>2019/20Expenditure driversBlackstartAllowance</v>
      </c>
    </row>
    <row r="1916" spans="1:22">
      <c r="A1916" t="s">
        <v>141</v>
      </c>
      <c r="C1916" t="s">
        <v>1344</v>
      </c>
      <c r="D1916" t="s">
        <v>75</v>
      </c>
      <c r="E1916" t="s">
        <v>298</v>
      </c>
      <c r="F1916" t="s">
        <v>1289</v>
      </c>
      <c r="G1916" s="229">
        <v>1.4403735675211435</v>
      </c>
      <c r="H1916" s="229">
        <v>0.36271086493985411</v>
      </c>
      <c r="I1916" s="229">
        <v>0.49729663850506867</v>
      </c>
      <c r="J1916" s="229">
        <v>0.395047178315591</v>
      </c>
      <c r="K1916" s="229">
        <v>1.1517391719022028</v>
      </c>
      <c r="L1916" s="229">
        <v>0.1049176787938426</v>
      </c>
      <c r="M1916" s="229">
        <v>0.42202601000543621</v>
      </c>
      <c r="N1916" s="229">
        <v>0.41131378973926913</v>
      </c>
      <c r="O1916" s="229">
        <v>0.96422646547149726</v>
      </c>
      <c r="P1916" s="229">
        <v>2.1147981773545483</v>
      </c>
      <c r="Q1916" s="229">
        <v>1.5038824993117175E-2</v>
      </c>
      <c r="R1916" s="229">
        <v>0.32672083763997078</v>
      </c>
      <c r="S1916" s="229">
        <v>1.9675094539467801E-2</v>
      </c>
      <c r="T1916" s="229">
        <v>0.19832826493060193</v>
      </c>
      <c r="U1916" s="229">
        <f>AVERAGE(G1916:T1916)</f>
        <v>0.60172946890368639</v>
      </c>
      <c r="V1916" t="str">
        <f t="shared" si="193"/>
        <v>2019/20Expenditure driversBlackstartActual</v>
      </c>
    </row>
    <row r="1917" spans="1:22">
      <c r="A1917" t="s">
        <v>141</v>
      </c>
      <c r="C1917" t="s">
        <v>1344</v>
      </c>
      <c r="D1917" t="s">
        <v>75</v>
      </c>
      <c r="E1917" t="s">
        <v>602</v>
      </c>
      <c r="F1917" t="s">
        <v>1289</v>
      </c>
      <c r="G1917" s="229">
        <v>0.45731874308695952</v>
      </c>
      <c r="H1917" s="229">
        <v>4.6378236186924715E-3</v>
      </c>
      <c r="I1917" s="229">
        <v>-1.2742774025200743E-2</v>
      </c>
      <c r="J1917" s="229">
        <v>-0.32585315756864353</v>
      </c>
      <c r="K1917" s="229">
        <v>-0.2423445326424829</v>
      </c>
      <c r="L1917" s="229">
        <v>-0.25354025524673418</v>
      </c>
      <c r="M1917" s="229">
        <v>-0.36750338309941627</v>
      </c>
      <c r="N1917" s="229">
        <v>0.11462099662287017</v>
      </c>
      <c r="O1917" s="229">
        <v>0.32609518972297646</v>
      </c>
      <c r="P1917" s="229">
        <v>1.2163356072363185</v>
      </c>
      <c r="Q1917" s="229">
        <v>-0.26232007794622908</v>
      </c>
      <c r="R1917" s="229">
        <v>-0.33432365970161021</v>
      </c>
      <c r="S1917" s="229">
        <v>-0.4246069666754681</v>
      </c>
      <c r="T1917" s="229">
        <v>3.7618840446921153E-2</v>
      </c>
      <c r="U1917" s="229">
        <f>U1916-U1915</f>
        <v>-4.7576861550748806E-3</v>
      </c>
      <c r="V1917" t="str">
        <f t="shared" si="193"/>
        <v>2019/20Expenditure driversBlackstartDifference</v>
      </c>
    </row>
    <row r="1918" spans="1:22">
      <c r="A1918" t="s">
        <v>141</v>
      </c>
      <c r="C1918" t="s">
        <v>1344</v>
      </c>
      <c r="D1918" t="s">
        <v>75</v>
      </c>
      <c r="E1918" t="s">
        <v>1346</v>
      </c>
      <c r="F1918" t="s">
        <v>606</v>
      </c>
      <c r="G1918" s="829">
        <v>0.46520166700791898</v>
      </c>
      <c r="H1918" s="829">
        <v>1.2952171997033227E-2</v>
      </c>
      <c r="I1918" s="829">
        <v>-2.4983900679331313E-2</v>
      </c>
      <c r="J1918" s="829">
        <v>-0.45200860833136097</v>
      </c>
      <c r="K1918" s="829">
        <v>-0.1738378634313309</v>
      </c>
      <c r="L1918" s="829">
        <v>-0.70730825340870784</v>
      </c>
      <c r="M1918" s="829">
        <v>-0.46547143945356628</v>
      </c>
      <c r="N1918" s="829">
        <v>0.38632888726050685</v>
      </c>
      <c r="O1918" s="829">
        <v>0.51101583971177478</v>
      </c>
      <c r="P1918" s="829">
        <v>1.3537966384913058</v>
      </c>
      <c r="Q1918" s="829">
        <v>-0.94577846669516896</v>
      </c>
      <c r="R1918" s="829">
        <v>-0.50575061292561585</v>
      </c>
      <c r="S1918" s="829">
        <v>-0.95571485716604399</v>
      </c>
      <c r="T1918" s="829">
        <v>0.23407986537056608</v>
      </c>
      <c r="U1918" s="829">
        <f>U1917/U1915</f>
        <v>-7.8446610375679238E-3</v>
      </c>
      <c r="V1918" t="str">
        <f t="shared" si="193"/>
        <v>2019/20Expenditure driversBlackstartDifference %</v>
      </c>
    </row>
    <row r="1919" spans="1:22">
      <c r="A1919" t="s">
        <v>126</v>
      </c>
      <c r="C1919" t="s">
        <v>1344</v>
      </c>
      <c r="D1919" t="s">
        <v>75</v>
      </c>
      <c r="E1919" t="s">
        <v>297</v>
      </c>
      <c r="F1919" t="s">
        <v>1289</v>
      </c>
      <c r="G1919" s="229" cm="1">
        <f t="array" ref="G1919:T1922">TRANSPOSE('Ch4 expenditure drivers'!BE474:BH487)</f>
        <v>1.8296956712259498</v>
      </c>
      <c r="H1919" s="229">
        <v>0.27818334386942528</v>
      </c>
      <c r="I1919" s="229">
        <v>0.49050086694801265</v>
      </c>
      <c r="J1919" s="229">
        <v>0.39511377234710016</v>
      </c>
      <c r="K1919" s="229">
        <v>0.79228189587602704</v>
      </c>
      <c r="L1919" s="229">
        <v>0.22489993884116866</v>
      </c>
      <c r="M1919" s="229">
        <v>0.49680531105875103</v>
      </c>
      <c r="N1919" s="229">
        <v>0.20412028227639614</v>
      </c>
      <c r="O1919" s="229">
        <v>0.47678059487334468</v>
      </c>
      <c r="P1919" s="229">
        <v>0.63228063375785493</v>
      </c>
      <c r="Q1919" s="229">
        <v>0.27114917950538497</v>
      </c>
      <c r="R1919" s="229">
        <v>0.65872449804625777</v>
      </c>
      <c r="S1919" s="229">
        <v>0.43976587231181896</v>
      </c>
      <c r="T1919" s="229">
        <v>0.15055487611965171</v>
      </c>
      <c r="U1919" s="229">
        <f>AVERAGE(G1919:T1919)</f>
        <v>0.52434690978979615</v>
      </c>
      <c r="V1919" t="str">
        <f t="shared" si="193"/>
        <v>2020/21Expenditure driversBlackstartAllowance</v>
      </c>
    </row>
    <row r="1920" spans="1:22">
      <c r="A1920" t="s">
        <v>126</v>
      </c>
      <c r="C1920" t="s">
        <v>1344</v>
      </c>
      <c r="D1920" t="s">
        <v>75</v>
      </c>
      <c r="E1920" t="s">
        <v>298</v>
      </c>
      <c r="F1920" t="s">
        <v>1289</v>
      </c>
      <c r="G1920" s="229">
        <v>0.98425312202869275</v>
      </c>
      <c r="H1920" s="229">
        <v>0.32880013088368171</v>
      </c>
      <c r="I1920" s="229">
        <v>0.70339109204955008</v>
      </c>
      <c r="J1920" s="229">
        <v>1.057759707921011E-3</v>
      </c>
      <c r="K1920" s="229">
        <v>0.35868631695601488</v>
      </c>
      <c r="L1920" s="229">
        <v>4.707030700248499E-2</v>
      </c>
      <c r="M1920" s="229">
        <v>0.5270816624570398</v>
      </c>
      <c r="N1920" s="229">
        <v>0.25160346028548786</v>
      </c>
      <c r="O1920" s="229">
        <v>0.94197623705630384</v>
      </c>
      <c r="P1920" s="229">
        <v>1.7978013541801714</v>
      </c>
      <c r="Q1920" s="229">
        <v>4.1797088262962197E-3</v>
      </c>
      <c r="R1920" s="229">
        <v>0.1371977201915249</v>
      </c>
      <c r="S1920" s="229">
        <v>1.384398021246435E-2</v>
      </c>
      <c r="T1920" s="229">
        <v>0.11511405331277813</v>
      </c>
      <c r="U1920" s="229">
        <f>AVERAGE(G1920:T1920)</f>
        <v>0.44371835036788648</v>
      </c>
      <c r="V1920" t="str">
        <f t="shared" si="193"/>
        <v>2020/21Expenditure driversBlackstartActual</v>
      </c>
    </row>
    <row r="1921" spans="1:22">
      <c r="A1921" t="s">
        <v>126</v>
      </c>
      <c r="C1921" t="s">
        <v>1344</v>
      </c>
      <c r="D1921" t="s">
        <v>75</v>
      </c>
      <c r="E1921" t="s">
        <v>602</v>
      </c>
      <c r="F1921" t="s">
        <v>1289</v>
      </c>
      <c r="G1921" s="229">
        <v>-0.84544254919725703</v>
      </c>
      <c r="H1921" s="229">
        <v>5.0616787014256426E-2</v>
      </c>
      <c r="I1921" s="229">
        <v>0.21289022510153743</v>
      </c>
      <c r="J1921" s="229">
        <v>-0.39405601263917917</v>
      </c>
      <c r="K1921" s="229">
        <v>-0.43359557892001216</v>
      </c>
      <c r="L1921" s="229">
        <v>-0.17782963183868367</v>
      </c>
      <c r="M1921" s="229">
        <v>3.027635139828877E-2</v>
      </c>
      <c r="N1921" s="229">
        <v>4.7483178009091714E-2</v>
      </c>
      <c r="O1921" s="229">
        <v>0.46519564218295917</v>
      </c>
      <c r="P1921" s="229">
        <v>1.1655207204223164</v>
      </c>
      <c r="Q1921" s="229">
        <v>-0.26696947067908877</v>
      </c>
      <c r="R1921" s="229">
        <v>-0.52152677785473289</v>
      </c>
      <c r="S1921" s="229">
        <v>-0.4259218920993546</v>
      </c>
      <c r="T1921" s="229">
        <v>-3.5440822806873579E-2</v>
      </c>
      <c r="U1921" s="229">
        <f>U1920-U1919</f>
        <v>-8.0628559421909662E-2</v>
      </c>
      <c r="V1921" t="str">
        <f t="shared" si="193"/>
        <v>2020/21Expenditure driversBlackstartDifference</v>
      </c>
    </row>
    <row r="1922" spans="1:22">
      <c r="A1922" t="s">
        <v>126</v>
      </c>
      <c r="C1922" t="s">
        <v>1344</v>
      </c>
      <c r="D1922" t="s">
        <v>75</v>
      </c>
      <c r="E1922" t="s">
        <v>1346</v>
      </c>
      <c r="F1922" t="s">
        <v>606</v>
      </c>
      <c r="G1922" s="829">
        <v>-0.4620673057781165</v>
      </c>
      <c r="H1922" s="829">
        <v>0.18195477238211327</v>
      </c>
      <c r="I1922" s="829">
        <v>0.4340261953585931</v>
      </c>
      <c r="J1922" s="829">
        <v>-0.99732289841065891</v>
      </c>
      <c r="K1922" s="829">
        <v>-0.54727437440759008</v>
      </c>
      <c r="L1922" s="829">
        <v>-0.79070555890311955</v>
      </c>
      <c r="M1922" s="829">
        <v>6.0942084805346131E-2</v>
      </c>
      <c r="N1922" s="829">
        <v>0.23262351726907507</v>
      </c>
      <c r="O1922" s="829">
        <v>0.97570171098623881</v>
      </c>
      <c r="P1922" s="829">
        <v>1.8433598282067214</v>
      </c>
      <c r="Q1922" s="829">
        <v>-0.98458520570144969</v>
      </c>
      <c r="R1922" s="829">
        <v>-0.79172215304205917</v>
      </c>
      <c r="S1922" s="829">
        <v>-0.96851965765399783</v>
      </c>
      <c r="T1922" s="829">
        <v>-0.23540136141925688</v>
      </c>
      <c r="U1922" s="829">
        <f>U1921/U1919</f>
        <v>-0.15376949480684954</v>
      </c>
      <c r="V1922" t="str">
        <f t="shared" si="193"/>
        <v>2020/21Expenditure driversBlackstartDifference %</v>
      </c>
    </row>
    <row r="1923" spans="1:22">
      <c r="A1923" t="s">
        <v>142</v>
      </c>
      <c r="C1923" t="s">
        <v>1344</v>
      </c>
      <c r="D1923" t="s">
        <v>75</v>
      </c>
      <c r="E1923" t="s">
        <v>297</v>
      </c>
      <c r="F1923" t="s">
        <v>1289</v>
      </c>
      <c r="G1923" s="229" cm="1">
        <f t="array" ref="G1923:T1926">TRANSPOSE('Ch4 expenditure drivers'!BJ474:BM487)</f>
        <v>1.8207371436328925</v>
      </c>
      <c r="H1923" s="229">
        <v>0.24346541092742865</v>
      </c>
      <c r="I1923" s="229">
        <v>0.40912932714813738</v>
      </c>
      <c r="J1923" s="229">
        <v>0.3971933414603101</v>
      </c>
      <c r="K1923" s="229">
        <v>0.79475302353814059</v>
      </c>
      <c r="L1923" s="229">
        <v>0.22611943614191093</v>
      </c>
      <c r="M1923" s="229">
        <v>0.49539227963523441</v>
      </c>
      <c r="N1923" s="229">
        <v>0.17812625429327988</v>
      </c>
      <c r="O1923" s="229">
        <v>0.44264414552108433</v>
      </c>
      <c r="P1923" s="229">
        <v>0.61081833552455334</v>
      </c>
      <c r="Q1923" s="229">
        <v>0.24181557626172767</v>
      </c>
      <c r="R1923" s="229">
        <v>0.54950002888237481</v>
      </c>
      <c r="S1923" s="229">
        <v>0.44052672231257317</v>
      </c>
      <c r="T1923" s="229">
        <v>0.14735995285926684</v>
      </c>
      <c r="U1923" s="229">
        <f>AVERAGE(G1923:T1923)</f>
        <v>0.49982721272420821</v>
      </c>
      <c r="V1923" t="str">
        <f t="shared" ref="V1923:V1926" si="197">CONCATENATE(A1923,B1923,C1923,D1923,E1923)</f>
        <v>2021/22Expenditure driversBlackstartAllowance</v>
      </c>
    </row>
    <row r="1924" spans="1:22">
      <c r="A1924" t="s">
        <v>142</v>
      </c>
      <c r="C1924" t="s">
        <v>1344</v>
      </c>
      <c r="D1924" t="s">
        <v>75</v>
      </c>
      <c r="E1924" t="s">
        <v>298</v>
      </c>
      <c r="F1924" t="s">
        <v>1289</v>
      </c>
      <c r="G1924" s="229">
        <v>0.29075524989060997</v>
      </c>
      <c r="H1924" s="229">
        <v>0.14376096999999999</v>
      </c>
      <c r="I1924" s="229">
        <v>0.44858133</v>
      </c>
      <c r="J1924" s="229">
        <v>8.8200000000000001E-2</v>
      </c>
      <c r="K1924" s="229">
        <v>0.25559999999999999</v>
      </c>
      <c r="L1924" s="229">
        <v>0</v>
      </c>
      <c r="M1924" s="229">
        <v>0.1462</v>
      </c>
      <c r="N1924" s="229">
        <v>0.34952613375183789</v>
      </c>
      <c r="O1924" s="229">
        <v>1.2098628339399866</v>
      </c>
      <c r="P1924" s="229">
        <v>1.8065587659876983</v>
      </c>
      <c r="Q1924" s="229">
        <v>3.5271433959091991E-2</v>
      </c>
      <c r="R1924" s="229">
        <v>0.18224608660432504</v>
      </c>
      <c r="S1924" s="229">
        <v>0</v>
      </c>
      <c r="T1924" s="229">
        <v>0.13708236999999998</v>
      </c>
      <c r="U1924" s="229">
        <f>AVERAGE(G1924:T1924)</f>
        <v>0.36383179815239636</v>
      </c>
      <c r="V1924" t="str">
        <f t="shared" si="197"/>
        <v>2021/22Expenditure driversBlackstartActual</v>
      </c>
    </row>
    <row r="1925" spans="1:22">
      <c r="A1925" t="s">
        <v>142</v>
      </c>
      <c r="C1925" t="s">
        <v>1344</v>
      </c>
      <c r="D1925" t="s">
        <v>75</v>
      </c>
      <c r="E1925" t="s">
        <v>602</v>
      </c>
      <c r="F1925" t="s">
        <v>1289</v>
      </c>
      <c r="G1925" s="229">
        <v>-1.5299818937422827</v>
      </c>
      <c r="H1925" s="229">
        <v>-9.9704440927428667E-2</v>
      </c>
      <c r="I1925" s="229">
        <v>3.9452002851862622E-2</v>
      </c>
      <c r="J1925" s="229">
        <v>-0.3089933414603101</v>
      </c>
      <c r="K1925" s="229">
        <v>-0.53915302353814054</v>
      </c>
      <c r="L1925" s="229">
        <v>-0.22611943614191093</v>
      </c>
      <c r="M1925" s="229">
        <v>-0.34919227963523441</v>
      </c>
      <c r="N1925" s="229">
        <v>0.171399879458558</v>
      </c>
      <c r="O1925" s="229">
        <v>0.76721868841890228</v>
      </c>
      <c r="P1925" s="229">
        <v>1.1957404304631449</v>
      </c>
      <c r="Q1925" s="229">
        <v>-0.20654414230263568</v>
      </c>
      <c r="R1925" s="229">
        <v>-0.36725394227804975</v>
      </c>
      <c r="S1925" s="229">
        <v>-0.44052672231257317</v>
      </c>
      <c r="T1925" s="229">
        <v>-1.0277582859266859E-2</v>
      </c>
      <c r="U1925" s="229">
        <f>U1924-U1923</f>
        <v>-0.13599541457181186</v>
      </c>
      <c r="V1925" t="str">
        <f t="shared" si="197"/>
        <v>2021/22Expenditure driversBlackstartDifference</v>
      </c>
    </row>
    <row r="1926" spans="1:22">
      <c r="A1926" t="s">
        <v>142</v>
      </c>
      <c r="C1926" t="s">
        <v>1344</v>
      </c>
      <c r="D1926" t="s">
        <v>75</v>
      </c>
      <c r="E1926" t="s">
        <v>1346</v>
      </c>
      <c r="F1926" t="s">
        <v>606</v>
      </c>
      <c r="G1926" s="829">
        <v>-0.84030904685644525</v>
      </c>
      <c r="H1926" s="829">
        <v>-0.40952199553779006</v>
      </c>
      <c r="I1926" s="829">
        <v>9.6429173451987357E-2</v>
      </c>
      <c r="J1926" s="829">
        <v>-0.77794189682101333</v>
      </c>
      <c r="K1926" s="829">
        <v>-0.67839065416561617</v>
      </c>
      <c r="L1926" s="829">
        <v>-1</v>
      </c>
      <c r="M1926" s="829">
        <v>-0.7048803422862191</v>
      </c>
      <c r="N1926" s="829">
        <v>0.96223816157023601</v>
      </c>
      <c r="O1926" s="829">
        <v>1.7332629295610047</v>
      </c>
      <c r="P1926" s="829">
        <v>1.9576040222110838</v>
      </c>
      <c r="Q1926" s="829">
        <v>-0.85413911500508077</v>
      </c>
      <c r="R1926" s="829">
        <v>-0.6683419890350244</v>
      </c>
      <c r="S1926" s="829">
        <v>-1</v>
      </c>
      <c r="T1926" s="829">
        <v>-6.9744748555140068E-2</v>
      </c>
      <c r="U1926" s="829">
        <f>U1925/U1923</f>
        <v>-0.27208485474529498</v>
      </c>
      <c r="V1926" t="str">
        <f t="shared" si="197"/>
        <v>2021/22Expenditure driversBlackstartDifference %</v>
      </c>
    </row>
    <row r="1927" spans="1:22">
      <c r="A1927" t="s">
        <v>137</v>
      </c>
      <c r="C1927" t="s">
        <v>1344</v>
      </c>
      <c r="D1927" t="s">
        <v>77</v>
      </c>
      <c r="E1927" t="s">
        <v>1347</v>
      </c>
      <c r="F1927" t="s">
        <v>1289</v>
      </c>
      <c r="G1927">
        <f t="array" ref="G1927:T1934">TRANSPOSE('Ch4 expenditure drivers'!E494:L507)</f>
        <v>0</v>
      </c>
      <c r="H1927">
        <v>0</v>
      </c>
      <c r="I1927">
        <v>0</v>
      </c>
      <c r="J1927">
        <v>3.894361020357942</v>
      </c>
      <c r="K1927">
        <v>5.844221991186231</v>
      </c>
      <c r="L1927">
        <v>0</v>
      </c>
      <c r="M1927">
        <v>0</v>
      </c>
      <c r="N1927">
        <v>0</v>
      </c>
      <c r="O1927">
        <v>5.3853834290799236</v>
      </c>
      <c r="P1927">
        <v>9.9331007658091028</v>
      </c>
      <c r="Q1927">
        <v>1.9142338655361646</v>
      </c>
      <c r="R1927">
        <v>12.013186861429812</v>
      </c>
      <c r="S1927">
        <v>0.5995568764314757</v>
      </c>
      <c r="T1927">
        <v>1.3004959927117088</v>
      </c>
      <c r="U1927">
        <f>AVERAGE(G1927:T1927)</f>
        <v>2.92032434303874</v>
      </c>
      <c r="V1927" t="str">
        <f t="shared" si="193"/>
        <v>2015/16Expenditure driversBT21CNBPDT</v>
      </c>
    </row>
    <row r="1928" spans="1:22">
      <c r="A1928" t="s">
        <v>138</v>
      </c>
      <c r="C1928" t="s">
        <v>1344</v>
      </c>
      <c r="D1928" t="s">
        <v>77</v>
      </c>
      <c r="E1928" t="s">
        <v>1347</v>
      </c>
      <c r="F1928" t="s">
        <v>1289</v>
      </c>
      <c r="G1928">
        <v>0</v>
      </c>
      <c r="H1928">
        <v>0</v>
      </c>
      <c r="I1928">
        <v>0</v>
      </c>
      <c r="J1928">
        <v>3.8999737718230119</v>
      </c>
      <c r="K1928">
        <v>5.8472218876214281</v>
      </c>
      <c r="L1928">
        <v>0</v>
      </c>
      <c r="M1928">
        <v>0</v>
      </c>
      <c r="N1928">
        <v>0</v>
      </c>
      <c r="O1928">
        <v>5.6127069360637902</v>
      </c>
      <c r="P1928">
        <v>7.6401425458182297</v>
      </c>
      <c r="Q1928">
        <v>2.8792968378359047</v>
      </c>
      <c r="R1928">
        <v>18.190422075276171</v>
      </c>
      <c r="S1928">
        <v>0.59730754205419667</v>
      </c>
      <c r="T1928">
        <v>1.2967893308064209</v>
      </c>
      <c r="U1928">
        <f t="shared" ref="U1928:U1959" si="198">AVERAGE(G1928:T1928)</f>
        <v>3.2831329233785107</v>
      </c>
      <c r="V1928" t="str">
        <f t="shared" si="193"/>
        <v>2016/17Expenditure driversBT21CNBPDT</v>
      </c>
    </row>
    <row r="1929" spans="1:22">
      <c r="A1929" t="s">
        <v>139</v>
      </c>
      <c r="C1929" t="s">
        <v>1344</v>
      </c>
      <c r="D1929" t="s">
        <v>77</v>
      </c>
      <c r="E1929" t="s">
        <v>1347</v>
      </c>
      <c r="F1929" t="s">
        <v>1289</v>
      </c>
      <c r="G1929">
        <v>0</v>
      </c>
      <c r="H1929">
        <v>0</v>
      </c>
      <c r="I1929">
        <v>0</v>
      </c>
      <c r="J1929">
        <v>0</v>
      </c>
      <c r="K1929">
        <v>0</v>
      </c>
      <c r="L1929">
        <v>0</v>
      </c>
      <c r="M1929">
        <v>0</v>
      </c>
      <c r="N1929">
        <v>0</v>
      </c>
      <c r="O1929">
        <v>5.5737028088076084</v>
      </c>
      <c r="P1929">
        <v>5.2293581304711161</v>
      </c>
      <c r="Q1929">
        <v>1.6669958111346732</v>
      </c>
      <c r="R1929">
        <v>6.5910142754119931</v>
      </c>
      <c r="S1929">
        <v>0.59575534022023524</v>
      </c>
      <c r="T1929">
        <v>1.2951548215056463</v>
      </c>
      <c r="U1929">
        <f t="shared" si="198"/>
        <v>1.4965700848250911</v>
      </c>
      <c r="V1929" t="str">
        <f t="shared" si="193"/>
        <v>2017/18Expenditure driversBT21CNBPDT</v>
      </c>
    </row>
    <row r="1930" spans="1:22">
      <c r="A1930" t="s">
        <v>140</v>
      </c>
      <c r="C1930" t="s">
        <v>1344</v>
      </c>
      <c r="D1930" t="s">
        <v>77</v>
      </c>
      <c r="E1930" t="s">
        <v>1347</v>
      </c>
      <c r="F1930" t="s">
        <v>1289</v>
      </c>
      <c r="G1930">
        <v>0</v>
      </c>
      <c r="H1930">
        <v>0</v>
      </c>
      <c r="I1930">
        <v>0</v>
      </c>
      <c r="J1930">
        <v>0</v>
      </c>
      <c r="K1930">
        <v>0</v>
      </c>
      <c r="L1930">
        <v>0</v>
      </c>
      <c r="M1930">
        <v>0</v>
      </c>
      <c r="N1930">
        <v>0</v>
      </c>
      <c r="O1930">
        <v>0.93915345637181213</v>
      </c>
      <c r="P1930">
        <v>1.817098382952359</v>
      </c>
      <c r="Q1930">
        <v>0</v>
      </c>
      <c r="R1930">
        <v>0</v>
      </c>
      <c r="S1930">
        <v>0.5908246319233843</v>
      </c>
      <c r="T1930">
        <v>1.3101063185026909</v>
      </c>
      <c r="U1930">
        <f t="shared" si="198"/>
        <v>0.33265591355358903</v>
      </c>
      <c r="V1930" t="str">
        <f t="shared" si="193"/>
        <v>2018/19Expenditure driversBT21CNBPDT</v>
      </c>
    </row>
    <row r="1931" spans="1:22">
      <c r="A1931" t="s">
        <v>141</v>
      </c>
      <c r="C1931" t="s">
        <v>1344</v>
      </c>
      <c r="D1931" t="s">
        <v>77</v>
      </c>
      <c r="E1931" t="s">
        <v>1347</v>
      </c>
      <c r="F1931" t="s">
        <v>1289</v>
      </c>
      <c r="G1931">
        <v>0</v>
      </c>
      <c r="H1931">
        <v>0</v>
      </c>
      <c r="I1931">
        <v>0</v>
      </c>
      <c r="J1931">
        <v>0</v>
      </c>
      <c r="K1931">
        <v>0</v>
      </c>
      <c r="L1931">
        <v>0</v>
      </c>
      <c r="M1931">
        <v>0</v>
      </c>
      <c r="N1931">
        <v>0</v>
      </c>
      <c r="O1931">
        <v>0.95045987142866639</v>
      </c>
      <c r="P1931">
        <v>1.8341085000300574</v>
      </c>
      <c r="Q1931">
        <v>0</v>
      </c>
      <c r="R1931">
        <v>0</v>
      </c>
      <c r="S1931">
        <v>0</v>
      </c>
      <c r="T1931">
        <v>0</v>
      </c>
      <c r="U1931">
        <f t="shared" si="198"/>
        <v>0.19889774081848027</v>
      </c>
      <c r="V1931" t="str">
        <f t="shared" si="193"/>
        <v>2019/20Expenditure driversBT21CNBPDT</v>
      </c>
    </row>
    <row r="1932" spans="1:22">
      <c r="A1932" t="s">
        <v>126</v>
      </c>
      <c r="C1932" t="s">
        <v>1344</v>
      </c>
      <c r="D1932" t="s">
        <v>77</v>
      </c>
      <c r="E1932" t="s">
        <v>1347</v>
      </c>
      <c r="F1932" t="s">
        <v>1289</v>
      </c>
      <c r="G1932">
        <v>0</v>
      </c>
      <c r="H1932">
        <v>0</v>
      </c>
      <c r="I1932">
        <v>0</v>
      </c>
      <c r="J1932">
        <v>0</v>
      </c>
      <c r="K1932">
        <v>0</v>
      </c>
      <c r="L1932">
        <v>0</v>
      </c>
      <c r="M1932">
        <v>0</v>
      </c>
      <c r="N1932">
        <v>0</v>
      </c>
      <c r="O1932">
        <v>0.96286638923498347</v>
      </c>
      <c r="P1932">
        <v>1.8513378676919976</v>
      </c>
      <c r="Q1932">
        <v>0</v>
      </c>
      <c r="R1932">
        <v>0</v>
      </c>
      <c r="S1932">
        <v>0</v>
      </c>
      <c r="T1932">
        <v>0</v>
      </c>
      <c r="U1932">
        <f t="shared" si="198"/>
        <v>0.20101458978049866</v>
      </c>
      <c r="V1932" t="str">
        <f t="shared" si="193"/>
        <v>2020/21Expenditure driversBT21CNBPDT</v>
      </c>
    </row>
    <row r="1933" spans="1:22">
      <c r="A1933" t="s">
        <v>142</v>
      </c>
      <c r="C1933" t="s">
        <v>1344</v>
      </c>
      <c r="D1933" t="s">
        <v>77</v>
      </c>
      <c r="E1933" t="s">
        <v>1347</v>
      </c>
      <c r="F1933" t="s">
        <v>1289</v>
      </c>
      <c r="G1933">
        <v>0</v>
      </c>
      <c r="H1933">
        <v>0</v>
      </c>
      <c r="I1933">
        <v>0</v>
      </c>
      <c r="J1933">
        <v>0</v>
      </c>
      <c r="K1933">
        <v>0</v>
      </c>
      <c r="L1933">
        <v>0</v>
      </c>
      <c r="M1933">
        <v>0</v>
      </c>
      <c r="N1933">
        <v>0</v>
      </c>
      <c r="O1933">
        <v>0.9719425925889138</v>
      </c>
      <c r="P1933">
        <v>1.8689703010252117</v>
      </c>
      <c r="Q1933">
        <v>0</v>
      </c>
      <c r="R1933">
        <v>0</v>
      </c>
      <c r="S1933">
        <v>0</v>
      </c>
      <c r="T1933">
        <v>0</v>
      </c>
      <c r="U1933">
        <f t="shared" si="198"/>
        <v>0.20292234954386609</v>
      </c>
      <c r="V1933" t="str">
        <f t="shared" si="193"/>
        <v>2021/22Expenditure driversBT21CNBPDT</v>
      </c>
    </row>
    <row r="1934" spans="1:22">
      <c r="A1934" t="s">
        <v>143</v>
      </c>
      <c r="C1934" t="s">
        <v>1344</v>
      </c>
      <c r="D1934" t="s">
        <v>77</v>
      </c>
      <c r="E1934" t="s">
        <v>1347</v>
      </c>
      <c r="F1934" t="s">
        <v>1289</v>
      </c>
      <c r="G1934">
        <v>0</v>
      </c>
      <c r="H1934">
        <v>0</v>
      </c>
      <c r="I1934">
        <v>0</v>
      </c>
      <c r="J1934">
        <v>0</v>
      </c>
      <c r="K1934">
        <v>0</v>
      </c>
      <c r="L1934">
        <v>0</v>
      </c>
      <c r="M1934">
        <v>0</v>
      </c>
      <c r="N1934">
        <v>0</v>
      </c>
      <c r="O1934">
        <v>0.98181832403689706</v>
      </c>
      <c r="P1934">
        <v>1.8878793606184678</v>
      </c>
      <c r="Q1934">
        <v>0</v>
      </c>
      <c r="R1934">
        <v>0</v>
      </c>
      <c r="S1934">
        <v>0</v>
      </c>
      <c r="T1934">
        <v>0</v>
      </c>
      <c r="U1934">
        <f t="shared" si="198"/>
        <v>0.20497840604681178</v>
      </c>
      <c r="V1934" t="str">
        <f t="shared" si="193"/>
        <v>2022/23Expenditure driversBT21CNBPDT</v>
      </c>
    </row>
    <row r="1935" spans="1:22">
      <c r="A1935" t="s">
        <v>137</v>
      </c>
      <c r="C1935" t="s">
        <v>1344</v>
      </c>
      <c r="D1935" t="s">
        <v>77</v>
      </c>
      <c r="E1935" t="s">
        <v>1348</v>
      </c>
      <c r="F1935" t="s">
        <v>1289</v>
      </c>
      <c r="G1935">
        <f t="array" ref="G1935:T1942">TRANSPOSE('Ch4 expenditure drivers'!N494:U507)</f>
        <v>0</v>
      </c>
      <c r="H1935">
        <v>0</v>
      </c>
      <c r="I1935">
        <v>0</v>
      </c>
      <c r="J1935">
        <v>3.894361020357942</v>
      </c>
      <c r="K1935">
        <v>5.844221991186231</v>
      </c>
      <c r="L1935">
        <v>0</v>
      </c>
      <c r="M1935">
        <v>0</v>
      </c>
      <c r="N1935">
        <v>0</v>
      </c>
      <c r="O1935">
        <v>2.4741100561522003</v>
      </c>
      <c r="P1935">
        <v>4.103791886298831</v>
      </c>
      <c r="Q1935">
        <v>1.2384750637242437</v>
      </c>
      <c r="R1935">
        <v>6.6968415965629235</v>
      </c>
      <c r="S1935">
        <v>0.42382548510172147</v>
      </c>
      <c r="T1935">
        <v>0.92186162052236464</v>
      </c>
      <c r="U1935">
        <f t="shared" si="198"/>
        <v>1.8283920514218899</v>
      </c>
      <c r="V1935" t="str">
        <f t="shared" si="193"/>
        <v>2015/16Expenditure driversBT21CNDNO Baseline</v>
      </c>
    </row>
    <row r="1936" spans="1:22">
      <c r="A1936" t="s">
        <v>138</v>
      </c>
      <c r="C1936" t="s">
        <v>1344</v>
      </c>
      <c r="D1936" t="s">
        <v>77</v>
      </c>
      <c r="E1936" t="s">
        <v>1348</v>
      </c>
      <c r="F1936" t="s">
        <v>1289</v>
      </c>
      <c r="G1936">
        <v>0</v>
      </c>
      <c r="H1936">
        <v>0</v>
      </c>
      <c r="I1936">
        <v>0</v>
      </c>
      <c r="J1936">
        <v>3.8999737718230119</v>
      </c>
      <c r="K1936">
        <v>5.8472218876214281</v>
      </c>
      <c r="L1936">
        <v>0</v>
      </c>
      <c r="M1936">
        <v>0</v>
      </c>
      <c r="N1936">
        <v>0</v>
      </c>
      <c r="O1936">
        <v>2.8994084580237174</v>
      </c>
      <c r="P1936">
        <v>4.1893448562266364</v>
      </c>
      <c r="Q1936">
        <v>1.1942311941863502</v>
      </c>
      <c r="R1936">
        <v>8.4563824237931886</v>
      </c>
      <c r="S1936">
        <v>0.39669641979204318</v>
      </c>
      <c r="T1936">
        <v>0.9383732379787777</v>
      </c>
      <c r="U1936">
        <f t="shared" si="198"/>
        <v>1.9872594463889397</v>
      </c>
      <c r="V1936" t="str">
        <f t="shared" si="193"/>
        <v>2016/17Expenditure driversBT21CNDNO Baseline</v>
      </c>
    </row>
    <row r="1937" spans="1:22">
      <c r="A1937" t="s">
        <v>139</v>
      </c>
      <c r="C1937" t="s">
        <v>1344</v>
      </c>
      <c r="D1937" t="s">
        <v>77</v>
      </c>
      <c r="E1937" t="s">
        <v>1348</v>
      </c>
      <c r="F1937" t="s">
        <v>1289</v>
      </c>
      <c r="G1937">
        <v>0</v>
      </c>
      <c r="H1937">
        <v>0</v>
      </c>
      <c r="I1937">
        <v>0</v>
      </c>
      <c r="J1937">
        <v>0</v>
      </c>
      <c r="K1937">
        <v>0</v>
      </c>
      <c r="L1937">
        <v>0</v>
      </c>
      <c r="M1937">
        <v>0</v>
      </c>
      <c r="N1937">
        <v>0</v>
      </c>
      <c r="O1937">
        <v>2.6801261084805481</v>
      </c>
      <c r="P1937">
        <v>2.9157348738478457</v>
      </c>
      <c r="Q1937">
        <v>0.8427945887134447</v>
      </c>
      <c r="R1937">
        <v>4.258967451254537</v>
      </c>
      <c r="S1937">
        <v>0.35884115433613223</v>
      </c>
      <c r="T1937">
        <v>0.84129891473794349</v>
      </c>
      <c r="U1937">
        <f t="shared" si="198"/>
        <v>0.84984022081217514</v>
      </c>
      <c r="V1937" t="str">
        <f t="shared" si="193"/>
        <v>2017/18Expenditure driversBT21CNDNO Baseline</v>
      </c>
    </row>
    <row r="1938" spans="1:22">
      <c r="A1938" t="s">
        <v>140</v>
      </c>
      <c r="C1938" t="s">
        <v>1344</v>
      </c>
      <c r="D1938" t="s">
        <v>77</v>
      </c>
      <c r="E1938" t="s">
        <v>1348</v>
      </c>
      <c r="F1938" t="s">
        <v>1289</v>
      </c>
      <c r="G1938">
        <v>0</v>
      </c>
      <c r="H1938">
        <v>0</v>
      </c>
      <c r="I1938">
        <v>0</v>
      </c>
      <c r="J1938">
        <v>0</v>
      </c>
      <c r="K1938">
        <v>0</v>
      </c>
      <c r="L1938">
        <v>0</v>
      </c>
      <c r="M1938">
        <v>0</v>
      </c>
      <c r="N1938">
        <v>0</v>
      </c>
      <c r="O1938">
        <v>1.4217044773500804</v>
      </c>
      <c r="P1938">
        <v>2.0173367210974469</v>
      </c>
      <c r="Q1938">
        <v>0.41880294646278432</v>
      </c>
      <c r="R1938">
        <v>1.6880462786721659</v>
      </c>
      <c r="S1938">
        <v>0.36360344924797133</v>
      </c>
      <c r="T1938">
        <v>0.87371321184424022</v>
      </c>
      <c r="U1938">
        <f t="shared" si="198"/>
        <v>0.4845147917624778</v>
      </c>
      <c r="V1938" t="str">
        <f t="shared" si="193"/>
        <v>2018/19Expenditure driversBT21CNDNO Baseline</v>
      </c>
    </row>
    <row r="1939" spans="1:22">
      <c r="A1939" t="s">
        <v>141</v>
      </c>
      <c r="C1939" t="s">
        <v>1344</v>
      </c>
      <c r="D1939" t="s">
        <v>77</v>
      </c>
      <c r="E1939" t="s">
        <v>1348</v>
      </c>
      <c r="F1939" t="s">
        <v>1289</v>
      </c>
      <c r="G1939">
        <v>0</v>
      </c>
      <c r="H1939">
        <v>0</v>
      </c>
      <c r="I1939">
        <v>0</v>
      </c>
      <c r="J1939">
        <v>0</v>
      </c>
      <c r="K1939">
        <v>0</v>
      </c>
      <c r="L1939">
        <v>0</v>
      </c>
      <c r="M1939">
        <v>0</v>
      </c>
      <c r="N1939">
        <v>0</v>
      </c>
      <c r="O1939">
        <v>1.4303651572174056</v>
      </c>
      <c r="P1939">
        <v>2.0511234719000258</v>
      </c>
      <c r="Q1939">
        <v>0.47723939215407635</v>
      </c>
      <c r="R1939">
        <v>2.1111645387642954</v>
      </c>
      <c r="S1939">
        <v>0.19443845122845524</v>
      </c>
      <c r="T1939">
        <v>0.40196378158376006</v>
      </c>
      <c r="U1939">
        <f t="shared" si="198"/>
        <v>0.4761639137748585</v>
      </c>
      <c r="V1939" t="str">
        <f t="shared" si="193"/>
        <v>2019/20Expenditure driversBT21CNDNO Baseline</v>
      </c>
    </row>
    <row r="1940" spans="1:22">
      <c r="A1940" t="s">
        <v>126</v>
      </c>
      <c r="C1940" t="s">
        <v>1344</v>
      </c>
      <c r="D1940" t="s">
        <v>77</v>
      </c>
      <c r="E1940" t="s">
        <v>1348</v>
      </c>
      <c r="F1940" t="s">
        <v>1289</v>
      </c>
      <c r="G1940">
        <v>0</v>
      </c>
      <c r="H1940">
        <v>0</v>
      </c>
      <c r="I1940">
        <v>0</v>
      </c>
      <c r="J1940">
        <v>0</v>
      </c>
      <c r="K1940">
        <v>0</v>
      </c>
      <c r="L1940">
        <v>0</v>
      </c>
      <c r="M1940">
        <v>0</v>
      </c>
      <c r="N1940">
        <v>0</v>
      </c>
      <c r="O1940">
        <v>1.3207058071302218</v>
      </c>
      <c r="P1940">
        <v>1.6483107942812412</v>
      </c>
      <c r="Q1940">
        <v>0.28834207098241255</v>
      </c>
      <c r="R1940">
        <v>1.2448042675069477</v>
      </c>
      <c r="S1940">
        <v>0.18348282291352364</v>
      </c>
      <c r="T1940">
        <v>0.38205800193529155</v>
      </c>
      <c r="U1940">
        <f t="shared" si="198"/>
        <v>0.36197884033925992</v>
      </c>
      <c r="V1940" t="str">
        <f t="shared" si="193"/>
        <v>2020/21Expenditure driversBT21CNDNO Baseline</v>
      </c>
    </row>
    <row r="1941" spans="1:22">
      <c r="A1941" t="s">
        <v>142</v>
      </c>
      <c r="C1941" t="s">
        <v>1344</v>
      </c>
      <c r="D1941" t="s">
        <v>77</v>
      </c>
      <c r="E1941" t="s">
        <v>1348</v>
      </c>
      <c r="F1941" t="s">
        <v>1289</v>
      </c>
      <c r="G1941">
        <v>0</v>
      </c>
      <c r="H1941">
        <v>0</v>
      </c>
      <c r="I1941">
        <v>0</v>
      </c>
      <c r="J1941">
        <v>0</v>
      </c>
      <c r="K1941">
        <v>0</v>
      </c>
      <c r="L1941">
        <v>0</v>
      </c>
      <c r="M1941">
        <v>0</v>
      </c>
      <c r="N1941">
        <v>0</v>
      </c>
      <c r="O1941">
        <v>1.4715818047827522</v>
      </c>
      <c r="P1941">
        <v>1.6749349322803895</v>
      </c>
      <c r="Q1941">
        <v>0.2790521820522448</v>
      </c>
      <c r="R1941">
        <v>1.1803779182258898</v>
      </c>
      <c r="S1941">
        <v>0.16201760691961276</v>
      </c>
      <c r="T1941">
        <v>0.37013113606928921</v>
      </c>
      <c r="U1941">
        <f t="shared" si="198"/>
        <v>0.36700682716644134</v>
      </c>
      <c r="V1941" t="str">
        <f t="shared" si="193"/>
        <v>2021/22Expenditure driversBT21CNDNO Baseline</v>
      </c>
    </row>
    <row r="1942" spans="1:22">
      <c r="A1942" t="s">
        <v>143</v>
      </c>
      <c r="C1942" t="s">
        <v>1344</v>
      </c>
      <c r="D1942" t="s">
        <v>77</v>
      </c>
      <c r="E1942" t="s">
        <v>1348</v>
      </c>
      <c r="F1942" t="s">
        <v>1289</v>
      </c>
      <c r="G1942">
        <v>0</v>
      </c>
      <c r="H1942">
        <v>0</v>
      </c>
      <c r="I1942">
        <v>0</v>
      </c>
      <c r="J1942">
        <v>0</v>
      </c>
      <c r="K1942">
        <v>0</v>
      </c>
      <c r="L1942">
        <v>0</v>
      </c>
      <c r="M1942">
        <v>0</v>
      </c>
      <c r="N1942">
        <v>0</v>
      </c>
      <c r="O1942">
        <v>1.3483796190264368</v>
      </c>
      <c r="P1942">
        <v>1.6070197842734724</v>
      </c>
      <c r="Q1942">
        <v>0.2522726989027862</v>
      </c>
      <c r="R1942">
        <v>1.1019798847314028</v>
      </c>
      <c r="S1942">
        <v>0.15078677490518497</v>
      </c>
      <c r="T1942">
        <v>0.350791834913457</v>
      </c>
      <c r="U1942">
        <f t="shared" si="198"/>
        <v>0.34365932833948137</v>
      </c>
      <c r="V1942" t="str">
        <f t="shared" si="193"/>
        <v>2022/23Expenditure driversBT21CNDNO Baseline</v>
      </c>
    </row>
    <row r="1943" spans="1:22">
      <c r="A1943" t="s">
        <v>137</v>
      </c>
      <c r="C1943" t="s">
        <v>1344</v>
      </c>
      <c r="D1943" t="s">
        <v>77</v>
      </c>
      <c r="E1943" t="s">
        <v>1349</v>
      </c>
      <c r="F1943" t="s">
        <v>1289</v>
      </c>
      <c r="G1943" cm="1">
        <f t="array" ref="G1943:T1949">TRANSPOSE('Ch4 expenditure drivers'!W494:AC507)</f>
        <v>0</v>
      </c>
      <c r="H1943">
        <v>0.40982327112899958</v>
      </c>
      <c r="I1943">
        <v>0.44857778461746772</v>
      </c>
      <c r="J1943">
        <v>0.70895180566851557</v>
      </c>
      <c r="K1943">
        <v>0.92699856302012462</v>
      </c>
      <c r="L1943">
        <v>0.29180844919497523</v>
      </c>
      <c r="M1943">
        <v>0</v>
      </c>
      <c r="N1943">
        <v>0</v>
      </c>
      <c r="O1943">
        <v>4.2414937464631945</v>
      </c>
      <c r="P1943">
        <v>4.4249537656790023</v>
      </c>
      <c r="Q1943">
        <v>1.7627861503169566</v>
      </c>
      <c r="R1943">
        <v>5.9898285931106523</v>
      </c>
      <c r="S1943">
        <v>0</v>
      </c>
      <c r="T1943">
        <v>0</v>
      </c>
      <c r="U1943">
        <f t="shared" si="198"/>
        <v>1.3718015806571349</v>
      </c>
      <c r="V1943" t="str">
        <f t="shared" si="193"/>
        <v>2015/16Expenditure driversBT21CNDNO Actual</v>
      </c>
    </row>
    <row r="1944" spans="1:22">
      <c r="A1944" t="s">
        <v>138</v>
      </c>
      <c r="C1944" t="s">
        <v>1344</v>
      </c>
      <c r="D1944" t="s">
        <v>77</v>
      </c>
      <c r="E1944" t="s">
        <v>1349</v>
      </c>
      <c r="F1944" t="s">
        <v>1289</v>
      </c>
      <c r="G1944">
        <v>0</v>
      </c>
      <c r="H1944">
        <v>0</v>
      </c>
      <c r="I1944">
        <v>7.2880687253188085E-3</v>
      </c>
      <c r="J1944">
        <v>2.8457138819285115</v>
      </c>
      <c r="K1944">
        <v>3.0986401332870428</v>
      </c>
      <c r="L1944">
        <v>9.4759278015940099E-2</v>
      </c>
      <c r="M1944">
        <v>0.27676284793503203</v>
      </c>
      <c r="N1944">
        <v>0</v>
      </c>
      <c r="O1944">
        <v>3.4851034816216608</v>
      </c>
      <c r="P1944">
        <v>3.0987127997335282</v>
      </c>
      <c r="Q1944">
        <v>3.1832349345877216</v>
      </c>
      <c r="R1944">
        <v>7.6761999407357155</v>
      </c>
      <c r="S1944">
        <v>0</v>
      </c>
      <c r="T1944">
        <v>0</v>
      </c>
      <c r="U1944">
        <f t="shared" si="198"/>
        <v>1.6976010976121765</v>
      </c>
      <c r="V1944" t="str">
        <f t="shared" ref="V1944:V2013" si="199">CONCATENATE(A1944,B1944,C1944,D1944,E1944)</f>
        <v>2016/17Expenditure driversBT21CNDNO Actual</v>
      </c>
    </row>
    <row r="1945" spans="1:22">
      <c r="A1945" t="s">
        <v>139</v>
      </c>
      <c r="C1945" t="s">
        <v>1344</v>
      </c>
      <c r="D1945" t="s">
        <v>77</v>
      </c>
      <c r="E1945" t="s">
        <v>1349</v>
      </c>
      <c r="F1945" t="s">
        <v>1289</v>
      </c>
      <c r="G1945">
        <v>0</v>
      </c>
      <c r="H1945">
        <v>0</v>
      </c>
      <c r="I1945">
        <v>2.0470690013230453E-3</v>
      </c>
      <c r="J1945">
        <v>1.252066071558485</v>
      </c>
      <c r="K1945">
        <v>1.8448223558426815</v>
      </c>
      <c r="L1945">
        <v>5.8856839378992236E-3</v>
      </c>
      <c r="M1945">
        <v>0.24470862834111773</v>
      </c>
      <c r="N1945">
        <v>0</v>
      </c>
      <c r="O1945">
        <v>3.8100911817305203</v>
      </c>
      <c r="P1945">
        <v>4.3288876072116844</v>
      </c>
      <c r="Q1945">
        <v>1.635759905944185</v>
      </c>
      <c r="R1945">
        <v>6.2325907833561898</v>
      </c>
      <c r="S1945">
        <v>0.49070499905335602</v>
      </c>
      <c r="T1945">
        <v>2.1217208535907286</v>
      </c>
      <c r="U1945">
        <f t="shared" si="198"/>
        <v>1.5692346528262979</v>
      </c>
      <c r="V1945" t="str">
        <f t="shared" si="199"/>
        <v>2017/18Expenditure driversBT21CNDNO Actual</v>
      </c>
    </row>
    <row r="1946" spans="1:22">
      <c r="A1946" t="s">
        <v>140</v>
      </c>
      <c r="C1946" t="s">
        <v>1344</v>
      </c>
      <c r="D1946" t="s">
        <v>77</v>
      </c>
      <c r="E1946" t="s">
        <v>1349</v>
      </c>
      <c r="F1946" t="s">
        <v>1289</v>
      </c>
      <c r="G1946">
        <v>0</v>
      </c>
      <c r="H1946">
        <v>0</v>
      </c>
      <c r="I1946">
        <v>0</v>
      </c>
      <c r="J1946">
        <v>0.12169196210484702</v>
      </c>
      <c r="K1946">
        <v>7.4025615937425002E-2</v>
      </c>
      <c r="L1946">
        <v>0</v>
      </c>
      <c r="M1946">
        <v>0</v>
      </c>
      <c r="N1946">
        <v>0</v>
      </c>
      <c r="O1946">
        <v>1.6317113992438668</v>
      </c>
      <c r="P1946">
        <v>3.5161912107173379</v>
      </c>
      <c r="Q1946">
        <v>0</v>
      </c>
      <c r="R1946">
        <v>-1.8252191329633219E-3</v>
      </c>
      <c r="S1946">
        <v>0.54295710202698122</v>
      </c>
      <c r="T1946">
        <v>4.7142939812664659</v>
      </c>
      <c r="U1946">
        <f>AVERAGE(G1946:T1946)</f>
        <v>0.75707471801171144</v>
      </c>
      <c r="V1946" t="str">
        <f t="shared" si="199"/>
        <v>2018/19Expenditure driversBT21CNDNO Actual</v>
      </c>
    </row>
    <row r="1947" spans="1:22">
      <c r="A1947" t="s">
        <v>141</v>
      </c>
      <c r="C1947" t="s">
        <v>1344</v>
      </c>
      <c r="D1947" t="s">
        <v>77</v>
      </c>
      <c r="E1947" t="s">
        <v>1349</v>
      </c>
      <c r="F1947" t="s">
        <v>1289</v>
      </c>
      <c r="G1947">
        <v>0</v>
      </c>
      <c r="H1947">
        <v>0</v>
      </c>
      <c r="I1947">
        <v>0</v>
      </c>
      <c r="J1947">
        <v>0</v>
      </c>
      <c r="K1947">
        <v>0</v>
      </c>
      <c r="L1947">
        <v>0</v>
      </c>
      <c r="M1947">
        <v>0</v>
      </c>
      <c r="N1947">
        <v>0</v>
      </c>
      <c r="O1947">
        <v>1.2546497171315389</v>
      </c>
      <c r="P1947">
        <v>2.5542044731281157</v>
      </c>
      <c r="Q1947">
        <v>0</v>
      </c>
      <c r="R1947">
        <v>0</v>
      </c>
      <c r="S1947">
        <v>0.33185227343597967</v>
      </c>
      <c r="T1947">
        <v>2.8452154895489294</v>
      </c>
      <c r="U1947">
        <f>AVERAGE(G1947:T1947)</f>
        <v>0.49899442523175452</v>
      </c>
      <c r="V1947" t="str">
        <f t="shared" si="199"/>
        <v>2019/20Expenditure driversBT21CNDNO Actual</v>
      </c>
    </row>
    <row r="1948" spans="1:22">
      <c r="A1948" t="s">
        <v>126</v>
      </c>
      <c r="C1948" t="s">
        <v>1344</v>
      </c>
      <c r="D1948" t="s">
        <v>77</v>
      </c>
      <c r="E1948" t="s">
        <v>1349</v>
      </c>
      <c r="F1948" t="s">
        <v>1289</v>
      </c>
      <c r="G1948">
        <v>0</v>
      </c>
      <c r="H1948">
        <v>0</v>
      </c>
      <c r="I1948">
        <v>0</v>
      </c>
      <c r="J1948">
        <v>0</v>
      </c>
      <c r="K1948">
        <v>0</v>
      </c>
      <c r="L1948">
        <v>0</v>
      </c>
      <c r="M1948">
        <v>0</v>
      </c>
      <c r="N1948">
        <v>0</v>
      </c>
      <c r="O1948">
        <v>1.4289390599837186</v>
      </c>
      <c r="P1948">
        <v>2.2193209020873921</v>
      </c>
      <c r="Q1948">
        <v>0</v>
      </c>
      <c r="R1948">
        <v>0</v>
      </c>
      <c r="S1948">
        <v>2.7770032000666293E-2</v>
      </c>
      <c r="T1948">
        <v>0.21934048017595453</v>
      </c>
      <c r="U1948">
        <f>AVERAGE(G1948:T1948)</f>
        <v>0.27824074816055228</v>
      </c>
      <c r="V1948" t="str">
        <f t="shared" si="199"/>
        <v>2020/21Expenditure driversBT21CNDNO Actual</v>
      </c>
    </row>
    <row r="1949" spans="1:22">
      <c r="A1949" t="s">
        <v>142</v>
      </c>
      <c r="C1949" t="s">
        <v>1344</v>
      </c>
      <c r="D1949" t="s">
        <v>77</v>
      </c>
      <c r="E1949" t="s">
        <v>1349</v>
      </c>
      <c r="F1949" t="s">
        <v>1289</v>
      </c>
      <c r="G1949">
        <v>0</v>
      </c>
      <c r="H1949">
        <v>0</v>
      </c>
      <c r="I1949">
        <v>0</v>
      </c>
      <c r="J1949">
        <v>0</v>
      </c>
      <c r="K1949">
        <v>0</v>
      </c>
      <c r="L1949">
        <v>0</v>
      </c>
      <c r="M1949">
        <v>0</v>
      </c>
      <c r="N1949">
        <v>0</v>
      </c>
      <c r="O1949">
        <v>1.3979560593963205</v>
      </c>
      <c r="P1949">
        <v>1.9804642725115451</v>
      </c>
      <c r="Q1949">
        <v>0</v>
      </c>
      <c r="R1949">
        <v>0</v>
      </c>
      <c r="S1949">
        <v>0</v>
      </c>
      <c r="T1949">
        <v>7.418479999999999E-3</v>
      </c>
      <c r="U1949">
        <f>AVERAGE(G1949:T1949)</f>
        <v>0.24184562942199042</v>
      </c>
      <c r="V1949" t="str">
        <f t="shared" ref="V1949" si="200">CONCATENATE(A1949,B1949,C1949,D1949,E1949)</f>
        <v>2021/22Expenditure driversBT21CNDNO Actual</v>
      </c>
    </row>
    <row r="1950" spans="1:22">
      <c r="A1950" t="s">
        <v>137</v>
      </c>
      <c r="C1950" t="s">
        <v>1344</v>
      </c>
      <c r="D1950" t="s">
        <v>77</v>
      </c>
      <c r="E1950" t="s">
        <v>297</v>
      </c>
      <c r="F1950" t="s">
        <v>1289</v>
      </c>
      <c r="G1950">
        <f t="array" ref="G1950:T1953">TRANSPOSE('Ch4 expenditure drivers'!AF494:AI507)</f>
        <v>0</v>
      </c>
      <c r="H1950">
        <v>0</v>
      </c>
      <c r="I1950">
        <v>0</v>
      </c>
      <c r="J1950">
        <v>3.894361020357942</v>
      </c>
      <c r="K1950">
        <v>5.844221991186231</v>
      </c>
      <c r="L1950">
        <v>0</v>
      </c>
      <c r="M1950">
        <v>0</v>
      </c>
      <c r="N1950">
        <v>0</v>
      </c>
      <c r="O1950">
        <v>2.4741100561522003</v>
      </c>
      <c r="P1950">
        <v>4.103791886298831</v>
      </c>
      <c r="Q1950">
        <v>1.2384750637242437</v>
      </c>
      <c r="R1950">
        <v>6.6968415965629235</v>
      </c>
      <c r="S1950">
        <v>0.42382548510172147</v>
      </c>
      <c r="T1950">
        <v>0.92186162052236464</v>
      </c>
      <c r="U1950">
        <f t="shared" si="198"/>
        <v>1.8283920514218899</v>
      </c>
      <c r="V1950" t="str">
        <f t="shared" si="199"/>
        <v>2015/16Expenditure driversBT21CNAllowance</v>
      </c>
    </row>
    <row r="1951" spans="1:22">
      <c r="A1951" t="s">
        <v>137</v>
      </c>
      <c r="C1951" t="s">
        <v>1344</v>
      </c>
      <c r="D1951" t="s">
        <v>77</v>
      </c>
      <c r="E1951" t="s">
        <v>298</v>
      </c>
      <c r="F1951" t="s">
        <v>1289</v>
      </c>
      <c r="G1951">
        <v>0</v>
      </c>
      <c r="H1951">
        <v>0.40982327112899958</v>
      </c>
      <c r="I1951">
        <v>0.44857778461746772</v>
      </c>
      <c r="J1951">
        <v>0.70895180566851557</v>
      </c>
      <c r="K1951">
        <v>0.92699856302012462</v>
      </c>
      <c r="L1951">
        <v>0.29180844919497523</v>
      </c>
      <c r="M1951">
        <v>0</v>
      </c>
      <c r="N1951">
        <v>0</v>
      </c>
      <c r="O1951">
        <v>4.2414937464631945</v>
      </c>
      <c r="P1951">
        <v>4.4249537656790023</v>
      </c>
      <c r="Q1951">
        <v>1.7627861503169566</v>
      </c>
      <c r="R1951">
        <v>5.9898285931106523</v>
      </c>
      <c r="S1951">
        <v>0</v>
      </c>
      <c r="T1951">
        <v>0</v>
      </c>
      <c r="U1951">
        <f t="shared" si="198"/>
        <v>1.3718015806571349</v>
      </c>
      <c r="V1951" t="str">
        <f t="shared" si="199"/>
        <v>2015/16Expenditure driversBT21CNActual</v>
      </c>
    </row>
    <row r="1952" spans="1:22">
      <c r="A1952" t="s">
        <v>137</v>
      </c>
      <c r="C1952" t="s">
        <v>1344</v>
      </c>
      <c r="D1952" t="s">
        <v>77</v>
      </c>
      <c r="E1952" t="s">
        <v>602</v>
      </c>
      <c r="F1952" t="s">
        <v>1289</v>
      </c>
      <c r="G1952">
        <v>0</v>
      </c>
      <c r="H1952">
        <v>0.40982327112899958</v>
      </c>
      <c r="I1952">
        <v>0.44857778461746772</v>
      </c>
      <c r="J1952">
        <v>-3.1854092146894262</v>
      </c>
      <c r="K1952">
        <v>-4.917223428166106</v>
      </c>
      <c r="L1952">
        <v>0.29180844919497523</v>
      </c>
      <c r="M1952">
        <v>0</v>
      </c>
      <c r="N1952">
        <v>0</v>
      </c>
      <c r="O1952">
        <v>1.7673836903109943</v>
      </c>
      <c r="P1952">
        <v>0.32116187938017138</v>
      </c>
      <c r="Q1952">
        <v>0.52431108659271297</v>
      </c>
      <c r="R1952">
        <v>-0.70701300345227125</v>
      </c>
      <c r="S1952">
        <v>-0.42382548510172147</v>
      </c>
      <c r="T1952">
        <v>-0.92186162052236464</v>
      </c>
      <c r="U1952">
        <f>U1951-U1950</f>
        <v>-0.45659047076475501</v>
      </c>
      <c r="V1952" t="str">
        <f t="shared" si="199"/>
        <v>2015/16Expenditure driversBT21CNDifference</v>
      </c>
    </row>
    <row r="1953" spans="1:22">
      <c r="A1953" t="s">
        <v>137</v>
      </c>
      <c r="C1953" t="s">
        <v>1344</v>
      </c>
      <c r="D1953" t="s">
        <v>77</v>
      </c>
      <c r="E1953" t="s">
        <v>1346</v>
      </c>
      <c r="F1953" t="s">
        <v>606</v>
      </c>
      <c r="G1953" s="829" t="e">
        <v>#DIV/0!</v>
      </c>
      <c r="H1953" s="829" t="e">
        <v>#DIV/0!</v>
      </c>
      <c r="I1953" s="829" t="e">
        <v>#DIV/0!</v>
      </c>
      <c r="J1953" s="829">
        <v>-0.81795426721805209</v>
      </c>
      <c r="K1953" s="829">
        <v>-0.8413820411992996</v>
      </c>
      <c r="L1953" s="829" t="e">
        <v>#DIV/0!</v>
      </c>
      <c r="M1953" s="829" t="e">
        <v>#DIV/0!</v>
      </c>
      <c r="N1953" s="829" t="e">
        <v>#DIV/0!</v>
      </c>
      <c r="O1953" s="829">
        <v>0.71435128195536901</v>
      </c>
      <c r="P1953" s="829">
        <v>7.8259787113577062E-2</v>
      </c>
      <c r="Q1953" s="829">
        <v>0.42335215455694875</v>
      </c>
      <c r="R1953" s="829">
        <v>-0.1055740968720445</v>
      </c>
      <c r="S1953" s="829">
        <v>-1</v>
      </c>
      <c r="T1953" s="829">
        <v>-1</v>
      </c>
      <c r="U1953" s="829">
        <f>U1952/U1950</f>
        <v>-0.24972241068849388</v>
      </c>
      <c r="V1953" t="str">
        <f t="shared" si="199"/>
        <v>2015/16Expenditure driversBT21CNDifference %</v>
      </c>
    </row>
    <row r="1954" spans="1:22">
      <c r="A1954" t="s">
        <v>138</v>
      </c>
      <c r="C1954" t="s">
        <v>1344</v>
      </c>
      <c r="D1954" t="s">
        <v>77</v>
      </c>
      <c r="E1954" t="s">
        <v>297</v>
      </c>
      <c r="F1954" t="s">
        <v>1289</v>
      </c>
      <c r="G1954">
        <f t="array" ref="G1954:T1957">TRANSPOSE('Ch4 expenditure drivers'!AK494:AN507)</f>
        <v>0</v>
      </c>
      <c r="H1954">
        <v>0</v>
      </c>
      <c r="I1954">
        <v>0</v>
      </c>
      <c r="J1954">
        <v>3.8999737718230119</v>
      </c>
      <c r="K1954">
        <v>5.8472218876214281</v>
      </c>
      <c r="L1954">
        <v>0</v>
      </c>
      <c r="M1954">
        <v>0</v>
      </c>
      <c r="N1954">
        <v>0</v>
      </c>
      <c r="O1954">
        <v>2.8994084580237174</v>
      </c>
      <c r="P1954">
        <v>4.1893448562266364</v>
      </c>
      <c r="Q1954">
        <v>1.1942311941863502</v>
      </c>
      <c r="R1954">
        <v>8.4563824237931886</v>
      </c>
      <c r="S1954">
        <v>0.39669641979204318</v>
      </c>
      <c r="T1954">
        <v>0.9383732379787777</v>
      </c>
      <c r="U1954">
        <f t="shared" si="198"/>
        <v>1.9872594463889397</v>
      </c>
      <c r="V1954" t="str">
        <f t="shared" si="199"/>
        <v>2016/17Expenditure driversBT21CNAllowance</v>
      </c>
    </row>
    <row r="1955" spans="1:22">
      <c r="A1955" t="s">
        <v>138</v>
      </c>
      <c r="C1955" t="s">
        <v>1344</v>
      </c>
      <c r="D1955" t="s">
        <v>77</v>
      </c>
      <c r="E1955" t="s">
        <v>298</v>
      </c>
      <c r="F1955" t="s">
        <v>1289</v>
      </c>
      <c r="G1955">
        <v>0</v>
      </c>
      <c r="H1955">
        <v>0</v>
      </c>
      <c r="I1955">
        <v>7.2880687253188085E-3</v>
      </c>
      <c r="J1955">
        <v>2.8457138819285115</v>
      </c>
      <c r="K1955">
        <v>3.0986401332870428</v>
      </c>
      <c r="L1955">
        <v>9.4759278015940099E-2</v>
      </c>
      <c r="M1955">
        <v>0.27676284793503203</v>
      </c>
      <c r="N1955">
        <v>0</v>
      </c>
      <c r="O1955">
        <v>3.4851034816216608</v>
      </c>
      <c r="P1955">
        <v>3.0987127997335282</v>
      </c>
      <c r="Q1955">
        <v>3.1832349345877216</v>
      </c>
      <c r="R1955">
        <v>7.6761999407357155</v>
      </c>
      <c r="S1955">
        <v>0</v>
      </c>
      <c r="T1955">
        <v>0</v>
      </c>
      <c r="U1955">
        <f t="shared" si="198"/>
        <v>1.6976010976121765</v>
      </c>
      <c r="V1955" t="str">
        <f t="shared" si="199"/>
        <v>2016/17Expenditure driversBT21CNActual</v>
      </c>
    </row>
    <row r="1956" spans="1:22">
      <c r="A1956" t="s">
        <v>138</v>
      </c>
      <c r="C1956" t="s">
        <v>1344</v>
      </c>
      <c r="D1956" t="s">
        <v>77</v>
      </c>
      <c r="E1956" t="s">
        <v>602</v>
      </c>
      <c r="F1956" t="s">
        <v>1289</v>
      </c>
      <c r="G1956">
        <v>0</v>
      </c>
      <c r="H1956">
        <v>0</v>
      </c>
      <c r="I1956">
        <v>7.2880687253188085E-3</v>
      </c>
      <c r="J1956">
        <v>-1.0542598898945004</v>
      </c>
      <c r="K1956">
        <v>-2.7485817543343853</v>
      </c>
      <c r="L1956">
        <v>9.4759278015940099E-2</v>
      </c>
      <c r="M1956">
        <v>0.27676284793503203</v>
      </c>
      <c r="N1956">
        <v>0</v>
      </c>
      <c r="O1956">
        <v>0.58569502359794345</v>
      </c>
      <c r="P1956">
        <v>-1.0906320564931082</v>
      </c>
      <c r="Q1956">
        <v>1.9890037404013714</v>
      </c>
      <c r="R1956">
        <v>-0.78018248305747306</v>
      </c>
      <c r="S1956">
        <v>-0.39669641979204318</v>
      </c>
      <c r="T1956">
        <v>-0.9383732379787777</v>
      </c>
      <c r="U1956">
        <f>U1955-U1954</f>
        <v>-0.28965834877676322</v>
      </c>
      <c r="V1956" t="str">
        <f t="shared" si="199"/>
        <v>2016/17Expenditure driversBT21CNDifference</v>
      </c>
    </row>
    <row r="1957" spans="1:22">
      <c r="A1957" t="s">
        <v>138</v>
      </c>
      <c r="C1957" t="s">
        <v>1344</v>
      </c>
      <c r="D1957" t="s">
        <v>77</v>
      </c>
      <c r="E1957" t="s">
        <v>1346</v>
      </c>
      <c r="F1957" t="s">
        <v>606</v>
      </c>
      <c r="G1957" s="829" t="e">
        <v>#DIV/0!</v>
      </c>
      <c r="H1957" s="829" t="e">
        <v>#DIV/0!</v>
      </c>
      <c r="I1957" s="829" t="e">
        <v>#DIV/0!</v>
      </c>
      <c r="J1957" s="829">
        <v>-0.27032486667255068</v>
      </c>
      <c r="K1957" s="829">
        <v>-0.47006626516998345</v>
      </c>
      <c r="L1957" s="829" t="e">
        <v>#DIV/0!</v>
      </c>
      <c r="M1957" s="829" t="e">
        <v>#DIV/0!</v>
      </c>
      <c r="N1957" s="829" t="e">
        <v>#DIV/0!</v>
      </c>
      <c r="O1957" s="829">
        <v>0.20200500622018688</v>
      </c>
      <c r="P1957" s="829">
        <v>-0.26033475255017463</v>
      </c>
      <c r="Q1957" s="829">
        <v>1.6655097857802259</v>
      </c>
      <c r="R1957" s="829">
        <v>-9.2259602742459104E-2</v>
      </c>
      <c r="S1957" s="829">
        <v>-1</v>
      </c>
      <c r="T1957" s="829">
        <v>-1</v>
      </c>
      <c r="U1957" s="829">
        <f>U1956/U1954</f>
        <v>-0.14575769122803922</v>
      </c>
      <c r="V1957" t="str">
        <f t="shared" si="199"/>
        <v>2016/17Expenditure driversBT21CNDifference %</v>
      </c>
    </row>
    <row r="1958" spans="1:22">
      <c r="A1958" t="s">
        <v>139</v>
      </c>
      <c r="C1958" t="s">
        <v>1344</v>
      </c>
      <c r="D1958" t="s">
        <v>77</v>
      </c>
      <c r="E1958" t="s">
        <v>297</v>
      </c>
      <c r="F1958" t="s">
        <v>1289</v>
      </c>
      <c r="G1958">
        <f t="array" ref="G1958:T1961">TRANSPOSE('Ch4 expenditure drivers'!AP494:AS507)</f>
        <v>0</v>
      </c>
      <c r="H1958">
        <v>0</v>
      </c>
      <c r="I1958">
        <v>0</v>
      </c>
      <c r="J1958">
        <v>0</v>
      </c>
      <c r="K1958">
        <v>0</v>
      </c>
      <c r="L1958">
        <v>0</v>
      </c>
      <c r="M1958">
        <v>0</v>
      </c>
      <c r="N1958">
        <v>0</v>
      </c>
      <c r="O1958">
        <v>2.6801261084805481</v>
      </c>
      <c r="P1958">
        <v>2.9157348738478457</v>
      </c>
      <c r="Q1958">
        <v>0.8427945887134447</v>
      </c>
      <c r="R1958">
        <v>4.258967451254537</v>
      </c>
      <c r="S1958">
        <v>0.35884115433613223</v>
      </c>
      <c r="T1958">
        <v>0.84129891473794349</v>
      </c>
      <c r="U1958">
        <f t="shared" si="198"/>
        <v>0.84984022081217514</v>
      </c>
      <c r="V1958" t="str">
        <f t="shared" si="199"/>
        <v>2017/18Expenditure driversBT21CNAllowance</v>
      </c>
    </row>
    <row r="1959" spans="1:22">
      <c r="A1959" t="s">
        <v>139</v>
      </c>
      <c r="C1959" t="s">
        <v>1344</v>
      </c>
      <c r="D1959" t="s">
        <v>77</v>
      </c>
      <c r="E1959" t="s">
        <v>298</v>
      </c>
      <c r="F1959" t="s">
        <v>1289</v>
      </c>
      <c r="G1959">
        <v>0</v>
      </c>
      <c r="H1959">
        <v>0</v>
      </c>
      <c r="I1959">
        <v>2.0470690013230453E-3</v>
      </c>
      <c r="J1959">
        <v>1.252066071558485</v>
      </c>
      <c r="K1959">
        <v>1.8448223558426815</v>
      </c>
      <c r="L1959">
        <v>5.8856839378992236E-3</v>
      </c>
      <c r="M1959">
        <v>0.24470862834111773</v>
      </c>
      <c r="N1959">
        <v>0</v>
      </c>
      <c r="O1959">
        <v>3.8100911817305203</v>
      </c>
      <c r="P1959">
        <v>4.3288876072116844</v>
      </c>
      <c r="Q1959">
        <v>1.635759905944185</v>
      </c>
      <c r="R1959">
        <v>6.2325907833561898</v>
      </c>
      <c r="S1959">
        <v>0.49070499905335602</v>
      </c>
      <c r="T1959">
        <v>2.1217208535907286</v>
      </c>
      <c r="U1959">
        <f t="shared" si="198"/>
        <v>1.5692346528262979</v>
      </c>
      <c r="V1959" t="str">
        <f t="shared" si="199"/>
        <v>2017/18Expenditure driversBT21CNActual</v>
      </c>
    </row>
    <row r="1960" spans="1:22">
      <c r="A1960" t="s">
        <v>139</v>
      </c>
      <c r="C1960" t="s">
        <v>1344</v>
      </c>
      <c r="D1960" t="s">
        <v>77</v>
      </c>
      <c r="E1960" t="s">
        <v>602</v>
      </c>
      <c r="F1960" t="s">
        <v>1289</v>
      </c>
      <c r="G1960">
        <v>0</v>
      </c>
      <c r="H1960">
        <v>0</v>
      </c>
      <c r="I1960">
        <v>2.0470690013230453E-3</v>
      </c>
      <c r="J1960">
        <v>1.252066071558485</v>
      </c>
      <c r="K1960">
        <v>1.8448223558426815</v>
      </c>
      <c r="L1960">
        <v>5.8856839378992236E-3</v>
      </c>
      <c r="M1960">
        <v>0.24470862834111773</v>
      </c>
      <c r="N1960">
        <v>0</v>
      </c>
      <c r="O1960">
        <v>1.1299650732499722</v>
      </c>
      <c r="P1960">
        <v>1.4131527333638387</v>
      </c>
      <c r="Q1960">
        <v>0.79296531723074026</v>
      </c>
      <c r="R1960">
        <v>1.9736233321016527</v>
      </c>
      <c r="S1960">
        <v>0.13186384471722379</v>
      </c>
      <c r="T1960">
        <v>1.2804219388527851</v>
      </c>
      <c r="U1960">
        <f>U1959-U1958</f>
        <v>0.71939443201412279</v>
      </c>
      <c r="V1960" t="str">
        <f t="shared" si="199"/>
        <v>2017/18Expenditure driversBT21CNDifference</v>
      </c>
    </row>
    <row r="1961" spans="1:22">
      <c r="A1961" t="s">
        <v>139</v>
      </c>
      <c r="C1961" t="s">
        <v>1344</v>
      </c>
      <c r="D1961" t="s">
        <v>77</v>
      </c>
      <c r="E1961" t="s">
        <v>1346</v>
      </c>
      <c r="F1961" t="s">
        <v>606</v>
      </c>
      <c r="G1961" s="829" t="e">
        <v>#DIV/0!</v>
      </c>
      <c r="H1961" s="829" t="e">
        <v>#DIV/0!</v>
      </c>
      <c r="I1961" s="829" t="e">
        <v>#DIV/0!</v>
      </c>
      <c r="J1961" s="829" t="e">
        <v>#DIV/0!</v>
      </c>
      <c r="K1961" s="829" t="e">
        <v>#DIV/0!</v>
      </c>
      <c r="L1961" s="829" t="e">
        <v>#DIV/0!</v>
      </c>
      <c r="M1961" s="829" t="e">
        <v>#DIV/0!</v>
      </c>
      <c r="N1961" s="829" t="e">
        <v>#DIV/0!</v>
      </c>
      <c r="O1961" s="829">
        <v>0.42160891969765807</v>
      </c>
      <c r="P1961" s="829">
        <v>0.48466434518407536</v>
      </c>
      <c r="Q1961" s="829">
        <v>0.94087613737675924</v>
      </c>
      <c r="R1961" s="829">
        <v>0.46340418298343533</v>
      </c>
      <c r="S1961" s="829">
        <v>0.36747135361654987</v>
      </c>
      <c r="T1961" s="829">
        <v>1.521958386516669</v>
      </c>
      <c r="U1961" s="829">
        <f>U1960/U1958</f>
        <v>0.84650551291466536</v>
      </c>
      <c r="V1961" t="str">
        <f t="shared" si="199"/>
        <v>2017/18Expenditure driversBT21CNDifference %</v>
      </c>
    </row>
    <row r="1962" spans="1:22">
      <c r="A1962" t="s">
        <v>140</v>
      </c>
      <c r="C1962" t="s">
        <v>1344</v>
      </c>
      <c r="D1962" t="s">
        <v>77</v>
      </c>
      <c r="E1962" t="s">
        <v>297</v>
      </c>
      <c r="F1962" t="s">
        <v>1289</v>
      </c>
      <c r="G1962">
        <f t="array" ref="G1962:T1965">TRANSPOSE('Ch4 expenditure drivers'!AU494:AX507)</f>
        <v>0</v>
      </c>
      <c r="H1962">
        <v>0</v>
      </c>
      <c r="I1962">
        <v>0</v>
      </c>
      <c r="J1962">
        <v>0</v>
      </c>
      <c r="K1962">
        <v>0</v>
      </c>
      <c r="L1962">
        <v>0</v>
      </c>
      <c r="M1962">
        <v>0</v>
      </c>
      <c r="N1962">
        <v>0</v>
      </c>
      <c r="O1962">
        <v>1.4217044773500804</v>
      </c>
      <c r="P1962">
        <v>2.0173367210974469</v>
      </c>
      <c r="Q1962">
        <v>0.41880294646278432</v>
      </c>
      <c r="R1962">
        <v>1.6880462786721659</v>
      </c>
      <c r="S1962">
        <v>0.36360344924797133</v>
      </c>
      <c r="T1962">
        <v>0.87371321184424022</v>
      </c>
      <c r="U1962">
        <f>AVERAGE(G1962:T1962)</f>
        <v>0.4845147917624778</v>
      </c>
      <c r="V1962" t="str">
        <f t="shared" si="199"/>
        <v>2018/19Expenditure driversBT21CNAllowance</v>
      </c>
    </row>
    <row r="1963" spans="1:22">
      <c r="A1963" t="s">
        <v>140</v>
      </c>
      <c r="C1963" t="s">
        <v>1344</v>
      </c>
      <c r="D1963" t="s">
        <v>77</v>
      </c>
      <c r="E1963" t="s">
        <v>298</v>
      </c>
      <c r="F1963" t="s">
        <v>1289</v>
      </c>
      <c r="G1963">
        <v>0</v>
      </c>
      <c r="H1963">
        <v>0</v>
      </c>
      <c r="I1963">
        <v>0</v>
      </c>
      <c r="J1963">
        <v>0.12169196210484702</v>
      </c>
      <c r="K1963">
        <v>7.4025615937425002E-2</v>
      </c>
      <c r="L1963">
        <v>0</v>
      </c>
      <c r="M1963">
        <v>0</v>
      </c>
      <c r="N1963">
        <v>0</v>
      </c>
      <c r="O1963">
        <v>1.6317113992438668</v>
      </c>
      <c r="P1963">
        <v>3.5161912107173379</v>
      </c>
      <c r="Q1963">
        <v>0</v>
      </c>
      <c r="R1963">
        <v>-1.8252191329633219E-3</v>
      </c>
      <c r="S1963">
        <v>0.54295710202698122</v>
      </c>
      <c r="T1963">
        <v>4.7142939812664659</v>
      </c>
      <c r="U1963">
        <f>AVERAGE(G1963:T1963)</f>
        <v>0.75707471801171144</v>
      </c>
      <c r="V1963" t="str">
        <f t="shared" si="199"/>
        <v>2018/19Expenditure driversBT21CNActual</v>
      </c>
    </row>
    <row r="1964" spans="1:22">
      <c r="A1964" t="s">
        <v>140</v>
      </c>
      <c r="C1964" t="s">
        <v>1344</v>
      </c>
      <c r="D1964" t="s">
        <v>77</v>
      </c>
      <c r="E1964" t="s">
        <v>602</v>
      </c>
      <c r="F1964" t="s">
        <v>1289</v>
      </c>
      <c r="G1964">
        <v>0</v>
      </c>
      <c r="H1964">
        <v>0</v>
      </c>
      <c r="I1964">
        <v>0</v>
      </c>
      <c r="J1964">
        <v>0.12169196210484702</v>
      </c>
      <c r="K1964">
        <v>7.4025615937425002E-2</v>
      </c>
      <c r="L1964">
        <v>0</v>
      </c>
      <c r="M1964">
        <v>0</v>
      </c>
      <c r="N1964">
        <v>0</v>
      </c>
      <c r="O1964">
        <v>0.21000692189378634</v>
      </c>
      <c r="P1964">
        <v>1.498854489619891</v>
      </c>
      <c r="Q1964">
        <v>-0.41880294646278432</v>
      </c>
      <c r="R1964">
        <v>-1.6898714978051292</v>
      </c>
      <c r="S1964">
        <v>0.17935365277900989</v>
      </c>
      <c r="T1964">
        <v>3.8405807694222256</v>
      </c>
      <c r="U1964">
        <f>U1963-U1962</f>
        <v>0.27255992624923364</v>
      </c>
      <c r="V1964" t="str">
        <f t="shared" si="199"/>
        <v>2018/19Expenditure driversBT21CNDifference</v>
      </c>
    </row>
    <row r="1965" spans="1:22">
      <c r="A1965" t="s">
        <v>140</v>
      </c>
      <c r="C1965" t="s">
        <v>1344</v>
      </c>
      <c r="D1965" t="s">
        <v>77</v>
      </c>
      <c r="E1965" t="s">
        <v>1346</v>
      </c>
      <c r="F1965" t="s">
        <v>606</v>
      </c>
      <c r="G1965" s="829" t="e">
        <v>#DIV/0!</v>
      </c>
      <c r="H1965" s="829" t="e">
        <v>#DIV/0!</v>
      </c>
      <c r="I1965" s="829" t="e">
        <v>#DIV/0!</v>
      </c>
      <c r="J1965" s="829" t="e">
        <v>#DIV/0!</v>
      </c>
      <c r="K1965" s="829" t="e">
        <v>#DIV/0!</v>
      </c>
      <c r="L1965" s="829" t="e">
        <v>#DIV/0!</v>
      </c>
      <c r="M1965" s="829" t="e">
        <v>#DIV/0!</v>
      </c>
      <c r="N1965" s="829" t="e">
        <v>#DIV/0!</v>
      </c>
      <c r="O1965" s="829">
        <v>0.14771489099142385</v>
      </c>
      <c r="P1965" s="829">
        <v>0.7429867676252393</v>
      </c>
      <c r="Q1965" s="829">
        <v>-1</v>
      </c>
      <c r="R1965" s="829">
        <v>-1.0010812613113895</v>
      </c>
      <c r="S1965" s="829">
        <v>0.49326719300919986</v>
      </c>
      <c r="T1965" s="829">
        <v>4.3956995468976592</v>
      </c>
      <c r="U1965" s="829">
        <f>U1964/U1962</f>
        <v>0.56254201292341521</v>
      </c>
      <c r="V1965" t="str">
        <f t="shared" si="199"/>
        <v>2018/19Expenditure driversBT21CNDifference %</v>
      </c>
    </row>
    <row r="1966" spans="1:22">
      <c r="A1966" t="s">
        <v>141</v>
      </c>
      <c r="C1966" t="s">
        <v>1344</v>
      </c>
      <c r="D1966" t="s">
        <v>77</v>
      </c>
      <c r="E1966" t="s">
        <v>297</v>
      </c>
      <c r="F1966" t="s">
        <v>1289</v>
      </c>
      <c r="G1966" s="229">
        <f t="array" ref="G1966:T1969">TRANSPOSE('Ch4 expenditure drivers'!AZ494:BC507)</f>
        <v>0</v>
      </c>
      <c r="H1966" s="229">
        <v>0</v>
      </c>
      <c r="I1966" s="229">
        <v>0</v>
      </c>
      <c r="J1966" s="229">
        <v>0</v>
      </c>
      <c r="K1966" s="229">
        <v>0</v>
      </c>
      <c r="L1966" s="229">
        <v>0</v>
      </c>
      <c r="M1966" s="229">
        <v>0</v>
      </c>
      <c r="N1966" s="229">
        <v>0</v>
      </c>
      <c r="O1966" s="229">
        <v>1.4303651572174056</v>
      </c>
      <c r="P1966" s="229">
        <v>2.0511234719000258</v>
      </c>
      <c r="Q1966" s="229">
        <v>0.47723939215407635</v>
      </c>
      <c r="R1966" s="229">
        <v>2.1111645387642954</v>
      </c>
      <c r="S1966" s="229">
        <v>0.19443845122845524</v>
      </c>
      <c r="T1966" s="229">
        <v>0.40196378158376006</v>
      </c>
      <c r="U1966" s="229">
        <f>AVERAGE(G1966:T1966)</f>
        <v>0.4761639137748585</v>
      </c>
      <c r="V1966" t="str">
        <f t="shared" si="199"/>
        <v>2019/20Expenditure driversBT21CNAllowance</v>
      </c>
    </row>
    <row r="1967" spans="1:22">
      <c r="A1967" t="s">
        <v>141</v>
      </c>
      <c r="C1967" t="s">
        <v>1344</v>
      </c>
      <c r="D1967" t="s">
        <v>77</v>
      </c>
      <c r="E1967" t="s">
        <v>298</v>
      </c>
      <c r="F1967" t="s">
        <v>1289</v>
      </c>
      <c r="G1967" s="229">
        <v>0</v>
      </c>
      <c r="H1967" s="229">
        <v>0</v>
      </c>
      <c r="I1967" s="229">
        <v>0</v>
      </c>
      <c r="J1967" s="229">
        <v>0</v>
      </c>
      <c r="K1967" s="229">
        <v>0</v>
      </c>
      <c r="L1967" s="229">
        <v>0</v>
      </c>
      <c r="M1967" s="229">
        <v>0</v>
      </c>
      <c r="N1967" s="229">
        <v>0</v>
      </c>
      <c r="O1967" s="229">
        <v>1.2546497171315389</v>
      </c>
      <c r="P1967" s="229">
        <v>2.5542044731281157</v>
      </c>
      <c r="Q1967" s="229">
        <v>0</v>
      </c>
      <c r="R1967" s="229">
        <v>0</v>
      </c>
      <c r="S1967" s="229">
        <v>0.33185227343597967</v>
      </c>
      <c r="T1967" s="229">
        <v>2.8452154895489294</v>
      </c>
      <c r="U1967" s="229">
        <f>AVERAGE(G1967:T1967)</f>
        <v>0.49899442523175452</v>
      </c>
      <c r="V1967" t="str">
        <f t="shared" si="199"/>
        <v>2019/20Expenditure driversBT21CNActual</v>
      </c>
    </row>
    <row r="1968" spans="1:22">
      <c r="A1968" t="s">
        <v>141</v>
      </c>
      <c r="C1968" t="s">
        <v>1344</v>
      </c>
      <c r="D1968" t="s">
        <v>77</v>
      </c>
      <c r="E1968" t="s">
        <v>602</v>
      </c>
      <c r="F1968" t="s">
        <v>1289</v>
      </c>
      <c r="G1968" s="229">
        <v>0</v>
      </c>
      <c r="H1968" s="229">
        <v>0</v>
      </c>
      <c r="I1968" s="229">
        <v>0</v>
      </c>
      <c r="J1968" s="229">
        <v>0</v>
      </c>
      <c r="K1968" s="229">
        <v>0</v>
      </c>
      <c r="L1968" s="229">
        <v>0</v>
      </c>
      <c r="M1968" s="229">
        <v>0</v>
      </c>
      <c r="N1968" s="229">
        <v>0</v>
      </c>
      <c r="O1968" s="229">
        <v>-0.1757154400858667</v>
      </c>
      <c r="P1968" s="229">
        <v>0.50308100122808996</v>
      </c>
      <c r="Q1968" s="229">
        <v>-0.47723939215407635</v>
      </c>
      <c r="R1968" s="229">
        <v>-2.1111645387642954</v>
      </c>
      <c r="S1968" s="229">
        <v>0.13741382220752443</v>
      </c>
      <c r="T1968" s="229">
        <v>2.4432517079651692</v>
      </c>
      <c r="U1968" s="229">
        <f>U1967-U1966</f>
        <v>2.2830511456896019E-2</v>
      </c>
      <c r="V1968" t="str">
        <f t="shared" si="199"/>
        <v>2019/20Expenditure driversBT21CNDifference</v>
      </c>
    </row>
    <row r="1969" spans="1:22">
      <c r="A1969" t="s">
        <v>141</v>
      </c>
      <c r="C1969" t="s">
        <v>1344</v>
      </c>
      <c r="D1969" t="s">
        <v>77</v>
      </c>
      <c r="E1969" t="s">
        <v>1346</v>
      </c>
      <c r="F1969" t="s">
        <v>606</v>
      </c>
      <c r="G1969" s="829" t="e">
        <v>#DIV/0!</v>
      </c>
      <c r="H1969" s="829" t="e">
        <v>#DIV/0!</v>
      </c>
      <c r="I1969" s="829" t="e">
        <v>#DIV/0!</v>
      </c>
      <c r="J1969" s="829" t="e">
        <v>#DIV/0!</v>
      </c>
      <c r="K1969" s="829" t="e">
        <v>#DIV/0!</v>
      </c>
      <c r="L1969" s="829" t="e">
        <v>#DIV/0!</v>
      </c>
      <c r="M1969" s="829" t="e">
        <v>#DIV/0!</v>
      </c>
      <c r="N1969" s="829" t="e">
        <v>#DIV/0!</v>
      </c>
      <c r="O1969" s="829">
        <v>-0.1228465606836361</v>
      </c>
      <c r="P1969" s="829">
        <v>0.24527094937003907</v>
      </c>
      <c r="Q1969" s="829">
        <v>-1</v>
      </c>
      <c r="R1969" s="829">
        <v>-1</v>
      </c>
      <c r="S1969" s="829">
        <v>0.70672143981475255</v>
      </c>
      <c r="T1969" s="829">
        <v>6.0782881938731377</v>
      </c>
      <c r="U1969" s="829">
        <f>U1968/U1966</f>
        <v>4.7946748580554595E-2</v>
      </c>
      <c r="V1969" t="str">
        <f t="shared" si="199"/>
        <v>2019/20Expenditure driversBT21CNDifference %</v>
      </c>
    </row>
    <row r="1970" spans="1:22">
      <c r="A1970" t="s">
        <v>126</v>
      </c>
      <c r="C1970" t="s">
        <v>1344</v>
      </c>
      <c r="D1970" t="s">
        <v>77</v>
      </c>
      <c r="E1970" t="s">
        <v>297</v>
      </c>
      <c r="F1970" t="s">
        <v>1289</v>
      </c>
      <c r="G1970" s="829" cm="1">
        <f t="array" ref="G1970:T1973">TRANSPOSE('Ch4 expenditure drivers'!BE494:BH507)</f>
        <v>0</v>
      </c>
      <c r="H1970" s="829">
        <v>0</v>
      </c>
      <c r="I1970" s="829">
        <v>0</v>
      </c>
      <c r="J1970" s="829">
        <v>0</v>
      </c>
      <c r="K1970" s="829">
        <v>0</v>
      </c>
      <c r="L1970" s="829">
        <v>0</v>
      </c>
      <c r="M1970" s="829">
        <v>0</v>
      </c>
      <c r="N1970" s="829">
        <v>0</v>
      </c>
      <c r="O1970" s="829">
        <v>1.3207058071302218</v>
      </c>
      <c r="P1970" s="829">
        <v>1.6483107942812412</v>
      </c>
      <c r="Q1970" s="829">
        <v>0.28834207098241255</v>
      </c>
      <c r="R1970" s="829">
        <v>1.2448042675069477</v>
      </c>
      <c r="S1970" s="829">
        <v>0.18348282291352364</v>
      </c>
      <c r="T1970" s="829">
        <v>0.38205800193529155</v>
      </c>
      <c r="U1970" s="229">
        <f>AVERAGE(G1970:T1970)</f>
        <v>0.36197884033925992</v>
      </c>
      <c r="V1970" t="str">
        <f t="shared" si="199"/>
        <v>2020/21Expenditure driversBT21CNAllowance</v>
      </c>
    </row>
    <row r="1971" spans="1:22">
      <c r="A1971" t="s">
        <v>126</v>
      </c>
      <c r="C1971" t="s">
        <v>1344</v>
      </c>
      <c r="D1971" t="s">
        <v>77</v>
      </c>
      <c r="E1971" t="s">
        <v>298</v>
      </c>
      <c r="F1971" t="s">
        <v>1289</v>
      </c>
      <c r="G1971" s="229">
        <v>0</v>
      </c>
      <c r="H1971" s="229">
        <v>0</v>
      </c>
      <c r="I1971" s="229">
        <v>0</v>
      </c>
      <c r="J1971" s="229">
        <v>0</v>
      </c>
      <c r="K1971" s="229">
        <v>0</v>
      </c>
      <c r="L1971" s="229">
        <v>0</v>
      </c>
      <c r="M1971" s="229">
        <v>0</v>
      </c>
      <c r="N1971" s="229">
        <v>0</v>
      </c>
      <c r="O1971" s="229">
        <v>1.4289390599837186</v>
      </c>
      <c r="P1971" s="229">
        <v>2.2193209020873921</v>
      </c>
      <c r="Q1971" s="229">
        <v>0</v>
      </c>
      <c r="R1971" s="229">
        <v>0</v>
      </c>
      <c r="S1971" s="229">
        <v>2.7770032000666293E-2</v>
      </c>
      <c r="T1971" s="229">
        <v>0.21934048017595453</v>
      </c>
      <c r="U1971" s="229">
        <f>AVERAGE(G1971:T1971)</f>
        <v>0.27824074816055228</v>
      </c>
      <c r="V1971" s="229" t="str">
        <f t="shared" si="199"/>
        <v>2020/21Expenditure driversBT21CNActual</v>
      </c>
    </row>
    <row r="1972" spans="1:22">
      <c r="A1972" t="s">
        <v>126</v>
      </c>
      <c r="C1972" t="s">
        <v>1344</v>
      </c>
      <c r="D1972" t="s">
        <v>77</v>
      </c>
      <c r="E1972" t="s">
        <v>602</v>
      </c>
      <c r="F1972" t="s">
        <v>1289</v>
      </c>
      <c r="G1972" s="829">
        <v>0</v>
      </c>
      <c r="H1972" s="829">
        <v>0</v>
      </c>
      <c r="I1972" s="829">
        <v>0</v>
      </c>
      <c r="J1972" s="829">
        <v>0</v>
      </c>
      <c r="K1972" s="829">
        <v>0</v>
      </c>
      <c r="L1972" s="829">
        <v>0</v>
      </c>
      <c r="M1972" s="829">
        <v>0</v>
      </c>
      <c r="N1972" s="829">
        <v>0</v>
      </c>
      <c r="O1972" s="829">
        <v>0.10823325285349683</v>
      </c>
      <c r="P1972" s="829">
        <v>0.57101010780615091</v>
      </c>
      <c r="Q1972" s="829">
        <v>-0.28834207098241255</v>
      </c>
      <c r="R1972" s="829">
        <v>-1.2448042675069477</v>
      </c>
      <c r="S1972" s="829">
        <v>-0.15571279091285734</v>
      </c>
      <c r="T1972" s="829">
        <v>-0.16271752175933701</v>
      </c>
      <c r="U1972" s="229">
        <f>U1971-U1970</f>
        <v>-8.3738092178707646E-2</v>
      </c>
      <c r="V1972" t="str">
        <f t="shared" si="199"/>
        <v>2020/21Expenditure driversBT21CNDifference</v>
      </c>
    </row>
    <row r="1973" spans="1:22">
      <c r="A1973" t="s">
        <v>126</v>
      </c>
      <c r="C1973" t="s">
        <v>1344</v>
      </c>
      <c r="D1973" t="s">
        <v>77</v>
      </c>
      <c r="E1973" t="s">
        <v>1346</v>
      </c>
      <c r="F1973" t="s">
        <v>606</v>
      </c>
      <c r="G1973" s="829" t="e">
        <v>#DIV/0!</v>
      </c>
      <c r="H1973" s="829" t="e">
        <v>#DIV/0!</v>
      </c>
      <c r="I1973" s="829" t="e">
        <v>#DIV/0!</v>
      </c>
      <c r="J1973" s="829" t="e">
        <v>#DIV/0!</v>
      </c>
      <c r="K1973" s="829" t="e">
        <v>#DIV/0!</v>
      </c>
      <c r="L1973" s="829" t="e">
        <v>#DIV/0!</v>
      </c>
      <c r="M1973" s="829" t="e">
        <v>#DIV/0!</v>
      </c>
      <c r="N1973" s="829" t="e">
        <v>#DIV/0!</v>
      </c>
      <c r="O1973" s="829">
        <v>8.195106909439448E-2</v>
      </c>
      <c r="P1973" s="829">
        <v>0.34642138472140765</v>
      </c>
      <c r="Q1973" s="829">
        <v>-1</v>
      </c>
      <c r="R1973" s="829">
        <v>-1</v>
      </c>
      <c r="S1973" s="829">
        <v>-0.84865050820722088</v>
      </c>
      <c r="T1973" s="829">
        <v>-0.4258974316336821</v>
      </c>
      <c r="U1973" s="829">
        <f>U1972/U1970</f>
        <v>-0.23133421859748823</v>
      </c>
      <c r="V1973" t="str">
        <f t="shared" si="199"/>
        <v>2020/21Expenditure driversBT21CNDifference %</v>
      </c>
    </row>
    <row r="1974" spans="1:22">
      <c r="A1974" t="s">
        <v>142</v>
      </c>
      <c r="C1974" t="s">
        <v>1344</v>
      </c>
      <c r="D1974" t="s">
        <v>77</v>
      </c>
      <c r="E1974" t="s">
        <v>297</v>
      </c>
      <c r="F1974" t="s">
        <v>1289</v>
      </c>
      <c r="G1974" s="229" cm="1">
        <f t="array" ref="G1974:T1977">TRANSPOSE('Ch4 expenditure drivers'!BJ494:BM507)</f>
        <v>0</v>
      </c>
      <c r="H1974" s="229">
        <v>0</v>
      </c>
      <c r="I1974" s="229">
        <v>0</v>
      </c>
      <c r="J1974" s="229">
        <v>0</v>
      </c>
      <c r="K1974" s="229">
        <v>0</v>
      </c>
      <c r="L1974" s="229">
        <v>0</v>
      </c>
      <c r="M1974" s="229">
        <v>0</v>
      </c>
      <c r="N1974" s="229">
        <v>0</v>
      </c>
      <c r="O1974" s="229">
        <v>1.4715818047827522</v>
      </c>
      <c r="P1974" s="229">
        <v>1.6749349322803895</v>
      </c>
      <c r="Q1974" s="229">
        <v>0.2790521820522448</v>
      </c>
      <c r="R1974" s="229">
        <v>1.1803779182258898</v>
      </c>
      <c r="S1974" s="229">
        <v>0.16201760691961276</v>
      </c>
      <c r="T1974" s="229">
        <v>0.37013113606928921</v>
      </c>
      <c r="U1974" s="229">
        <f>AVERAGE(G1974:T1974)</f>
        <v>0.36700682716644134</v>
      </c>
      <c r="V1974" t="str">
        <f t="shared" ref="V1974:V1977" si="201">CONCATENATE(A1974,B1974,C1974,D1974,E1974)</f>
        <v>2021/22Expenditure driversBT21CNAllowance</v>
      </c>
    </row>
    <row r="1975" spans="1:22">
      <c r="A1975" t="s">
        <v>142</v>
      </c>
      <c r="C1975" t="s">
        <v>1344</v>
      </c>
      <c r="D1975" t="s">
        <v>77</v>
      </c>
      <c r="E1975" t="s">
        <v>298</v>
      </c>
      <c r="F1975" t="s">
        <v>1289</v>
      </c>
      <c r="G1975" s="229">
        <v>0</v>
      </c>
      <c r="H1975" s="229">
        <v>0</v>
      </c>
      <c r="I1975" s="229">
        <v>0</v>
      </c>
      <c r="J1975" s="229">
        <v>0</v>
      </c>
      <c r="K1975" s="229">
        <v>0</v>
      </c>
      <c r="L1975" s="229">
        <v>0</v>
      </c>
      <c r="M1975" s="229">
        <v>0</v>
      </c>
      <c r="N1975" s="229">
        <v>0</v>
      </c>
      <c r="O1975" s="229">
        <v>1.3979560593963205</v>
      </c>
      <c r="P1975" s="229">
        <v>1.9804642725115451</v>
      </c>
      <c r="Q1975" s="229">
        <v>0</v>
      </c>
      <c r="R1975" s="229">
        <v>0</v>
      </c>
      <c r="S1975" s="229">
        <v>0</v>
      </c>
      <c r="T1975" s="229">
        <v>7.418479999999999E-3</v>
      </c>
      <c r="U1975" s="229">
        <f>AVERAGE(G1975:T1975)</f>
        <v>0.24184562942199042</v>
      </c>
      <c r="V1975" t="str">
        <f t="shared" si="201"/>
        <v>2021/22Expenditure driversBT21CNActual</v>
      </c>
    </row>
    <row r="1976" spans="1:22">
      <c r="A1976" t="s">
        <v>142</v>
      </c>
      <c r="C1976" t="s">
        <v>1344</v>
      </c>
      <c r="D1976" t="s">
        <v>77</v>
      </c>
      <c r="E1976" t="s">
        <v>602</v>
      </c>
      <c r="F1976" t="s">
        <v>1289</v>
      </c>
      <c r="G1976" s="229">
        <v>0</v>
      </c>
      <c r="H1976" s="229">
        <v>0</v>
      </c>
      <c r="I1976" s="229">
        <v>0</v>
      </c>
      <c r="J1976" s="229">
        <v>0</v>
      </c>
      <c r="K1976" s="229">
        <v>0</v>
      </c>
      <c r="L1976" s="229">
        <v>0</v>
      </c>
      <c r="M1976" s="229">
        <v>0</v>
      </c>
      <c r="N1976" s="229">
        <v>0</v>
      </c>
      <c r="O1976" s="229">
        <v>-7.362574538643174E-2</v>
      </c>
      <c r="P1976" s="229">
        <v>0.30552934023115563</v>
      </c>
      <c r="Q1976" s="229">
        <v>-0.2790521820522448</v>
      </c>
      <c r="R1976" s="229">
        <v>-1.1803779182258898</v>
      </c>
      <c r="S1976" s="229">
        <v>-0.16201760691961276</v>
      </c>
      <c r="T1976" s="229">
        <v>-0.36271265606928921</v>
      </c>
      <c r="U1976" s="229">
        <f>U1975-U1974</f>
        <v>-0.12516119774445092</v>
      </c>
      <c r="V1976" t="str">
        <f t="shared" si="201"/>
        <v>2021/22Expenditure driversBT21CNDifference</v>
      </c>
    </row>
    <row r="1977" spans="1:22">
      <c r="A1977" t="s">
        <v>142</v>
      </c>
      <c r="C1977" t="s">
        <v>1344</v>
      </c>
      <c r="D1977" t="s">
        <v>77</v>
      </c>
      <c r="E1977" t="s">
        <v>1346</v>
      </c>
      <c r="F1977" t="s">
        <v>606</v>
      </c>
      <c r="G1977" s="829" t="e">
        <v>#DIV/0!</v>
      </c>
      <c r="H1977" s="829" t="e">
        <v>#DIV/0!</v>
      </c>
      <c r="I1977" s="829" t="e">
        <v>#DIV/0!</v>
      </c>
      <c r="J1977" s="829" t="e">
        <v>#DIV/0!</v>
      </c>
      <c r="K1977" s="829" t="e">
        <v>#DIV/0!</v>
      </c>
      <c r="L1977" s="829" t="e">
        <v>#DIV/0!</v>
      </c>
      <c r="M1977" s="829" t="e">
        <v>#DIV/0!</v>
      </c>
      <c r="N1977" s="829" t="e">
        <v>#DIV/0!</v>
      </c>
      <c r="O1977" s="829">
        <v>-5.0031704080019536E-2</v>
      </c>
      <c r="P1977" s="829">
        <v>0.18241266233260997</v>
      </c>
      <c r="Q1977" s="829">
        <v>-1</v>
      </c>
      <c r="R1977" s="829">
        <v>-1</v>
      </c>
      <c r="S1977" s="829">
        <v>-1</v>
      </c>
      <c r="T1977" s="829">
        <v>-0.97995715767448632</v>
      </c>
      <c r="U1977" s="829">
        <f>U1976/U1974</f>
        <v>-0.34103234185256459</v>
      </c>
      <c r="V1977" t="str">
        <f t="shared" si="201"/>
        <v>2021/22Expenditure driversBT21CNDifference %</v>
      </c>
    </row>
    <row r="1978" spans="1:22">
      <c r="A1978" t="s">
        <v>137</v>
      </c>
      <c r="C1978" t="s">
        <v>1344</v>
      </c>
      <c r="D1978" t="s">
        <v>78</v>
      </c>
      <c r="E1978" t="s">
        <v>1347</v>
      </c>
      <c r="F1978" t="s">
        <v>1289</v>
      </c>
      <c r="G1978">
        <f t="array" ref="G1978:T1985">TRANSPOSE('Ch4 expenditure drivers'!E514:L527)</f>
        <v>7.0089511882474262</v>
      </c>
      <c r="H1978">
        <v>5.7416949656979908</v>
      </c>
      <c r="I1978">
        <v>13.885456398286216</v>
      </c>
      <c r="J1978">
        <v>4.3345834128226874</v>
      </c>
      <c r="K1978">
        <v>4.504968322920428</v>
      </c>
      <c r="L1978">
        <v>1.9708010198223411</v>
      </c>
      <c r="M1978">
        <v>4.1762088497140466</v>
      </c>
      <c r="N1978">
        <v>12.108820687213349</v>
      </c>
      <c r="O1978">
        <v>8.8852013509949543</v>
      </c>
      <c r="P1978">
        <v>10.22197128988779</v>
      </c>
      <c r="Q1978">
        <v>4.3173218681737868</v>
      </c>
      <c r="R1978">
        <v>6.1501133213804398</v>
      </c>
      <c r="S1978">
        <v>0.87936385688721386</v>
      </c>
      <c r="T1978">
        <v>5.2999474616997411</v>
      </c>
      <c r="U1978">
        <f>AVERAGE(G1978:T1978)</f>
        <v>6.3918145709820298</v>
      </c>
      <c r="V1978" t="str">
        <f t="shared" si="199"/>
        <v>2015/16Expenditure driversLegal &amp; SafetyBPDT</v>
      </c>
    </row>
    <row r="1979" spans="1:22">
      <c r="A1979" t="s">
        <v>138</v>
      </c>
      <c r="C1979" t="s">
        <v>1344</v>
      </c>
      <c r="D1979" t="s">
        <v>78</v>
      </c>
      <c r="E1979" t="s">
        <v>1347</v>
      </c>
      <c r="F1979" t="s">
        <v>1289</v>
      </c>
      <c r="G1979">
        <v>6.7932466402481779</v>
      </c>
      <c r="H1979">
        <v>3.9031633508789847</v>
      </c>
      <c r="I1979">
        <v>11.756047371284373</v>
      </c>
      <c r="J1979">
        <v>4.2730284841232855</v>
      </c>
      <c r="K1979">
        <v>4.5089958138960355</v>
      </c>
      <c r="L1979">
        <v>1.8081066622943631</v>
      </c>
      <c r="M1979">
        <v>3.5298386185715644</v>
      </c>
      <c r="N1979">
        <v>10.780727975628368</v>
      </c>
      <c r="O1979">
        <v>9.1888621856558341</v>
      </c>
      <c r="P1979">
        <v>10.599298837541749</v>
      </c>
      <c r="Q1979">
        <v>4.2836477160912407</v>
      </c>
      <c r="R1979">
        <v>6.085956098603007</v>
      </c>
      <c r="S1979">
        <v>0.87725602939858749</v>
      </c>
      <c r="T1979">
        <v>5.7274739330538456</v>
      </c>
      <c r="U1979">
        <f t="shared" ref="U1979:U2010" si="202">AVERAGE(G1979:T1979)</f>
        <v>6.008260694090672</v>
      </c>
      <c r="V1979" t="str">
        <f t="shared" si="199"/>
        <v>2016/17Expenditure driversLegal &amp; SafetyBPDT</v>
      </c>
    </row>
    <row r="1980" spans="1:22">
      <c r="A1980" t="s">
        <v>139</v>
      </c>
      <c r="C1980" t="s">
        <v>1344</v>
      </c>
      <c r="D1980" t="s">
        <v>78</v>
      </c>
      <c r="E1980" t="s">
        <v>1347</v>
      </c>
      <c r="F1980" t="s">
        <v>1289</v>
      </c>
      <c r="G1980">
        <v>6.601590214073644</v>
      </c>
      <c r="H1980">
        <v>3.9017504393483646</v>
      </c>
      <c r="I1980">
        <v>10.018330657274239</v>
      </c>
      <c r="J1980">
        <v>4.2620733425552473</v>
      </c>
      <c r="K1980">
        <v>4.4365457380193289</v>
      </c>
      <c r="L1980">
        <v>1.8033150336142576</v>
      </c>
      <c r="M1980">
        <v>3.5173997271712807</v>
      </c>
      <c r="N1980">
        <v>6.8280609608540237</v>
      </c>
      <c r="O1980">
        <v>5.4830509860856296</v>
      </c>
      <c r="P1980">
        <v>7.1761908793643947</v>
      </c>
      <c r="Q1980">
        <v>4.2469242587239213</v>
      </c>
      <c r="R1980">
        <v>6.1339365662913528</v>
      </c>
      <c r="S1980">
        <v>0.8764132508484106</v>
      </c>
      <c r="T1980">
        <v>5.6189979422822161</v>
      </c>
      <c r="U1980">
        <f t="shared" si="202"/>
        <v>5.0646128568933095</v>
      </c>
      <c r="V1980" t="str">
        <f t="shared" si="199"/>
        <v>2017/18Expenditure driversLegal &amp; SafetyBPDT</v>
      </c>
    </row>
    <row r="1981" spans="1:22">
      <c r="A1981" t="s">
        <v>140</v>
      </c>
      <c r="C1981" t="s">
        <v>1344</v>
      </c>
      <c r="D1981" t="s">
        <v>78</v>
      </c>
      <c r="E1981" t="s">
        <v>1347</v>
      </c>
      <c r="F1981" t="s">
        <v>1289</v>
      </c>
      <c r="G1981">
        <v>6.4775264658461076</v>
      </c>
      <c r="H1981">
        <v>3.9324914556569794</v>
      </c>
      <c r="I1981">
        <v>8.1724074243492684</v>
      </c>
      <c r="J1981">
        <v>4.2603840726890541</v>
      </c>
      <c r="K1981">
        <v>4.4442790131656764</v>
      </c>
      <c r="L1981">
        <v>1.8059916105339433</v>
      </c>
      <c r="M1981">
        <v>3.5228902140158675</v>
      </c>
      <c r="N1981">
        <v>7.1701359760691465</v>
      </c>
      <c r="O1981">
        <v>4.9692160504846088</v>
      </c>
      <c r="P1981">
        <v>7.1378248691021975</v>
      </c>
      <c r="Q1981">
        <v>4.2112638993289897</v>
      </c>
      <c r="R1981">
        <v>6.0917883803916464</v>
      </c>
      <c r="S1981">
        <v>0.87004392099361105</v>
      </c>
      <c r="T1981">
        <v>5.2824456507680138</v>
      </c>
      <c r="U1981">
        <f t="shared" si="202"/>
        <v>4.882049214528223</v>
      </c>
      <c r="V1981" t="str">
        <f t="shared" si="199"/>
        <v>2018/19Expenditure driversLegal &amp; SafetyBPDT</v>
      </c>
    </row>
    <row r="1982" spans="1:22">
      <c r="A1982" t="s">
        <v>141</v>
      </c>
      <c r="C1982" t="s">
        <v>1344</v>
      </c>
      <c r="D1982" t="s">
        <v>78</v>
      </c>
      <c r="E1982" t="s">
        <v>1347</v>
      </c>
      <c r="F1982" t="s">
        <v>1289</v>
      </c>
      <c r="G1982">
        <v>6.4379578486231726</v>
      </c>
      <c r="H1982">
        <v>3.6785987030018878</v>
      </c>
      <c r="I1982">
        <v>8.1291583121618789</v>
      </c>
      <c r="J1982">
        <v>4.2681572697887642</v>
      </c>
      <c r="K1982">
        <v>4.4514912245804688</v>
      </c>
      <c r="L1982">
        <v>1.9054797089396369</v>
      </c>
      <c r="M1982">
        <v>3.5276233521991909</v>
      </c>
      <c r="N1982">
        <v>7.0214271467951512</v>
      </c>
      <c r="O1982">
        <v>4.5893873434149741</v>
      </c>
      <c r="P1982">
        <v>7.6012122012114363</v>
      </c>
      <c r="Q1982">
        <v>4.1795300741206693</v>
      </c>
      <c r="R1982">
        <v>6.0807144756814111</v>
      </c>
      <c r="S1982">
        <v>0.86775570946105474</v>
      </c>
      <c r="T1982">
        <v>4.0040622999635298</v>
      </c>
      <c r="U1982">
        <f t="shared" si="202"/>
        <v>4.7673254049959457</v>
      </c>
      <c r="V1982" t="str">
        <f t="shared" si="199"/>
        <v>2019/20Expenditure driversLegal &amp; SafetyBPDT</v>
      </c>
    </row>
    <row r="1983" spans="1:22">
      <c r="A1983" t="s">
        <v>126</v>
      </c>
      <c r="C1983" t="s">
        <v>1344</v>
      </c>
      <c r="D1983" t="s">
        <v>78</v>
      </c>
      <c r="E1983" t="s">
        <v>1347</v>
      </c>
      <c r="F1983" t="s">
        <v>1289</v>
      </c>
      <c r="G1983">
        <v>6.5077809205533335</v>
      </c>
      <c r="H1983">
        <v>3.7055387620827496</v>
      </c>
      <c r="I1983">
        <v>7.9580363960853928</v>
      </c>
      <c r="J1983">
        <v>4.2811396338255552</v>
      </c>
      <c r="K1983">
        <v>4.4597557619706869</v>
      </c>
      <c r="L1983">
        <v>1.8104306420771512</v>
      </c>
      <c r="M1983">
        <v>3.5322829877287196</v>
      </c>
      <c r="N1983">
        <v>6.7581215234756247</v>
      </c>
      <c r="O1983">
        <v>4.2860320790951585</v>
      </c>
      <c r="P1983">
        <v>7.3145167896546823</v>
      </c>
      <c r="Q1983">
        <v>4.1585839545751844</v>
      </c>
      <c r="R1983">
        <v>6.0441384319441873</v>
      </c>
      <c r="S1983">
        <v>0.8655947775110594</v>
      </c>
      <c r="T1983">
        <v>2.9615081370934675</v>
      </c>
      <c r="U1983">
        <f t="shared" si="202"/>
        <v>4.6173900569766388</v>
      </c>
      <c r="V1983" t="str">
        <f t="shared" si="199"/>
        <v>2020/21Expenditure driversLegal &amp; SafetyBPDT</v>
      </c>
    </row>
    <row r="1984" spans="1:22">
      <c r="A1984" t="s">
        <v>142</v>
      </c>
      <c r="C1984" t="s">
        <v>1344</v>
      </c>
      <c r="D1984" t="s">
        <v>78</v>
      </c>
      <c r="E1984" t="s">
        <v>1347</v>
      </c>
      <c r="F1984" t="s">
        <v>1289</v>
      </c>
      <c r="G1984">
        <v>6.5200732460055244</v>
      </c>
      <c r="H1984">
        <v>3.7501210914685164</v>
      </c>
      <c r="I1984">
        <v>7.9586989768551897</v>
      </c>
      <c r="J1984">
        <v>4.2883941151291989</v>
      </c>
      <c r="K1984">
        <v>4.4663632304611198</v>
      </c>
      <c r="L1984">
        <v>1.8107812982469924</v>
      </c>
      <c r="M1984">
        <v>3.5361679767836689</v>
      </c>
      <c r="N1984">
        <v>1.7348469487721736</v>
      </c>
      <c r="O1984">
        <v>4.0545588986097876</v>
      </c>
      <c r="P1984">
        <v>6.9927499762221803</v>
      </c>
      <c r="Q1984">
        <v>4.1243209121787689</v>
      </c>
      <c r="R1984">
        <v>5.9896806495001238</v>
      </c>
      <c r="S1984">
        <v>0.86354169909294776</v>
      </c>
      <c r="T1984">
        <v>2.9048625121412237</v>
      </c>
      <c r="U1984">
        <f t="shared" si="202"/>
        <v>4.2139401093905295</v>
      </c>
      <c r="V1984" t="str">
        <f t="shared" si="199"/>
        <v>2021/22Expenditure driversLegal &amp; SafetyBPDT</v>
      </c>
    </row>
    <row r="1985" spans="1:22">
      <c r="A1985" t="s">
        <v>143</v>
      </c>
      <c r="C1985" t="s">
        <v>1344</v>
      </c>
      <c r="D1985" t="s">
        <v>78</v>
      </c>
      <c r="E1985" t="s">
        <v>1347</v>
      </c>
      <c r="F1985" t="s">
        <v>1289</v>
      </c>
      <c r="G1985">
        <v>6.5737993957039791</v>
      </c>
      <c r="H1985">
        <v>3.7995583389866985</v>
      </c>
      <c r="I1985">
        <v>7.8516979660244477</v>
      </c>
      <c r="J1985">
        <v>4.2972011012259177</v>
      </c>
      <c r="K1985">
        <v>4.4581025031302195</v>
      </c>
      <c r="L1985">
        <v>1.8132533163760565</v>
      </c>
      <c r="M1985">
        <v>3.5400315335298385</v>
      </c>
      <c r="N1985">
        <v>1.452599764765099</v>
      </c>
      <c r="O1985">
        <v>4.1451583003924606</v>
      </c>
      <c r="P1985">
        <v>6.5371313646666032</v>
      </c>
      <c r="Q1985">
        <v>4.1107392222107295</v>
      </c>
      <c r="R1985">
        <v>5.9851405333503145</v>
      </c>
      <c r="S1985">
        <v>0.65955634096767157</v>
      </c>
      <c r="T1985">
        <v>2.8308464023455184</v>
      </c>
      <c r="U1985">
        <f t="shared" si="202"/>
        <v>4.1467725774053967</v>
      </c>
      <c r="V1985" t="str">
        <f t="shared" si="199"/>
        <v>2022/23Expenditure driversLegal &amp; SafetyBPDT</v>
      </c>
    </row>
    <row r="1986" spans="1:22">
      <c r="A1986" t="s">
        <v>137</v>
      </c>
      <c r="C1986" t="s">
        <v>1344</v>
      </c>
      <c r="D1986" t="s">
        <v>78</v>
      </c>
      <c r="E1986" t="s">
        <v>1348</v>
      </c>
      <c r="F1986" t="s">
        <v>1289</v>
      </c>
      <c r="G1986">
        <f t="array" ref="G1986:T1993">TRANSPOSE('Ch4 expenditure drivers'!N514:U527)</f>
        <v>6.4704180144030783</v>
      </c>
      <c r="H1986">
        <v>4.9434260032108268</v>
      </c>
      <c r="I1986">
        <v>11.201524745727298</v>
      </c>
      <c r="J1986">
        <v>1.7218286899265871</v>
      </c>
      <c r="K1986">
        <v>2.3321584178103421</v>
      </c>
      <c r="L1986">
        <v>0.28053518106997</v>
      </c>
      <c r="M1986">
        <v>0.80895066516526448</v>
      </c>
      <c r="N1986">
        <v>13.128533951491267</v>
      </c>
      <c r="O1986">
        <v>7.6136954357280899</v>
      </c>
      <c r="P1986">
        <v>8.8628758573628605</v>
      </c>
      <c r="Q1986">
        <v>4.1507264210757624</v>
      </c>
      <c r="R1986">
        <v>6.2587187140114482</v>
      </c>
      <c r="S1986">
        <v>0.72604531575465003</v>
      </c>
      <c r="T1986">
        <v>4.3231642582341676</v>
      </c>
      <c r="U1986">
        <f t="shared" si="202"/>
        <v>5.2016144050693995</v>
      </c>
      <c r="V1986" t="str">
        <f t="shared" si="199"/>
        <v>2015/16Expenditure driversLegal &amp; SafetyDNO Baseline</v>
      </c>
    </row>
    <row r="1987" spans="1:22">
      <c r="A1987" t="s">
        <v>138</v>
      </c>
      <c r="C1987" t="s">
        <v>1344</v>
      </c>
      <c r="D1987" t="s">
        <v>78</v>
      </c>
      <c r="E1987" t="s">
        <v>1348</v>
      </c>
      <c r="F1987" t="s">
        <v>1289</v>
      </c>
      <c r="G1987">
        <v>5.8783525753600285</v>
      </c>
      <c r="H1987">
        <v>4.3490107771466242</v>
      </c>
      <c r="I1987">
        <v>10.347662018050613</v>
      </c>
      <c r="J1987">
        <v>1.6616394361292404</v>
      </c>
      <c r="K1987">
        <v>2.3338014606813933</v>
      </c>
      <c r="L1987">
        <v>0.12471610782649116</v>
      </c>
      <c r="M1987">
        <v>0.18731816214126554</v>
      </c>
      <c r="N1987">
        <v>12.685147078810722</v>
      </c>
      <c r="O1987">
        <v>8.4160353005041895</v>
      </c>
      <c r="P1987">
        <v>9.1318559220888087</v>
      </c>
      <c r="Q1987">
        <v>4.1264611417855646</v>
      </c>
      <c r="R1987">
        <v>6.8216775336311217</v>
      </c>
      <c r="S1987">
        <v>0.71541257939783365</v>
      </c>
      <c r="T1987">
        <v>4.405125209396533</v>
      </c>
      <c r="U1987">
        <f t="shared" si="202"/>
        <v>5.0845868073536016</v>
      </c>
      <c r="V1987" t="str">
        <f t="shared" si="199"/>
        <v>2016/17Expenditure driversLegal &amp; SafetyDNO Baseline</v>
      </c>
    </row>
    <row r="1988" spans="1:22">
      <c r="A1988" t="s">
        <v>139</v>
      </c>
      <c r="C1988" t="s">
        <v>1344</v>
      </c>
      <c r="D1988" t="s">
        <v>78</v>
      </c>
      <c r="E1988" t="s">
        <v>1348</v>
      </c>
      <c r="F1988" t="s">
        <v>1289</v>
      </c>
      <c r="G1988">
        <v>6.2060046672466713</v>
      </c>
      <c r="H1988">
        <v>3.8958703025777339</v>
      </c>
      <c r="I1988">
        <v>9.5081408126392386</v>
      </c>
      <c r="J1988">
        <v>1.6559051831779326</v>
      </c>
      <c r="K1988">
        <v>2.2689670996054501</v>
      </c>
      <c r="L1988">
        <v>0.1243693358699345</v>
      </c>
      <c r="M1988">
        <v>0.18752902004627592</v>
      </c>
      <c r="N1988">
        <v>9.4445666004025561</v>
      </c>
      <c r="O1988">
        <v>6.7536276200045755</v>
      </c>
      <c r="P1988">
        <v>8.5446188733249926</v>
      </c>
      <c r="Q1988">
        <v>4.1024963518131532</v>
      </c>
      <c r="R1988">
        <v>6.3645766254905416</v>
      </c>
      <c r="S1988">
        <v>0.68605371086239475</v>
      </c>
      <c r="T1988">
        <v>4.2475354429056216</v>
      </c>
      <c r="U1988">
        <f t="shared" si="202"/>
        <v>4.5707329747119347</v>
      </c>
      <c r="V1988" t="str">
        <f t="shared" si="199"/>
        <v>2017/18Expenditure driversLegal &amp; SafetyDNO Baseline</v>
      </c>
    </row>
    <row r="1989" spans="1:22">
      <c r="A1989" t="s">
        <v>140</v>
      </c>
      <c r="C1989" t="s">
        <v>1344</v>
      </c>
      <c r="D1989" t="s">
        <v>78</v>
      </c>
      <c r="E1989" t="s">
        <v>1348</v>
      </c>
      <c r="F1989" t="s">
        <v>1289</v>
      </c>
      <c r="G1989">
        <v>5.9628078594821838</v>
      </c>
      <c r="H1989">
        <v>3.8449743113741994</v>
      </c>
      <c r="I1989">
        <v>8.8090809083991033</v>
      </c>
      <c r="J1989">
        <v>1.6481079912854579</v>
      </c>
      <c r="K1989">
        <v>2.2733254812268759</v>
      </c>
      <c r="L1989">
        <v>0.125643720299941</v>
      </c>
      <c r="M1989">
        <v>0.18705189575408657</v>
      </c>
      <c r="N1989">
        <v>8.7267956516573797</v>
      </c>
      <c r="O1989">
        <v>6.5894603896406156</v>
      </c>
      <c r="P1989">
        <v>8.8190767280148652</v>
      </c>
      <c r="Q1989">
        <v>3.9583089756993104</v>
      </c>
      <c r="R1989">
        <v>5.9227833107251353</v>
      </c>
      <c r="S1989">
        <v>0.68177681823647984</v>
      </c>
      <c r="T1989">
        <v>4.0394104677811082</v>
      </c>
      <c r="U1989">
        <f t="shared" si="202"/>
        <v>4.3991860363983388</v>
      </c>
      <c r="V1989" t="str">
        <f t="shared" si="199"/>
        <v>2018/19Expenditure driversLegal &amp; SafetyDNO Baseline</v>
      </c>
    </row>
    <row r="1990" spans="1:22">
      <c r="A1990" t="s">
        <v>141</v>
      </c>
      <c r="C1990" t="s">
        <v>1344</v>
      </c>
      <c r="D1990" t="s">
        <v>78</v>
      </c>
      <c r="E1990" t="s">
        <v>1348</v>
      </c>
      <c r="F1990" t="s">
        <v>1289</v>
      </c>
      <c r="G1990">
        <v>6.1482608538792025</v>
      </c>
      <c r="H1990">
        <v>3.5958435192996574</v>
      </c>
      <c r="I1990">
        <v>7.6197270156848234</v>
      </c>
      <c r="J1990">
        <v>1.65204929422364</v>
      </c>
      <c r="K1990">
        <v>2.2768740466671069</v>
      </c>
      <c r="L1990">
        <v>0.21880603015107206</v>
      </c>
      <c r="M1990">
        <v>0.18896622504816846</v>
      </c>
      <c r="N1990">
        <v>8.8686812495691463</v>
      </c>
      <c r="O1990">
        <v>6.3396891910335054</v>
      </c>
      <c r="P1990">
        <v>8.7328586483366717</v>
      </c>
      <c r="Q1990">
        <v>3.8523315683646366</v>
      </c>
      <c r="R1990">
        <v>5.7910359037253674</v>
      </c>
      <c r="S1990">
        <v>0.68237704790585896</v>
      </c>
      <c r="T1990">
        <v>3.5708826393690063</v>
      </c>
      <c r="U1990">
        <f t="shared" si="202"/>
        <v>4.2527416595184189</v>
      </c>
      <c r="V1990" t="str">
        <f t="shared" si="199"/>
        <v>2019/20Expenditure driversLegal &amp; SafetyDNO Baseline</v>
      </c>
    </row>
    <row r="1991" spans="1:22">
      <c r="A1991" t="s">
        <v>126</v>
      </c>
      <c r="C1991" t="s">
        <v>1344</v>
      </c>
      <c r="D1991" t="s">
        <v>78</v>
      </c>
      <c r="E1991" t="s">
        <v>1348</v>
      </c>
      <c r="F1991" t="s">
        <v>1289</v>
      </c>
      <c r="G1991">
        <v>6.1547375438156964</v>
      </c>
      <c r="H1991">
        <v>3.2165394580785098</v>
      </c>
      <c r="I1991">
        <v>7.3630979712594984</v>
      </c>
      <c r="J1991">
        <v>1.6566410867463524</v>
      </c>
      <c r="K1991">
        <v>2.2803344462238297</v>
      </c>
      <c r="L1991">
        <v>0.12466139558191154</v>
      </c>
      <c r="M1991">
        <v>0.18724138117584427</v>
      </c>
      <c r="N1991">
        <v>8.6555400552519117</v>
      </c>
      <c r="O1991">
        <v>6.1736880749619942</v>
      </c>
      <c r="P1991">
        <v>7.9937990583330478</v>
      </c>
      <c r="Q1991">
        <v>3.7591230713320192</v>
      </c>
      <c r="R1991">
        <v>5.7995378871179186</v>
      </c>
      <c r="S1991">
        <v>0.67710582442582423</v>
      </c>
      <c r="T1991">
        <v>3.1472329377046391</v>
      </c>
      <c r="U1991">
        <f t="shared" si="202"/>
        <v>4.0849485851434997</v>
      </c>
      <c r="V1991" t="str">
        <f t="shared" si="199"/>
        <v>2020/21Expenditure driversLegal &amp; SafetyDNO Baseline</v>
      </c>
    </row>
    <row r="1992" spans="1:22">
      <c r="A1992" t="s">
        <v>142</v>
      </c>
      <c r="C1992" t="s">
        <v>1344</v>
      </c>
      <c r="D1992" t="s">
        <v>78</v>
      </c>
      <c r="E1992" t="s">
        <v>1348</v>
      </c>
      <c r="F1992" t="s">
        <v>1289</v>
      </c>
      <c r="G1992">
        <v>6.1042763735621213</v>
      </c>
      <c r="H1992">
        <v>2.9434636434097623</v>
      </c>
      <c r="I1992">
        <v>6.4740067800988701</v>
      </c>
      <c r="J1992">
        <v>1.6603833083901822</v>
      </c>
      <c r="K1992">
        <v>2.2847135343442053</v>
      </c>
      <c r="L1992">
        <v>0.1246782190883365</v>
      </c>
      <c r="M1992">
        <v>0.18794741034247381</v>
      </c>
      <c r="N1992">
        <v>6.5153668749830445</v>
      </c>
      <c r="O1992">
        <v>5.7529504441228472</v>
      </c>
      <c r="P1992">
        <v>7.7063238406884693</v>
      </c>
      <c r="Q1992">
        <v>3.409426537579062</v>
      </c>
      <c r="R1992">
        <v>5.0160507029920014</v>
      </c>
      <c r="S1992">
        <v>0.67738609245033821</v>
      </c>
      <c r="T1992">
        <v>3.0816817929426161</v>
      </c>
      <c r="U1992">
        <f t="shared" si="202"/>
        <v>3.7099039682138808</v>
      </c>
      <c r="V1992" t="str">
        <f t="shared" si="199"/>
        <v>2021/22Expenditure driversLegal &amp; SafetyDNO Baseline</v>
      </c>
    </row>
    <row r="1993" spans="1:22">
      <c r="A1993" t="s">
        <v>143</v>
      </c>
      <c r="C1993" t="s">
        <v>1344</v>
      </c>
      <c r="D1993" t="s">
        <v>78</v>
      </c>
      <c r="E1993" t="s">
        <v>1348</v>
      </c>
      <c r="F1993" t="s">
        <v>1289</v>
      </c>
      <c r="G1993">
        <v>5.9820819584426941</v>
      </c>
      <c r="H1993">
        <v>2.9570867853360485</v>
      </c>
      <c r="I1993">
        <v>6.9284957687102642</v>
      </c>
      <c r="J1993">
        <v>1.6627482586434674</v>
      </c>
      <c r="K1993">
        <v>2.2736211299591069</v>
      </c>
      <c r="L1993">
        <v>0.12469396417056969</v>
      </c>
      <c r="M1993">
        <v>0.18741017331814108</v>
      </c>
      <c r="N1993">
        <v>5.9863285776283224</v>
      </c>
      <c r="O1993">
        <v>5.5785142318568894</v>
      </c>
      <c r="P1993">
        <v>7.1160991443244912</v>
      </c>
      <c r="Q1993">
        <v>3.2857218451132706</v>
      </c>
      <c r="R1993">
        <v>4.3785182531346223</v>
      </c>
      <c r="S1993">
        <v>0.61287284985872048</v>
      </c>
      <c r="T1993">
        <v>3.1031183210345668</v>
      </c>
      <c r="U1993">
        <f t="shared" si="202"/>
        <v>3.5840936615379411</v>
      </c>
      <c r="V1993" t="str">
        <f t="shared" si="199"/>
        <v>2022/23Expenditure driversLegal &amp; SafetyDNO Baseline</v>
      </c>
    </row>
    <row r="1994" spans="1:22">
      <c r="A1994" t="s">
        <v>137</v>
      </c>
      <c r="C1994" t="s">
        <v>1344</v>
      </c>
      <c r="D1994" t="s">
        <v>78</v>
      </c>
      <c r="E1994" t="s">
        <v>1349</v>
      </c>
      <c r="F1994" t="s">
        <v>1289</v>
      </c>
      <c r="G1994" cm="1">
        <f t="array" ref="G1994:T2000">TRANSPOSE('Ch4 expenditure drivers'!W514:AC527)</f>
        <v>3.023369369313706</v>
      </c>
      <c r="H1994">
        <v>5.5198595708179958</v>
      </c>
      <c r="I1994">
        <v>8.1294728927480087</v>
      </c>
      <c r="J1994">
        <v>2.080919273955125</v>
      </c>
      <c r="K1994">
        <v>2.5522744754907816</v>
      </c>
      <c r="L1994">
        <v>1.0818381470360363</v>
      </c>
      <c r="M1994">
        <v>0.53492218800229729</v>
      </c>
      <c r="N1994">
        <v>3.8683775956229676</v>
      </c>
      <c r="O1994">
        <v>3.1294865965819105</v>
      </c>
      <c r="P1994">
        <v>3.2824704357489005</v>
      </c>
      <c r="Q1994">
        <v>1.153645749942628</v>
      </c>
      <c r="R1994">
        <v>3.7665782567664134</v>
      </c>
      <c r="S1994">
        <v>0.38428069970412398</v>
      </c>
      <c r="T1994">
        <v>1.9717759575690061</v>
      </c>
      <c r="U1994">
        <f t="shared" si="202"/>
        <v>2.891376514949993</v>
      </c>
      <c r="V1994" t="str">
        <f t="shared" si="199"/>
        <v>2015/16Expenditure driversLegal &amp; SafetyDNO Actual</v>
      </c>
    </row>
    <row r="1995" spans="1:22">
      <c r="A1995" t="s">
        <v>138</v>
      </c>
      <c r="C1995" t="s">
        <v>1344</v>
      </c>
      <c r="D1995" t="s">
        <v>78</v>
      </c>
      <c r="E1995" t="s">
        <v>1349</v>
      </c>
      <c r="F1995" t="s">
        <v>1289</v>
      </c>
      <c r="G1995">
        <v>4.0143435544029202</v>
      </c>
      <c r="H1995">
        <v>3.2414648991122572</v>
      </c>
      <c r="I1995">
        <v>6.1050676453635333</v>
      </c>
      <c r="J1995">
        <v>2.8803532710421442</v>
      </c>
      <c r="K1995">
        <v>2.8650884555005431</v>
      </c>
      <c r="L1995">
        <v>0.91354049933582882</v>
      </c>
      <c r="M1995">
        <v>0.45324759992754499</v>
      </c>
      <c r="N1995">
        <v>2.1694231105816413</v>
      </c>
      <c r="O1995">
        <v>3.0074561682082193</v>
      </c>
      <c r="P1995">
        <v>2.2144519482937097</v>
      </c>
      <c r="Q1995">
        <v>0.54166778464657017</v>
      </c>
      <c r="R1995">
        <v>5.0115574422895319</v>
      </c>
      <c r="S1995">
        <v>3.0122465025853606</v>
      </c>
      <c r="T1995">
        <v>3.55290769296258</v>
      </c>
      <c r="U1995">
        <f t="shared" si="202"/>
        <v>2.8559154695894557</v>
      </c>
      <c r="V1995" t="str">
        <f t="shared" si="199"/>
        <v>2016/17Expenditure driversLegal &amp; SafetyDNO Actual</v>
      </c>
    </row>
    <row r="1996" spans="1:22">
      <c r="A1996" t="s">
        <v>139</v>
      </c>
      <c r="C1996" t="s">
        <v>1344</v>
      </c>
      <c r="D1996" t="s">
        <v>78</v>
      </c>
      <c r="E1996" t="s">
        <v>1349</v>
      </c>
      <c r="F1996" t="s">
        <v>1289</v>
      </c>
      <c r="G1996">
        <v>3.9019674235615116</v>
      </c>
      <c r="H1996">
        <v>2.1920390219341206</v>
      </c>
      <c r="I1996">
        <v>4.4818160195019745</v>
      </c>
      <c r="J1996">
        <v>0.81041340375689308</v>
      </c>
      <c r="K1996">
        <v>2.8556885721768737</v>
      </c>
      <c r="L1996">
        <v>0.99377509566836897</v>
      </c>
      <c r="M1996">
        <v>0.60215074133892055</v>
      </c>
      <c r="N1996">
        <v>6.7264416068731832</v>
      </c>
      <c r="O1996">
        <v>5.4461078793381512</v>
      </c>
      <c r="P1996">
        <v>5.7766065097449015</v>
      </c>
      <c r="Q1996">
        <v>0.46164934577011191</v>
      </c>
      <c r="R1996">
        <v>3.557121669485884</v>
      </c>
      <c r="S1996">
        <v>2.1527055047065198</v>
      </c>
      <c r="T1996">
        <v>3.2782177360557716</v>
      </c>
      <c r="U1996">
        <f t="shared" si="202"/>
        <v>3.0883357521366563</v>
      </c>
      <c r="V1996" t="str">
        <f t="shared" si="199"/>
        <v>2017/18Expenditure driversLegal &amp; SafetyDNO Actual</v>
      </c>
    </row>
    <row r="1997" spans="1:22">
      <c r="A1997" t="s">
        <v>140</v>
      </c>
      <c r="C1997" t="s">
        <v>1344</v>
      </c>
      <c r="D1997" t="s">
        <v>78</v>
      </c>
      <c r="E1997" t="s">
        <v>1349</v>
      </c>
      <c r="F1997" t="s">
        <v>1289</v>
      </c>
      <c r="G1997">
        <v>3.7820029883307225</v>
      </c>
      <c r="H1997">
        <v>2.6827898606105847</v>
      </c>
      <c r="I1997">
        <v>3.8762599295127602</v>
      </c>
      <c r="J1997">
        <v>1.3520108786197356</v>
      </c>
      <c r="K1997">
        <v>1.5508037048018413</v>
      </c>
      <c r="L1997">
        <v>0.52389048667880889</v>
      </c>
      <c r="M1997">
        <v>0.81713736287009198</v>
      </c>
      <c r="N1997">
        <v>6.8705746989641572</v>
      </c>
      <c r="O1997">
        <v>4.4468060497262742</v>
      </c>
      <c r="P1997">
        <v>5.3081378342868488</v>
      </c>
      <c r="Q1997">
        <v>0.64838681254912944</v>
      </c>
      <c r="R1997">
        <v>5.5665883236854015</v>
      </c>
      <c r="S1997">
        <v>1.5081297155402023</v>
      </c>
      <c r="T1997">
        <v>4.7379510945722716</v>
      </c>
      <c r="U1997">
        <f>AVERAGE(G1997:T1997)</f>
        <v>3.1193906957677737</v>
      </c>
      <c r="V1997" t="str">
        <f t="shared" si="199"/>
        <v>2018/19Expenditure driversLegal &amp; SafetyDNO Actual</v>
      </c>
    </row>
    <row r="1998" spans="1:22">
      <c r="A1998" t="s">
        <v>141</v>
      </c>
      <c r="C1998" t="s">
        <v>1344</v>
      </c>
      <c r="D1998" t="s">
        <v>78</v>
      </c>
      <c r="E1998" t="s">
        <v>1349</v>
      </c>
      <c r="F1998" t="s">
        <v>1289</v>
      </c>
      <c r="G1998">
        <v>3.6438555631584157</v>
      </c>
      <c r="H1998">
        <v>3.1103032361925713</v>
      </c>
      <c r="I1998">
        <v>3.9649421053452678</v>
      </c>
      <c r="J1998">
        <v>2.8798832240350674</v>
      </c>
      <c r="K1998">
        <v>1.3639298243199536</v>
      </c>
      <c r="L1998">
        <v>0.67554138080525183</v>
      </c>
      <c r="M1998">
        <v>0.44429425203514983</v>
      </c>
      <c r="N1998">
        <v>3.5311883598441267</v>
      </c>
      <c r="O1998">
        <v>2.2904262057908915</v>
      </c>
      <c r="P1998">
        <v>3.9745183711999892</v>
      </c>
      <c r="Q1998">
        <v>0.70183687142763829</v>
      </c>
      <c r="R1998">
        <v>3.3358300253035416</v>
      </c>
      <c r="S1998">
        <v>0.3839807292035563</v>
      </c>
      <c r="T1998">
        <v>5.5094894149557154</v>
      </c>
      <c r="U1998">
        <f>AVERAGE(G1998:T1998)</f>
        <v>2.5578585402583665</v>
      </c>
      <c r="V1998" t="str">
        <f t="shared" si="199"/>
        <v>2019/20Expenditure driversLegal &amp; SafetyDNO Actual</v>
      </c>
    </row>
    <row r="1999" spans="1:22">
      <c r="A1999" t="s">
        <v>126</v>
      </c>
      <c r="C1999" t="s">
        <v>1344</v>
      </c>
      <c r="D1999" t="s">
        <v>78</v>
      </c>
      <c r="E1999" t="s">
        <v>1349</v>
      </c>
      <c r="F1999" t="s">
        <v>1289</v>
      </c>
      <c r="G1999">
        <v>3.4746407951040892</v>
      </c>
      <c r="H1999">
        <v>1.9417726630042802</v>
      </c>
      <c r="I1999">
        <v>2.7765256321361003</v>
      </c>
      <c r="J1999">
        <v>2.5587207334609259</v>
      </c>
      <c r="K1999">
        <v>2.116577175549943</v>
      </c>
      <c r="L1999">
        <v>0.75312491203975984</v>
      </c>
      <c r="M1999">
        <v>0.83457240954967771</v>
      </c>
      <c r="N1999">
        <v>3.514880645334125</v>
      </c>
      <c r="O1999">
        <v>2.2318957668026203</v>
      </c>
      <c r="P1999">
        <v>5.5654411006884636</v>
      </c>
      <c r="Q1999">
        <v>2.0498216955813704</v>
      </c>
      <c r="R1999">
        <v>3.7700974690572671</v>
      </c>
      <c r="S1999">
        <v>0.30386115043087775</v>
      </c>
      <c r="T1999">
        <v>0.66590006851393946</v>
      </c>
      <c r="U1999">
        <f>AVERAGE(G1999:T1999)</f>
        <v>2.3255594440895311</v>
      </c>
      <c r="V1999" t="str">
        <f t="shared" si="199"/>
        <v>2020/21Expenditure driversLegal &amp; SafetyDNO Actual</v>
      </c>
    </row>
    <row r="2000" spans="1:22">
      <c r="A2000" t="s">
        <v>142</v>
      </c>
      <c r="C2000" t="s">
        <v>1344</v>
      </c>
      <c r="D2000" t="s">
        <v>78</v>
      </c>
      <c r="E2000" t="s">
        <v>1349</v>
      </c>
      <c r="F2000" t="s">
        <v>1289</v>
      </c>
      <c r="G2000">
        <v>2.2796173214693289</v>
      </c>
      <c r="H2000">
        <v>1.5964554299999998</v>
      </c>
      <c r="I2000">
        <v>1.9972446100000003</v>
      </c>
      <c r="J2000">
        <v>1.3634999999999997</v>
      </c>
      <c r="K2000">
        <v>1.7958000000000001</v>
      </c>
      <c r="L2000">
        <v>0.70299999999999985</v>
      </c>
      <c r="M2000">
        <v>0.71609999999999996</v>
      </c>
      <c r="N2000">
        <v>1.9650924615295626</v>
      </c>
      <c r="O2000">
        <v>2.3067855418063594</v>
      </c>
      <c r="P2000">
        <v>4.2802876609790612</v>
      </c>
      <c r="Q2000">
        <v>1.8628881133114765</v>
      </c>
      <c r="R2000">
        <v>2.0536607813035381</v>
      </c>
      <c r="S2000">
        <v>0.19118770999999998</v>
      </c>
      <c r="T2000">
        <v>0.72722075999999991</v>
      </c>
      <c r="U2000">
        <f>AVERAGE(G2000:T2000)</f>
        <v>1.7027743135999522</v>
      </c>
      <c r="V2000" t="str">
        <f t="shared" ref="V2000" si="203">CONCATENATE(A2000,B2000,C2000,D2000,E2000)</f>
        <v>2021/22Expenditure driversLegal &amp; SafetyDNO Actual</v>
      </c>
    </row>
    <row r="2001" spans="1:22">
      <c r="A2001" t="s">
        <v>137</v>
      </c>
      <c r="C2001" t="s">
        <v>1344</v>
      </c>
      <c r="D2001" t="s">
        <v>78</v>
      </c>
      <c r="E2001" t="s">
        <v>297</v>
      </c>
      <c r="F2001" t="s">
        <v>1289</v>
      </c>
      <c r="G2001">
        <f t="array" ref="G2001:T2004">TRANSPOSE('Ch4 expenditure drivers'!AF514:AI527)</f>
        <v>6.4704180144030783</v>
      </c>
      <c r="H2001">
        <v>4.9434260032108268</v>
      </c>
      <c r="I2001">
        <v>11.201524745727298</v>
      </c>
      <c r="J2001">
        <v>1.7218286899265871</v>
      </c>
      <c r="K2001">
        <v>2.3321584178103421</v>
      </c>
      <c r="L2001">
        <v>0.28053518106997</v>
      </c>
      <c r="M2001">
        <v>0.80895066516526448</v>
      </c>
      <c r="N2001">
        <v>13.128533951491267</v>
      </c>
      <c r="O2001">
        <v>7.6136954357280899</v>
      </c>
      <c r="P2001">
        <v>8.8628758573628605</v>
      </c>
      <c r="Q2001">
        <v>4.1507264210757624</v>
      </c>
      <c r="R2001">
        <v>6.2587187140114482</v>
      </c>
      <c r="S2001">
        <v>0.72604531575465003</v>
      </c>
      <c r="T2001">
        <v>4.3231642582341676</v>
      </c>
      <c r="U2001">
        <f t="shared" si="202"/>
        <v>5.2016144050693995</v>
      </c>
      <c r="V2001" t="str">
        <f t="shared" si="199"/>
        <v>2015/16Expenditure driversLegal &amp; SafetyAllowance</v>
      </c>
    </row>
    <row r="2002" spans="1:22">
      <c r="A2002" t="s">
        <v>137</v>
      </c>
      <c r="C2002" t="s">
        <v>1344</v>
      </c>
      <c r="D2002" t="s">
        <v>78</v>
      </c>
      <c r="E2002" t="s">
        <v>298</v>
      </c>
      <c r="F2002" t="s">
        <v>1289</v>
      </c>
      <c r="G2002">
        <v>3.023369369313706</v>
      </c>
      <c r="H2002">
        <v>5.5198595708179958</v>
      </c>
      <c r="I2002">
        <v>8.1294728927480087</v>
      </c>
      <c r="J2002">
        <v>2.080919273955125</v>
      </c>
      <c r="K2002">
        <v>2.5522744754907816</v>
      </c>
      <c r="L2002">
        <v>1.0818381470360363</v>
      </c>
      <c r="M2002">
        <v>0.53492218800229729</v>
      </c>
      <c r="N2002">
        <v>3.8683775956229676</v>
      </c>
      <c r="O2002">
        <v>3.1294865965819105</v>
      </c>
      <c r="P2002">
        <v>3.2824704357489005</v>
      </c>
      <c r="Q2002">
        <v>1.153645749942628</v>
      </c>
      <c r="R2002">
        <v>3.7665782567664134</v>
      </c>
      <c r="S2002">
        <v>0.38428069970412398</v>
      </c>
      <c r="T2002">
        <v>1.9717759575690061</v>
      </c>
      <c r="U2002">
        <f t="shared" si="202"/>
        <v>2.891376514949993</v>
      </c>
      <c r="V2002" t="str">
        <f t="shared" si="199"/>
        <v>2015/16Expenditure driversLegal &amp; SafetyActual</v>
      </c>
    </row>
    <row r="2003" spans="1:22">
      <c r="A2003" t="s">
        <v>137</v>
      </c>
      <c r="C2003" t="s">
        <v>1344</v>
      </c>
      <c r="D2003" t="s">
        <v>78</v>
      </c>
      <c r="E2003" t="s">
        <v>602</v>
      </c>
      <c r="F2003" t="s">
        <v>1289</v>
      </c>
      <c r="G2003">
        <v>-3.4470486450893723</v>
      </c>
      <c r="H2003">
        <v>0.57643356760716902</v>
      </c>
      <c r="I2003">
        <v>-3.0720518529792891</v>
      </c>
      <c r="J2003">
        <v>0.35909058402853788</v>
      </c>
      <c r="K2003">
        <v>0.22011605768043951</v>
      </c>
      <c r="L2003">
        <v>0.80130296596606632</v>
      </c>
      <c r="M2003">
        <v>-0.27402847716296719</v>
      </c>
      <c r="N2003">
        <v>-9.2601563558683004</v>
      </c>
      <c r="O2003">
        <v>-4.484208839146179</v>
      </c>
      <c r="P2003">
        <v>-5.5804054216139605</v>
      </c>
      <c r="Q2003">
        <v>-2.9970806711331344</v>
      </c>
      <c r="R2003">
        <v>-2.4921404572450347</v>
      </c>
      <c r="S2003">
        <v>-0.34176461605052605</v>
      </c>
      <c r="T2003">
        <v>-2.3513883006651612</v>
      </c>
      <c r="U2003">
        <f>U2002-U2001</f>
        <v>-2.3102378901194065</v>
      </c>
      <c r="V2003" t="str">
        <f t="shared" si="199"/>
        <v>2015/16Expenditure driversLegal &amp; SafetyDifference</v>
      </c>
    </row>
    <row r="2004" spans="1:22">
      <c r="A2004" t="s">
        <v>137</v>
      </c>
      <c r="C2004" t="s">
        <v>1344</v>
      </c>
      <c r="D2004" t="s">
        <v>78</v>
      </c>
      <c r="E2004" t="s">
        <v>1346</v>
      </c>
      <c r="F2004" t="s">
        <v>606</v>
      </c>
      <c r="G2004" s="829">
        <v>-0.53273971440736601</v>
      </c>
      <c r="H2004" s="829">
        <v>0.11660608801118234</v>
      </c>
      <c r="I2004" s="829">
        <v>-0.2742530077569208</v>
      </c>
      <c r="J2004" s="829">
        <v>0.20855186472926543</v>
      </c>
      <c r="K2004" s="829">
        <v>9.4382978445823565E-2</v>
      </c>
      <c r="L2004" s="829">
        <v>2.8563368163303853</v>
      </c>
      <c r="M2004" s="829">
        <v>-0.33874559841913793</v>
      </c>
      <c r="N2004" s="829">
        <v>-0.70534580556242854</v>
      </c>
      <c r="O2004" s="829">
        <v>-0.58896614357642196</v>
      </c>
      <c r="P2004" s="829">
        <v>-0.62963822481819176</v>
      </c>
      <c r="Q2004" s="829">
        <v>-0.72206172295893389</v>
      </c>
      <c r="R2004" s="829">
        <v>-0.39818700458064332</v>
      </c>
      <c r="S2004" s="829">
        <v>-0.47072077821381797</v>
      </c>
      <c r="T2004" s="829">
        <v>-0.54390445521161057</v>
      </c>
      <c r="U2004" s="829">
        <f>U2003/U2001</f>
        <v>-0.44413862893564166</v>
      </c>
      <c r="V2004" t="str">
        <f t="shared" si="199"/>
        <v>2015/16Expenditure driversLegal &amp; SafetyDifference %</v>
      </c>
    </row>
    <row r="2005" spans="1:22">
      <c r="A2005" t="s">
        <v>138</v>
      </c>
      <c r="C2005" t="s">
        <v>1344</v>
      </c>
      <c r="D2005" t="s">
        <v>78</v>
      </c>
      <c r="E2005" t="s">
        <v>297</v>
      </c>
      <c r="F2005" t="s">
        <v>1289</v>
      </c>
      <c r="G2005">
        <f t="array" ref="G2005:T2008">TRANSPOSE('Ch4 expenditure drivers'!AK514:AN527)</f>
        <v>5.8783525753600285</v>
      </c>
      <c r="H2005">
        <v>4.3490107771466242</v>
      </c>
      <c r="I2005">
        <v>10.347662018050613</v>
      </c>
      <c r="J2005">
        <v>1.6616394361292404</v>
      </c>
      <c r="K2005">
        <v>2.3338014606813933</v>
      </c>
      <c r="L2005">
        <v>0.12471610782649116</v>
      </c>
      <c r="M2005">
        <v>0.18731816214126554</v>
      </c>
      <c r="N2005">
        <v>12.685147078810722</v>
      </c>
      <c r="O2005">
        <v>8.4160353005041895</v>
      </c>
      <c r="P2005">
        <v>9.1318559220888087</v>
      </c>
      <c r="Q2005">
        <v>4.1264611417855646</v>
      </c>
      <c r="R2005">
        <v>6.8216775336311217</v>
      </c>
      <c r="S2005">
        <v>0.71541257939783365</v>
      </c>
      <c r="T2005">
        <v>4.405125209396533</v>
      </c>
      <c r="U2005">
        <f t="shared" si="202"/>
        <v>5.0845868073536016</v>
      </c>
      <c r="V2005" t="str">
        <f t="shared" si="199"/>
        <v>2016/17Expenditure driversLegal &amp; SafetyAllowance</v>
      </c>
    </row>
    <row r="2006" spans="1:22">
      <c r="A2006" t="s">
        <v>138</v>
      </c>
      <c r="C2006" t="s">
        <v>1344</v>
      </c>
      <c r="D2006" t="s">
        <v>78</v>
      </c>
      <c r="E2006" t="s">
        <v>298</v>
      </c>
      <c r="F2006" t="s">
        <v>1289</v>
      </c>
      <c r="G2006">
        <v>4.0143435544029202</v>
      </c>
      <c r="H2006">
        <v>3.2414648991122572</v>
      </c>
      <c r="I2006">
        <v>6.1050676453635333</v>
      </c>
      <c r="J2006">
        <v>2.8803532710421442</v>
      </c>
      <c r="K2006">
        <v>2.8650884555005431</v>
      </c>
      <c r="L2006">
        <v>0.91354049933582882</v>
      </c>
      <c r="M2006">
        <v>0.45324759992754499</v>
      </c>
      <c r="N2006">
        <v>2.1694231105816413</v>
      </c>
      <c r="O2006">
        <v>3.0074561682082193</v>
      </c>
      <c r="P2006">
        <v>2.2144519482937097</v>
      </c>
      <c r="Q2006">
        <v>0.54166778464657017</v>
      </c>
      <c r="R2006">
        <v>5.0115574422895319</v>
      </c>
      <c r="S2006">
        <v>3.0122465025853606</v>
      </c>
      <c r="T2006">
        <v>3.55290769296258</v>
      </c>
      <c r="U2006">
        <f t="shared" si="202"/>
        <v>2.8559154695894557</v>
      </c>
      <c r="V2006" t="str">
        <f t="shared" si="199"/>
        <v>2016/17Expenditure driversLegal &amp; SafetyActual</v>
      </c>
    </row>
    <row r="2007" spans="1:22">
      <c r="A2007" t="s">
        <v>138</v>
      </c>
      <c r="C2007" t="s">
        <v>1344</v>
      </c>
      <c r="D2007" t="s">
        <v>78</v>
      </c>
      <c r="E2007" t="s">
        <v>602</v>
      </c>
      <c r="F2007" t="s">
        <v>1289</v>
      </c>
      <c r="G2007">
        <v>-1.8640090209571083</v>
      </c>
      <c r="H2007">
        <v>-1.107545878034367</v>
      </c>
      <c r="I2007">
        <v>-4.2425943726870798</v>
      </c>
      <c r="J2007">
        <v>1.2187138349129039</v>
      </c>
      <c r="K2007">
        <v>0.53128699481914987</v>
      </c>
      <c r="L2007">
        <v>0.7888243915093377</v>
      </c>
      <c r="M2007">
        <v>0.26592943778627942</v>
      </c>
      <c r="N2007">
        <v>-10.51572396822908</v>
      </c>
      <c r="O2007">
        <v>-5.4085791322959702</v>
      </c>
      <c r="P2007">
        <v>-6.917403973795099</v>
      </c>
      <c r="Q2007">
        <v>-3.5847933571389943</v>
      </c>
      <c r="R2007">
        <v>-1.8101200913415898</v>
      </c>
      <c r="S2007">
        <v>2.2968339231875268</v>
      </c>
      <c r="T2007">
        <v>-0.85221751643395294</v>
      </c>
      <c r="U2007">
        <f>U2006-U2005</f>
        <v>-2.2286713377641458</v>
      </c>
      <c r="V2007" t="str">
        <f t="shared" si="199"/>
        <v>2016/17Expenditure driversLegal &amp; SafetyDifference</v>
      </c>
    </row>
    <row r="2008" spans="1:22">
      <c r="A2008" t="s">
        <v>138</v>
      </c>
      <c r="C2008" t="s">
        <v>1344</v>
      </c>
      <c r="D2008" t="s">
        <v>78</v>
      </c>
      <c r="E2008" t="s">
        <v>1346</v>
      </c>
      <c r="F2008" t="s">
        <v>606</v>
      </c>
      <c r="G2008" s="829">
        <v>-0.31709717936456783</v>
      </c>
      <c r="H2008" s="829">
        <v>-0.2546661608323319</v>
      </c>
      <c r="I2008" s="829">
        <v>-0.41000511664241024</v>
      </c>
      <c r="J2008" s="829">
        <v>0.73344060595472871</v>
      </c>
      <c r="K2008" s="829">
        <v>0.22764875409068924</v>
      </c>
      <c r="L2008" s="829">
        <v>6.3249599851750835</v>
      </c>
      <c r="M2008" s="829">
        <v>1.4196671307597466</v>
      </c>
      <c r="N2008" s="829">
        <v>-0.82897927023601903</v>
      </c>
      <c r="O2008" s="829">
        <v>-0.64265166900760884</v>
      </c>
      <c r="P2008" s="829">
        <v>-0.75750253100936149</v>
      </c>
      <c r="Q2008" s="829">
        <v>-0.86873309452462588</v>
      </c>
      <c r="R2008" s="829">
        <v>-0.26534823471464769</v>
      </c>
      <c r="S2008" s="829">
        <v>3.2105025677921173</v>
      </c>
      <c r="T2008" s="829">
        <v>-0.1934604525238228</v>
      </c>
      <c r="U2008" s="829">
        <f>U2007/U2005</f>
        <v>-0.43831906548255251</v>
      </c>
      <c r="V2008" t="str">
        <f t="shared" si="199"/>
        <v>2016/17Expenditure driversLegal &amp; SafetyDifference %</v>
      </c>
    </row>
    <row r="2009" spans="1:22">
      <c r="A2009" t="s">
        <v>139</v>
      </c>
      <c r="C2009" t="s">
        <v>1344</v>
      </c>
      <c r="D2009" t="s">
        <v>78</v>
      </c>
      <c r="E2009" t="s">
        <v>297</v>
      </c>
      <c r="F2009" t="s">
        <v>1289</v>
      </c>
      <c r="G2009">
        <f t="array" ref="G2009:T2012">TRANSPOSE('Ch4 expenditure drivers'!AP514:AS527)</f>
        <v>6.2060046672466713</v>
      </c>
      <c r="H2009">
        <v>3.8958703025777339</v>
      </c>
      <c r="I2009">
        <v>9.5081408126392386</v>
      </c>
      <c r="J2009">
        <v>1.6559051831779326</v>
      </c>
      <c r="K2009">
        <v>2.2689670996054501</v>
      </c>
      <c r="L2009">
        <v>0.1243693358699345</v>
      </c>
      <c r="M2009">
        <v>0.18752902004627592</v>
      </c>
      <c r="N2009">
        <v>9.4445666004025561</v>
      </c>
      <c r="O2009">
        <v>6.7536276200045755</v>
      </c>
      <c r="P2009">
        <v>8.5446188733249926</v>
      </c>
      <c r="Q2009">
        <v>4.1024963518131532</v>
      </c>
      <c r="R2009">
        <v>6.3645766254905416</v>
      </c>
      <c r="S2009">
        <v>0.68605371086239475</v>
      </c>
      <c r="T2009">
        <v>4.2475354429056216</v>
      </c>
      <c r="U2009">
        <f t="shared" si="202"/>
        <v>4.5707329747119347</v>
      </c>
      <c r="V2009" t="str">
        <f t="shared" si="199"/>
        <v>2017/18Expenditure driversLegal &amp; SafetyAllowance</v>
      </c>
    </row>
    <row r="2010" spans="1:22">
      <c r="A2010" t="s">
        <v>139</v>
      </c>
      <c r="C2010" t="s">
        <v>1344</v>
      </c>
      <c r="D2010" t="s">
        <v>78</v>
      </c>
      <c r="E2010" t="s">
        <v>298</v>
      </c>
      <c r="F2010" t="s">
        <v>1289</v>
      </c>
      <c r="G2010">
        <v>3.9019674235615116</v>
      </c>
      <c r="H2010">
        <v>2.1920390219341206</v>
      </c>
      <c r="I2010">
        <v>4.4818160195019745</v>
      </c>
      <c r="J2010">
        <v>0.81041340375689308</v>
      </c>
      <c r="K2010">
        <v>2.8556885721768737</v>
      </c>
      <c r="L2010">
        <v>0.99377509566836897</v>
      </c>
      <c r="M2010">
        <v>0.60215074133892055</v>
      </c>
      <c r="N2010">
        <v>6.7264416068731832</v>
      </c>
      <c r="O2010">
        <v>5.4461078793381512</v>
      </c>
      <c r="P2010">
        <v>5.7766065097449015</v>
      </c>
      <c r="Q2010">
        <v>0.46164934577011191</v>
      </c>
      <c r="R2010">
        <v>3.557121669485884</v>
      </c>
      <c r="S2010">
        <v>2.1527055047065198</v>
      </c>
      <c r="T2010">
        <v>3.2782177360557716</v>
      </c>
      <c r="U2010">
        <f t="shared" si="202"/>
        <v>3.0883357521366563</v>
      </c>
      <c r="V2010" t="str">
        <f t="shared" si="199"/>
        <v>2017/18Expenditure driversLegal &amp; SafetyActual</v>
      </c>
    </row>
    <row r="2011" spans="1:22">
      <c r="A2011" t="s">
        <v>139</v>
      </c>
      <c r="C2011" t="s">
        <v>1344</v>
      </c>
      <c r="D2011" t="s">
        <v>78</v>
      </c>
      <c r="E2011" t="s">
        <v>602</v>
      </c>
      <c r="F2011" t="s">
        <v>1289</v>
      </c>
      <c r="G2011">
        <v>-2.3040372436851597</v>
      </c>
      <c r="H2011">
        <v>-1.7038312806436133</v>
      </c>
      <c r="I2011">
        <v>-5.0263247931372641</v>
      </c>
      <c r="J2011">
        <v>-0.84549177942103948</v>
      </c>
      <c r="K2011">
        <v>0.5867214725714236</v>
      </c>
      <c r="L2011">
        <v>0.86940575979843449</v>
      </c>
      <c r="M2011">
        <v>0.41462172129264463</v>
      </c>
      <c r="N2011">
        <v>-2.718124993529373</v>
      </c>
      <c r="O2011">
        <v>-1.3075197406664243</v>
      </c>
      <c r="P2011">
        <v>-2.7680123635800911</v>
      </c>
      <c r="Q2011">
        <v>-3.6408470060430411</v>
      </c>
      <c r="R2011">
        <v>-2.8074549560046576</v>
      </c>
      <c r="S2011">
        <v>1.466651793844125</v>
      </c>
      <c r="T2011">
        <v>-0.96931770684984997</v>
      </c>
      <c r="U2011">
        <f>U2010-U2009</f>
        <v>-1.4823972225752784</v>
      </c>
      <c r="V2011" t="str">
        <f t="shared" si="199"/>
        <v>2017/18Expenditure driversLegal &amp; SafetyDifference</v>
      </c>
    </row>
    <row r="2012" spans="1:22">
      <c r="A2012" t="s">
        <v>139</v>
      </c>
      <c r="C2012" t="s">
        <v>1344</v>
      </c>
      <c r="D2012" t="s">
        <v>78</v>
      </c>
      <c r="E2012" t="s">
        <v>1346</v>
      </c>
      <c r="F2012" t="s">
        <v>606</v>
      </c>
      <c r="G2012" s="829">
        <v>-0.37125934755497997</v>
      </c>
      <c r="H2012" s="829">
        <v>-0.43734291655352586</v>
      </c>
      <c r="I2012" s="829">
        <v>-0.52863381939566301</v>
      </c>
      <c r="J2012" s="829">
        <v>-0.5105919034557358</v>
      </c>
      <c r="K2012" s="829">
        <v>0.25858527110130791</v>
      </c>
      <c r="L2012" s="829">
        <v>6.9905154169807533</v>
      </c>
      <c r="M2012" s="829">
        <v>2.2109736465872309</v>
      </c>
      <c r="N2012" s="829">
        <v>-0.28779774748091863</v>
      </c>
      <c r="O2012" s="829">
        <v>-0.19360258134361552</v>
      </c>
      <c r="P2012" s="829">
        <v>-0.32394801975561566</v>
      </c>
      <c r="Q2012" s="829">
        <v>-0.88747111363887499</v>
      </c>
      <c r="R2012" s="829">
        <v>-0.44110631723100302</v>
      </c>
      <c r="S2012" s="829">
        <v>2.1378089945763716</v>
      </c>
      <c r="T2012" s="829">
        <v>-0.22820709088345276</v>
      </c>
      <c r="U2012" s="829">
        <f>U2011/U2009</f>
        <v>-0.32432374211681109</v>
      </c>
      <c r="V2012" t="str">
        <f t="shared" si="199"/>
        <v>2017/18Expenditure driversLegal &amp; SafetyDifference %</v>
      </c>
    </row>
    <row r="2013" spans="1:22">
      <c r="A2013" t="s">
        <v>140</v>
      </c>
      <c r="C2013" t="s">
        <v>1344</v>
      </c>
      <c r="D2013" t="s">
        <v>78</v>
      </c>
      <c r="E2013" t="s">
        <v>297</v>
      </c>
      <c r="F2013" t="s">
        <v>1289</v>
      </c>
      <c r="G2013">
        <f t="array" ref="G2013:T2016">TRANSPOSE('Ch4 expenditure drivers'!AU514:AX527)</f>
        <v>5.9628078594821838</v>
      </c>
      <c r="H2013">
        <v>3.8449743113741994</v>
      </c>
      <c r="I2013">
        <v>8.8090809083991033</v>
      </c>
      <c r="J2013">
        <v>1.6481079912854579</v>
      </c>
      <c r="K2013">
        <v>2.2733254812268759</v>
      </c>
      <c r="L2013">
        <v>0.125643720299941</v>
      </c>
      <c r="M2013">
        <v>0.18705189575408657</v>
      </c>
      <c r="N2013">
        <v>8.7267956516573797</v>
      </c>
      <c r="O2013">
        <v>6.5894603896406156</v>
      </c>
      <c r="P2013">
        <v>8.8190767280148652</v>
      </c>
      <c r="Q2013">
        <v>3.9583089756993104</v>
      </c>
      <c r="R2013">
        <v>5.9227833107251353</v>
      </c>
      <c r="S2013">
        <v>0.68177681823647984</v>
      </c>
      <c r="T2013">
        <v>4.0394104677811082</v>
      </c>
      <c r="U2013">
        <f>AVERAGE(G2013:T2013)</f>
        <v>4.3991860363983388</v>
      </c>
      <c r="V2013" t="str">
        <f t="shared" si="199"/>
        <v>2018/19Expenditure driversLegal &amp; SafetyAllowance</v>
      </c>
    </row>
    <row r="2014" spans="1:22">
      <c r="A2014" t="s">
        <v>140</v>
      </c>
      <c r="C2014" t="s">
        <v>1344</v>
      </c>
      <c r="D2014" t="s">
        <v>78</v>
      </c>
      <c r="E2014" t="s">
        <v>298</v>
      </c>
      <c r="F2014" t="s">
        <v>1289</v>
      </c>
      <c r="G2014">
        <v>3.7820029883307225</v>
      </c>
      <c r="H2014">
        <v>2.6827898606105847</v>
      </c>
      <c r="I2014">
        <v>3.8762599295127602</v>
      </c>
      <c r="J2014">
        <v>1.3520108786197356</v>
      </c>
      <c r="K2014">
        <v>1.5508037048018413</v>
      </c>
      <c r="L2014">
        <v>0.52389048667880889</v>
      </c>
      <c r="M2014">
        <v>0.81713736287009198</v>
      </c>
      <c r="N2014">
        <v>6.8705746989641572</v>
      </c>
      <c r="O2014">
        <v>4.4468060497262742</v>
      </c>
      <c r="P2014">
        <v>5.3081378342868488</v>
      </c>
      <c r="Q2014">
        <v>0.64838681254912944</v>
      </c>
      <c r="R2014">
        <v>5.5665883236854015</v>
      </c>
      <c r="S2014">
        <v>1.5081297155402023</v>
      </c>
      <c r="T2014">
        <v>4.7379510945722716</v>
      </c>
      <c r="U2014">
        <f>AVERAGE(G2014:T2014)</f>
        <v>3.1193906957677737</v>
      </c>
      <c r="V2014" t="str">
        <f t="shared" ref="V2014:V2086" si="204">CONCATENATE(A2014,B2014,C2014,D2014,E2014)</f>
        <v>2018/19Expenditure driversLegal &amp; SafetyActual</v>
      </c>
    </row>
    <row r="2015" spans="1:22">
      <c r="A2015" t="s">
        <v>140</v>
      </c>
      <c r="C2015" t="s">
        <v>1344</v>
      </c>
      <c r="D2015" t="s">
        <v>78</v>
      </c>
      <c r="E2015" t="s">
        <v>602</v>
      </c>
      <c r="F2015" t="s">
        <v>1289</v>
      </c>
      <c r="G2015">
        <v>-2.1808048711514614</v>
      </c>
      <c r="H2015">
        <v>-1.1621844507636148</v>
      </c>
      <c r="I2015">
        <v>-4.9328209788863431</v>
      </c>
      <c r="J2015">
        <v>-0.29609711266572236</v>
      </c>
      <c r="K2015">
        <v>-0.72252177642503468</v>
      </c>
      <c r="L2015">
        <v>0.39824676637886791</v>
      </c>
      <c r="M2015">
        <v>0.63008546711600544</v>
      </c>
      <c r="N2015">
        <v>-1.8562209526932225</v>
      </c>
      <c r="O2015">
        <v>-2.1426543399143414</v>
      </c>
      <c r="P2015">
        <v>-3.5109388937280164</v>
      </c>
      <c r="Q2015">
        <v>-3.3099221631501807</v>
      </c>
      <c r="R2015">
        <v>-0.35619498703973385</v>
      </c>
      <c r="S2015">
        <v>0.82635289730372241</v>
      </c>
      <c r="T2015">
        <v>0.69854062679116335</v>
      </c>
      <c r="U2015">
        <f>U2014-U2013</f>
        <v>-1.2797953406305651</v>
      </c>
      <c r="V2015" t="str">
        <f t="shared" si="204"/>
        <v>2018/19Expenditure driversLegal &amp; SafetyDifference</v>
      </c>
    </row>
    <row r="2016" spans="1:22">
      <c r="A2016" t="s">
        <v>140</v>
      </c>
      <c r="C2016" t="s">
        <v>1344</v>
      </c>
      <c r="D2016" t="s">
        <v>78</v>
      </c>
      <c r="E2016" t="s">
        <v>1346</v>
      </c>
      <c r="F2016" t="s">
        <v>606</v>
      </c>
      <c r="G2016" s="829">
        <v>-0.36573455367734165</v>
      </c>
      <c r="H2016" s="829">
        <v>-0.30226065420662024</v>
      </c>
      <c r="I2016" s="829">
        <v>-0.55996999348514298</v>
      </c>
      <c r="J2016" s="829">
        <v>-0.17965880526723163</v>
      </c>
      <c r="K2016" s="829">
        <v>-0.31782592611204169</v>
      </c>
      <c r="L2016" s="829">
        <v>3.1696511805616674</v>
      </c>
      <c r="M2016" s="829">
        <v>3.3685061815378035</v>
      </c>
      <c r="N2016" s="829">
        <v>-0.21270361158745499</v>
      </c>
      <c r="O2016" s="829">
        <v>-0.32516385458251462</v>
      </c>
      <c r="P2016" s="829">
        <v>-0.39810730782907172</v>
      </c>
      <c r="Q2016" s="829">
        <v>-0.83619600780796055</v>
      </c>
      <c r="R2016" s="829">
        <v>-6.0139797178587709E-2</v>
      </c>
      <c r="S2016" s="829">
        <v>1.2120577807869894</v>
      </c>
      <c r="T2016" s="829">
        <v>0.17293133054014173</v>
      </c>
      <c r="U2016" s="829">
        <f>U2015/U2013</f>
        <v>-0.29091639454246571</v>
      </c>
      <c r="V2016" t="str">
        <f t="shared" si="204"/>
        <v>2018/19Expenditure driversLegal &amp; SafetyDifference %</v>
      </c>
    </row>
    <row r="2017" spans="1:22">
      <c r="A2017" t="s">
        <v>141</v>
      </c>
      <c r="C2017" t="s">
        <v>1344</v>
      </c>
      <c r="D2017" t="s">
        <v>78</v>
      </c>
      <c r="E2017" t="s">
        <v>297</v>
      </c>
      <c r="F2017" t="s">
        <v>1289</v>
      </c>
      <c r="G2017" s="229">
        <f t="array" ref="G2017:T2020">TRANSPOSE('Ch4 expenditure drivers'!AZ514:BC527)</f>
        <v>6.1482608538792025</v>
      </c>
      <c r="H2017" s="229">
        <v>3.5958435192996574</v>
      </c>
      <c r="I2017" s="229">
        <v>7.6197270156848234</v>
      </c>
      <c r="J2017" s="229">
        <v>1.65204929422364</v>
      </c>
      <c r="K2017" s="229">
        <v>2.2768740466671069</v>
      </c>
      <c r="L2017" s="229">
        <v>0.21880603015107206</v>
      </c>
      <c r="M2017" s="229">
        <v>0.18896622504816846</v>
      </c>
      <c r="N2017" s="229">
        <v>8.8686812495691463</v>
      </c>
      <c r="O2017" s="229">
        <v>6.3396891910335054</v>
      </c>
      <c r="P2017" s="229">
        <v>8.7328586483366717</v>
      </c>
      <c r="Q2017" s="229">
        <v>3.8523315683646366</v>
      </c>
      <c r="R2017" s="229">
        <v>5.7910359037253674</v>
      </c>
      <c r="S2017" s="229">
        <v>0.68237704790585896</v>
      </c>
      <c r="T2017" s="229">
        <v>3.5708826393690063</v>
      </c>
      <c r="U2017" s="229">
        <f>AVERAGE(G2017:T2017)</f>
        <v>4.2527416595184189</v>
      </c>
      <c r="V2017" t="str">
        <f t="shared" si="204"/>
        <v>2019/20Expenditure driversLegal &amp; SafetyAllowance</v>
      </c>
    </row>
    <row r="2018" spans="1:22">
      <c r="A2018" t="s">
        <v>141</v>
      </c>
      <c r="C2018" t="s">
        <v>1344</v>
      </c>
      <c r="D2018" t="s">
        <v>78</v>
      </c>
      <c r="E2018" t="s">
        <v>298</v>
      </c>
      <c r="F2018" t="s">
        <v>1289</v>
      </c>
      <c r="G2018" s="229">
        <v>3.6438555631584157</v>
      </c>
      <c r="H2018" s="229">
        <v>3.1103032361925713</v>
      </c>
      <c r="I2018" s="229">
        <v>3.9649421053452678</v>
      </c>
      <c r="J2018" s="229">
        <v>2.8798832240350674</v>
      </c>
      <c r="K2018" s="229">
        <v>1.3639298243199536</v>
      </c>
      <c r="L2018" s="229">
        <v>0.67554138080525183</v>
      </c>
      <c r="M2018" s="229">
        <v>0.44429425203514983</v>
      </c>
      <c r="N2018" s="229">
        <v>3.5311883598441267</v>
      </c>
      <c r="O2018" s="229">
        <v>2.2904262057908915</v>
      </c>
      <c r="P2018" s="229">
        <v>3.9745183711999892</v>
      </c>
      <c r="Q2018" s="229">
        <v>0.70183687142763829</v>
      </c>
      <c r="R2018" s="229">
        <v>3.3358300253035416</v>
      </c>
      <c r="S2018" s="229">
        <v>0.3839807292035563</v>
      </c>
      <c r="T2018" s="229">
        <v>5.5094894149557154</v>
      </c>
      <c r="U2018" s="229">
        <f>AVERAGE(G2018:T2018)</f>
        <v>2.5578585402583665</v>
      </c>
      <c r="V2018" t="str">
        <f t="shared" si="204"/>
        <v>2019/20Expenditure driversLegal &amp; SafetyActual</v>
      </c>
    </row>
    <row r="2019" spans="1:22">
      <c r="A2019" t="s">
        <v>141</v>
      </c>
      <c r="C2019" t="s">
        <v>1344</v>
      </c>
      <c r="D2019" t="s">
        <v>78</v>
      </c>
      <c r="E2019" t="s">
        <v>602</v>
      </c>
      <c r="F2019" t="s">
        <v>1289</v>
      </c>
      <c r="G2019" s="229">
        <v>-2.5044052907207868</v>
      </c>
      <c r="H2019" s="229">
        <v>-0.48554028310708608</v>
      </c>
      <c r="I2019" s="229">
        <v>-3.6547849103395555</v>
      </c>
      <c r="J2019" s="229">
        <v>1.2278339298114274</v>
      </c>
      <c r="K2019" s="229">
        <v>-0.91294422234715333</v>
      </c>
      <c r="L2019" s="229">
        <v>0.45673535065417981</v>
      </c>
      <c r="M2019" s="229">
        <v>0.25532802698698137</v>
      </c>
      <c r="N2019" s="229">
        <v>-5.33749288972502</v>
      </c>
      <c r="O2019" s="229">
        <v>-4.0492629852426134</v>
      </c>
      <c r="P2019" s="229">
        <v>-4.7583402771366821</v>
      </c>
      <c r="Q2019" s="229">
        <v>-3.1504946969369985</v>
      </c>
      <c r="R2019" s="229">
        <v>-2.4552058784218258</v>
      </c>
      <c r="S2019" s="229">
        <v>-0.29839631870230265</v>
      </c>
      <c r="T2019" s="229">
        <v>1.9386067755867091</v>
      </c>
      <c r="U2019" s="229">
        <f>U2018-U2017</f>
        <v>-1.6948831192600524</v>
      </c>
      <c r="V2019" t="str">
        <f t="shared" si="204"/>
        <v>2019/20Expenditure driversLegal &amp; SafetyDifference</v>
      </c>
    </row>
    <row r="2020" spans="1:22">
      <c r="A2020" t="s">
        <v>141</v>
      </c>
      <c r="C2020" t="s">
        <v>1344</v>
      </c>
      <c r="D2020" t="s">
        <v>78</v>
      </c>
      <c r="E2020" t="s">
        <v>1346</v>
      </c>
      <c r="F2020" t="s">
        <v>606</v>
      </c>
      <c r="G2020" s="829">
        <v>-0.40733556207860788</v>
      </c>
      <c r="H2020" s="829">
        <v>-0.1350282014501154</v>
      </c>
      <c r="I2020" s="829">
        <v>-0.47964774890443784</v>
      </c>
      <c r="J2020" s="829">
        <v>0.74321870061899853</v>
      </c>
      <c r="K2020" s="829">
        <v>-0.40096386696643277</v>
      </c>
      <c r="L2020" s="829">
        <v>2.0873983698659138</v>
      </c>
      <c r="M2020" s="829">
        <v>1.3511834028641729</v>
      </c>
      <c r="N2020" s="829">
        <v>-0.60183613995421514</v>
      </c>
      <c r="O2020" s="829">
        <v>-0.63871632555262492</v>
      </c>
      <c r="P2020" s="829">
        <v>-0.54487773920891214</v>
      </c>
      <c r="Q2020" s="829">
        <v>-0.81781504032749264</v>
      </c>
      <c r="R2020" s="829">
        <v>-0.42396661309635369</v>
      </c>
      <c r="S2020" s="829">
        <v>-0.43728950089697266</v>
      </c>
      <c r="T2020" s="829">
        <v>0.5428928843008044</v>
      </c>
      <c r="U2020" s="829">
        <f>U2019/U2017</f>
        <v>-0.39853893204789242</v>
      </c>
      <c r="V2020" t="str">
        <f t="shared" si="204"/>
        <v>2019/20Expenditure driversLegal &amp; SafetyDifference %</v>
      </c>
    </row>
    <row r="2021" spans="1:22">
      <c r="A2021" t="s">
        <v>126</v>
      </c>
      <c r="C2021" t="s">
        <v>1344</v>
      </c>
      <c r="D2021" t="s">
        <v>78</v>
      </c>
      <c r="E2021" t="s">
        <v>297</v>
      </c>
      <c r="F2021" t="s">
        <v>1289</v>
      </c>
      <c r="G2021" s="229" cm="1">
        <f t="array" ref="G2021:T2024">TRANSPOSE('Ch4 expenditure drivers'!BE514:BH527)</f>
        <v>6.1547375438156964</v>
      </c>
      <c r="H2021" s="229">
        <v>3.2165394580785098</v>
      </c>
      <c r="I2021" s="229">
        <v>7.3630979712594984</v>
      </c>
      <c r="J2021" s="229">
        <v>1.6566410867463524</v>
      </c>
      <c r="K2021" s="229">
        <v>2.2803344462238297</v>
      </c>
      <c r="L2021" s="229">
        <v>0.12466139558191154</v>
      </c>
      <c r="M2021" s="229">
        <v>0.18724138117584427</v>
      </c>
      <c r="N2021" s="229">
        <v>8.6555400552519117</v>
      </c>
      <c r="O2021" s="229">
        <v>6.1736880749619942</v>
      </c>
      <c r="P2021" s="229">
        <v>7.9937990583330478</v>
      </c>
      <c r="Q2021" s="229">
        <v>3.7591230713320192</v>
      </c>
      <c r="R2021" s="229">
        <v>5.7995378871179186</v>
      </c>
      <c r="S2021" s="229">
        <v>0.67710582442582423</v>
      </c>
      <c r="T2021" s="229">
        <v>3.1472329377046391</v>
      </c>
      <c r="U2021" s="229">
        <f>AVERAGE(G2021:T2021)</f>
        <v>4.0849485851434997</v>
      </c>
      <c r="V2021" t="str">
        <f t="shared" si="204"/>
        <v>2020/21Expenditure driversLegal &amp; SafetyAllowance</v>
      </c>
    </row>
    <row r="2022" spans="1:22">
      <c r="A2022" t="s">
        <v>126</v>
      </c>
      <c r="C2022" t="s">
        <v>1344</v>
      </c>
      <c r="D2022" t="s">
        <v>78</v>
      </c>
      <c r="E2022" t="s">
        <v>298</v>
      </c>
      <c r="F2022" t="s">
        <v>1289</v>
      </c>
      <c r="G2022" s="229">
        <v>3.4746407951040892</v>
      </c>
      <c r="H2022" s="229">
        <v>1.9417726630042802</v>
      </c>
      <c r="I2022" s="229">
        <v>2.7765256321361003</v>
      </c>
      <c r="J2022" s="229">
        <v>2.5587207334609259</v>
      </c>
      <c r="K2022" s="229">
        <v>2.116577175549943</v>
      </c>
      <c r="L2022" s="229">
        <v>0.75312491203975984</v>
      </c>
      <c r="M2022" s="229">
        <v>0.83457240954967771</v>
      </c>
      <c r="N2022" s="229">
        <v>3.514880645334125</v>
      </c>
      <c r="O2022" s="229">
        <v>2.2318957668026203</v>
      </c>
      <c r="P2022" s="229">
        <v>5.5654411006884636</v>
      </c>
      <c r="Q2022" s="229">
        <v>2.0498216955813704</v>
      </c>
      <c r="R2022" s="229">
        <v>3.7700974690572671</v>
      </c>
      <c r="S2022" s="229">
        <v>0.30386115043087775</v>
      </c>
      <c r="T2022" s="229">
        <v>0.66590006851393946</v>
      </c>
      <c r="U2022" s="229">
        <f>AVERAGE(G2022:T2022)</f>
        <v>2.3255594440895311</v>
      </c>
      <c r="V2022" t="str">
        <f t="shared" si="204"/>
        <v>2020/21Expenditure driversLegal &amp; SafetyActual</v>
      </c>
    </row>
    <row r="2023" spans="1:22">
      <c r="A2023" t="s">
        <v>126</v>
      </c>
      <c r="C2023" t="s">
        <v>1344</v>
      </c>
      <c r="D2023" t="s">
        <v>78</v>
      </c>
      <c r="E2023" t="s">
        <v>602</v>
      </c>
      <c r="F2023" t="s">
        <v>1289</v>
      </c>
      <c r="G2023" s="229">
        <v>-2.6800967487116072</v>
      </c>
      <c r="H2023" s="229">
        <v>-1.2747667950742296</v>
      </c>
      <c r="I2023" s="229">
        <v>-4.5865723391233981</v>
      </c>
      <c r="J2023" s="229">
        <v>0.90207964671457352</v>
      </c>
      <c r="K2023" s="229">
        <v>-0.16375727067388679</v>
      </c>
      <c r="L2023" s="229">
        <v>0.62846351645784826</v>
      </c>
      <c r="M2023" s="229">
        <v>0.64733102837383338</v>
      </c>
      <c r="N2023" s="229">
        <v>-5.1406594099177862</v>
      </c>
      <c r="O2023" s="229">
        <v>-3.941792308159374</v>
      </c>
      <c r="P2023" s="229">
        <v>-2.4283579576445842</v>
      </c>
      <c r="Q2023" s="229">
        <v>-1.7093013757506488</v>
      </c>
      <c r="R2023" s="229">
        <v>-2.0294404180606516</v>
      </c>
      <c r="S2023" s="229">
        <v>-0.37324467399494649</v>
      </c>
      <c r="T2023" s="229">
        <v>-2.4813328691906995</v>
      </c>
      <c r="U2023" s="229">
        <f>U2022-U2021</f>
        <v>-1.7593891410539686</v>
      </c>
      <c r="V2023" t="str">
        <f t="shared" si="204"/>
        <v>2020/21Expenditure driversLegal &amp; SafetyDifference</v>
      </c>
    </row>
    <row r="2024" spans="1:22">
      <c r="A2024" t="s">
        <v>126</v>
      </c>
      <c r="C2024" t="s">
        <v>1344</v>
      </c>
      <c r="D2024" t="s">
        <v>78</v>
      </c>
      <c r="E2024" t="s">
        <v>1346</v>
      </c>
      <c r="F2024" t="s">
        <v>606</v>
      </c>
      <c r="G2024" s="829">
        <v>-0.43545264597100142</v>
      </c>
      <c r="H2024" s="829">
        <v>-0.39631623105775526</v>
      </c>
      <c r="I2024" s="829">
        <v>-0.62291339284445779</v>
      </c>
      <c r="J2024" s="829">
        <v>0.54452328505642733</v>
      </c>
      <c r="K2024" s="829">
        <v>-7.1812830326298968E-2</v>
      </c>
      <c r="L2024" s="829">
        <v>5.0413643576202576</v>
      </c>
      <c r="M2024" s="829">
        <v>3.4572006695779738</v>
      </c>
      <c r="N2024" s="829">
        <v>-0.59391550118222769</v>
      </c>
      <c r="O2024" s="829">
        <v>-0.63848258290627036</v>
      </c>
      <c r="P2024" s="829">
        <v>-0.30378021012589368</v>
      </c>
      <c r="Q2024" s="829">
        <v>-0.45470747919539906</v>
      </c>
      <c r="R2024" s="829">
        <v>-0.34993140101187997</v>
      </c>
      <c r="S2024" s="829">
        <v>-0.5512353616385629</v>
      </c>
      <c r="T2024" s="829">
        <v>-0.78841729173068509</v>
      </c>
      <c r="U2024" s="829">
        <f>U2023/U2021</f>
        <v>-0.43070043707592054</v>
      </c>
      <c r="V2024" t="str">
        <f t="shared" si="204"/>
        <v>2020/21Expenditure driversLegal &amp; SafetyDifference %</v>
      </c>
    </row>
    <row r="2025" spans="1:22">
      <c r="A2025" t="s">
        <v>142</v>
      </c>
      <c r="C2025" t="s">
        <v>1344</v>
      </c>
      <c r="D2025" t="s">
        <v>78</v>
      </c>
      <c r="E2025" t="s">
        <v>297</v>
      </c>
      <c r="F2025" t="s">
        <v>1289</v>
      </c>
      <c r="G2025" s="229" cm="1">
        <f t="array" ref="G2025:T2028">TRANSPOSE('Ch4 expenditure drivers'!BJ514:BM527)</f>
        <v>6.1042763735621213</v>
      </c>
      <c r="H2025" s="229">
        <v>2.9434636434097623</v>
      </c>
      <c r="I2025" s="229">
        <v>6.4740067800988701</v>
      </c>
      <c r="J2025" s="229">
        <v>1.6603833083901822</v>
      </c>
      <c r="K2025" s="229">
        <v>2.2847135343442053</v>
      </c>
      <c r="L2025" s="229">
        <v>0.1246782190883365</v>
      </c>
      <c r="M2025" s="229">
        <v>0.18794741034247381</v>
      </c>
      <c r="N2025" s="229">
        <v>6.5153668749830445</v>
      </c>
      <c r="O2025" s="229">
        <v>5.7529504441228472</v>
      </c>
      <c r="P2025" s="229">
        <v>7.7063238406884693</v>
      </c>
      <c r="Q2025" s="229">
        <v>3.409426537579062</v>
      </c>
      <c r="R2025" s="229">
        <v>5.0160507029920014</v>
      </c>
      <c r="S2025" s="229">
        <v>0.67738609245033821</v>
      </c>
      <c r="T2025" s="229">
        <v>3.0816817929426161</v>
      </c>
      <c r="U2025" s="229">
        <f>AVERAGE(G2025:T2025)</f>
        <v>3.7099039682138808</v>
      </c>
      <c r="V2025" t="str">
        <f t="shared" ref="V2025:V2028" si="205">CONCATENATE(A2025,B2025,C2025,D2025,E2025)</f>
        <v>2021/22Expenditure driversLegal &amp; SafetyAllowance</v>
      </c>
    </row>
    <row r="2026" spans="1:22">
      <c r="A2026" t="s">
        <v>142</v>
      </c>
      <c r="C2026" t="s">
        <v>1344</v>
      </c>
      <c r="D2026" t="s">
        <v>78</v>
      </c>
      <c r="E2026" t="s">
        <v>298</v>
      </c>
      <c r="F2026" t="s">
        <v>1289</v>
      </c>
      <c r="G2026" s="229">
        <v>2.2796173214693289</v>
      </c>
      <c r="H2026" s="229">
        <v>1.5964554299999998</v>
      </c>
      <c r="I2026" s="229">
        <v>1.9972446100000003</v>
      </c>
      <c r="J2026" s="229">
        <v>1.3634999999999997</v>
      </c>
      <c r="K2026" s="229">
        <v>1.7958000000000001</v>
      </c>
      <c r="L2026" s="229">
        <v>0.70299999999999985</v>
      </c>
      <c r="M2026" s="229">
        <v>0.71609999999999996</v>
      </c>
      <c r="N2026" s="229">
        <v>1.9650924615295626</v>
      </c>
      <c r="O2026" s="229">
        <v>2.3067855418063594</v>
      </c>
      <c r="P2026" s="229">
        <v>4.2802876609790612</v>
      </c>
      <c r="Q2026" s="229">
        <v>1.8628881133114765</v>
      </c>
      <c r="R2026" s="229">
        <v>2.0536607813035381</v>
      </c>
      <c r="S2026" s="229">
        <v>0.19118770999999998</v>
      </c>
      <c r="T2026" s="229">
        <v>0.72722075999999991</v>
      </c>
      <c r="U2026" s="229">
        <f>AVERAGE(G2026:T2026)</f>
        <v>1.7027743135999522</v>
      </c>
      <c r="V2026" t="str">
        <f t="shared" si="205"/>
        <v>2021/22Expenditure driversLegal &amp; SafetyActual</v>
      </c>
    </row>
    <row r="2027" spans="1:22">
      <c r="A2027" t="s">
        <v>142</v>
      </c>
      <c r="C2027" t="s">
        <v>1344</v>
      </c>
      <c r="D2027" t="s">
        <v>78</v>
      </c>
      <c r="E2027" t="s">
        <v>602</v>
      </c>
      <c r="F2027" t="s">
        <v>1289</v>
      </c>
      <c r="G2027" s="229">
        <v>-3.8246590520927923</v>
      </c>
      <c r="H2027" s="229">
        <v>-1.3470082134097625</v>
      </c>
      <c r="I2027" s="229">
        <v>-4.47676217009887</v>
      </c>
      <c r="J2027" s="229">
        <v>-0.29688330839018251</v>
      </c>
      <c r="K2027" s="229">
        <v>-0.48891353434420526</v>
      </c>
      <c r="L2027" s="229">
        <v>0.57832178091166331</v>
      </c>
      <c r="M2027" s="229">
        <v>0.52815258965752609</v>
      </c>
      <c r="N2027" s="229">
        <v>-4.550274413453482</v>
      </c>
      <c r="O2027" s="229">
        <v>-3.4461649023164878</v>
      </c>
      <c r="P2027" s="229">
        <v>-3.4260361797094081</v>
      </c>
      <c r="Q2027" s="229">
        <v>-1.5465384242675855</v>
      </c>
      <c r="R2027" s="229">
        <v>-2.9623899216884633</v>
      </c>
      <c r="S2027" s="229">
        <v>-0.4861983824503382</v>
      </c>
      <c r="T2027" s="229">
        <v>-2.3544610329426163</v>
      </c>
      <c r="U2027" s="229">
        <f>U2026-U2025</f>
        <v>-2.0071296546139283</v>
      </c>
      <c r="V2027" t="str">
        <f t="shared" si="205"/>
        <v>2021/22Expenditure driversLegal &amp; SafetyDifference</v>
      </c>
    </row>
    <row r="2028" spans="1:22">
      <c r="A2028" t="s">
        <v>142</v>
      </c>
      <c r="C2028" t="s">
        <v>1344</v>
      </c>
      <c r="D2028" t="s">
        <v>78</v>
      </c>
      <c r="E2028" t="s">
        <v>1346</v>
      </c>
      <c r="F2028" t="s">
        <v>606</v>
      </c>
      <c r="G2028" s="829">
        <v>-0.62655404474436183</v>
      </c>
      <c r="H2028" s="829">
        <v>-0.45762692412581102</v>
      </c>
      <c r="I2028" s="829">
        <v>-0.69149791190526089</v>
      </c>
      <c r="J2028" s="829">
        <v>-0.17880407908823445</v>
      </c>
      <c r="K2028" s="829">
        <v>-0.21399336371705829</v>
      </c>
      <c r="L2028" s="829">
        <v>4.6385149318014651</v>
      </c>
      <c r="M2028" s="829">
        <v>2.810108363265754</v>
      </c>
      <c r="N2028" s="829">
        <v>-0.69839112681821525</v>
      </c>
      <c r="O2028" s="829">
        <v>-0.59902565401672336</v>
      </c>
      <c r="P2028" s="829">
        <v>-0.44457464421886173</v>
      </c>
      <c r="Q2028" s="829">
        <v>-0.45360661308330724</v>
      </c>
      <c r="R2028" s="829">
        <v>-0.59058213265696069</v>
      </c>
      <c r="S2028" s="829">
        <v>-0.71775666472807498</v>
      </c>
      <c r="T2028" s="829">
        <v>-0.76401821834252526</v>
      </c>
      <c r="U2028" s="829">
        <f>U2027/U2025</f>
        <v>-0.54101930179617375</v>
      </c>
      <c r="V2028" t="str">
        <f t="shared" si="205"/>
        <v>2021/22Expenditure driversLegal &amp; SafetyDifference %</v>
      </c>
    </row>
    <row r="2029" spans="1:22">
      <c r="A2029" t="s">
        <v>137</v>
      </c>
      <c r="C2029" t="s">
        <v>1344</v>
      </c>
      <c r="D2029" t="s">
        <v>80</v>
      </c>
      <c r="E2029" t="s">
        <v>1347</v>
      </c>
      <c r="F2029" t="s">
        <v>1289</v>
      </c>
      <c r="G2029">
        <f t="array" ref="G2029:T2036">TRANSPOSE('Ch4 expenditure drivers'!E534:L547)</f>
        <v>0</v>
      </c>
      <c r="H2029">
        <v>0</v>
      </c>
      <c r="I2029">
        <v>0</v>
      </c>
      <c r="J2029">
        <v>3.4959439981092184</v>
      </c>
      <c r="K2029">
        <v>1.9453688481155429</v>
      </c>
      <c r="L2029">
        <v>0.64764423077212963</v>
      </c>
      <c r="M2029">
        <v>0.64754522635272915</v>
      </c>
      <c r="N2029">
        <v>0</v>
      </c>
      <c r="O2029">
        <v>0</v>
      </c>
      <c r="P2029">
        <v>0</v>
      </c>
      <c r="Q2029">
        <v>0</v>
      </c>
      <c r="R2029">
        <v>0</v>
      </c>
      <c r="S2029">
        <v>3.5392631991383645</v>
      </c>
      <c r="T2029">
        <v>0</v>
      </c>
      <c r="U2029">
        <f>AVERAGE(G2029:T2029)</f>
        <v>0.73398325017771326</v>
      </c>
      <c r="V2029" t="str">
        <f t="shared" si="204"/>
        <v>2015/16Expenditure driversQoS &amp; North of Scotland ResilienceBPDT</v>
      </c>
    </row>
    <row r="2030" spans="1:22">
      <c r="A2030" t="s">
        <v>138</v>
      </c>
      <c r="C2030" t="s">
        <v>1344</v>
      </c>
      <c r="D2030" t="s">
        <v>80</v>
      </c>
      <c r="E2030" t="s">
        <v>1347</v>
      </c>
      <c r="F2030" t="s">
        <v>1289</v>
      </c>
      <c r="G2030">
        <v>0</v>
      </c>
      <c r="H2030">
        <v>0</v>
      </c>
      <c r="I2030">
        <v>0</v>
      </c>
      <c r="J2030">
        <v>3.4993603741845289</v>
      </c>
      <c r="K2030">
        <v>1.9455756221855491</v>
      </c>
      <c r="L2030">
        <v>0.6483514559269945</v>
      </c>
      <c r="M2030">
        <v>0.64811365949715838</v>
      </c>
      <c r="N2030">
        <v>0</v>
      </c>
      <c r="O2030">
        <v>0</v>
      </c>
      <c r="P2030">
        <v>0</v>
      </c>
      <c r="Q2030">
        <v>0</v>
      </c>
      <c r="R2030">
        <v>0</v>
      </c>
      <c r="S2030">
        <v>1.823327916019198</v>
      </c>
      <c r="T2030">
        <v>0</v>
      </c>
      <c r="U2030">
        <f t="shared" ref="U2030:U2061" si="206">AVERAGE(G2030:T2030)</f>
        <v>0.6117663591295307</v>
      </c>
      <c r="V2030" t="str">
        <f t="shared" si="204"/>
        <v>2016/17Expenditure driversQoS &amp; North of Scotland ResilienceBPDT</v>
      </c>
    </row>
    <row r="2031" spans="1:22">
      <c r="A2031" t="s">
        <v>139</v>
      </c>
      <c r="C2031" t="s">
        <v>1344</v>
      </c>
      <c r="D2031" t="s">
        <v>80</v>
      </c>
      <c r="E2031" t="s">
        <v>1347</v>
      </c>
      <c r="F2031" t="s">
        <v>1289</v>
      </c>
      <c r="G2031">
        <v>0</v>
      </c>
      <c r="H2031">
        <v>0</v>
      </c>
      <c r="I2031">
        <v>0</v>
      </c>
      <c r="J2031">
        <v>3.494561277581373</v>
      </c>
      <c r="K2031">
        <v>1.9420809224517703</v>
      </c>
      <c r="L2031">
        <v>0.64842490850586654</v>
      </c>
      <c r="M2031">
        <v>0.64830714024774061</v>
      </c>
      <c r="N2031">
        <v>0</v>
      </c>
      <c r="O2031">
        <v>0</v>
      </c>
      <c r="P2031">
        <v>0</v>
      </c>
      <c r="Q2031">
        <v>0</v>
      </c>
      <c r="R2031">
        <v>0</v>
      </c>
      <c r="S2031">
        <v>1.859121618585782</v>
      </c>
      <c r="T2031">
        <v>0</v>
      </c>
      <c r="U2031">
        <f t="shared" si="206"/>
        <v>0.61374970481232372</v>
      </c>
      <c r="V2031" t="str">
        <f t="shared" si="204"/>
        <v>2017/18Expenditure driversQoS &amp; North of Scotland ResilienceBPDT</v>
      </c>
    </row>
    <row r="2032" spans="1:22">
      <c r="A2032" t="s">
        <v>140</v>
      </c>
      <c r="C2032" t="s">
        <v>1344</v>
      </c>
      <c r="D2032" t="s">
        <v>80</v>
      </c>
      <c r="E2032" t="s">
        <v>1347</v>
      </c>
      <c r="F2032" t="s">
        <v>1289</v>
      </c>
      <c r="G2032">
        <v>0</v>
      </c>
      <c r="H2032">
        <v>0</v>
      </c>
      <c r="I2032">
        <v>0</v>
      </c>
      <c r="J2032">
        <v>3.5025558866408617</v>
      </c>
      <c r="K2032">
        <v>1.9465425882407974</v>
      </c>
      <c r="L2032">
        <v>0.64895641043291874</v>
      </c>
      <c r="M2032">
        <v>0.64870806104561951</v>
      </c>
      <c r="N2032">
        <v>0</v>
      </c>
      <c r="O2032">
        <v>0</v>
      </c>
      <c r="P2032">
        <v>0</v>
      </c>
      <c r="Q2032">
        <v>0</v>
      </c>
      <c r="R2032">
        <v>0</v>
      </c>
      <c r="S2032">
        <v>1.8953071396945336</v>
      </c>
      <c r="T2032">
        <v>0</v>
      </c>
      <c r="U2032">
        <f t="shared" si="206"/>
        <v>0.61729072043248068</v>
      </c>
      <c r="V2032" t="str">
        <f t="shared" si="204"/>
        <v>2018/19Expenditure driversQoS &amp; North of Scotland ResilienceBPDT</v>
      </c>
    </row>
    <row r="2033" spans="1:22">
      <c r="A2033" t="s">
        <v>141</v>
      </c>
      <c r="C2033" t="s">
        <v>1344</v>
      </c>
      <c r="D2033" t="s">
        <v>80</v>
      </c>
      <c r="E2033" t="s">
        <v>1347</v>
      </c>
      <c r="F2033" t="s">
        <v>1289</v>
      </c>
      <c r="G2033">
        <v>0</v>
      </c>
      <c r="H2033">
        <v>0</v>
      </c>
      <c r="I2033">
        <v>0</v>
      </c>
      <c r="J2033">
        <v>3.5109654086368005</v>
      </c>
      <c r="K2033">
        <v>1.950896332365772</v>
      </c>
      <c r="L2033">
        <v>0.65149284690078102</v>
      </c>
      <c r="M2033">
        <v>0.65166636226445263</v>
      </c>
      <c r="N2033">
        <v>0</v>
      </c>
      <c r="O2033">
        <v>0</v>
      </c>
      <c r="P2033">
        <v>0</v>
      </c>
      <c r="Q2033">
        <v>0</v>
      </c>
      <c r="R2033">
        <v>0</v>
      </c>
      <c r="S2033">
        <v>1.9522799632375822</v>
      </c>
      <c r="T2033">
        <v>0</v>
      </c>
      <c r="U2033">
        <f t="shared" si="206"/>
        <v>0.6226643509575277</v>
      </c>
      <c r="V2033" t="str">
        <f t="shared" si="204"/>
        <v>2019/20Expenditure driversQoS &amp; North of Scotland ResilienceBPDT</v>
      </c>
    </row>
    <row r="2034" spans="1:22">
      <c r="A2034" t="s">
        <v>126</v>
      </c>
      <c r="C2034" t="s">
        <v>1344</v>
      </c>
      <c r="D2034" t="s">
        <v>80</v>
      </c>
      <c r="E2034" t="s">
        <v>1347</v>
      </c>
      <c r="F2034" t="s">
        <v>1289</v>
      </c>
      <c r="G2034">
        <v>0</v>
      </c>
      <c r="H2034">
        <v>0</v>
      </c>
      <c r="I2034">
        <v>0</v>
      </c>
      <c r="J2034">
        <v>3.523259773234261</v>
      </c>
      <c r="K2034">
        <v>1.9561061676211506</v>
      </c>
      <c r="L2034">
        <v>0.6530694894832948</v>
      </c>
      <c r="M2034">
        <v>0.65325321470874298</v>
      </c>
      <c r="N2034">
        <v>0</v>
      </c>
      <c r="O2034">
        <v>0</v>
      </c>
      <c r="P2034">
        <v>0</v>
      </c>
      <c r="Q2034">
        <v>0</v>
      </c>
      <c r="R2034">
        <v>0</v>
      </c>
      <c r="S2034">
        <v>1.7867300153160426</v>
      </c>
      <c r="T2034">
        <v>0</v>
      </c>
      <c r="U2034">
        <f t="shared" si="206"/>
        <v>0.61231561859739236</v>
      </c>
      <c r="V2034" t="str">
        <f t="shared" si="204"/>
        <v>2020/21Expenditure driversQoS &amp; North of Scotland ResilienceBPDT</v>
      </c>
    </row>
    <row r="2035" spans="1:22">
      <c r="A2035" t="s">
        <v>142</v>
      </c>
      <c r="C2035" t="s">
        <v>1344</v>
      </c>
      <c r="D2035" t="s">
        <v>80</v>
      </c>
      <c r="E2035" t="s">
        <v>1347</v>
      </c>
      <c r="F2035" t="s">
        <v>1289</v>
      </c>
      <c r="G2035">
        <v>0</v>
      </c>
      <c r="H2035">
        <v>0</v>
      </c>
      <c r="I2035">
        <v>0</v>
      </c>
      <c r="J2035">
        <v>0</v>
      </c>
      <c r="K2035">
        <v>0</v>
      </c>
      <c r="L2035">
        <v>0</v>
      </c>
      <c r="M2035">
        <v>0</v>
      </c>
      <c r="N2035">
        <v>0</v>
      </c>
      <c r="O2035">
        <v>0</v>
      </c>
      <c r="P2035">
        <v>0</v>
      </c>
      <c r="Q2035">
        <v>0</v>
      </c>
      <c r="R2035">
        <v>0</v>
      </c>
      <c r="S2035">
        <v>1.8441487174146221</v>
      </c>
      <c r="T2035">
        <v>0</v>
      </c>
      <c r="U2035">
        <f t="shared" si="206"/>
        <v>0.13172490838675871</v>
      </c>
      <c r="V2035" t="str">
        <f t="shared" si="204"/>
        <v>2021/22Expenditure driversQoS &amp; North of Scotland ResilienceBPDT</v>
      </c>
    </row>
    <row r="2036" spans="1:22">
      <c r="A2036" t="s">
        <v>143</v>
      </c>
      <c r="C2036" t="s">
        <v>1344</v>
      </c>
      <c r="D2036" t="s">
        <v>80</v>
      </c>
      <c r="E2036" t="s">
        <v>1347</v>
      </c>
      <c r="F2036" t="s">
        <v>1289</v>
      </c>
      <c r="G2036">
        <v>0</v>
      </c>
      <c r="H2036">
        <v>0</v>
      </c>
      <c r="I2036">
        <v>0</v>
      </c>
      <c r="J2036">
        <v>0</v>
      </c>
      <c r="K2036">
        <v>0</v>
      </c>
      <c r="L2036">
        <v>0</v>
      </c>
      <c r="M2036">
        <v>0</v>
      </c>
      <c r="N2036">
        <v>0</v>
      </c>
      <c r="O2036">
        <v>0</v>
      </c>
      <c r="P2036">
        <v>0</v>
      </c>
      <c r="Q2036">
        <v>0</v>
      </c>
      <c r="R2036">
        <v>0</v>
      </c>
      <c r="S2036">
        <v>1.7786549377235208</v>
      </c>
      <c r="T2036">
        <v>0</v>
      </c>
      <c r="U2036">
        <f t="shared" si="206"/>
        <v>0.12704678126596577</v>
      </c>
      <c r="V2036" t="str">
        <f t="shared" si="204"/>
        <v>2022/23Expenditure driversQoS &amp; North of Scotland ResilienceBPDT</v>
      </c>
    </row>
    <row r="2037" spans="1:22">
      <c r="A2037" t="s">
        <v>137</v>
      </c>
      <c r="C2037" t="s">
        <v>1344</v>
      </c>
      <c r="D2037" t="s">
        <v>80</v>
      </c>
      <c r="E2037" t="s">
        <v>1348</v>
      </c>
      <c r="F2037" t="s">
        <v>1289</v>
      </c>
      <c r="G2037">
        <f t="array" ref="G2037:T2044">TRANSPOSE('Ch4 expenditure drivers'!N534:U547)</f>
        <v>0</v>
      </c>
      <c r="H2037">
        <v>0</v>
      </c>
      <c r="I2037">
        <v>0</v>
      </c>
      <c r="J2037">
        <v>3.4959439981092184</v>
      </c>
      <c r="K2037">
        <v>1.9453688481155429</v>
      </c>
      <c r="L2037">
        <v>0.64764423077212963</v>
      </c>
      <c r="M2037">
        <v>0.64754522635272915</v>
      </c>
      <c r="N2037">
        <v>0</v>
      </c>
      <c r="O2037">
        <v>0</v>
      </c>
      <c r="P2037">
        <v>0</v>
      </c>
      <c r="Q2037">
        <v>0</v>
      </c>
      <c r="R2037">
        <v>0</v>
      </c>
      <c r="S2037">
        <v>3.2035708773516789</v>
      </c>
      <c r="T2037">
        <v>0</v>
      </c>
      <c r="U2037">
        <f t="shared" si="206"/>
        <v>0.71000522719294989</v>
      </c>
      <c r="V2037" t="str">
        <f t="shared" si="204"/>
        <v>2015/16Expenditure driversQoS &amp; North of Scotland ResilienceDNO Baseline</v>
      </c>
    </row>
    <row r="2038" spans="1:22">
      <c r="A2038" t="s">
        <v>138</v>
      </c>
      <c r="C2038" t="s">
        <v>1344</v>
      </c>
      <c r="D2038" t="s">
        <v>80</v>
      </c>
      <c r="E2038" t="s">
        <v>1348</v>
      </c>
      <c r="F2038" t="s">
        <v>1289</v>
      </c>
      <c r="G2038">
        <v>0</v>
      </c>
      <c r="H2038">
        <v>0</v>
      </c>
      <c r="I2038">
        <v>0</v>
      </c>
      <c r="J2038">
        <v>3.4993603741845289</v>
      </c>
      <c r="K2038">
        <v>1.9455756221855491</v>
      </c>
      <c r="L2038">
        <v>0.6483514559269945</v>
      </c>
      <c r="M2038">
        <v>0.64811365949715838</v>
      </c>
      <c r="N2038">
        <v>0</v>
      </c>
      <c r="O2038">
        <v>0</v>
      </c>
      <c r="P2038">
        <v>0</v>
      </c>
      <c r="Q2038">
        <v>0</v>
      </c>
      <c r="R2038">
        <v>0</v>
      </c>
      <c r="S2038">
        <v>2.7283727495070513</v>
      </c>
      <c r="T2038">
        <v>0</v>
      </c>
      <c r="U2038">
        <f t="shared" si="206"/>
        <v>0.67641241866437729</v>
      </c>
      <c r="V2038" t="str">
        <f t="shared" si="204"/>
        <v>2016/17Expenditure driversQoS &amp; North of Scotland ResilienceDNO Baseline</v>
      </c>
    </row>
    <row r="2039" spans="1:22">
      <c r="A2039" t="s">
        <v>139</v>
      </c>
      <c r="C2039" t="s">
        <v>1344</v>
      </c>
      <c r="D2039" t="s">
        <v>80</v>
      </c>
      <c r="E2039" t="s">
        <v>1348</v>
      </c>
      <c r="F2039" t="s">
        <v>1289</v>
      </c>
      <c r="G2039">
        <v>0</v>
      </c>
      <c r="H2039">
        <v>0</v>
      </c>
      <c r="I2039">
        <v>0</v>
      </c>
      <c r="J2039">
        <v>3.494561277581373</v>
      </c>
      <c r="K2039">
        <v>1.9420809224517703</v>
      </c>
      <c r="L2039">
        <v>0.64842490850586654</v>
      </c>
      <c r="M2039">
        <v>0.64830714024774061</v>
      </c>
      <c r="N2039">
        <v>0</v>
      </c>
      <c r="O2039">
        <v>0</v>
      </c>
      <c r="P2039">
        <v>0</v>
      </c>
      <c r="Q2039">
        <v>0</v>
      </c>
      <c r="R2039">
        <v>0</v>
      </c>
      <c r="S2039">
        <v>2.6040215515655105</v>
      </c>
      <c r="T2039">
        <v>0</v>
      </c>
      <c r="U2039">
        <f t="shared" si="206"/>
        <v>0.66695684288230428</v>
      </c>
      <c r="V2039" t="str">
        <f t="shared" si="204"/>
        <v>2017/18Expenditure driversQoS &amp; North of Scotland ResilienceDNO Baseline</v>
      </c>
    </row>
    <row r="2040" spans="1:22">
      <c r="A2040" t="s">
        <v>140</v>
      </c>
      <c r="C2040" t="s">
        <v>1344</v>
      </c>
      <c r="D2040" t="s">
        <v>80</v>
      </c>
      <c r="E2040" t="s">
        <v>1348</v>
      </c>
      <c r="F2040" t="s">
        <v>1289</v>
      </c>
      <c r="G2040">
        <v>0</v>
      </c>
      <c r="H2040">
        <v>0</v>
      </c>
      <c r="I2040">
        <v>0</v>
      </c>
      <c r="J2040">
        <v>3.5025558866408617</v>
      </c>
      <c r="K2040">
        <v>1.9465425882407974</v>
      </c>
      <c r="L2040">
        <v>0.64895641043291874</v>
      </c>
      <c r="M2040">
        <v>0.64870806104561951</v>
      </c>
      <c r="N2040">
        <v>0</v>
      </c>
      <c r="O2040">
        <v>0</v>
      </c>
      <c r="P2040">
        <v>0</v>
      </c>
      <c r="Q2040">
        <v>0</v>
      </c>
      <c r="R2040">
        <v>0</v>
      </c>
      <c r="S2040">
        <v>2.6007495802904348</v>
      </c>
      <c r="T2040">
        <v>0</v>
      </c>
      <c r="U2040">
        <f t="shared" si="206"/>
        <v>0.66767946618933094</v>
      </c>
      <c r="V2040" t="str">
        <f t="shared" si="204"/>
        <v>2018/19Expenditure driversQoS &amp; North of Scotland ResilienceDNO Baseline</v>
      </c>
    </row>
    <row r="2041" spans="1:22">
      <c r="A2041" t="s">
        <v>141</v>
      </c>
      <c r="C2041" t="s">
        <v>1344</v>
      </c>
      <c r="D2041" t="s">
        <v>80</v>
      </c>
      <c r="E2041" t="s">
        <v>1348</v>
      </c>
      <c r="F2041" t="s">
        <v>1289</v>
      </c>
      <c r="G2041">
        <v>0</v>
      </c>
      <c r="H2041">
        <v>0</v>
      </c>
      <c r="I2041">
        <v>0</v>
      </c>
      <c r="J2041">
        <v>3.5109654086368005</v>
      </c>
      <c r="K2041">
        <v>1.950896332365772</v>
      </c>
      <c r="L2041">
        <v>0.65149284690078102</v>
      </c>
      <c r="M2041">
        <v>0.65166636226445263</v>
      </c>
      <c r="N2041">
        <v>0</v>
      </c>
      <c r="O2041">
        <v>0</v>
      </c>
      <c r="P2041">
        <v>0</v>
      </c>
      <c r="Q2041">
        <v>0</v>
      </c>
      <c r="R2041">
        <v>0</v>
      </c>
      <c r="S2041">
        <v>2.6201309467406495</v>
      </c>
      <c r="T2041">
        <v>0</v>
      </c>
      <c r="U2041">
        <f t="shared" si="206"/>
        <v>0.6703679926363183</v>
      </c>
      <c r="V2041" t="str">
        <f t="shared" si="204"/>
        <v>2019/20Expenditure driversQoS &amp; North of Scotland ResilienceDNO Baseline</v>
      </c>
    </row>
    <row r="2042" spans="1:22">
      <c r="A2042" t="s">
        <v>126</v>
      </c>
      <c r="C2042" t="s">
        <v>1344</v>
      </c>
      <c r="D2042" t="s">
        <v>80</v>
      </c>
      <c r="E2042" t="s">
        <v>1348</v>
      </c>
      <c r="F2042" t="s">
        <v>1289</v>
      </c>
      <c r="G2042">
        <v>0</v>
      </c>
      <c r="H2042">
        <v>0</v>
      </c>
      <c r="I2042">
        <v>0</v>
      </c>
      <c r="J2042">
        <v>3.523259773234261</v>
      </c>
      <c r="K2042">
        <v>1.9561061676211506</v>
      </c>
      <c r="L2042">
        <v>0.6530694894832948</v>
      </c>
      <c r="M2042">
        <v>0.65325321470874298</v>
      </c>
      <c r="N2042">
        <v>0</v>
      </c>
      <c r="O2042">
        <v>0</v>
      </c>
      <c r="P2042">
        <v>0</v>
      </c>
      <c r="Q2042">
        <v>0</v>
      </c>
      <c r="R2042">
        <v>0</v>
      </c>
      <c r="S2042">
        <v>2.557076982309666</v>
      </c>
      <c r="T2042">
        <v>0</v>
      </c>
      <c r="U2042">
        <f t="shared" si="206"/>
        <v>0.66734040195407973</v>
      </c>
      <c r="V2042" t="str">
        <f t="shared" si="204"/>
        <v>2020/21Expenditure driversQoS &amp; North of Scotland ResilienceDNO Baseline</v>
      </c>
    </row>
    <row r="2043" spans="1:22">
      <c r="A2043" t="s">
        <v>142</v>
      </c>
      <c r="C2043" t="s">
        <v>1344</v>
      </c>
      <c r="D2043" t="s">
        <v>80</v>
      </c>
      <c r="E2043" t="s">
        <v>1348</v>
      </c>
      <c r="F2043" t="s">
        <v>1289</v>
      </c>
      <c r="G2043">
        <v>0</v>
      </c>
      <c r="H2043">
        <v>0</v>
      </c>
      <c r="I2043">
        <v>0</v>
      </c>
      <c r="J2043">
        <v>0</v>
      </c>
      <c r="K2043">
        <v>0</v>
      </c>
      <c r="L2043">
        <v>0</v>
      </c>
      <c r="M2043">
        <v>0</v>
      </c>
      <c r="N2043">
        <v>0</v>
      </c>
      <c r="O2043">
        <v>0</v>
      </c>
      <c r="P2043">
        <v>0</v>
      </c>
      <c r="Q2043">
        <v>0</v>
      </c>
      <c r="R2043">
        <v>0</v>
      </c>
      <c r="S2043">
        <v>2.5749957063264959</v>
      </c>
      <c r="T2043">
        <v>0</v>
      </c>
      <c r="U2043">
        <f t="shared" si="206"/>
        <v>0.18392826473760684</v>
      </c>
      <c r="V2043" t="str">
        <f t="shared" si="204"/>
        <v>2021/22Expenditure driversQoS &amp; North of Scotland ResilienceDNO Baseline</v>
      </c>
    </row>
    <row r="2044" spans="1:22">
      <c r="A2044" t="s">
        <v>143</v>
      </c>
      <c r="C2044" t="s">
        <v>1344</v>
      </c>
      <c r="D2044" t="s">
        <v>80</v>
      </c>
      <c r="E2044" t="s">
        <v>1348</v>
      </c>
      <c r="F2044" t="s">
        <v>1289</v>
      </c>
      <c r="G2044">
        <v>0</v>
      </c>
      <c r="H2044">
        <v>0</v>
      </c>
      <c r="I2044">
        <v>0</v>
      </c>
      <c r="J2044">
        <v>0</v>
      </c>
      <c r="K2044">
        <v>0</v>
      </c>
      <c r="L2044">
        <v>0</v>
      </c>
      <c r="M2044">
        <v>0</v>
      </c>
      <c r="N2044">
        <v>0</v>
      </c>
      <c r="O2044">
        <v>0</v>
      </c>
      <c r="P2044">
        <v>0</v>
      </c>
      <c r="Q2044">
        <v>0</v>
      </c>
      <c r="R2044">
        <v>0</v>
      </c>
      <c r="S2044">
        <v>2.4967184559761577</v>
      </c>
      <c r="T2044">
        <v>0</v>
      </c>
      <c r="U2044">
        <f t="shared" si="206"/>
        <v>0.17833703256972555</v>
      </c>
      <c r="V2044" t="str">
        <f t="shared" si="204"/>
        <v>2022/23Expenditure driversQoS &amp; North of Scotland ResilienceDNO Baseline</v>
      </c>
    </row>
    <row r="2045" spans="1:22">
      <c r="A2045" t="s">
        <v>137</v>
      </c>
      <c r="C2045" t="s">
        <v>1344</v>
      </c>
      <c r="D2045" t="s">
        <v>80</v>
      </c>
      <c r="E2045" t="s">
        <v>1349</v>
      </c>
      <c r="F2045" t="s">
        <v>1289</v>
      </c>
      <c r="G2045" cm="1">
        <f t="array" ref="G2045:T2051">TRANSPOSE('Ch4 expenditure drivers'!W534:AC547)</f>
        <v>7.1710637494586607</v>
      </c>
      <c r="H2045">
        <v>2.0667242210192529</v>
      </c>
      <c r="I2045">
        <v>1.0747736469649425</v>
      </c>
      <c r="J2045">
        <v>7.1278981239857693</v>
      </c>
      <c r="K2045">
        <v>5.0014025201111654</v>
      </c>
      <c r="L2045">
        <v>2.011355401972764</v>
      </c>
      <c r="M2045">
        <v>2.5618694923159353</v>
      </c>
      <c r="N2045">
        <v>0.15706010130915701</v>
      </c>
      <c r="O2045">
        <v>0.62143319475987735</v>
      </c>
      <c r="P2045">
        <v>1.3579010696333165</v>
      </c>
      <c r="Q2045">
        <v>2.081049052438706</v>
      </c>
      <c r="R2045">
        <v>2.4466227654710955</v>
      </c>
      <c r="S2045">
        <v>6.4898295051130734</v>
      </c>
      <c r="T2045">
        <v>3.8452029926801914</v>
      </c>
      <c r="U2045">
        <f t="shared" si="206"/>
        <v>3.1438704169452794</v>
      </c>
      <c r="V2045" t="str">
        <f t="shared" si="204"/>
        <v>2015/16Expenditure driversQoS &amp; North of Scotland ResilienceDNO Actual</v>
      </c>
    </row>
    <row r="2046" spans="1:22">
      <c r="A2046" t="s">
        <v>138</v>
      </c>
      <c r="C2046" t="s">
        <v>1344</v>
      </c>
      <c r="D2046" t="s">
        <v>80</v>
      </c>
      <c r="E2046" t="s">
        <v>1349</v>
      </c>
      <c r="F2046" t="s">
        <v>1289</v>
      </c>
      <c r="G2046">
        <v>2.1432721472602214</v>
      </c>
      <c r="H2046">
        <v>3.4061054459518423</v>
      </c>
      <c r="I2046">
        <v>1.2119744849585661</v>
      </c>
      <c r="J2046">
        <v>3.7023048771283658</v>
      </c>
      <c r="K2046">
        <v>3.2678447424827919</v>
      </c>
      <c r="L2046">
        <v>2.8380814741577103</v>
      </c>
      <c r="M2046">
        <v>2.0419626328341987</v>
      </c>
      <c r="N2046">
        <v>0.17952320315633125</v>
      </c>
      <c r="O2046">
        <v>0.48759579848743462</v>
      </c>
      <c r="P2046">
        <v>0.46828732914569982</v>
      </c>
      <c r="Q2046">
        <v>4.6975506118121908</v>
      </c>
      <c r="R2046">
        <v>3.4878792043951194</v>
      </c>
      <c r="S2046">
        <v>2.511191026863075</v>
      </c>
      <c r="T2046">
        <v>7.5711058450357749</v>
      </c>
      <c r="U2046">
        <f t="shared" si="206"/>
        <v>2.7153342016906659</v>
      </c>
      <c r="V2046" t="str">
        <f t="shared" si="204"/>
        <v>2016/17Expenditure driversQoS &amp; North of Scotland ResilienceDNO Actual</v>
      </c>
    </row>
    <row r="2047" spans="1:22">
      <c r="A2047" t="s">
        <v>139</v>
      </c>
      <c r="C2047" t="s">
        <v>1344</v>
      </c>
      <c r="D2047" t="s">
        <v>80</v>
      </c>
      <c r="E2047" t="s">
        <v>1349</v>
      </c>
      <c r="F2047" t="s">
        <v>1289</v>
      </c>
      <c r="G2047">
        <v>6.1611293897601955</v>
      </c>
      <c r="H2047">
        <v>2.4443811653107996</v>
      </c>
      <c r="I2047">
        <v>1.249708329537156</v>
      </c>
      <c r="J2047">
        <v>2.2082633390079587</v>
      </c>
      <c r="K2047">
        <v>2.0135830241389847</v>
      </c>
      <c r="L2047">
        <v>2.5976239687459071</v>
      </c>
      <c r="M2047">
        <v>2.1335604274884687</v>
      </c>
      <c r="N2047">
        <v>0.92786097726822281</v>
      </c>
      <c r="O2047">
        <v>1.8870619077607969</v>
      </c>
      <c r="P2047">
        <v>2.362185208881955</v>
      </c>
      <c r="Q2047">
        <v>0.65714302415291737</v>
      </c>
      <c r="R2047">
        <v>0.76231505932096377</v>
      </c>
      <c r="S2047">
        <v>4.0293542323798501</v>
      </c>
      <c r="T2047">
        <v>6.1882278319856834</v>
      </c>
      <c r="U2047">
        <f t="shared" si="206"/>
        <v>2.5444569918385613</v>
      </c>
      <c r="V2047" t="str">
        <f t="shared" si="204"/>
        <v>2017/18Expenditure driversQoS &amp; North of Scotland ResilienceDNO Actual</v>
      </c>
    </row>
    <row r="2048" spans="1:22">
      <c r="A2048" t="s">
        <v>140</v>
      </c>
      <c r="C2048" t="s">
        <v>1344</v>
      </c>
      <c r="D2048" t="s">
        <v>80</v>
      </c>
      <c r="E2048" t="s">
        <v>1349</v>
      </c>
      <c r="F2048" t="s">
        <v>1289</v>
      </c>
      <c r="G2048">
        <v>12.652856184578097</v>
      </c>
      <c r="H2048">
        <v>2.9093795880891506</v>
      </c>
      <c r="I2048">
        <v>1.2370952593796893</v>
      </c>
      <c r="J2048">
        <v>1.2784245838451436</v>
      </c>
      <c r="K2048">
        <v>1.4783157129343329</v>
      </c>
      <c r="L2048">
        <v>1.9604706891439705</v>
      </c>
      <c r="M2048">
        <v>0.60845981052423515</v>
      </c>
      <c r="N2048">
        <v>1.641713618310719</v>
      </c>
      <c r="O2048">
        <v>3.8278340151537575</v>
      </c>
      <c r="P2048">
        <v>3.2088724366732948</v>
      </c>
      <c r="Q2048">
        <v>0.29683280250409033</v>
      </c>
      <c r="R2048">
        <v>0.12813089728146645</v>
      </c>
      <c r="S2048">
        <v>9.7703382674353012</v>
      </c>
      <c r="T2048">
        <v>3.3709045168746385</v>
      </c>
      <c r="U2048">
        <f>AVERAGE(G2048:T2048)</f>
        <v>3.1692591701948492</v>
      </c>
      <c r="V2048" t="str">
        <f t="shared" si="204"/>
        <v>2018/19Expenditure driversQoS &amp; North of Scotland ResilienceDNO Actual</v>
      </c>
    </row>
    <row r="2049" spans="1:22">
      <c r="A2049" t="s">
        <v>141</v>
      </c>
      <c r="C2049" t="s">
        <v>1344</v>
      </c>
      <c r="D2049" t="s">
        <v>80</v>
      </c>
      <c r="E2049" t="s">
        <v>1349</v>
      </c>
      <c r="F2049" t="s">
        <v>1289</v>
      </c>
      <c r="G2049">
        <v>8.1613608904631683</v>
      </c>
      <c r="H2049">
        <v>6.0161595275384885</v>
      </c>
      <c r="I2049">
        <v>2.7153322604989274</v>
      </c>
      <c r="J2049">
        <v>0.98280029727293383</v>
      </c>
      <c r="K2049">
        <v>1.396047481093579</v>
      </c>
      <c r="L2049">
        <v>1.1166238671630393</v>
      </c>
      <c r="M2049">
        <v>0.68624726639646028</v>
      </c>
      <c r="N2049">
        <v>3.4544838174080779</v>
      </c>
      <c r="O2049">
        <v>1.8739395204583018</v>
      </c>
      <c r="P2049">
        <v>2.4908611483807608</v>
      </c>
      <c r="Q2049">
        <v>1.171460088421705</v>
      </c>
      <c r="R2049">
        <v>0.23348758940238853</v>
      </c>
      <c r="S2049">
        <v>7.4846463613333256</v>
      </c>
      <c r="T2049">
        <v>6.0214688772286875</v>
      </c>
      <c r="U2049">
        <f>AVERAGE(G2049:T2049)</f>
        <v>3.1289227852185602</v>
      </c>
      <c r="V2049" t="str">
        <f t="shared" si="204"/>
        <v>2019/20Expenditure driversQoS &amp; North of Scotland ResilienceDNO Actual</v>
      </c>
    </row>
    <row r="2050" spans="1:22">
      <c r="A2050" t="s">
        <v>126</v>
      </c>
      <c r="C2050" t="s">
        <v>1344</v>
      </c>
      <c r="D2050" t="s">
        <v>80</v>
      </c>
      <c r="E2050" t="s">
        <v>1349</v>
      </c>
      <c r="F2050" t="s">
        <v>1289</v>
      </c>
      <c r="G2050">
        <v>1.2167703106529644</v>
      </c>
      <c r="H2050">
        <v>3.1035228221752282</v>
      </c>
      <c r="I2050">
        <v>1.4613620032599852</v>
      </c>
      <c r="J2050">
        <v>0.70235244605955138</v>
      </c>
      <c r="K2050">
        <v>1.7558811151488782</v>
      </c>
      <c r="L2050">
        <v>0.96785013274772524</v>
      </c>
      <c r="M2050">
        <v>0.86630520078730799</v>
      </c>
      <c r="N2050">
        <v>2.6296121487671238</v>
      </c>
      <c r="O2050">
        <v>2.7196299049923067</v>
      </c>
      <c r="P2050">
        <v>1.1396572944335275</v>
      </c>
      <c r="Q2050">
        <v>2.9211528851170141</v>
      </c>
      <c r="R2050">
        <v>1.1724160826920362</v>
      </c>
      <c r="S2050">
        <v>10.26916145652558</v>
      </c>
      <c r="T2050">
        <v>0.51055791149014007</v>
      </c>
      <c r="U2050">
        <f>AVERAGE(G2050:T2050)</f>
        <v>2.2454451224892402</v>
      </c>
      <c r="V2050" t="str">
        <f t="shared" si="204"/>
        <v>2020/21Expenditure driversQoS &amp; North of Scotland ResilienceDNO Actual</v>
      </c>
    </row>
    <row r="2051" spans="1:22">
      <c r="A2051" t="s">
        <v>142</v>
      </c>
      <c r="C2051" t="s">
        <v>1344</v>
      </c>
      <c r="D2051" t="s">
        <v>80</v>
      </c>
      <c r="E2051" t="s">
        <v>1349</v>
      </c>
      <c r="F2051" t="s">
        <v>1289</v>
      </c>
      <c r="G2051">
        <v>6.1540024071581012</v>
      </c>
      <c r="H2051">
        <v>3.0495810900000002</v>
      </c>
      <c r="I2051">
        <v>3.7489108099999995</v>
      </c>
      <c r="J2051">
        <v>0.75729999999999997</v>
      </c>
      <c r="K2051">
        <v>1.3548999999999998</v>
      </c>
      <c r="L2051">
        <v>0.86980000000000013</v>
      </c>
      <c r="M2051">
        <v>1.0881000000000001</v>
      </c>
      <c r="N2051">
        <v>1.8065759681209663</v>
      </c>
      <c r="O2051">
        <v>1.5937564551798791</v>
      </c>
      <c r="P2051">
        <v>1.1638322706991675</v>
      </c>
      <c r="Q2051">
        <v>2.3355431987011479</v>
      </c>
      <c r="R2051">
        <v>0.79219787789388862</v>
      </c>
      <c r="S2051">
        <v>5.5518092099999992</v>
      </c>
      <c r="T2051">
        <v>0.25251544999999997</v>
      </c>
      <c r="U2051">
        <f>AVERAGE(G2051:T2051)</f>
        <v>2.1799160526966537</v>
      </c>
      <c r="V2051" t="str">
        <f t="shared" ref="V2051" si="207">CONCATENATE(A2051,B2051,C2051,D2051,E2051)</f>
        <v>2021/22Expenditure driversQoS &amp; North of Scotland ResilienceDNO Actual</v>
      </c>
    </row>
    <row r="2052" spans="1:22">
      <c r="A2052" t="s">
        <v>137</v>
      </c>
      <c r="C2052" t="s">
        <v>1344</v>
      </c>
      <c r="D2052" t="s">
        <v>80</v>
      </c>
      <c r="E2052" t="s">
        <v>297</v>
      </c>
      <c r="F2052" t="s">
        <v>1289</v>
      </c>
      <c r="G2052">
        <f t="array" ref="G2052:T2055">TRANSPOSE('Ch4 expenditure drivers'!AF534:AI547)</f>
        <v>0</v>
      </c>
      <c r="H2052">
        <v>0</v>
      </c>
      <c r="I2052">
        <v>0</v>
      </c>
      <c r="J2052">
        <v>3.4959439981092184</v>
      </c>
      <c r="K2052">
        <v>1.9453688481155429</v>
      </c>
      <c r="L2052">
        <v>0.64764423077212963</v>
      </c>
      <c r="M2052">
        <v>0.64754522635272915</v>
      </c>
      <c r="N2052">
        <v>0</v>
      </c>
      <c r="O2052">
        <v>0</v>
      </c>
      <c r="P2052">
        <v>0</v>
      </c>
      <c r="Q2052">
        <v>0</v>
      </c>
      <c r="R2052">
        <v>0</v>
      </c>
      <c r="S2052">
        <v>3.2035708773516789</v>
      </c>
      <c r="T2052">
        <v>0</v>
      </c>
      <c r="U2052">
        <f t="shared" si="206"/>
        <v>0.71000522719294989</v>
      </c>
      <c r="V2052" t="str">
        <f t="shared" si="204"/>
        <v>2015/16Expenditure driversQoS &amp; North of Scotland ResilienceAllowance</v>
      </c>
    </row>
    <row r="2053" spans="1:22">
      <c r="A2053" t="s">
        <v>137</v>
      </c>
      <c r="C2053" t="s">
        <v>1344</v>
      </c>
      <c r="D2053" t="s">
        <v>80</v>
      </c>
      <c r="E2053" t="s">
        <v>298</v>
      </c>
      <c r="F2053" t="s">
        <v>1289</v>
      </c>
      <c r="G2053">
        <v>7.1710637494586607</v>
      </c>
      <c r="H2053">
        <v>2.0667242210192529</v>
      </c>
      <c r="I2053">
        <v>1.0747736469649425</v>
      </c>
      <c r="J2053">
        <v>7.1278981239857693</v>
      </c>
      <c r="K2053">
        <v>5.0014025201111654</v>
      </c>
      <c r="L2053">
        <v>2.011355401972764</v>
      </c>
      <c r="M2053">
        <v>2.5618694923159353</v>
      </c>
      <c r="N2053">
        <v>0.15706010130915701</v>
      </c>
      <c r="O2053">
        <v>0.62143319475987735</v>
      </c>
      <c r="P2053">
        <v>1.3579010696333165</v>
      </c>
      <c r="Q2053">
        <v>2.081049052438706</v>
      </c>
      <c r="R2053">
        <v>2.4466227654710955</v>
      </c>
      <c r="S2053">
        <v>6.4898295051130734</v>
      </c>
      <c r="T2053">
        <v>3.8452029926801914</v>
      </c>
      <c r="U2053">
        <f t="shared" si="206"/>
        <v>3.1438704169452794</v>
      </c>
      <c r="V2053" t="str">
        <f t="shared" si="204"/>
        <v>2015/16Expenditure driversQoS &amp; North of Scotland ResilienceActual</v>
      </c>
    </row>
    <row r="2054" spans="1:22">
      <c r="A2054" t="s">
        <v>137</v>
      </c>
      <c r="C2054" t="s">
        <v>1344</v>
      </c>
      <c r="D2054" t="s">
        <v>80</v>
      </c>
      <c r="E2054" t="s">
        <v>602</v>
      </c>
      <c r="F2054" t="s">
        <v>1289</v>
      </c>
      <c r="G2054">
        <v>7.1710637494586607</v>
      </c>
      <c r="H2054">
        <v>2.0667242210192529</v>
      </c>
      <c r="I2054">
        <v>1.0747736469649425</v>
      </c>
      <c r="J2054">
        <v>3.6319541258765509</v>
      </c>
      <c r="K2054">
        <v>3.0560336719956225</v>
      </c>
      <c r="L2054">
        <v>1.3637111712006345</v>
      </c>
      <c r="M2054">
        <v>1.9143242659632063</v>
      </c>
      <c r="N2054">
        <v>0.15706010130915701</v>
      </c>
      <c r="O2054">
        <v>0.62143319475987735</v>
      </c>
      <c r="P2054">
        <v>1.3579010696333165</v>
      </c>
      <c r="Q2054">
        <v>2.081049052438706</v>
      </c>
      <c r="R2054">
        <v>2.4466227654710955</v>
      </c>
      <c r="S2054">
        <v>3.2862586277613945</v>
      </c>
      <c r="T2054">
        <v>3.8452029926801914</v>
      </c>
      <c r="U2054">
        <f>U2053-U2052</f>
        <v>2.4338651897523293</v>
      </c>
      <c r="V2054" t="str">
        <f t="shared" si="204"/>
        <v>2015/16Expenditure driversQoS &amp; North of Scotland ResilienceDifference</v>
      </c>
    </row>
    <row r="2055" spans="1:22">
      <c r="A2055" t="s">
        <v>137</v>
      </c>
      <c r="C2055" t="s">
        <v>1344</v>
      </c>
      <c r="D2055" t="s">
        <v>80</v>
      </c>
      <c r="E2055" t="s">
        <v>1346</v>
      </c>
      <c r="F2055" t="s">
        <v>606</v>
      </c>
      <c r="G2055" s="829" t="e">
        <v>#DIV/0!</v>
      </c>
      <c r="H2055" s="829" t="e">
        <v>#DIV/0!</v>
      </c>
      <c r="I2055" s="829" t="e">
        <v>#DIV/0!</v>
      </c>
      <c r="J2055" s="829">
        <v>1.0389051220044982</v>
      </c>
      <c r="K2055" s="829">
        <v>1.5709276289460317</v>
      </c>
      <c r="L2055" s="829">
        <v>2.1056486052146264</v>
      </c>
      <c r="M2055" s="829">
        <v>2.9562788637105024</v>
      </c>
      <c r="N2055" s="829" t="e">
        <v>#DIV/0!</v>
      </c>
      <c r="O2055" s="829" t="e">
        <v>#DIV/0!</v>
      </c>
      <c r="P2055" s="829" t="e">
        <v>#DIV/0!</v>
      </c>
      <c r="Q2055" s="829" t="e">
        <v>#DIV/0!</v>
      </c>
      <c r="R2055" s="829" t="e">
        <v>#DIV/0!</v>
      </c>
      <c r="S2055" s="829">
        <v>1.0258111193962631</v>
      </c>
      <c r="T2055" s="829" t="e">
        <v>#DIV/0!</v>
      </c>
      <c r="U2055" s="829">
        <f>U2054/U2052</f>
        <v>3.427953903064584</v>
      </c>
      <c r="V2055" t="str">
        <f t="shared" si="204"/>
        <v>2015/16Expenditure driversQoS &amp; North of Scotland ResilienceDifference %</v>
      </c>
    </row>
    <row r="2056" spans="1:22">
      <c r="A2056" t="s">
        <v>138</v>
      </c>
      <c r="C2056" t="s">
        <v>1344</v>
      </c>
      <c r="D2056" t="s">
        <v>80</v>
      </c>
      <c r="E2056" t="s">
        <v>297</v>
      </c>
      <c r="F2056" t="s">
        <v>1289</v>
      </c>
      <c r="G2056">
        <f t="array" ref="G2056:T2059">TRANSPOSE('Ch4 expenditure drivers'!AK534:AN547)</f>
        <v>0</v>
      </c>
      <c r="H2056">
        <v>0</v>
      </c>
      <c r="I2056">
        <v>0</v>
      </c>
      <c r="J2056">
        <v>3.4993603741845289</v>
      </c>
      <c r="K2056">
        <v>1.9455756221855491</v>
      </c>
      <c r="L2056">
        <v>0.6483514559269945</v>
      </c>
      <c r="M2056">
        <v>0.64811365949715838</v>
      </c>
      <c r="N2056">
        <v>0</v>
      </c>
      <c r="O2056">
        <v>0</v>
      </c>
      <c r="P2056">
        <v>0</v>
      </c>
      <c r="Q2056">
        <v>0</v>
      </c>
      <c r="R2056">
        <v>0</v>
      </c>
      <c r="S2056">
        <v>2.7283727495070513</v>
      </c>
      <c r="T2056">
        <v>0</v>
      </c>
      <c r="U2056">
        <f t="shared" si="206"/>
        <v>0.67641241866437729</v>
      </c>
      <c r="V2056" t="str">
        <f t="shared" si="204"/>
        <v>2016/17Expenditure driversQoS &amp; North of Scotland ResilienceAllowance</v>
      </c>
    </row>
    <row r="2057" spans="1:22">
      <c r="A2057" t="s">
        <v>138</v>
      </c>
      <c r="C2057" t="s">
        <v>1344</v>
      </c>
      <c r="D2057" t="s">
        <v>80</v>
      </c>
      <c r="E2057" t="s">
        <v>298</v>
      </c>
      <c r="F2057" t="s">
        <v>1289</v>
      </c>
      <c r="G2057">
        <v>2.1432721472602214</v>
      </c>
      <c r="H2057">
        <v>3.4061054459518423</v>
      </c>
      <c r="I2057">
        <v>1.2119744849585661</v>
      </c>
      <c r="J2057">
        <v>3.7023048771283658</v>
      </c>
      <c r="K2057">
        <v>3.2678447424827919</v>
      </c>
      <c r="L2057">
        <v>2.8380814741577103</v>
      </c>
      <c r="M2057">
        <v>2.0419626328341987</v>
      </c>
      <c r="N2057">
        <v>0.17952320315633125</v>
      </c>
      <c r="O2057">
        <v>0.48759579848743462</v>
      </c>
      <c r="P2057">
        <v>0.46828732914569982</v>
      </c>
      <c r="Q2057">
        <v>4.6975506118121908</v>
      </c>
      <c r="R2057">
        <v>3.4878792043951194</v>
      </c>
      <c r="S2057">
        <v>2.511191026863075</v>
      </c>
      <c r="T2057">
        <v>7.5711058450357749</v>
      </c>
      <c r="U2057">
        <f t="shared" si="206"/>
        <v>2.7153342016906659</v>
      </c>
      <c r="V2057" t="str">
        <f t="shared" si="204"/>
        <v>2016/17Expenditure driversQoS &amp; North of Scotland ResilienceActual</v>
      </c>
    </row>
    <row r="2058" spans="1:22">
      <c r="A2058" t="s">
        <v>138</v>
      </c>
      <c r="C2058" t="s">
        <v>1344</v>
      </c>
      <c r="D2058" t="s">
        <v>80</v>
      </c>
      <c r="E2058" t="s">
        <v>602</v>
      </c>
      <c r="F2058" t="s">
        <v>1289</v>
      </c>
      <c r="G2058">
        <v>2.1432721472602214</v>
      </c>
      <c r="H2058">
        <v>3.4061054459518423</v>
      </c>
      <c r="I2058">
        <v>1.2119744849585661</v>
      </c>
      <c r="J2058">
        <v>0.20294450294383681</v>
      </c>
      <c r="K2058">
        <v>1.3222691202972428</v>
      </c>
      <c r="L2058">
        <v>2.1897300182307156</v>
      </c>
      <c r="M2058">
        <v>1.3938489733370403</v>
      </c>
      <c r="N2058">
        <v>0.17952320315633125</v>
      </c>
      <c r="O2058">
        <v>0.48759579848743462</v>
      </c>
      <c r="P2058">
        <v>0.46828732914569982</v>
      </c>
      <c r="Q2058">
        <v>4.6975506118121908</v>
      </c>
      <c r="R2058">
        <v>3.4878792043951194</v>
      </c>
      <c r="S2058">
        <v>-0.21718172264397628</v>
      </c>
      <c r="T2058">
        <v>7.5711058450357749</v>
      </c>
      <c r="U2058">
        <f>U2057-U2056</f>
        <v>2.0389217830262885</v>
      </c>
      <c r="V2058" t="str">
        <f t="shared" si="204"/>
        <v>2016/17Expenditure driversQoS &amp; North of Scotland ResilienceDifference</v>
      </c>
    </row>
    <row r="2059" spans="1:22">
      <c r="A2059" t="s">
        <v>138</v>
      </c>
      <c r="C2059" t="s">
        <v>1344</v>
      </c>
      <c r="D2059" t="s">
        <v>80</v>
      </c>
      <c r="E2059" t="s">
        <v>1346</v>
      </c>
      <c r="F2059" t="s">
        <v>606</v>
      </c>
      <c r="G2059" s="829" t="e">
        <v>#DIV/0!</v>
      </c>
      <c r="H2059" s="829" t="e">
        <v>#DIV/0!</v>
      </c>
      <c r="I2059" s="829" t="e">
        <v>#DIV/0!</v>
      </c>
      <c r="J2059" s="829">
        <v>5.7994742250897735E-2</v>
      </c>
      <c r="K2059" s="829">
        <v>0.6796287459707584</v>
      </c>
      <c r="L2059" s="829">
        <v>3.3773811999849706</v>
      </c>
      <c r="M2059" s="829">
        <v>2.1506242815781165</v>
      </c>
      <c r="N2059" s="829" t="e">
        <v>#DIV/0!</v>
      </c>
      <c r="O2059" s="829" t="e">
        <v>#DIV/0!</v>
      </c>
      <c r="P2059" s="829" t="e">
        <v>#DIV/0!</v>
      </c>
      <c r="Q2059" s="829" t="e">
        <v>#DIV/0!</v>
      </c>
      <c r="R2059" s="829" t="e">
        <v>#DIV/0!</v>
      </c>
      <c r="S2059" s="829">
        <v>-7.9601191839793736E-2</v>
      </c>
      <c r="T2059" s="829" t="e">
        <v>#DIV/0!</v>
      </c>
      <c r="U2059" s="829">
        <f>U2058/U2056</f>
        <v>3.0143174885113426</v>
      </c>
      <c r="V2059" t="str">
        <f t="shared" si="204"/>
        <v>2016/17Expenditure driversQoS &amp; North of Scotland ResilienceDifference %</v>
      </c>
    </row>
    <row r="2060" spans="1:22">
      <c r="A2060" t="s">
        <v>139</v>
      </c>
      <c r="C2060" t="s">
        <v>1344</v>
      </c>
      <c r="D2060" t="s">
        <v>80</v>
      </c>
      <c r="E2060" t="s">
        <v>297</v>
      </c>
      <c r="F2060" t="s">
        <v>1289</v>
      </c>
      <c r="G2060">
        <f t="array" ref="G2060:T2063">TRANSPOSE('Ch4 expenditure drivers'!AP534:AS547)</f>
        <v>0</v>
      </c>
      <c r="H2060">
        <v>0</v>
      </c>
      <c r="I2060">
        <v>0</v>
      </c>
      <c r="J2060">
        <v>3.494561277581373</v>
      </c>
      <c r="K2060">
        <v>1.9420809224517703</v>
      </c>
      <c r="L2060">
        <v>0.64842490850586654</v>
      </c>
      <c r="M2060">
        <v>0.64830714024774061</v>
      </c>
      <c r="N2060">
        <v>0</v>
      </c>
      <c r="O2060">
        <v>0</v>
      </c>
      <c r="P2060">
        <v>0</v>
      </c>
      <c r="Q2060">
        <v>0</v>
      </c>
      <c r="R2060">
        <v>0</v>
      </c>
      <c r="S2060">
        <v>2.6040215515655105</v>
      </c>
      <c r="T2060">
        <v>0</v>
      </c>
      <c r="U2060">
        <f t="shared" si="206"/>
        <v>0.66695684288230428</v>
      </c>
      <c r="V2060" t="str">
        <f t="shared" si="204"/>
        <v>2017/18Expenditure driversQoS &amp; North of Scotland ResilienceAllowance</v>
      </c>
    </row>
    <row r="2061" spans="1:22">
      <c r="A2061" t="s">
        <v>139</v>
      </c>
      <c r="C2061" t="s">
        <v>1344</v>
      </c>
      <c r="D2061" t="s">
        <v>80</v>
      </c>
      <c r="E2061" t="s">
        <v>298</v>
      </c>
      <c r="F2061" t="s">
        <v>1289</v>
      </c>
      <c r="G2061">
        <v>6.1611293897601955</v>
      </c>
      <c r="H2061">
        <v>2.4443811653107996</v>
      </c>
      <c r="I2061">
        <v>1.249708329537156</v>
      </c>
      <c r="J2061">
        <v>2.2082633390079587</v>
      </c>
      <c r="K2061">
        <v>2.0135830241389847</v>
      </c>
      <c r="L2061">
        <v>2.5976239687459071</v>
      </c>
      <c r="M2061">
        <v>2.1335604274884687</v>
      </c>
      <c r="N2061">
        <v>0.92786097726822281</v>
      </c>
      <c r="O2061">
        <v>1.8870619077607969</v>
      </c>
      <c r="P2061">
        <v>2.362185208881955</v>
      </c>
      <c r="Q2061">
        <v>0.65714302415291737</v>
      </c>
      <c r="R2061">
        <v>0.76231505932096377</v>
      </c>
      <c r="S2061">
        <v>4.0293542323798501</v>
      </c>
      <c r="T2061">
        <v>6.1882278319856834</v>
      </c>
      <c r="U2061">
        <f t="shared" si="206"/>
        <v>2.5444569918385613</v>
      </c>
      <c r="V2061" t="str">
        <f t="shared" si="204"/>
        <v>2017/18Expenditure driversQoS &amp; North of Scotland ResilienceActual</v>
      </c>
    </row>
    <row r="2062" spans="1:22">
      <c r="A2062" t="s">
        <v>139</v>
      </c>
      <c r="C2062" t="s">
        <v>1344</v>
      </c>
      <c r="D2062" t="s">
        <v>80</v>
      </c>
      <c r="E2062" t="s">
        <v>602</v>
      </c>
      <c r="F2062" t="s">
        <v>1289</v>
      </c>
      <c r="G2062">
        <v>6.1611293897601955</v>
      </c>
      <c r="H2062">
        <v>2.4443811653107996</v>
      </c>
      <c r="I2062">
        <v>1.249708329537156</v>
      </c>
      <c r="J2062">
        <v>-1.2862979385734143</v>
      </c>
      <c r="K2062">
        <v>7.1502101687214381E-2</v>
      </c>
      <c r="L2062">
        <v>1.9491990602400406</v>
      </c>
      <c r="M2062">
        <v>1.4852532872407282</v>
      </c>
      <c r="N2062">
        <v>0.92786097726822281</v>
      </c>
      <c r="O2062">
        <v>1.8870619077607969</v>
      </c>
      <c r="P2062">
        <v>2.362185208881955</v>
      </c>
      <c r="Q2062">
        <v>0.65714302415291737</v>
      </c>
      <c r="R2062">
        <v>0.76231505932096377</v>
      </c>
      <c r="S2062">
        <v>1.4253326808143396</v>
      </c>
      <c r="T2062">
        <v>6.1882278319856834</v>
      </c>
      <c r="U2062">
        <f>U2061-U2060</f>
        <v>1.8775001489562571</v>
      </c>
      <c r="V2062" t="str">
        <f t="shared" si="204"/>
        <v>2017/18Expenditure driversQoS &amp; North of Scotland ResilienceDifference</v>
      </c>
    </row>
    <row r="2063" spans="1:22">
      <c r="A2063" t="s">
        <v>139</v>
      </c>
      <c r="C2063" t="s">
        <v>1344</v>
      </c>
      <c r="D2063" t="s">
        <v>80</v>
      </c>
      <c r="E2063" t="s">
        <v>1346</v>
      </c>
      <c r="F2063" t="s">
        <v>606</v>
      </c>
      <c r="G2063" s="829" t="e">
        <v>#DIV/0!</v>
      </c>
      <c r="H2063" s="829" t="e">
        <v>#DIV/0!</v>
      </c>
      <c r="I2063" s="829" t="e">
        <v>#DIV/0!</v>
      </c>
      <c r="J2063" s="829">
        <v>-0.36808567267810977</v>
      </c>
      <c r="K2063" s="829">
        <v>3.6817261763195178E-2</v>
      </c>
      <c r="L2063" s="829">
        <v>3.0060521035989867</v>
      </c>
      <c r="M2063" s="829">
        <v>2.2909716630194161</v>
      </c>
      <c r="N2063" s="829" t="e">
        <v>#DIV/0!</v>
      </c>
      <c r="O2063" s="829" t="e">
        <v>#DIV/0!</v>
      </c>
      <c r="P2063" s="829" t="e">
        <v>#DIV/0!</v>
      </c>
      <c r="Q2063" s="829" t="e">
        <v>#DIV/0!</v>
      </c>
      <c r="R2063" s="829" t="e">
        <v>#DIV/0!</v>
      </c>
      <c r="S2063" s="829">
        <v>0.54735825053269793</v>
      </c>
      <c r="T2063" s="829" t="e">
        <v>#DIV/0!</v>
      </c>
      <c r="U2063" s="829">
        <f>U2062/U2060</f>
        <v>2.8150249435068373</v>
      </c>
      <c r="V2063" t="str">
        <f t="shared" si="204"/>
        <v>2017/18Expenditure driversQoS &amp; North of Scotland ResilienceDifference %</v>
      </c>
    </row>
    <row r="2064" spans="1:22">
      <c r="A2064" t="s">
        <v>140</v>
      </c>
      <c r="C2064" t="s">
        <v>1344</v>
      </c>
      <c r="D2064" t="s">
        <v>80</v>
      </c>
      <c r="E2064" t="s">
        <v>297</v>
      </c>
      <c r="F2064" t="s">
        <v>1289</v>
      </c>
      <c r="G2064">
        <f t="array" ref="G2064:T2067">TRANSPOSE('Ch4 expenditure drivers'!AU534:AX547)</f>
        <v>0</v>
      </c>
      <c r="H2064">
        <v>0</v>
      </c>
      <c r="I2064">
        <v>0</v>
      </c>
      <c r="J2064">
        <v>3.5025558866408617</v>
      </c>
      <c r="K2064">
        <v>1.9465425882407974</v>
      </c>
      <c r="L2064">
        <v>0.64895641043291874</v>
      </c>
      <c r="M2064">
        <v>0.64870806104561951</v>
      </c>
      <c r="N2064">
        <v>0</v>
      </c>
      <c r="O2064">
        <v>0</v>
      </c>
      <c r="P2064">
        <v>0</v>
      </c>
      <c r="Q2064">
        <v>0</v>
      </c>
      <c r="R2064">
        <v>0</v>
      </c>
      <c r="S2064">
        <v>2.6007495802904348</v>
      </c>
      <c r="T2064">
        <v>0</v>
      </c>
      <c r="U2064">
        <f>AVERAGE(G2064:T2064)</f>
        <v>0.66767946618933094</v>
      </c>
      <c r="V2064" t="str">
        <f t="shared" si="204"/>
        <v>2018/19Expenditure driversQoS &amp; North of Scotland ResilienceAllowance</v>
      </c>
    </row>
    <row r="2065" spans="1:22">
      <c r="A2065" t="s">
        <v>140</v>
      </c>
      <c r="C2065" t="s">
        <v>1344</v>
      </c>
      <c r="D2065" t="s">
        <v>80</v>
      </c>
      <c r="E2065" t="s">
        <v>298</v>
      </c>
      <c r="F2065" t="s">
        <v>1289</v>
      </c>
      <c r="G2065">
        <v>12.652856184578097</v>
      </c>
      <c r="H2065">
        <v>2.9093795880891506</v>
      </c>
      <c r="I2065">
        <v>1.2370952593796893</v>
      </c>
      <c r="J2065">
        <v>1.2784245838451436</v>
      </c>
      <c r="K2065">
        <v>1.4783157129343329</v>
      </c>
      <c r="L2065">
        <v>1.9604706891439705</v>
      </c>
      <c r="M2065">
        <v>0.60845981052423515</v>
      </c>
      <c r="N2065">
        <v>1.641713618310719</v>
      </c>
      <c r="O2065">
        <v>3.8278340151537575</v>
      </c>
      <c r="P2065">
        <v>3.2088724366732948</v>
      </c>
      <c r="Q2065">
        <v>0.29683280250409033</v>
      </c>
      <c r="R2065">
        <v>0.12813089728146645</v>
      </c>
      <c r="S2065">
        <v>9.7703382674353012</v>
      </c>
      <c r="T2065">
        <v>3.3709045168746385</v>
      </c>
      <c r="U2065">
        <f>AVERAGE(G2065:T2065)</f>
        <v>3.1692591701948492</v>
      </c>
      <c r="V2065" t="str">
        <f t="shared" si="204"/>
        <v>2018/19Expenditure driversQoS &amp; North of Scotland ResilienceActual</v>
      </c>
    </row>
    <row r="2066" spans="1:22">
      <c r="A2066" t="s">
        <v>140</v>
      </c>
      <c r="C2066" t="s">
        <v>1344</v>
      </c>
      <c r="D2066" t="s">
        <v>80</v>
      </c>
      <c r="E2066" t="s">
        <v>602</v>
      </c>
      <c r="F2066" t="s">
        <v>1289</v>
      </c>
      <c r="G2066">
        <v>12.652856184578097</v>
      </c>
      <c r="H2066">
        <v>2.9093795880891506</v>
      </c>
      <c r="I2066">
        <v>1.2370952593796893</v>
      </c>
      <c r="J2066">
        <v>-2.2241313027957181</v>
      </c>
      <c r="K2066">
        <v>-0.46822687530646445</v>
      </c>
      <c r="L2066">
        <v>1.3115142787110519</v>
      </c>
      <c r="M2066">
        <v>-4.0248250521384366E-2</v>
      </c>
      <c r="N2066">
        <v>1.641713618310719</v>
      </c>
      <c r="O2066">
        <v>3.8278340151537575</v>
      </c>
      <c r="P2066">
        <v>3.2088724366732948</v>
      </c>
      <c r="Q2066">
        <v>0.29683280250409033</v>
      </c>
      <c r="R2066">
        <v>0.12813089728146645</v>
      </c>
      <c r="S2066">
        <v>7.1695886871448664</v>
      </c>
      <c r="T2066">
        <v>3.3709045168746385</v>
      </c>
      <c r="U2066">
        <f>U2065-U2064</f>
        <v>2.5015797040055183</v>
      </c>
      <c r="V2066" t="str">
        <f t="shared" si="204"/>
        <v>2018/19Expenditure driversQoS &amp; North of Scotland ResilienceDifference</v>
      </c>
    </row>
    <row r="2067" spans="1:22">
      <c r="A2067" t="s">
        <v>140</v>
      </c>
      <c r="C2067" t="s">
        <v>1344</v>
      </c>
      <c r="D2067" t="s">
        <v>80</v>
      </c>
      <c r="E2067" t="s">
        <v>1346</v>
      </c>
      <c r="F2067" t="s">
        <v>606</v>
      </c>
      <c r="G2067" s="829" t="e">
        <v>#DIV/0!</v>
      </c>
      <c r="H2067" s="829" t="e">
        <v>#DIV/0!</v>
      </c>
      <c r="I2067" s="829" t="e">
        <v>#DIV/0!</v>
      </c>
      <c r="J2067" s="829">
        <v>-0.63500237391751624</v>
      </c>
      <c r="K2067" s="829">
        <v>-0.24054283637823101</v>
      </c>
      <c r="L2067" s="829">
        <v>2.0209589698576842</v>
      </c>
      <c r="M2067" s="829">
        <v>-6.2043703382551246E-2</v>
      </c>
      <c r="N2067" s="829" t="e">
        <v>#DIV/0!</v>
      </c>
      <c r="O2067" s="829" t="e">
        <v>#DIV/0!</v>
      </c>
      <c r="P2067" s="829" t="e">
        <v>#DIV/0!</v>
      </c>
      <c r="Q2067" s="829" t="e">
        <v>#DIV/0!</v>
      </c>
      <c r="R2067" s="829" t="e">
        <v>#DIV/0!</v>
      </c>
      <c r="S2067" s="829">
        <v>2.7567393421800395</v>
      </c>
      <c r="T2067" s="829" t="e">
        <v>#DIV/0!</v>
      </c>
      <c r="U2067" s="829">
        <f>U2066/U2064</f>
        <v>3.7466776060717679</v>
      </c>
      <c r="V2067" t="str">
        <f t="shared" si="204"/>
        <v>2018/19Expenditure driversQoS &amp; North of Scotland ResilienceDifference %</v>
      </c>
    </row>
    <row r="2068" spans="1:22">
      <c r="A2068" t="s">
        <v>141</v>
      </c>
      <c r="C2068" t="s">
        <v>1344</v>
      </c>
      <c r="D2068" t="s">
        <v>80</v>
      </c>
      <c r="E2068" t="s">
        <v>297</v>
      </c>
      <c r="F2068" t="s">
        <v>1289</v>
      </c>
      <c r="G2068" s="229">
        <f t="array" ref="G2068:T2071">TRANSPOSE('Ch4 expenditure drivers'!AZ534:BC547)</f>
        <v>0</v>
      </c>
      <c r="H2068" s="229">
        <v>0</v>
      </c>
      <c r="I2068" s="229">
        <v>0</v>
      </c>
      <c r="J2068" s="229">
        <v>3.5109654086368005</v>
      </c>
      <c r="K2068" s="229">
        <v>1.950896332365772</v>
      </c>
      <c r="L2068" s="229">
        <v>0.65149284690078102</v>
      </c>
      <c r="M2068" s="229">
        <v>0.65166636226445263</v>
      </c>
      <c r="N2068" s="229">
        <v>0</v>
      </c>
      <c r="O2068" s="229">
        <v>0</v>
      </c>
      <c r="P2068" s="229">
        <v>0</v>
      </c>
      <c r="Q2068" s="229">
        <v>0</v>
      </c>
      <c r="R2068" s="229">
        <v>0</v>
      </c>
      <c r="S2068" s="229">
        <v>2.6201309467406495</v>
      </c>
      <c r="T2068" s="229">
        <v>0</v>
      </c>
      <c r="U2068" s="229">
        <f>AVERAGE(G2068:T2068)</f>
        <v>0.6703679926363183</v>
      </c>
      <c r="V2068" t="str">
        <f t="shared" si="204"/>
        <v>2019/20Expenditure driversQoS &amp; North of Scotland ResilienceAllowance</v>
      </c>
    </row>
    <row r="2069" spans="1:22">
      <c r="A2069" t="s">
        <v>141</v>
      </c>
      <c r="C2069" t="s">
        <v>1344</v>
      </c>
      <c r="D2069" t="s">
        <v>80</v>
      </c>
      <c r="E2069" t="s">
        <v>298</v>
      </c>
      <c r="F2069" t="s">
        <v>1289</v>
      </c>
      <c r="G2069" s="229">
        <v>8.1613608904631683</v>
      </c>
      <c r="H2069" s="229">
        <v>6.0161595275384885</v>
      </c>
      <c r="I2069" s="229">
        <v>2.7153322604989274</v>
      </c>
      <c r="J2069" s="229">
        <v>0.98280029727293383</v>
      </c>
      <c r="K2069" s="229">
        <v>1.396047481093579</v>
      </c>
      <c r="L2069" s="229">
        <v>1.1166238671630393</v>
      </c>
      <c r="M2069" s="229">
        <v>0.68624726639646028</v>
      </c>
      <c r="N2069" s="229">
        <v>3.4544838174080779</v>
      </c>
      <c r="O2069" s="229">
        <v>1.8739395204583018</v>
      </c>
      <c r="P2069" s="229">
        <v>2.4908611483807608</v>
      </c>
      <c r="Q2069" s="229">
        <v>1.171460088421705</v>
      </c>
      <c r="R2069" s="229">
        <v>0.23348758940238853</v>
      </c>
      <c r="S2069" s="229">
        <v>7.4846463613333256</v>
      </c>
      <c r="T2069" s="229">
        <v>6.0214688772286875</v>
      </c>
      <c r="U2069" s="229">
        <f>AVERAGE(G2069:T2069)</f>
        <v>3.1289227852185602</v>
      </c>
      <c r="V2069" t="str">
        <f t="shared" si="204"/>
        <v>2019/20Expenditure driversQoS &amp; North of Scotland ResilienceActual</v>
      </c>
    </row>
    <row r="2070" spans="1:22">
      <c r="A2070" t="s">
        <v>141</v>
      </c>
      <c r="C2070" t="s">
        <v>1344</v>
      </c>
      <c r="D2070" t="s">
        <v>80</v>
      </c>
      <c r="E2070" t="s">
        <v>602</v>
      </c>
      <c r="F2070" t="s">
        <v>1289</v>
      </c>
      <c r="G2070" s="229">
        <v>8.1613608904631683</v>
      </c>
      <c r="H2070" s="229">
        <v>6.0161595275384885</v>
      </c>
      <c r="I2070" s="229">
        <v>2.7153322604989274</v>
      </c>
      <c r="J2070" s="229">
        <v>-2.5281651113638666</v>
      </c>
      <c r="K2070" s="229">
        <v>-0.55484885127219297</v>
      </c>
      <c r="L2070" s="229">
        <v>0.46513102026225828</v>
      </c>
      <c r="M2070" s="229">
        <v>3.458090413200765E-2</v>
      </c>
      <c r="N2070" s="229">
        <v>3.4544838174080779</v>
      </c>
      <c r="O2070" s="229">
        <v>1.8739395204583018</v>
      </c>
      <c r="P2070" s="229">
        <v>2.4908611483807608</v>
      </c>
      <c r="Q2070" s="229">
        <v>1.171460088421705</v>
      </c>
      <c r="R2070" s="229">
        <v>0.23348758940238853</v>
      </c>
      <c r="S2070" s="229">
        <v>4.8645154145926757</v>
      </c>
      <c r="T2070" s="229">
        <v>6.0214688772286875</v>
      </c>
      <c r="U2070" s="229">
        <f>U2069-U2068</f>
        <v>2.458554792582242</v>
      </c>
      <c r="V2070" t="str">
        <f t="shared" si="204"/>
        <v>2019/20Expenditure driversQoS &amp; North of Scotland ResilienceDifference</v>
      </c>
    </row>
    <row r="2071" spans="1:22">
      <c r="A2071" t="s">
        <v>141</v>
      </c>
      <c r="C2071" t="s">
        <v>1344</v>
      </c>
      <c r="D2071" t="s">
        <v>80</v>
      </c>
      <c r="E2071" t="s">
        <v>1346</v>
      </c>
      <c r="F2071" t="s">
        <v>606</v>
      </c>
      <c r="G2071" s="829" t="e">
        <v>#DIV/0!</v>
      </c>
      <c r="H2071" s="829" t="e">
        <v>#DIV/0!</v>
      </c>
      <c r="I2071" s="829" t="e">
        <v>#DIV/0!</v>
      </c>
      <c r="J2071" s="829">
        <v>-0.72007690680879566</v>
      </c>
      <c r="K2071" s="829">
        <v>-0.28440714253604166</v>
      </c>
      <c r="L2071" s="829">
        <v>0.71394647305021808</v>
      </c>
      <c r="M2071" s="829">
        <v>5.3065350821306284E-2</v>
      </c>
      <c r="N2071" s="829" t="e">
        <v>#DIV/0!</v>
      </c>
      <c r="O2071" s="829" t="e">
        <v>#DIV/0!</v>
      </c>
      <c r="P2071" s="829" t="e">
        <v>#DIV/0!</v>
      </c>
      <c r="Q2071" s="829" t="e">
        <v>#DIV/0!</v>
      </c>
      <c r="R2071" s="829" t="e">
        <v>#DIV/0!</v>
      </c>
      <c r="S2071" s="829">
        <v>1.8565924808620582</v>
      </c>
      <c r="T2071" s="829" t="e">
        <v>#DIV/0!</v>
      </c>
      <c r="U2071" s="829">
        <f>U2070/U2068</f>
        <v>3.6674704335355011</v>
      </c>
      <c r="V2071" t="str">
        <f t="shared" si="204"/>
        <v>2019/20Expenditure driversQoS &amp; North of Scotland ResilienceDifference %</v>
      </c>
    </row>
    <row r="2072" spans="1:22">
      <c r="A2072" t="s">
        <v>126</v>
      </c>
      <c r="C2072" t="s">
        <v>1344</v>
      </c>
      <c r="D2072" t="s">
        <v>80</v>
      </c>
      <c r="E2072" t="s">
        <v>297</v>
      </c>
      <c r="F2072" t="s">
        <v>1289</v>
      </c>
      <c r="G2072" s="229" cm="1">
        <f t="array" ref="G2072:T2075">TRANSPOSE('Ch4 expenditure drivers'!BE534:BH547)</f>
        <v>0</v>
      </c>
      <c r="H2072" s="229">
        <v>0</v>
      </c>
      <c r="I2072" s="229">
        <v>0</v>
      </c>
      <c r="J2072" s="229">
        <v>3.523259773234261</v>
      </c>
      <c r="K2072" s="229">
        <v>1.9561061676211506</v>
      </c>
      <c r="L2072" s="229">
        <v>0.6530694894832948</v>
      </c>
      <c r="M2072" s="229">
        <v>0.65325321470874298</v>
      </c>
      <c r="N2072" s="229">
        <v>0</v>
      </c>
      <c r="O2072" s="229">
        <v>0</v>
      </c>
      <c r="P2072" s="229">
        <v>0</v>
      </c>
      <c r="Q2072" s="229">
        <v>0</v>
      </c>
      <c r="R2072" s="229">
        <v>0</v>
      </c>
      <c r="S2072" s="229">
        <v>2.557076982309666</v>
      </c>
      <c r="T2072" s="229">
        <v>0</v>
      </c>
      <c r="U2072" s="229">
        <f>AVERAGE(G2072:T2072)</f>
        <v>0.66734040195407973</v>
      </c>
      <c r="V2072" t="str">
        <f t="shared" si="204"/>
        <v>2020/21Expenditure driversQoS &amp; North of Scotland ResilienceAllowance</v>
      </c>
    </row>
    <row r="2073" spans="1:22">
      <c r="A2073" t="s">
        <v>126</v>
      </c>
      <c r="C2073" t="s">
        <v>1344</v>
      </c>
      <c r="D2073" t="s">
        <v>80</v>
      </c>
      <c r="E2073" t="s">
        <v>298</v>
      </c>
      <c r="F2073" t="s">
        <v>1289</v>
      </c>
      <c r="G2073" s="229">
        <v>1.2167703106529644</v>
      </c>
      <c r="H2073" s="229">
        <v>3.1035228221752282</v>
      </c>
      <c r="I2073" s="229">
        <v>1.4613620032599852</v>
      </c>
      <c r="J2073" s="229">
        <v>0.70235244605955138</v>
      </c>
      <c r="K2073" s="229">
        <v>1.7558811151488782</v>
      </c>
      <c r="L2073" s="229">
        <v>0.96785013274772524</v>
      </c>
      <c r="M2073" s="229">
        <v>0.86630520078730799</v>
      </c>
      <c r="N2073" s="229">
        <v>2.6296121487671238</v>
      </c>
      <c r="O2073" s="229">
        <v>2.7196299049923067</v>
      </c>
      <c r="P2073" s="229">
        <v>1.1396572944335275</v>
      </c>
      <c r="Q2073" s="229">
        <v>2.9211528851170141</v>
      </c>
      <c r="R2073" s="229">
        <v>1.1724160826920362</v>
      </c>
      <c r="S2073" s="229">
        <v>10.26916145652558</v>
      </c>
      <c r="T2073" s="229">
        <v>0.51055791149014007</v>
      </c>
      <c r="U2073" s="229">
        <f>AVERAGE(G2073:T2073)</f>
        <v>2.2454451224892402</v>
      </c>
      <c r="V2073" t="str">
        <f t="shared" si="204"/>
        <v>2020/21Expenditure driversQoS &amp; North of Scotland ResilienceActual</v>
      </c>
    </row>
    <row r="2074" spans="1:22">
      <c r="A2074" t="s">
        <v>126</v>
      </c>
      <c r="C2074" t="s">
        <v>1344</v>
      </c>
      <c r="D2074" t="s">
        <v>80</v>
      </c>
      <c r="E2074" t="s">
        <v>602</v>
      </c>
      <c r="F2074" t="s">
        <v>1289</v>
      </c>
      <c r="G2074" s="229">
        <v>1.2167703106529644</v>
      </c>
      <c r="H2074" s="229">
        <v>3.1035228221752282</v>
      </c>
      <c r="I2074" s="229">
        <v>1.4613620032599852</v>
      </c>
      <c r="J2074" s="229">
        <v>-2.8209073271747096</v>
      </c>
      <c r="K2074" s="229">
        <v>-0.2002250524722724</v>
      </c>
      <c r="L2074" s="229">
        <v>0.31478064326443045</v>
      </c>
      <c r="M2074" s="229">
        <v>0.21305198607856501</v>
      </c>
      <c r="N2074" s="229">
        <v>2.6296121487671238</v>
      </c>
      <c r="O2074" s="229">
        <v>2.7196299049923067</v>
      </c>
      <c r="P2074" s="229">
        <v>1.1396572944335275</v>
      </c>
      <c r="Q2074" s="229">
        <v>2.9211528851170141</v>
      </c>
      <c r="R2074" s="229">
        <v>1.1724160826920362</v>
      </c>
      <c r="S2074" s="229">
        <v>7.7120844742159145</v>
      </c>
      <c r="T2074" s="229">
        <v>0.51055791149014007</v>
      </c>
      <c r="U2074" s="229">
        <f>U2073-U2072</f>
        <v>1.5781047205351606</v>
      </c>
      <c r="V2074" t="str">
        <f t="shared" si="204"/>
        <v>2020/21Expenditure driversQoS &amp; North of Scotland ResilienceDifference</v>
      </c>
    </row>
    <row r="2075" spans="1:22">
      <c r="A2075" t="s">
        <v>126</v>
      </c>
      <c r="C2075" t="s">
        <v>1344</v>
      </c>
      <c r="D2075" t="s">
        <v>80</v>
      </c>
      <c r="E2075" t="s">
        <v>1346</v>
      </c>
      <c r="F2075" t="s">
        <v>606</v>
      </c>
      <c r="G2075" s="829" t="e">
        <v>#DIV/0!</v>
      </c>
      <c r="H2075" s="829" t="e">
        <v>#DIV/0!</v>
      </c>
      <c r="I2075" s="829" t="e">
        <v>#DIV/0!</v>
      </c>
      <c r="J2075" s="829">
        <v>-0.80065266507021993</v>
      </c>
      <c r="K2075" s="829">
        <v>-0.10235899042012071</v>
      </c>
      <c r="L2075" s="829">
        <v>0.48200175989462202</v>
      </c>
      <c r="M2075" s="829">
        <v>0.32613997341529438</v>
      </c>
      <c r="N2075" s="829" t="e">
        <v>#DIV/0!</v>
      </c>
      <c r="O2075" s="829" t="e">
        <v>#DIV/0!</v>
      </c>
      <c r="P2075" s="829" t="e">
        <v>#DIV/0!</v>
      </c>
      <c r="Q2075" s="829" t="e">
        <v>#DIV/0!</v>
      </c>
      <c r="R2075" s="829" t="e">
        <v>#DIV/0!</v>
      </c>
      <c r="S2075" s="829">
        <v>3.0159766512973794</v>
      </c>
      <c r="T2075" s="829" t="e">
        <v>#DIV/0!</v>
      </c>
      <c r="U2075" s="829">
        <f>U2074/U2072</f>
        <v>2.3647672400984816</v>
      </c>
      <c r="V2075" t="str">
        <f t="shared" si="204"/>
        <v>2020/21Expenditure driversQoS &amp; North of Scotland ResilienceDifference %</v>
      </c>
    </row>
    <row r="2076" spans="1:22">
      <c r="A2076" t="s">
        <v>142</v>
      </c>
      <c r="C2076" t="s">
        <v>1344</v>
      </c>
      <c r="D2076" t="s">
        <v>80</v>
      </c>
      <c r="E2076" t="s">
        <v>297</v>
      </c>
      <c r="F2076" t="s">
        <v>1289</v>
      </c>
      <c r="G2076" s="229" cm="1">
        <f t="array" ref="G2076:T2079">TRANSPOSE('Ch4 expenditure drivers'!BJ534:BM547)</f>
        <v>0</v>
      </c>
      <c r="H2076" s="229">
        <v>0</v>
      </c>
      <c r="I2076" s="229">
        <v>0</v>
      </c>
      <c r="J2076" s="229">
        <v>0</v>
      </c>
      <c r="K2076" s="229">
        <v>0</v>
      </c>
      <c r="L2076" s="229">
        <v>0</v>
      </c>
      <c r="M2076" s="229">
        <v>0</v>
      </c>
      <c r="N2076" s="229">
        <v>0</v>
      </c>
      <c r="O2076" s="229">
        <v>0</v>
      </c>
      <c r="P2076" s="229">
        <v>0</v>
      </c>
      <c r="Q2076" s="229">
        <v>0</v>
      </c>
      <c r="R2076" s="229">
        <v>0</v>
      </c>
      <c r="S2076" s="229">
        <v>2.5749957063264959</v>
      </c>
      <c r="T2076" s="229">
        <v>0</v>
      </c>
      <c r="U2076" s="229">
        <f>AVERAGE(G2076:T2076)</f>
        <v>0.18392826473760684</v>
      </c>
      <c r="V2076" t="str">
        <f t="shared" ref="V2076:V2079" si="208">CONCATENATE(A2076,B2076,C2076,D2076,E2076)</f>
        <v>2021/22Expenditure driversQoS &amp; North of Scotland ResilienceAllowance</v>
      </c>
    </row>
    <row r="2077" spans="1:22">
      <c r="A2077" t="s">
        <v>142</v>
      </c>
      <c r="C2077" t="s">
        <v>1344</v>
      </c>
      <c r="D2077" t="s">
        <v>80</v>
      </c>
      <c r="E2077" t="s">
        <v>298</v>
      </c>
      <c r="F2077" t="s">
        <v>1289</v>
      </c>
      <c r="G2077" s="229">
        <v>6.1540024071581012</v>
      </c>
      <c r="H2077" s="229">
        <v>3.0495810900000002</v>
      </c>
      <c r="I2077" s="229">
        <v>3.7489108099999995</v>
      </c>
      <c r="J2077" s="229">
        <v>0.75729999999999997</v>
      </c>
      <c r="K2077" s="229">
        <v>1.3548999999999998</v>
      </c>
      <c r="L2077" s="229">
        <v>0.86980000000000013</v>
      </c>
      <c r="M2077" s="229">
        <v>1.0881000000000001</v>
      </c>
      <c r="N2077" s="229">
        <v>1.8065759681209663</v>
      </c>
      <c r="O2077" s="229">
        <v>1.5937564551798791</v>
      </c>
      <c r="P2077" s="229">
        <v>1.1638322706991675</v>
      </c>
      <c r="Q2077" s="229">
        <v>2.3355431987011479</v>
      </c>
      <c r="R2077" s="229">
        <v>0.79219787789388862</v>
      </c>
      <c r="S2077" s="229">
        <v>5.5518092099999992</v>
      </c>
      <c r="T2077" s="229">
        <v>0.25251544999999997</v>
      </c>
      <c r="U2077" s="229">
        <f>AVERAGE(G2077:T2077)</f>
        <v>2.1799160526966537</v>
      </c>
      <c r="V2077" t="str">
        <f t="shared" si="208"/>
        <v>2021/22Expenditure driversQoS &amp; North of Scotland ResilienceActual</v>
      </c>
    </row>
    <row r="2078" spans="1:22">
      <c r="A2078" t="s">
        <v>142</v>
      </c>
      <c r="C2078" t="s">
        <v>1344</v>
      </c>
      <c r="D2078" t="s">
        <v>80</v>
      </c>
      <c r="E2078" t="s">
        <v>602</v>
      </c>
      <c r="F2078" t="s">
        <v>1289</v>
      </c>
      <c r="G2078" s="229">
        <v>6.1540024071581012</v>
      </c>
      <c r="H2078" s="229">
        <v>3.0495810900000002</v>
      </c>
      <c r="I2078" s="229">
        <v>3.7489108099999995</v>
      </c>
      <c r="J2078" s="229">
        <v>0.75729999999999997</v>
      </c>
      <c r="K2078" s="229">
        <v>1.3548999999999998</v>
      </c>
      <c r="L2078" s="229">
        <v>0.86980000000000013</v>
      </c>
      <c r="M2078" s="229">
        <v>1.0881000000000001</v>
      </c>
      <c r="N2078" s="229">
        <v>1.8065759681209663</v>
      </c>
      <c r="O2078" s="229">
        <v>1.5937564551798791</v>
      </c>
      <c r="P2078" s="229">
        <v>1.1638322706991675</v>
      </c>
      <c r="Q2078" s="229">
        <v>2.3355431987011479</v>
      </c>
      <c r="R2078" s="229">
        <v>0.79219787789388862</v>
      </c>
      <c r="S2078" s="229">
        <v>2.9768135036735033</v>
      </c>
      <c r="T2078" s="229">
        <v>0.25251544999999997</v>
      </c>
      <c r="U2078" s="229">
        <f>U2077-U2076</f>
        <v>1.9959877879590469</v>
      </c>
      <c r="V2078" t="str">
        <f t="shared" si="208"/>
        <v>2021/22Expenditure driversQoS &amp; North of Scotland ResilienceDifference</v>
      </c>
    </row>
    <row r="2079" spans="1:22">
      <c r="A2079" t="s">
        <v>142</v>
      </c>
      <c r="C2079" t="s">
        <v>1344</v>
      </c>
      <c r="D2079" t="s">
        <v>80</v>
      </c>
      <c r="E2079" t="s">
        <v>1346</v>
      </c>
      <c r="F2079" t="s">
        <v>606</v>
      </c>
      <c r="G2079" s="829" t="e">
        <v>#DIV/0!</v>
      </c>
      <c r="H2079" s="829" t="e">
        <v>#DIV/0!</v>
      </c>
      <c r="I2079" s="829" t="e">
        <v>#DIV/0!</v>
      </c>
      <c r="J2079" s="829" t="e">
        <v>#DIV/0!</v>
      </c>
      <c r="K2079" s="829" t="e">
        <v>#DIV/0!</v>
      </c>
      <c r="L2079" s="829" t="e">
        <v>#DIV/0!</v>
      </c>
      <c r="M2079" s="829" t="e">
        <v>#DIV/0!</v>
      </c>
      <c r="N2079" s="829" t="e">
        <v>#DIV/0!</v>
      </c>
      <c r="O2079" s="829" t="e">
        <v>#DIV/0!</v>
      </c>
      <c r="P2079" s="829" t="e">
        <v>#DIV/0!</v>
      </c>
      <c r="Q2079" s="829" t="e">
        <v>#DIV/0!</v>
      </c>
      <c r="R2079" s="829" t="e">
        <v>#DIV/0!</v>
      </c>
      <c r="S2079" s="829">
        <v>1.1560460067408203</v>
      </c>
      <c r="T2079" s="829" t="e">
        <v>#DIV/0!</v>
      </c>
      <c r="U2079" s="829">
        <f>U2078/U2076</f>
        <v>10.85199053449743</v>
      </c>
      <c r="V2079" t="str">
        <f t="shared" si="208"/>
        <v>2021/22Expenditure driversQoS &amp; North of Scotland ResilienceDifference %</v>
      </c>
    </row>
    <row r="2080" spans="1:22">
      <c r="A2080" t="s">
        <v>137</v>
      </c>
      <c r="C2080" t="s">
        <v>1344</v>
      </c>
      <c r="D2080" t="s">
        <v>82</v>
      </c>
      <c r="E2080" t="s">
        <v>1347</v>
      </c>
      <c r="F2080" t="s">
        <v>1289</v>
      </c>
      <c r="G2080">
        <f t="array" ref="G2080:T2087">TRANSPOSE('Ch4 expenditure drivers'!E554:L567)</f>
        <v>3.0311388556564602</v>
      </c>
      <c r="H2080">
        <v>9.5814909282367715</v>
      </c>
      <c r="I2080">
        <v>9.5263114077532425</v>
      </c>
      <c r="J2080">
        <v>3.7929730235013406E-2</v>
      </c>
      <c r="K2080">
        <v>1.7295510171876438</v>
      </c>
      <c r="L2080">
        <v>4.8129779137744562</v>
      </c>
      <c r="M2080">
        <v>0.16927747937382462</v>
      </c>
      <c r="N2080">
        <v>0.59657489769662597</v>
      </c>
      <c r="O2080">
        <v>0.74571708046985385</v>
      </c>
      <c r="P2080">
        <v>0.61013223162317209</v>
      </c>
      <c r="Q2080">
        <v>0.40793257728148097</v>
      </c>
      <c r="R2080">
        <v>0.40796546026087854</v>
      </c>
      <c r="S2080">
        <v>0.12557258112962091</v>
      </c>
      <c r="T2080">
        <v>6.210935031201295</v>
      </c>
      <c r="U2080">
        <f>AVERAGE(G2080:T2080)</f>
        <v>2.7138219422771672</v>
      </c>
      <c r="V2080" t="str">
        <f t="shared" si="204"/>
        <v>2015/16Expenditure driversFlood MitigationBPDT</v>
      </c>
    </row>
    <row r="2081" spans="1:22">
      <c r="A2081" t="s">
        <v>138</v>
      </c>
      <c r="C2081" t="s">
        <v>1344</v>
      </c>
      <c r="D2081" t="s">
        <v>82</v>
      </c>
      <c r="E2081" t="s">
        <v>1347</v>
      </c>
      <c r="F2081" t="s">
        <v>1289</v>
      </c>
      <c r="G2081">
        <v>2.9925328546479681</v>
      </c>
      <c r="H2081">
        <v>7.6199625181756128</v>
      </c>
      <c r="I2081">
        <v>9.3318003773355844</v>
      </c>
      <c r="J2081">
        <v>7.8028065788695103E-2</v>
      </c>
      <c r="K2081">
        <v>2.2168083302539663</v>
      </c>
      <c r="L2081">
        <v>2.8137130020994978</v>
      </c>
      <c r="M2081">
        <v>7.6715494389459571E-2</v>
      </c>
      <c r="N2081">
        <v>0.60209967355272365</v>
      </c>
      <c r="O2081">
        <v>0.75262303601301639</v>
      </c>
      <c r="P2081">
        <v>1.2999853600328168</v>
      </c>
      <c r="Q2081">
        <v>0.38510231060285705</v>
      </c>
      <c r="R2081">
        <v>0.38506918437958693</v>
      </c>
      <c r="S2081">
        <v>0.12527158474882844</v>
      </c>
      <c r="T2081">
        <v>5.4176603780588648</v>
      </c>
      <c r="U2081">
        <f t="shared" ref="U2081:U2112" si="209">AVERAGE(G2081:T2081)</f>
        <v>2.4355265835771052</v>
      </c>
      <c r="V2081" t="str">
        <f t="shared" si="204"/>
        <v>2016/17Expenditure driversFlood MitigationBPDT</v>
      </c>
    </row>
    <row r="2082" spans="1:22">
      <c r="A2082" t="s">
        <v>139</v>
      </c>
      <c r="C2082" t="s">
        <v>1344</v>
      </c>
      <c r="D2082" t="s">
        <v>82</v>
      </c>
      <c r="E2082" t="s">
        <v>1347</v>
      </c>
      <c r="F2082" t="s">
        <v>1289</v>
      </c>
      <c r="G2082">
        <v>2.9692871761673327</v>
      </c>
      <c r="H2082">
        <v>2.6229886468276442</v>
      </c>
      <c r="I2082">
        <v>6.9525909188231374</v>
      </c>
      <c r="J2082">
        <v>0.22546417344096054</v>
      </c>
      <c r="K2082">
        <v>1.1820028198258903</v>
      </c>
      <c r="L2082">
        <v>1.4694962844204964</v>
      </c>
      <c r="M2082">
        <v>7.6036022621648602E-2</v>
      </c>
      <c r="N2082">
        <v>0.60769596441137852</v>
      </c>
      <c r="O2082">
        <v>0.75961838512456825</v>
      </c>
      <c r="P2082">
        <v>1.3120682368492245</v>
      </c>
      <c r="Q2082">
        <v>0.23181431319826643</v>
      </c>
      <c r="R2082">
        <v>0.23178342492405621</v>
      </c>
      <c r="S2082">
        <v>0.125151236525465</v>
      </c>
      <c r="T2082">
        <v>5.2533656688275201</v>
      </c>
      <c r="U2082">
        <f t="shared" si="209"/>
        <v>1.7156688051419706</v>
      </c>
      <c r="V2082" t="str">
        <f t="shared" si="204"/>
        <v>2017/18Expenditure driversFlood MitigationBPDT</v>
      </c>
    </row>
    <row r="2083" spans="1:22">
      <c r="A2083" t="s">
        <v>140</v>
      </c>
      <c r="C2083" t="s">
        <v>1344</v>
      </c>
      <c r="D2083" t="s">
        <v>82</v>
      </c>
      <c r="E2083" t="s">
        <v>1347</v>
      </c>
      <c r="F2083" t="s">
        <v>1289</v>
      </c>
      <c r="G2083">
        <v>2.9242316661085441</v>
      </c>
      <c r="H2083">
        <v>2.632195230984522</v>
      </c>
      <c r="I2083">
        <v>4.3289604304378759</v>
      </c>
      <c r="J2083">
        <v>0.11625619693211658</v>
      </c>
      <c r="K2083">
        <v>9.4590754027668048E-2</v>
      </c>
      <c r="L2083">
        <v>7.8821164017164921E-2</v>
      </c>
      <c r="M2083">
        <v>0.11798377860267205</v>
      </c>
      <c r="N2083">
        <v>0.61336459099589058</v>
      </c>
      <c r="O2083">
        <v>0.76670415370651368</v>
      </c>
      <c r="P2083">
        <v>1.324307292764795</v>
      </c>
      <c r="Q2083">
        <v>0</v>
      </c>
      <c r="R2083">
        <v>0</v>
      </c>
      <c r="S2083">
        <v>0.12424170040606579</v>
      </c>
      <c r="T2083">
        <v>5.0566616282502572</v>
      </c>
      <c r="U2083">
        <f t="shared" si="209"/>
        <v>1.2984513276595777</v>
      </c>
      <c r="V2083" t="str">
        <f t="shared" si="204"/>
        <v>2018/19Expenditure driversFlood MitigationBPDT</v>
      </c>
    </row>
    <row r="2084" spans="1:22">
      <c r="A2084" t="s">
        <v>141</v>
      </c>
      <c r="C2084" t="s">
        <v>1344</v>
      </c>
      <c r="D2084" t="s">
        <v>82</v>
      </c>
      <c r="E2084" t="s">
        <v>1347</v>
      </c>
      <c r="F2084" t="s">
        <v>1289</v>
      </c>
      <c r="G2084">
        <v>1.0968951920626295</v>
      </c>
      <c r="H2084">
        <v>0</v>
      </c>
      <c r="I2084">
        <v>0</v>
      </c>
      <c r="J2084">
        <v>0.22733559224312863</v>
      </c>
      <c r="K2084">
        <v>0.298243618832916</v>
      </c>
      <c r="L2084">
        <v>0.22788562817012614</v>
      </c>
      <c r="M2084">
        <v>9.7202335547849031E-2</v>
      </c>
      <c r="N2084">
        <v>0.61910638439686572</v>
      </c>
      <c r="O2084">
        <v>0.59799923794916288</v>
      </c>
      <c r="P2084">
        <v>1.3367043221761505</v>
      </c>
      <c r="Q2084">
        <v>0</v>
      </c>
      <c r="R2084">
        <v>0</v>
      </c>
      <c r="S2084">
        <v>0.12391494530229022</v>
      </c>
      <c r="T2084">
        <v>1.0006924889597819</v>
      </c>
      <c r="U2084">
        <f t="shared" si="209"/>
        <v>0.40185569611720717</v>
      </c>
      <c r="V2084" t="str">
        <f t="shared" si="204"/>
        <v>2019/20Expenditure driversFlood MitigationBPDT</v>
      </c>
    </row>
    <row r="2085" spans="1:22">
      <c r="A2085" t="s">
        <v>126</v>
      </c>
      <c r="C2085" t="s">
        <v>1344</v>
      </c>
      <c r="D2085" t="s">
        <v>82</v>
      </c>
      <c r="E2085" t="s">
        <v>1347</v>
      </c>
      <c r="F2085" t="s">
        <v>1289</v>
      </c>
      <c r="G2085">
        <v>1.0137674561560084</v>
      </c>
      <c r="H2085">
        <v>0</v>
      </c>
      <c r="I2085">
        <v>0</v>
      </c>
      <c r="J2085">
        <v>0.5483834858647384</v>
      </c>
      <c r="K2085">
        <v>0.49474311147059918</v>
      </c>
      <c r="L2085">
        <v>7.9311199147440489E-2</v>
      </c>
      <c r="M2085">
        <v>0.62107598629846095</v>
      </c>
      <c r="N2085">
        <v>0.62492218619837003</v>
      </c>
      <c r="O2085">
        <v>0.60361676206620307</v>
      </c>
      <c r="P2085">
        <v>1.3492611421362035</v>
      </c>
      <c r="Q2085">
        <v>0</v>
      </c>
      <c r="R2085">
        <v>0</v>
      </c>
      <c r="S2085">
        <v>0.12360636563929732</v>
      </c>
      <c r="T2085">
        <v>0.99818012056255689</v>
      </c>
      <c r="U2085">
        <f t="shared" si="209"/>
        <v>0.46120484396713418</v>
      </c>
      <c r="V2085" t="str">
        <f t="shared" si="204"/>
        <v>2020/21Expenditure driversFlood MitigationBPDT</v>
      </c>
    </row>
    <row r="2086" spans="1:22">
      <c r="A2086" t="s">
        <v>142</v>
      </c>
      <c r="C2086" t="s">
        <v>1344</v>
      </c>
      <c r="D2086" t="s">
        <v>82</v>
      </c>
      <c r="E2086" t="s">
        <v>1347</v>
      </c>
      <c r="F2086" t="s">
        <v>1289</v>
      </c>
      <c r="G2086">
        <v>0</v>
      </c>
      <c r="H2086">
        <v>0</v>
      </c>
      <c r="I2086">
        <v>0</v>
      </c>
      <c r="J2086">
        <v>0.18987642031565818</v>
      </c>
      <c r="K2086">
        <v>0.24124676804910183</v>
      </c>
      <c r="L2086">
        <v>0.19016504132679965</v>
      </c>
      <c r="M2086">
        <v>0.18995188941203539</v>
      </c>
      <c r="N2086">
        <v>0.63081284860566988</v>
      </c>
      <c r="O2086">
        <v>0.39425721485271742</v>
      </c>
      <c r="P2086">
        <v>1.3619795926299569</v>
      </c>
      <c r="Q2086">
        <v>0</v>
      </c>
      <c r="R2086">
        <v>0</v>
      </c>
      <c r="S2086">
        <v>0.12331318738981091</v>
      </c>
      <c r="T2086">
        <v>0.99583147768066038</v>
      </c>
      <c r="U2086">
        <f t="shared" si="209"/>
        <v>0.30838817430445792</v>
      </c>
      <c r="V2086" t="str">
        <f t="shared" si="204"/>
        <v>2021/22Expenditure driversFlood MitigationBPDT</v>
      </c>
    </row>
    <row r="2087" spans="1:22">
      <c r="A2087" t="s">
        <v>143</v>
      </c>
      <c r="C2087" t="s">
        <v>1344</v>
      </c>
      <c r="D2087" t="s">
        <v>82</v>
      </c>
      <c r="E2087" t="s">
        <v>1347</v>
      </c>
      <c r="F2087" t="s">
        <v>1289</v>
      </c>
      <c r="G2087">
        <v>0</v>
      </c>
      <c r="H2087">
        <v>0</v>
      </c>
      <c r="I2087">
        <v>0</v>
      </c>
      <c r="J2087">
        <v>0.11829774175845807</v>
      </c>
      <c r="K2087">
        <v>0.26280986858880206</v>
      </c>
      <c r="L2087">
        <v>0.39483505594346802</v>
      </c>
      <c r="M2087">
        <v>0.18969032113049095</v>
      </c>
      <c r="N2087">
        <v>0.63677923457457808</v>
      </c>
      <c r="O2087">
        <v>0.3979861983698374</v>
      </c>
      <c r="P2087">
        <v>1.3748615368537758</v>
      </c>
      <c r="Q2087">
        <v>0</v>
      </c>
      <c r="R2087">
        <v>0</v>
      </c>
      <c r="S2087">
        <v>0.12304773003967628</v>
      </c>
      <c r="T2087">
        <v>0.99367610735583212</v>
      </c>
      <c r="U2087">
        <f t="shared" si="209"/>
        <v>0.32085598532963705</v>
      </c>
      <c r="V2087" t="str">
        <f t="shared" ref="V2087:V2156" si="210">CONCATENATE(A2087,B2087,C2087,D2087,E2087)</f>
        <v>2022/23Expenditure driversFlood MitigationBPDT</v>
      </c>
    </row>
    <row r="2088" spans="1:22">
      <c r="A2088" t="s">
        <v>137</v>
      </c>
      <c r="C2088" t="s">
        <v>1344</v>
      </c>
      <c r="D2088" t="s">
        <v>82</v>
      </c>
      <c r="E2088" t="s">
        <v>1348</v>
      </c>
      <c r="F2088" t="s">
        <v>1289</v>
      </c>
      <c r="G2088">
        <f t="array" ref="G2088:T2095">TRANSPOSE('Ch4 expenditure drivers'!N554:U567)</f>
        <v>2.084937721189033</v>
      </c>
      <c r="H2088">
        <v>4.8696161275504455</v>
      </c>
      <c r="I2088">
        <v>5.4775927485688927</v>
      </c>
      <c r="J2088">
        <v>3.7929730235013406E-2</v>
      </c>
      <c r="K2088">
        <v>1.7295510171876438</v>
      </c>
      <c r="L2088">
        <v>4.8129779137744562</v>
      </c>
      <c r="M2088">
        <v>0.16927747937382462</v>
      </c>
      <c r="N2088">
        <v>0.73208235957227108</v>
      </c>
      <c r="O2088">
        <v>0.65290781555417865</v>
      </c>
      <c r="P2088">
        <v>1.0002520481489758</v>
      </c>
      <c r="Q2088">
        <v>0.20125493957592738</v>
      </c>
      <c r="R2088">
        <v>0.19544630742663205</v>
      </c>
      <c r="S2088">
        <v>0.10836522616524036</v>
      </c>
      <c r="T2088">
        <v>4.1979321172870492</v>
      </c>
      <c r="U2088">
        <f t="shared" si="209"/>
        <v>1.8764373965435419</v>
      </c>
      <c r="V2088" t="str">
        <f t="shared" si="210"/>
        <v>2015/16Expenditure driversFlood MitigationDNO Baseline</v>
      </c>
    </row>
    <row r="2089" spans="1:22">
      <c r="A2089" t="s">
        <v>138</v>
      </c>
      <c r="C2089" t="s">
        <v>1344</v>
      </c>
      <c r="D2089" t="s">
        <v>82</v>
      </c>
      <c r="E2089" t="s">
        <v>1348</v>
      </c>
      <c r="F2089" t="s">
        <v>1289</v>
      </c>
      <c r="G2089">
        <v>1.9237243961172343</v>
      </c>
      <c r="H2089">
        <v>4.2850169336152382</v>
      </c>
      <c r="I2089">
        <v>5.3004376196510137</v>
      </c>
      <c r="J2089">
        <v>7.8028065788695103E-2</v>
      </c>
      <c r="K2089">
        <v>2.2168083302539663</v>
      </c>
      <c r="L2089">
        <v>2.8137130020994978</v>
      </c>
      <c r="M2089">
        <v>7.6715494389459571E-2</v>
      </c>
      <c r="N2089">
        <v>0.72704193663010941</v>
      </c>
      <c r="O2089">
        <v>0.71780638504807015</v>
      </c>
      <c r="P2089">
        <v>1.1963438526518668</v>
      </c>
      <c r="Q2089">
        <v>0.19510150315345967</v>
      </c>
      <c r="R2089">
        <v>0.20162228211492617</v>
      </c>
      <c r="S2089">
        <v>0.10675273515446849</v>
      </c>
      <c r="T2089">
        <v>3.9776178965267723</v>
      </c>
      <c r="U2089">
        <f t="shared" si="209"/>
        <v>1.7011950309424844</v>
      </c>
      <c r="V2089" t="str">
        <f t="shared" si="210"/>
        <v>2016/17Expenditure driversFlood MitigationDNO Baseline</v>
      </c>
    </row>
    <row r="2090" spans="1:22">
      <c r="A2090" t="s">
        <v>139</v>
      </c>
      <c r="C2090" t="s">
        <v>1344</v>
      </c>
      <c r="D2090" t="s">
        <v>82</v>
      </c>
      <c r="E2090" t="s">
        <v>1348</v>
      </c>
      <c r="F2090" t="s">
        <v>1289</v>
      </c>
      <c r="G2090">
        <v>2.0238479128018305</v>
      </c>
      <c r="H2090">
        <v>2.7201325190641041</v>
      </c>
      <c r="I2090">
        <v>4.5437650628791619</v>
      </c>
      <c r="J2090">
        <v>0.22546417344096054</v>
      </c>
      <c r="K2090">
        <v>1.1820028198258903</v>
      </c>
      <c r="L2090">
        <v>1.4694962844204964</v>
      </c>
      <c r="M2090">
        <v>7.6036022621648602E-2</v>
      </c>
      <c r="N2090">
        <v>0.59818083707782843</v>
      </c>
      <c r="O2090">
        <v>0.65566355832229573</v>
      </c>
      <c r="P2090">
        <v>1.2369987201555477</v>
      </c>
      <c r="Q2090">
        <v>0.15632013944032244</v>
      </c>
      <c r="R2090">
        <v>0.15395972664370669</v>
      </c>
      <c r="S2090">
        <v>0.10228879546517171</v>
      </c>
      <c r="T2090">
        <v>3.8216189425953297</v>
      </c>
      <c r="U2090">
        <f t="shared" si="209"/>
        <v>1.3546982510538783</v>
      </c>
      <c r="V2090" t="str">
        <f t="shared" si="210"/>
        <v>2017/18Expenditure driversFlood MitigationDNO Baseline</v>
      </c>
    </row>
    <row r="2091" spans="1:22">
      <c r="A2091" t="s">
        <v>140</v>
      </c>
      <c r="C2091" t="s">
        <v>1344</v>
      </c>
      <c r="D2091" t="s">
        <v>82</v>
      </c>
      <c r="E2091" t="s">
        <v>1348</v>
      </c>
      <c r="F2091" t="s">
        <v>1289</v>
      </c>
      <c r="G2091">
        <v>1.9527433296721786</v>
      </c>
      <c r="H2091">
        <v>2.6817565746989209</v>
      </c>
      <c r="I2091">
        <v>3.7930378654449766</v>
      </c>
      <c r="J2091">
        <v>0.11625619693211658</v>
      </c>
      <c r="K2091">
        <v>9.4590754027668048E-2</v>
      </c>
      <c r="L2091">
        <v>7.8821164017164921E-2</v>
      </c>
      <c r="M2091">
        <v>0.11798377860267205</v>
      </c>
      <c r="N2091">
        <v>0.55314007875886373</v>
      </c>
      <c r="O2091">
        <v>0.65439182020899755</v>
      </c>
      <c r="P2091">
        <v>1.2790348076970504</v>
      </c>
      <c r="Q2091">
        <v>9.396717459683275E-2</v>
      </c>
      <c r="R2091">
        <v>8.7385661083504845E-2</v>
      </c>
      <c r="S2091">
        <v>0.10165336585746031</v>
      </c>
      <c r="T2091">
        <v>3.6633132831778372</v>
      </c>
      <c r="U2091">
        <f t="shared" si="209"/>
        <v>1.0905768467697319</v>
      </c>
      <c r="V2091" t="str">
        <f t="shared" si="210"/>
        <v>2018/19Expenditure driversFlood MitigationDNO Baseline</v>
      </c>
    </row>
    <row r="2092" spans="1:22">
      <c r="A2092" t="s">
        <v>141</v>
      </c>
      <c r="C2092" t="s">
        <v>1344</v>
      </c>
      <c r="D2092" t="s">
        <v>82</v>
      </c>
      <c r="E2092" t="s">
        <v>1348</v>
      </c>
      <c r="F2092" t="s">
        <v>1289</v>
      </c>
      <c r="G2092">
        <v>1.5510540258385208</v>
      </c>
      <c r="H2092">
        <v>1.8937147685771412</v>
      </c>
      <c r="I2092">
        <v>2.2401090957697098</v>
      </c>
      <c r="J2092">
        <v>0.22733559224312863</v>
      </c>
      <c r="K2092">
        <v>0.298243618832916</v>
      </c>
      <c r="L2092">
        <v>0.22788562817012614</v>
      </c>
      <c r="M2092">
        <v>9.7202335547849031E-2</v>
      </c>
      <c r="N2092">
        <v>0.56497009332136416</v>
      </c>
      <c r="O2092">
        <v>0.59880376637898647</v>
      </c>
      <c r="P2092">
        <v>1.254820046336621</v>
      </c>
      <c r="Q2092">
        <v>9.0752853278559434E-2</v>
      </c>
      <c r="R2092">
        <v>8.4706005249502808E-2</v>
      </c>
      <c r="S2092">
        <v>0.10175169018246122</v>
      </c>
      <c r="T2092">
        <v>2.5180517474084909</v>
      </c>
      <c r="U2092">
        <f t="shared" si="209"/>
        <v>0.83924294765252683</v>
      </c>
      <c r="V2092" t="str">
        <f t="shared" si="210"/>
        <v>2019/20Expenditure driversFlood MitigationDNO Baseline</v>
      </c>
    </row>
    <row r="2093" spans="1:22">
      <c r="A2093" t="s">
        <v>126</v>
      </c>
      <c r="C2093" t="s">
        <v>1344</v>
      </c>
      <c r="D2093" t="s">
        <v>82</v>
      </c>
      <c r="E2093" t="s">
        <v>1348</v>
      </c>
      <c r="F2093" t="s">
        <v>1289</v>
      </c>
      <c r="G2093">
        <v>1.5272005803821314</v>
      </c>
      <c r="H2093">
        <v>1.6242609912136459</v>
      </c>
      <c r="I2093">
        <v>2.1545223894403494</v>
      </c>
      <c r="J2093">
        <v>0.5483834858647384</v>
      </c>
      <c r="K2093">
        <v>0.49474311147059918</v>
      </c>
      <c r="L2093">
        <v>7.9311199147440489E-2</v>
      </c>
      <c r="M2093">
        <v>0.62107598629846095</v>
      </c>
      <c r="N2093">
        <v>0.55793190868792397</v>
      </c>
      <c r="O2093">
        <v>0.59243652450381645</v>
      </c>
      <c r="P2093">
        <v>1.1673915868632425</v>
      </c>
      <c r="Q2093">
        <v>8.7921745722704545E-2</v>
      </c>
      <c r="R2093">
        <v>8.5261941173722045E-2</v>
      </c>
      <c r="S2093">
        <v>0.10095512835400838</v>
      </c>
      <c r="T2093">
        <v>2.3738653286538041</v>
      </c>
      <c r="U2093">
        <f t="shared" si="209"/>
        <v>0.85823299341261339</v>
      </c>
      <c r="V2093" t="str">
        <f t="shared" si="210"/>
        <v>2020/21Expenditure driversFlood MitigationDNO Baseline</v>
      </c>
    </row>
    <row r="2094" spans="1:22">
      <c r="A2094" t="s">
        <v>142</v>
      </c>
      <c r="C2094" t="s">
        <v>1344</v>
      </c>
      <c r="D2094" t="s">
        <v>82</v>
      </c>
      <c r="E2094" t="s">
        <v>1348</v>
      </c>
      <c r="F2094" t="s">
        <v>1289</v>
      </c>
      <c r="G2094">
        <v>1.2586124383993778</v>
      </c>
      <c r="H2094">
        <v>1.4269522512456823</v>
      </c>
      <c r="I2094">
        <v>1.7996606526837102</v>
      </c>
      <c r="J2094">
        <v>0.18987642031565818</v>
      </c>
      <c r="K2094">
        <v>0.24124676804910183</v>
      </c>
      <c r="L2094">
        <v>0.19016504132679965</v>
      </c>
      <c r="M2094">
        <v>0.18995188941203539</v>
      </c>
      <c r="N2094">
        <v>0.50824796047886545</v>
      </c>
      <c r="O2094">
        <v>0.50851145661416108</v>
      </c>
      <c r="P2094">
        <v>1.1424017925244945</v>
      </c>
      <c r="Q2094">
        <v>7.6775191130372483E-2</v>
      </c>
      <c r="R2094">
        <v>6.9467168219152733E-2</v>
      </c>
      <c r="S2094">
        <v>0.10100303517853983</v>
      </c>
      <c r="T2094">
        <v>2.3280685580359592</v>
      </c>
      <c r="U2094">
        <f t="shared" si="209"/>
        <v>0.71649575882956495</v>
      </c>
      <c r="V2094" t="str">
        <f t="shared" si="210"/>
        <v>2021/22Expenditure driversFlood MitigationDNO Baseline</v>
      </c>
    </row>
    <row r="2095" spans="1:22">
      <c r="A2095" t="s">
        <v>143</v>
      </c>
      <c r="C2095" t="s">
        <v>1344</v>
      </c>
      <c r="D2095" t="s">
        <v>82</v>
      </c>
      <c r="E2095" t="s">
        <v>1348</v>
      </c>
      <c r="F2095" t="s">
        <v>1289</v>
      </c>
      <c r="G2095">
        <v>1.2204461726067735</v>
      </c>
      <c r="H2095">
        <v>1.4268860403669272</v>
      </c>
      <c r="I2095">
        <v>1.9914661294802591</v>
      </c>
      <c r="J2095">
        <v>0.11829774175845807</v>
      </c>
      <c r="K2095">
        <v>0.26280986858880206</v>
      </c>
      <c r="L2095">
        <v>0.39483505594346802</v>
      </c>
      <c r="M2095">
        <v>0.18969032113049095</v>
      </c>
      <c r="N2095">
        <v>0.48326862423220801</v>
      </c>
      <c r="O2095">
        <v>0.49237348978128354</v>
      </c>
      <c r="P2095">
        <v>1.080826705387786</v>
      </c>
      <c r="Q2095">
        <v>7.2856782585151325E-2</v>
      </c>
      <c r="R2095">
        <v>5.6433773723637108E-2</v>
      </c>
      <c r="S2095">
        <v>9.8881230517421134E-2</v>
      </c>
      <c r="T2095">
        <v>2.3624916498876751</v>
      </c>
      <c r="U2095">
        <f t="shared" si="209"/>
        <v>0.732254541856453</v>
      </c>
      <c r="V2095" t="str">
        <f t="shared" si="210"/>
        <v>2022/23Expenditure driversFlood MitigationDNO Baseline</v>
      </c>
    </row>
    <row r="2096" spans="1:22">
      <c r="A2096" t="s">
        <v>137</v>
      </c>
      <c r="C2096" t="s">
        <v>1344</v>
      </c>
      <c r="D2096" t="s">
        <v>82</v>
      </c>
      <c r="E2096" t="s">
        <v>1349</v>
      </c>
      <c r="F2096" t="s">
        <v>1289</v>
      </c>
      <c r="G2096" cm="1">
        <f t="array" ref="G2096:T2102">TRANSPOSE('Ch4 expenditure drivers'!W554:AC567)</f>
        <v>7.2089534770629626E-2</v>
      </c>
      <c r="H2096">
        <v>1.2362084147521328</v>
      </c>
      <c r="I2096">
        <v>5.2857259542806823</v>
      </c>
      <c r="J2096">
        <v>0.15232089209930891</v>
      </c>
      <c r="K2096">
        <v>1.2089721199693177</v>
      </c>
      <c r="L2096">
        <v>9.3551414045244835E-2</v>
      </c>
      <c r="M2096">
        <v>0.53971969641487405</v>
      </c>
      <c r="N2096">
        <v>0.1620893024540748</v>
      </c>
      <c r="O2096">
        <v>0.14927487456774585</v>
      </c>
      <c r="P2096">
        <v>-1.0743077990279964E-2</v>
      </c>
      <c r="Q2096">
        <v>0.62552458562010227</v>
      </c>
      <c r="R2096">
        <v>0.44235458631493113</v>
      </c>
      <c r="S2096">
        <v>0.92483968423446516</v>
      </c>
      <c r="T2096">
        <v>1.3864799312346541</v>
      </c>
      <c r="U2096">
        <f t="shared" si="209"/>
        <v>0.87631485091199146</v>
      </c>
      <c r="V2096" t="str">
        <f t="shared" si="210"/>
        <v>2015/16Expenditure driversFlood MitigationDNO Actual</v>
      </c>
    </row>
    <row r="2097" spans="1:22">
      <c r="A2097" t="s">
        <v>138</v>
      </c>
      <c r="C2097" t="s">
        <v>1344</v>
      </c>
      <c r="D2097" t="s">
        <v>82</v>
      </c>
      <c r="E2097" t="s">
        <v>1349</v>
      </c>
      <c r="F2097" t="s">
        <v>1289</v>
      </c>
      <c r="G2097">
        <v>3.7805797332454953</v>
      </c>
      <c r="H2097">
        <v>1.6814937970727701</v>
      </c>
      <c r="I2097">
        <v>3.4866932316908006</v>
      </c>
      <c r="J2097">
        <v>4.8142879785050122E-2</v>
      </c>
      <c r="K2097">
        <v>1.0532722723704868</v>
      </c>
      <c r="L2097">
        <v>0.62820587036589781</v>
      </c>
      <c r="M2097">
        <v>0.32290955953387274</v>
      </c>
      <c r="N2097">
        <v>3.9687676706339622E-3</v>
      </c>
      <c r="O2097">
        <v>0.12967181767733646</v>
      </c>
      <c r="P2097">
        <v>0.14379759696544264</v>
      </c>
      <c r="Q2097">
        <v>7.6120506127943487E-3</v>
      </c>
      <c r="R2097">
        <v>1.89283712715856E-3</v>
      </c>
      <c r="S2097">
        <v>9.6759708608335354E-2</v>
      </c>
      <c r="T2097">
        <v>1.4654397878207646</v>
      </c>
      <c r="U2097">
        <f t="shared" si="209"/>
        <v>0.91788856503905991</v>
      </c>
      <c r="V2097" t="str">
        <f t="shared" si="210"/>
        <v>2016/17Expenditure driversFlood MitigationDNO Actual</v>
      </c>
    </row>
    <row r="2098" spans="1:22">
      <c r="A2098" t="s">
        <v>139</v>
      </c>
      <c r="C2098" t="s">
        <v>1344</v>
      </c>
      <c r="D2098" t="s">
        <v>82</v>
      </c>
      <c r="E2098" t="s">
        <v>1349</v>
      </c>
      <c r="F2098" t="s">
        <v>1289</v>
      </c>
      <c r="G2098">
        <v>3.3035409235619149</v>
      </c>
      <c r="H2098">
        <v>1.8595475170627112</v>
      </c>
      <c r="I2098">
        <v>6.087117224210175</v>
      </c>
      <c r="J2098">
        <v>0.18336169191147583</v>
      </c>
      <c r="K2098">
        <v>0.37917386907620004</v>
      </c>
      <c r="L2098">
        <v>1.0639505580048598</v>
      </c>
      <c r="M2098">
        <v>0.28183371164171284</v>
      </c>
      <c r="N2098">
        <v>7.2583864232127475E-4</v>
      </c>
      <c r="O2098">
        <v>0.10027445793069112</v>
      </c>
      <c r="P2098">
        <v>0.21060266303132985</v>
      </c>
      <c r="Q2098">
        <v>0</v>
      </c>
      <c r="R2098">
        <v>0.35902672021185267</v>
      </c>
      <c r="S2098">
        <v>0</v>
      </c>
      <c r="T2098">
        <v>1.6843244860405662</v>
      </c>
      <c r="U2098">
        <f t="shared" si="209"/>
        <v>1.1081056900947008</v>
      </c>
      <c r="V2098" t="str">
        <f t="shared" si="210"/>
        <v>2017/18Expenditure driversFlood MitigationDNO Actual</v>
      </c>
    </row>
    <row r="2099" spans="1:22">
      <c r="A2099" t="s">
        <v>140</v>
      </c>
      <c r="C2099" t="s">
        <v>1344</v>
      </c>
      <c r="D2099" t="s">
        <v>82</v>
      </c>
      <c r="E2099" t="s">
        <v>1349</v>
      </c>
      <c r="F2099" t="s">
        <v>1289</v>
      </c>
      <c r="G2099">
        <v>3.0542620336744317</v>
      </c>
      <c r="H2099">
        <v>5.8080146809616764</v>
      </c>
      <c r="I2099">
        <v>5.9583304051876711</v>
      </c>
      <c r="J2099">
        <v>0.32180275177545287</v>
      </c>
      <c r="K2099">
        <v>0.37232468550129189</v>
      </c>
      <c r="L2099">
        <v>0.43492795120504896</v>
      </c>
      <c r="M2099">
        <v>9.1159141287926918E-2</v>
      </c>
      <c r="N2099">
        <v>0.15065409527336887</v>
      </c>
      <c r="O2099">
        <v>1.1265876708659361</v>
      </c>
      <c r="P2099">
        <v>0.28426320458414217</v>
      </c>
      <c r="Q2099">
        <v>0</v>
      </c>
      <c r="R2099">
        <v>0</v>
      </c>
      <c r="S2099">
        <v>1.0920425805130812E-2</v>
      </c>
      <c r="T2099">
        <v>0.85113559295155805</v>
      </c>
      <c r="U2099">
        <f>AVERAGE(G2099:T2099)</f>
        <v>1.3188844742195456</v>
      </c>
      <c r="V2099" t="str">
        <f t="shared" si="210"/>
        <v>2018/19Expenditure driversFlood MitigationDNO Actual</v>
      </c>
    </row>
    <row r="2100" spans="1:22">
      <c r="A2100" t="s">
        <v>141</v>
      </c>
      <c r="C2100" t="s">
        <v>1344</v>
      </c>
      <c r="D2100" t="s">
        <v>82</v>
      </c>
      <c r="E2100" t="s">
        <v>1349</v>
      </c>
      <c r="F2100" t="s">
        <v>1289</v>
      </c>
      <c r="G2100">
        <v>1.7080275913710996</v>
      </c>
      <c r="H2100">
        <v>4.5131893867538313</v>
      </c>
      <c r="I2100">
        <v>3.3140967302510074</v>
      </c>
      <c r="J2100">
        <v>0.12525886141713863</v>
      </c>
      <c r="K2100">
        <v>0.37577658425141586</v>
      </c>
      <c r="L2100">
        <v>0.14560004404043464</v>
      </c>
      <c r="M2100">
        <v>1.820000550505433E-2</v>
      </c>
      <c r="N2100">
        <v>0.29302464215017315</v>
      </c>
      <c r="O2100">
        <v>0.43575855772195188</v>
      </c>
      <c r="P2100">
        <v>0.17733204366612312</v>
      </c>
      <c r="Q2100">
        <v>1.063051615664632E-2</v>
      </c>
      <c r="R2100">
        <v>0</v>
      </c>
      <c r="S2100">
        <v>1.8976182210416942E-2</v>
      </c>
      <c r="T2100">
        <v>6.3038709434719005</v>
      </c>
      <c r="U2100">
        <f>AVERAGE(G2100:T2100)</f>
        <v>1.2456958634976569</v>
      </c>
      <c r="V2100" t="str">
        <f t="shared" si="210"/>
        <v>2019/20Expenditure driversFlood MitigationDNO Actual</v>
      </c>
    </row>
    <row r="2101" spans="1:22">
      <c r="A2101" t="s">
        <v>126</v>
      </c>
      <c r="C2101" t="s">
        <v>1344</v>
      </c>
      <c r="D2101" t="s">
        <v>82</v>
      </c>
      <c r="E2101" t="s">
        <v>1349</v>
      </c>
      <c r="F2101" t="s">
        <v>1289</v>
      </c>
      <c r="G2101">
        <v>1.2572555208253615</v>
      </c>
      <c r="H2101">
        <v>3.0117914039914071</v>
      </c>
      <c r="I2101">
        <v>2.2825472155494677</v>
      </c>
      <c r="J2101">
        <v>0</v>
      </c>
      <c r="K2101">
        <v>0.45906771323771878</v>
      </c>
      <c r="L2101">
        <v>0.49608930301495413</v>
      </c>
      <c r="M2101">
        <v>0</v>
      </c>
      <c r="N2101">
        <v>0.3965275368116376</v>
      </c>
      <c r="O2101">
        <v>0.43684692019765203</v>
      </c>
      <c r="P2101">
        <v>0.46405238321054221</v>
      </c>
      <c r="Q2101">
        <v>3.301433840496603E-2</v>
      </c>
      <c r="R2101">
        <v>3.8906517576750674E-3</v>
      </c>
      <c r="S2101">
        <v>1.6784636821261395E-3</v>
      </c>
      <c r="T2101">
        <v>3.6206549112244408</v>
      </c>
      <c r="U2101">
        <f>AVERAGE(G2101:T2101)</f>
        <v>0.89024402585056783</v>
      </c>
      <c r="V2101" t="str">
        <f t="shared" si="210"/>
        <v>2020/21Expenditure driversFlood MitigationDNO Actual</v>
      </c>
    </row>
    <row r="2102" spans="1:22">
      <c r="A2102" t="s">
        <v>142</v>
      </c>
      <c r="C2102" t="s">
        <v>1344</v>
      </c>
      <c r="D2102" t="s">
        <v>82</v>
      </c>
      <c r="E2102" t="s">
        <v>1349</v>
      </c>
      <c r="F2102" t="s">
        <v>1289</v>
      </c>
      <c r="G2102">
        <v>0.44370137956428501</v>
      </c>
      <c r="H2102">
        <v>1.64677926</v>
      </c>
      <c r="I2102">
        <v>3.0610715799999997</v>
      </c>
      <c r="J2102">
        <v>7.0599999999999996E-2</v>
      </c>
      <c r="K2102">
        <v>3.3200000000000007E-2</v>
      </c>
      <c r="L2102">
        <v>0.71569999999999989</v>
      </c>
      <c r="M2102">
        <v>0</v>
      </c>
      <c r="N2102">
        <v>0.16875613070229875</v>
      </c>
      <c r="O2102">
        <v>0.42970974568635328</v>
      </c>
      <c r="P2102">
        <v>0.2869804653379554</v>
      </c>
      <c r="Q2102">
        <v>1.0623653145439895E-2</v>
      </c>
      <c r="R2102">
        <v>4.7017666530229429E-2</v>
      </c>
      <c r="S2102">
        <v>1.3919290000000001E-2</v>
      </c>
      <c r="T2102">
        <v>1.5446119899999997</v>
      </c>
      <c r="U2102">
        <f>AVERAGE(G2102:T2102)</f>
        <v>0.60519079721189717</v>
      </c>
      <c r="V2102" t="str">
        <f t="shared" ref="V2102" si="211">CONCATENATE(A2102,B2102,C2102,D2102,E2102)</f>
        <v>2021/22Expenditure driversFlood MitigationDNO Actual</v>
      </c>
    </row>
    <row r="2103" spans="1:22">
      <c r="A2103" t="s">
        <v>137</v>
      </c>
      <c r="C2103" t="s">
        <v>1344</v>
      </c>
      <c r="D2103" t="s">
        <v>82</v>
      </c>
      <c r="E2103" t="s">
        <v>297</v>
      </c>
      <c r="F2103" t="s">
        <v>1289</v>
      </c>
      <c r="G2103">
        <f t="array" ref="G2103:T2106">TRANSPOSE('Ch4 expenditure drivers'!AF554:AI567)</f>
        <v>2.084937721189033</v>
      </c>
      <c r="H2103">
        <v>4.8696161275504455</v>
      </c>
      <c r="I2103">
        <v>5.4775927485688927</v>
      </c>
      <c r="J2103">
        <v>3.7929730235013406E-2</v>
      </c>
      <c r="K2103">
        <v>1.7295510171876438</v>
      </c>
      <c r="L2103">
        <v>4.8129779137744562</v>
      </c>
      <c r="M2103">
        <v>0.16927747937382462</v>
      </c>
      <c r="N2103">
        <v>0.73208235957227108</v>
      </c>
      <c r="O2103">
        <v>0.65290781555417865</v>
      </c>
      <c r="P2103">
        <v>1.0002520481489758</v>
      </c>
      <c r="Q2103">
        <v>0.20125493957592738</v>
      </c>
      <c r="R2103">
        <v>0.19544630742663205</v>
      </c>
      <c r="S2103">
        <v>0.10836522616524036</v>
      </c>
      <c r="T2103">
        <v>4.1979321172870492</v>
      </c>
      <c r="U2103">
        <f t="shared" si="209"/>
        <v>1.8764373965435419</v>
      </c>
      <c r="V2103" t="str">
        <f t="shared" si="210"/>
        <v>2015/16Expenditure driversFlood MitigationAllowance</v>
      </c>
    </row>
    <row r="2104" spans="1:22">
      <c r="A2104" t="s">
        <v>137</v>
      </c>
      <c r="C2104" t="s">
        <v>1344</v>
      </c>
      <c r="D2104" t="s">
        <v>82</v>
      </c>
      <c r="E2104" t="s">
        <v>298</v>
      </c>
      <c r="F2104" t="s">
        <v>1289</v>
      </c>
      <c r="G2104">
        <v>7.2089534770629626E-2</v>
      </c>
      <c r="H2104">
        <v>1.2362084147521328</v>
      </c>
      <c r="I2104">
        <v>5.2857259542806823</v>
      </c>
      <c r="J2104">
        <v>0.15232089209930891</v>
      </c>
      <c r="K2104">
        <v>1.2089721199693177</v>
      </c>
      <c r="L2104">
        <v>9.3551414045244835E-2</v>
      </c>
      <c r="M2104">
        <v>0.53971969641487405</v>
      </c>
      <c r="N2104">
        <v>0.1620893024540748</v>
      </c>
      <c r="O2104">
        <v>0.14927487456774585</v>
      </c>
      <c r="P2104">
        <v>-1.0743077990279964E-2</v>
      </c>
      <c r="Q2104">
        <v>0.62552458562010227</v>
      </c>
      <c r="R2104">
        <v>0.44235458631493113</v>
      </c>
      <c r="S2104">
        <v>0.92483968423446516</v>
      </c>
      <c r="T2104">
        <v>1.3864799312346541</v>
      </c>
      <c r="U2104">
        <f t="shared" si="209"/>
        <v>0.87631485091199146</v>
      </c>
      <c r="V2104" t="str">
        <f t="shared" si="210"/>
        <v>2015/16Expenditure driversFlood MitigationActual</v>
      </c>
    </row>
    <row r="2105" spans="1:22">
      <c r="A2105" t="s">
        <v>137</v>
      </c>
      <c r="C2105" t="s">
        <v>1344</v>
      </c>
      <c r="D2105" t="s">
        <v>82</v>
      </c>
      <c r="E2105" t="s">
        <v>602</v>
      </c>
      <c r="F2105" t="s">
        <v>1289</v>
      </c>
      <c r="G2105">
        <v>-2.0128481864184034</v>
      </c>
      <c r="H2105">
        <v>-3.6334077127983129</v>
      </c>
      <c r="I2105">
        <v>-0.19186679428821041</v>
      </c>
      <c r="J2105">
        <v>0.1143911618642955</v>
      </c>
      <c r="K2105">
        <v>-0.52057889721832606</v>
      </c>
      <c r="L2105">
        <v>-4.7194264997292112</v>
      </c>
      <c r="M2105">
        <v>0.3704422170410494</v>
      </c>
      <c r="N2105">
        <v>-0.56999305711819626</v>
      </c>
      <c r="O2105">
        <v>-0.50363294098643285</v>
      </c>
      <c r="P2105">
        <v>-1.0109951261392558</v>
      </c>
      <c r="Q2105">
        <v>0.42426964604417489</v>
      </c>
      <c r="R2105">
        <v>0.24690827888829908</v>
      </c>
      <c r="S2105">
        <v>0.81647445806922481</v>
      </c>
      <c r="T2105">
        <v>-2.8114521860523949</v>
      </c>
      <c r="U2105">
        <f>U2104-U2103</f>
        <v>-1.0001225456315503</v>
      </c>
      <c r="V2105" t="str">
        <f t="shared" si="210"/>
        <v>2015/16Expenditure driversFlood MitigationDifference</v>
      </c>
    </row>
    <row r="2106" spans="1:22">
      <c r="A2106" t="s">
        <v>137</v>
      </c>
      <c r="C2106" t="s">
        <v>1344</v>
      </c>
      <c r="D2106" t="s">
        <v>82</v>
      </c>
      <c r="E2106" t="s">
        <v>1346</v>
      </c>
      <c r="F2106" t="s">
        <v>606</v>
      </c>
      <c r="G2106" s="829">
        <v>-0.96542365077000136</v>
      </c>
      <c r="H2106" s="829">
        <v>-0.74613842603359781</v>
      </c>
      <c r="I2106" s="829">
        <v>-3.5027575633171819E-2</v>
      </c>
      <c r="J2106" s="829">
        <v>3.0158706944532812</v>
      </c>
      <c r="K2106" s="829">
        <v>-0.30099077277571107</v>
      </c>
      <c r="L2106" s="829">
        <v>-0.98056267539115305</v>
      </c>
      <c r="M2106" s="829">
        <v>2.1883727145002072</v>
      </c>
      <c r="N2106" s="829">
        <v>-0.77859143806063336</v>
      </c>
      <c r="O2106" s="829">
        <v>-0.77136914123007783</v>
      </c>
      <c r="P2106" s="829">
        <v>-1.0107403708996754</v>
      </c>
      <c r="Q2106" s="829">
        <v>2.1081204115445367</v>
      </c>
      <c r="R2106" s="829">
        <v>1.2633049052665535</v>
      </c>
      <c r="S2106" s="829">
        <v>7.534469192397812</v>
      </c>
      <c r="T2106" s="829">
        <v>-0.66972311783576932</v>
      </c>
      <c r="U2106" s="829">
        <f>U2105/U2103</f>
        <v>-0.53299009467292024</v>
      </c>
      <c r="V2106" t="str">
        <f t="shared" si="210"/>
        <v>2015/16Expenditure driversFlood MitigationDifference %</v>
      </c>
    </row>
    <row r="2107" spans="1:22">
      <c r="A2107" t="s">
        <v>138</v>
      </c>
      <c r="C2107" t="s">
        <v>1344</v>
      </c>
      <c r="D2107" t="s">
        <v>82</v>
      </c>
      <c r="E2107" t="s">
        <v>297</v>
      </c>
      <c r="F2107" t="s">
        <v>1289</v>
      </c>
      <c r="G2107">
        <f t="array" ref="G2107:T2110">TRANSPOSE('Ch4 expenditure drivers'!AK554:AN567)</f>
        <v>1.9237243961172343</v>
      </c>
      <c r="H2107">
        <v>4.2850169336152382</v>
      </c>
      <c r="I2107">
        <v>5.3004376196510137</v>
      </c>
      <c r="J2107">
        <v>7.8028065788695103E-2</v>
      </c>
      <c r="K2107">
        <v>2.2168083302539663</v>
      </c>
      <c r="L2107">
        <v>2.8137130020994978</v>
      </c>
      <c r="M2107">
        <v>7.6715494389459571E-2</v>
      </c>
      <c r="N2107">
        <v>0.72704193663010941</v>
      </c>
      <c r="O2107">
        <v>0.71780638504807015</v>
      </c>
      <c r="P2107">
        <v>1.1963438526518668</v>
      </c>
      <c r="Q2107">
        <v>0.19510150315345967</v>
      </c>
      <c r="R2107">
        <v>0.20162228211492617</v>
      </c>
      <c r="S2107">
        <v>0.10675273515446849</v>
      </c>
      <c r="T2107">
        <v>3.9776178965267723</v>
      </c>
      <c r="U2107">
        <f t="shared" si="209"/>
        <v>1.7011950309424844</v>
      </c>
      <c r="V2107" t="str">
        <f t="shared" si="210"/>
        <v>2016/17Expenditure driversFlood MitigationAllowance</v>
      </c>
    </row>
    <row r="2108" spans="1:22">
      <c r="A2108" t="s">
        <v>138</v>
      </c>
      <c r="C2108" t="s">
        <v>1344</v>
      </c>
      <c r="D2108" t="s">
        <v>82</v>
      </c>
      <c r="E2108" t="s">
        <v>298</v>
      </c>
      <c r="F2108" t="s">
        <v>1289</v>
      </c>
      <c r="G2108">
        <v>3.7805797332454953</v>
      </c>
      <c r="H2108">
        <v>1.6814937970727701</v>
      </c>
      <c r="I2108">
        <v>3.4866932316908006</v>
      </c>
      <c r="J2108">
        <v>4.8142879785050122E-2</v>
      </c>
      <c r="K2108">
        <v>1.0532722723704868</v>
      </c>
      <c r="L2108">
        <v>0.62820587036589781</v>
      </c>
      <c r="M2108">
        <v>0.32290955953387274</v>
      </c>
      <c r="N2108">
        <v>3.9687676706339622E-3</v>
      </c>
      <c r="O2108">
        <v>0.12967181767733646</v>
      </c>
      <c r="P2108">
        <v>0.14379759696544264</v>
      </c>
      <c r="Q2108">
        <v>7.6120506127943487E-3</v>
      </c>
      <c r="R2108">
        <v>1.89283712715856E-3</v>
      </c>
      <c r="S2108">
        <v>9.6759708608335354E-2</v>
      </c>
      <c r="T2108">
        <v>1.4654397878207646</v>
      </c>
      <c r="U2108">
        <f t="shared" si="209"/>
        <v>0.91788856503905991</v>
      </c>
      <c r="V2108" t="str">
        <f t="shared" si="210"/>
        <v>2016/17Expenditure driversFlood MitigationActual</v>
      </c>
    </row>
    <row r="2109" spans="1:22">
      <c r="A2109" t="s">
        <v>138</v>
      </c>
      <c r="C2109" t="s">
        <v>1344</v>
      </c>
      <c r="D2109" t="s">
        <v>82</v>
      </c>
      <c r="E2109" t="s">
        <v>602</v>
      </c>
      <c r="F2109" t="s">
        <v>1289</v>
      </c>
      <c r="G2109">
        <v>1.856855337128261</v>
      </c>
      <c r="H2109">
        <v>-2.603523136542468</v>
      </c>
      <c r="I2109">
        <v>-1.8137443879602131</v>
      </c>
      <c r="J2109">
        <v>-2.9885186003644981E-2</v>
      </c>
      <c r="K2109">
        <v>-1.1635360578834795</v>
      </c>
      <c r="L2109">
        <v>-2.1855071317335999</v>
      </c>
      <c r="M2109">
        <v>0.24619406514441317</v>
      </c>
      <c r="N2109">
        <v>-0.72307316895947549</v>
      </c>
      <c r="O2109">
        <v>-0.58813456737073366</v>
      </c>
      <c r="P2109">
        <v>-1.0525462556864242</v>
      </c>
      <c r="Q2109">
        <v>-0.18748945254066532</v>
      </c>
      <c r="R2109">
        <v>-0.1997294449877676</v>
      </c>
      <c r="S2109">
        <v>-9.9930265461331408E-3</v>
      </c>
      <c r="T2109">
        <v>-2.5121781087060078</v>
      </c>
      <c r="U2109">
        <f>U2108-U2107</f>
        <v>-0.78330646590342445</v>
      </c>
      <c r="V2109" t="str">
        <f t="shared" si="210"/>
        <v>2016/17Expenditure driversFlood MitigationDifference</v>
      </c>
    </row>
    <row r="2110" spans="1:22">
      <c r="A2110" t="s">
        <v>138</v>
      </c>
      <c r="C2110" t="s">
        <v>1344</v>
      </c>
      <c r="D2110" t="s">
        <v>82</v>
      </c>
      <c r="E2110" t="s">
        <v>1346</v>
      </c>
      <c r="F2110" t="s">
        <v>606</v>
      </c>
      <c r="G2110" s="829">
        <v>0.96523979260026072</v>
      </c>
      <c r="H2110" s="829">
        <v>-0.60758759577313837</v>
      </c>
      <c r="I2110" s="829">
        <v>-0.34218766790800037</v>
      </c>
      <c r="J2110" s="829">
        <v>-0.3830055980700065</v>
      </c>
      <c r="K2110" s="829">
        <v>-0.52486994116905916</v>
      </c>
      <c r="L2110" s="829">
        <v>-0.77673420498211732</v>
      </c>
      <c r="M2110" s="829">
        <v>3.2091830614369257</v>
      </c>
      <c r="N2110" s="829">
        <v>-0.99454121217679758</v>
      </c>
      <c r="O2110" s="829">
        <v>-0.81934986874120297</v>
      </c>
      <c r="P2110" s="829">
        <v>-0.87980245257524026</v>
      </c>
      <c r="Q2110" s="829">
        <v>-0.96098415189140296</v>
      </c>
      <c r="R2110" s="829">
        <v>-0.99061196457403633</v>
      </c>
      <c r="S2110" s="829">
        <v>-9.3609091436144334E-2</v>
      </c>
      <c r="T2110" s="829">
        <v>-0.6315785412418885</v>
      </c>
      <c r="U2110" s="829">
        <f>U2109/U2107</f>
        <v>-0.46044483533993302</v>
      </c>
      <c r="V2110" t="str">
        <f t="shared" si="210"/>
        <v>2016/17Expenditure driversFlood MitigationDifference %</v>
      </c>
    </row>
    <row r="2111" spans="1:22">
      <c r="A2111" t="s">
        <v>139</v>
      </c>
      <c r="C2111" t="s">
        <v>1344</v>
      </c>
      <c r="D2111" t="s">
        <v>82</v>
      </c>
      <c r="E2111" t="s">
        <v>297</v>
      </c>
      <c r="F2111" t="s">
        <v>1289</v>
      </c>
      <c r="G2111">
        <f t="array" ref="G2111:T2114">TRANSPOSE('Ch4 expenditure drivers'!AP554:AS567)</f>
        <v>2.0238479128018305</v>
      </c>
      <c r="H2111">
        <v>2.7201325190641041</v>
      </c>
      <c r="I2111">
        <v>4.5437650628791619</v>
      </c>
      <c r="J2111">
        <v>0.22546417344096054</v>
      </c>
      <c r="K2111">
        <v>1.1820028198258903</v>
      </c>
      <c r="L2111">
        <v>1.4694962844204964</v>
      </c>
      <c r="M2111">
        <v>7.6036022621648602E-2</v>
      </c>
      <c r="N2111">
        <v>0.59818083707782843</v>
      </c>
      <c r="O2111">
        <v>0.65566355832229573</v>
      </c>
      <c r="P2111">
        <v>1.2369987201555477</v>
      </c>
      <c r="Q2111">
        <v>0.15632013944032244</v>
      </c>
      <c r="R2111">
        <v>0.15395972664370669</v>
      </c>
      <c r="S2111">
        <v>0.10228879546517171</v>
      </c>
      <c r="T2111">
        <v>3.8216189425953297</v>
      </c>
      <c r="U2111">
        <f t="shared" si="209"/>
        <v>1.3546982510538783</v>
      </c>
      <c r="V2111" t="str">
        <f t="shared" si="210"/>
        <v>2017/18Expenditure driversFlood MitigationAllowance</v>
      </c>
    </row>
    <row r="2112" spans="1:22">
      <c r="A2112" t="s">
        <v>139</v>
      </c>
      <c r="C2112" t="s">
        <v>1344</v>
      </c>
      <c r="D2112" t="s">
        <v>82</v>
      </c>
      <c r="E2112" t="s">
        <v>298</v>
      </c>
      <c r="F2112" t="s">
        <v>1289</v>
      </c>
      <c r="G2112">
        <v>3.3035409235619149</v>
      </c>
      <c r="H2112">
        <v>1.8595475170627112</v>
      </c>
      <c r="I2112">
        <v>6.087117224210175</v>
      </c>
      <c r="J2112">
        <v>0.18336169191147583</v>
      </c>
      <c r="K2112">
        <v>0.37917386907620004</v>
      </c>
      <c r="L2112">
        <v>1.0639505580048598</v>
      </c>
      <c r="M2112">
        <v>0.28183371164171284</v>
      </c>
      <c r="N2112">
        <v>7.2583864232127475E-4</v>
      </c>
      <c r="O2112">
        <v>0.10027445793069112</v>
      </c>
      <c r="P2112">
        <v>0.21060266303132985</v>
      </c>
      <c r="Q2112">
        <v>0</v>
      </c>
      <c r="R2112">
        <v>0.35902672021185267</v>
      </c>
      <c r="S2112">
        <v>0</v>
      </c>
      <c r="T2112">
        <v>1.6843244860405662</v>
      </c>
      <c r="U2112">
        <f t="shared" si="209"/>
        <v>1.1081056900947008</v>
      </c>
      <c r="V2112" t="str">
        <f t="shared" si="210"/>
        <v>2017/18Expenditure driversFlood MitigationActual</v>
      </c>
    </row>
    <row r="2113" spans="1:22">
      <c r="A2113" t="s">
        <v>139</v>
      </c>
      <c r="C2113" t="s">
        <v>1344</v>
      </c>
      <c r="D2113" t="s">
        <v>82</v>
      </c>
      <c r="E2113" t="s">
        <v>602</v>
      </c>
      <c r="F2113" t="s">
        <v>1289</v>
      </c>
      <c r="G2113">
        <v>1.2796930107600843</v>
      </c>
      <c r="H2113">
        <v>-0.86058500200139298</v>
      </c>
      <c r="I2113">
        <v>1.5433521613310131</v>
      </c>
      <c r="J2113">
        <v>-4.2102481529484703E-2</v>
      </c>
      <c r="K2113">
        <v>-0.80282895074969018</v>
      </c>
      <c r="L2113">
        <v>-0.40554572641563658</v>
      </c>
      <c r="M2113">
        <v>0.20579768902006423</v>
      </c>
      <c r="N2113">
        <v>-0.5974549984355072</v>
      </c>
      <c r="O2113">
        <v>-0.55538910039160461</v>
      </c>
      <c r="P2113">
        <v>-1.0263960571242179</v>
      </c>
      <c r="Q2113">
        <v>-0.15632013944032244</v>
      </c>
      <c r="R2113">
        <v>0.20506699356814598</v>
      </c>
      <c r="S2113">
        <v>-0.10228879546517171</v>
      </c>
      <c r="T2113">
        <v>-2.1372944565547636</v>
      </c>
      <c r="U2113">
        <f>U2112-U2111</f>
        <v>-0.24659256095917748</v>
      </c>
      <c r="V2113" t="str">
        <f t="shared" si="210"/>
        <v>2017/18Expenditure driversFlood MitigationDifference</v>
      </c>
    </row>
    <row r="2114" spans="1:22">
      <c r="A2114" t="s">
        <v>139</v>
      </c>
      <c r="C2114" t="s">
        <v>1344</v>
      </c>
      <c r="D2114" t="s">
        <v>82</v>
      </c>
      <c r="E2114" t="s">
        <v>1346</v>
      </c>
      <c r="F2114" t="s">
        <v>606</v>
      </c>
      <c r="G2114" s="829">
        <v>0.63230690540795997</v>
      </c>
      <c r="H2114" s="829">
        <v>-0.31637613093110922</v>
      </c>
      <c r="I2114" s="829">
        <v>0.33966372380024995</v>
      </c>
      <c r="J2114" s="829">
        <v>-0.18673690319366659</v>
      </c>
      <c r="K2114" s="829">
        <v>-0.67921068992707423</v>
      </c>
      <c r="L2114" s="829">
        <v>-0.27597601349197398</v>
      </c>
      <c r="M2114" s="829">
        <v>2.7065814586870633</v>
      </c>
      <c r="N2114" s="829">
        <v>-0.99878658994516267</v>
      </c>
      <c r="O2114" s="829">
        <v>-0.84706415865589324</v>
      </c>
      <c r="P2114" s="829">
        <v>-0.82974706473031168</v>
      </c>
      <c r="Q2114" s="829">
        <v>-1</v>
      </c>
      <c r="R2114" s="829">
        <v>1.3319521802134116</v>
      </c>
      <c r="S2114" s="829">
        <v>-1</v>
      </c>
      <c r="T2114" s="829">
        <v>-0.55926414659837553</v>
      </c>
      <c r="U2114" s="829">
        <f>U2113/U2111</f>
        <v>-0.18202766613697366</v>
      </c>
      <c r="V2114" t="str">
        <f t="shared" si="210"/>
        <v>2017/18Expenditure driversFlood MitigationDifference %</v>
      </c>
    </row>
    <row r="2115" spans="1:22">
      <c r="A2115" t="s">
        <v>140</v>
      </c>
      <c r="C2115" t="s">
        <v>1344</v>
      </c>
      <c r="D2115" t="s">
        <v>82</v>
      </c>
      <c r="E2115" t="s">
        <v>297</v>
      </c>
      <c r="F2115" t="s">
        <v>1289</v>
      </c>
      <c r="G2115">
        <f t="array" ref="G2115:T2118">TRANSPOSE('Ch4 expenditure drivers'!AU554:AX567)</f>
        <v>1.9527433296721786</v>
      </c>
      <c r="H2115">
        <v>2.6817565746989209</v>
      </c>
      <c r="I2115">
        <v>3.7930378654449766</v>
      </c>
      <c r="J2115">
        <v>0.11625619693211658</v>
      </c>
      <c r="K2115">
        <v>9.4590754027668048E-2</v>
      </c>
      <c r="L2115">
        <v>7.8821164017164921E-2</v>
      </c>
      <c r="M2115">
        <v>0.11798377860267205</v>
      </c>
      <c r="N2115">
        <v>0.55314007875886373</v>
      </c>
      <c r="O2115">
        <v>0.65439182020899755</v>
      </c>
      <c r="P2115">
        <v>1.2790348076970504</v>
      </c>
      <c r="Q2115">
        <v>9.396717459683275E-2</v>
      </c>
      <c r="R2115">
        <v>8.7385661083504845E-2</v>
      </c>
      <c r="S2115">
        <v>0.10165336585746031</v>
      </c>
      <c r="T2115">
        <v>3.6633132831778372</v>
      </c>
      <c r="U2115">
        <f>AVERAGE(G2115:T2115)</f>
        <v>1.0905768467697319</v>
      </c>
      <c r="V2115" t="str">
        <f t="shared" si="210"/>
        <v>2018/19Expenditure driversFlood MitigationAllowance</v>
      </c>
    </row>
    <row r="2116" spans="1:22">
      <c r="A2116" t="s">
        <v>140</v>
      </c>
      <c r="C2116" t="s">
        <v>1344</v>
      </c>
      <c r="D2116" t="s">
        <v>82</v>
      </c>
      <c r="E2116" t="s">
        <v>298</v>
      </c>
      <c r="F2116" t="s">
        <v>1289</v>
      </c>
      <c r="G2116">
        <v>3.0542620336744317</v>
      </c>
      <c r="H2116">
        <v>5.8080146809616764</v>
      </c>
      <c r="I2116">
        <v>5.9583304051876711</v>
      </c>
      <c r="J2116">
        <v>0.32180275177545287</v>
      </c>
      <c r="K2116">
        <v>0.37232468550129189</v>
      </c>
      <c r="L2116">
        <v>0.43492795120504896</v>
      </c>
      <c r="M2116">
        <v>9.1159141287926918E-2</v>
      </c>
      <c r="N2116">
        <v>0.15065409527336887</v>
      </c>
      <c r="O2116">
        <v>1.1265876708659361</v>
      </c>
      <c r="P2116">
        <v>0.28426320458414217</v>
      </c>
      <c r="Q2116">
        <v>0</v>
      </c>
      <c r="R2116">
        <v>0</v>
      </c>
      <c r="S2116">
        <v>1.0920425805130812E-2</v>
      </c>
      <c r="T2116">
        <v>0.85113559295155805</v>
      </c>
      <c r="U2116">
        <f>AVERAGE(G2116:T2116)</f>
        <v>1.3188844742195456</v>
      </c>
      <c r="V2116" t="str">
        <f t="shared" si="210"/>
        <v>2018/19Expenditure driversFlood MitigationActual</v>
      </c>
    </row>
    <row r="2117" spans="1:22">
      <c r="A2117" t="s">
        <v>140</v>
      </c>
      <c r="C2117" t="s">
        <v>1344</v>
      </c>
      <c r="D2117" t="s">
        <v>82</v>
      </c>
      <c r="E2117" t="s">
        <v>602</v>
      </c>
      <c r="F2117" t="s">
        <v>1289</v>
      </c>
      <c r="G2117">
        <v>1.1015187040022532</v>
      </c>
      <c r="H2117">
        <v>3.1262581062627555</v>
      </c>
      <c r="I2117">
        <v>2.1652925397426945</v>
      </c>
      <c r="J2117">
        <v>0.20554655484333628</v>
      </c>
      <c r="K2117">
        <v>0.27773393147362385</v>
      </c>
      <c r="L2117">
        <v>0.35610678718788402</v>
      </c>
      <c r="M2117">
        <v>-2.6824637314745131E-2</v>
      </c>
      <c r="N2117">
        <v>-0.40248598348549486</v>
      </c>
      <c r="O2117">
        <v>0.47219585065693859</v>
      </c>
      <c r="P2117">
        <v>-0.99477160311290813</v>
      </c>
      <c r="Q2117">
        <v>-9.396717459683275E-2</v>
      </c>
      <c r="R2117">
        <v>-8.7385661083504845E-2</v>
      </c>
      <c r="S2117">
        <v>-9.07329400523295E-2</v>
      </c>
      <c r="T2117">
        <v>-2.8121776902262789</v>
      </c>
      <c r="U2117">
        <f>U2116-U2115</f>
        <v>0.2283076274498137</v>
      </c>
      <c r="V2117" t="str">
        <f t="shared" si="210"/>
        <v>2018/19Expenditure driversFlood MitigationDifference</v>
      </c>
    </row>
    <row r="2118" spans="1:22">
      <c r="A2118" t="s">
        <v>140</v>
      </c>
      <c r="C2118" t="s">
        <v>1344</v>
      </c>
      <c r="D2118" t="s">
        <v>82</v>
      </c>
      <c r="E2118" t="s">
        <v>1346</v>
      </c>
      <c r="F2118" t="s">
        <v>606</v>
      </c>
      <c r="G2118" s="829">
        <v>0.56408780778535461</v>
      </c>
      <c r="H2118" s="829">
        <v>1.1657501414399398</v>
      </c>
      <c r="I2118" s="829">
        <v>0.57085972156217202</v>
      </c>
      <c r="J2118" s="829">
        <v>1.7680481580122342</v>
      </c>
      <c r="K2118" s="829">
        <v>2.9361636274977356</v>
      </c>
      <c r="L2118" s="829">
        <v>4.5179082500016685</v>
      </c>
      <c r="M2118" s="829">
        <v>-0.22735868974904672</v>
      </c>
      <c r="N2118" s="829">
        <v>-0.72763843905253311</v>
      </c>
      <c r="O2118" s="829">
        <v>0.72157969594749849</v>
      </c>
      <c r="P2118" s="829">
        <v>-0.77775178370949205</v>
      </c>
      <c r="Q2118" s="829">
        <v>-1</v>
      </c>
      <c r="R2118" s="829">
        <v>-1</v>
      </c>
      <c r="S2118" s="829">
        <v>-0.89257192112611827</v>
      </c>
      <c r="T2118" s="829">
        <v>-0.76765962199847171</v>
      </c>
      <c r="U2118" s="829">
        <f>U2117/U2115</f>
        <v>0.20934574956919047</v>
      </c>
      <c r="V2118" t="str">
        <f t="shared" si="210"/>
        <v>2018/19Expenditure driversFlood MitigationDifference %</v>
      </c>
    </row>
    <row r="2119" spans="1:22">
      <c r="A2119" t="s">
        <v>141</v>
      </c>
      <c r="C2119" t="s">
        <v>1344</v>
      </c>
      <c r="D2119" t="s">
        <v>82</v>
      </c>
      <c r="E2119" t="s">
        <v>297</v>
      </c>
      <c r="F2119" t="s">
        <v>1289</v>
      </c>
      <c r="G2119" s="229">
        <f t="array" ref="G2119:T2122">TRANSPOSE('Ch4 expenditure drivers'!AZ554:BC567)</f>
        <v>1.5510540258385208</v>
      </c>
      <c r="H2119" s="229">
        <v>1.8937147685771412</v>
      </c>
      <c r="I2119" s="229">
        <v>2.2401090957697098</v>
      </c>
      <c r="J2119" s="229">
        <v>0.22733559224312863</v>
      </c>
      <c r="K2119" s="229">
        <v>0.298243618832916</v>
      </c>
      <c r="L2119" s="229">
        <v>0.22788562817012614</v>
      </c>
      <c r="M2119" s="229">
        <v>9.7202335547849031E-2</v>
      </c>
      <c r="N2119" s="229">
        <v>0.56497009332136416</v>
      </c>
      <c r="O2119" s="229">
        <v>0.59880376637898647</v>
      </c>
      <c r="P2119" s="229">
        <v>1.254820046336621</v>
      </c>
      <c r="Q2119" s="229">
        <v>9.0752853278559434E-2</v>
      </c>
      <c r="R2119" s="229">
        <v>8.4706005249502808E-2</v>
      </c>
      <c r="S2119" s="229">
        <v>0.10175169018246122</v>
      </c>
      <c r="T2119" s="229">
        <v>2.5180517474084909</v>
      </c>
      <c r="U2119" s="229">
        <f t="shared" ref="U2119:U2130" si="212">U2118/U2116</f>
        <v>0.1587294062985096</v>
      </c>
      <c r="V2119" t="str">
        <f t="shared" si="210"/>
        <v>2019/20Expenditure driversFlood MitigationAllowance</v>
      </c>
    </row>
    <row r="2120" spans="1:22">
      <c r="A2120" t="s">
        <v>141</v>
      </c>
      <c r="C2120" t="s">
        <v>1344</v>
      </c>
      <c r="D2120" t="s">
        <v>82</v>
      </c>
      <c r="E2120" t="s">
        <v>298</v>
      </c>
      <c r="F2120" t="s">
        <v>1289</v>
      </c>
      <c r="G2120" s="229">
        <v>1.7080275913710996</v>
      </c>
      <c r="H2120" s="229">
        <v>4.5131893867538313</v>
      </c>
      <c r="I2120" s="229">
        <v>3.3140967302510074</v>
      </c>
      <c r="J2120" s="229">
        <v>0.12525886141713863</v>
      </c>
      <c r="K2120" s="229">
        <v>0.37577658425141586</v>
      </c>
      <c r="L2120" s="229">
        <v>0.14560004404043464</v>
      </c>
      <c r="M2120" s="229">
        <v>1.820000550505433E-2</v>
      </c>
      <c r="N2120" s="229">
        <v>0.29302464215017315</v>
      </c>
      <c r="O2120" s="229">
        <v>0.43575855772195188</v>
      </c>
      <c r="P2120" s="229">
        <v>0.17733204366612312</v>
      </c>
      <c r="Q2120" s="229">
        <v>1.063051615664632E-2</v>
      </c>
      <c r="R2120" s="229">
        <v>0</v>
      </c>
      <c r="S2120" s="229">
        <v>1.8976182210416942E-2</v>
      </c>
      <c r="T2120" s="229">
        <v>6.3038709434719005</v>
      </c>
      <c r="U2120" s="229">
        <f t="shared" si="212"/>
        <v>0.69524355393426918</v>
      </c>
      <c r="V2120" t="str">
        <f t="shared" si="210"/>
        <v>2019/20Expenditure driversFlood MitigationActual</v>
      </c>
    </row>
    <row r="2121" spans="1:22">
      <c r="A2121" t="s">
        <v>141</v>
      </c>
      <c r="C2121" t="s">
        <v>1344</v>
      </c>
      <c r="D2121" t="s">
        <v>82</v>
      </c>
      <c r="E2121" t="s">
        <v>602</v>
      </c>
      <c r="F2121" t="s">
        <v>1289</v>
      </c>
      <c r="G2121" s="229">
        <v>0.1569735655325788</v>
      </c>
      <c r="H2121" s="229">
        <v>2.6194746181766901</v>
      </c>
      <c r="I2121" s="229">
        <v>1.0739876344812975</v>
      </c>
      <c r="J2121" s="229">
        <v>-0.10207673082599</v>
      </c>
      <c r="K2121" s="229">
        <v>7.7532965418499855E-2</v>
      </c>
      <c r="L2121" s="229">
        <v>-8.2285584129691502E-2</v>
      </c>
      <c r="M2121" s="229">
        <v>-7.9002330042794694E-2</v>
      </c>
      <c r="N2121" s="229">
        <v>-0.27194545117119101</v>
      </c>
      <c r="O2121" s="229">
        <v>-0.16304520865703459</v>
      </c>
      <c r="P2121" s="229">
        <v>-1.0774880026704978</v>
      </c>
      <c r="Q2121" s="229">
        <v>-8.0122337121913106E-2</v>
      </c>
      <c r="R2121" s="229">
        <v>-8.4706005249502808E-2</v>
      </c>
      <c r="S2121" s="229">
        <v>-8.2775507972044277E-2</v>
      </c>
      <c r="T2121" s="229">
        <v>3.7858191960634096</v>
      </c>
      <c r="U2121" s="229">
        <f t="shared" si="212"/>
        <v>3.3210301874530561</v>
      </c>
      <c r="V2121" t="str">
        <f t="shared" si="210"/>
        <v>2019/20Expenditure driversFlood MitigationDifference</v>
      </c>
    </row>
    <row r="2122" spans="1:22">
      <c r="A2122" t="s">
        <v>141</v>
      </c>
      <c r="C2122" t="s">
        <v>1344</v>
      </c>
      <c r="D2122" t="s">
        <v>82</v>
      </c>
      <c r="E2122" t="s">
        <v>1346</v>
      </c>
      <c r="F2122" t="s">
        <v>606</v>
      </c>
      <c r="G2122" s="829">
        <v>0.10120444737424072</v>
      </c>
      <c r="H2122" s="829">
        <v>1.38324665448158</v>
      </c>
      <c r="I2122" s="829">
        <v>0.47943541522573541</v>
      </c>
      <c r="J2122" s="829">
        <v>-0.44901341588791777</v>
      </c>
      <c r="K2122" s="829">
        <v>0.25996521139966411</v>
      </c>
      <c r="L2122" s="829">
        <v>-0.36108281505256606</v>
      </c>
      <c r="M2122" s="829">
        <v>-0.81276164402351048</v>
      </c>
      <c r="N2122" s="829">
        <v>-0.48134486123410436</v>
      </c>
      <c r="O2122" s="829">
        <v>-0.2722848749649352</v>
      </c>
      <c r="P2122" s="829">
        <v>-0.85867930291372496</v>
      </c>
      <c r="Q2122" s="829">
        <v>-0.88286300901177495</v>
      </c>
      <c r="R2122" s="829">
        <v>-1</v>
      </c>
      <c r="S2122" s="829">
        <v>-0.81350499263069898</v>
      </c>
      <c r="T2122" s="829">
        <v>1.5034715628698536</v>
      </c>
      <c r="U2122" s="829">
        <f t="shared" si="212"/>
        <v>20.92258936071028</v>
      </c>
      <c r="V2122" t="str">
        <f t="shared" si="210"/>
        <v>2019/20Expenditure driversFlood MitigationDifference %</v>
      </c>
    </row>
    <row r="2123" spans="1:22">
      <c r="A2123" t="s">
        <v>126</v>
      </c>
      <c r="C2123" t="s">
        <v>1344</v>
      </c>
      <c r="D2123" t="s">
        <v>82</v>
      </c>
      <c r="E2123" t="s">
        <v>297</v>
      </c>
      <c r="F2123" t="s">
        <v>1289</v>
      </c>
      <c r="G2123" s="229" cm="1">
        <f t="array" ref="G2123:T2126">TRANSPOSE('Ch4 expenditure drivers'!BE554:BH567)</f>
        <v>1.5272005803821314</v>
      </c>
      <c r="H2123" s="229">
        <v>1.6242609912136459</v>
      </c>
      <c r="I2123" s="229">
        <v>2.1545223894403494</v>
      </c>
      <c r="J2123" s="229">
        <v>0.5483834858647384</v>
      </c>
      <c r="K2123" s="229">
        <v>0.49474311147059918</v>
      </c>
      <c r="L2123" s="229">
        <v>7.9311199147440489E-2</v>
      </c>
      <c r="M2123" s="229">
        <v>0.62107598629846095</v>
      </c>
      <c r="N2123" s="229">
        <v>0.55793190868792397</v>
      </c>
      <c r="O2123" s="229">
        <v>0.59243652450381645</v>
      </c>
      <c r="P2123" s="229">
        <v>1.1673915868632425</v>
      </c>
      <c r="Q2123" s="229">
        <v>8.7921745722704545E-2</v>
      </c>
      <c r="R2123" s="229">
        <v>8.5261941173722045E-2</v>
      </c>
      <c r="S2123" s="229">
        <v>0.10095512835400838</v>
      </c>
      <c r="T2123" s="229">
        <v>2.3738653286538041</v>
      </c>
      <c r="U2123" s="229">
        <f t="shared" si="212"/>
        <v>30.093899098111418</v>
      </c>
      <c r="V2123" t="str">
        <f t="shared" si="210"/>
        <v>2020/21Expenditure driversFlood MitigationAllowance</v>
      </c>
    </row>
    <row r="2124" spans="1:22">
      <c r="A2124" t="s">
        <v>126</v>
      </c>
      <c r="C2124" t="s">
        <v>1344</v>
      </c>
      <c r="D2124" t="s">
        <v>82</v>
      </c>
      <c r="E2124" t="s">
        <v>298</v>
      </c>
      <c r="F2124" t="s">
        <v>1289</v>
      </c>
      <c r="G2124" s="229">
        <v>1.2572555208253615</v>
      </c>
      <c r="H2124" s="229">
        <v>3.0117914039914071</v>
      </c>
      <c r="I2124" s="229">
        <v>2.2825472155494677</v>
      </c>
      <c r="J2124" s="229">
        <v>0</v>
      </c>
      <c r="K2124" s="229">
        <v>0.45906771323771878</v>
      </c>
      <c r="L2124" s="229">
        <v>0.49608930301495413</v>
      </c>
      <c r="M2124" s="229">
        <v>0</v>
      </c>
      <c r="N2124" s="229">
        <v>0.3965275368116376</v>
      </c>
      <c r="O2124" s="229">
        <v>0.43684692019765203</v>
      </c>
      <c r="P2124" s="229">
        <v>0.46405238321054221</v>
      </c>
      <c r="Q2124" s="229">
        <v>3.301433840496603E-2</v>
      </c>
      <c r="R2124" s="229">
        <v>3.8906517576750674E-3</v>
      </c>
      <c r="S2124" s="229">
        <v>1.6784636821261395E-3</v>
      </c>
      <c r="T2124" s="229">
        <v>3.6206549112244408</v>
      </c>
      <c r="U2124" s="229">
        <f t="shared" si="212"/>
        <v>9.0616156431841546</v>
      </c>
      <c r="V2124" t="str">
        <f t="shared" si="210"/>
        <v>2020/21Expenditure driversFlood MitigationActual</v>
      </c>
    </row>
    <row r="2125" spans="1:22">
      <c r="A2125" t="s">
        <v>126</v>
      </c>
      <c r="C2125" t="s">
        <v>1344</v>
      </c>
      <c r="D2125" t="s">
        <v>82</v>
      </c>
      <c r="E2125" t="s">
        <v>602</v>
      </c>
      <c r="F2125" t="s">
        <v>1289</v>
      </c>
      <c r="G2125" s="229">
        <v>-0.26994505955676984</v>
      </c>
      <c r="H2125" s="229">
        <v>1.3875304127777612</v>
      </c>
      <c r="I2125" s="229">
        <v>0.12802482610911836</v>
      </c>
      <c r="J2125" s="229">
        <v>-0.5483834858647384</v>
      </c>
      <c r="K2125" s="229">
        <v>-3.5675398232880406E-2</v>
      </c>
      <c r="L2125" s="229">
        <v>0.41677810386751363</v>
      </c>
      <c r="M2125" s="229">
        <v>-0.62107598629846095</v>
      </c>
      <c r="N2125" s="229">
        <v>-0.16140437187628637</v>
      </c>
      <c r="O2125" s="229">
        <v>-0.15558960430616442</v>
      </c>
      <c r="P2125" s="229">
        <v>-0.70333920365270031</v>
      </c>
      <c r="Q2125" s="229">
        <v>-5.4907407317738514E-2</v>
      </c>
      <c r="R2125" s="229">
        <v>-8.1371289416046974E-2</v>
      </c>
      <c r="S2125" s="229">
        <v>-9.9276664671882245E-2</v>
      </c>
      <c r="T2125" s="229">
        <v>1.2467895825706368</v>
      </c>
      <c r="U2125" s="229">
        <f t="shared" si="212"/>
        <v>0.43310201653150121</v>
      </c>
      <c r="V2125" t="str">
        <f t="shared" si="210"/>
        <v>2020/21Expenditure driversFlood MitigationDifference</v>
      </c>
    </row>
    <row r="2126" spans="1:22">
      <c r="A2126" t="s">
        <v>126</v>
      </c>
      <c r="C2126" t="s">
        <v>1344</v>
      </c>
      <c r="D2126" t="s">
        <v>82</v>
      </c>
      <c r="E2126" t="s">
        <v>1346</v>
      </c>
      <c r="F2126" t="s">
        <v>606</v>
      </c>
      <c r="G2126" s="829">
        <v>-0.17675809125820593</v>
      </c>
      <c r="H2126" s="829">
        <v>0.85425336216503001</v>
      </c>
      <c r="I2126" s="829">
        <v>5.9421441492828304E-2</v>
      </c>
      <c r="J2126" s="829">
        <v>-1</v>
      </c>
      <c r="K2126" s="829">
        <v>-7.2108933718828483E-2</v>
      </c>
      <c r="L2126" s="829">
        <v>5.2549716603416625</v>
      </c>
      <c r="M2126" s="829">
        <v>-1</v>
      </c>
      <c r="N2126" s="829">
        <v>-0.28929044810478294</v>
      </c>
      <c r="O2126" s="829">
        <v>-0.26262662390114355</v>
      </c>
      <c r="P2126" s="829">
        <v>-0.60248781263068585</v>
      </c>
      <c r="Q2126" s="829">
        <v>-0.62450315182446903</v>
      </c>
      <c r="R2126" s="829">
        <v>-0.95436824796484721</v>
      </c>
      <c r="S2126" s="829">
        <v>-0.98337416127845978</v>
      </c>
      <c r="T2126" s="829">
        <v>0.52521495955192998</v>
      </c>
      <c r="U2126" s="829">
        <f t="shared" si="212"/>
        <v>1.439168833255911E-2</v>
      </c>
      <c r="V2126" t="str">
        <f t="shared" si="210"/>
        <v>2020/21Expenditure driversFlood MitigationDifference %</v>
      </c>
    </row>
    <row r="2127" spans="1:22">
      <c r="A2127" t="s">
        <v>142</v>
      </c>
      <c r="C2127" t="s">
        <v>1344</v>
      </c>
      <c r="D2127" t="s">
        <v>82</v>
      </c>
      <c r="E2127" t="s">
        <v>297</v>
      </c>
      <c r="F2127" t="s">
        <v>1289</v>
      </c>
      <c r="G2127" s="229" cm="1">
        <f t="array" ref="G2127:T2130">TRANSPOSE('Ch4 expenditure drivers'!BJ554:BM567)</f>
        <v>1.2586124383993778</v>
      </c>
      <c r="H2127" s="229">
        <v>1.4269522512456823</v>
      </c>
      <c r="I2127" s="229">
        <v>1.7996606526837102</v>
      </c>
      <c r="J2127" s="229">
        <v>0.18987642031565818</v>
      </c>
      <c r="K2127" s="229">
        <v>0.24124676804910183</v>
      </c>
      <c r="L2127" s="229">
        <v>0.19016504132679965</v>
      </c>
      <c r="M2127" s="229">
        <v>0.18995188941203539</v>
      </c>
      <c r="N2127" s="229">
        <v>0.50824796047886545</v>
      </c>
      <c r="O2127" s="229">
        <v>0.50851145661416108</v>
      </c>
      <c r="P2127" s="229">
        <v>1.1424017925244945</v>
      </c>
      <c r="Q2127" s="229">
        <v>7.6775191130372483E-2</v>
      </c>
      <c r="R2127" s="229">
        <v>6.9467168219152733E-2</v>
      </c>
      <c r="S2127" s="229">
        <v>0.10100303517853983</v>
      </c>
      <c r="T2127" s="229">
        <v>2.3280685580359592</v>
      </c>
      <c r="U2127" s="229">
        <f t="shared" si="212"/>
        <v>1.5882033512847192E-3</v>
      </c>
      <c r="V2127" t="str">
        <f t="shared" ref="V2127:V2130" si="213">CONCATENATE(A2127,B2127,C2127,D2127,E2127)</f>
        <v>2021/22Expenditure driversFlood MitigationAllowance</v>
      </c>
    </row>
    <row r="2128" spans="1:22">
      <c r="A2128" t="s">
        <v>142</v>
      </c>
      <c r="C2128" t="s">
        <v>1344</v>
      </c>
      <c r="D2128" t="s">
        <v>82</v>
      </c>
      <c r="E2128" t="s">
        <v>298</v>
      </c>
      <c r="F2128" t="s">
        <v>1289</v>
      </c>
      <c r="G2128" s="229">
        <v>0.44370137956428501</v>
      </c>
      <c r="H2128" s="229">
        <v>1.64677926</v>
      </c>
      <c r="I2128" s="229">
        <v>3.0610715799999997</v>
      </c>
      <c r="J2128" s="229">
        <v>7.0599999999999996E-2</v>
      </c>
      <c r="K2128" s="229">
        <v>3.3200000000000007E-2</v>
      </c>
      <c r="L2128" s="229">
        <v>0.71569999999999989</v>
      </c>
      <c r="M2128" s="229">
        <v>0</v>
      </c>
      <c r="N2128" s="229">
        <v>0.16875613070229875</v>
      </c>
      <c r="O2128" s="229">
        <v>0.42970974568635328</v>
      </c>
      <c r="P2128" s="229">
        <v>0.2869804653379554</v>
      </c>
      <c r="Q2128" s="229">
        <v>1.0623653145439895E-2</v>
      </c>
      <c r="R2128" s="229">
        <v>4.7017666530229429E-2</v>
      </c>
      <c r="S2128" s="229">
        <v>1.3919290000000001E-2</v>
      </c>
      <c r="T2128" s="229">
        <v>1.5446119899999997</v>
      </c>
      <c r="U2128" s="229">
        <f t="shared" si="212"/>
        <v>3.6670421532641446E-3</v>
      </c>
      <c r="V2128" t="str">
        <f t="shared" si="213"/>
        <v>2021/22Expenditure driversFlood MitigationActual</v>
      </c>
    </row>
    <row r="2129" spans="1:22">
      <c r="A2129" t="s">
        <v>142</v>
      </c>
      <c r="C2129" t="s">
        <v>1344</v>
      </c>
      <c r="D2129" t="s">
        <v>82</v>
      </c>
      <c r="E2129" t="s">
        <v>602</v>
      </c>
      <c r="F2129" t="s">
        <v>1289</v>
      </c>
      <c r="G2129" s="229">
        <v>-0.81491105883509274</v>
      </c>
      <c r="H2129" s="229">
        <v>0.21982700875431771</v>
      </c>
      <c r="I2129" s="229">
        <v>1.2614109273162895</v>
      </c>
      <c r="J2129" s="229">
        <v>-0.11927642031565819</v>
      </c>
      <c r="K2129" s="229">
        <v>-0.20804676804910183</v>
      </c>
      <c r="L2129" s="229">
        <v>0.52553495867320021</v>
      </c>
      <c r="M2129" s="229">
        <v>-0.18995188941203539</v>
      </c>
      <c r="N2129" s="229">
        <v>-0.33949182977656667</v>
      </c>
      <c r="O2129" s="229">
        <v>-7.88017109278078E-2</v>
      </c>
      <c r="P2129" s="229">
        <v>-0.85542132718653907</v>
      </c>
      <c r="Q2129" s="229">
        <v>-6.615153798493259E-2</v>
      </c>
      <c r="R2129" s="229">
        <v>-2.2449501688923304E-2</v>
      </c>
      <c r="S2129" s="229">
        <v>-8.7083745178539826E-2</v>
      </c>
      <c r="T2129" s="229">
        <v>-0.78345656803595953</v>
      </c>
      <c r="U2129" s="229">
        <f t="shared" si="212"/>
        <v>0.25480277702845977</v>
      </c>
      <c r="V2129" t="str">
        <f t="shared" si="213"/>
        <v>2021/22Expenditure driversFlood MitigationDifference</v>
      </c>
    </row>
    <row r="2130" spans="1:22">
      <c r="A2130" t="s">
        <v>142</v>
      </c>
      <c r="C2130" t="s">
        <v>1344</v>
      </c>
      <c r="D2130" t="s">
        <v>82</v>
      </c>
      <c r="E2130" t="s">
        <v>1346</v>
      </c>
      <c r="F2130" t="s">
        <v>606</v>
      </c>
      <c r="G2130" s="829">
        <v>-0.64746782565683536</v>
      </c>
      <c r="H2130" s="829">
        <v>0.1540535140979076</v>
      </c>
      <c r="I2130" s="829">
        <v>0.70091598959794676</v>
      </c>
      <c r="J2130" s="829">
        <v>-0.62817921318175407</v>
      </c>
      <c r="K2130" s="829">
        <v>-0.86238157605807719</v>
      </c>
      <c r="L2130" s="829">
        <v>2.7635729206929551</v>
      </c>
      <c r="M2130" s="829">
        <v>-1</v>
      </c>
      <c r="N2130" s="829">
        <v>-0.66796496233197145</v>
      </c>
      <c r="O2130" s="829">
        <v>-0.15496545830549399</v>
      </c>
      <c r="P2130" s="829">
        <v>-0.74879200364017096</v>
      </c>
      <c r="Q2130" s="829">
        <v>-0.86162648390676366</v>
      </c>
      <c r="R2130" s="829">
        <v>-0.32316707682829904</v>
      </c>
      <c r="S2130" s="829">
        <v>-0.86218938890900343</v>
      </c>
      <c r="T2130" s="829">
        <v>-0.33652641599906796</v>
      </c>
      <c r="U2130" s="829">
        <f t="shared" si="212"/>
        <v>160.43460481451973</v>
      </c>
      <c r="V2130" t="str">
        <f t="shared" si="213"/>
        <v>2021/22Expenditure driversFlood MitigationDifference %</v>
      </c>
    </row>
    <row r="2131" spans="1:22">
      <c r="A2131" t="s">
        <v>137</v>
      </c>
      <c r="C2131" t="s">
        <v>1344</v>
      </c>
      <c r="D2131" t="s">
        <v>84</v>
      </c>
      <c r="E2131" t="s">
        <v>1347</v>
      </c>
      <c r="F2131" t="s">
        <v>1289</v>
      </c>
      <c r="G2131">
        <f t="array" ref="G2131:T2138">TRANSPOSE('Ch4 expenditure drivers'!E574:L587)</f>
        <v>0</v>
      </c>
      <c r="H2131">
        <v>0</v>
      </c>
      <c r="I2131">
        <v>1.2387053838211342</v>
      </c>
      <c r="J2131">
        <v>0</v>
      </c>
      <c r="K2131">
        <v>0</v>
      </c>
      <c r="L2131">
        <v>0</v>
      </c>
      <c r="M2131">
        <v>0</v>
      </c>
      <c r="N2131">
        <v>0</v>
      </c>
      <c r="O2131">
        <v>0.70371562371955132</v>
      </c>
      <c r="P2131">
        <v>6.3974147610868295E-2</v>
      </c>
      <c r="Q2131">
        <v>0</v>
      </c>
      <c r="R2131">
        <v>0.31962670582256553</v>
      </c>
      <c r="S2131">
        <v>0</v>
      </c>
      <c r="T2131">
        <v>0</v>
      </c>
      <c r="U2131">
        <f>AVERAGE(G2131:T2131)</f>
        <v>0.16614441864100854</v>
      </c>
      <c r="V2131" t="str">
        <f t="shared" si="210"/>
        <v>2015/16Expenditure driversPhysical SecurityBPDT</v>
      </c>
    </row>
    <row r="2132" spans="1:22">
      <c r="A2132" t="s">
        <v>138</v>
      </c>
      <c r="C2132" t="s">
        <v>1344</v>
      </c>
      <c r="D2132" t="s">
        <v>84</v>
      </c>
      <c r="E2132" t="s">
        <v>1347</v>
      </c>
      <c r="F2132" t="s">
        <v>1289</v>
      </c>
      <c r="G2132">
        <v>0</v>
      </c>
      <c r="H2132">
        <v>0</v>
      </c>
      <c r="I2132">
        <v>0</v>
      </c>
      <c r="J2132">
        <v>0</v>
      </c>
      <c r="K2132">
        <v>0</v>
      </c>
      <c r="L2132">
        <v>0</v>
      </c>
      <c r="M2132">
        <v>0</v>
      </c>
      <c r="N2132">
        <v>0.71023261111291225</v>
      </c>
      <c r="O2132">
        <v>0.71023261111291225</v>
      </c>
      <c r="P2132">
        <v>0.64566601010264757</v>
      </c>
      <c r="Q2132">
        <v>0</v>
      </c>
      <c r="R2132">
        <v>0.32082580143099027</v>
      </c>
      <c r="S2132">
        <v>0</v>
      </c>
      <c r="T2132">
        <v>0</v>
      </c>
      <c r="U2132">
        <f t="shared" ref="U2132:U2163" si="214">AVERAGE(G2132:T2132)</f>
        <v>0.17049693098281873</v>
      </c>
      <c r="V2132" t="str">
        <f t="shared" si="210"/>
        <v>2016/17Expenditure driversPhysical SecurityBPDT</v>
      </c>
    </row>
    <row r="2133" spans="1:22">
      <c r="A2133" t="s">
        <v>139</v>
      </c>
      <c r="C2133" t="s">
        <v>1344</v>
      </c>
      <c r="D2133" t="s">
        <v>84</v>
      </c>
      <c r="E2133" t="s">
        <v>1347</v>
      </c>
      <c r="F2133" t="s">
        <v>1289</v>
      </c>
      <c r="G2133">
        <v>0</v>
      </c>
      <c r="H2133">
        <v>0</v>
      </c>
      <c r="I2133">
        <v>0.64288401918372107</v>
      </c>
      <c r="J2133">
        <v>0</v>
      </c>
      <c r="K2133">
        <v>0</v>
      </c>
      <c r="L2133">
        <v>0</v>
      </c>
      <c r="M2133">
        <v>0</v>
      </c>
      <c r="N2133">
        <v>0</v>
      </c>
      <c r="O2133">
        <v>0</v>
      </c>
      <c r="P2133">
        <v>0.87975076554253095</v>
      </c>
      <c r="Q2133">
        <v>0</v>
      </c>
      <c r="R2133">
        <v>0.32187907031101043</v>
      </c>
      <c r="S2133">
        <v>0</v>
      </c>
      <c r="T2133">
        <v>0</v>
      </c>
      <c r="U2133">
        <f t="shared" si="214"/>
        <v>0.13175098964551873</v>
      </c>
      <c r="V2133" t="str">
        <f t="shared" si="210"/>
        <v>2017/18Expenditure driversPhysical SecurityBPDT</v>
      </c>
    </row>
    <row r="2134" spans="1:22">
      <c r="A2134" t="s">
        <v>140</v>
      </c>
      <c r="C2134" t="s">
        <v>1344</v>
      </c>
      <c r="D2134" t="s">
        <v>84</v>
      </c>
      <c r="E2134" t="s">
        <v>1347</v>
      </c>
      <c r="F2134" t="s">
        <v>1289</v>
      </c>
      <c r="G2134">
        <v>0</v>
      </c>
      <c r="H2134">
        <v>0</v>
      </c>
      <c r="I2134">
        <v>0</v>
      </c>
      <c r="J2134">
        <v>0</v>
      </c>
      <c r="K2134">
        <v>0</v>
      </c>
      <c r="L2134">
        <v>0</v>
      </c>
      <c r="M2134">
        <v>0</v>
      </c>
      <c r="N2134">
        <v>0</v>
      </c>
      <c r="O2134">
        <v>0</v>
      </c>
      <c r="P2134">
        <v>0.88795713660528708</v>
      </c>
      <c r="Q2134">
        <v>0</v>
      </c>
      <c r="R2134">
        <v>0.32214512511112253</v>
      </c>
      <c r="S2134">
        <v>0</v>
      </c>
      <c r="T2134">
        <v>0</v>
      </c>
      <c r="U2134">
        <f t="shared" si="214"/>
        <v>8.6435875836886403E-2</v>
      </c>
      <c r="V2134" t="str">
        <f t="shared" si="210"/>
        <v>2018/19Expenditure driversPhysical SecurityBPDT</v>
      </c>
    </row>
    <row r="2135" spans="1:22">
      <c r="A2135" t="s">
        <v>141</v>
      </c>
      <c r="C2135" t="s">
        <v>1344</v>
      </c>
      <c r="D2135" t="s">
        <v>84</v>
      </c>
      <c r="E2135" t="s">
        <v>1347</v>
      </c>
      <c r="F2135" t="s">
        <v>1289</v>
      </c>
      <c r="G2135">
        <v>0</v>
      </c>
      <c r="H2135">
        <v>0</v>
      </c>
      <c r="I2135">
        <v>0</v>
      </c>
      <c r="J2135">
        <v>0</v>
      </c>
      <c r="K2135">
        <v>0</v>
      </c>
      <c r="L2135">
        <v>0</v>
      </c>
      <c r="M2135">
        <v>0</v>
      </c>
      <c r="N2135">
        <v>0</v>
      </c>
      <c r="O2135">
        <v>0</v>
      </c>
      <c r="P2135">
        <v>0</v>
      </c>
      <c r="Q2135">
        <v>0</v>
      </c>
      <c r="R2135">
        <v>0.32398307952930472</v>
      </c>
      <c r="S2135">
        <v>0</v>
      </c>
      <c r="T2135">
        <v>0</v>
      </c>
      <c r="U2135">
        <f t="shared" si="214"/>
        <v>2.314164853780748E-2</v>
      </c>
      <c r="V2135" t="str">
        <f t="shared" si="210"/>
        <v>2019/20Expenditure driversPhysical SecurityBPDT</v>
      </c>
    </row>
    <row r="2136" spans="1:22">
      <c r="A2136" t="s">
        <v>126</v>
      </c>
      <c r="C2136" t="s">
        <v>1344</v>
      </c>
      <c r="D2136" t="s">
        <v>84</v>
      </c>
      <c r="E2136" t="s">
        <v>1347</v>
      </c>
      <c r="F2136" t="s">
        <v>1289</v>
      </c>
      <c r="G2136">
        <v>0</v>
      </c>
      <c r="H2136">
        <v>0</v>
      </c>
      <c r="I2136">
        <v>0</v>
      </c>
      <c r="J2136">
        <v>0</v>
      </c>
      <c r="K2136">
        <v>0</v>
      </c>
      <c r="L2136">
        <v>0</v>
      </c>
      <c r="M2136">
        <v>0</v>
      </c>
      <c r="N2136">
        <v>0</v>
      </c>
      <c r="O2136">
        <v>0</v>
      </c>
      <c r="P2136">
        <v>0</v>
      </c>
      <c r="Q2136">
        <v>0</v>
      </c>
      <c r="R2136">
        <v>0.3258489259713121</v>
      </c>
      <c r="S2136">
        <v>0</v>
      </c>
      <c r="T2136">
        <v>0</v>
      </c>
      <c r="U2136">
        <f t="shared" si="214"/>
        <v>2.327492328366515E-2</v>
      </c>
      <c r="V2136" t="str">
        <f t="shared" si="210"/>
        <v>2020/21Expenditure driversPhysical SecurityBPDT</v>
      </c>
    </row>
    <row r="2137" spans="1:22">
      <c r="A2137" t="s">
        <v>142</v>
      </c>
      <c r="C2137" t="s">
        <v>1344</v>
      </c>
      <c r="D2137" t="s">
        <v>84</v>
      </c>
      <c r="E2137" t="s">
        <v>1347</v>
      </c>
      <c r="F2137" t="s">
        <v>1289</v>
      </c>
      <c r="G2137">
        <v>0</v>
      </c>
      <c r="H2137">
        <v>0</v>
      </c>
      <c r="I2137">
        <v>0</v>
      </c>
      <c r="J2137">
        <v>0</v>
      </c>
      <c r="K2137">
        <v>0</v>
      </c>
      <c r="L2137">
        <v>0</v>
      </c>
      <c r="M2137">
        <v>0</v>
      </c>
      <c r="N2137">
        <v>0</v>
      </c>
      <c r="O2137">
        <v>0</v>
      </c>
      <c r="P2137">
        <v>0</v>
      </c>
      <c r="Q2137">
        <v>0</v>
      </c>
      <c r="R2137">
        <v>0.32774282135746807</v>
      </c>
      <c r="S2137">
        <v>0</v>
      </c>
      <c r="T2137">
        <v>0</v>
      </c>
      <c r="U2137">
        <f t="shared" si="214"/>
        <v>2.3410201525533435E-2</v>
      </c>
      <c r="V2137" t="str">
        <f t="shared" si="210"/>
        <v>2021/22Expenditure driversPhysical SecurityBPDT</v>
      </c>
    </row>
    <row r="2138" spans="1:22">
      <c r="A2138" t="s">
        <v>143</v>
      </c>
      <c r="C2138" t="s">
        <v>1344</v>
      </c>
      <c r="D2138" t="s">
        <v>84</v>
      </c>
      <c r="E2138" t="s">
        <v>1347</v>
      </c>
      <c r="F2138" t="s">
        <v>1289</v>
      </c>
      <c r="G2138">
        <v>0</v>
      </c>
      <c r="H2138">
        <v>0</v>
      </c>
      <c r="I2138">
        <v>0</v>
      </c>
      <c r="J2138">
        <v>0</v>
      </c>
      <c r="K2138">
        <v>0</v>
      </c>
      <c r="L2138">
        <v>0</v>
      </c>
      <c r="M2138">
        <v>0</v>
      </c>
      <c r="N2138">
        <v>0</v>
      </c>
      <c r="O2138">
        <v>0</v>
      </c>
      <c r="P2138">
        <v>0</v>
      </c>
      <c r="Q2138">
        <v>0</v>
      </c>
      <c r="R2138">
        <v>0.32966492647230705</v>
      </c>
      <c r="S2138">
        <v>0</v>
      </c>
      <c r="T2138">
        <v>0</v>
      </c>
      <c r="U2138">
        <f t="shared" si="214"/>
        <v>2.3547494748021931E-2</v>
      </c>
      <c r="V2138" t="str">
        <f t="shared" si="210"/>
        <v>2022/23Expenditure driversPhysical SecurityBPDT</v>
      </c>
    </row>
    <row r="2139" spans="1:22">
      <c r="A2139" t="s">
        <v>137</v>
      </c>
      <c r="C2139" t="s">
        <v>1344</v>
      </c>
      <c r="D2139" t="s">
        <v>84</v>
      </c>
      <c r="E2139" t="s">
        <v>1348</v>
      </c>
      <c r="F2139" t="s">
        <v>1289</v>
      </c>
      <c r="G2139">
        <f t="array" ref="G2139:T2146">TRANSPOSE('Ch4 expenditure drivers'!N574:U587)</f>
        <v>0</v>
      </c>
      <c r="H2139">
        <v>0</v>
      </c>
      <c r="I2139">
        <v>1.141207526613301</v>
      </c>
      <c r="J2139">
        <v>0</v>
      </c>
      <c r="K2139">
        <v>0</v>
      </c>
      <c r="L2139">
        <v>0</v>
      </c>
      <c r="M2139">
        <v>0</v>
      </c>
      <c r="N2139">
        <v>0</v>
      </c>
      <c r="O2139">
        <v>0.65035113519122245</v>
      </c>
      <c r="P2139">
        <v>5.6993510332539202E-2</v>
      </c>
      <c r="Q2139">
        <v>0</v>
      </c>
      <c r="R2139">
        <v>0.27160956413057596</v>
      </c>
      <c r="S2139">
        <v>0</v>
      </c>
      <c r="T2139">
        <v>0</v>
      </c>
      <c r="U2139">
        <f t="shared" si="214"/>
        <v>0.15144012401911702</v>
      </c>
      <c r="V2139" t="str">
        <f t="shared" si="210"/>
        <v>2015/16Expenditure driversPhysical SecurityDNO Baseline</v>
      </c>
    </row>
    <row r="2140" spans="1:22">
      <c r="A2140" t="s">
        <v>138</v>
      </c>
      <c r="C2140" t="s">
        <v>1344</v>
      </c>
      <c r="D2140" t="s">
        <v>84</v>
      </c>
      <c r="E2140" t="s">
        <v>1348</v>
      </c>
      <c r="F2140" t="s">
        <v>1289</v>
      </c>
      <c r="G2140">
        <v>0</v>
      </c>
      <c r="H2140">
        <v>0</v>
      </c>
      <c r="I2140">
        <v>0</v>
      </c>
      <c r="J2140">
        <v>0</v>
      </c>
      <c r="K2140">
        <v>0</v>
      </c>
      <c r="L2140">
        <v>0</v>
      </c>
      <c r="M2140">
        <v>0</v>
      </c>
      <c r="N2140">
        <v>0.64960151101690022</v>
      </c>
      <c r="O2140">
        <v>0.6563739233835566</v>
      </c>
      <c r="P2140">
        <v>0.57521317270201533</v>
      </c>
      <c r="Q2140">
        <v>0</v>
      </c>
      <c r="R2140">
        <v>0.27262852102504748</v>
      </c>
      <c r="S2140">
        <v>0</v>
      </c>
      <c r="T2140">
        <v>0</v>
      </c>
      <c r="U2140">
        <f t="shared" si="214"/>
        <v>0.15384408058053714</v>
      </c>
      <c r="V2140" t="str">
        <f t="shared" si="210"/>
        <v>2016/17Expenditure driversPhysical SecurityDNO Baseline</v>
      </c>
    </row>
    <row r="2141" spans="1:22">
      <c r="A2141" t="s">
        <v>139</v>
      </c>
      <c r="C2141" t="s">
        <v>1344</v>
      </c>
      <c r="D2141" t="s">
        <v>84</v>
      </c>
      <c r="E2141" t="s">
        <v>1348</v>
      </c>
      <c r="F2141" t="s">
        <v>1289</v>
      </c>
      <c r="G2141">
        <v>0</v>
      </c>
      <c r="H2141">
        <v>0</v>
      </c>
      <c r="I2141">
        <v>0.65572227326572297</v>
      </c>
      <c r="J2141">
        <v>0</v>
      </c>
      <c r="K2141">
        <v>0</v>
      </c>
      <c r="L2141">
        <v>0</v>
      </c>
      <c r="M2141">
        <v>0</v>
      </c>
      <c r="N2141">
        <v>0</v>
      </c>
      <c r="O2141">
        <v>0</v>
      </c>
      <c r="P2141">
        <v>0.78375541087302325</v>
      </c>
      <c r="Q2141">
        <v>0</v>
      </c>
      <c r="R2141">
        <v>0.27352355856791588</v>
      </c>
      <c r="S2141">
        <v>0</v>
      </c>
      <c r="T2141">
        <v>0</v>
      </c>
      <c r="U2141">
        <f t="shared" si="214"/>
        <v>0.12235723162190444</v>
      </c>
      <c r="V2141" t="str">
        <f t="shared" si="210"/>
        <v>2017/18Expenditure driversPhysical SecurityDNO Baseline</v>
      </c>
    </row>
    <row r="2142" spans="1:22">
      <c r="A2142" t="s">
        <v>140</v>
      </c>
      <c r="C2142" t="s">
        <v>1344</v>
      </c>
      <c r="D2142" t="s">
        <v>84</v>
      </c>
      <c r="E2142" t="s">
        <v>1348</v>
      </c>
      <c r="F2142" t="s">
        <v>1289</v>
      </c>
      <c r="G2142">
        <v>0</v>
      </c>
      <c r="H2142">
        <v>6.81005471789108E-2</v>
      </c>
      <c r="I2142">
        <v>0.1646806198344743</v>
      </c>
      <c r="J2142">
        <v>0</v>
      </c>
      <c r="K2142">
        <v>0</v>
      </c>
      <c r="L2142">
        <v>0</v>
      </c>
      <c r="M2142">
        <v>0</v>
      </c>
      <c r="N2142">
        <v>0</v>
      </c>
      <c r="O2142">
        <v>0</v>
      </c>
      <c r="P2142">
        <v>0.7910663311654319</v>
      </c>
      <c r="Q2142">
        <v>0</v>
      </c>
      <c r="R2142">
        <v>0.27374964427032095</v>
      </c>
      <c r="S2142">
        <v>0</v>
      </c>
      <c r="T2142">
        <v>0</v>
      </c>
      <c r="U2142">
        <f t="shared" si="214"/>
        <v>9.2685510174938424E-2</v>
      </c>
      <c r="V2142" t="str">
        <f t="shared" si="210"/>
        <v>2018/19Expenditure driversPhysical SecurityDNO Baseline</v>
      </c>
    </row>
    <row r="2143" spans="1:22">
      <c r="A2143" t="s">
        <v>141</v>
      </c>
      <c r="C2143" t="s">
        <v>1344</v>
      </c>
      <c r="D2143" t="s">
        <v>84</v>
      </c>
      <c r="E2143" t="s">
        <v>1348</v>
      </c>
      <c r="F2143" t="s">
        <v>1289</v>
      </c>
      <c r="G2143">
        <v>0</v>
      </c>
      <c r="H2143">
        <v>0.9943836478103607</v>
      </c>
      <c r="I2143">
        <v>2.2287633238459179</v>
      </c>
      <c r="J2143">
        <v>0</v>
      </c>
      <c r="K2143">
        <v>0</v>
      </c>
      <c r="L2143">
        <v>0</v>
      </c>
      <c r="M2143">
        <v>0</v>
      </c>
      <c r="N2143">
        <v>0</v>
      </c>
      <c r="O2143">
        <v>0</v>
      </c>
      <c r="P2143">
        <v>0</v>
      </c>
      <c r="Q2143">
        <v>0</v>
      </c>
      <c r="R2143">
        <v>0.27531148497174052</v>
      </c>
      <c r="S2143">
        <v>0</v>
      </c>
      <c r="T2143">
        <v>0</v>
      </c>
      <c r="U2143">
        <f t="shared" si="214"/>
        <v>0.24988988975914422</v>
      </c>
      <c r="V2143" t="str">
        <f t="shared" si="210"/>
        <v>2019/20Expenditure driversPhysical SecurityDNO Baseline</v>
      </c>
    </row>
    <row r="2144" spans="1:22">
      <c r="A2144" t="s">
        <v>126</v>
      </c>
      <c r="C2144" t="s">
        <v>1344</v>
      </c>
      <c r="D2144" t="s">
        <v>84</v>
      </c>
      <c r="E2144" t="s">
        <v>1348</v>
      </c>
      <c r="F2144" t="s">
        <v>1289</v>
      </c>
      <c r="G2144">
        <v>0</v>
      </c>
      <c r="H2144">
        <v>0</v>
      </c>
      <c r="I2144">
        <v>8.0684775191580665E-3</v>
      </c>
      <c r="J2144">
        <v>0</v>
      </c>
      <c r="K2144">
        <v>0</v>
      </c>
      <c r="L2144">
        <v>0</v>
      </c>
      <c r="M2144">
        <v>0</v>
      </c>
      <c r="N2144">
        <v>0</v>
      </c>
      <c r="O2144">
        <v>0</v>
      </c>
      <c r="P2144">
        <v>0</v>
      </c>
      <c r="Q2144">
        <v>0</v>
      </c>
      <c r="R2144">
        <v>0.27689702751126016</v>
      </c>
      <c r="S2144">
        <v>0</v>
      </c>
      <c r="T2144">
        <v>0</v>
      </c>
      <c r="U2144">
        <f t="shared" si="214"/>
        <v>2.035467893074416E-2</v>
      </c>
      <c r="V2144" t="str">
        <f t="shared" si="210"/>
        <v>2020/21Expenditure driversPhysical SecurityDNO Baseline</v>
      </c>
    </row>
    <row r="2145" spans="1:22">
      <c r="A2145" t="s">
        <v>142</v>
      </c>
      <c r="C2145" t="s">
        <v>1344</v>
      </c>
      <c r="D2145" t="s">
        <v>84</v>
      </c>
      <c r="E2145" t="s">
        <v>1348</v>
      </c>
      <c r="F2145" t="s">
        <v>1289</v>
      </c>
      <c r="G2145">
        <v>0</v>
      </c>
      <c r="H2145">
        <v>0</v>
      </c>
      <c r="I2145">
        <v>8.0684775191580665E-3</v>
      </c>
      <c r="J2145">
        <v>0</v>
      </c>
      <c r="K2145">
        <v>0</v>
      </c>
      <c r="L2145">
        <v>0</v>
      </c>
      <c r="M2145">
        <v>0</v>
      </c>
      <c r="N2145">
        <v>0</v>
      </c>
      <c r="O2145">
        <v>0</v>
      </c>
      <c r="P2145">
        <v>0</v>
      </c>
      <c r="Q2145">
        <v>0</v>
      </c>
      <c r="R2145">
        <v>0.27850640523524889</v>
      </c>
      <c r="S2145">
        <v>0</v>
      </c>
      <c r="T2145">
        <v>0</v>
      </c>
      <c r="U2145">
        <f t="shared" si="214"/>
        <v>2.046963448245764E-2</v>
      </c>
      <c r="V2145" t="str">
        <f t="shared" si="210"/>
        <v>2021/22Expenditure driversPhysical SecurityDNO Baseline</v>
      </c>
    </row>
    <row r="2146" spans="1:22">
      <c r="A2146" t="s">
        <v>143</v>
      </c>
      <c r="C2146" t="s">
        <v>1344</v>
      </c>
      <c r="D2146" t="s">
        <v>84</v>
      </c>
      <c r="E2146" t="s">
        <v>1348</v>
      </c>
      <c r="F2146" t="s">
        <v>1289</v>
      </c>
      <c r="G2146">
        <v>0</v>
      </c>
      <c r="H2146">
        <v>0</v>
      </c>
      <c r="I2146">
        <v>8.0684775191580665E-3</v>
      </c>
      <c r="J2146">
        <v>0</v>
      </c>
      <c r="K2146">
        <v>0</v>
      </c>
      <c r="L2146">
        <v>0</v>
      </c>
      <c r="M2146">
        <v>0</v>
      </c>
      <c r="N2146">
        <v>0</v>
      </c>
      <c r="O2146">
        <v>0</v>
      </c>
      <c r="P2146">
        <v>0</v>
      </c>
      <c r="Q2146">
        <v>0</v>
      </c>
      <c r="R2146">
        <v>0.28013975477377079</v>
      </c>
      <c r="S2146">
        <v>0</v>
      </c>
      <c r="T2146">
        <v>0</v>
      </c>
      <c r="U2146">
        <f t="shared" si="214"/>
        <v>2.0586302306637775E-2</v>
      </c>
      <c r="V2146" t="str">
        <f t="shared" si="210"/>
        <v>2022/23Expenditure driversPhysical SecurityDNO Baseline</v>
      </c>
    </row>
    <row r="2147" spans="1:22">
      <c r="A2147" t="s">
        <v>137</v>
      </c>
      <c r="C2147" t="s">
        <v>1344</v>
      </c>
      <c r="D2147" t="s">
        <v>84</v>
      </c>
      <c r="E2147" t="s">
        <v>1349</v>
      </c>
      <c r="F2147" t="s">
        <v>1289</v>
      </c>
      <c r="G2147" cm="1">
        <f t="array" ref="G2147:T2153">TRANSPOSE('Ch4 expenditure drivers'!W574:AC587)</f>
        <v>0</v>
      </c>
      <c r="H2147">
        <v>0</v>
      </c>
      <c r="I2147">
        <v>0</v>
      </c>
      <c r="J2147">
        <v>0</v>
      </c>
      <c r="K2147">
        <v>0</v>
      </c>
      <c r="L2147">
        <v>0</v>
      </c>
      <c r="M2147">
        <v>0</v>
      </c>
      <c r="N2147">
        <v>7.1503104461808589E-2</v>
      </c>
      <c r="O2147">
        <v>0</v>
      </c>
      <c r="P2147">
        <v>0.15617947878954314</v>
      </c>
      <c r="Q2147">
        <v>0</v>
      </c>
      <c r="R2147">
        <v>0</v>
      </c>
      <c r="S2147">
        <v>0</v>
      </c>
      <c r="T2147">
        <v>0</v>
      </c>
      <c r="U2147">
        <f t="shared" si="214"/>
        <v>1.6263041660810836E-2</v>
      </c>
      <c r="V2147" t="str">
        <f t="shared" si="210"/>
        <v>2015/16Expenditure driversPhysical SecurityDNO Actual</v>
      </c>
    </row>
    <row r="2148" spans="1:22">
      <c r="A2148" t="s">
        <v>138</v>
      </c>
      <c r="C2148" t="s">
        <v>1344</v>
      </c>
      <c r="D2148" t="s">
        <v>84</v>
      </c>
      <c r="E2148" t="s">
        <v>1349</v>
      </c>
      <c r="F2148" t="s">
        <v>1289</v>
      </c>
      <c r="G2148">
        <v>0</v>
      </c>
      <c r="H2148">
        <v>0</v>
      </c>
      <c r="I2148">
        <v>4.2594978550955703E-2</v>
      </c>
      <c r="J2148">
        <v>0</v>
      </c>
      <c r="K2148">
        <v>0</v>
      </c>
      <c r="L2148">
        <v>0</v>
      </c>
      <c r="M2148">
        <v>0</v>
      </c>
      <c r="N2148">
        <v>0</v>
      </c>
      <c r="O2148">
        <v>0</v>
      </c>
      <c r="P2148">
        <v>7.3562411166251576E-2</v>
      </c>
      <c r="Q2148">
        <v>0</v>
      </c>
      <c r="R2148">
        <v>0</v>
      </c>
      <c r="S2148">
        <v>0</v>
      </c>
      <c r="T2148">
        <v>0</v>
      </c>
      <c r="U2148">
        <f t="shared" si="214"/>
        <v>8.2969564083719485E-3</v>
      </c>
      <c r="V2148" t="str">
        <f t="shared" si="210"/>
        <v>2016/17Expenditure driversPhysical SecurityDNO Actual</v>
      </c>
    </row>
    <row r="2149" spans="1:22">
      <c r="A2149" t="s">
        <v>139</v>
      </c>
      <c r="C2149" t="s">
        <v>1344</v>
      </c>
      <c r="D2149" t="s">
        <v>84</v>
      </c>
      <c r="E2149" t="s">
        <v>1349</v>
      </c>
      <c r="F2149" t="s">
        <v>1289</v>
      </c>
      <c r="G2149">
        <v>0</v>
      </c>
      <c r="H2149">
        <v>0</v>
      </c>
      <c r="I2149">
        <v>7.6560725461554138E-2</v>
      </c>
      <c r="J2149">
        <v>0</v>
      </c>
      <c r="K2149">
        <v>0</v>
      </c>
      <c r="L2149">
        <v>0</v>
      </c>
      <c r="M2149">
        <v>0</v>
      </c>
      <c r="N2149">
        <v>0</v>
      </c>
      <c r="O2149">
        <v>0</v>
      </c>
      <c r="P2149">
        <v>7.4483040932140704E-3</v>
      </c>
      <c r="Q2149">
        <v>0</v>
      </c>
      <c r="R2149">
        <v>0</v>
      </c>
      <c r="S2149">
        <v>0</v>
      </c>
      <c r="T2149">
        <v>0</v>
      </c>
      <c r="U2149">
        <f t="shared" si="214"/>
        <v>6.0006449681977289E-3</v>
      </c>
      <c r="V2149" t="str">
        <f t="shared" si="210"/>
        <v>2017/18Expenditure driversPhysical SecurityDNO Actual</v>
      </c>
    </row>
    <row r="2150" spans="1:22">
      <c r="A2150" t="s">
        <v>140</v>
      </c>
      <c r="C2150" t="s">
        <v>1344</v>
      </c>
      <c r="D2150" t="s">
        <v>84</v>
      </c>
      <c r="E2150" t="s">
        <v>1349</v>
      </c>
      <c r="F2150" t="s">
        <v>1289</v>
      </c>
      <c r="G2150">
        <v>0</v>
      </c>
      <c r="H2150">
        <v>0</v>
      </c>
      <c r="I2150">
        <v>0.44278831384805223</v>
      </c>
      <c r="J2150">
        <v>0</v>
      </c>
      <c r="K2150">
        <v>0</v>
      </c>
      <c r="L2150">
        <v>0</v>
      </c>
      <c r="M2150">
        <v>0</v>
      </c>
      <c r="N2150">
        <v>0</v>
      </c>
      <c r="O2150">
        <v>0</v>
      </c>
      <c r="P2150">
        <v>-4.7265914857259783E-2</v>
      </c>
      <c r="Q2150">
        <v>0</v>
      </c>
      <c r="R2150">
        <v>0</v>
      </c>
      <c r="S2150">
        <v>0</v>
      </c>
      <c r="T2150">
        <v>0</v>
      </c>
      <c r="U2150">
        <f>AVERAGE(G2150:T2150)</f>
        <v>2.8251599927913745E-2</v>
      </c>
      <c r="V2150" t="str">
        <f t="shared" si="210"/>
        <v>2018/19Expenditure driversPhysical SecurityDNO Actual</v>
      </c>
    </row>
    <row r="2151" spans="1:22">
      <c r="A2151" t="s">
        <v>141</v>
      </c>
      <c r="C2151" t="s">
        <v>1344</v>
      </c>
      <c r="D2151" t="s">
        <v>84</v>
      </c>
      <c r="E2151" t="s">
        <v>1349</v>
      </c>
      <c r="F2151" t="s">
        <v>1289</v>
      </c>
      <c r="G2151">
        <v>0</v>
      </c>
      <c r="H2151">
        <v>0.39633719093381603</v>
      </c>
      <c r="I2151">
        <v>2.8204106736081482</v>
      </c>
      <c r="J2151">
        <v>0</v>
      </c>
      <c r="K2151">
        <v>0</v>
      </c>
      <c r="L2151">
        <v>0</v>
      </c>
      <c r="M2151">
        <v>0</v>
      </c>
      <c r="N2151">
        <v>0</v>
      </c>
      <c r="O2151">
        <v>0</v>
      </c>
      <c r="P2151">
        <v>0</v>
      </c>
      <c r="Q2151">
        <v>0</v>
      </c>
      <c r="R2151">
        <v>0</v>
      </c>
      <c r="S2151">
        <v>0</v>
      </c>
      <c r="T2151">
        <v>0</v>
      </c>
      <c r="U2151">
        <f>AVERAGE(G2151:T2151)</f>
        <v>0.22976770461014029</v>
      </c>
      <c r="V2151" t="str">
        <f t="shared" si="210"/>
        <v>2019/20Expenditure driversPhysical SecurityDNO Actual</v>
      </c>
    </row>
    <row r="2152" spans="1:22">
      <c r="A2152" t="s">
        <v>126</v>
      </c>
      <c r="C2152" t="s">
        <v>1344</v>
      </c>
      <c r="D2152" t="s">
        <v>84</v>
      </c>
      <c r="E2152" t="s">
        <v>1349</v>
      </c>
      <c r="F2152" t="s">
        <v>1289</v>
      </c>
      <c r="G2152">
        <v>0</v>
      </c>
      <c r="H2152">
        <v>7.9205089239513624E-2</v>
      </c>
      <c r="I2152">
        <v>1.8176246542420467</v>
      </c>
      <c r="J2152">
        <v>0</v>
      </c>
      <c r="K2152">
        <v>0</v>
      </c>
      <c r="L2152">
        <v>0</v>
      </c>
      <c r="M2152">
        <v>0</v>
      </c>
      <c r="N2152">
        <v>0</v>
      </c>
      <c r="O2152">
        <v>0</v>
      </c>
      <c r="P2152">
        <v>0</v>
      </c>
      <c r="Q2152">
        <v>0</v>
      </c>
      <c r="R2152">
        <v>0</v>
      </c>
      <c r="S2152">
        <v>0</v>
      </c>
      <c r="T2152">
        <v>0</v>
      </c>
      <c r="U2152">
        <f>AVERAGE(G2152:T2152)</f>
        <v>0.13548783882011145</v>
      </c>
      <c r="V2152" t="str">
        <f t="shared" si="210"/>
        <v>2020/21Expenditure driversPhysical SecurityDNO Actual</v>
      </c>
    </row>
    <row r="2153" spans="1:22">
      <c r="A2153" s="1087" t="s">
        <v>142</v>
      </c>
      <c r="B2153" s="1087"/>
      <c r="C2153" s="1087" t="s">
        <v>1344</v>
      </c>
      <c r="D2153" s="1087" t="s">
        <v>84</v>
      </c>
      <c r="E2153" s="1087" t="s">
        <v>1349</v>
      </c>
      <c r="F2153" s="1087" t="s">
        <v>1289</v>
      </c>
      <c r="G2153" s="1087">
        <v>0</v>
      </c>
      <c r="H2153" s="1087">
        <v>1.8216139999999999E-2</v>
      </c>
      <c r="I2153" s="1087">
        <v>0.55735040999999996</v>
      </c>
      <c r="J2153" s="1087">
        <v>0</v>
      </c>
      <c r="K2153" s="1087">
        <v>0</v>
      </c>
      <c r="L2153" s="1087">
        <v>0</v>
      </c>
      <c r="M2153" s="1087">
        <v>0</v>
      </c>
      <c r="N2153" s="1087">
        <v>0</v>
      </c>
      <c r="O2153" s="1087">
        <v>0</v>
      </c>
      <c r="P2153" s="1087">
        <v>0</v>
      </c>
      <c r="Q2153" s="1087">
        <v>0</v>
      </c>
      <c r="R2153" s="1087">
        <v>0</v>
      </c>
      <c r="S2153" s="1087">
        <v>0</v>
      </c>
      <c r="T2153" s="1087">
        <v>0</v>
      </c>
      <c r="U2153" s="1087">
        <f>AVERAGE(G2153:T2153)</f>
        <v>4.111189642857143E-2</v>
      </c>
      <c r="V2153" s="1087" t="str">
        <f t="shared" ref="V2153" si="215">CONCATENATE(A2153,B2153,C2153,D2153,E2153)</f>
        <v>2021/22Expenditure driversPhysical SecurityDNO Actual</v>
      </c>
    </row>
    <row r="2154" spans="1:22">
      <c r="A2154" t="s">
        <v>137</v>
      </c>
      <c r="C2154" t="s">
        <v>1344</v>
      </c>
      <c r="D2154" t="s">
        <v>84</v>
      </c>
      <c r="E2154" t="s">
        <v>297</v>
      </c>
      <c r="F2154" t="s">
        <v>1289</v>
      </c>
      <c r="G2154">
        <f t="array" ref="G2154:T2157">TRANSPOSE('Ch4 expenditure drivers'!AF574:AI587)</f>
        <v>0</v>
      </c>
      <c r="H2154">
        <v>0</v>
      </c>
      <c r="I2154">
        <v>1.141207526613301</v>
      </c>
      <c r="J2154">
        <v>0</v>
      </c>
      <c r="K2154">
        <v>0</v>
      </c>
      <c r="L2154">
        <v>0</v>
      </c>
      <c r="M2154">
        <v>0</v>
      </c>
      <c r="N2154">
        <v>0</v>
      </c>
      <c r="O2154">
        <v>0.65035113519122245</v>
      </c>
      <c r="P2154">
        <v>5.6993510332539202E-2</v>
      </c>
      <c r="Q2154">
        <v>0</v>
      </c>
      <c r="R2154">
        <v>0.27160956413057596</v>
      </c>
      <c r="S2154">
        <v>0</v>
      </c>
      <c r="T2154">
        <v>0</v>
      </c>
      <c r="U2154">
        <f t="shared" si="214"/>
        <v>0.15144012401911702</v>
      </c>
      <c r="V2154" t="str">
        <f t="shared" si="210"/>
        <v>2015/16Expenditure driversPhysical SecurityAllowance</v>
      </c>
    </row>
    <row r="2155" spans="1:22">
      <c r="A2155" t="s">
        <v>137</v>
      </c>
      <c r="C2155" t="s">
        <v>1344</v>
      </c>
      <c r="D2155" t="s">
        <v>84</v>
      </c>
      <c r="E2155" t="s">
        <v>298</v>
      </c>
      <c r="F2155" t="s">
        <v>1289</v>
      </c>
      <c r="G2155">
        <v>0</v>
      </c>
      <c r="H2155">
        <v>0</v>
      </c>
      <c r="I2155">
        <v>0</v>
      </c>
      <c r="J2155">
        <v>0</v>
      </c>
      <c r="K2155">
        <v>0</v>
      </c>
      <c r="L2155">
        <v>0</v>
      </c>
      <c r="M2155">
        <v>0</v>
      </c>
      <c r="N2155">
        <v>7.1503104461808589E-2</v>
      </c>
      <c r="O2155">
        <v>0</v>
      </c>
      <c r="P2155">
        <v>0.15617947878954314</v>
      </c>
      <c r="Q2155">
        <v>0</v>
      </c>
      <c r="R2155">
        <v>0</v>
      </c>
      <c r="S2155">
        <v>0</v>
      </c>
      <c r="T2155">
        <v>0</v>
      </c>
      <c r="U2155">
        <f t="shared" si="214"/>
        <v>1.6263041660810836E-2</v>
      </c>
      <c r="V2155" t="str">
        <f t="shared" si="210"/>
        <v>2015/16Expenditure driversPhysical SecurityActual</v>
      </c>
    </row>
    <row r="2156" spans="1:22">
      <c r="A2156" t="s">
        <v>137</v>
      </c>
      <c r="C2156" t="s">
        <v>1344</v>
      </c>
      <c r="D2156" t="s">
        <v>84</v>
      </c>
      <c r="E2156" t="s">
        <v>602</v>
      </c>
      <c r="F2156" t="s">
        <v>1289</v>
      </c>
      <c r="G2156">
        <v>0</v>
      </c>
      <c r="H2156">
        <v>0</v>
      </c>
      <c r="I2156">
        <v>-1.141207526613301</v>
      </c>
      <c r="J2156">
        <v>0</v>
      </c>
      <c r="K2156">
        <v>0</v>
      </c>
      <c r="L2156">
        <v>0</v>
      </c>
      <c r="M2156">
        <v>0</v>
      </c>
      <c r="N2156">
        <v>7.1503104461808589E-2</v>
      </c>
      <c r="O2156">
        <v>-0.65035113519122245</v>
      </c>
      <c r="P2156">
        <v>9.9185968457003934E-2</v>
      </c>
      <c r="Q2156">
        <v>0</v>
      </c>
      <c r="R2156">
        <v>-0.27160956413057596</v>
      </c>
      <c r="S2156">
        <v>0</v>
      </c>
      <c r="T2156">
        <v>0</v>
      </c>
      <c r="U2156">
        <f>U2155-U2154</f>
        <v>-0.13517708235830619</v>
      </c>
      <c r="V2156" t="str">
        <f t="shared" si="210"/>
        <v>2015/16Expenditure driversPhysical SecurityDifference</v>
      </c>
    </row>
    <row r="2157" spans="1:22">
      <c r="A2157" t="s">
        <v>137</v>
      </c>
      <c r="C2157" t="s">
        <v>1344</v>
      </c>
      <c r="D2157" t="s">
        <v>84</v>
      </c>
      <c r="E2157" t="s">
        <v>1346</v>
      </c>
      <c r="F2157" t="s">
        <v>606</v>
      </c>
      <c r="G2157" s="829" t="e">
        <v>#DIV/0!</v>
      </c>
      <c r="H2157" s="829" t="e">
        <v>#DIV/0!</v>
      </c>
      <c r="I2157" s="829">
        <v>-1</v>
      </c>
      <c r="J2157" s="829" t="e">
        <v>#DIV/0!</v>
      </c>
      <c r="K2157" s="829" t="e">
        <v>#DIV/0!</v>
      </c>
      <c r="L2157" s="829" t="e">
        <v>#DIV/0!</v>
      </c>
      <c r="M2157" s="829" t="e">
        <v>#DIV/0!</v>
      </c>
      <c r="N2157" s="829" t="e">
        <v>#DIV/0!</v>
      </c>
      <c r="O2157" s="829">
        <v>-1</v>
      </c>
      <c r="P2157" s="829">
        <v>1.7403028498908912</v>
      </c>
      <c r="Q2157" s="829" t="e">
        <v>#DIV/0!</v>
      </c>
      <c r="R2157" s="829">
        <v>-1</v>
      </c>
      <c r="S2157" s="829" t="e">
        <v>#DIV/0!</v>
      </c>
      <c r="T2157" s="829" t="e">
        <v>#DIV/0!</v>
      </c>
      <c r="U2157" s="829">
        <f>U2156/U2154</f>
        <v>-0.89261074787050576</v>
      </c>
      <c r="V2157" t="str">
        <f t="shared" ref="V2157:V2225" si="216">CONCATENATE(A2157,B2157,C2157,D2157,E2157)</f>
        <v>2015/16Expenditure driversPhysical SecurityDifference %</v>
      </c>
    </row>
    <row r="2158" spans="1:22">
      <c r="A2158" t="s">
        <v>138</v>
      </c>
      <c r="C2158" t="s">
        <v>1344</v>
      </c>
      <c r="D2158" t="s">
        <v>84</v>
      </c>
      <c r="E2158" t="s">
        <v>297</v>
      </c>
      <c r="F2158" t="s">
        <v>1289</v>
      </c>
      <c r="G2158">
        <f t="array" ref="G2158:T2161">TRANSPOSE('Ch4 expenditure drivers'!AK574:AN587)</f>
        <v>0</v>
      </c>
      <c r="H2158">
        <v>0</v>
      </c>
      <c r="I2158">
        <v>0</v>
      </c>
      <c r="J2158">
        <v>0</v>
      </c>
      <c r="K2158">
        <v>0</v>
      </c>
      <c r="L2158">
        <v>0</v>
      </c>
      <c r="M2158">
        <v>0</v>
      </c>
      <c r="N2158">
        <v>0.64960151101690022</v>
      </c>
      <c r="O2158">
        <v>0.6563739233835566</v>
      </c>
      <c r="P2158">
        <v>0.57521317270201533</v>
      </c>
      <c r="Q2158">
        <v>0</v>
      </c>
      <c r="R2158">
        <v>0.27262852102504748</v>
      </c>
      <c r="S2158">
        <v>0</v>
      </c>
      <c r="T2158">
        <v>0</v>
      </c>
      <c r="U2158">
        <f t="shared" si="214"/>
        <v>0.15384408058053714</v>
      </c>
      <c r="V2158" t="str">
        <f t="shared" si="216"/>
        <v>2016/17Expenditure driversPhysical SecurityAllowance</v>
      </c>
    </row>
    <row r="2159" spans="1:22">
      <c r="A2159" t="s">
        <v>138</v>
      </c>
      <c r="C2159" t="s">
        <v>1344</v>
      </c>
      <c r="D2159" t="s">
        <v>84</v>
      </c>
      <c r="E2159" t="s">
        <v>298</v>
      </c>
      <c r="F2159" t="s">
        <v>1289</v>
      </c>
      <c r="G2159">
        <v>0</v>
      </c>
      <c r="H2159">
        <v>0</v>
      </c>
      <c r="I2159">
        <v>4.2594978550955703E-2</v>
      </c>
      <c r="J2159">
        <v>0</v>
      </c>
      <c r="K2159">
        <v>0</v>
      </c>
      <c r="L2159">
        <v>0</v>
      </c>
      <c r="M2159">
        <v>0</v>
      </c>
      <c r="N2159">
        <v>0</v>
      </c>
      <c r="O2159">
        <v>0</v>
      </c>
      <c r="P2159">
        <v>7.3562411166251576E-2</v>
      </c>
      <c r="Q2159">
        <v>0</v>
      </c>
      <c r="R2159">
        <v>0</v>
      </c>
      <c r="S2159">
        <v>0</v>
      </c>
      <c r="T2159">
        <v>0</v>
      </c>
      <c r="U2159">
        <f t="shared" si="214"/>
        <v>8.2969564083719485E-3</v>
      </c>
      <c r="V2159" t="str">
        <f t="shared" si="216"/>
        <v>2016/17Expenditure driversPhysical SecurityActual</v>
      </c>
    </row>
    <row r="2160" spans="1:22">
      <c r="A2160" t="s">
        <v>138</v>
      </c>
      <c r="C2160" t="s">
        <v>1344</v>
      </c>
      <c r="D2160" t="s">
        <v>84</v>
      </c>
      <c r="E2160" t="s">
        <v>602</v>
      </c>
      <c r="F2160" t="s">
        <v>1289</v>
      </c>
      <c r="G2160">
        <v>0</v>
      </c>
      <c r="H2160">
        <v>0</v>
      </c>
      <c r="I2160">
        <v>4.2594978550955703E-2</v>
      </c>
      <c r="J2160">
        <v>0</v>
      </c>
      <c r="K2160">
        <v>0</v>
      </c>
      <c r="L2160">
        <v>0</v>
      </c>
      <c r="M2160">
        <v>0</v>
      </c>
      <c r="N2160">
        <v>-0.64960151101690022</v>
      </c>
      <c r="O2160">
        <v>-0.6563739233835566</v>
      </c>
      <c r="P2160">
        <v>-0.50165076153576371</v>
      </c>
      <c r="Q2160">
        <v>0</v>
      </c>
      <c r="R2160">
        <v>-0.27262852102504748</v>
      </c>
      <c r="S2160">
        <v>0</v>
      </c>
      <c r="T2160">
        <v>0</v>
      </c>
      <c r="U2160">
        <f>U2159-U2158</f>
        <v>-0.1455471241721652</v>
      </c>
      <c r="V2160" t="str">
        <f t="shared" si="216"/>
        <v>2016/17Expenditure driversPhysical SecurityDifference</v>
      </c>
    </row>
    <row r="2161" spans="1:22">
      <c r="A2161" t="s">
        <v>138</v>
      </c>
      <c r="C2161" t="s">
        <v>1344</v>
      </c>
      <c r="D2161" t="s">
        <v>84</v>
      </c>
      <c r="E2161" t="s">
        <v>1346</v>
      </c>
      <c r="F2161" t="s">
        <v>606</v>
      </c>
      <c r="G2161" s="829" t="e">
        <v>#DIV/0!</v>
      </c>
      <c r="H2161" s="829" t="e">
        <v>#DIV/0!</v>
      </c>
      <c r="I2161" s="829" t="e">
        <v>#DIV/0!</v>
      </c>
      <c r="J2161" s="829" t="e">
        <v>#DIV/0!</v>
      </c>
      <c r="K2161" s="829" t="e">
        <v>#DIV/0!</v>
      </c>
      <c r="L2161" s="829" t="e">
        <v>#DIV/0!</v>
      </c>
      <c r="M2161" s="829" t="e">
        <v>#DIV/0!</v>
      </c>
      <c r="N2161" s="829">
        <v>-1</v>
      </c>
      <c r="O2161" s="829">
        <v>-1</v>
      </c>
      <c r="P2161" s="829">
        <v>-0.87211278416887017</v>
      </c>
      <c r="Q2161" s="829" t="e">
        <v>#DIV/0!</v>
      </c>
      <c r="R2161" s="829">
        <v>-1</v>
      </c>
      <c r="S2161" s="829" t="e">
        <v>#DIV/0!</v>
      </c>
      <c r="T2161" s="829" t="e">
        <v>#DIV/0!</v>
      </c>
      <c r="U2161" s="829">
        <f>U2160/U2158</f>
        <v>-0.94606905655997275</v>
      </c>
      <c r="V2161" t="str">
        <f t="shared" si="216"/>
        <v>2016/17Expenditure driversPhysical SecurityDifference %</v>
      </c>
    </row>
    <row r="2162" spans="1:22">
      <c r="A2162" t="s">
        <v>139</v>
      </c>
      <c r="C2162" t="s">
        <v>1344</v>
      </c>
      <c r="D2162" t="s">
        <v>84</v>
      </c>
      <c r="E2162" t="s">
        <v>297</v>
      </c>
      <c r="F2162" t="s">
        <v>1289</v>
      </c>
      <c r="G2162">
        <f t="array" ref="G2162:T2165">TRANSPOSE('Ch4 expenditure drivers'!AP574:AS587)</f>
        <v>0</v>
      </c>
      <c r="H2162">
        <v>0</v>
      </c>
      <c r="I2162">
        <v>0.65572227326572297</v>
      </c>
      <c r="J2162">
        <v>0</v>
      </c>
      <c r="K2162">
        <v>0</v>
      </c>
      <c r="L2162">
        <v>0</v>
      </c>
      <c r="M2162">
        <v>0</v>
      </c>
      <c r="N2162">
        <v>0</v>
      </c>
      <c r="O2162">
        <v>0</v>
      </c>
      <c r="P2162">
        <v>0.78375541087302325</v>
      </c>
      <c r="Q2162">
        <v>0</v>
      </c>
      <c r="R2162">
        <v>0.27352355856791588</v>
      </c>
      <c r="S2162">
        <v>0</v>
      </c>
      <c r="T2162">
        <v>0</v>
      </c>
      <c r="U2162">
        <f t="shared" si="214"/>
        <v>0.12235723162190444</v>
      </c>
      <c r="V2162" t="str">
        <f t="shared" si="216"/>
        <v>2017/18Expenditure driversPhysical SecurityAllowance</v>
      </c>
    </row>
    <row r="2163" spans="1:22">
      <c r="A2163" t="s">
        <v>139</v>
      </c>
      <c r="C2163" t="s">
        <v>1344</v>
      </c>
      <c r="D2163" t="s">
        <v>84</v>
      </c>
      <c r="E2163" t="s">
        <v>298</v>
      </c>
      <c r="F2163" t="s">
        <v>1289</v>
      </c>
      <c r="G2163">
        <v>0</v>
      </c>
      <c r="H2163">
        <v>0</v>
      </c>
      <c r="I2163">
        <v>7.6560725461554138E-2</v>
      </c>
      <c r="J2163">
        <v>0</v>
      </c>
      <c r="K2163">
        <v>0</v>
      </c>
      <c r="L2163">
        <v>0</v>
      </c>
      <c r="M2163">
        <v>0</v>
      </c>
      <c r="N2163">
        <v>0</v>
      </c>
      <c r="O2163">
        <v>0</v>
      </c>
      <c r="P2163">
        <v>7.4483040932140704E-3</v>
      </c>
      <c r="Q2163">
        <v>0</v>
      </c>
      <c r="R2163">
        <v>0</v>
      </c>
      <c r="S2163">
        <v>0</v>
      </c>
      <c r="T2163">
        <v>0</v>
      </c>
      <c r="U2163">
        <f t="shared" si="214"/>
        <v>6.0006449681977289E-3</v>
      </c>
      <c r="V2163" t="str">
        <f t="shared" si="216"/>
        <v>2017/18Expenditure driversPhysical SecurityActual</v>
      </c>
    </row>
    <row r="2164" spans="1:22">
      <c r="A2164" t="s">
        <v>139</v>
      </c>
      <c r="C2164" t="s">
        <v>1344</v>
      </c>
      <c r="D2164" t="s">
        <v>84</v>
      </c>
      <c r="E2164" t="s">
        <v>602</v>
      </c>
      <c r="F2164" t="s">
        <v>1289</v>
      </c>
      <c r="G2164">
        <v>0</v>
      </c>
      <c r="H2164">
        <v>0</v>
      </c>
      <c r="I2164">
        <v>-0.57916154780416884</v>
      </c>
      <c r="J2164">
        <v>0</v>
      </c>
      <c r="K2164">
        <v>0</v>
      </c>
      <c r="L2164">
        <v>0</v>
      </c>
      <c r="M2164">
        <v>0</v>
      </c>
      <c r="N2164">
        <v>0</v>
      </c>
      <c r="O2164">
        <v>0</v>
      </c>
      <c r="P2164">
        <v>-0.77630710677980919</v>
      </c>
      <c r="Q2164">
        <v>0</v>
      </c>
      <c r="R2164">
        <v>-0.27352355856791588</v>
      </c>
      <c r="S2164">
        <v>0</v>
      </c>
      <c r="T2164">
        <v>0</v>
      </c>
      <c r="U2164">
        <f>U2163-U2162</f>
        <v>-0.11635658665370671</v>
      </c>
      <c r="V2164" t="str">
        <f t="shared" si="216"/>
        <v>2017/18Expenditure driversPhysical SecurityDifference</v>
      </c>
    </row>
    <row r="2165" spans="1:22">
      <c r="A2165" t="s">
        <v>139</v>
      </c>
      <c r="C2165" t="s">
        <v>1344</v>
      </c>
      <c r="D2165" t="s">
        <v>84</v>
      </c>
      <c r="E2165" t="s">
        <v>1346</v>
      </c>
      <c r="F2165" t="s">
        <v>606</v>
      </c>
      <c r="G2165" s="829" t="e">
        <v>#DIV/0!</v>
      </c>
      <c r="H2165" s="829" t="e">
        <v>#DIV/0!</v>
      </c>
      <c r="I2165" s="829">
        <v>-0.88324214597705319</v>
      </c>
      <c r="J2165" s="829" t="e">
        <v>#DIV/0!</v>
      </c>
      <c r="K2165" s="829" t="e">
        <v>#DIV/0!</v>
      </c>
      <c r="L2165" s="829" t="e">
        <v>#DIV/0!</v>
      </c>
      <c r="M2165" s="829" t="e">
        <v>#DIV/0!</v>
      </c>
      <c r="N2165" s="829" t="e">
        <v>#DIV/0!</v>
      </c>
      <c r="O2165" s="829" t="e">
        <v>#DIV/0!</v>
      </c>
      <c r="P2165" s="829">
        <v>-0.99049664730873443</v>
      </c>
      <c r="Q2165" s="829" t="e">
        <v>#DIV/0!</v>
      </c>
      <c r="R2165" s="829">
        <v>-1</v>
      </c>
      <c r="S2165" s="829" t="e">
        <v>#DIV/0!</v>
      </c>
      <c r="T2165" s="829" t="e">
        <v>#DIV/0!</v>
      </c>
      <c r="U2165" s="829">
        <f>U2164/U2162</f>
        <v>-0.95095798680097388</v>
      </c>
      <c r="V2165" t="str">
        <f t="shared" si="216"/>
        <v>2017/18Expenditure driversPhysical SecurityDifference %</v>
      </c>
    </row>
    <row r="2166" spans="1:22">
      <c r="A2166" t="s">
        <v>140</v>
      </c>
      <c r="C2166" t="s">
        <v>1344</v>
      </c>
      <c r="D2166" t="s">
        <v>84</v>
      </c>
      <c r="E2166" t="s">
        <v>297</v>
      </c>
      <c r="F2166" t="s">
        <v>1289</v>
      </c>
      <c r="G2166">
        <f t="array" ref="G2166:T2169">TRANSPOSE('Ch4 expenditure drivers'!AU574:AX587)</f>
        <v>0</v>
      </c>
      <c r="H2166">
        <v>6.81005471789108E-2</v>
      </c>
      <c r="I2166">
        <v>0.1646806198344743</v>
      </c>
      <c r="J2166">
        <v>0</v>
      </c>
      <c r="K2166">
        <v>0</v>
      </c>
      <c r="L2166">
        <v>0</v>
      </c>
      <c r="M2166">
        <v>0</v>
      </c>
      <c r="N2166">
        <v>0</v>
      </c>
      <c r="O2166">
        <v>0</v>
      </c>
      <c r="P2166">
        <v>0.7910663311654319</v>
      </c>
      <c r="Q2166">
        <v>0</v>
      </c>
      <c r="R2166">
        <v>0.27374964427032095</v>
      </c>
      <c r="S2166">
        <v>0</v>
      </c>
      <c r="T2166">
        <v>0</v>
      </c>
      <c r="U2166">
        <f>AVERAGE(G2166:T2166)</f>
        <v>9.2685510174938424E-2</v>
      </c>
      <c r="V2166" t="str">
        <f t="shared" si="216"/>
        <v>2018/19Expenditure driversPhysical SecurityAllowance</v>
      </c>
    </row>
    <row r="2167" spans="1:22">
      <c r="A2167" t="s">
        <v>140</v>
      </c>
      <c r="C2167" t="s">
        <v>1344</v>
      </c>
      <c r="D2167" t="s">
        <v>84</v>
      </c>
      <c r="E2167" t="s">
        <v>298</v>
      </c>
      <c r="F2167" t="s">
        <v>1289</v>
      </c>
      <c r="G2167">
        <v>0</v>
      </c>
      <c r="H2167">
        <v>0</v>
      </c>
      <c r="I2167">
        <v>0.44278831384805223</v>
      </c>
      <c r="J2167">
        <v>0</v>
      </c>
      <c r="K2167">
        <v>0</v>
      </c>
      <c r="L2167">
        <v>0</v>
      </c>
      <c r="M2167">
        <v>0</v>
      </c>
      <c r="N2167">
        <v>0</v>
      </c>
      <c r="O2167">
        <v>0</v>
      </c>
      <c r="P2167">
        <v>-4.7265914857259783E-2</v>
      </c>
      <c r="Q2167">
        <v>0</v>
      </c>
      <c r="R2167">
        <v>0</v>
      </c>
      <c r="S2167">
        <v>0</v>
      </c>
      <c r="T2167">
        <v>0</v>
      </c>
      <c r="U2167">
        <f>AVERAGE(G2167:T2167)</f>
        <v>2.8251599927913745E-2</v>
      </c>
      <c r="V2167" t="str">
        <f t="shared" si="216"/>
        <v>2018/19Expenditure driversPhysical SecurityActual</v>
      </c>
    </row>
    <row r="2168" spans="1:22">
      <c r="A2168" t="s">
        <v>140</v>
      </c>
      <c r="C2168" t="s">
        <v>1344</v>
      </c>
      <c r="D2168" t="s">
        <v>84</v>
      </c>
      <c r="E2168" t="s">
        <v>602</v>
      </c>
      <c r="F2168" t="s">
        <v>1289</v>
      </c>
      <c r="G2168">
        <v>0</v>
      </c>
      <c r="H2168">
        <v>-6.81005471789108E-2</v>
      </c>
      <c r="I2168">
        <v>0.27810769401357793</v>
      </c>
      <c r="J2168">
        <v>0</v>
      </c>
      <c r="K2168">
        <v>0</v>
      </c>
      <c r="L2168">
        <v>0</v>
      </c>
      <c r="M2168">
        <v>0</v>
      </c>
      <c r="N2168">
        <v>0</v>
      </c>
      <c r="O2168">
        <v>0</v>
      </c>
      <c r="P2168">
        <v>-0.83833224602269163</v>
      </c>
      <c r="Q2168">
        <v>0</v>
      </c>
      <c r="R2168">
        <v>-0.27374964427032095</v>
      </c>
      <c r="S2168">
        <v>0</v>
      </c>
      <c r="T2168">
        <v>0</v>
      </c>
      <c r="U2168">
        <f>U2167-U2166</f>
        <v>-6.4433910247024676E-2</v>
      </c>
      <c r="V2168" t="str">
        <f t="shared" si="216"/>
        <v>2018/19Expenditure driversPhysical SecurityDifference</v>
      </c>
    </row>
    <row r="2169" spans="1:22">
      <c r="A2169" t="s">
        <v>140</v>
      </c>
      <c r="C2169" t="s">
        <v>1344</v>
      </c>
      <c r="D2169" t="s">
        <v>84</v>
      </c>
      <c r="E2169" t="s">
        <v>1346</v>
      </c>
      <c r="F2169" t="s">
        <v>606</v>
      </c>
      <c r="G2169" s="829" t="e">
        <v>#DIV/0!</v>
      </c>
      <c r="H2169" s="829">
        <v>-1</v>
      </c>
      <c r="I2169" s="829">
        <v>1.6887700221988038</v>
      </c>
      <c r="J2169" s="829" t="e">
        <v>#DIV/0!</v>
      </c>
      <c r="K2169" s="829" t="e">
        <v>#DIV/0!</v>
      </c>
      <c r="L2169" s="829" t="e">
        <v>#DIV/0!</v>
      </c>
      <c r="M2169" s="829" t="e">
        <v>#DIV/0!</v>
      </c>
      <c r="N2169" s="829" t="e">
        <v>#DIV/0!</v>
      </c>
      <c r="O2169" s="829" t="e">
        <v>#DIV/0!</v>
      </c>
      <c r="P2169" s="829">
        <v>-1.0597496227498717</v>
      </c>
      <c r="Q2169" s="829" t="e">
        <v>#DIV/0!</v>
      </c>
      <c r="R2169" s="829">
        <v>-1</v>
      </c>
      <c r="S2169" s="829" t="e">
        <v>#DIV/0!</v>
      </c>
      <c r="T2169" s="829" t="e">
        <v>#DIV/0!</v>
      </c>
      <c r="U2169" s="829">
        <f>U2168/U2166</f>
        <v>-0.6951886020307757</v>
      </c>
      <c r="V2169" t="str">
        <f t="shared" si="216"/>
        <v>2018/19Expenditure driversPhysical SecurityDifference %</v>
      </c>
    </row>
    <row r="2170" spans="1:22">
      <c r="A2170" t="s">
        <v>141</v>
      </c>
      <c r="C2170" t="s">
        <v>1344</v>
      </c>
      <c r="D2170" t="s">
        <v>84</v>
      </c>
      <c r="E2170" t="s">
        <v>297</v>
      </c>
      <c r="F2170" t="s">
        <v>1289</v>
      </c>
      <c r="G2170" s="229">
        <f t="array" ref="G2170:T2173">TRANSPOSE('Ch4 expenditure drivers'!AZ574:BC587)</f>
        <v>0</v>
      </c>
      <c r="H2170" s="229">
        <v>0.9943836478103607</v>
      </c>
      <c r="I2170" s="229">
        <v>2.2287633238459179</v>
      </c>
      <c r="J2170" s="229">
        <v>0</v>
      </c>
      <c r="K2170" s="229">
        <v>0</v>
      </c>
      <c r="L2170" s="229">
        <v>0</v>
      </c>
      <c r="M2170" s="229">
        <v>0</v>
      </c>
      <c r="N2170" s="229">
        <v>0</v>
      </c>
      <c r="O2170" s="229">
        <v>0</v>
      </c>
      <c r="P2170" s="229">
        <v>0</v>
      </c>
      <c r="Q2170" s="229">
        <v>0</v>
      </c>
      <c r="R2170" s="229">
        <v>0.27531148497174052</v>
      </c>
      <c r="S2170" s="229">
        <v>0</v>
      </c>
      <c r="T2170" s="229">
        <v>0</v>
      </c>
      <c r="U2170" s="229">
        <f>AVERAGE(G2170:T2170)</f>
        <v>0.24988988975914422</v>
      </c>
      <c r="V2170" t="str">
        <f t="shared" si="216"/>
        <v>2019/20Expenditure driversPhysical SecurityAllowance</v>
      </c>
    </row>
    <row r="2171" spans="1:22">
      <c r="A2171" t="s">
        <v>141</v>
      </c>
      <c r="C2171" t="s">
        <v>1344</v>
      </c>
      <c r="D2171" t="s">
        <v>84</v>
      </c>
      <c r="E2171" t="s">
        <v>298</v>
      </c>
      <c r="F2171" t="s">
        <v>1289</v>
      </c>
      <c r="G2171" s="229">
        <v>0</v>
      </c>
      <c r="H2171" s="229">
        <v>0.39633719093381603</v>
      </c>
      <c r="I2171" s="229">
        <v>2.8204106736081482</v>
      </c>
      <c r="J2171" s="229">
        <v>0</v>
      </c>
      <c r="K2171" s="229">
        <v>0</v>
      </c>
      <c r="L2171" s="229">
        <v>0</v>
      </c>
      <c r="M2171" s="229">
        <v>0</v>
      </c>
      <c r="N2171" s="229">
        <v>0</v>
      </c>
      <c r="O2171" s="229">
        <v>0</v>
      </c>
      <c r="P2171" s="229">
        <v>0</v>
      </c>
      <c r="Q2171" s="229">
        <v>0</v>
      </c>
      <c r="R2171" s="229">
        <v>0</v>
      </c>
      <c r="S2171" s="229">
        <v>0</v>
      </c>
      <c r="T2171" s="229">
        <v>0</v>
      </c>
      <c r="U2171" s="229">
        <f>AVERAGE(G2171:T2171)</f>
        <v>0.22976770461014029</v>
      </c>
      <c r="V2171" t="str">
        <f t="shared" si="216"/>
        <v>2019/20Expenditure driversPhysical SecurityActual</v>
      </c>
    </row>
    <row r="2172" spans="1:22">
      <c r="A2172" t="s">
        <v>141</v>
      </c>
      <c r="C2172" t="s">
        <v>1344</v>
      </c>
      <c r="D2172" t="s">
        <v>84</v>
      </c>
      <c r="E2172" t="s">
        <v>602</v>
      </c>
      <c r="F2172" t="s">
        <v>1289</v>
      </c>
      <c r="G2172" s="229">
        <v>0</v>
      </c>
      <c r="H2172" s="229">
        <v>-0.59804645687654467</v>
      </c>
      <c r="I2172" s="229">
        <v>0.59164734976223032</v>
      </c>
      <c r="J2172" s="229">
        <v>0</v>
      </c>
      <c r="K2172" s="229">
        <v>0</v>
      </c>
      <c r="L2172" s="229">
        <v>0</v>
      </c>
      <c r="M2172" s="229">
        <v>0</v>
      </c>
      <c r="N2172" s="229">
        <v>0</v>
      </c>
      <c r="O2172" s="229">
        <v>0</v>
      </c>
      <c r="P2172" s="229">
        <v>0</v>
      </c>
      <c r="Q2172" s="229">
        <v>0</v>
      </c>
      <c r="R2172" s="229">
        <v>-0.27531148497174052</v>
      </c>
      <c r="S2172" s="229">
        <v>0</v>
      </c>
      <c r="T2172" s="229">
        <v>0</v>
      </c>
      <c r="U2172" s="229">
        <f>U2171-U2170</f>
        <v>-2.0122185149003935E-2</v>
      </c>
      <c r="V2172" t="str">
        <f t="shared" si="216"/>
        <v>2019/20Expenditure driversPhysical SecurityDifference</v>
      </c>
    </row>
    <row r="2173" spans="1:22">
      <c r="A2173" t="s">
        <v>141</v>
      </c>
      <c r="C2173" t="s">
        <v>1344</v>
      </c>
      <c r="D2173" t="s">
        <v>84</v>
      </c>
      <c r="E2173" t="s">
        <v>1346</v>
      </c>
      <c r="F2173" t="s">
        <v>606</v>
      </c>
      <c r="G2173" s="829" t="e">
        <v>#DIV/0!</v>
      </c>
      <c r="H2173" s="829">
        <v>-0.60142426737753274</v>
      </c>
      <c r="I2173" s="829">
        <v>0.26545992723053841</v>
      </c>
      <c r="J2173" s="829" t="e">
        <v>#DIV/0!</v>
      </c>
      <c r="K2173" s="829" t="e">
        <v>#DIV/0!</v>
      </c>
      <c r="L2173" s="829" t="e">
        <v>#DIV/0!</v>
      </c>
      <c r="M2173" s="829" t="e">
        <v>#DIV/0!</v>
      </c>
      <c r="N2173" s="829" t="e">
        <v>#DIV/0!</v>
      </c>
      <c r="O2173" s="829" t="e">
        <v>#DIV/0!</v>
      </c>
      <c r="P2173" s="829" t="e">
        <v>#DIV/0!</v>
      </c>
      <c r="Q2173" s="829" t="e">
        <v>#DIV/0!</v>
      </c>
      <c r="R2173" s="829">
        <v>-1</v>
      </c>
      <c r="S2173" s="829" t="e">
        <v>#DIV/0!</v>
      </c>
      <c r="T2173" s="829" t="e">
        <v>#DIV/0!</v>
      </c>
      <c r="U2173" s="829">
        <f>U2172/U2170</f>
        <v>-8.0524206755217889E-2</v>
      </c>
      <c r="V2173" t="str">
        <f t="shared" si="216"/>
        <v>2019/20Expenditure driversPhysical SecurityDifference %</v>
      </c>
    </row>
    <row r="2174" spans="1:22">
      <c r="A2174" t="s">
        <v>126</v>
      </c>
      <c r="C2174" t="s">
        <v>1344</v>
      </c>
      <c r="D2174" t="s">
        <v>84</v>
      </c>
      <c r="E2174" t="s">
        <v>297</v>
      </c>
      <c r="F2174" t="s">
        <v>1289</v>
      </c>
      <c r="G2174" s="229" cm="1">
        <f t="array" ref="G2174:T2177">TRANSPOSE('Ch4 expenditure drivers'!BE574:BH587)</f>
        <v>0</v>
      </c>
      <c r="H2174" s="229">
        <v>0</v>
      </c>
      <c r="I2174" s="229">
        <v>8.0684775191580665E-3</v>
      </c>
      <c r="J2174" s="229">
        <v>0</v>
      </c>
      <c r="K2174" s="229">
        <v>0</v>
      </c>
      <c r="L2174" s="229">
        <v>0</v>
      </c>
      <c r="M2174" s="229">
        <v>0</v>
      </c>
      <c r="N2174" s="229">
        <v>0</v>
      </c>
      <c r="O2174" s="229">
        <v>0</v>
      </c>
      <c r="P2174" s="229">
        <v>0</v>
      </c>
      <c r="Q2174" s="229">
        <v>0</v>
      </c>
      <c r="R2174" s="229">
        <v>0.27689702751126016</v>
      </c>
      <c r="S2174" s="229">
        <v>0</v>
      </c>
      <c r="T2174" s="229">
        <v>0</v>
      </c>
      <c r="U2174" s="229">
        <f>AVERAGE(G2174:T2174)</f>
        <v>2.035467893074416E-2</v>
      </c>
      <c r="V2174" t="str">
        <f t="shared" si="216"/>
        <v>2020/21Expenditure driversPhysical SecurityAllowance</v>
      </c>
    </row>
    <row r="2175" spans="1:22">
      <c r="A2175" t="s">
        <v>126</v>
      </c>
      <c r="C2175" t="s">
        <v>1344</v>
      </c>
      <c r="D2175" t="s">
        <v>84</v>
      </c>
      <c r="E2175" t="s">
        <v>298</v>
      </c>
      <c r="F2175" t="s">
        <v>1289</v>
      </c>
      <c r="G2175" s="229">
        <v>0</v>
      </c>
      <c r="H2175" s="229">
        <v>7.9205089239513624E-2</v>
      </c>
      <c r="I2175" s="229">
        <v>1.8176246542420467</v>
      </c>
      <c r="J2175" s="229">
        <v>0</v>
      </c>
      <c r="K2175" s="229">
        <v>0</v>
      </c>
      <c r="L2175" s="229">
        <v>0</v>
      </c>
      <c r="M2175" s="229">
        <v>0</v>
      </c>
      <c r="N2175" s="229">
        <v>0</v>
      </c>
      <c r="O2175" s="229">
        <v>0</v>
      </c>
      <c r="P2175" s="229">
        <v>0</v>
      </c>
      <c r="Q2175" s="229">
        <v>0</v>
      </c>
      <c r="R2175" s="229">
        <v>0</v>
      </c>
      <c r="S2175" s="229">
        <v>0</v>
      </c>
      <c r="T2175" s="229">
        <v>0</v>
      </c>
      <c r="U2175" s="229">
        <f>AVERAGE(G2175:T2175)</f>
        <v>0.13548783882011145</v>
      </c>
      <c r="V2175" t="str">
        <f t="shared" si="216"/>
        <v>2020/21Expenditure driversPhysical SecurityActual</v>
      </c>
    </row>
    <row r="2176" spans="1:22">
      <c r="A2176" t="s">
        <v>126</v>
      </c>
      <c r="C2176" t="s">
        <v>1344</v>
      </c>
      <c r="D2176" t="s">
        <v>84</v>
      </c>
      <c r="E2176" t="s">
        <v>602</v>
      </c>
      <c r="F2176" t="s">
        <v>1289</v>
      </c>
      <c r="G2176" s="229">
        <v>0</v>
      </c>
      <c r="H2176" s="229">
        <v>7.9205089239513624E-2</v>
      </c>
      <c r="I2176" s="229">
        <v>1.8095561767228887</v>
      </c>
      <c r="J2176" s="229">
        <v>0</v>
      </c>
      <c r="K2176" s="229">
        <v>0</v>
      </c>
      <c r="L2176" s="229">
        <v>0</v>
      </c>
      <c r="M2176" s="229">
        <v>0</v>
      </c>
      <c r="N2176" s="229">
        <v>0</v>
      </c>
      <c r="O2176" s="229">
        <v>0</v>
      </c>
      <c r="P2176" s="229">
        <v>0</v>
      </c>
      <c r="Q2176" s="229">
        <v>0</v>
      </c>
      <c r="R2176" s="229">
        <v>-0.27689702751126016</v>
      </c>
      <c r="S2176" s="229">
        <v>0</v>
      </c>
      <c r="T2176" s="229">
        <v>0</v>
      </c>
      <c r="U2176" s="229">
        <f>U2175-U2174</f>
        <v>0.11513315988936729</v>
      </c>
      <c r="V2176" t="str">
        <f t="shared" si="216"/>
        <v>2020/21Expenditure driversPhysical SecurityDifference</v>
      </c>
    </row>
    <row r="2177" spans="1:22">
      <c r="A2177" t="s">
        <v>126</v>
      </c>
      <c r="C2177" t="s">
        <v>1344</v>
      </c>
      <c r="D2177" t="s">
        <v>84</v>
      </c>
      <c r="E2177" t="s">
        <v>1346</v>
      </c>
      <c r="F2177" t="s">
        <v>606</v>
      </c>
      <c r="G2177" s="829" t="e">
        <v>#DIV/0!</v>
      </c>
      <c r="H2177" s="829" t="e">
        <v>#DIV/0!</v>
      </c>
      <c r="I2177" s="829">
        <v>224.27479935665895</v>
      </c>
      <c r="J2177" s="829" t="e">
        <v>#DIV/0!</v>
      </c>
      <c r="K2177" s="829" t="e">
        <v>#DIV/0!</v>
      </c>
      <c r="L2177" s="829" t="e">
        <v>#DIV/0!</v>
      </c>
      <c r="M2177" s="829" t="e">
        <v>#DIV/0!</v>
      </c>
      <c r="N2177" s="829" t="e">
        <v>#DIV/0!</v>
      </c>
      <c r="O2177" s="829" t="e">
        <v>#DIV/0!</v>
      </c>
      <c r="P2177" s="829" t="e">
        <v>#DIV/0!</v>
      </c>
      <c r="Q2177" s="829" t="e">
        <v>#DIV/0!</v>
      </c>
      <c r="R2177" s="829">
        <v>-1</v>
      </c>
      <c r="S2177" s="829" t="e">
        <v>#DIV/0!</v>
      </c>
      <c r="T2177" s="829" t="e">
        <v>#DIV/0!</v>
      </c>
      <c r="U2177" s="829">
        <f>U2176/U2174</f>
        <v>5.6563486106119614</v>
      </c>
      <c r="V2177" t="str">
        <f t="shared" si="216"/>
        <v>2020/21Expenditure driversPhysical SecurityDifference %</v>
      </c>
    </row>
    <row r="2178" spans="1:22">
      <c r="A2178" t="s">
        <v>142</v>
      </c>
      <c r="C2178" t="s">
        <v>1344</v>
      </c>
      <c r="D2178" t="s">
        <v>84</v>
      </c>
      <c r="E2178" t="s">
        <v>297</v>
      </c>
      <c r="F2178" t="s">
        <v>1289</v>
      </c>
      <c r="G2178" s="229" cm="1">
        <f t="array" ref="G2178:T2181">TRANSPOSE('Ch4 expenditure drivers'!BJ574:BM587)</f>
        <v>0</v>
      </c>
      <c r="H2178" s="229">
        <v>0</v>
      </c>
      <c r="I2178" s="229">
        <v>8.0684775191580665E-3</v>
      </c>
      <c r="J2178" s="229">
        <v>0</v>
      </c>
      <c r="K2178" s="229">
        <v>0</v>
      </c>
      <c r="L2178" s="229">
        <v>0</v>
      </c>
      <c r="M2178" s="229">
        <v>0</v>
      </c>
      <c r="N2178" s="229">
        <v>0</v>
      </c>
      <c r="O2178" s="229">
        <v>0</v>
      </c>
      <c r="P2178" s="229">
        <v>0</v>
      </c>
      <c r="Q2178" s="229">
        <v>0</v>
      </c>
      <c r="R2178" s="229">
        <v>0.27850640523524889</v>
      </c>
      <c r="S2178" s="229">
        <v>0</v>
      </c>
      <c r="T2178" s="229">
        <v>0</v>
      </c>
      <c r="U2178" s="229">
        <f>AVERAGE(G2178:T2178)</f>
        <v>2.046963448245764E-2</v>
      </c>
      <c r="V2178" t="str">
        <f t="shared" ref="V2178:V2181" si="217">CONCATENATE(A2178,B2178,C2178,D2178,E2178)</f>
        <v>2021/22Expenditure driversPhysical SecurityAllowance</v>
      </c>
    </row>
    <row r="2179" spans="1:22">
      <c r="A2179" t="s">
        <v>142</v>
      </c>
      <c r="C2179" t="s">
        <v>1344</v>
      </c>
      <c r="D2179" t="s">
        <v>84</v>
      </c>
      <c r="E2179" t="s">
        <v>298</v>
      </c>
      <c r="F2179" t="s">
        <v>1289</v>
      </c>
      <c r="G2179" s="229">
        <v>0</v>
      </c>
      <c r="H2179" s="229">
        <v>1.8216139999999999E-2</v>
      </c>
      <c r="I2179" s="229">
        <v>0.55735040999999996</v>
      </c>
      <c r="J2179" s="229">
        <v>0</v>
      </c>
      <c r="K2179" s="229">
        <v>0</v>
      </c>
      <c r="L2179" s="229">
        <v>0</v>
      </c>
      <c r="M2179" s="229">
        <v>0</v>
      </c>
      <c r="N2179" s="229">
        <v>0</v>
      </c>
      <c r="O2179" s="229">
        <v>0</v>
      </c>
      <c r="P2179" s="229">
        <v>0</v>
      </c>
      <c r="Q2179" s="229">
        <v>0</v>
      </c>
      <c r="R2179" s="229">
        <v>0</v>
      </c>
      <c r="S2179" s="229">
        <v>0</v>
      </c>
      <c r="T2179" s="229">
        <v>0</v>
      </c>
      <c r="U2179" s="229">
        <f>AVERAGE(G2179:T2179)</f>
        <v>4.111189642857143E-2</v>
      </c>
      <c r="V2179" t="str">
        <f t="shared" si="217"/>
        <v>2021/22Expenditure driversPhysical SecurityActual</v>
      </c>
    </row>
    <row r="2180" spans="1:22">
      <c r="A2180" t="s">
        <v>142</v>
      </c>
      <c r="C2180" t="s">
        <v>1344</v>
      </c>
      <c r="D2180" t="s">
        <v>84</v>
      </c>
      <c r="E2180" t="s">
        <v>602</v>
      </c>
      <c r="F2180" t="s">
        <v>1289</v>
      </c>
      <c r="G2180" s="229">
        <v>0</v>
      </c>
      <c r="H2180" s="229">
        <v>1.8216139999999999E-2</v>
      </c>
      <c r="I2180" s="229">
        <v>0.54928193248084189</v>
      </c>
      <c r="J2180" s="229">
        <v>0</v>
      </c>
      <c r="K2180" s="229">
        <v>0</v>
      </c>
      <c r="L2180" s="229">
        <v>0</v>
      </c>
      <c r="M2180" s="229">
        <v>0</v>
      </c>
      <c r="N2180" s="229">
        <v>0</v>
      </c>
      <c r="O2180" s="229">
        <v>0</v>
      </c>
      <c r="P2180" s="229">
        <v>0</v>
      </c>
      <c r="Q2180" s="229">
        <v>0</v>
      </c>
      <c r="R2180" s="229">
        <v>-0.27850640523524889</v>
      </c>
      <c r="S2180" s="229">
        <v>0</v>
      </c>
      <c r="T2180" s="229">
        <v>0</v>
      </c>
      <c r="U2180" s="229">
        <f>U2179-U2178</f>
        <v>2.064226194611379E-2</v>
      </c>
      <c r="V2180" t="str">
        <f t="shared" si="217"/>
        <v>2021/22Expenditure driversPhysical SecurityDifference</v>
      </c>
    </row>
    <row r="2181" spans="1:22">
      <c r="A2181" t="s">
        <v>142</v>
      </c>
      <c r="C2181" t="s">
        <v>1344</v>
      </c>
      <c r="D2181" t="s">
        <v>84</v>
      </c>
      <c r="E2181" t="s">
        <v>1346</v>
      </c>
      <c r="F2181" t="s">
        <v>606</v>
      </c>
      <c r="G2181" s="829" t="e">
        <v>#DIV/0!</v>
      </c>
      <c r="H2181" s="829" t="e">
        <v>#DIV/0!</v>
      </c>
      <c r="I2181" s="829">
        <v>68.07751910773851</v>
      </c>
      <c r="J2181" s="829" t="e">
        <v>#DIV/0!</v>
      </c>
      <c r="K2181" s="829" t="e">
        <v>#DIV/0!</v>
      </c>
      <c r="L2181" s="829" t="e">
        <v>#DIV/0!</v>
      </c>
      <c r="M2181" s="829" t="e">
        <v>#DIV/0!</v>
      </c>
      <c r="N2181" s="829" t="e">
        <v>#DIV/0!</v>
      </c>
      <c r="O2181" s="829" t="e">
        <v>#DIV/0!</v>
      </c>
      <c r="P2181" s="829" t="e">
        <v>#DIV/0!</v>
      </c>
      <c r="Q2181" s="829" t="e">
        <v>#DIV/0!</v>
      </c>
      <c r="R2181" s="829">
        <v>-1</v>
      </c>
      <c r="S2181" s="829" t="e">
        <v>#DIV/0!</v>
      </c>
      <c r="T2181" s="829" t="e">
        <v>#DIV/0!</v>
      </c>
      <c r="U2181" s="829">
        <f>U2180/U2178</f>
        <v>1.0084333437318624</v>
      </c>
      <c r="V2181" t="str">
        <f t="shared" si="217"/>
        <v>2021/22Expenditure driversPhysical SecurityDifference %</v>
      </c>
    </row>
    <row r="2182" spans="1:22">
      <c r="A2182" t="s">
        <v>137</v>
      </c>
      <c r="C2182" t="s">
        <v>1344</v>
      </c>
      <c r="D2182" t="s">
        <v>86</v>
      </c>
      <c r="E2182" t="s">
        <v>1347</v>
      </c>
      <c r="F2182" t="s">
        <v>1289</v>
      </c>
      <c r="G2182">
        <f t="array" ref="G2182:T2189">TRANSPOSE('Ch4 expenditure drivers'!E594:L607)</f>
        <v>2.4135496705222965</v>
      </c>
      <c r="H2182">
        <v>0.61051989407953711</v>
      </c>
      <c r="I2182">
        <v>0.8451626617179463</v>
      </c>
      <c r="J2182">
        <v>0</v>
      </c>
      <c r="K2182">
        <v>0</v>
      </c>
      <c r="L2182">
        <v>0</v>
      </c>
      <c r="M2182">
        <v>0</v>
      </c>
      <c r="N2182">
        <v>0</v>
      </c>
      <c r="O2182">
        <v>2.5513959409025166</v>
      </c>
      <c r="P2182">
        <v>1.2301521585104085</v>
      </c>
      <c r="Q2182">
        <v>13.565430531875631</v>
      </c>
      <c r="R2182">
        <v>6.5346186351531381</v>
      </c>
      <c r="S2182">
        <v>0.4395040339536731</v>
      </c>
      <c r="T2182">
        <v>1.2253219594686651</v>
      </c>
      <c r="U2182">
        <f>AVERAGE(G2182:T2182)</f>
        <v>2.1011182490131297</v>
      </c>
      <c r="V2182" t="str">
        <f t="shared" si="216"/>
        <v>2015/16Expenditure driversRising and Lateral MainsBPDT</v>
      </c>
    </row>
    <row r="2183" spans="1:22">
      <c r="A2183" t="s">
        <v>138</v>
      </c>
      <c r="C2183" t="s">
        <v>1344</v>
      </c>
      <c r="D2183" t="s">
        <v>86</v>
      </c>
      <c r="E2183" t="s">
        <v>1347</v>
      </c>
      <c r="F2183" t="s">
        <v>1289</v>
      </c>
      <c r="G2183">
        <v>2.4126673931290394</v>
      </c>
      <c r="H2183">
        <v>0.47332356544770121</v>
      </c>
      <c r="I2183">
        <v>0.66617077597487961</v>
      </c>
      <c r="J2183">
        <v>0</v>
      </c>
      <c r="K2183">
        <v>0</v>
      </c>
      <c r="L2183">
        <v>0</v>
      </c>
      <c r="M2183">
        <v>0</v>
      </c>
      <c r="N2183">
        <v>0</v>
      </c>
      <c r="O2183">
        <v>2.5750239727692081</v>
      </c>
      <c r="P2183">
        <v>1.6335928627469001</v>
      </c>
      <c r="Q2183">
        <v>13.60601007536941</v>
      </c>
      <c r="R2183">
        <v>6.5443950251753806</v>
      </c>
      <c r="S2183">
        <v>0.43845054662089944</v>
      </c>
      <c r="T2183">
        <v>1.2222961365153679</v>
      </c>
      <c r="U2183">
        <f>AVERAGE(G2183:T2183)</f>
        <v>2.1122807395534848</v>
      </c>
      <c r="V2183" t="str">
        <f t="shared" si="216"/>
        <v>2016/17Expenditure driversRising and Lateral MainsBPDT</v>
      </c>
    </row>
    <row r="2184" spans="1:22">
      <c r="A2184" t="s">
        <v>139</v>
      </c>
      <c r="C2184" t="s">
        <v>1344</v>
      </c>
      <c r="D2184" t="s">
        <v>86</v>
      </c>
      <c r="E2184" t="s">
        <v>1347</v>
      </c>
      <c r="F2184" t="s">
        <v>1289</v>
      </c>
      <c r="G2184">
        <v>2.4121203381067144</v>
      </c>
      <c r="H2184">
        <v>0.47330391352752477</v>
      </c>
      <c r="I2184">
        <v>0.66873626147518583</v>
      </c>
      <c r="J2184">
        <v>0</v>
      </c>
      <c r="K2184">
        <v>0</v>
      </c>
      <c r="L2184">
        <v>0</v>
      </c>
      <c r="M2184">
        <v>0</v>
      </c>
      <c r="N2184">
        <v>0</v>
      </c>
      <c r="O2184">
        <v>2.5989578557334605</v>
      </c>
      <c r="P2184">
        <v>1.6487764962981544</v>
      </c>
      <c r="Q2184">
        <v>13.657267853211366</v>
      </c>
      <c r="R2184">
        <v>6.5438977854013478</v>
      </c>
      <c r="S2184">
        <v>0.4380293278391274</v>
      </c>
      <c r="T2184">
        <v>1.2212220862854091</v>
      </c>
      <c r="U2184">
        <f t="shared" ref="U2184:U2214" si="218">AVERAGE(G2184:T2184)</f>
        <v>2.118736565562735</v>
      </c>
      <c r="V2184" t="str">
        <f t="shared" si="216"/>
        <v>2017/18Expenditure driversRising and Lateral MainsBPDT</v>
      </c>
    </row>
    <row r="2185" spans="1:22">
      <c r="A2185" t="s">
        <v>140</v>
      </c>
      <c r="C2185" t="s">
        <v>1344</v>
      </c>
      <c r="D2185" t="s">
        <v>86</v>
      </c>
      <c r="E2185" t="s">
        <v>1347</v>
      </c>
      <c r="F2185" t="s">
        <v>1289</v>
      </c>
      <c r="G2185">
        <v>2.4116209474921328</v>
      </c>
      <c r="H2185">
        <v>0.47472554561816421</v>
      </c>
      <c r="I2185">
        <v>0.67105473211855338</v>
      </c>
      <c r="J2185">
        <v>0</v>
      </c>
      <c r="K2185">
        <v>0</v>
      </c>
      <c r="L2185">
        <v>0</v>
      </c>
      <c r="M2185">
        <v>0</v>
      </c>
      <c r="N2185">
        <v>0</v>
      </c>
      <c r="O2185">
        <v>2.6232010998157329</v>
      </c>
      <c r="P2185">
        <v>1.6641563882608847</v>
      </c>
      <c r="Q2185">
        <v>13.667809073117876</v>
      </c>
      <c r="R2185">
        <v>6.5849018157271892</v>
      </c>
      <c r="S2185">
        <v>0.43484595142123011</v>
      </c>
      <c r="T2185">
        <v>1.2123107751918698</v>
      </c>
      <c r="U2185">
        <f t="shared" si="218"/>
        <v>2.1246161663402598</v>
      </c>
      <c r="V2185" t="str">
        <f t="shared" si="216"/>
        <v>2018/19Expenditure driversRising and Lateral MainsBPDT</v>
      </c>
    </row>
    <row r="2186" spans="1:22">
      <c r="A2186" t="s">
        <v>141</v>
      </c>
      <c r="C2186" t="s">
        <v>1344</v>
      </c>
      <c r="D2186" t="s">
        <v>86</v>
      </c>
      <c r="E2186" t="s">
        <v>1347</v>
      </c>
      <c r="F2186" t="s">
        <v>1289</v>
      </c>
      <c r="G2186">
        <v>2.4115345639082282</v>
      </c>
      <c r="H2186">
        <v>0.47709871720014707</v>
      </c>
      <c r="I2186">
        <v>0.67401075714927161</v>
      </c>
      <c r="J2186">
        <v>0</v>
      </c>
      <c r="K2186">
        <v>0</v>
      </c>
      <c r="L2186">
        <v>0</v>
      </c>
      <c r="M2186">
        <v>0</v>
      </c>
      <c r="N2186">
        <v>0</v>
      </c>
      <c r="O2186">
        <v>2.6477572593747607</v>
      </c>
      <c r="P2186">
        <v>1.6797347935170357</v>
      </c>
      <c r="Q2186">
        <v>13.74630408428518</v>
      </c>
      <c r="R2186">
        <v>6.6202881354037659</v>
      </c>
      <c r="S2186">
        <v>0.43370230855801573</v>
      </c>
      <c r="T2186">
        <v>1.2091315384472088</v>
      </c>
      <c r="U2186">
        <f t="shared" si="218"/>
        <v>2.1356830112745437</v>
      </c>
      <c r="V2186" t="str">
        <f t="shared" si="216"/>
        <v>2019/20Expenditure driversRising and Lateral MainsBPDT</v>
      </c>
    </row>
    <row r="2187" spans="1:22">
      <c r="A2187" t="s">
        <v>126</v>
      </c>
      <c r="C2187" t="s">
        <v>1344</v>
      </c>
      <c r="D2187" t="s">
        <v>86</v>
      </c>
      <c r="E2187" t="s">
        <v>1347</v>
      </c>
      <c r="F2187" t="s">
        <v>1289</v>
      </c>
      <c r="G2187">
        <v>2.4382286550532397</v>
      </c>
      <c r="H2187">
        <v>0.48102864800376971</v>
      </c>
      <c r="I2187">
        <v>0.67689492981576826</v>
      </c>
      <c r="J2187">
        <v>0</v>
      </c>
      <c r="K2187">
        <v>0</v>
      </c>
      <c r="L2187">
        <v>0</v>
      </c>
      <c r="M2187">
        <v>0</v>
      </c>
      <c r="N2187">
        <v>0</v>
      </c>
      <c r="O2187">
        <v>2.6726299336470825</v>
      </c>
      <c r="P2187">
        <v>1.695513995418988</v>
      </c>
      <c r="Q2187">
        <v>13.824942031618743</v>
      </c>
      <c r="R2187">
        <v>6.6400006675216963</v>
      </c>
      <c r="S2187">
        <v>0.43262227973754042</v>
      </c>
      <c r="T2187">
        <v>1.2060958567579811</v>
      </c>
      <c r="U2187">
        <f t="shared" si="218"/>
        <v>2.1477112141124861</v>
      </c>
      <c r="V2187" t="str">
        <f t="shared" si="216"/>
        <v>2020/21Expenditure driversRising and Lateral MainsBPDT</v>
      </c>
    </row>
    <row r="2188" spans="1:22">
      <c r="A2188" t="s">
        <v>142</v>
      </c>
      <c r="C2188" t="s">
        <v>1344</v>
      </c>
      <c r="D2188" t="s">
        <v>86</v>
      </c>
      <c r="E2188" t="s">
        <v>1347</v>
      </c>
      <c r="F2188" t="s">
        <v>1289</v>
      </c>
      <c r="G2188">
        <v>2.4437885429603838</v>
      </c>
      <c r="H2188">
        <v>0.48847427665766607</v>
      </c>
      <c r="I2188">
        <v>0.6829405139744652</v>
      </c>
      <c r="J2188">
        <v>0</v>
      </c>
      <c r="K2188">
        <v>0</v>
      </c>
      <c r="L2188">
        <v>0</v>
      </c>
      <c r="M2188">
        <v>0</v>
      </c>
      <c r="N2188">
        <v>0</v>
      </c>
      <c r="O2188">
        <v>2.6978227672933524</v>
      </c>
      <c r="P2188">
        <v>1.7114963061361417</v>
      </c>
      <c r="Q2188">
        <v>13.878691564361002</v>
      </c>
      <c r="R2188">
        <v>6.6680636123372885</v>
      </c>
      <c r="S2188">
        <v>0.43159615586433814</v>
      </c>
      <c r="T2188">
        <v>1.2032580037588021</v>
      </c>
      <c r="U2188">
        <f t="shared" si="218"/>
        <v>2.1575808388102455</v>
      </c>
      <c r="V2188" t="str">
        <f t="shared" si="216"/>
        <v>2021/22Expenditure driversRising and Lateral MainsBPDT</v>
      </c>
    </row>
    <row r="2189" spans="1:22">
      <c r="A2189" t="s">
        <v>143</v>
      </c>
      <c r="C2189" t="s">
        <v>1344</v>
      </c>
      <c r="D2189" t="s">
        <v>86</v>
      </c>
      <c r="E2189" t="s">
        <v>1347</v>
      </c>
      <c r="F2189" t="s">
        <v>1289</v>
      </c>
      <c r="G2189">
        <v>2.4493908550376906</v>
      </c>
      <c r="H2189">
        <v>0.43444709095998957</v>
      </c>
      <c r="I2189">
        <v>0.8613666720994374</v>
      </c>
      <c r="J2189">
        <v>0</v>
      </c>
      <c r="K2189">
        <v>0</v>
      </c>
      <c r="L2189">
        <v>0</v>
      </c>
      <c r="M2189">
        <v>0</v>
      </c>
      <c r="N2189">
        <v>0</v>
      </c>
      <c r="O2189">
        <v>2.7233394509515221</v>
      </c>
      <c r="P2189">
        <v>1.7670165083689058</v>
      </c>
      <c r="Q2189">
        <v>13.973462687528604</v>
      </c>
      <c r="R2189">
        <v>6.733168435118051</v>
      </c>
      <c r="S2189">
        <v>0.43066705513886683</v>
      </c>
      <c r="T2189">
        <v>1.2006536809867865</v>
      </c>
      <c r="U2189">
        <f t="shared" si="218"/>
        <v>2.1838223168707036</v>
      </c>
      <c r="V2189" t="str">
        <f t="shared" si="216"/>
        <v>2022/23Expenditure driversRising and Lateral MainsBPDT</v>
      </c>
    </row>
    <row r="2190" spans="1:22">
      <c r="A2190" t="s">
        <v>137</v>
      </c>
      <c r="C2190" t="s">
        <v>1344</v>
      </c>
      <c r="D2190" t="s">
        <v>86</v>
      </c>
      <c r="E2190" t="s">
        <v>1348</v>
      </c>
      <c r="F2190" t="s">
        <v>1289</v>
      </c>
      <c r="G2190">
        <f t="array" ref="G2190:T2197">TRANSPOSE('Ch4 expenditure drivers'!N594:U607)</f>
        <v>2.4181752886235346</v>
      </c>
      <c r="H2190">
        <v>0.60736759330175161</v>
      </c>
      <c r="I2190">
        <v>0.85523668960344179</v>
      </c>
      <c r="J2190">
        <v>0</v>
      </c>
      <c r="K2190">
        <v>0</v>
      </c>
      <c r="L2190">
        <v>0</v>
      </c>
      <c r="M2190">
        <v>0</v>
      </c>
      <c r="N2190">
        <v>0</v>
      </c>
      <c r="O2190">
        <v>2.5981497233254975</v>
      </c>
      <c r="P2190">
        <v>1.384752207382715</v>
      </c>
      <c r="Q2190">
        <v>14.085506821489876</v>
      </c>
      <c r="R2190">
        <v>6.3766264918396596</v>
      </c>
      <c r="S2190">
        <v>0.43017056577736079</v>
      </c>
      <c r="T2190">
        <v>1.2912832841629891</v>
      </c>
      <c r="U2190">
        <f t="shared" si="218"/>
        <v>2.1462334761076303</v>
      </c>
      <c r="V2190" t="str">
        <f t="shared" si="216"/>
        <v>2015/16Expenditure driversRising and Lateral MainsDNO Baseline</v>
      </c>
    </row>
    <row r="2191" spans="1:22">
      <c r="A2191" t="s">
        <v>138</v>
      </c>
      <c r="C2191" t="s">
        <v>1344</v>
      </c>
      <c r="D2191" t="s">
        <v>86</v>
      </c>
      <c r="E2191" t="s">
        <v>1348</v>
      </c>
      <c r="F2191" t="s">
        <v>1289</v>
      </c>
      <c r="G2191">
        <v>2.2103978204849155</v>
      </c>
      <c r="H2191">
        <v>0.55555592410418242</v>
      </c>
      <c r="I2191">
        <v>0.78367974361336634</v>
      </c>
      <c r="J2191">
        <v>0</v>
      </c>
      <c r="K2191">
        <v>0</v>
      </c>
      <c r="L2191">
        <v>0</v>
      </c>
      <c r="M2191">
        <v>0</v>
      </c>
      <c r="N2191">
        <v>0</v>
      </c>
      <c r="O2191">
        <v>2.8574353208401342</v>
      </c>
      <c r="P2191">
        <v>1.5141201025360771</v>
      </c>
      <c r="Q2191">
        <v>14.047684529967908</v>
      </c>
      <c r="R2191">
        <v>6.9830269969392349</v>
      </c>
      <c r="S2191">
        <v>0.42351422303606223</v>
      </c>
      <c r="T2191">
        <v>1.2823122595365213</v>
      </c>
      <c r="U2191">
        <f t="shared" si="218"/>
        <v>2.1898376372184574</v>
      </c>
      <c r="V2191" t="str">
        <f t="shared" si="216"/>
        <v>2016/17Expenditure driversRising and Lateral MainsDNO Baseline</v>
      </c>
    </row>
    <row r="2192" spans="1:22">
      <c r="A2192" t="s">
        <v>139</v>
      </c>
      <c r="C2192" t="s">
        <v>1344</v>
      </c>
      <c r="D2192" t="s">
        <v>86</v>
      </c>
      <c r="E2192" t="s">
        <v>1348</v>
      </c>
      <c r="F2192" t="s">
        <v>1289</v>
      </c>
      <c r="G2192">
        <v>2.3555907317393912</v>
      </c>
      <c r="H2192">
        <v>0.49667715340888097</v>
      </c>
      <c r="I2192">
        <v>0.75053515958168915</v>
      </c>
      <c r="J2192">
        <v>0</v>
      </c>
      <c r="K2192">
        <v>0</v>
      </c>
      <c r="L2192">
        <v>0</v>
      </c>
      <c r="M2192">
        <v>0</v>
      </c>
      <c r="N2192">
        <v>0</v>
      </c>
      <c r="O2192">
        <v>2.6031913110604052</v>
      </c>
      <c r="P2192">
        <v>1.550700839140434</v>
      </c>
      <c r="Q2192">
        <v>14.011031493877129</v>
      </c>
      <c r="R2192">
        <v>6.5088261847649695</v>
      </c>
      <c r="S2192">
        <v>0.40496956711314236</v>
      </c>
      <c r="T2192">
        <v>1.2397622211113009</v>
      </c>
      <c r="U2192">
        <f t="shared" si="218"/>
        <v>2.1372346186998104</v>
      </c>
      <c r="V2192" t="str">
        <f t="shared" si="216"/>
        <v>2017/18Expenditure driversRising and Lateral MainsDNO Baseline</v>
      </c>
    </row>
    <row r="2193" spans="1:22">
      <c r="A2193" t="s">
        <v>140</v>
      </c>
      <c r="C2193" t="s">
        <v>1344</v>
      </c>
      <c r="D2193" t="s">
        <v>86</v>
      </c>
      <c r="E2193" t="s">
        <v>1348</v>
      </c>
      <c r="F2193" t="s">
        <v>1289</v>
      </c>
      <c r="G2193">
        <v>2.2733855247100174</v>
      </c>
      <c r="H2193">
        <v>0.48940778552384151</v>
      </c>
      <c r="I2193">
        <v>0.73128752037937028</v>
      </c>
      <c r="J2193">
        <v>0</v>
      </c>
      <c r="K2193">
        <v>0</v>
      </c>
      <c r="L2193">
        <v>0</v>
      </c>
      <c r="M2193">
        <v>0</v>
      </c>
      <c r="N2193">
        <v>0</v>
      </c>
      <c r="O2193">
        <v>2.594791115803083</v>
      </c>
      <c r="P2193">
        <v>1.5962747426931279</v>
      </c>
      <c r="Q2193">
        <v>13.5397121913654</v>
      </c>
      <c r="R2193">
        <v>6.081180698745599</v>
      </c>
      <c r="S2193">
        <v>0.40247473126924493</v>
      </c>
      <c r="T2193">
        <v>1.1976185552558756</v>
      </c>
      <c r="U2193">
        <f t="shared" si="218"/>
        <v>2.0647237761246826</v>
      </c>
      <c r="V2193" t="str">
        <f t="shared" si="216"/>
        <v>2018/19Expenditure driversRising and Lateral MainsDNO Baseline</v>
      </c>
    </row>
    <row r="2194" spans="1:22">
      <c r="A2194" t="s">
        <v>141</v>
      </c>
      <c r="C2194" t="s">
        <v>1344</v>
      </c>
      <c r="D2194" t="s">
        <v>86</v>
      </c>
      <c r="E2194" t="s">
        <v>1348</v>
      </c>
      <c r="F2194" t="s">
        <v>1289</v>
      </c>
      <c r="G2194">
        <v>2.3490867185024298</v>
      </c>
      <c r="H2194">
        <v>0.46588841726774305</v>
      </c>
      <c r="I2194">
        <v>0.63370603338843823</v>
      </c>
      <c r="J2194">
        <v>0</v>
      </c>
      <c r="K2194">
        <v>0</v>
      </c>
      <c r="L2194">
        <v>0</v>
      </c>
      <c r="M2194">
        <v>0</v>
      </c>
      <c r="N2194">
        <v>0</v>
      </c>
      <c r="O2194">
        <v>2.5452757041737266</v>
      </c>
      <c r="P2194">
        <v>1.566984804240247</v>
      </c>
      <c r="Q2194">
        <v>13.213025896812384</v>
      </c>
      <c r="R2194">
        <v>5.954027401810845</v>
      </c>
      <c r="S2194">
        <v>0.4029265435316694</v>
      </c>
      <c r="T2194">
        <v>1.1483010526433768</v>
      </c>
      <c r="U2194">
        <f t="shared" si="218"/>
        <v>2.0199444694550612</v>
      </c>
      <c r="V2194" t="str">
        <f t="shared" si="216"/>
        <v>2019/20Expenditure driversRising and Lateral MainsDNO Baseline</v>
      </c>
    </row>
    <row r="2195" spans="1:22">
      <c r="A2195" t="s">
        <v>126</v>
      </c>
      <c r="C2195" t="s">
        <v>1344</v>
      </c>
      <c r="D2195" t="s">
        <v>86</v>
      </c>
      <c r="E2195" t="s">
        <v>1348</v>
      </c>
      <c r="F2195" t="s">
        <v>1289</v>
      </c>
      <c r="G2195">
        <v>2.3515870053741335</v>
      </c>
      <c r="H2195">
        <v>0.41669260376137746</v>
      </c>
      <c r="I2195">
        <v>0.61660610719380027</v>
      </c>
      <c r="J2195">
        <v>0</v>
      </c>
      <c r="K2195">
        <v>0</v>
      </c>
      <c r="L2195">
        <v>0</v>
      </c>
      <c r="M2195">
        <v>0</v>
      </c>
      <c r="N2195">
        <v>0</v>
      </c>
      <c r="O2195">
        <v>2.5178125079140017</v>
      </c>
      <c r="P2195">
        <v>1.4643301912913733</v>
      </c>
      <c r="Q2195">
        <v>12.927713556772398</v>
      </c>
      <c r="R2195">
        <v>5.9871758171273584</v>
      </c>
      <c r="S2195">
        <v>0.39966314087068072</v>
      </c>
      <c r="T2195">
        <v>1.0948099451010795</v>
      </c>
      <c r="U2195">
        <f t="shared" si="218"/>
        <v>1.9840279196718715</v>
      </c>
      <c r="V2195" t="str">
        <f t="shared" si="216"/>
        <v>2020/21Expenditure driversRising and Lateral MainsDNO Baseline</v>
      </c>
    </row>
    <row r="2196" spans="1:22">
      <c r="A2196" t="s">
        <v>142</v>
      </c>
      <c r="C2196" t="s">
        <v>1344</v>
      </c>
      <c r="D2196" t="s">
        <v>86</v>
      </c>
      <c r="E2196" t="s">
        <v>1348</v>
      </c>
      <c r="F2196" t="s">
        <v>1289</v>
      </c>
      <c r="G2196">
        <v>2.3321245676250646</v>
      </c>
      <c r="H2196">
        <v>0.3815581734116586</v>
      </c>
      <c r="I2196">
        <v>0.543899096773929</v>
      </c>
      <c r="J2196">
        <v>0</v>
      </c>
      <c r="K2196">
        <v>0</v>
      </c>
      <c r="L2196">
        <v>0</v>
      </c>
      <c r="M2196">
        <v>0</v>
      </c>
      <c r="N2196">
        <v>0</v>
      </c>
      <c r="O2196">
        <v>2.3984761469326417</v>
      </c>
      <c r="P2196">
        <v>1.4358836710978327</v>
      </c>
      <c r="Q2196">
        <v>11.740260128285517</v>
      </c>
      <c r="R2196">
        <v>5.1925688364717111</v>
      </c>
      <c r="S2196">
        <v>0.3999074797402366</v>
      </c>
      <c r="T2196">
        <v>1.0776257195163326</v>
      </c>
      <c r="U2196">
        <f t="shared" si="218"/>
        <v>1.8215931299896373</v>
      </c>
      <c r="V2196" t="str">
        <f t="shared" si="216"/>
        <v>2021/22Expenditure driversRising and Lateral MainsDNO Baseline</v>
      </c>
    </row>
    <row r="2197" spans="1:22">
      <c r="A2197" t="s">
        <v>143</v>
      </c>
      <c r="C2197" t="s">
        <v>1344</v>
      </c>
      <c r="D2197" t="s">
        <v>86</v>
      </c>
      <c r="E2197" t="s">
        <v>1348</v>
      </c>
      <c r="F2197" t="s">
        <v>1289</v>
      </c>
      <c r="G2197">
        <v>2.2813086521657611</v>
      </c>
      <c r="H2197">
        <v>0.36826149907706224</v>
      </c>
      <c r="I2197">
        <v>0.62869593543693714</v>
      </c>
      <c r="J2197">
        <v>0</v>
      </c>
      <c r="K2197">
        <v>0</v>
      </c>
      <c r="L2197">
        <v>0</v>
      </c>
      <c r="M2197">
        <v>0</v>
      </c>
      <c r="N2197">
        <v>0</v>
      </c>
      <c r="O2197">
        <v>2.3338844020569387</v>
      </c>
      <c r="P2197">
        <v>1.3750098831450488</v>
      </c>
      <c r="Q2197">
        <v>11.34180953934451</v>
      </c>
      <c r="R2197">
        <v>4.5473695398416325</v>
      </c>
      <c r="S2197">
        <v>0.39112277095913384</v>
      </c>
      <c r="T2197">
        <v>1.0892288465337796</v>
      </c>
      <c r="U2197">
        <f t="shared" si="218"/>
        <v>1.739763647754343</v>
      </c>
      <c r="V2197" t="str">
        <f t="shared" si="216"/>
        <v>2022/23Expenditure driversRising and Lateral MainsDNO Baseline</v>
      </c>
    </row>
    <row r="2198" spans="1:22">
      <c r="A2198" t="s">
        <v>137</v>
      </c>
      <c r="C2198" t="s">
        <v>1344</v>
      </c>
      <c r="D2198" t="s">
        <v>86</v>
      </c>
      <c r="E2198" t="s">
        <v>1349</v>
      </c>
      <c r="F2198" t="s">
        <v>1289</v>
      </c>
      <c r="G2198" cm="1">
        <f t="array" ref="G2198:T2204">TRANSPOSE('Ch4 expenditure drivers'!W594:AC607)</f>
        <v>0.56635880034155905</v>
      </c>
      <c r="H2198">
        <v>0.12497026846462639</v>
      </c>
      <c r="I2198">
        <v>0.42763385881899235</v>
      </c>
      <c r="J2198">
        <v>0</v>
      </c>
      <c r="K2198">
        <v>0</v>
      </c>
      <c r="L2198">
        <v>0</v>
      </c>
      <c r="M2198">
        <v>0</v>
      </c>
      <c r="N2198">
        <v>9.6584293534481274E-4</v>
      </c>
      <c r="O2198">
        <v>1.4086342663404021</v>
      </c>
      <c r="P2198">
        <v>3.3398983086106553E-2</v>
      </c>
      <c r="Q2198">
        <v>11.399057016279219</v>
      </c>
      <c r="R2198">
        <v>6.5695486509980805</v>
      </c>
      <c r="S2198">
        <v>0.3082399155080503</v>
      </c>
      <c r="T2198">
        <v>0.5553115987557482</v>
      </c>
      <c r="U2198">
        <f t="shared" si="218"/>
        <v>1.5281513715377233</v>
      </c>
      <c r="V2198" t="str">
        <f t="shared" si="216"/>
        <v>2015/16Expenditure driversRising and Lateral MainsDNO Actual</v>
      </c>
    </row>
    <row r="2199" spans="1:22">
      <c r="A2199" t="s">
        <v>138</v>
      </c>
      <c r="C2199" t="s">
        <v>1344</v>
      </c>
      <c r="D2199" t="s">
        <v>86</v>
      </c>
      <c r="E2199" t="s">
        <v>1349</v>
      </c>
      <c r="F2199" t="s">
        <v>1289</v>
      </c>
      <c r="G2199">
        <v>-4.3860683096448139E-2</v>
      </c>
      <c r="H2199">
        <v>4.5134010619220559E-2</v>
      </c>
      <c r="I2199">
        <v>3.4544935985128436E-2</v>
      </c>
      <c r="J2199">
        <v>0</v>
      </c>
      <c r="K2199">
        <v>0</v>
      </c>
      <c r="L2199">
        <v>0</v>
      </c>
      <c r="M2199">
        <v>0</v>
      </c>
      <c r="N2199">
        <v>0</v>
      </c>
      <c r="O2199">
        <v>0.84666384420237462</v>
      </c>
      <c r="P2199">
        <v>4.6041240436515331E-3</v>
      </c>
      <c r="Q2199">
        <v>10.406800892345425</v>
      </c>
      <c r="R2199">
        <v>4.4378721321116954</v>
      </c>
      <c r="S2199">
        <v>0.42509052041314449</v>
      </c>
      <c r="T2199">
        <v>0.46998001006181322</v>
      </c>
      <c r="U2199">
        <f t="shared" si="218"/>
        <v>1.1876306990490002</v>
      </c>
      <c r="V2199" t="str">
        <f t="shared" si="216"/>
        <v>2016/17Expenditure driversRising and Lateral MainsDNO Actual</v>
      </c>
    </row>
    <row r="2200" spans="1:22">
      <c r="A2200" t="s">
        <v>139</v>
      </c>
      <c r="C2200" t="s">
        <v>1344</v>
      </c>
      <c r="D2200" t="s">
        <v>86</v>
      </c>
      <c r="E2200" t="s">
        <v>1349</v>
      </c>
      <c r="F2200" t="s">
        <v>1289</v>
      </c>
      <c r="G2200">
        <v>2.6005007269924802</v>
      </c>
      <c r="H2200">
        <v>9.9879504656174872E-2</v>
      </c>
      <c r="I2200">
        <v>0</v>
      </c>
      <c r="J2200">
        <v>0</v>
      </c>
      <c r="K2200">
        <v>0</v>
      </c>
      <c r="L2200">
        <v>2.2637245914997016E-2</v>
      </c>
      <c r="M2200">
        <v>0</v>
      </c>
      <c r="N2200">
        <v>1.9584311160475288E-4</v>
      </c>
      <c r="O2200">
        <v>0.97519757233216864</v>
      </c>
      <c r="P2200">
        <v>7.5220044591685783E-2</v>
      </c>
      <c r="Q2200">
        <v>9.4820615865530584</v>
      </c>
      <c r="R2200">
        <v>4.6905502436599562</v>
      </c>
      <c r="S2200">
        <v>0.2052193676702751</v>
      </c>
      <c r="T2200">
        <v>0.19197279838993406</v>
      </c>
      <c r="U2200">
        <f t="shared" si="218"/>
        <v>1.3102453524194524</v>
      </c>
      <c r="V2200" t="str">
        <f t="shared" si="216"/>
        <v>2017/18Expenditure driversRising and Lateral MainsDNO Actual</v>
      </c>
    </row>
    <row r="2201" spans="1:22">
      <c r="A2201" t="s">
        <v>140</v>
      </c>
      <c r="C2201" t="s">
        <v>1344</v>
      </c>
      <c r="D2201" t="s">
        <v>86</v>
      </c>
      <c r="E2201" t="s">
        <v>1349</v>
      </c>
      <c r="F2201" t="s">
        <v>1289</v>
      </c>
      <c r="G2201">
        <v>2.3520111076774324</v>
      </c>
      <c r="H2201">
        <v>7.7500127464739195E-4</v>
      </c>
      <c r="I2201">
        <v>6.3354559119851162E-2</v>
      </c>
      <c r="J2201">
        <v>0</v>
      </c>
      <c r="K2201">
        <v>0</v>
      </c>
      <c r="L2201">
        <v>0</v>
      </c>
      <c r="M2201">
        <v>0</v>
      </c>
      <c r="N2201">
        <v>0</v>
      </c>
      <c r="O2201">
        <v>0.64826417429669358</v>
      </c>
      <c r="P2201">
        <v>2.5276610812376008E-2</v>
      </c>
      <c r="Q2201">
        <v>10.438029791193504</v>
      </c>
      <c r="R2201">
        <v>6.2352508981962389</v>
      </c>
      <c r="S2201">
        <v>0.14595793243212332</v>
      </c>
      <c r="T2201">
        <v>0.267005135815367</v>
      </c>
      <c r="U2201">
        <f>AVERAGE(G2201:T2201)</f>
        <v>1.4411375150584451</v>
      </c>
      <c r="V2201" t="str">
        <f t="shared" si="216"/>
        <v>2018/19Expenditure driversRising and Lateral MainsDNO Actual</v>
      </c>
    </row>
    <row r="2202" spans="1:22">
      <c r="A2202" t="s">
        <v>141</v>
      </c>
      <c r="C2202" t="s">
        <v>1344</v>
      </c>
      <c r="D2202" t="s">
        <v>86</v>
      </c>
      <c r="E2202" t="s">
        <v>1349</v>
      </c>
      <c r="F2202" t="s">
        <v>1289</v>
      </c>
      <c r="G2202">
        <v>1.4871073177675571</v>
      </c>
      <c r="H2202">
        <v>4.4570528775607111E-3</v>
      </c>
      <c r="I2202">
        <v>0.14008988959762725</v>
      </c>
      <c r="J2202">
        <v>0</v>
      </c>
      <c r="K2202">
        <v>0</v>
      </c>
      <c r="L2202">
        <v>0</v>
      </c>
      <c r="M2202">
        <v>0</v>
      </c>
      <c r="N2202">
        <v>0</v>
      </c>
      <c r="O2202">
        <v>0.4897703959075741</v>
      </c>
      <c r="P2202">
        <v>7.1011634280491481E-2</v>
      </c>
      <c r="Q2202">
        <v>10.281983105492515</v>
      </c>
      <c r="R2202">
        <v>4.8981486285107465</v>
      </c>
      <c r="S2202">
        <v>5.0548502583797256E-2</v>
      </c>
      <c r="T2202">
        <v>6.2142419973025227E-2</v>
      </c>
      <c r="U2202">
        <f>AVERAGE(G2202:T2202)</f>
        <v>1.248947067642207</v>
      </c>
      <c r="V2202" t="str">
        <f t="shared" si="216"/>
        <v>2019/20Expenditure driversRising and Lateral MainsDNO Actual</v>
      </c>
    </row>
    <row r="2203" spans="1:22">
      <c r="A2203" t="s">
        <v>126</v>
      </c>
      <c r="C2203" t="s">
        <v>1344</v>
      </c>
      <c r="D2203" t="s">
        <v>86</v>
      </c>
      <c r="E2203" t="s">
        <v>1349</v>
      </c>
      <c r="F2203" t="s">
        <v>1289</v>
      </c>
      <c r="G2203">
        <v>1.6131249873552467</v>
      </c>
      <c r="H2203">
        <v>0.12207875575601616</v>
      </c>
      <c r="I2203">
        <v>8.6004791745913051E-2</v>
      </c>
      <c r="J2203">
        <v>0</v>
      </c>
      <c r="K2203">
        <v>0</v>
      </c>
      <c r="L2203">
        <v>0</v>
      </c>
      <c r="M2203">
        <v>0</v>
      </c>
      <c r="N2203">
        <v>0</v>
      </c>
      <c r="O2203">
        <v>0.28978857535433794</v>
      </c>
      <c r="P2203">
        <v>0.24857507716489219</v>
      </c>
      <c r="Q2203">
        <v>6.4490183460696358</v>
      </c>
      <c r="R2203">
        <v>2.5497397083072548</v>
      </c>
      <c r="S2203">
        <v>4.3376567792036504E-2</v>
      </c>
      <c r="T2203">
        <v>5.0096896009953547E-2</v>
      </c>
      <c r="U2203">
        <f>AVERAGE(G2203:T2203)</f>
        <v>0.81798597896823477</v>
      </c>
      <c r="V2203" t="str">
        <f t="shared" si="216"/>
        <v>2020/21Expenditure driversRising and Lateral MainsDNO Actual</v>
      </c>
    </row>
    <row r="2204" spans="1:22">
      <c r="A2204" t="s">
        <v>142</v>
      </c>
      <c r="C2204" t="s">
        <v>1344</v>
      </c>
      <c r="D2204" t="s">
        <v>86</v>
      </c>
      <c r="E2204" t="s">
        <v>1349</v>
      </c>
      <c r="F2204" t="s">
        <v>1289</v>
      </c>
      <c r="G2204">
        <v>1.8227082686552079</v>
      </c>
      <c r="H2204">
        <v>0.16015294999999999</v>
      </c>
      <c r="I2204">
        <v>4.3834399999999997E-3</v>
      </c>
      <c r="J2204">
        <v>0</v>
      </c>
      <c r="K2204">
        <v>0</v>
      </c>
      <c r="L2204">
        <v>0</v>
      </c>
      <c r="M2204">
        <v>0</v>
      </c>
      <c r="N2204">
        <v>0</v>
      </c>
      <c r="O2204">
        <v>0.6303994995913168</v>
      </c>
      <c r="P2204">
        <v>0.33724505765676094</v>
      </c>
      <c r="Q2204">
        <v>5.255152137096057</v>
      </c>
      <c r="R2204">
        <v>2.8798815400000004</v>
      </c>
      <c r="S2204">
        <v>2.2232519999999999E-2</v>
      </c>
      <c r="T2204">
        <v>0.15938886999999999</v>
      </c>
      <c r="U2204">
        <f>AVERAGE(G2204:T2204)</f>
        <v>0.80511030592852451</v>
      </c>
      <c r="V2204" t="str">
        <f t="shared" ref="V2204" si="219">CONCATENATE(A2204,B2204,C2204,D2204,E2204)</f>
        <v>2021/22Expenditure driversRising and Lateral MainsDNO Actual</v>
      </c>
    </row>
    <row r="2205" spans="1:22">
      <c r="A2205" t="s">
        <v>137</v>
      </c>
      <c r="C2205" t="s">
        <v>1344</v>
      </c>
      <c r="D2205" t="s">
        <v>86</v>
      </c>
      <c r="E2205" t="s">
        <v>297</v>
      </c>
      <c r="F2205" t="s">
        <v>1289</v>
      </c>
      <c r="G2205">
        <f t="array" ref="G2205:T2208">TRANSPOSE('Ch4 expenditure drivers'!AF594:AI607)</f>
        <v>2.4181752886235346</v>
      </c>
      <c r="H2205">
        <v>0.60736759330175161</v>
      </c>
      <c r="I2205">
        <v>0.85523668960344179</v>
      </c>
      <c r="J2205">
        <v>0</v>
      </c>
      <c r="K2205">
        <v>0</v>
      </c>
      <c r="L2205">
        <v>0</v>
      </c>
      <c r="M2205">
        <v>0</v>
      </c>
      <c r="N2205">
        <v>0</v>
      </c>
      <c r="O2205">
        <v>2.5981497233254975</v>
      </c>
      <c r="P2205">
        <v>1.384752207382715</v>
      </c>
      <c r="Q2205">
        <v>14.085506821489876</v>
      </c>
      <c r="R2205">
        <v>6.3766264918396596</v>
      </c>
      <c r="S2205">
        <v>0.43017056577736079</v>
      </c>
      <c r="T2205">
        <v>1.2912832841629891</v>
      </c>
      <c r="U2205">
        <f t="shared" si="218"/>
        <v>2.1462334761076303</v>
      </c>
      <c r="V2205" t="str">
        <f t="shared" si="216"/>
        <v>2015/16Expenditure driversRising and Lateral MainsAllowance</v>
      </c>
    </row>
    <row r="2206" spans="1:22">
      <c r="A2206" t="s">
        <v>137</v>
      </c>
      <c r="C2206" t="s">
        <v>1344</v>
      </c>
      <c r="D2206" t="s">
        <v>86</v>
      </c>
      <c r="E2206" t="s">
        <v>298</v>
      </c>
      <c r="F2206" t="s">
        <v>1289</v>
      </c>
      <c r="G2206">
        <v>0.56635880034155905</v>
      </c>
      <c r="H2206">
        <v>0.12497026846462639</v>
      </c>
      <c r="I2206">
        <v>0.42763385881899235</v>
      </c>
      <c r="J2206">
        <v>0</v>
      </c>
      <c r="K2206">
        <v>0</v>
      </c>
      <c r="L2206">
        <v>0</v>
      </c>
      <c r="M2206">
        <v>0</v>
      </c>
      <c r="N2206">
        <v>9.6584293534481274E-4</v>
      </c>
      <c r="O2206">
        <v>1.4086342663404021</v>
      </c>
      <c r="P2206">
        <v>3.3398983086106553E-2</v>
      </c>
      <c r="Q2206">
        <v>11.399057016279219</v>
      </c>
      <c r="R2206">
        <v>6.5695486509980805</v>
      </c>
      <c r="S2206">
        <v>0.3082399155080503</v>
      </c>
      <c r="T2206">
        <v>0.5553115987557482</v>
      </c>
      <c r="U2206">
        <f t="shared" si="218"/>
        <v>1.5281513715377233</v>
      </c>
      <c r="V2206" t="str">
        <f t="shared" si="216"/>
        <v>2015/16Expenditure driversRising and Lateral MainsActual</v>
      </c>
    </row>
    <row r="2207" spans="1:22">
      <c r="A2207" t="s">
        <v>137</v>
      </c>
      <c r="C2207" t="s">
        <v>1344</v>
      </c>
      <c r="D2207" t="s">
        <v>86</v>
      </c>
      <c r="E2207" t="s">
        <v>602</v>
      </c>
      <c r="F2207" t="s">
        <v>1289</v>
      </c>
      <c r="G2207">
        <v>-1.8518164882819756</v>
      </c>
      <c r="H2207">
        <v>-0.48239732483712522</v>
      </c>
      <c r="I2207">
        <v>-0.42760283078444944</v>
      </c>
      <c r="J2207">
        <v>0</v>
      </c>
      <c r="K2207">
        <v>0</v>
      </c>
      <c r="L2207">
        <v>0</v>
      </c>
      <c r="M2207">
        <v>0</v>
      </c>
      <c r="N2207">
        <v>9.6584293534481274E-4</v>
      </c>
      <c r="O2207">
        <v>-1.1895154569850954</v>
      </c>
      <c r="P2207">
        <v>-1.3513532242966084</v>
      </c>
      <c r="Q2207">
        <v>-2.6864498052106569</v>
      </c>
      <c r="R2207">
        <v>0.19292215915842092</v>
      </c>
      <c r="S2207">
        <v>-0.12193065026931049</v>
      </c>
      <c r="T2207">
        <v>-0.73597168540724089</v>
      </c>
      <c r="U2207">
        <f>U2206-U2205</f>
        <v>-0.61808210456990698</v>
      </c>
      <c r="V2207" t="str">
        <f t="shared" si="216"/>
        <v>2015/16Expenditure driversRising and Lateral MainsDifference</v>
      </c>
    </row>
    <row r="2208" spans="1:22">
      <c r="A2208" t="s">
        <v>137</v>
      </c>
      <c r="C2208" t="s">
        <v>1344</v>
      </c>
      <c r="D2208" t="s">
        <v>86</v>
      </c>
      <c r="E2208" t="s">
        <v>1346</v>
      </c>
      <c r="F2208" t="s">
        <v>606</v>
      </c>
      <c r="G2208" s="829">
        <v>-0.76579084113296858</v>
      </c>
      <c r="H2208" s="829">
        <v>-0.79424277843790259</v>
      </c>
      <c r="I2208" s="829">
        <v>-0.49998185997226258</v>
      </c>
      <c r="J2208" s="829" t="e">
        <v>#DIV/0!</v>
      </c>
      <c r="K2208" s="829" t="e">
        <v>#DIV/0!</v>
      </c>
      <c r="L2208" s="829" t="e">
        <v>#DIV/0!</v>
      </c>
      <c r="M2208" s="829" t="e">
        <v>#DIV/0!</v>
      </c>
      <c r="N2208" s="829" t="e">
        <v>#DIV/0!</v>
      </c>
      <c r="O2208" s="829">
        <v>-0.4578317586188132</v>
      </c>
      <c r="P2208" s="829">
        <v>-0.97588089557969859</v>
      </c>
      <c r="Q2208" s="829">
        <v>-0.19072439772717395</v>
      </c>
      <c r="R2208" s="829">
        <v>3.0254580443955532E-2</v>
      </c>
      <c r="S2208" s="829">
        <v>-0.28344721831204267</v>
      </c>
      <c r="T2208" s="829">
        <v>-0.56995369988414146</v>
      </c>
      <c r="U2208" s="829">
        <f>U2207/U2205</f>
        <v>-0.28798456060374633</v>
      </c>
      <c r="V2208" t="str">
        <f t="shared" si="216"/>
        <v>2015/16Expenditure driversRising and Lateral MainsDifference %</v>
      </c>
    </row>
    <row r="2209" spans="1:22">
      <c r="A2209" t="s">
        <v>138</v>
      </c>
      <c r="C2209" t="s">
        <v>1344</v>
      </c>
      <c r="D2209" t="s">
        <v>86</v>
      </c>
      <c r="E2209" t="s">
        <v>297</v>
      </c>
      <c r="F2209" t="s">
        <v>1289</v>
      </c>
      <c r="G2209">
        <f t="array" ref="G2209:T2212">TRANSPOSE('Ch4 expenditure drivers'!AK594:AN607)</f>
        <v>2.2103978204849155</v>
      </c>
      <c r="H2209">
        <v>0.55555592410418242</v>
      </c>
      <c r="I2209">
        <v>0.78367974361336634</v>
      </c>
      <c r="J2209">
        <v>0</v>
      </c>
      <c r="K2209">
        <v>0</v>
      </c>
      <c r="L2209">
        <v>0</v>
      </c>
      <c r="M2209">
        <v>0</v>
      </c>
      <c r="N2209">
        <v>0</v>
      </c>
      <c r="O2209">
        <v>2.8574353208401342</v>
      </c>
      <c r="P2209">
        <v>1.5141201025360771</v>
      </c>
      <c r="Q2209">
        <v>14.047684529967908</v>
      </c>
      <c r="R2209">
        <v>6.9830269969392349</v>
      </c>
      <c r="S2209">
        <v>0.42351422303606223</v>
      </c>
      <c r="T2209">
        <v>1.2823122595365213</v>
      </c>
      <c r="U2209">
        <f t="shared" si="218"/>
        <v>2.1898376372184574</v>
      </c>
      <c r="V2209" t="str">
        <f t="shared" si="216"/>
        <v>2016/17Expenditure driversRising and Lateral MainsAllowance</v>
      </c>
    </row>
    <row r="2210" spans="1:22">
      <c r="A2210" t="s">
        <v>138</v>
      </c>
      <c r="C2210" t="s">
        <v>1344</v>
      </c>
      <c r="D2210" t="s">
        <v>86</v>
      </c>
      <c r="E2210" t="s">
        <v>298</v>
      </c>
      <c r="F2210" t="s">
        <v>1289</v>
      </c>
      <c r="G2210">
        <v>-4.3860683096448139E-2</v>
      </c>
      <c r="H2210">
        <v>4.5134010619220559E-2</v>
      </c>
      <c r="I2210">
        <v>3.4544935985128436E-2</v>
      </c>
      <c r="J2210">
        <v>0</v>
      </c>
      <c r="K2210">
        <v>0</v>
      </c>
      <c r="L2210">
        <v>0</v>
      </c>
      <c r="M2210">
        <v>0</v>
      </c>
      <c r="N2210">
        <v>0</v>
      </c>
      <c r="O2210">
        <v>0.84666384420237462</v>
      </c>
      <c r="P2210">
        <v>4.6041240436515331E-3</v>
      </c>
      <c r="Q2210">
        <v>10.406800892345425</v>
      </c>
      <c r="R2210">
        <v>4.4378721321116954</v>
      </c>
      <c r="S2210">
        <v>0.42509052041314449</v>
      </c>
      <c r="T2210">
        <v>0.46998001006181322</v>
      </c>
      <c r="U2210">
        <f t="shared" si="218"/>
        <v>1.1876306990490002</v>
      </c>
      <c r="V2210" t="str">
        <f t="shared" si="216"/>
        <v>2016/17Expenditure driversRising and Lateral MainsActual</v>
      </c>
    </row>
    <row r="2211" spans="1:22">
      <c r="A2211" t="s">
        <v>138</v>
      </c>
      <c r="C2211" t="s">
        <v>1344</v>
      </c>
      <c r="D2211" t="s">
        <v>86</v>
      </c>
      <c r="E2211" t="s">
        <v>602</v>
      </c>
      <c r="F2211" t="s">
        <v>1289</v>
      </c>
      <c r="G2211">
        <v>-2.2542585035813638</v>
      </c>
      <c r="H2211">
        <v>-0.51042191348496191</v>
      </c>
      <c r="I2211">
        <v>-0.74913480762823792</v>
      </c>
      <c r="J2211">
        <v>0</v>
      </c>
      <c r="K2211">
        <v>0</v>
      </c>
      <c r="L2211">
        <v>0</v>
      </c>
      <c r="M2211">
        <v>0</v>
      </c>
      <c r="N2211">
        <v>0</v>
      </c>
      <c r="O2211">
        <v>-2.0107714766377596</v>
      </c>
      <c r="P2211">
        <v>-1.5095159784924255</v>
      </c>
      <c r="Q2211">
        <v>-3.6408836376224833</v>
      </c>
      <c r="R2211">
        <v>-2.5451548648275395</v>
      </c>
      <c r="S2211">
        <v>1.5762973770822586E-3</v>
      </c>
      <c r="T2211">
        <v>-0.81233224947470806</v>
      </c>
      <c r="U2211">
        <f>U2210-U2209</f>
        <v>-1.0022069381694572</v>
      </c>
      <c r="V2211" t="str">
        <f t="shared" si="216"/>
        <v>2016/17Expenditure driversRising and Lateral MainsDifference</v>
      </c>
    </row>
    <row r="2212" spans="1:22">
      <c r="A2212" t="s">
        <v>138</v>
      </c>
      <c r="C2212" t="s">
        <v>1344</v>
      </c>
      <c r="D2212" t="s">
        <v>86</v>
      </c>
      <c r="E2212" t="s">
        <v>1346</v>
      </c>
      <c r="F2212" t="s">
        <v>606</v>
      </c>
      <c r="G2212" s="829">
        <v>-1.0198428910352555</v>
      </c>
      <c r="H2212" s="829">
        <v>-0.91875883477977893</v>
      </c>
      <c r="I2212" s="829">
        <v>-0.95591957522616355</v>
      </c>
      <c r="J2212" s="829" t="e">
        <v>#DIV/0!</v>
      </c>
      <c r="K2212" s="829" t="e">
        <v>#DIV/0!</v>
      </c>
      <c r="L2212" s="829" t="e">
        <v>#DIV/0!</v>
      </c>
      <c r="M2212" s="829" t="e">
        <v>#DIV/0!</v>
      </c>
      <c r="N2212" s="829" t="e">
        <v>#DIV/0!</v>
      </c>
      <c r="O2212" s="829">
        <v>-0.70369798468318745</v>
      </c>
      <c r="P2212" s="829">
        <v>-0.99695920816589123</v>
      </c>
      <c r="Q2212" s="829">
        <v>-0.25918033892741477</v>
      </c>
      <c r="R2212" s="829">
        <v>-0.36447730560731312</v>
      </c>
      <c r="S2212" s="829">
        <v>3.7219467289249385E-3</v>
      </c>
      <c r="T2212" s="829">
        <v>-0.63349019978044763</v>
      </c>
      <c r="U2212" s="829">
        <f>U2211/U2209</f>
        <v>-0.45766266920248272</v>
      </c>
      <c r="V2212" t="str">
        <f t="shared" si="216"/>
        <v>2016/17Expenditure driversRising and Lateral MainsDifference %</v>
      </c>
    </row>
    <row r="2213" spans="1:22">
      <c r="A2213" t="s">
        <v>139</v>
      </c>
      <c r="C2213" t="s">
        <v>1344</v>
      </c>
      <c r="D2213" t="s">
        <v>86</v>
      </c>
      <c r="E2213" t="s">
        <v>297</v>
      </c>
      <c r="F2213" t="s">
        <v>1289</v>
      </c>
      <c r="G2213">
        <f t="array" ref="G2213:T2216">TRANSPOSE('Ch4 expenditure drivers'!AP594:AS607)</f>
        <v>2.3555907317393912</v>
      </c>
      <c r="H2213">
        <v>0.49667715340888097</v>
      </c>
      <c r="I2213">
        <v>0.75053515958168915</v>
      </c>
      <c r="J2213">
        <v>0</v>
      </c>
      <c r="K2213">
        <v>0</v>
      </c>
      <c r="L2213">
        <v>0</v>
      </c>
      <c r="M2213">
        <v>0</v>
      </c>
      <c r="N2213">
        <v>0</v>
      </c>
      <c r="O2213">
        <v>2.6031913110604052</v>
      </c>
      <c r="P2213">
        <v>1.550700839140434</v>
      </c>
      <c r="Q2213">
        <v>14.011031493877129</v>
      </c>
      <c r="R2213">
        <v>6.5088261847649695</v>
      </c>
      <c r="S2213">
        <v>0.40496956711314236</v>
      </c>
      <c r="T2213">
        <v>1.2397622211113009</v>
      </c>
      <c r="U2213">
        <f t="shared" si="218"/>
        <v>2.1372346186998104</v>
      </c>
      <c r="V2213" t="str">
        <f t="shared" si="216"/>
        <v>2017/18Expenditure driversRising and Lateral MainsAllowance</v>
      </c>
    </row>
    <row r="2214" spans="1:22">
      <c r="A2214" t="s">
        <v>139</v>
      </c>
      <c r="C2214" t="s">
        <v>1344</v>
      </c>
      <c r="D2214" t="s">
        <v>86</v>
      </c>
      <c r="E2214" t="s">
        <v>298</v>
      </c>
      <c r="F2214" t="s">
        <v>1289</v>
      </c>
      <c r="G2214">
        <v>2.6005007269924802</v>
      </c>
      <c r="H2214">
        <v>9.9879504656174872E-2</v>
      </c>
      <c r="I2214">
        <v>0</v>
      </c>
      <c r="J2214">
        <v>0</v>
      </c>
      <c r="K2214">
        <v>0</v>
      </c>
      <c r="L2214">
        <v>2.2637245914997016E-2</v>
      </c>
      <c r="M2214">
        <v>0</v>
      </c>
      <c r="N2214">
        <v>1.9584311160475288E-4</v>
      </c>
      <c r="O2214">
        <v>0.97519757233216864</v>
      </c>
      <c r="P2214">
        <v>7.5220044591685783E-2</v>
      </c>
      <c r="Q2214">
        <v>9.4820615865530584</v>
      </c>
      <c r="R2214">
        <v>4.6905502436599562</v>
      </c>
      <c r="S2214">
        <v>0.2052193676702751</v>
      </c>
      <c r="T2214">
        <v>0.19197279838993406</v>
      </c>
      <c r="U2214">
        <f t="shared" si="218"/>
        <v>1.3102453524194524</v>
      </c>
      <c r="V2214" t="str">
        <f t="shared" si="216"/>
        <v>2017/18Expenditure driversRising and Lateral MainsActual</v>
      </c>
    </row>
    <row r="2215" spans="1:22">
      <c r="A2215" t="s">
        <v>139</v>
      </c>
      <c r="C2215" t="s">
        <v>1344</v>
      </c>
      <c r="D2215" t="s">
        <v>86</v>
      </c>
      <c r="E2215" t="s">
        <v>602</v>
      </c>
      <c r="F2215" t="s">
        <v>1289</v>
      </c>
      <c r="G2215">
        <v>0.2449099952530891</v>
      </c>
      <c r="H2215">
        <v>-0.39679764875270607</v>
      </c>
      <c r="I2215">
        <v>-0.75053515958168915</v>
      </c>
      <c r="J2215">
        <v>0</v>
      </c>
      <c r="K2215">
        <v>0</v>
      </c>
      <c r="L2215">
        <v>2.2637245914997016E-2</v>
      </c>
      <c r="M2215">
        <v>0</v>
      </c>
      <c r="N2215">
        <v>1.9584311160475288E-4</v>
      </c>
      <c r="O2215">
        <v>-1.6279937387282366</v>
      </c>
      <c r="P2215">
        <v>-1.4754807945487483</v>
      </c>
      <c r="Q2215">
        <v>-4.5289699073240701</v>
      </c>
      <c r="R2215">
        <v>-1.8182759411050133</v>
      </c>
      <c r="S2215">
        <v>-0.19975019944286726</v>
      </c>
      <c r="T2215">
        <v>-1.0477894227213669</v>
      </c>
      <c r="U2215">
        <f>U2214-U2213</f>
        <v>-0.82698926628035796</v>
      </c>
      <c r="V2215" t="str">
        <f t="shared" si="216"/>
        <v>2017/18Expenditure driversRising and Lateral MainsDifference</v>
      </c>
    </row>
    <row r="2216" spans="1:22">
      <c r="A2216" t="s">
        <v>139</v>
      </c>
      <c r="C2216" t="s">
        <v>1344</v>
      </c>
      <c r="D2216" t="s">
        <v>86</v>
      </c>
      <c r="E2216" t="s">
        <v>1346</v>
      </c>
      <c r="F2216" t="s">
        <v>606</v>
      </c>
      <c r="G2216" s="829">
        <v>0.1039696717910947</v>
      </c>
      <c r="H2216" s="829">
        <v>-0.79890457217396749</v>
      </c>
      <c r="I2216" s="829">
        <v>-1</v>
      </c>
      <c r="J2216" s="829" t="e">
        <v>#DIV/0!</v>
      </c>
      <c r="K2216" s="829" t="e">
        <v>#DIV/0!</v>
      </c>
      <c r="L2216" s="829" t="e">
        <v>#DIV/0!</v>
      </c>
      <c r="M2216" s="829" t="e">
        <v>#DIV/0!</v>
      </c>
      <c r="N2216" s="829" t="e">
        <v>#DIV/0!</v>
      </c>
      <c r="O2216" s="829">
        <v>-0.62538382477355314</v>
      </c>
      <c r="P2216" s="829">
        <v>-0.95149287167898822</v>
      </c>
      <c r="Q2216" s="829">
        <v>-0.32324314660938747</v>
      </c>
      <c r="R2216" s="829">
        <v>-0.27935543053231349</v>
      </c>
      <c r="S2216" s="829">
        <v>-0.49324743305232138</v>
      </c>
      <c r="T2216" s="829">
        <v>-0.8451535341850851</v>
      </c>
      <c r="U2216" s="829">
        <f>U2215/U2213</f>
        <v>-0.38694360415304241</v>
      </c>
      <c r="V2216" t="str">
        <f t="shared" si="216"/>
        <v>2017/18Expenditure driversRising and Lateral MainsDifference %</v>
      </c>
    </row>
    <row r="2217" spans="1:22">
      <c r="A2217" t="s">
        <v>140</v>
      </c>
      <c r="C2217" t="s">
        <v>1344</v>
      </c>
      <c r="D2217" t="s">
        <v>86</v>
      </c>
      <c r="E2217" t="s">
        <v>297</v>
      </c>
      <c r="F2217" t="s">
        <v>1289</v>
      </c>
      <c r="G2217">
        <f t="array" ref="G2217:T2220">TRANSPOSE('Ch4 expenditure drivers'!AU594:AX607)</f>
        <v>2.2733855247100174</v>
      </c>
      <c r="H2217">
        <v>0.48940778552384151</v>
      </c>
      <c r="I2217">
        <v>0.73128752037937028</v>
      </c>
      <c r="J2217">
        <v>0</v>
      </c>
      <c r="K2217">
        <v>0</v>
      </c>
      <c r="L2217">
        <v>0</v>
      </c>
      <c r="M2217">
        <v>0</v>
      </c>
      <c r="N2217">
        <v>0</v>
      </c>
      <c r="O2217">
        <v>2.594791115803083</v>
      </c>
      <c r="P2217">
        <v>1.5962747426931279</v>
      </c>
      <c r="Q2217">
        <v>13.5397121913654</v>
      </c>
      <c r="R2217">
        <v>6.081180698745599</v>
      </c>
      <c r="S2217">
        <v>0.40247473126924493</v>
      </c>
      <c r="T2217">
        <v>1.1976185552558756</v>
      </c>
      <c r="U2217">
        <f>AVERAGE(G2217:T2217)</f>
        <v>2.0647237761246826</v>
      </c>
      <c r="V2217" t="str">
        <f t="shared" si="216"/>
        <v>2018/19Expenditure driversRising and Lateral MainsAllowance</v>
      </c>
    </row>
    <row r="2218" spans="1:22">
      <c r="A2218" t="s">
        <v>140</v>
      </c>
      <c r="C2218" t="s">
        <v>1344</v>
      </c>
      <c r="D2218" t="s">
        <v>86</v>
      </c>
      <c r="E2218" t="s">
        <v>298</v>
      </c>
      <c r="F2218" t="s">
        <v>1289</v>
      </c>
      <c r="G2218">
        <v>2.3520111076774324</v>
      </c>
      <c r="H2218">
        <v>7.7500127464739195E-4</v>
      </c>
      <c r="I2218">
        <v>6.3354559119851162E-2</v>
      </c>
      <c r="J2218">
        <v>0</v>
      </c>
      <c r="K2218">
        <v>0</v>
      </c>
      <c r="L2218">
        <v>0</v>
      </c>
      <c r="M2218">
        <v>0</v>
      </c>
      <c r="N2218">
        <v>0</v>
      </c>
      <c r="O2218">
        <v>0.64826417429669358</v>
      </c>
      <c r="P2218">
        <v>2.5276610812376008E-2</v>
      </c>
      <c r="Q2218">
        <v>10.438029791193504</v>
      </c>
      <c r="R2218">
        <v>6.2352508981962389</v>
      </c>
      <c r="S2218">
        <v>0.14595793243212332</v>
      </c>
      <c r="T2218">
        <v>0.267005135815367</v>
      </c>
      <c r="U2218">
        <f>AVERAGE(G2218:T2218)</f>
        <v>1.4411375150584451</v>
      </c>
      <c r="V2218" t="str">
        <f t="shared" si="216"/>
        <v>2018/19Expenditure driversRising and Lateral MainsActual</v>
      </c>
    </row>
    <row r="2219" spans="1:22">
      <c r="A2219" t="s">
        <v>140</v>
      </c>
      <c r="C2219" t="s">
        <v>1344</v>
      </c>
      <c r="D2219" t="s">
        <v>86</v>
      </c>
      <c r="E2219" t="s">
        <v>602</v>
      </c>
      <c r="F2219" t="s">
        <v>1289</v>
      </c>
      <c r="G2219">
        <v>7.8625582967414953E-2</v>
      </c>
      <c r="H2219">
        <v>-0.4886327842491941</v>
      </c>
      <c r="I2219">
        <v>-0.66793296125951906</v>
      </c>
      <c r="J2219">
        <v>0</v>
      </c>
      <c r="K2219">
        <v>0</v>
      </c>
      <c r="L2219">
        <v>0</v>
      </c>
      <c r="M2219">
        <v>0</v>
      </c>
      <c r="N2219">
        <v>0</v>
      </c>
      <c r="O2219">
        <v>-1.9465269415063893</v>
      </c>
      <c r="P2219">
        <v>-1.5709981318807518</v>
      </c>
      <c r="Q2219">
        <v>-3.1016824001718959</v>
      </c>
      <c r="R2219">
        <v>0.15407019945063993</v>
      </c>
      <c r="S2219">
        <v>-0.25651679883712164</v>
      </c>
      <c r="T2219">
        <v>-0.93061341944050857</v>
      </c>
      <c r="U2219">
        <f>U2218-U2217</f>
        <v>-0.62358626106623749</v>
      </c>
      <c r="V2219" t="str">
        <f t="shared" si="216"/>
        <v>2018/19Expenditure driversRising and Lateral MainsDifference</v>
      </c>
    </row>
    <row r="2220" spans="1:22">
      <c r="A2220" t="s">
        <v>140</v>
      </c>
      <c r="C2220" t="s">
        <v>1344</v>
      </c>
      <c r="D2220" t="s">
        <v>86</v>
      </c>
      <c r="E2220" t="s">
        <v>1346</v>
      </c>
      <c r="F2220" t="s">
        <v>606</v>
      </c>
      <c r="G2220" s="829">
        <v>3.4585239552558544E-2</v>
      </c>
      <c r="H2220" s="829">
        <v>-0.99841645086659603</v>
      </c>
      <c r="I2220" s="829">
        <v>-0.91336573187111858</v>
      </c>
      <c r="J2220" s="829" t="e">
        <v>#DIV/0!</v>
      </c>
      <c r="K2220" s="829" t="e">
        <v>#DIV/0!</v>
      </c>
      <c r="L2220" s="829" t="e">
        <v>#DIV/0!</v>
      </c>
      <c r="M2220" s="829" t="e">
        <v>#DIV/0!</v>
      </c>
      <c r="N2220" s="829" t="e">
        <v>#DIV/0!</v>
      </c>
      <c r="O2220" s="829">
        <v>-0.75016710580340595</v>
      </c>
      <c r="P2220" s="829">
        <v>-0.98416525041940395</v>
      </c>
      <c r="Q2220" s="829">
        <v>-0.22908037898692657</v>
      </c>
      <c r="R2220" s="829">
        <v>2.5335573317599475E-2</v>
      </c>
      <c r="S2220" s="829">
        <v>-0.6373488293989783</v>
      </c>
      <c r="T2220" s="829">
        <v>-0.77705327406327607</v>
      </c>
      <c r="U2220" s="829">
        <f>U2219/U2217</f>
        <v>-0.30201921839475199</v>
      </c>
      <c r="V2220" t="str">
        <f t="shared" si="216"/>
        <v>2018/19Expenditure driversRising and Lateral MainsDifference %</v>
      </c>
    </row>
    <row r="2221" spans="1:22">
      <c r="A2221" t="s">
        <v>141</v>
      </c>
      <c r="C2221" t="s">
        <v>1344</v>
      </c>
      <c r="D2221" t="s">
        <v>86</v>
      </c>
      <c r="E2221" t="s">
        <v>297</v>
      </c>
      <c r="F2221" t="s">
        <v>1289</v>
      </c>
      <c r="G2221" s="229">
        <f t="array" ref="G2221:T2224">TRANSPOSE('Ch4 expenditure drivers'!AZ594:BC607)</f>
        <v>2.3490867185024298</v>
      </c>
      <c r="H2221" s="229">
        <v>0.46588841726774305</v>
      </c>
      <c r="I2221" s="229">
        <v>0.63370603338843823</v>
      </c>
      <c r="J2221" s="229">
        <v>0</v>
      </c>
      <c r="K2221" s="229">
        <v>0</v>
      </c>
      <c r="L2221" s="229">
        <v>0</v>
      </c>
      <c r="M2221" s="229">
        <v>0</v>
      </c>
      <c r="N2221" s="229">
        <v>0</v>
      </c>
      <c r="O2221" s="229">
        <v>2.5452757041737266</v>
      </c>
      <c r="P2221" s="229">
        <v>1.566984804240247</v>
      </c>
      <c r="Q2221" s="229">
        <v>13.213025896812384</v>
      </c>
      <c r="R2221" s="229">
        <v>5.954027401810845</v>
      </c>
      <c r="S2221" s="229">
        <v>0.4029265435316694</v>
      </c>
      <c r="T2221" s="229">
        <v>1.1483010526433768</v>
      </c>
      <c r="U2221" s="229">
        <f>AVERAGE(G2221:T2221)</f>
        <v>2.0199444694550612</v>
      </c>
      <c r="V2221" t="str">
        <f t="shared" si="216"/>
        <v>2019/20Expenditure driversRising and Lateral MainsAllowance</v>
      </c>
    </row>
    <row r="2222" spans="1:22">
      <c r="A2222" t="s">
        <v>141</v>
      </c>
      <c r="C2222" t="s">
        <v>1344</v>
      </c>
      <c r="D2222" t="s">
        <v>86</v>
      </c>
      <c r="E2222" t="s">
        <v>298</v>
      </c>
      <c r="F2222" t="s">
        <v>1289</v>
      </c>
      <c r="G2222" s="229">
        <v>1.4871073177675571</v>
      </c>
      <c r="H2222" s="229">
        <v>4.4570528775607111E-3</v>
      </c>
      <c r="I2222" s="229">
        <v>0.14008988959762725</v>
      </c>
      <c r="J2222" s="229">
        <v>0</v>
      </c>
      <c r="K2222" s="229">
        <v>0</v>
      </c>
      <c r="L2222" s="229">
        <v>0</v>
      </c>
      <c r="M2222" s="229">
        <v>0</v>
      </c>
      <c r="N2222" s="229">
        <v>0</v>
      </c>
      <c r="O2222" s="229">
        <v>0.4897703959075741</v>
      </c>
      <c r="P2222" s="229">
        <v>7.1011634280491481E-2</v>
      </c>
      <c r="Q2222" s="229">
        <v>10.281983105492515</v>
      </c>
      <c r="R2222" s="229">
        <v>4.8981486285107465</v>
      </c>
      <c r="S2222" s="229">
        <v>5.0548502583797256E-2</v>
      </c>
      <c r="T2222" s="229">
        <v>6.2142419973025227E-2</v>
      </c>
      <c r="U2222" s="229">
        <f>AVERAGE(G2222:T2222)</f>
        <v>1.248947067642207</v>
      </c>
      <c r="V2222" t="str">
        <f t="shared" si="216"/>
        <v>2019/20Expenditure driversRising and Lateral MainsActual</v>
      </c>
    </row>
    <row r="2223" spans="1:22">
      <c r="A2223" t="s">
        <v>141</v>
      </c>
      <c r="C2223" t="s">
        <v>1344</v>
      </c>
      <c r="D2223" t="s">
        <v>86</v>
      </c>
      <c r="E2223" t="s">
        <v>602</v>
      </c>
      <c r="F2223" t="s">
        <v>1289</v>
      </c>
      <c r="G2223" s="229">
        <v>-0.86197940073487267</v>
      </c>
      <c r="H2223" s="229">
        <v>-0.46143136439018234</v>
      </c>
      <c r="I2223" s="229">
        <v>-0.49361614379081098</v>
      </c>
      <c r="J2223" s="229">
        <v>0</v>
      </c>
      <c r="K2223" s="229">
        <v>0</v>
      </c>
      <c r="L2223" s="229">
        <v>0</v>
      </c>
      <c r="M2223" s="229">
        <v>0</v>
      </c>
      <c r="N2223" s="229">
        <v>0</v>
      </c>
      <c r="O2223" s="229">
        <v>-2.0555053082661523</v>
      </c>
      <c r="P2223" s="229">
        <v>-1.4959731699597556</v>
      </c>
      <c r="Q2223" s="229">
        <v>-2.9310427913198698</v>
      </c>
      <c r="R2223" s="229">
        <v>-1.0558787733000985</v>
      </c>
      <c r="S2223" s="229">
        <v>-0.35237804094787217</v>
      </c>
      <c r="T2223" s="229">
        <v>-1.0861586326703516</v>
      </c>
      <c r="U2223" s="229">
        <f>U2222-U2221</f>
        <v>-0.77099740181285425</v>
      </c>
      <c r="V2223" t="str">
        <f t="shared" si="216"/>
        <v>2019/20Expenditure driversRising and Lateral MainsDifference</v>
      </c>
    </row>
    <row r="2224" spans="1:22">
      <c r="A2224" t="s">
        <v>141</v>
      </c>
      <c r="C2224" t="s">
        <v>1344</v>
      </c>
      <c r="D2224" t="s">
        <v>86</v>
      </c>
      <c r="E2224" t="s">
        <v>1346</v>
      </c>
      <c r="F2224" t="s">
        <v>606</v>
      </c>
      <c r="G2224" s="829">
        <v>-0.36694234995479202</v>
      </c>
      <c r="H2224" s="829">
        <v>-0.99043321810037777</v>
      </c>
      <c r="I2224" s="829">
        <v>-0.77893552812087974</v>
      </c>
      <c r="J2224" s="829" t="e">
        <v>#DIV/0!</v>
      </c>
      <c r="K2224" s="829" t="e">
        <v>#DIV/0!</v>
      </c>
      <c r="L2224" s="829" t="e">
        <v>#DIV/0!</v>
      </c>
      <c r="M2224" s="829" t="e">
        <v>#DIV/0!</v>
      </c>
      <c r="N2224" s="829" t="e">
        <v>#DIV/0!</v>
      </c>
      <c r="O2224" s="829">
        <v>-0.80757668212349176</v>
      </c>
      <c r="P2224" s="829">
        <v>-0.95468262736924148</v>
      </c>
      <c r="Q2224" s="829">
        <v>-0.22182979237382544</v>
      </c>
      <c r="R2224" s="829">
        <v>-0.17733858144135611</v>
      </c>
      <c r="S2224" s="829">
        <v>-0.8745466055903458</v>
      </c>
      <c r="T2224" s="829">
        <v>-0.94588316380101367</v>
      </c>
      <c r="U2224" s="829">
        <f>U2223/U2221</f>
        <v>-0.38169237494971991</v>
      </c>
      <c r="V2224" t="str">
        <f t="shared" si="216"/>
        <v>2019/20Expenditure driversRising and Lateral MainsDifference %</v>
      </c>
    </row>
    <row r="2225" spans="1:22">
      <c r="A2225" t="s">
        <v>126</v>
      </c>
      <c r="C2225" t="s">
        <v>1344</v>
      </c>
      <c r="D2225" t="s">
        <v>86</v>
      </c>
      <c r="E2225" t="s">
        <v>297</v>
      </c>
      <c r="F2225" t="s">
        <v>1289</v>
      </c>
      <c r="G2225" s="229" cm="1">
        <f t="array" ref="G2225:T2228">TRANSPOSE('Ch4 expenditure drivers'!BE594:BH607)</f>
        <v>2.3515870053741335</v>
      </c>
      <c r="H2225" s="229">
        <v>0.41669260376137746</v>
      </c>
      <c r="I2225" s="229">
        <v>0.61660610719380027</v>
      </c>
      <c r="J2225" s="229">
        <v>0</v>
      </c>
      <c r="K2225" s="229">
        <v>0</v>
      </c>
      <c r="L2225" s="229">
        <v>0</v>
      </c>
      <c r="M2225" s="229">
        <v>0</v>
      </c>
      <c r="N2225" s="229">
        <v>0</v>
      </c>
      <c r="O2225" s="229">
        <v>2.5178125079140017</v>
      </c>
      <c r="P2225" s="229">
        <v>1.4643301912913733</v>
      </c>
      <c r="Q2225" s="229">
        <v>12.927713556772398</v>
      </c>
      <c r="R2225" s="229">
        <v>5.9871758171273584</v>
      </c>
      <c r="S2225" s="229">
        <v>0.39966314087068072</v>
      </c>
      <c r="T2225" s="229">
        <v>1.0948099451010795</v>
      </c>
      <c r="U2225" s="229">
        <f>AVERAGE(G2225:T2225)</f>
        <v>1.9840279196718715</v>
      </c>
      <c r="V2225" t="str">
        <f t="shared" si="216"/>
        <v>2020/21Expenditure driversRising and Lateral MainsAllowance</v>
      </c>
    </row>
    <row r="2226" spans="1:22">
      <c r="A2226" t="s">
        <v>126</v>
      </c>
      <c r="C2226" t="s">
        <v>1344</v>
      </c>
      <c r="D2226" t="s">
        <v>86</v>
      </c>
      <c r="E2226" t="s">
        <v>298</v>
      </c>
      <c r="F2226" t="s">
        <v>1289</v>
      </c>
      <c r="G2226" s="229">
        <v>1.6131249873552467</v>
      </c>
      <c r="H2226" s="229">
        <v>0.12207875575601616</v>
      </c>
      <c r="I2226" s="229">
        <v>8.6004791745913051E-2</v>
      </c>
      <c r="J2226" s="229">
        <v>0</v>
      </c>
      <c r="K2226" s="229">
        <v>0</v>
      </c>
      <c r="L2226" s="229">
        <v>0</v>
      </c>
      <c r="M2226" s="229">
        <v>0</v>
      </c>
      <c r="N2226" s="229">
        <v>0</v>
      </c>
      <c r="O2226" s="229">
        <v>0.28978857535433794</v>
      </c>
      <c r="P2226" s="229">
        <v>0.24857507716489219</v>
      </c>
      <c r="Q2226" s="229">
        <v>6.4490183460696358</v>
      </c>
      <c r="R2226" s="229">
        <v>2.5497397083072548</v>
      </c>
      <c r="S2226" s="229">
        <v>4.3376567792036504E-2</v>
      </c>
      <c r="T2226" s="229">
        <v>5.0096896009953547E-2</v>
      </c>
      <c r="U2226" s="229">
        <f>AVERAGE(G2226:T2226)</f>
        <v>0.81798597896823477</v>
      </c>
      <c r="V2226" t="str">
        <f t="shared" ref="V2226:V2298" si="220">CONCATENATE(A2226,B2226,C2226,D2226,E2226)</f>
        <v>2020/21Expenditure driversRising and Lateral MainsActual</v>
      </c>
    </row>
    <row r="2227" spans="1:22">
      <c r="A2227" t="s">
        <v>126</v>
      </c>
      <c r="C2227" t="s">
        <v>1344</v>
      </c>
      <c r="D2227" t="s">
        <v>86</v>
      </c>
      <c r="E2227" t="s">
        <v>602</v>
      </c>
      <c r="F2227" t="s">
        <v>1289</v>
      </c>
      <c r="G2227" s="229">
        <v>-0.73846201801888678</v>
      </c>
      <c r="H2227" s="229">
        <v>-0.29461384800536128</v>
      </c>
      <c r="I2227" s="229">
        <v>-0.53060131544788725</v>
      </c>
      <c r="J2227" s="229">
        <v>0</v>
      </c>
      <c r="K2227" s="229">
        <v>0</v>
      </c>
      <c r="L2227" s="229">
        <v>0</v>
      </c>
      <c r="M2227" s="229">
        <v>0</v>
      </c>
      <c r="N2227" s="229">
        <v>0</v>
      </c>
      <c r="O2227" s="229">
        <v>-2.2280239325596636</v>
      </c>
      <c r="P2227" s="229">
        <v>-1.2157551141264811</v>
      </c>
      <c r="Q2227" s="229">
        <v>-6.478695210702762</v>
      </c>
      <c r="R2227" s="229">
        <v>-3.4374361088201035</v>
      </c>
      <c r="S2227" s="229">
        <v>-0.3562865730786442</v>
      </c>
      <c r="T2227" s="229">
        <v>-1.0447130490911261</v>
      </c>
      <c r="U2227" s="229">
        <f>U2226-U2225</f>
        <v>-1.1660419407036366</v>
      </c>
      <c r="V2227" t="str">
        <f t="shared" si="220"/>
        <v>2020/21Expenditure driversRising and Lateral MainsDifference</v>
      </c>
    </row>
    <row r="2228" spans="1:22">
      <c r="A2228" t="s">
        <v>126</v>
      </c>
      <c r="C2228" t="s">
        <v>1344</v>
      </c>
      <c r="D2228" t="s">
        <v>86</v>
      </c>
      <c r="E2228" t="s">
        <v>1346</v>
      </c>
      <c r="F2228" t="s">
        <v>606</v>
      </c>
      <c r="G2228" s="829">
        <v>-0.31402708738025142</v>
      </c>
      <c r="H2228" s="829">
        <v>-0.70702922333143781</v>
      </c>
      <c r="I2228" s="829">
        <v>-0.86051907247995907</v>
      </c>
      <c r="J2228" s="829" t="e">
        <v>#DIV/0!</v>
      </c>
      <c r="K2228" s="829" t="e">
        <v>#DIV/0!</v>
      </c>
      <c r="L2228" s="829" t="e">
        <v>#DIV/0!</v>
      </c>
      <c r="M2228" s="829" t="e">
        <v>#DIV/0!</v>
      </c>
      <c r="N2228" s="829" t="e">
        <v>#DIV/0!</v>
      </c>
      <c r="O2228" s="829">
        <v>-0.88490462477111653</v>
      </c>
      <c r="P2228" s="829">
        <v>-0.83024656689917919</v>
      </c>
      <c r="Q2228" s="829">
        <v>-0.50114780020855199</v>
      </c>
      <c r="R2228" s="829">
        <v>-0.5741331495538714</v>
      </c>
      <c r="S2228" s="829">
        <v>-0.89146717984165591</v>
      </c>
      <c r="T2228" s="829">
        <v>-0.95424146790580333</v>
      </c>
      <c r="U2228" s="829">
        <f>U2227/U2225</f>
        <v>-0.58771448180854358</v>
      </c>
      <c r="V2228" t="str">
        <f t="shared" si="220"/>
        <v>2020/21Expenditure driversRising and Lateral MainsDifference %</v>
      </c>
    </row>
    <row r="2229" spans="1:22">
      <c r="A2229" t="s">
        <v>142</v>
      </c>
      <c r="C2229" t="s">
        <v>1344</v>
      </c>
      <c r="D2229" t="s">
        <v>86</v>
      </c>
      <c r="E2229" t="s">
        <v>297</v>
      </c>
      <c r="F2229" t="s">
        <v>1289</v>
      </c>
      <c r="G2229" s="229" cm="1">
        <f t="array" ref="G2229:T2232">TRANSPOSE('Ch4 expenditure drivers'!BJ594:BM607)</f>
        <v>2.3321245676250646</v>
      </c>
      <c r="H2229" s="229">
        <v>0.3815581734116586</v>
      </c>
      <c r="I2229" s="229">
        <v>0.543899096773929</v>
      </c>
      <c r="J2229" s="229">
        <v>0</v>
      </c>
      <c r="K2229" s="229">
        <v>0</v>
      </c>
      <c r="L2229" s="229">
        <v>0</v>
      </c>
      <c r="M2229" s="229">
        <v>0</v>
      </c>
      <c r="N2229" s="229">
        <v>0</v>
      </c>
      <c r="O2229" s="229">
        <v>2.3984761469326417</v>
      </c>
      <c r="P2229" s="229">
        <v>1.4358836710978327</v>
      </c>
      <c r="Q2229" s="229">
        <v>11.740260128285517</v>
      </c>
      <c r="R2229" s="229">
        <v>5.1925688364717111</v>
      </c>
      <c r="S2229" s="229">
        <v>0.3999074797402366</v>
      </c>
      <c r="T2229" s="229">
        <v>1.0776257195163326</v>
      </c>
      <c r="U2229" s="229">
        <f>AVERAGE(G2229:T2229)</f>
        <v>1.8215931299896373</v>
      </c>
      <c r="V2229" t="str">
        <f t="shared" si="220"/>
        <v>2021/22Expenditure driversRising and Lateral MainsAllowance</v>
      </c>
    </row>
    <row r="2230" spans="1:22">
      <c r="A2230" t="s">
        <v>142</v>
      </c>
      <c r="C2230" t="s">
        <v>1344</v>
      </c>
      <c r="D2230" t="s">
        <v>86</v>
      </c>
      <c r="E2230" t="s">
        <v>298</v>
      </c>
      <c r="F2230" t="s">
        <v>1289</v>
      </c>
      <c r="G2230" s="229">
        <v>1.8227082686552079</v>
      </c>
      <c r="H2230" s="229">
        <v>0.16015294999999999</v>
      </c>
      <c r="I2230" s="229">
        <v>4.3834399999999997E-3</v>
      </c>
      <c r="J2230" s="229">
        <v>0</v>
      </c>
      <c r="K2230" s="229">
        <v>0</v>
      </c>
      <c r="L2230" s="229">
        <v>0</v>
      </c>
      <c r="M2230" s="229">
        <v>0</v>
      </c>
      <c r="N2230" s="229">
        <v>0</v>
      </c>
      <c r="O2230" s="229">
        <v>0.6303994995913168</v>
      </c>
      <c r="P2230" s="229">
        <v>0.33724505765676094</v>
      </c>
      <c r="Q2230" s="229">
        <v>5.255152137096057</v>
      </c>
      <c r="R2230" s="229">
        <v>2.8798815400000004</v>
      </c>
      <c r="S2230" s="229">
        <v>2.2232519999999999E-2</v>
      </c>
      <c r="T2230" s="229">
        <v>0.15938886999999999</v>
      </c>
      <c r="U2230" s="229">
        <f>AVERAGE(G2230:T2230)</f>
        <v>0.80511030592852451</v>
      </c>
      <c r="V2230" t="str">
        <f t="shared" ref="V2230:V2232" si="221">CONCATENATE(A2230,B2230,C2230,D2230,E2230)</f>
        <v>2021/22Expenditure driversRising and Lateral MainsActual</v>
      </c>
    </row>
    <row r="2231" spans="1:22">
      <c r="A2231" t="s">
        <v>142</v>
      </c>
      <c r="C2231" t="s">
        <v>1344</v>
      </c>
      <c r="D2231" t="s">
        <v>86</v>
      </c>
      <c r="E2231" t="s">
        <v>602</v>
      </c>
      <c r="F2231" t="s">
        <v>1289</v>
      </c>
      <c r="G2231" s="229">
        <v>-0.50941629896985674</v>
      </c>
      <c r="H2231" s="229">
        <v>-0.22140522341165861</v>
      </c>
      <c r="I2231" s="229">
        <v>-0.53951565677392899</v>
      </c>
      <c r="J2231" s="229">
        <v>0</v>
      </c>
      <c r="K2231" s="229">
        <v>0</v>
      </c>
      <c r="L2231" s="229">
        <v>0</v>
      </c>
      <c r="M2231" s="229">
        <v>0</v>
      </c>
      <c r="N2231" s="229">
        <v>0</v>
      </c>
      <c r="O2231" s="229">
        <v>-1.7680766473413247</v>
      </c>
      <c r="P2231" s="229">
        <v>-1.0986386134410717</v>
      </c>
      <c r="Q2231" s="229">
        <v>-6.4851079911894596</v>
      </c>
      <c r="R2231" s="229">
        <v>-2.3126872964717107</v>
      </c>
      <c r="S2231" s="229">
        <v>-0.37767495974023663</v>
      </c>
      <c r="T2231" s="229">
        <v>-0.91823684951633255</v>
      </c>
      <c r="U2231" s="229">
        <f>U2230-U2229</f>
        <v>-1.0164828240611128</v>
      </c>
      <c r="V2231" t="str">
        <f t="shared" si="221"/>
        <v>2021/22Expenditure driversRising and Lateral MainsDifference</v>
      </c>
    </row>
    <row r="2232" spans="1:22">
      <c r="A2232" t="s">
        <v>142</v>
      </c>
      <c r="C2232" t="s">
        <v>1344</v>
      </c>
      <c r="D2232" t="s">
        <v>86</v>
      </c>
      <c r="E2232" t="s">
        <v>1346</v>
      </c>
      <c r="F2232" t="s">
        <v>606</v>
      </c>
      <c r="G2232" s="829">
        <v>-0.21843442929321069</v>
      </c>
      <c r="H2232" s="829">
        <v>-0.58026596949028564</v>
      </c>
      <c r="I2232" s="829">
        <v>-0.99194071101423065</v>
      </c>
      <c r="J2232" s="829" t="e">
        <v>#DIV/0!</v>
      </c>
      <c r="K2232" s="829" t="e">
        <v>#DIV/0!</v>
      </c>
      <c r="L2232" s="829" t="e">
        <v>#DIV/0!</v>
      </c>
      <c r="M2232" s="829" t="e">
        <v>#DIV/0!</v>
      </c>
      <c r="N2232" s="829" t="e">
        <v>#DIV/0!</v>
      </c>
      <c r="O2232" s="829">
        <v>-0.73716665875642706</v>
      </c>
      <c r="P2232" s="829">
        <v>-0.7651306547703034</v>
      </c>
      <c r="Q2232" s="829">
        <v>-0.55238196771850478</v>
      </c>
      <c r="R2232" s="829">
        <v>-0.44538404194621217</v>
      </c>
      <c r="S2232" s="829">
        <v>-0.94440584103492808</v>
      </c>
      <c r="T2232" s="829">
        <v>-0.85209255206757872</v>
      </c>
      <c r="U2232" s="829">
        <f>U2231/U2229</f>
        <v>-0.55801858676690075</v>
      </c>
      <c r="V2232" t="str">
        <f t="shared" si="221"/>
        <v>2021/22Expenditure driversRising and Lateral MainsDifference %</v>
      </c>
    </row>
    <row r="2233" spans="1:22">
      <c r="A2233" t="s">
        <v>137</v>
      </c>
      <c r="C2233" t="s">
        <v>1344</v>
      </c>
      <c r="D2233" t="s">
        <v>88</v>
      </c>
      <c r="E2233" t="s">
        <v>1347</v>
      </c>
      <c r="F2233" t="s">
        <v>1289</v>
      </c>
      <c r="G2233">
        <f t="array" ref="G2233:T2240">TRANSPOSE('Ch4 expenditure drivers'!E614:L627)</f>
        <v>4.2250048187881264</v>
      </c>
      <c r="H2233">
        <v>0</v>
      </c>
      <c r="I2233">
        <v>0</v>
      </c>
      <c r="J2233">
        <v>0</v>
      </c>
      <c r="K2233">
        <v>0</v>
      </c>
      <c r="L2233">
        <v>0</v>
      </c>
      <c r="M2233">
        <v>6.7619419697318328</v>
      </c>
      <c r="N2233">
        <v>0</v>
      </c>
      <c r="O2233">
        <v>4.7673550200179582</v>
      </c>
      <c r="P2233">
        <v>7.9206145524726628</v>
      </c>
      <c r="Q2233">
        <v>10.597778405782936</v>
      </c>
      <c r="R2233">
        <v>13.558029105033384</v>
      </c>
      <c r="S2233">
        <v>1.6503526701529883</v>
      </c>
      <c r="T2233">
        <v>0</v>
      </c>
      <c r="U2233">
        <f>AVERAGE(G2233:T2233)</f>
        <v>3.5343626101414212</v>
      </c>
      <c r="V2233" t="str">
        <f t="shared" si="220"/>
        <v>2015/16Expenditure driversOverhead Line ClearancesBPDT</v>
      </c>
    </row>
    <row r="2234" spans="1:22">
      <c r="A2234" t="s">
        <v>138</v>
      </c>
      <c r="C2234" t="s">
        <v>1344</v>
      </c>
      <c r="D2234" t="s">
        <v>88</v>
      </c>
      <c r="E2234" t="s">
        <v>1347</v>
      </c>
      <c r="F2234" t="s">
        <v>1289</v>
      </c>
      <c r="G2234">
        <v>0</v>
      </c>
      <c r="H2234">
        <v>0</v>
      </c>
      <c r="I2234">
        <v>0</v>
      </c>
      <c r="J2234">
        <v>0</v>
      </c>
      <c r="K2234">
        <v>0</v>
      </c>
      <c r="L2234">
        <v>0</v>
      </c>
      <c r="M2234">
        <v>6.762867634712185</v>
      </c>
      <c r="N2234">
        <v>0</v>
      </c>
      <c r="O2234">
        <v>4.6706913844016915</v>
      </c>
      <c r="P2234">
        <v>7.7738512320000295</v>
      </c>
      <c r="Q2234">
        <v>10.632536562929186</v>
      </c>
      <c r="R2234">
        <v>13.57411419611274</v>
      </c>
      <c r="S2234">
        <v>1.6463967892092457</v>
      </c>
      <c r="T2234">
        <v>0</v>
      </c>
      <c r="U2234">
        <f t="shared" ref="U2234:U2265" si="222">AVERAGE(G2234:T2234)</f>
        <v>3.2186041285260774</v>
      </c>
      <c r="V2234" t="str">
        <f t="shared" si="220"/>
        <v>2016/17Expenditure driversOverhead Line ClearancesBPDT</v>
      </c>
    </row>
    <row r="2235" spans="1:22">
      <c r="A2235" t="s">
        <v>139</v>
      </c>
      <c r="C2235" t="s">
        <v>1344</v>
      </c>
      <c r="D2235" t="s">
        <v>88</v>
      </c>
      <c r="E2235" t="s">
        <v>1347</v>
      </c>
      <c r="F2235" t="s">
        <v>1289</v>
      </c>
      <c r="G2235">
        <v>0</v>
      </c>
      <c r="H2235">
        <v>0</v>
      </c>
      <c r="I2235">
        <v>0</v>
      </c>
      <c r="J2235">
        <v>0</v>
      </c>
      <c r="K2235">
        <v>0</v>
      </c>
      <c r="L2235">
        <v>0</v>
      </c>
      <c r="M2235">
        <v>6.7361246216234889</v>
      </c>
      <c r="N2235">
        <v>0</v>
      </c>
      <c r="O2235">
        <v>4.5748502627755725</v>
      </c>
      <c r="P2235">
        <v>7.6210240298744711</v>
      </c>
      <c r="Q2235">
        <v>10.655628426810615</v>
      </c>
      <c r="R2235">
        <v>13.592828512675764</v>
      </c>
      <c r="S2235">
        <v>0</v>
      </c>
      <c r="T2235">
        <v>0</v>
      </c>
      <c r="U2235">
        <f t="shared" si="222"/>
        <v>3.0843182752685654</v>
      </c>
      <c r="V2235" t="str">
        <f t="shared" si="220"/>
        <v>2017/18Expenditure driversOverhead Line ClearancesBPDT</v>
      </c>
    </row>
    <row r="2236" spans="1:22">
      <c r="A2236" t="s">
        <v>140</v>
      </c>
      <c r="C2236" t="s">
        <v>1344</v>
      </c>
      <c r="D2236" t="s">
        <v>88</v>
      </c>
      <c r="E2236" t="s">
        <v>1347</v>
      </c>
      <c r="F2236" t="s">
        <v>1289</v>
      </c>
      <c r="G2236">
        <v>0</v>
      </c>
      <c r="H2236">
        <v>0</v>
      </c>
      <c r="I2236">
        <v>0</v>
      </c>
      <c r="J2236">
        <v>0</v>
      </c>
      <c r="K2236">
        <v>0</v>
      </c>
      <c r="L2236">
        <v>0</v>
      </c>
      <c r="M2236">
        <v>0</v>
      </c>
      <c r="N2236">
        <v>0</v>
      </c>
      <c r="O2236">
        <v>4.479867744606481</v>
      </c>
      <c r="P2236">
        <v>7.6803075870076611</v>
      </c>
      <c r="Q2236">
        <v>10.651397687710181</v>
      </c>
      <c r="R2236">
        <v>13.581311838426416</v>
      </c>
      <c r="S2236">
        <v>0</v>
      </c>
      <c r="T2236">
        <v>0</v>
      </c>
      <c r="U2236">
        <f t="shared" si="222"/>
        <v>2.599491775553624</v>
      </c>
      <c r="V2236" t="str">
        <f t="shared" si="220"/>
        <v>2018/19Expenditure driversOverhead Line ClearancesBPDT</v>
      </c>
    </row>
    <row r="2237" spans="1:22">
      <c r="A2237" t="s">
        <v>141</v>
      </c>
      <c r="C2237" t="s">
        <v>1344</v>
      </c>
      <c r="D2237" t="s">
        <v>88</v>
      </c>
      <c r="E2237" t="s">
        <v>1347</v>
      </c>
      <c r="F2237" t="s">
        <v>1289</v>
      </c>
      <c r="G2237">
        <v>0</v>
      </c>
      <c r="H2237">
        <v>0</v>
      </c>
      <c r="I2237">
        <v>0</v>
      </c>
      <c r="J2237">
        <v>0</v>
      </c>
      <c r="K2237">
        <v>0</v>
      </c>
      <c r="L2237">
        <v>0</v>
      </c>
      <c r="M2237">
        <v>0</v>
      </c>
      <c r="N2237">
        <v>0</v>
      </c>
      <c r="O2237">
        <v>4.3958765947783149</v>
      </c>
      <c r="P2237">
        <v>7.3501556276753863</v>
      </c>
      <c r="Q2237">
        <v>10.703703342111819</v>
      </c>
      <c r="R2237">
        <v>13.638285870162191</v>
      </c>
      <c r="S2237">
        <v>0</v>
      </c>
      <c r="T2237">
        <v>0</v>
      </c>
      <c r="U2237">
        <f t="shared" si="222"/>
        <v>2.5777158167662653</v>
      </c>
      <c r="V2237" t="str">
        <f t="shared" si="220"/>
        <v>2019/20Expenditure driversOverhead Line ClearancesBPDT</v>
      </c>
    </row>
    <row r="2238" spans="1:22">
      <c r="A2238" t="s">
        <v>126</v>
      </c>
      <c r="C2238" t="s">
        <v>1344</v>
      </c>
      <c r="D2238" t="s">
        <v>88</v>
      </c>
      <c r="E2238" t="s">
        <v>1347</v>
      </c>
      <c r="F2238" t="s">
        <v>1289</v>
      </c>
      <c r="G2238">
        <v>0</v>
      </c>
      <c r="H2238">
        <v>0</v>
      </c>
      <c r="I2238">
        <v>0</v>
      </c>
      <c r="J2238">
        <v>0</v>
      </c>
      <c r="K2238">
        <v>0</v>
      </c>
      <c r="L2238">
        <v>0</v>
      </c>
      <c r="M2238">
        <v>0</v>
      </c>
      <c r="N2238">
        <v>0</v>
      </c>
      <c r="O2238">
        <v>4.3147510661675508</v>
      </c>
      <c r="P2238">
        <v>7.2161232809969089</v>
      </c>
      <c r="Q2238">
        <v>10.754481020375774</v>
      </c>
      <c r="R2238">
        <v>13.684754631297448</v>
      </c>
      <c r="S2238">
        <v>0</v>
      </c>
      <c r="T2238">
        <v>0</v>
      </c>
      <c r="U2238">
        <f t="shared" si="222"/>
        <v>2.5692935713455491</v>
      </c>
      <c r="V2238" t="str">
        <f t="shared" si="220"/>
        <v>2020/21Expenditure driversOverhead Line ClearancesBPDT</v>
      </c>
    </row>
    <row r="2239" spans="1:22">
      <c r="A2239" t="s">
        <v>142</v>
      </c>
      <c r="C2239" t="s">
        <v>1344</v>
      </c>
      <c r="D2239" t="s">
        <v>88</v>
      </c>
      <c r="E2239" t="s">
        <v>1347</v>
      </c>
      <c r="F2239" t="s">
        <v>1289</v>
      </c>
      <c r="G2239">
        <v>0</v>
      </c>
      <c r="H2239">
        <v>0</v>
      </c>
      <c r="I2239">
        <v>0</v>
      </c>
      <c r="J2239">
        <v>0</v>
      </c>
      <c r="K2239">
        <v>0</v>
      </c>
      <c r="L2239">
        <v>0</v>
      </c>
      <c r="M2239">
        <v>0</v>
      </c>
      <c r="N2239">
        <v>0</v>
      </c>
      <c r="O2239">
        <v>4.2391575935701811</v>
      </c>
      <c r="P2239">
        <v>7.0852176227319799</v>
      </c>
      <c r="Q2239">
        <v>0</v>
      </c>
      <c r="R2239">
        <v>0</v>
      </c>
      <c r="S2239">
        <v>0</v>
      </c>
      <c r="T2239">
        <v>0</v>
      </c>
      <c r="U2239">
        <f t="shared" si="222"/>
        <v>0.80888394402158303</v>
      </c>
      <c r="V2239" t="str">
        <f t="shared" si="220"/>
        <v>2021/22Expenditure driversOverhead Line ClearancesBPDT</v>
      </c>
    </row>
    <row r="2240" spans="1:22">
      <c r="A2240" t="s">
        <v>143</v>
      </c>
      <c r="C2240" t="s">
        <v>1344</v>
      </c>
      <c r="D2240" t="s">
        <v>88</v>
      </c>
      <c r="E2240" t="s">
        <v>1347</v>
      </c>
      <c r="F2240" t="s">
        <v>1289</v>
      </c>
      <c r="G2240">
        <v>0</v>
      </c>
      <c r="H2240">
        <v>0</v>
      </c>
      <c r="I2240">
        <v>0</v>
      </c>
      <c r="J2240">
        <v>0</v>
      </c>
      <c r="K2240">
        <v>0</v>
      </c>
      <c r="L2240">
        <v>0</v>
      </c>
      <c r="M2240">
        <v>0</v>
      </c>
      <c r="N2240">
        <v>0</v>
      </c>
      <c r="O2240">
        <v>4.1618876217130536</v>
      </c>
      <c r="P2240">
        <v>6.9589129239778948</v>
      </c>
      <c r="Q2240">
        <v>0</v>
      </c>
      <c r="R2240">
        <v>0</v>
      </c>
      <c r="S2240">
        <v>0</v>
      </c>
      <c r="T2240">
        <v>0</v>
      </c>
      <c r="U2240">
        <f t="shared" si="222"/>
        <v>0.79434289612078202</v>
      </c>
      <c r="V2240" t="str">
        <f t="shared" si="220"/>
        <v>2022/23Expenditure driversOverhead Line ClearancesBPDT</v>
      </c>
    </row>
    <row r="2241" spans="1:22">
      <c r="A2241" t="s">
        <v>137</v>
      </c>
      <c r="C2241" t="s">
        <v>1344</v>
      </c>
      <c r="D2241" t="s">
        <v>88</v>
      </c>
      <c r="E2241" t="s">
        <v>1348</v>
      </c>
      <c r="F2241" t="s">
        <v>1289</v>
      </c>
      <c r="G2241">
        <f t="array" ref="G2241:T2248">TRANSPOSE('Ch4 expenditure drivers'!N614:U627)</f>
        <v>1.7650368381071615</v>
      </c>
      <c r="H2241">
        <v>0</v>
      </c>
      <c r="I2241">
        <v>0</v>
      </c>
      <c r="J2241">
        <v>2.3760617670110808</v>
      </c>
      <c r="K2241">
        <v>1.9269366184909102</v>
      </c>
      <c r="L2241">
        <v>1.5826488720415639</v>
      </c>
      <c r="M2241">
        <v>9.5319147861615061</v>
      </c>
      <c r="N2241">
        <v>0</v>
      </c>
      <c r="O2241">
        <v>3.8631372743471193</v>
      </c>
      <c r="P2241">
        <v>5.9646053584901031</v>
      </c>
      <c r="Q2241">
        <v>10.040198451588768</v>
      </c>
      <c r="R2241">
        <v>11.141146485933158</v>
      </c>
      <c r="S2241">
        <v>0.72558490947262722</v>
      </c>
      <c r="T2241">
        <v>0</v>
      </c>
      <c r="U2241">
        <f t="shared" si="222"/>
        <v>3.4940908115460005</v>
      </c>
      <c r="V2241" t="str">
        <f t="shared" si="220"/>
        <v>2015/16Expenditure driversOverhead Line ClearancesDNO Baseline</v>
      </c>
    </row>
    <row r="2242" spans="1:22">
      <c r="A2242" t="s">
        <v>138</v>
      </c>
      <c r="C2242" t="s">
        <v>1344</v>
      </c>
      <c r="D2242" t="s">
        <v>88</v>
      </c>
      <c r="E2242" t="s">
        <v>1348</v>
      </c>
      <c r="F2242" t="s">
        <v>1289</v>
      </c>
      <c r="G2242">
        <v>0.62792903153269641</v>
      </c>
      <c r="H2242">
        <v>0</v>
      </c>
      <c r="I2242">
        <v>0</v>
      </c>
      <c r="J2242">
        <v>2.3780573419998601</v>
      </c>
      <c r="K2242">
        <v>1.9289774863048805</v>
      </c>
      <c r="L2242">
        <v>1.5846576268264698</v>
      </c>
      <c r="M2242">
        <v>9.5433476745388788</v>
      </c>
      <c r="N2242">
        <v>0</v>
      </c>
      <c r="O2242">
        <v>4.2003295886549301</v>
      </c>
      <c r="P2242">
        <v>6.0386312442416541</v>
      </c>
      <c r="Q2242">
        <v>10.00987463172395</v>
      </c>
      <c r="R2242">
        <v>12.122576673205357</v>
      </c>
      <c r="S2242">
        <v>0.7185864715200152</v>
      </c>
      <c r="T2242">
        <v>0</v>
      </c>
      <c r="U2242">
        <f t="shared" si="222"/>
        <v>3.5109262693249064</v>
      </c>
      <c r="V2242" t="str">
        <f t="shared" si="220"/>
        <v>2016/17Expenditure driversOverhead Line ClearancesDNO Baseline</v>
      </c>
    </row>
    <row r="2243" spans="1:22">
      <c r="A2243" t="s">
        <v>139</v>
      </c>
      <c r="C2243" t="s">
        <v>1344</v>
      </c>
      <c r="D2243" t="s">
        <v>88</v>
      </c>
      <c r="E2243" t="s">
        <v>1348</v>
      </c>
      <c r="F2243" t="s">
        <v>1289</v>
      </c>
      <c r="G2243">
        <v>0.68437120710648547</v>
      </c>
      <c r="H2243">
        <v>0</v>
      </c>
      <c r="I2243">
        <v>0</v>
      </c>
      <c r="J2243">
        <v>2.3734346665429462</v>
      </c>
      <c r="K2243">
        <v>1.9253179585191427</v>
      </c>
      <c r="L2243">
        <v>1.5804744203349679</v>
      </c>
      <c r="M2243">
        <v>9.5062205797365387</v>
      </c>
      <c r="N2243">
        <v>0</v>
      </c>
      <c r="O2243">
        <v>3.8107645007380198</v>
      </c>
      <c r="P2243">
        <v>6.1739221764010646</v>
      </c>
      <c r="Q2243">
        <v>9.9798273630788685</v>
      </c>
      <c r="R2243">
        <v>11.353672998199606</v>
      </c>
      <c r="S2243">
        <v>0.28964368188587369</v>
      </c>
      <c r="T2243">
        <v>0</v>
      </c>
      <c r="U2243">
        <f t="shared" si="222"/>
        <v>3.405546396610251</v>
      </c>
      <c r="V2243" t="str">
        <f t="shared" si="220"/>
        <v>2017/18Expenditure driversOverhead Line ClearancesDNO Baseline</v>
      </c>
    </row>
    <row r="2244" spans="1:22">
      <c r="A2244" t="s">
        <v>140</v>
      </c>
      <c r="C2244" t="s">
        <v>1344</v>
      </c>
      <c r="D2244" t="s">
        <v>88</v>
      </c>
      <c r="E2244" t="s">
        <v>1348</v>
      </c>
      <c r="F2244" t="s">
        <v>1289</v>
      </c>
      <c r="G2244">
        <v>0.65248415736551002</v>
      </c>
      <c r="H2244">
        <v>0</v>
      </c>
      <c r="I2244">
        <v>0</v>
      </c>
      <c r="J2244">
        <v>2.3796348323305856</v>
      </c>
      <c r="K2244">
        <v>1.9281428203516287</v>
      </c>
      <c r="L2244">
        <v>1.5817304564717916</v>
      </c>
      <c r="M2244">
        <v>3.1435962043261925</v>
      </c>
      <c r="N2244">
        <v>0</v>
      </c>
      <c r="O2244">
        <v>3.7695369983503659</v>
      </c>
      <c r="P2244">
        <v>6.3701813173465665</v>
      </c>
      <c r="Q2244">
        <v>9.653622939477275</v>
      </c>
      <c r="R2244">
        <v>10.637137363318683</v>
      </c>
      <c r="S2244">
        <v>0.28791765274763936</v>
      </c>
      <c r="T2244">
        <v>0</v>
      </c>
      <c r="U2244">
        <f t="shared" si="222"/>
        <v>2.8859989101490169</v>
      </c>
      <c r="V2244" t="str">
        <f t="shared" si="220"/>
        <v>2018/19Expenditure driversOverhead Line ClearancesDNO Baseline</v>
      </c>
    </row>
    <row r="2245" spans="1:22">
      <c r="A2245" t="s">
        <v>141</v>
      </c>
      <c r="C2245" t="s">
        <v>1344</v>
      </c>
      <c r="D2245" t="s">
        <v>88</v>
      </c>
      <c r="E2245" t="s">
        <v>1348</v>
      </c>
      <c r="F2245" t="s">
        <v>1289</v>
      </c>
      <c r="G2245">
        <v>0.68184518001507133</v>
      </c>
      <c r="H2245">
        <v>0</v>
      </c>
      <c r="I2245">
        <v>0</v>
      </c>
      <c r="J2245">
        <v>2.3830422656332528</v>
      </c>
      <c r="K2245">
        <v>1.9315403892823542</v>
      </c>
      <c r="L2245">
        <v>1.5826236278993278</v>
      </c>
      <c r="M2245">
        <v>3.1458993602882082</v>
      </c>
      <c r="N2245">
        <v>0</v>
      </c>
      <c r="O2245">
        <v>3.6717593859726803</v>
      </c>
      <c r="P2245">
        <v>6.1596054757803937</v>
      </c>
      <c r="Q2245">
        <v>9.4313776869326187</v>
      </c>
      <c r="R2245">
        <v>10.43189647621578</v>
      </c>
      <c r="S2245">
        <v>0.28792232892249658</v>
      </c>
      <c r="T2245">
        <v>0</v>
      </c>
      <c r="U2245">
        <f t="shared" si="222"/>
        <v>2.8362508697815842</v>
      </c>
      <c r="V2245" t="str">
        <f t="shared" si="220"/>
        <v>2019/20Expenditure driversOverhead Line ClearancesDNO Baseline</v>
      </c>
    </row>
    <row r="2246" spans="1:22">
      <c r="A2246" t="s">
        <v>126</v>
      </c>
      <c r="C2246" t="s">
        <v>1344</v>
      </c>
      <c r="D2246" t="s">
        <v>88</v>
      </c>
      <c r="E2246" t="s">
        <v>1348</v>
      </c>
      <c r="F2246" t="s">
        <v>1289</v>
      </c>
      <c r="G2246">
        <v>0.68019716411676279</v>
      </c>
      <c r="H2246">
        <v>0</v>
      </c>
      <c r="I2246">
        <v>0</v>
      </c>
      <c r="J2246">
        <v>2.3907239260881634</v>
      </c>
      <c r="K2246">
        <v>1.9360242523326354</v>
      </c>
      <c r="L2246">
        <v>1.5869094163140043</v>
      </c>
      <c r="M2246">
        <v>3.1521588259574904</v>
      </c>
      <c r="N2246">
        <v>0</v>
      </c>
      <c r="O2246">
        <v>3.6069400077368208</v>
      </c>
      <c r="P2246">
        <v>5.7023243910319819</v>
      </c>
      <c r="Q2246">
        <v>9.2322206251415171</v>
      </c>
      <c r="R2246">
        <v>10.485086076551944</v>
      </c>
      <c r="S2246">
        <v>0.28501144670345163</v>
      </c>
      <c r="T2246">
        <v>0</v>
      </c>
      <c r="U2246">
        <f t="shared" si="222"/>
        <v>2.7898282951410551</v>
      </c>
      <c r="V2246" t="str">
        <f t="shared" si="220"/>
        <v>2020/21Expenditure driversOverhead Line ClearancesDNO Baseline</v>
      </c>
    </row>
    <row r="2247" spans="1:22">
      <c r="A2247" t="s">
        <v>142</v>
      </c>
      <c r="C2247" t="s">
        <v>1344</v>
      </c>
      <c r="D2247" t="s">
        <v>88</v>
      </c>
      <c r="E2247" t="s">
        <v>1348</v>
      </c>
      <c r="F2247" t="s">
        <v>1289</v>
      </c>
      <c r="G2247">
        <v>0.67214814002362311</v>
      </c>
      <c r="H2247">
        <v>0</v>
      </c>
      <c r="I2247">
        <v>0</v>
      </c>
      <c r="J2247">
        <v>2.3938400497275927</v>
      </c>
      <c r="K2247">
        <v>1.9378934891191326</v>
      </c>
      <c r="L2247">
        <v>1.5872241011522583</v>
      </c>
      <c r="M2247">
        <v>3.1549928182789979</v>
      </c>
      <c r="N2247">
        <v>0</v>
      </c>
      <c r="O2247">
        <v>3.407402039539901</v>
      </c>
      <c r="P2247">
        <v>5.5379520862622726</v>
      </c>
      <c r="Q2247">
        <v>5.7243353920389657</v>
      </c>
      <c r="R2247">
        <v>5.7659968584340007</v>
      </c>
      <c r="S2247">
        <v>0.28528176104530922</v>
      </c>
      <c r="T2247">
        <v>0</v>
      </c>
      <c r="U2247">
        <f t="shared" si="222"/>
        <v>2.176219052544432</v>
      </c>
      <c r="V2247" t="str">
        <f t="shared" si="220"/>
        <v>2021/22Expenditure driversOverhead Line ClearancesDNO Baseline</v>
      </c>
    </row>
    <row r="2248" spans="1:22">
      <c r="A2248" t="s">
        <v>143</v>
      </c>
      <c r="C2248" t="s">
        <v>1344</v>
      </c>
      <c r="D2248" t="s">
        <v>88</v>
      </c>
      <c r="E2248" t="s">
        <v>1348</v>
      </c>
      <c r="F2248" t="s">
        <v>1289</v>
      </c>
      <c r="G2248">
        <v>0.65177250880098825</v>
      </c>
      <c r="H2248">
        <v>0</v>
      </c>
      <c r="I2248">
        <v>0</v>
      </c>
      <c r="J2248">
        <v>2.3998011739416643</v>
      </c>
      <c r="K2248">
        <v>1.9411779458267888</v>
      </c>
      <c r="L2248">
        <v>1.5895453879219215</v>
      </c>
      <c r="M2248">
        <v>3.1593154648588357</v>
      </c>
      <c r="N2248">
        <v>0</v>
      </c>
      <c r="O2248">
        <v>3.2903567785379821</v>
      </c>
      <c r="P2248">
        <v>5.2035332678497168</v>
      </c>
      <c r="Q2248">
        <v>5.43522959448556</v>
      </c>
      <c r="R2248">
        <v>4.6945191863868567</v>
      </c>
      <c r="S2248">
        <v>0.2769633512096098</v>
      </c>
      <c r="T2248">
        <v>0</v>
      </c>
      <c r="U2248">
        <f t="shared" si="222"/>
        <v>2.0458724757014228</v>
      </c>
      <c r="V2248" t="str">
        <f t="shared" si="220"/>
        <v>2022/23Expenditure driversOverhead Line ClearancesDNO Baseline</v>
      </c>
    </row>
    <row r="2249" spans="1:22">
      <c r="A2249" t="s">
        <v>137</v>
      </c>
      <c r="C2249" t="s">
        <v>1344</v>
      </c>
      <c r="D2249" t="s">
        <v>88</v>
      </c>
      <c r="E2249" t="s">
        <v>1349</v>
      </c>
      <c r="F2249" t="s">
        <v>1289</v>
      </c>
      <c r="G2249" cm="1">
        <f t="array" ref="G2249:T2255">TRANSPOSE('Ch4 expenditure drivers'!W614:AC627)</f>
        <v>7.8293590054520354</v>
      </c>
      <c r="H2249">
        <v>1.6643347591527258</v>
      </c>
      <c r="I2249">
        <v>1.4265814642362995</v>
      </c>
      <c r="J2249">
        <v>5.9920880073082454</v>
      </c>
      <c r="K2249">
        <v>5.6538636642215927</v>
      </c>
      <c r="L2249">
        <v>3.9735363427166179</v>
      </c>
      <c r="M2249">
        <v>13.98833515397039</v>
      </c>
      <c r="N2249">
        <v>0</v>
      </c>
      <c r="O2249">
        <v>3.333619114812282</v>
      </c>
      <c r="P2249">
        <v>17.180338374579446</v>
      </c>
      <c r="Q2249">
        <v>11.282822977942274</v>
      </c>
      <c r="R2249">
        <v>3.8463230192092626</v>
      </c>
      <c r="S2249">
        <v>1.5310048721635261</v>
      </c>
      <c r="T2249">
        <v>10.357820662753005</v>
      </c>
      <c r="U2249">
        <f t="shared" si="222"/>
        <v>6.2900019584655498</v>
      </c>
      <c r="V2249" t="str">
        <f t="shared" si="220"/>
        <v>2015/16Expenditure driversOverhead Line ClearancesDNO Actual</v>
      </c>
    </row>
    <row r="2250" spans="1:22">
      <c r="A2250" t="s">
        <v>138</v>
      </c>
      <c r="C2250" t="s">
        <v>1344</v>
      </c>
      <c r="D2250" t="s">
        <v>88</v>
      </c>
      <c r="E2250" t="s">
        <v>1349</v>
      </c>
      <c r="F2250" t="s">
        <v>1289</v>
      </c>
      <c r="G2250">
        <v>5.1589190444212205</v>
      </c>
      <c r="H2250">
        <v>1.8226955902520832</v>
      </c>
      <c r="I2250">
        <v>0.76477700070359489</v>
      </c>
      <c r="J2250">
        <v>5.026821179507305</v>
      </c>
      <c r="K2250">
        <v>6.4441005917159773</v>
      </c>
      <c r="L2250">
        <v>4.4432355391860883</v>
      </c>
      <c r="M2250">
        <v>15.129780634887092</v>
      </c>
      <c r="N2250">
        <v>0</v>
      </c>
      <c r="O2250">
        <v>2.3092825584943633</v>
      </c>
      <c r="P2250">
        <v>7.5683632837491306</v>
      </c>
      <c r="Q2250">
        <v>7.4385605394415162</v>
      </c>
      <c r="R2250">
        <v>9.1320029513709482</v>
      </c>
      <c r="S2250">
        <v>3.3493979119184032</v>
      </c>
      <c r="T2250">
        <v>12.762958068779438</v>
      </c>
      <c r="U2250">
        <f t="shared" si="222"/>
        <v>5.8107782067447973</v>
      </c>
      <c r="V2250" t="str">
        <f t="shared" si="220"/>
        <v>2016/17Expenditure driversOverhead Line ClearancesDNO Actual</v>
      </c>
    </row>
    <row r="2251" spans="1:22">
      <c r="A2251" t="s">
        <v>139</v>
      </c>
      <c r="C2251" t="s">
        <v>1344</v>
      </c>
      <c r="D2251" t="s">
        <v>88</v>
      </c>
      <c r="E2251" t="s">
        <v>1349</v>
      </c>
      <c r="F2251" t="s">
        <v>1289</v>
      </c>
      <c r="G2251">
        <v>1.8650959415038779</v>
      </c>
      <c r="H2251">
        <v>1.1599369209092243</v>
      </c>
      <c r="I2251">
        <v>0.74712445576533992</v>
      </c>
      <c r="J2251">
        <v>2.8477655361066243</v>
      </c>
      <c r="K2251">
        <v>4.7436348814876244</v>
      </c>
      <c r="L2251">
        <v>3.4601030381072939</v>
      </c>
      <c r="M2251">
        <v>9.0639532643648053</v>
      </c>
      <c r="N2251">
        <v>0</v>
      </c>
      <c r="O2251">
        <v>1.8657486927131979</v>
      </c>
      <c r="P2251">
        <v>11.714182977178243</v>
      </c>
      <c r="Q2251">
        <v>11.965722114178178</v>
      </c>
      <c r="R2251">
        <v>7.3426814301555705</v>
      </c>
      <c r="S2251">
        <v>3.7905148420174748</v>
      </c>
      <c r="T2251">
        <v>6.8574194335819945</v>
      </c>
      <c r="U2251">
        <f t="shared" si="222"/>
        <v>4.8159916805763885</v>
      </c>
      <c r="V2251" t="str">
        <f t="shared" si="220"/>
        <v>2017/18Expenditure driversOverhead Line ClearancesDNO Actual</v>
      </c>
    </row>
    <row r="2252" spans="1:22">
      <c r="A2252" t="s">
        <v>140</v>
      </c>
      <c r="C2252" t="s">
        <v>1344</v>
      </c>
      <c r="D2252" t="s">
        <v>88</v>
      </c>
      <c r="E2252" t="s">
        <v>1349</v>
      </c>
      <c r="F2252" t="s">
        <v>1289</v>
      </c>
      <c r="G2252">
        <v>0.6117920231037246</v>
      </c>
      <c r="H2252">
        <v>0.35666495091779887</v>
      </c>
      <c r="I2252">
        <v>0.32867811938277108</v>
      </c>
      <c r="J2252">
        <v>2.3262055572027616</v>
      </c>
      <c r="K2252">
        <v>3.1092955299532665</v>
      </c>
      <c r="L2252">
        <v>3.6408741369816595</v>
      </c>
      <c r="M2252">
        <v>3.1345564968161863</v>
      </c>
      <c r="N2252">
        <v>0</v>
      </c>
      <c r="O2252">
        <v>2.161612555901975</v>
      </c>
      <c r="P2252">
        <v>14.060355556869689</v>
      </c>
      <c r="Q2252">
        <v>13.995635197445575</v>
      </c>
      <c r="R2252">
        <v>13.140820204948518</v>
      </c>
      <c r="S2252">
        <v>0.21796498843964873</v>
      </c>
      <c r="T2252">
        <v>2.7355444674835159</v>
      </c>
      <c r="U2252">
        <f>AVERAGE(G2252:T2252)</f>
        <v>4.2728571275319345</v>
      </c>
      <c r="V2252" t="str">
        <f t="shared" si="220"/>
        <v>2018/19Expenditure driversOverhead Line ClearancesDNO Actual</v>
      </c>
    </row>
    <row r="2253" spans="1:22">
      <c r="A2253" t="s">
        <v>141</v>
      </c>
      <c r="C2253" t="s">
        <v>1344</v>
      </c>
      <c r="D2253" t="s">
        <v>88</v>
      </c>
      <c r="E2253" t="s">
        <v>1349</v>
      </c>
      <c r="F2253" t="s">
        <v>1289</v>
      </c>
      <c r="G2253">
        <v>1.0020815371610985</v>
      </c>
      <c r="H2253">
        <v>0.31448397832911168</v>
      </c>
      <c r="I2253">
        <v>0.41543481308669028</v>
      </c>
      <c r="J2253">
        <v>2.5030360512245307</v>
      </c>
      <c r="K2253">
        <v>2.3959771953124465</v>
      </c>
      <c r="L2253">
        <v>4.2095542144631537</v>
      </c>
      <c r="M2253">
        <v>3.1528833066108826</v>
      </c>
      <c r="N2253">
        <v>0</v>
      </c>
      <c r="O2253">
        <v>4.6495821700081672</v>
      </c>
      <c r="P2253">
        <v>15.902179435324463</v>
      </c>
      <c r="Q2253">
        <v>17.612551075174132</v>
      </c>
      <c r="R2253">
        <v>19.84348997783535</v>
      </c>
      <c r="S2253">
        <v>0.32075032360732447</v>
      </c>
      <c r="T2253">
        <v>0.20299973528478335</v>
      </c>
      <c r="U2253">
        <f>AVERAGE(G2253:T2253)</f>
        <v>5.1803574152444378</v>
      </c>
      <c r="V2253" t="str">
        <f t="shared" si="220"/>
        <v>2019/20Expenditure driversOverhead Line ClearancesDNO Actual</v>
      </c>
    </row>
    <row r="2254" spans="1:22">
      <c r="A2254" t="s">
        <v>126</v>
      </c>
      <c r="C2254" t="s">
        <v>1344</v>
      </c>
      <c r="D2254" t="s">
        <v>88</v>
      </c>
      <c r="E2254" t="s">
        <v>1349</v>
      </c>
      <c r="F2254" t="s">
        <v>1289</v>
      </c>
      <c r="G2254">
        <v>1.5207568179386937</v>
      </c>
      <c r="H2254">
        <v>0.35467097648397011</v>
      </c>
      <c r="I2254">
        <v>0.3857177047750428</v>
      </c>
      <c r="J2254">
        <v>2.4201542117232733</v>
      </c>
      <c r="K2254">
        <v>2.4413094058816935</v>
      </c>
      <c r="L2254">
        <v>2.8146985827778104</v>
      </c>
      <c r="M2254">
        <v>2.4910241121539811</v>
      </c>
      <c r="N2254">
        <v>0</v>
      </c>
      <c r="O2254">
        <v>4.3761012297359034</v>
      </c>
      <c r="P2254">
        <v>8.070506672892618</v>
      </c>
      <c r="Q2254">
        <v>17.719291527676738</v>
      </c>
      <c r="R2254">
        <v>27.475711566159653</v>
      </c>
      <c r="S2254">
        <v>9.7497181730921562E-2</v>
      </c>
      <c r="T2254">
        <v>0.11377403857691988</v>
      </c>
      <c r="U2254">
        <f>AVERAGE(G2254:T2254)</f>
        <v>5.020086716321944</v>
      </c>
      <c r="V2254" t="str">
        <f t="shared" si="220"/>
        <v>2020/21Expenditure driversOverhead Line ClearancesDNO Actual</v>
      </c>
    </row>
    <row r="2255" spans="1:22">
      <c r="A2255" t="s">
        <v>142</v>
      </c>
      <c r="C2255" t="s">
        <v>1344</v>
      </c>
      <c r="D2255" t="s">
        <v>88</v>
      </c>
      <c r="E2255" t="s">
        <v>1349</v>
      </c>
      <c r="F2255" t="s">
        <v>1289</v>
      </c>
      <c r="G2255">
        <v>0.8731726568834669</v>
      </c>
      <c r="H2255">
        <v>0.40971120999999994</v>
      </c>
      <c r="I2255">
        <v>0.19266026999999999</v>
      </c>
      <c r="J2255">
        <v>1.5210999999999999</v>
      </c>
      <c r="K2255">
        <v>2.8340000000000001</v>
      </c>
      <c r="L2255">
        <v>2.8695000000000004</v>
      </c>
      <c r="M2255">
        <v>2.399</v>
      </c>
      <c r="N2255">
        <v>0</v>
      </c>
      <c r="O2255">
        <v>3.7838439776858745</v>
      </c>
      <c r="P2255">
        <v>8.7016486856422084</v>
      </c>
      <c r="Q2255">
        <v>4.8923183850550025</v>
      </c>
      <c r="R2255">
        <v>12.614116422907426</v>
      </c>
      <c r="S2255">
        <v>0.14152128</v>
      </c>
      <c r="T2255">
        <v>1.3499079999999998E-2</v>
      </c>
      <c r="U2255">
        <f>AVERAGE(G2255:T2255)</f>
        <v>2.9461494262981414</v>
      </c>
      <c r="V2255" t="str">
        <f t="shared" ref="V2255" si="223">CONCATENATE(A2255,B2255,C2255,D2255,E2255)</f>
        <v>2021/22Expenditure driversOverhead Line ClearancesDNO Actual</v>
      </c>
    </row>
    <row r="2256" spans="1:22">
      <c r="A2256" t="s">
        <v>137</v>
      </c>
      <c r="C2256" t="s">
        <v>1344</v>
      </c>
      <c r="D2256" t="s">
        <v>88</v>
      </c>
      <c r="E2256" t="s">
        <v>297</v>
      </c>
      <c r="F2256" t="s">
        <v>1289</v>
      </c>
      <c r="G2256">
        <f t="array" ref="G2256:T2259">TRANSPOSE('Ch4 expenditure drivers'!AF614:AI627)</f>
        <v>1.7650368381071615</v>
      </c>
      <c r="H2256">
        <v>0</v>
      </c>
      <c r="I2256">
        <v>0</v>
      </c>
      <c r="J2256">
        <v>2.3760617670110808</v>
      </c>
      <c r="K2256">
        <v>1.9269366184909102</v>
      </c>
      <c r="L2256">
        <v>1.5826488720415639</v>
      </c>
      <c r="M2256">
        <v>9.5319147861615061</v>
      </c>
      <c r="N2256">
        <v>0</v>
      </c>
      <c r="O2256">
        <v>3.8631372743471193</v>
      </c>
      <c r="P2256">
        <v>5.9646053584901031</v>
      </c>
      <c r="Q2256">
        <v>10.040198451588768</v>
      </c>
      <c r="R2256">
        <v>11.141146485933158</v>
      </c>
      <c r="S2256">
        <v>0.72558490947262722</v>
      </c>
      <c r="T2256">
        <v>0</v>
      </c>
      <c r="U2256">
        <f t="shared" si="222"/>
        <v>3.4940908115460005</v>
      </c>
      <c r="V2256" t="str">
        <f t="shared" si="220"/>
        <v>2015/16Expenditure driversOverhead Line ClearancesAllowance</v>
      </c>
    </row>
    <row r="2257" spans="1:22">
      <c r="A2257" t="s">
        <v>137</v>
      </c>
      <c r="C2257" t="s">
        <v>1344</v>
      </c>
      <c r="D2257" t="s">
        <v>88</v>
      </c>
      <c r="E2257" t="s">
        <v>298</v>
      </c>
      <c r="F2257" t="s">
        <v>1289</v>
      </c>
      <c r="G2257">
        <v>7.8293590054520354</v>
      </c>
      <c r="H2257">
        <v>1.6643347591527258</v>
      </c>
      <c r="I2257">
        <v>1.4265814642362995</v>
      </c>
      <c r="J2257">
        <v>5.9920880073082454</v>
      </c>
      <c r="K2257">
        <v>5.6538636642215927</v>
      </c>
      <c r="L2257">
        <v>3.9735363427166179</v>
      </c>
      <c r="M2257">
        <v>13.98833515397039</v>
      </c>
      <c r="N2257">
        <v>0</v>
      </c>
      <c r="O2257">
        <v>3.333619114812282</v>
      </c>
      <c r="P2257">
        <v>17.180338374579446</v>
      </c>
      <c r="Q2257">
        <v>11.282822977942274</v>
      </c>
      <c r="R2257">
        <v>3.8463230192092626</v>
      </c>
      <c r="S2257">
        <v>1.5310048721635261</v>
      </c>
      <c r="T2257">
        <v>10.357820662753005</v>
      </c>
      <c r="U2257">
        <f t="shared" si="222"/>
        <v>6.2900019584655498</v>
      </c>
      <c r="V2257" t="str">
        <f t="shared" si="220"/>
        <v>2015/16Expenditure driversOverhead Line ClearancesActual</v>
      </c>
    </row>
    <row r="2258" spans="1:22">
      <c r="A2258" t="s">
        <v>137</v>
      </c>
      <c r="C2258" t="s">
        <v>1344</v>
      </c>
      <c r="D2258" t="s">
        <v>88</v>
      </c>
      <c r="E2258" t="s">
        <v>602</v>
      </c>
      <c r="F2258" t="s">
        <v>1289</v>
      </c>
      <c r="G2258">
        <v>6.0643221673448737</v>
      </c>
      <c r="H2258">
        <v>1.6643347591527258</v>
      </c>
      <c r="I2258">
        <v>1.4265814642362995</v>
      </c>
      <c r="J2258">
        <v>3.6160262402971646</v>
      </c>
      <c r="K2258">
        <v>3.7269270457306822</v>
      </c>
      <c r="L2258">
        <v>2.3908874706750538</v>
      </c>
      <c r="M2258">
        <v>4.4564203678088834</v>
      </c>
      <c r="N2258">
        <v>0</v>
      </c>
      <c r="O2258">
        <v>-0.52951815953483727</v>
      </c>
      <c r="P2258">
        <v>11.215733016089342</v>
      </c>
      <c r="Q2258">
        <v>1.2426245263535058</v>
      </c>
      <c r="R2258">
        <v>-7.2948234667238951</v>
      </c>
      <c r="S2258">
        <v>0.80541996269089888</v>
      </c>
      <c r="T2258">
        <v>10.357820662753005</v>
      </c>
      <c r="U2258">
        <f>U2257-U2256</f>
        <v>2.7959111469195492</v>
      </c>
      <c r="V2258" t="str">
        <f t="shared" si="220"/>
        <v>2015/16Expenditure driversOverhead Line ClearancesDifference</v>
      </c>
    </row>
    <row r="2259" spans="1:22">
      <c r="A2259" t="s">
        <v>137</v>
      </c>
      <c r="C2259" t="s">
        <v>1344</v>
      </c>
      <c r="D2259" t="s">
        <v>88</v>
      </c>
      <c r="E2259" t="s">
        <v>1346</v>
      </c>
      <c r="F2259" t="s">
        <v>606</v>
      </c>
      <c r="G2259" s="829">
        <v>3.4358048718395575</v>
      </c>
      <c r="H2259" s="829" t="e">
        <v>#DIV/0!</v>
      </c>
      <c r="I2259" s="829" t="e">
        <v>#DIV/0!</v>
      </c>
      <c r="J2259" s="829">
        <v>1.5218570032570626</v>
      </c>
      <c r="K2259" s="829">
        <v>1.9341202040415024</v>
      </c>
      <c r="L2259" s="829">
        <v>1.510687249023777</v>
      </c>
      <c r="M2259" s="829">
        <v>0.46752624921476876</v>
      </c>
      <c r="N2259" s="829" t="e">
        <v>#DIV/0!</v>
      </c>
      <c r="O2259" s="829">
        <v>-0.13706946503067957</v>
      </c>
      <c r="P2259" s="829">
        <v>1.8803814069818903</v>
      </c>
      <c r="Q2259" s="829">
        <v>0.12376493675350332</v>
      </c>
      <c r="R2259" s="829">
        <v>-0.65476416416697858</v>
      </c>
      <c r="S2259" s="829">
        <v>1.1100285468675164</v>
      </c>
      <c r="T2259" s="829" t="e">
        <v>#DIV/0!</v>
      </c>
      <c r="U2259" s="829">
        <f>U2258/U2256</f>
        <v>0.8001827364305012</v>
      </c>
      <c r="V2259" t="str">
        <f t="shared" si="220"/>
        <v>2015/16Expenditure driversOverhead Line ClearancesDifference %</v>
      </c>
    </row>
    <row r="2260" spans="1:22">
      <c r="A2260" t="s">
        <v>138</v>
      </c>
      <c r="C2260" t="s">
        <v>1344</v>
      </c>
      <c r="D2260" t="s">
        <v>88</v>
      </c>
      <c r="E2260" t="s">
        <v>297</v>
      </c>
      <c r="F2260" t="s">
        <v>1289</v>
      </c>
      <c r="G2260">
        <f t="array" ref="G2260:T2263">TRANSPOSE('Ch4 expenditure drivers'!AK614:AN627)</f>
        <v>0.62792903153269641</v>
      </c>
      <c r="H2260">
        <v>0</v>
      </c>
      <c r="I2260">
        <v>0</v>
      </c>
      <c r="J2260">
        <v>2.3780573419998601</v>
      </c>
      <c r="K2260">
        <v>1.9289774863048805</v>
      </c>
      <c r="L2260">
        <v>1.5846576268264698</v>
      </c>
      <c r="M2260">
        <v>9.5433476745388788</v>
      </c>
      <c r="N2260">
        <v>0</v>
      </c>
      <c r="O2260">
        <v>4.2003295886549301</v>
      </c>
      <c r="P2260">
        <v>6.0386312442416541</v>
      </c>
      <c r="Q2260">
        <v>10.00987463172395</v>
      </c>
      <c r="R2260">
        <v>12.122576673205357</v>
      </c>
      <c r="S2260">
        <v>0.7185864715200152</v>
      </c>
      <c r="T2260">
        <v>0</v>
      </c>
      <c r="U2260">
        <f t="shared" si="222"/>
        <v>3.5109262693249064</v>
      </c>
      <c r="V2260" t="str">
        <f t="shared" si="220"/>
        <v>2016/17Expenditure driversOverhead Line ClearancesAllowance</v>
      </c>
    </row>
    <row r="2261" spans="1:22">
      <c r="A2261" t="s">
        <v>138</v>
      </c>
      <c r="C2261" t="s">
        <v>1344</v>
      </c>
      <c r="D2261" t="s">
        <v>88</v>
      </c>
      <c r="E2261" t="s">
        <v>298</v>
      </c>
      <c r="F2261" t="s">
        <v>1289</v>
      </c>
      <c r="G2261">
        <v>5.1589190444212205</v>
      </c>
      <c r="H2261">
        <v>1.8226955902520832</v>
      </c>
      <c r="I2261">
        <v>0.76477700070359489</v>
      </c>
      <c r="J2261">
        <v>5.026821179507305</v>
      </c>
      <c r="K2261">
        <v>6.4441005917159773</v>
      </c>
      <c r="L2261">
        <v>4.4432355391860883</v>
      </c>
      <c r="M2261">
        <v>15.129780634887092</v>
      </c>
      <c r="N2261">
        <v>0</v>
      </c>
      <c r="O2261">
        <v>2.3092825584943633</v>
      </c>
      <c r="P2261">
        <v>7.5683632837491306</v>
      </c>
      <c r="Q2261">
        <v>7.4385605394415162</v>
      </c>
      <c r="R2261">
        <v>9.1320029513709482</v>
      </c>
      <c r="S2261">
        <v>3.3493979119184032</v>
      </c>
      <c r="T2261">
        <v>12.762958068779438</v>
      </c>
      <c r="U2261">
        <f t="shared" si="222"/>
        <v>5.8107782067447973</v>
      </c>
      <c r="V2261" t="str">
        <f t="shared" si="220"/>
        <v>2016/17Expenditure driversOverhead Line ClearancesActual</v>
      </c>
    </row>
    <row r="2262" spans="1:22">
      <c r="A2262" t="s">
        <v>138</v>
      </c>
      <c r="C2262" t="s">
        <v>1344</v>
      </c>
      <c r="D2262" t="s">
        <v>88</v>
      </c>
      <c r="E2262" t="s">
        <v>602</v>
      </c>
      <c r="F2262" t="s">
        <v>1289</v>
      </c>
      <c r="G2262">
        <v>4.5309900128885241</v>
      </c>
      <c r="H2262">
        <v>1.8226955902520832</v>
      </c>
      <c r="I2262">
        <v>0.76477700070359489</v>
      </c>
      <c r="J2262">
        <v>2.6487638375074449</v>
      </c>
      <c r="K2262">
        <v>4.5151231054110967</v>
      </c>
      <c r="L2262">
        <v>2.8585779123596184</v>
      </c>
      <c r="M2262">
        <v>5.5864329603482137</v>
      </c>
      <c r="N2262">
        <v>0</v>
      </c>
      <c r="O2262">
        <v>-1.8910470301605669</v>
      </c>
      <c r="P2262">
        <v>1.5297320395074765</v>
      </c>
      <c r="Q2262">
        <v>-2.5713140922824334</v>
      </c>
      <c r="R2262">
        <v>-2.9905737218344086</v>
      </c>
      <c r="S2262">
        <v>2.630811440398388</v>
      </c>
      <c r="T2262">
        <v>12.762958068779438</v>
      </c>
      <c r="U2262">
        <f>U2261-U2260</f>
        <v>2.2998519374198909</v>
      </c>
      <c r="V2262" t="str">
        <f t="shared" si="220"/>
        <v>2016/17Expenditure driversOverhead Line ClearancesDifference</v>
      </c>
    </row>
    <row r="2263" spans="1:22">
      <c r="A2263" t="s">
        <v>138</v>
      </c>
      <c r="C2263" t="s">
        <v>1344</v>
      </c>
      <c r="D2263" t="s">
        <v>88</v>
      </c>
      <c r="E2263" t="s">
        <v>1346</v>
      </c>
      <c r="F2263" t="s">
        <v>606</v>
      </c>
      <c r="G2263" s="829">
        <v>7.2157676829003154</v>
      </c>
      <c r="H2263" s="829" t="e">
        <v>#DIV/0!</v>
      </c>
      <c r="I2263" s="829" t="e">
        <v>#DIV/0!</v>
      </c>
      <c r="J2263" s="829">
        <v>1.1138351421248449</v>
      </c>
      <c r="K2263" s="829">
        <v>2.3406821165446554</v>
      </c>
      <c r="L2263" s="829">
        <v>1.8039088469124889</v>
      </c>
      <c r="M2263" s="829">
        <v>0.58537456151288569</v>
      </c>
      <c r="N2263" s="829" t="e">
        <v>#DIV/0!</v>
      </c>
      <c r="O2263" s="829">
        <v>-0.45021396303477607</v>
      </c>
      <c r="P2263" s="829">
        <v>0.25332430109326604</v>
      </c>
      <c r="Q2263" s="829">
        <v>-0.25687775190842616</v>
      </c>
      <c r="R2263" s="829">
        <v>-0.24669456027813802</v>
      </c>
      <c r="S2263" s="829">
        <v>3.66109235932799</v>
      </c>
      <c r="T2263" s="829" t="e">
        <v>#DIV/0!</v>
      </c>
      <c r="U2263" s="829">
        <f>U2262/U2260</f>
        <v>0.65505560669666663</v>
      </c>
      <c r="V2263" t="str">
        <f t="shared" si="220"/>
        <v>2016/17Expenditure driversOverhead Line ClearancesDifference %</v>
      </c>
    </row>
    <row r="2264" spans="1:22">
      <c r="A2264" t="s">
        <v>139</v>
      </c>
      <c r="C2264" t="s">
        <v>1344</v>
      </c>
      <c r="D2264" t="s">
        <v>88</v>
      </c>
      <c r="E2264" t="s">
        <v>297</v>
      </c>
      <c r="F2264" t="s">
        <v>1289</v>
      </c>
      <c r="G2264">
        <f t="array" ref="G2264:T2267">TRANSPOSE('Ch4 expenditure drivers'!AP614:AS627)</f>
        <v>0.68437120710648547</v>
      </c>
      <c r="H2264">
        <v>0</v>
      </c>
      <c r="I2264">
        <v>0</v>
      </c>
      <c r="J2264">
        <v>2.3734346665429462</v>
      </c>
      <c r="K2264">
        <v>1.9253179585191427</v>
      </c>
      <c r="L2264">
        <v>1.5804744203349679</v>
      </c>
      <c r="M2264">
        <v>9.5062205797365387</v>
      </c>
      <c r="N2264">
        <v>0</v>
      </c>
      <c r="O2264">
        <v>3.8107645007380198</v>
      </c>
      <c r="P2264">
        <v>6.1739221764010646</v>
      </c>
      <c r="Q2264">
        <v>9.9798273630788685</v>
      </c>
      <c r="R2264">
        <v>11.353672998199606</v>
      </c>
      <c r="S2264">
        <v>0.28964368188587369</v>
      </c>
      <c r="T2264">
        <v>0</v>
      </c>
      <c r="U2264">
        <f t="shared" si="222"/>
        <v>3.405546396610251</v>
      </c>
      <c r="V2264" t="str">
        <f t="shared" si="220"/>
        <v>2017/18Expenditure driversOverhead Line ClearancesAllowance</v>
      </c>
    </row>
    <row r="2265" spans="1:22">
      <c r="A2265" t="s">
        <v>139</v>
      </c>
      <c r="C2265" t="s">
        <v>1344</v>
      </c>
      <c r="D2265" t="s">
        <v>88</v>
      </c>
      <c r="E2265" t="s">
        <v>298</v>
      </c>
      <c r="F2265" t="s">
        <v>1289</v>
      </c>
      <c r="G2265">
        <v>1.8650959415038779</v>
      </c>
      <c r="H2265">
        <v>1.1599369209092243</v>
      </c>
      <c r="I2265">
        <v>0.74712445576533992</v>
      </c>
      <c r="J2265">
        <v>2.8477655361066243</v>
      </c>
      <c r="K2265">
        <v>4.7436348814876244</v>
      </c>
      <c r="L2265">
        <v>3.4601030381072939</v>
      </c>
      <c r="M2265">
        <v>9.0639532643648053</v>
      </c>
      <c r="N2265">
        <v>0</v>
      </c>
      <c r="O2265">
        <v>1.8657486927131979</v>
      </c>
      <c r="P2265">
        <v>11.714182977178243</v>
      </c>
      <c r="Q2265">
        <v>11.965722114178178</v>
      </c>
      <c r="R2265">
        <v>7.3426814301555705</v>
      </c>
      <c r="S2265">
        <v>3.7905148420174748</v>
      </c>
      <c r="T2265">
        <v>6.8574194335819945</v>
      </c>
      <c r="U2265">
        <f t="shared" si="222"/>
        <v>4.8159916805763885</v>
      </c>
      <c r="V2265" t="str">
        <f t="shared" si="220"/>
        <v>2017/18Expenditure driversOverhead Line ClearancesActual</v>
      </c>
    </row>
    <row r="2266" spans="1:22">
      <c r="A2266" t="s">
        <v>139</v>
      </c>
      <c r="C2266" t="s">
        <v>1344</v>
      </c>
      <c r="D2266" t="s">
        <v>88</v>
      </c>
      <c r="E2266" t="s">
        <v>602</v>
      </c>
      <c r="F2266" t="s">
        <v>1289</v>
      </c>
      <c r="G2266">
        <v>1.1807247343973923</v>
      </c>
      <c r="H2266">
        <v>1.1599369209092243</v>
      </c>
      <c r="I2266">
        <v>0.74712445576533992</v>
      </c>
      <c r="J2266">
        <v>0.47433086956367809</v>
      </c>
      <c r="K2266">
        <v>2.8183169229684815</v>
      </c>
      <c r="L2266">
        <v>1.879628617772326</v>
      </c>
      <c r="M2266">
        <v>-0.44226731537173336</v>
      </c>
      <c r="N2266">
        <v>0</v>
      </c>
      <c r="O2266">
        <v>-1.9450158080248219</v>
      </c>
      <c r="P2266">
        <v>5.5402608007771788</v>
      </c>
      <c r="Q2266">
        <v>1.985894751099309</v>
      </c>
      <c r="R2266">
        <v>-4.0109915680440356</v>
      </c>
      <c r="S2266">
        <v>3.5008711601316009</v>
      </c>
      <c r="T2266">
        <v>6.8574194335819945</v>
      </c>
      <c r="U2266">
        <f>U2265-U2264</f>
        <v>1.4104452839661374</v>
      </c>
      <c r="V2266" t="str">
        <f t="shared" si="220"/>
        <v>2017/18Expenditure driversOverhead Line ClearancesDifference</v>
      </c>
    </row>
    <row r="2267" spans="1:22">
      <c r="A2267" t="s">
        <v>139</v>
      </c>
      <c r="C2267" t="s">
        <v>1344</v>
      </c>
      <c r="D2267" t="s">
        <v>88</v>
      </c>
      <c r="E2267" t="s">
        <v>1346</v>
      </c>
      <c r="F2267" t="s">
        <v>606</v>
      </c>
      <c r="G2267" s="829">
        <v>1.7252694475407353</v>
      </c>
      <c r="H2267" s="829" t="e">
        <v>#DIV/0!</v>
      </c>
      <c r="I2267" s="829" t="e">
        <v>#DIV/0!</v>
      </c>
      <c r="J2267" s="829">
        <v>0.19984997954654898</v>
      </c>
      <c r="K2267" s="829">
        <v>1.4638189554603172</v>
      </c>
      <c r="L2267" s="829">
        <v>1.1892812649090234</v>
      </c>
      <c r="M2267" s="829">
        <v>-4.6523990439951549E-2</v>
      </c>
      <c r="N2267" s="829" t="e">
        <v>#DIV/0!</v>
      </c>
      <c r="O2267" s="829">
        <v>-0.51040042166030897</v>
      </c>
      <c r="P2267" s="829">
        <v>0.89736485859087023</v>
      </c>
      <c r="Q2267" s="829">
        <v>0.19899089221185107</v>
      </c>
      <c r="R2267" s="829">
        <v>-0.3532770028412896</v>
      </c>
      <c r="S2267" s="829">
        <v>12.086820390271884</v>
      </c>
      <c r="T2267" s="829" t="e">
        <v>#DIV/0!</v>
      </c>
      <c r="U2267" s="829">
        <f>U2266/U2264</f>
        <v>0.41416122986021864</v>
      </c>
      <c r="V2267" t="str">
        <f t="shared" si="220"/>
        <v>2017/18Expenditure driversOverhead Line ClearancesDifference %</v>
      </c>
    </row>
    <row r="2268" spans="1:22">
      <c r="A2268" t="s">
        <v>140</v>
      </c>
      <c r="C2268" t="s">
        <v>1344</v>
      </c>
      <c r="D2268" t="s">
        <v>88</v>
      </c>
      <c r="E2268" t="s">
        <v>297</v>
      </c>
      <c r="F2268" t="s">
        <v>1289</v>
      </c>
      <c r="G2268">
        <f t="array" ref="G2268:T2271">TRANSPOSE('Ch4 expenditure drivers'!AU614:AX627)</f>
        <v>0.65248415736551002</v>
      </c>
      <c r="H2268">
        <v>0</v>
      </c>
      <c r="I2268">
        <v>0</v>
      </c>
      <c r="J2268">
        <v>2.3796348323305856</v>
      </c>
      <c r="K2268">
        <v>1.9281428203516287</v>
      </c>
      <c r="L2268">
        <v>1.5817304564717916</v>
      </c>
      <c r="M2268">
        <v>3.1435962043261925</v>
      </c>
      <c r="N2268">
        <v>0</v>
      </c>
      <c r="O2268">
        <v>3.7695369983503659</v>
      </c>
      <c r="P2268">
        <v>6.3701813173465665</v>
      </c>
      <c r="Q2268">
        <v>9.653622939477275</v>
      </c>
      <c r="R2268">
        <v>10.637137363318683</v>
      </c>
      <c r="S2268">
        <v>0.28791765274763936</v>
      </c>
      <c r="T2268">
        <v>0</v>
      </c>
      <c r="U2268">
        <f>AVERAGE(G2268:T2268)</f>
        <v>2.8859989101490169</v>
      </c>
      <c r="V2268" t="str">
        <f t="shared" si="220"/>
        <v>2018/19Expenditure driversOverhead Line ClearancesAllowance</v>
      </c>
    </row>
    <row r="2269" spans="1:22">
      <c r="A2269" t="s">
        <v>140</v>
      </c>
      <c r="C2269" t="s">
        <v>1344</v>
      </c>
      <c r="D2269" t="s">
        <v>88</v>
      </c>
      <c r="E2269" t="s">
        <v>298</v>
      </c>
      <c r="F2269" t="s">
        <v>1289</v>
      </c>
      <c r="G2269">
        <v>0.6117920231037246</v>
      </c>
      <c r="H2269">
        <v>0.35666495091779887</v>
      </c>
      <c r="I2269">
        <v>0.32867811938277108</v>
      </c>
      <c r="J2269">
        <v>2.3262055572027616</v>
      </c>
      <c r="K2269">
        <v>3.1092955299532665</v>
      </c>
      <c r="L2269">
        <v>3.6408741369816595</v>
      </c>
      <c r="M2269">
        <v>3.1345564968161863</v>
      </c>
      <c r="N2269">
        <v>0</v>
      </c>
      <c r="O2269">
        <v>2.161612555901975</v>
      </c>
      <c r="P2269">
        <v>14.060355556869689</v>
      </c>
      <c r="Q2269">
        <v>13.995635197445575</v>
      </c>
      <c r="R2269">
        <v>13.140820204948518</v>
      </c>
      <c r="S2269">
        <v>0.21796498843964873</v>
      </c>
      <c r="T2269">
        <v>2.7355444674835159</v>
      </c>
      <c r="U2269">
        <f>AVERAGE(G2269:T2269)</f>
        <v>4.2728571275319345</v>
      </c>
      <c r="V2269" t="str">
        <f t="shared" si="220"/>
        <v>2018/19Expenditure driversOverhead Line ClearancesActual</v>
      </c>
    </row>
    <row r="2270" spans="1:22">
      <c r="A2270" t="s">
        <v>140</v>
      </c>
      <c r="C2270" t="s">
        <v>1344</v>
      </c>
      <c r="D2270" t="s">
        <v>88</v>
      </c>
      <c r="E2270" t="s">
        <v>602</v>
      </c>
      <c r="F2270" t="s">
        <v>1289</v>
      </c>
      <c r="G2270">
        <v>-4.0692134261785418E-2</v>
      </c>
      <c r="H2270">
        <v>0.35666495091779887</v>
      </c>
      <c r="I2270">
        <v>0.32867811938277108</v>
      </c>
      <c r="J2270">
        <v>-5.3429275127824027E-2</v>
      </c>
      <c r="K2270">
        <v>1.1811527096016379</v>
      </c>
      <c r="L2270">
        <v>2.0591436805098677</v>
      </c>
      <c r="M2270">
        <v>-9.0397075100061564E-3</v>
      </c>
      <c r="N2270">
        <v>0</v>
      </c>
      <c r="O2270">
        <v>-1.6079244424483909</v>
      </c>
      <c r="P2270">
        <v>7.690174239523123</v>
      </c>
      <c r="Q2270">
        <v>4.3420122579682996</v>
      </c>
      <c r="R2270">
        <v>2.5036828416298356</v>
      </c>
      <c r="S2270">
        <v>-6.9952664307990631E-2</v>
      </c>
      <c r="T2270">
        <v>2.7355444674835159</v>
      </c>
      <c r="U2270">
        <f>U2269-U2268</f>
        <v>1.3868582173829176</v>
      </c>
      <c r="V2270" t="str">
        <f t="shared" si="220"/>
        <v>2018/19Expenditure driversOverhead Line ClearancesDifference</v>
      </c>
    </row>
    <row r="2271" spans="1:22">
      <c r="A2271" t="s">
        <v>140</v>
      </c>
      <c r="C2271" t="s">
        <v>1344</v>
      </c>
      <c r="D2271" t="s">
        <v>88</v>
      </c>
      <c r="E2271" t="s">
        <v>1346</v>
      </c>
      <c r="F2271" t="s">
        <v>606</v>
      </c>
      <c r="G2271" s="829">
        <v>-6.2364938370435268E-2</v>
      </c>
      <c r="H2271" s="829" t="e">
        <v>#DIV/0!</v>
      </c>
      <c r="I2271" s="829" t="e">
        <v>#DIV/0!</v>
      </c>
      <c r="J2271" s="829">
        <v>-2.2452720224933016E-2</v>
      </c>
      <c r="K2271" s="829">
        <v>0.61258569496746884</v>
      </c>
      <c r="L2271" s="829">
        <v>1.301829696763249</v>
      </c>
      <c r="M2271" s="829">
        <v>-2.8755943583230509E-3</v>
      </c>
      <c r="N2271" s="829" t="e">
        <v>#DIV/0!</v>
      </c>
      <c r="O2271" s="829">
        <v>-0.42655754357950454</v>
      </c>
      <c r="P2271" s="829">
        <v>1.2072143407570046</v>
      </c>
      <c r="Q2271" s="829">
        <v>0.44978059379263585</v>
      </c>
      <c r="R2271" s="829">
        <v>0.23537186332326454</v>
      </c>
      <c r="S2271" s="829">
        <v>-0.24296066476099101</v>
      </c>
      <c r="T2271" s="829" t="e">
        <v>#DIV/0!</v>
      </c>
      <c r="U2271" s="829">
        <f>U2270/U2268</f>
        <v>0.4805470343408092</v>
      </c>
      <c r="V2271" t="str">
        <f t="shared" si="220"/>
        <v>2018/19Expenditure driversOverhead Line ClearancesDifference %</v>
      </c>
    </row>
    <row r="2272" spans="1:22">
      <c r="A2272" t="s">
        <v>141</v>
      </c>
      <c r="C2272" t="s">
        <v>1344</v>
      </c>
      <c r="D2272" t="s">
        <v>88</v>
      </c>
      <c r="E2272" t="s">
        <v>297</v>
      </c>
      <c r="F2272" t="s">
        <v>1289</v>
      </c>
      <c r="G2272" s="229">
        <f t="array" ref="G2272:T2275">TRANSPOSE('Ch4 expenditure drivers'!AZ614:BC627)</f>
        <v>0.68184518001507133</v>
      </c>
      <c r="H2272" s="229">
        <v>0</v>
      </c>
      <c r="I2272" s="229">
        <v>0</v>
      </c>
      <c r="J2272" s="229">
        <v>2.3830422656332528</v>
      </c>
      <c r="K2272" s="229">
        <v>1.9315403892823542</v>
      </c>
      <c r="L2272" s="229">
        <v>1.5826236278993278</v>
      </c>
      <c r="M2272" s="229">
        <v>3.1458993602882082</v>
      </c>
      <c r="N2272" s="229">
        <v>0</v>
      </c>
      <c r="O2272" s="229">
        <v>3.6717593859726803</v>
      </c>
      <c r="P2272" s="229">
        <v>6.1596054757803937</v>
      </c>
      <c r="Q2272" s="229">
        <v>9.4313776869326187</v>
      </c>
      <c r="R2272" s="229">
        <v>10.43189647621578</v>
      </c>
      <c r="S2272" s="229">
        <v>0.28792232892249658</v>
      </c>
      <c r="T2272" s="229">
        <v>0</v>
      </c>
      <c r="U2272" s="229">
        <f>AVERAGE(G2272:T2272)</f>
        <v>2.8362508697815842</v>
      </c>
      <c r="V2272" t="str">
        <f t="shared" si="220"/>
        <v>2019/20Expenditure driversOverhead Line ClearancesAllowance</v>
      </c>
    </row>
    <row r="2273" spans="1:22">
      <c r="A2273" t="s">
        <v>141</v>
      </c>
      <c r="C2273" t="s">
        <v>1344</v>
      </c>
      <c r="D2273" t="s">
        <v>88</v>
      </c>
      <c r="E2273" t="s">
        <v>298</v>
      </c>
      <c r="F2273" t="s">
        <v>1289</v>
      </c>
      <c r="G2273" s="229">
        <v>1.0020815371610985</v>
      </c>
      <c r="H2273" s="229">
        <v>0.31448397832911168</v>
      </c>
      <c r="I2273" s="229">
        <v>0.41543481308669028</v>
      </c>
      <c r="J2273" s="229">
        <v>2.5030360512245307</v>
      </c>
      <c r="K2273" s="229">
        <v>2.3959771953124465</v>
      </c>
      <c r="L2273" s="229">
        <v>4.2095542144631537</v>
      </c>
      <c r="M2273" s="229">
        <v>3.1528833066108826</v>
      </c>
      <c r="N2273" s="229">
        <v>0</v>
      </c>
      <c r="O2273" s="229">
        <v>4.6495821700081672</v>
      </c>
      <c r="P2273" s="229">
        <v>15.902179435324463</v>
      </c>
      <c r="Q2273" s="229">
        <v>17.612551075174132</v>
      </c>
      <c r="R2273" s="229">
        <v>19.84348997783535</v>
      </c>
      <c r="S2273" s="229">
        <v>0.32075032360732447</v>
      </c>
      <c r="T2273" s="229">
        <v>0.20299973528478335</v>
      </c>
      <c r="U2273" s="229">
        <f>AVERAGE(G2273:T2273)</f>
        <v>5.1803574152444378</v>
      </c>
      <c r="V2273" t="str">
        <f t="shared" si="220"/>
        <v>2019/20Expenditure driversOverhead Line ClearancesActual</v>
      </c>
    </row>
    <row r="2274" spans="1:22">
      <c r="A2274" t="s">
        <v>141</v>
      </c>
      <c r="C2274" t="s">
        <v>1344</v>
      </c>
      <c r="D2274" t="s">
        <v>88</v>
      </c>
      <c r="E2274" t="s">
        <v>602</v>
      </c>
      <c r="F2274" t="s">
        <v>1289</v>
      </c>
      <c r="G2274" s="229">
        <v>0.32023635714602716</v>
      </c>
      <c r="H2274" s="229">
        <v>0.31448397832911168</v>
      </c>
      <c r="I2274" s="229">
        <v>0.41543481308669028</v>
      </c>
      <c r="J2274" s="229">
        <v>0.11999378559127782</v>
      </c>
      <c r="K2274" s="229">
        <v>0.4644368060300923</v>
      </c>
      <c r="L2274" s="229">
        <v>2.6269305865638257</v>
      </c>
      <c r="M2274" s="229">
        <v>6.9839463226744058E-3</v>
      </c>
      <c r="N2274" s="229">
        <v>0</v>
      </c>
      <c r="O2274" s="229">
        <v>0.97782278403548695</v>
      </c>
      <c r="P2274" s="229">
        <v>9.7425739595440692</v>
      </c>
      <c r="Q2274" s="229">
        <v>8.181173388241513</v>
      </c>
      <c r="R2274" s="229">
        <v>9.4115935016195706</v>
      </c>
      <c r="S2274" s="229">
        <v>3.2827994684827888E-2</v>
      </c>
      <c r="T2274" s="229">
        <v>0.20299973528478335</v>
      </c>
      <c r="U2274" s="229">
        <f>U2273-U2272</f>
        <v>2.3441065454628536</v>
      </c>
      <c r="V2274" t="str">
        <f t="shared" si="220"/>
        <v>2019/20Expenditure driversOverhead Line ClearancesDifference</v>
      </c>
    </row>
    <row r="2275" spans="1:22">
      <c r="A2275" t="s">
        <v>141</v>
      </c>
      <c r="C2275" t="s">
        <v>1344</v>
      </c>
      <c r="D2275" t="s">
        <v>88</v>
      </c>
      <c r="E2275" t="s">
        <v>1346</v>
      </c>
      <c r="F2275" t="s">
        <v>606</v>
      </c>
      <c r="G2275" s="829">
        <v>0.46966139313172051</v>
      </c>
      <c r="H2275" s="829" t="e">
        <v>#DIV/0!</v>
      </c>
      <c r="I2275" s="829" t="e">
        <v>#DIV/0!</v>
      </c>
      <c r="J2275" s="829">
        <v>5.0353192354895777E-2</v>
      </c>
      <c r="K2275" s="829">
        <v>0.24044892284269007</v>
      </c>
      <c r="L2275" s="829">
        <v>1.6598580611681146</v>
      </c>
      <c r="M2275" s="829">
        <v>2.2200158119599156E-3</v>
      </c>
      <c r="N2275" s="829" t="e">
        <v>#DIV/0!</v>
      </c>
      <c r="O2275" s="829">
        <v>0.26630905820547207</v>
      </c>
      <c r="P2275" s="829">
        <v>1.5816879827534296</v>
      </c>
      <c r="Q2275" s="829">
        <v>0.86744202806942072</v>
      </c>
      <c r="R2275" s="829">
        <v>0.90219391297426599</v>
      </c>
      <c r="S2275" s="829">
        <v>0.11401684199930386</v>
      </c>
      <c r="T2275" s="829" t="e">
        <v>#DIV/0!</v>
      </c>
      <c r="U2275" s="829">
        <f>U2274/U2272</f>
        <v>0.82648067927904068</v>
      </c>
      <c r="V2275" t="str">
        <f t="shared" si="220"/>
        <v>2019/20Expenditure driversOverhead Line ClearancesDifference %</v>
      </c>
    </row>
    <row r="2276" spans="1:22">
      <c r="A2276" t="s">
        <v>126</v>
      </c>
      <c r="C2276" t="s">
        <v>1344</v>
      </c>
      <c r="D2276" t="s">
        <v>88</v>
      </c>
      <c r="E2276" t="s">
        <v>297</v>
      </c>
      <c r="F2276" t="s">
        <v>1289</v>
      </c>
      <c r="G2276" s="229" cm="1">
        <f t="array" ref="G2276:T2279">TRANSPOSE('Ch4 expenditure drivers'!BE614:BH627)</f>
        <v>0.68019716411676279</v>
      </c>
      <c r="H2276" s="229">
        <v>0</v>
      </c>
      <c r="I2276" s="229">
        <v>0</v>
      </c>
      <c r="J2276" s="229">
        <v>2.3907239260881634</v>
      </c>
      <c r="K2276" s="229">
        <v>1.9360242523326354</v>
      </c>
      <c r="L2276" s="229">
        <v>1.5869094163140043</v>
      </c>
      <c r="M2276" s="229">
        <v>3.1521588259574904</v>
      </c>
      <c r="N2276" s="229">
        <v>0</v>
      </c>
      <c r="O2276" s="229">
        <v>3.6069400077368208</v>
      </c>
      <c r="P2276" s="229">
        <v>5.7023243910319819</v>
      </c>
      <c r="Q2276" s="229">
        <v>9.2322206251415171</v>
      </c>
      <c r="R2276" s="229">
        <v>10.485086076551944</v>
      </c>
      <c r="S2276" s="229">
        <v>0.28501144670345163</v>
      </c>
      <c r="T2276" s="229">
        <v>0</v>
      </c>
      <c r="U2276" s="229">
        <f>AVERAGE(G2276:T2276)</f>
        <v>2.7898282951410551</v>
      </c>
      <c r="V2276" t="str">
        <f t="shared" si="220"/>
        <v>2020/21Expenditure driversOverhead Line ClearancesAllowance</v>
      </c>
    </row>
    <row r="2277" spans="1:22">
      <c r="A2277" t="s">
        <v>126</v>
      </c>
      <c r="C2277" t="s">
        <v>1344</v>
      </c>
      <c r="D2277" t="s">
        <v>88</v>
      </c>
      <c r="E2277" t="s">
        <v>298</v>
      </c>
      <c r="F2277" t="s">
        <v>1289</v>
      </c>
      <c r="G2277" s="229">
        <v>1.5207568179386937</v>
      </c>
      <c r="H2277" s="229">
        <v>0.35467097648397011</v>
      </c>
      <c r="I2277" s="229">
        <v>0.3857177047750428</v>
      </c>
      <c r="J2277" s="229">
        <v>2.4201542117232733</v>
      </c>
      <c r="K2277" s="229">
        <v>2.4413094058816935</v>
      </c>
      <c r="L2277" s="229">
        <v>2.8146985827778104</v>
      </c>
      <c r="M2277" s="229">
        <v>2.4910241121539811</v>
      </c>
      <c r="N2277" s="229">
        <v>0</v>
      </c>
      <c r="O2277" s="229">
        <v>4.3761012297359034</v>
      </c>
      <c r="P2277" s="229">
        <v>8.070506672892618</v>
      </c>
      <c r="Q2277" s="229">
        <v>17.719291527676738</v>
      </c>
      <c r="R2277" s="229">
        <v>27.475711566159653</v>
      </c>
      <c r="S2277" s="229">
        <v>9.7497181730921562E-2</v>
      </c>
      <c r="T2277" s="229">
        <v>0.11377403857691988</v>
      </c>
      <c r="U2277" s="229">
        <f>AVERAGE(G2277:T2277)</f>
        <v>5.020086716321944</v>
      </c>
      <c r="V2277" t="str">
        <f t="shared" si="220"/>
        <v>2020/21Expenditure driversOverhead Line ClearancesActual</v>
      </c>
    </row>
    <row r="2278" spans="1:22">
      <c r="A2278" t="s">
        <v>126</v>
      </c>
      <c r="C2278" t="s">
        <v>1344</v>
      </c>
      <c r="D2278" t="s">
        <v>88</v>
      </c>
      <c r="E2278" t="s">
        <v>602</v>
      </c>
      <c r="F2278" t="s">
        <v>1289</v>
      </c>
      <c r="G2278" s="229">
        <v>0.84055965382193087</v>
      </c>
      <c r="H2278" s="229">
        <v>0.35467097648397011</v>
      </c>
      <c r="I2278" s="229">
        <v>0.3857177047750428</v>
      </c>
      <c r="J2278" s="229">
        <v>2.9430285635109854E-2</v>
      </c>
      <c r="K2278" s="229">
        <v>0.50528515354905812</v>
      </c>
      <c r="L2278" s="229">
        <v>1.2277891664638061</v>
      </c>
      <c r="M2278" s="229">
        <v>-0.6611347138035093</v>
      </c>
      <c r="N2278" s="229">
        <v>0</v>
      </c>
      <c r="O2278" s="229">
        <v>0.76916122199908266</v>
      </c>
      <c r="P2278" s="229">
        <v>2.3681822818606362</v>
      </c>
      <c r="Q2278" s="229">
        <v>8.4870709025352209</v>
      </c>
      <c r="R2278" s="229">
        <v>16.990625489607709</v>
      </c>
      <c r="S2278" s="229">
        <v>-0.18751426497253007</v>
      </c>
      <c r="T2278" s="229">
        <v>0.11377403857691988</v>
      </c>
      <c r="U2278" s="229">
        <f>U2277-U2276</f>
        <v>2.2302584211808889</v>
      </c>
      <c r="V2278" t="str">
        <f t="shared" si="220"/>
        <v>2020/21Expenditure driversOverhead Line ClearancesDifference</v>
      </c>
    </row>
    <row r="2279" spans="1:22">
      <c r="A2279" t="s">
        <v>126</v>
      </c>
      <c r="C2279" t="s">
        <v>1344</v>
      </c>
      <c r="D2279" t="s">
        <v>88</v>
      </c>
      <c r="E2279" t="s">
        <v>1346</v>
      </c>
      <c r="F2279" t="s">
        <v>606</v>
      </c>
      <c r="G2279" s="829">
        <v>1.2357588331221567</v>
      </c>
      <c r="H2279" s="829" t="e">
        <v>#DIV/0!</v>
      </c>
      <c r="I2279" s="829" t="e">
        <v>#DIV/0!</v>
      </c>
      <c r="J2279" s="829">
        <v>1.2310198310210305E-2</v>
      </c>
      <c r="K2279" s="829">
        <v>0.26099112805031288</v>
      </c>
      <c r="L2279" s="829">
        <v>0.77369833075643024</v>
      </c>
      <c r="M2279" s="829">
        <v>-0.20974029238602371</v>
      </c>
      <c r="N2279" s="829" t="e">
        <v>#DIV/0!</v>
      </c>
      <c r="O2279" s="829">
        <v>0.21324480594333309</v>
      </c>
      <c r="P2279" s="829">
        <v>0.41530122095211996</v>
      </c>
      <c r="Q2279" s="829">
        <v>0.91928813739815995</v>
      </c>
      <c r="R2279" s="829">
        <v>1.620456462212958</v>
      </c>
      <c r="S2279" s="829">
        <v>-0.65791836482846489</v>
      </c>
      <c r="T2279" s="829" t="e">
        <v>#DIV/0!</v>
      </c>
      <c r="U2279" s="829">
        <f>U2278/U2276</f>
        <v>0.79942497718058525</v>
      </c>
      <c r="V2279" t="str">
        <f t="shared" si="220"/>
        <v>2020/21Expenditure driversOverhead Line ClearancesDifference %</v>
      </c>
    </row>
    <row r="2280" spans="1:22">
      <c r="A2280" t="s">
        <v>142</v>
      </c>
      <c r="C2280" t="s">
        <v>1344</v>
      </c>
      <c r="D2280" t="s">
        <v>88</v>
      </c>
      <c r="E2280" t="s">
        <v>297</v>
      </c>
      <c r="F2280" t="s">
        <v>1289</v>
      </c>
      <c r="G2280" s="229" cm="1">
        <f t="array" ref="G2280:T2283">TRANSPOSE('Ch4 expenditure drivers'!BJ614:BM627)</f>
        <v>0.67214814002362311</v>
      </c>
      <c r="H2280" s="229">
        <v>0</v>
      </c>
      <c r="I2280" s="229">
        <v>0</v>
      </c>
      <c r="J2280" s="229">
        <v>2.3938400497275927</v>
      </c>
      <c r="K2280" s="229">
        <v>1.9378934891191326</v>
      </c>
      <c r="L2280" s="229">
        <v>1.5872241011522583</v>
      </c>
      <c r="M2280" s="229">
        <v>3.1549928182789979</v>
      </c>
      <c r="N2280" s="229">
        <v>0</v>
      </c>
      <c r="O2280" s="229">
        <v>3.407402039539901</v>
      </c>
      <c r="P2280" s="229">
        <v>5.5379520862622726</v>
      </c>
      <c r="Q2280" s="229">
        <v>5.7243353920389657</v>
      </c>
      <c r="R2280" s="229">
        <v>5.7659968584340007</v>
      </c>
      <c r="S2280" s="229">
        <v>0.28528176104530922</v>
      </c>
      <c r="T2280" s="229">
        <v>0</v>
      </c>
      <c r="U2280" s="229">
        <f>AVERAGE(G2280:T2280)</f>
        <v>2.176219052544432</v>
      </c>
      <c r="V2280" t="str">
        <f t="shared" ref="V2280:V2283" si="224">CONCATENATE(A2280,B2280,C2280,D2280,E2280)</f>
        <v>2021/22Expenditure driversOverhead Line ClearancesAllowance</v>
      </c>
    </row>
    <row r="2281" spans="1:22">
      <c r="A2281" t="s">
        <v>142</v>
      </c>
      <c r="C2281" t="s">
        <v>1344</v>
      </c>
      <c r="D2281" t="s">
        <v>88</v>
      </c>
      <c r="E2281" t="s">
        <v>298</v>
      </c>
      <c r="F2281" t="s">
        <v>1289</v>
      </c>
      <c r="G2281" s="229">
        <v>0.8731726568834669</v>
      </c>
      <c r="H2281" s="229">
        <v>0.40971120999999994</v>
      </c>
      <c r="I2281" s="229">
        <v>0.19266026999999999</v>
      </c>
      <c r="J2281" s="229">
        <v>1.5210999999999999</v>
      </c>
      <c r="K2281" s="229">
        <v>2.8340000000000001</v>
      </c>
      <c r="L2281" s="229">
        <v>2.8695000000000004</v>
      </c>
      <c r="M2281" s="229">
        <v>2.399</v>
      </c>
      <c r="N2281" s="229">
        <v>0</v>
      </c>
      <c r="O2281" s="229">
        <v>3.7838439776858745</v>
      </c>
      <c r="P2281" s="229">
        <v>8.7016486856422084</v>
      </c>
      <c r="Q2281" s="229">
        <v>4.8923183850550025</v>
      </c>
      <c r="R2281" s="229">
        <v>12.614116422907426</v>
      </c>
      <c r="S2281" s="229">
        <v>0.14152128</v>
      </c>
      <c r="T2281" s="229">
        <v>1.3499079999999998E-2</v>
      </c>
      <c r="U2281" s="229">
        <f>AVERAGE(G2281:T2281)</f>
        <v>2.9461494262981414</v>
      </c>
      <c r="V2281" t="str">
        <f t="shared" si="224"/>
        <v>2021/22Expenditure driversOverhead Line ClearancesActual</v>
      </c>
    </row>
    <row r="2282" spans="1:22">
      <c r="A2282" t="s">
        <v>142</v>
      </c>
      <c r="C2282" t="s">
        <v>1344</v>
      </c>
      <c r="D2282" t="s">
        <v>88</v>
      </c>
      <c r="E2282" t="s">
        <v>602</v>
      </c>
      <c r="F2282" t="s">
        <v>1289</v>
      </c>
      <c r="G2282" s="229">
        <v>0.20102451685984379</v>
      </c>
      <c r="H2282" s="229">
        <v>0.40971120999999994</v>
      </c>
      <c r="I2282" s="229">
        <v>0.19266026999999999</v>
      </c>
      <c r="J2282" s="229">
        <v>-0.87274004972759278</v>
      </c>
      <c r="K2282" s="229">
        <v>0.89610651088086746</v>
      </c>
      <c r="L2282" s="229">
        <v>1.2822758988477421</v>
      </c>
      <c r="M2282" s="229">
        <v>-0.75599281827899789</v>
      </c>
      <c r="N2282" s="229">
        <v>0</v>
      </c>
      <c r="O2282" s="229">
        <v>0.3764419381459736</v>
      </c>
      <c r="P2282" s="229">
        <v>3.1636965993799357</v>
      </c>
      <c r="Q2282" s="229">
        <v>-0.83201700698396319</v>
      </c>
      <c r="R2282" s="229">
        <v>6.848119564473425</v>
      </c>
      <c r="S2282" s="229">
        <v>-0.14376048104530922</v>
      </c>
      <c r="T2282" s="229">
        <v>1.3499079999999998E-2</v>
      </c>
      <c r="U2282" s="229">
        <f>U2281-U2280</f>
        <v>0.76993037375370932</v>
      </c>
      <c r="V2282" t="str">
        <f t="shared" si="224"/>
        <v>2021/22Expenditure driversOverhead Line ClearancesDifference</v>
      </c>
    </row>
    <row r="2283" spans="1:22">
      <c r="A2283" t="s">
        <v>142</v>
      </c>
      <c r="C2283" t="s">
        <v>1344</v>
      </c>
      <c r="D2283" t="s">
        <v>88</v>
      </c>
      <c r="E2283" t="s">
        <v>1346</v>
      </c>
      <c r="F2283" t="s">
        <v>606</v>
      </c>
      <c r="G2283" s="829">
        <v>0.29907769565914244</v>
      </c>
      <c r="H2283" s="829" t="e">
        <v>#DIV/0!</v>
      </c>
      <c r="I2283" s="829" t="e">
        <v>#DIV/0!</v>
      </c>
      <c r="J2283" s="829">
        <v>-0.36457742856583353</v>
      </c>
      <c r="K2283" s="829">
        <v>0.46241267433546707</v>
      </c>
      <c r="L2283" s="829">
        <v>0.80787325363624674</v>
      </c>
      <c r="M2283" s="829">
        <v>-0.2396179204906656</v>
      </c>
      <c r="N2283" s="829" t="e">
        <v>#DIV/0!</v>
      </c>
      <c r="O2283" s="829">
        <v>0.11047769936675987</v>
      </c>
      <c r="P2283" s="829">
        <v>0.57127554556276561</v>
      </c>
      <c r="Q2283" s="829">
        <v>-0.14534735475861155</v>
      </c>
      <c r="R2283" s="829">
        <v>1.1876731348641976</v>
      </c>
      <c r="S2283" s="829">
        <v>-0.50392454294502476</v>
      </c>
      <c r="T2283" s="829" t="e">
        <v>#DIV/0!</v>
      </c>
      <c r="U2283" s="829">
        <f>U2282/U2280</f>
        <v>0.35379268132659158</v>
      </c>
      <c r="V2283" t="str">
        <f t="shared" si="224"/>
        <v>2021/22Expenditure driversOverhead Line ClearancesDifference %</v>
      </c>
    </row>
    <row r="2284" spans="1:22">
      <c r="A2284" t="s">
        <v>137</v>
      </c>
      <c r="C2284" t="s">
        <v>1344</v>
      </c>
      <c r="D2284" t="s">
        <v>90</v>
      </c>
      <c r="E2284" t="s">
        <v>1347</v>
      </c>
      <c r="F2284" t="s">
        <v>1289</v>
      </c>
      <c r="G2284">
        <f t="array" ref="G2284:T2291">TRANSPOSE('Ch4 expenditure drivers'!E634:L647)</f>
        <v>4.2337921293033487</v>
      </c>
      <c r="H2284">
        <v>0.21273719333317259</v>
      </c>
      <c r="I2284">
        <v>9.8351307571813942E-2</v>
      </c>
      <c r="J2284">
        <v>0.71177100668601012</v>
      </c>
      <c r="K2284">
        <v>0.79159364410645239</v>
      </c>
      <c r="L2284">
        <v>0.36477416472579743</v>
      </c>
      <c r="M2284">
        <v>0.39022775963842249</v>
      </c>
      <c r="N2284">
        <v>1.1811978126887246</v>
      </c>
      <c r="O2284">
        <v>0.81620074909602747</v>
      </c>
      <c r="P2284">
        <v>1.8980014182148617</v>
      </c>
      <c r="Q2284">
        <v>3.0625789146380087</v>
      </c>
      <c r="R2284">
        <v>2.7323327264990889</v>
      </c>
      <c r="S2284">
        <v>1.7504817809469158</v>
      </c>
      <c r="T2284">
        <v>4.8238489789148815</v>
      </c>
      <c r="U2284">
        <f>AVERAGE(G2284:T2284)</f>
        <v>1.6477063990259662</v>
      </c>
      <c r="V2284" t="str">
        <f t="shared" si="220"/>
        <v>2015/16Expenditure driversEnvironmental Reporting &amp; LossesBPDT</v>
      </c>
    </row>
    <row r="2285" spans="1:22">
      <c r="A2285" t="s">
        <v>138</v>
      </c>
      <c r="C2285" t="s">
        <v>1344</v>
      </c>
      <c r="D2285" t="s">
        <v>90</v>
      </c>
      <c r="E2285" t="s">
        <v>1347</v>
      </c>
      <c r="F2285" t="s">
        <v>1289</v>
      </c>
      <c r="G2285">
        <v>4.2363965929434144</v>
      </c>
      <c r="H2285">
        <v>0.18520134366889437</v>
      </c>
      <c r="I2285">
        <v>0.22777264023772378</v>
      </c>
      <c r="J2285">
        <v>0.712832668815367</v>
      </c>
      <c r="K2285">
        <v>0.79108437818882227</v>
      </c>
      <c r="L2285">
        <v>0.36479693142667829</v>
      </c>
      <c r="M2285">
        <v>0.39177809376134354</v>
      </c>
      <c r="N2285">
        <v>0.56007453102246441</v>
      </c>
      <c r="O2285">
        <v>0.82375944157495185</v>
      </c>
      <c r="P2285">
        <v>1.9155784776095486</v>
      </c>
      <c r="Q2285">
        <v>3.0760024549638088</v>
      </c>
      <c r="R2285">
        <v>2.7551454465803964</v>
      </c>
      <c r="S2285">
        <v>1.7462858913986683</v>
      </c>
      <c r="T2285">
        <v>5.3014926949614649</v>
      </c>
      <c r="U2285">
        <f t="shared" ref="U2285:U2316" si="225">AVERAGE(G2285:T2285)</f>
        <v>1.6491572562252532</v>
      </c>
      <c r="V2285" t="str">
        <f t="shared" si="220"/>
        <v>2016/17Expenditure driversEnvironmental Reporting &amp; LossesBPDT</v>
      </c>
    </row>
    <row r="2286" spans="1:22">
      <c r="A2286" t="s">
        <v>139</v>
      </c>
      <c r="C2286" t="s">
        <v>1344</v>
      </c>
      <c r="D2286" t="s">
        <v>90</v>
      </c>
      <c r="E2286" t="s">
        <v>1347</v>
      </c>
      <c r="F2286" t="s">
        <v>1289</v>
      </c>
      <c r="G2286">
        <v>4.2332043202327343</v>
      </c>
      <c r="H2286">
        <v>0.14074290409348419</v>
      </c>
      <c r="I2286">
        <v>0.17394051654552922</v>
      </c>
      <c r="J2286">
        <v>0.71094590548336034</v>
      </c>
      <c r="K2286">
        <v>0.79115886744017083</v>
      </c>
      <c r="L2286">
        <v>0.36383842088384727</v>
      </c>
      <c r="M2286">
        <v>0.39098523211237202</v>
      </c>
      <c r="N2286">
        <v>0.56528021392814032</v>
      </c>
      <c r="O2286">
        <v>0.83141597692135893</v>
      </c>
      <c r="P2286">
        <v>1.9333830617908145</v>
      </c>
      <c r="Q2286">
        <v>3.0857053662910774</v>
      </c>
      <c r="R2286">
        <v>2.7636565214185334</v>
      </c>
      <c r="S2286">
        <v>1.7446082371649823</v>
      </c>
      <c r="T2286">
        <v>2.2981042761677934</v>
      </c>
      <c r="U2286">
        <f t="shared" si="225"/>
        <v>1.4304978443195857</v>
      </c>
      <c r="V2286" t="str">
        <f t="shared" si="220"/>
        <v>2017/18Expenditure driversEnvironmental Reporting &amp; LossesBPDT</v>
      </c>
    </row>
    <row r="2287" spans="1:22">
      <c r="A2287" t="s">
        <v>140</v>
      </c>
      <c r="C2287" t="s">
        <v>1344</v>
      </c>
      <c r="D2287" t="s">
        <v>90</v>
      </c>
      <c r="E2287" t="s">
        <v>1347</v>
      </c>
      <c r="F2287" t="s">
        <v>1289</v>
      </c>
      <c r="G2287">
        <v>4.2304022989685972</v>
      </c>
      <c r="H2287">
        <v>0.14123918649224967</v>
      </c>
      <c r="I2287">
        <v>0.1745559848313131</v>
      </c>
      <c r="J2287">
        <v>0.71186643377270464</v>
      </c>
      <c r="K2287">
        <v>0.7906435740226937</v>
      </c>
      <c r="L2287">
        <v>0.36449718385982266</v>
      </c>
      <c r="M2287">
        <v>0.39057631175455015</v>
      </c>
      <c r="N2287">
        <v>0.5705531836959673</v>
      </c>
      <c r="O2287">
        <v>0.80189634311879854</v>
      </c>
      <c r="P2287">
        <v>1.9514177818876124</v>
      </c>
      <c r="Q2287">
        <v>3.0874489866904766</v>
      </c>
      <c r="R2287">
        <v>2.7662140200595022</v>
      </c>
      <c r="S2287">
        <v>1.731929303660557</v>
      </c>
      <c r="T2287">
        <v>2.8370397080598067</v>
      </c>
      <c r="U2287">
        <f t="shared" si="225"/>
        <v>1.4678771643481894</v>
      </c>
      <c r="V2287" t="str">
        <f t="shared" si="220"/>
        <v>2018/19Expenditure driversEnvironmental Reporting &amp; LossesBPDT</v>
      </c>
    </row>
    <row r="2288" spans="1:22">
      <c r="A2288" t="s">
        <v>141</v>
      </c>
      <c r="C2288" t="s">
        <v>1344</v>
      </c>
      <c r="D2288" t="s">
        <v>90</v>
      </c>
      <c r="E2288" t="s">
        <v>1347</v>
      </c>
      <c r="F2288" t="s">
        <v>1289</v>
      </c>
      <c r="G2288">
        <v>1.0458573266381996</v>
      </c>
      <c r="H2288">
        <v>0.14179586145523498</v>
      </c>
      <c r="I2288">
        <v>0.17495246804095219</v>
      </c>
      <c r="J2288">
        <v>0.71405287828654995</v>
      </c>
      <c r="K2288">
        <v>0.79349219689491424</v>
      </c>
      <c r="L2288">
        <v>0.36612255576882125</v>
      </c>
      <c r="M2288">
        <v>0.39277957843208283</v>
      </c>
      <c r="N2288">
        <v>0.57589421340837998</v>
      </c>
      <c r="O2288">
        <v>0.73415492604470223</v>
      </c>
      <c r="P2288">
        <v>1.9696852820124491</v>
      </c>
      <c r="Q2288">
        <v>3.1171920220611358</v>
      </c>
      <c r="R2288">
        <v>2.796039565153507</v>
      </c>
      <c r="S2288">
        <v>1.7273743375139261</v>
      </c>
      <c r="T2288">
        <v>1.6215751226353203</v>
      </c>
      <c r="U2288">
        <f t="shared" si="225"/>
        <v>1.1550691667390125</v>
      </c>
      <c r="V2288" t="str">
        <f t="shared" si="220"/>
        <v>2019/20Expenditure driversEnvironmental Reporting &amp; LossesBPDT</v>
      </c>
    </row>
    <row r="2289" spans="1:22">
      <c r="A2289" t="s">
        <v>126</v>
      </c>
      <c r="C2289" t="s">
        <v>1344</v>
      </c>
      <c r="D2289" t="s">
        <v>90</v>
      </c>
      <c r="E2289" t="s">
        <v>1347</v>
      </c>
      <c r="F2289" t="s">
        <v>1289</v>
      </c>
      <c r="G2289">
        <v>1.0561933049113537</v>
      </c>
      <c r="H2289">
        <v>0.14273933430466385</v>
      </c>
      <c r="I2289">
        <v>0.17581480009089642</v>
      </c>
      <c r="J2289">
        <v>0.71539749434455624</v>
      </c>
      <c r="K2289">
        <v>0.79671656802366242</v>
      </c>
      <c r="L2289">
        <v>0.36535840865997499</v>
      </c>
      <c r="M2289">
        <v>0.39222931872533445</v>
      </c>
      <c r="N2289">
        <v>0.58130408590885385</v>
      </c>
      <c r="O2289">
        <v>0.74105147831597884</v>
      </c>
      <c r="P2289">
        <v>1.9881882396627475</v>
      </c>
      <c r="Q2289">
        <v>3.1352154948085977</v>
      </c>
      <c r="R2289">
        <v>2.8114744962552503</v>
      </c>
      <c r="S2289">
        <v>1.7230727370118049</v>
      </c>
      <c r="T2289">
        <v>2.6909979134678719</v>
      </c>
      <c r="U2289">
        <f t="shared" si="225"/>
        <v>1.2368395481779675</v>
      </c>
      <c r="V2289" t="str">
        <f t="shared" si="220"/>
        <v>2020/21Expenditure driversEnvironmental Reporting &amp; LossesBPDT</v>
      </c>
    </row>
    <row r="2290" spans="1:22">
      <c r="A2290" t="s">
        <v>142</v>
      </c>
      <c r="C2290" t="s">
        <v>1344</v>
      </c>
      <c r="D2290" t="s">
        <v>90</v>
      </c>
      <c r="E2290" t="s">
        <v>1347</v>
      </c>
      <c r="F2290" t="s">
        <v>1289</v>
      </c>
      <c r="G2290">
        <v>0.8186172740998926</v>
      </c>
      <c r="H2290">
        <v>0.14439217334018781</v>
      </c>
      <c r="I2290">
        <v>0.17699915348615605</v>
      </c>
      <c r="J2290">
        <v>0.71731092119248641</v>
      </c>
      <c r="K2290">
        <v>0.79826155710488134</v>
      </c>
      <c r="L2290">
        <v>0.36712807830742561</v>
      </c>
      <c r="M2290">
        <v>0.39296999606912952</v>
      </c>
      <c r="N2290">
        <v>0.58678359392072987</v>
      </c>
      <c r="O2290">
        <v>0.74961196440238775</v>
      </c>
      <c r="P2290">
        <v>2.0069293661272498</v>
      </c>
      <c r="Q2290">
        <v>3.1573990169209942</v>
      </c>
      <c r="R2290">
        <v>2.8308502078306996</v>
      </c>
      <c r="S2290">
        <v>1.7189858322139644</v>
      </c>
      <c r="T2290">
        <v>1.5855863061432245</v>
      </c>
      <c r="U2290">
        <f t="shared" si="225"/>
        <v>1.146558960082815</v>
      </c>
      <c r="V2290" t="str">
        <f t="shared" si="220"/>
        <v>2021/22Expenditure driversEnvironmental Reporting &amp; LossesBPDT</v>
      </c>
    </row>
    <row r="2291" spans="1:22">
      <c r="A2291" t="s">
        <v>143</v>
      </c>
      <c r="C2291" t="s">
        <v>1344</v>
      </c>
      <c r="D2291" t="s">
        <v>90</v>
      </c>
      <c r="E2291" t="s">
        <v>1347</v>
      </c>
      <c r="F2291" t="s">
        <v>1289</v>
      </c>
      <c r="G2291">
        <v>0.81942331785652833</v>
      </c>
      <c r="H2291">
        <v>0.14497174078245553</v>
      </c>
      <c r="I2291">
        <v>0.17934194521583605</v>
      </c>
      <c r="J2291">
        <v>0.72061853292863154</v>
      </c>
      <c r="K2291">
        <v>0.79980050327160046</v>
      </c>
      <c r="L2291">
        <v>0.36893956758969831</v>
      </c>
      <c r="M2291">
        <v>0.39533057917285508</v>
      </c>
      <c r="N2291">
        <v>0.59233354016753281</v>
      </c>
      <c r="O2291">
        <v>0.87279615726917426</v>
      </c>
      <c r="P2291">
        <v>2.0949767900424838</v>
      </c>
      <c r="Q2291">
        <v>3.1765415710856519</v>
      </c>
      <c r="R2291">
        <v>2.8476927684233426</v>
      </c>
      <c r="S2291">
        <v>1.7152853567530875</v>
      </c>
      <c r="T2291">
        <v>2.613403352441741</v>
      </c>
      <c r="U2291">
        <f t="shared" si="225"/>
        <v>1.2386754087857583</v>
      </c>
      <c r="V2291" t="str">
        <f t="shared" si="220"/>
        <v>2022/23Expenditure driversEnvironmental Reporting &amp; LossesBPDT</v>
      </c>
    </row>
    <row r="2292" spans="1:22">
      <c r="A2292" t="s">
        <v>137</v>
      </c>
      <c r="C2292" t="s">
        <v>1344</v>
      </c>
      <c r="D2292" t="s">
        <v>90</v>
      </c>
      <c r="E2292" t="s">
        <v>1348</v>
      </c>
      <c r="F2292" t="s">
        <v>1289</v>
      </c>
      <c r="G2292">
        <f t="array" ref="G2292:T2299">TRANSPOSE('Ch4 expenditure drivers'!N634:U647)</f>
        <v>2.6692002662351983</v>
      </c>
      <c r="H2292">
        <v>0.43255630107930926</v>
      </c>
      <c r="I2292">
        <v>0.6572360163162192</v>
      </c>
      <c r="J2292">
        <v>0.71177100668601012</v>
      </c>
      <c r="K2292">
        <v>0.79159364410645239</v>
      </c>
      <c r="L2292">
        <v>0.36477416472579743</v>
      </c>
      <c r="M2292">
        <v>0.39022775963842249</v>
      </c>
      <c r="N2292">
        <v>1.2320141027714984</v>
      </c>
      <c r="O2292">
        <v>1.2532078641551299</v>
      </c>
      <c r="P2292">
        <v>1.9772671672965265</v>
      </c>
      <c r="Q2292">
        <v>3.0000906917134467</v>
      </c>
      <c r="R2292">
        <v>2.5101235132912558</v>
      </c>
      <c r="S2292">
        <v>0.97360203061529005</v>
      </c>
      <c r="T2292">
        <v>3.7019212746047807</v>
      </c>
      <c r="U2292">
        <f t="shared" si="225"/>
        <v>1.476113271659667</v>
      </c>
      <c r="V2292" t="str">
        <f t="shared" si="220"/>
        <v>2015/16Expenditure driversEnvironmental Reporting &amp; LossesDNO Baseline</v>
      </c>
    </row>
    <row r="2293" spans="1:22">
      <c r="A2293" t="s">
        <v>138</v>
      </c>
      <c r="C2293" t="s">
        <v>1344</v>
      </c>
      <c r="D2293" t="s">
        <v>90</v>
      </c>
      <c r="E2293" t="s">
        <v>1348</v>
      </c>
      <c r="F2293" t="s">
        <v>1289</v>
      </c>
      <c r="G2293">
        <v>2.4867567198226355</v>
      </c>
      <c r="H2293">
        <v>0.41110613859767964</v>
      </c>
      <c r="I2293">
        <v>0.66326566374871354</v>
      </c>
      <c r="J2293">
        <v>0.712832668815367</v>
      </c>
      <c r="K2293">
        <v>0.79108437818882227</v>
      </c>
      <c r="L2293">
        <v>0.36479693142667829</v>
      </c>
      <c r="M2293">
        <v>0.39177809376134354</v>
      </c>
      <c r="N2293">
        <v>1.0664078285918481</v>
      </c>
      <c r="O2293">
        <v>1.3976927130661332</v>
      </c>
      <c r="P2293">
        <v>2.0235639533756307</v>
      </c>
      <c r="Q2293">
        <v>2.9932719670813768</v>
      </c>
      <c r="R2293">
        <v>2.7484314222371151</v>
      </c>
      <c r="S2293">
        <v>0.96184944517169935</v>
      </c>
      <c r="T2293">
        <v>3.8005930192459743</v>
      </c>
      <c r="U2293">
        <f t="shared" si="225"/>
        <v>1.4866736387950723</v>
      </c>
      <c r="V2293" t="str">
        <f t="shared" si="220"/>
        <v>2016/17Expenditure driversEnvironmental Reporting &amp; LossesDNO Baseline</v>
      </c>
    </row>
    <row r="2294" spans="1:22">
      <c r="A2294" t="s">
        <v>139</v>
      </c>
      <c r="C2294" t="s">
        <v>1344</v>
      </c>
      <c r="D2294" t="s">
        <v>90</v>
      </c>
      <c r="E2294" t="s">
        <v>1348</v>
      </c>
      <c r="F2294" t="s">
        <v>1289</v>
      </c>
      <c r="G2294">
        <v>2.613218846104211</v>
      </c>
      <c r="H2294">
        <v>0.35106797573969128</v>
      </c>
      <c r="I2294">
        <v>0.61663448310318603</v>
      </c>
      <c r="J2294">
        <v>0.71094590548336034</v>
      </c>
      <c r="K2294">
        <v>0.79115886744017083</v>
      </c>
      <c r="L2294">
        <v>0.36383842088384727</v>
      </c>
      <c r="M2294">
        <v>0.39098523211237202</v>
      </c>
      <c r="N2294">
        <v>0.85875726881276759</v>
      </c>
      <c r="O2294">
        <v>1.2555560809795425</v>
      </c>
      <c r="P2294">
        <v>2.0948865160544474</v>
      </c>
      <c r="Q2294">
        <v>2.9853194888982411</v>
      </c>
      <c r="R2294">
        <v>2.5679458954552867</v>
      </c>
      <c r="S2294">
        <v>0.93055766890154301</v>
      </c>
      <c r="T2294">
        <v>2.9409818234346048</v>
      </c>
      <c r="U2294">
        <f t="shared" si="225"/>
        <v>1.3908467481002338</v>
      </c>
      <c r="V2294" t="str">
        <f t="shared" si="220"/>
        <v>2017/18Expenditure driversEnvironmental Reporting &amp; LossesDNO Baseline</v>
      </c>
    </row>
    <row r="2295" spans="1:22">
      <c r="A2295" t="s">
        <v>140</v>
      </c>
      <c r="C2295" t="s">
        <v>1344</v>
      </c>
      <c r="D2295" t="s">
        <v>90</v>
      </c>
      <c r="E2295" t="s">
        <v>1348</v>
      </c>
      <c r="F2295" t="s">
        <v>1289</v>
      </c>
      <c r="G2295">
        <v>2.5405932020741848</v>
      </c>
      <c r="H2295">
        <v>0.34486420596423073</v>
      </c>
      <c r="I2295">
        <v>0.5973268435261917</v>
      </c>
      <c r="J2295">
        <v>0.71186643377270464</v>
      </c>
      <c r="K2295">
        <v>0.7906435740226937</v>
      </c>
      <c r="L2295">
        <v>0.36449718385982266</v>
      </c>
      <c r="M2295">
        <v>0.39057631175455015</v>
      </c>
      <c r="N2295">
        <v>0.78555514807465732</v>
      </c>
      <c r="O2295">
        <v>1.2414029494009726</v>
      </c>
      <c r="P2295">
        <v>2.1685704911622481</v>
      </c>
      <c r="Q2295">
        <v>2.8867893155360229</v>
      </c>
      <c r="R2295">
        <v>2.3999126084424587</v>
      </c>
      <c r="S2295">
        <v>0.92454638781269305</v>
      </c>
      <c r="T2295">
        <v>2.9722891870977404</v>
      </c>
      <c r="U2295">
        <f t="shared" si="225"/>
        <v>1.3656738458929407</v>
      </c>
      <c r="V2295" t="str">
        <f t="shared" si="220"/>
        <v>2018/19Expenditure driversEnvironmental Reporting &amp; LossesDNO Baseline</v>
      </c>
    </row>
    <row r="2296" spans="1:22">
      <c r="A2296" t="s">
        <v>141</v>
      </c>
      <c r="C2296" t="s">
        <v>1344</v>
      </c>
      <c r="D2296" t="s">
        <v>90</v>
      </c>
      <c r="E2296" t="s">
        <v>1348</v>
      </c>
      <c r="F2296" t="s">
        <v>1289</v>
      </c>
      <c r="G2296">
        <v>1.8105052785114741</v>
      </c>
      <c r="H2296">
        <v>0.32493652036138115</v>
      </c>
      <c r="I2296">
        <v>0.50090182755863832</v>
      </c>
      <c r="J2296">
        <v>0.71405287828654995</v>
      </c>
      <c r="K2296">
        <v>0.79349219689491424</v>
      </c>
      <c r="L2296">
        <v>0.36612255576882125</v>
      </c>
      <c r="M2296">
        <v>0.39277957843208283</v>
      </c>
      <c r="N2296">
        <v>0.80351329223480628</v>
      </c>
      <c r="O2296">
        <v>1.194272958824713</v>
      </c>
      <c r="P2296">
        <v>2.1247014320248945</v>
      </c>
      <c r="Q2296">
        <v>2.8219709856822921</v>
      </c>
      <c r="R2296">
        <v>2.3549935498949339</v>
      </c>
      <c r="S2296">
        <v>0.92465902369409314</v>
      </c>
      <c r="T2296">
        <v>2.5443351589999912</v>
      </c>
      <c r="U2296">
        <f t="shared" si="225"/>
        <v>1.262231231226399</v>
      </c>
      <c r="V2296" t="str">
        <f t="shared" si="220"/>
        <v>2019/20Expenditure driversEnvironmental Reporting &amp; LossesDNO Baseline</v>
      </c>
    </row>
    <row r="2297" spans="1:22">
      <c r="A2297" t="s">
        <v>126</v>
      </c>
      <c r="C2297" t="s">
        <v>1344</v>
      </c>
      <c r="D2297" t="s">
        <v>90</v>
      </c>
      <c r="E2297" t="s">
        <v>1348</v>
      </c>
      <c r="F2297" t="s">
        <v>1289</v>
      </c>
      <c r="G2297">
        <v>1.8092866736425153</v>
      </c>
      <c r="H2297">
        <v>0.28345698511580902</v>
      </c>
      <c r="I2297">
        <v>0.48361243073654026</v>
      </c>
      <c r="J2297">
        <v>0.71539749434455624</v>
      </c>
      <c r="K2297">
        <v>0.79671656802366242</v>
      </c>
      <c r="L2297">
        <v>0.36535840865997499</v>
      </c>
      <c r="M2297">
        <v>0.39222931872533445</v>
      </c>
      <c r="N2297">
        <v>0.79120773594413463</v>
      </c>
      <c r="O2297">
        <v>1.1785614486824474</v>
      </c>
      <c r="P2297">
        <v>1.9686878062710671</v>
      </c>
      <c r="Q2297">
        <v>2.7627275673519405</v>
      </c>
      <c r="R2297">
        <v>2.3697016730208107</v>
      </c>
      <c r="S2297">
        <v>0.91857413227294082</v>
      </c>
      <c r="T2297">
        <v>2.6757760068779168</v>
      </c>
      <c r="U2297">
        <f t="shared" si="225"/>
        <v>1.2508067321192606</v>
      </c>
      <c r="V2297" t="str">
        <f t="shared" si="220"/>
        <v>2020/21Expenditure driversEnvironmental Reporting &amp; LossesDNO Baseline</v>
      </c>
    </row>
    <row r="2298" spans="1:22">
      <c r="A2298" t="s">
        <v>142</v>
      </c>
      <c r="C2298" t="s">
        <v>1344</v>
      </c>
      <c r="D2298" t="s">
        <v>90</v>
      </c>
      <c r="E2298" t="s">
        <v>1348</v>
      </c>
      <c r="F2298" t="s">
        <v>1289</v>
      </c>
      <c r="G2298">
        <v>1.7319022673312079</v>
      </c>
      <c r="H2298">
        <v>0.25316967558696241</v>
      </c>
      <c r="I2298">
        <v>0.4110617372109403</v>
      </c>
      <c r="J2298">
        <v>0.71731092119248641</v>
      </c>
      <c r="K2298">
        <v>0.79826155710488134</v>
      </c>
      <c r="L2298">
        <v>0.36712807830742561</v>
      </c>
      <c r="M2298">
        <v>0.39296999606912952</v>
      </c>
      <c r="N2298">
        <v>0.71053388372092441</v>
      </c>
      <c r="O2298">
        <v>1.1093611694781409</v>
      </c>
      <c r="P2298">
        <v>1.9234017306161184</v>
      </c>
      <c r="Q2298">
        <v>2.5176354120153492</v>
      </c>
      <c r="R2298">
        <v>2.065809851497086</v>
      </c>
      <c r="S2298">
        <v>0.91839572440433381</v>
      </c>
      <c r="T2298">
        <v>2.3565374531145094</v>
      </c>
      <c r="U2298">
        <f t="shared" si="225"/>
        <v>1.162391389832107</v>
      </c>
      <c r="V2298" t="str">
        <f t="shared" si="220"/>
        <v>2021/22Expenditure driversEnvironmental Reporting &amp; LossesDNO Baseline</v>
      </c>
    </row>
    <row r="2299" spans="1:22">
      <c r="A2299" t="s">
        <v>143</v>
      </c>
      <c r="C2299" t="s">
        <v>1344</v>
      </c>
      <c r="D2299" t="s">
        <v>90</v>
      </c>
      <c r="E2299" t="s">
        <v>1348</v>
      </c>
      <c r="F2299" t="s">
        <v>1289</v>
      </c>
      <c r="G2299">
        <v>1.6858564628736519</v>
      </c>
      <c r="H2299">
        <v>0.25344016188888774</v>
      </c>
      <c r="I2299">
        <v>0.45108239440591608</v>
      </c>
      <c r="J2299">
        <v>0.72061853292863154</v>
      </c>
      <c r="K2299">
        <v>0.79980050327160046</v>
      </c>
      <c r="L2299">
        <v>0.36893956758969831</v>
      </c>
      <c r="M2299">
        <v>0.39533057917285508</v>
      </c>
      <c r="N2299">
        <v>0.66940225768101147</v>
      </c>
      <c r="O2299">
        <v>1.1017320551573653</v>
      </c>
      <c r="P2299">
        <v>1.8304702888848123</v>
      </c>
      <c r="Q2299">
        <v>2.4342865426732638</v>
      </c>
      <c r="R2299">
        <v>1.8152585353943487</v>
      </c>
      <c r="S2299">
        <v>0.90315802282507662</v>
      </c>
      <c r="T2299">
        <v>2.6469633020966858</v>
      </c>
      <c r="U2299">
        <f t="shared" si="225"/>
        <v>1.148309943345986</v>
      </c>
      <c r="V2299" t="str">
        <f t="shared" ref="V2299:V2368" si="226">CONCATENATE(A2299,B2299,C2299,D2299,E2299)</f>
        <v>2022/23Expenditure driversEnvironmental Reporting &amp; LossesDNO Baseline</v>
      </c>
    </row>
    <row r="2300" spans="1:22">
      <c r="A2300" t="s">
        <v>137</v>
      </c>
      <c r="C2300" t="s">
        <v>1344</v>
      </c>
      <c r="D2300" t="s">
        <v>90</v>
      </c>
      <c r="E2300" t="s">
        <v>1349</v>
      </c>
      <c r="F2300" t="s">
        <v>1289</v>
      </c>
      <c r="G2300" cm="1">
        <f t="array" ref="G2300:T2306">TRANSPOSE('Ch4 expenditure drivers'!W634:AC647)</f>
        <v>1.8692894815628551</v>
      </c>
      <c r="H2300">
        <v>0.22786032579086427</v>
      </c>
      <c r="I2300">
        <v>0.56583923074323617</v>
      </c>
      <c r="J2300">
        <v>0.77479760863113034</v>
      </c>
      <c r="K2300">
        <v>1.1274144769555148</v>
      </c>
      <c r="L2300">
        <v>0.86235213716065429</v>
      </c>
      <c r="M2300">
        <v>1.7115111261867226</v>
      </c>
      <c r="N2300">
        <v>0.86853372546837082</v>
      </c>
      <c r="O2300">
        <v>0.61580689243246378</v>
      </c>
      <c r="P2300">
        <v>0.53937034547941565</v>
      </c>
      <c r="Q2300">
        <v>0.88082442695165175</v>
      </c>
      <c r="R2300">
        <v>0.72755132518381072</v>
      </c>
      <c r="S2300">
        <v>2.3127396779592423E-2</v>
      </c>
      <c r="T2300">
        <v>1.2389565475479218</v>
      </c>
      <c r="U2300">
        <f t="shared" si="225"/>
        <v>0.85951678906244311</v>
      </c>
      <c r="V2300" t="str">
        <f t="shared" si="226"/>
        <v>2015/16Expenditure driversEnvironmental Reporting &amp; LossesDNO Actual</v>
      </c>
    </row>
    <row r="2301" spans="1:22">
      <c r="A2301" t="s">
        <v>138</v>
      </c>
      <c r="C2301" t="s">
        <v>1344</v>
      </c>
      <c r="D2301" t="s">
        <v>90</v>
      </c>
      <c r="E2301" t="s">
        <v>1349</v>
      </c>
      <c r="F2301" t="s">
        <v>1289</v>
      </c>
      <c r="G2301">
        <v>2.6098102985905145</v>
      </c>
      <c r="H2301">
        <v>0.37607344645700763</v>
      </c>
      <c r="I2301">
        <v>0.7646472745062356</v>
      </c>
      <c r="J2301">
        <v>1.9644643385460692</v>
      </c>
      <c r="K2301">
        <v>0.37457508905929232</v>
      </c>
      <c r="L2301">
        <v>0.87009448587127158</v>
      </c>
      <c r="M2301">
        <v>0.77028607656080195</v>
      </c>
      <c r="N2301">
        <v>0.42996342809323651</v>
      </c>
      <c r="O2301">
        <v>0.84587533769745105</v>
      </c>
      <c r="P2301">
        <v>0.50480781302873479</v>
      </c>
      <c r="Q2301">
        <v>0.77153393681053617</v>
      </c>
      <c r="R2301">
        <v>1.2081961876643992</v>
      </c>
      <c r="S2301">
        <v>0</v>
      </c>
      <c r="T2301">
        <v>2.1156786346117618</v>
      </c>
      <c r="U2301">
        <f t="shared" si="225"/>
        <v>0.97185759624980805</v>
      </c>
      <c r="V2301" t="str">
        <f t="shared" si="226"/>
        <v>2016/17Expenditure driversEnvironmental Reporting &amp; LossesDNO Actual</v>
      </c>
    </row>
    <row r="2302" spans="1:22">
      <c r="A2302" t="s">
        <v>139</v>
      </c>
      <c r="C2302" t="s">
        <v>1344</v>
      </c>
      <c r="D2302" t="s">
        <v>90</v>
      </c>
      <c r="E2302" t="s">
        <v>1349</v>
      </c>
      <c r="F2302" t="s">
        <v>1289</v>
      </c>
      <c r="G2302">
        <v>4.0600101875911081</v>
      </c>
      <c r="H2302">
        <v>0.78693985031655911</v>
      </c>
      <c r="I2302">
        <v>0.33738046735370247</v>
      </c>
      <c r="J2302">
        <v>0.78324870865889673</v>
      </c>
      <c r="K2302">
        <v>0.52065665604493139</v>
      </c>
      <c r="L2302">
        <v>0.48556892487668601</v>
      </c>
      <c r="M2302">
        <v>0.61233750200066928</v>
      </c>
      <c r="N2302">
        <v>0.63026520439073719</v>
      </c>
      <c r="O2302">
        <v>0.19036127719670115</v>
      </c>
      <c r="P2302">
        <v>0.56965549899775669</v>
      </c>
      <c r="Q2302">
        <v>0.7045674464267212</v>
      </c>
      <c r="R2302">
        <v>1.3337516292448937</v>
      </c>
      <c r="S2302">
        <v>1.4227509057575625E-3</v>
      </c>
      <c r="T2302">
        <v>0.90514408646189559</v>
      </c>
      <c r="U2302">
        <f t="shared" si="225"/>
        <v>0.85152215646192952</v>
      </c>
      <c r="V2302" t="str">
        <f t="shared" si="226"/>
        <v>2017/18Expenditure driversEnvironmental Reporting &amp; LossesDNO Actual</v>
      </c>
    </row>
    <row r="2303" spans="1:22">
      <c r="A2303" t="s">
        <v>140</v>
      </c>
      <c r="C2303" t="s">
        <v>1344</v>
      </c>
      <c r="D2303" t="s">
        <v>90</v>
      </c>
      <c r="E2303" t="s">
        <v>1349</v>
      </c>
      <c r="F2303" t="s">
        <v>1289</v>
      </c>
      <c r="G2303">
        <v>3.7217344161269641</v>
      </c>
      <c r="H2303">
        <v>0.20460856245712053</v>
      </c>
      <c r="I2303">
        <v>0.28057582961368471</v>
      </c>
      <c r="J2303">
        <v>1.5343291611955894</v>
      </c>
      <c r="K2303">
        <v>0.91927953322885336</v>
      </c>
      <c r="L2303">
        <v>0.21746397560252448</v>
      </c>
      <c r="M2303">
        <v>0.42614152794838128</v>
      </c>
      <c r="N2303">
        <v>0.31733272690429259</v>
      </c>
      <c r="O2303">
        <v>0.30772820315810179</v>
      </c>
      <c r="P2303">
        <v>1.0183674096847555</v>
      </c>
      <c r="Q2303">
        <v>0.87149811034627866</v>
      </c>
      <c r="R2303">
        <v>1.8287730760916387</v>
      </c>
      <c r="S2303">
        <v>3.1301632851878522E-2</v>
      </c>
      <c r="T2303">
        <v>1.1881326405665917</v>
      </c>
      <c r="U2303">
        <f>AVERAGE(G2303:T2303)</f>
        <v>0.91909048612690381</v>
      </c>
      <c r="V2303" t="str">
        <f t="shared" si="226"/>
        <v>2018/19Expenditure driversEnvironmental Reporting &amp; LossesDNO Actual</v>
      </c>
    </row>
    <row r="2304" spans="1:22">
      <c r="A2304" t="s">
        <v>141</v>
      </c>
      <c r="C2304" t="s">
        <v>1344</v>
      </c>
      <c r="D2304" t="s">
        <v>90</v>
      </c>
      <c r="E2304" t="s">
        <v>1349</v>
      </c>
      <c r="F2304" t="s">
        <v>1289</v>
      </c>
      <c r="G2304">
        <v>2.9477583871796602</v>
      </c>
      <c r="H2304">
        <v>0.12448830969555465</v>
      </c>
      <c r="I2304">
        <v>0.19730821613434416</v>
      </c>
      <c r="J2304">
        <v>0.97316500024084618</v>
      </c>
      <c r="K2304">
        <v>0.3222471562953737</v>
      </c>
      <c r="L2304">
        <v>0.26550596266196902</v>
      </c>
      <c r="M2304">
        <v>0.48818838295910438</v>
      </c>
      <c r="N2304">
        <v>0.34625878868299881</v>
      </c>
      <c r="O2304">
        <v>0.13512683921231541</v>
      </c>
      <c r="P2304">
        <v>0.53352185772269201</v>
      </c>
      <c r="Q2304">
        <v>0.63905944873501963</v>
      </c>
      <c r="R2304">
        <v>1.9748950245303847</v>
      </c>
      <c r="S2304">
        <v>1.5199370597436025E-2</v>
      </c>
      <c r="T2304">
        <v>1.1319882475750926</v>
      </c>
      <c r="U2304">
        <f>AVERAGE(G2304:T2304)</f>
        <v>0.72105078515877086</v>
      </c>
      <c r="V2304" t="str">
        <f t="shared" si="226"/>
        <v>2019/20Expenditure driversEnvironmental Reporting &amp; LossesDNO Actual</v>
      </c>
    </row>
    <row r="2305" spans="1:22">
      <c r="A2305" t="s">
        <v>126</v>
      </c>
      <c r="C2305" t="s">
        <v>1344</v>
      </c>
      <c r="D2305" t="s">
        <v>90</v>
      </c>
      <c r="E2305" t="s">
        <v>1349</v>
      </c>
      <c r="F2305" t="s">
        <v>1289</v>
      </c>
      <c r="G2305">
        <v>0.49940938366367355</v>
      </c>
      <c r="H2305">
        <v>5.627897262289789E-2</v>
      </c>
      <c r="I2305">
        <v>0.19606446722555557</v>
      </c>
      <c r="J2305">
        <v>1.532693816777545</v>
      </c>
      <c r="K2305">
        <v>0.91919318618335855</v>
      </c>
      <c r="L2305">
        <v>2.3143782409311719</v>
      </c>
      <c r="M2305">
        <v>0.64946446066350083</v>
      </c>
      <c r="N2305">
        <v>0.31454393541008913</v>
      </c>
      <c r="O2305">
        <v>0.14934647609662671</v>
      </c>
      <c r="P2305">
        <v>0.80466808241156407</v>
      </c>
      <c r="Q2305">
        <v>1.8266624639604654</v>
      </c>
      <c r="R2305">
        <v>2.6010116250028514</v>
      </c>
      <c r="S2305">
        <v>0.54278666509962048</v>
      </c>
      <c r="T2305">
        <v>1.2181408312190016</v>
      </c>
      <c r="U2305">
        <f>AVERAGE(G2305:T2305)</f>
        <v>0.97318875766199453</v>
      </c>
      <c r="V2305" t="str">
        <f t="shared" si="226"/>
        <v>2020/21Expenditure driversEnvironmental Reporting &amp; LossesDNO Actual</v>
      </c>
    </row>
    <row r="2306" spans="1:22">
      <c r="A2306" t="s">
        <v>142</v>
      </c>
      <c r="C2306" t="s">
        <v>1344</v>
      </c>
      <c r="D2306" t="s">
        <v>90</v>
      </c>
      <c r="E2306" t="s">
        <v>1349</v>
      </c>
      <c r="F2306" t="s">
        <v>1289</v>
      </c>
      <c r="G2306">
        <v>0.31887590031451696</v>
      </c>
      <c r="H2306">
        <v>0.25263860999999999</v>
      </c>
      <c r="I2306">
        <v>5.4942119999999997E-2</v>
      </c>
      <c r="J2306">
        <v>1.7099</v>
      </c>
      <c r="K2306">
        <v>1.7621999999999998</v>
      </c>
      <c r="L2306">
        <v>0.66889999999999994</v>
      </c>
      <c r="M2306">
        <v>0.63769999999999993</v>
      </c>
      <c r="N2306">
        <v>0.62172768496159525</v>
      </c>
      <c r="O2306">
        <v>1.7275522722390249</v>
      </c>
      <c r="P2306">
        <v>3.9961687229070515</v>
      </c>
      <c r="Q2306">
        <v>2.0925242309159708</v>
      </c>
      <c r="R2306">
        <v>1.6972329020471764</v>
      </c>
      <c r="S2306">
        <v>1.2939746400000001</v>
      </c>
      <c r="T2306">
        <v>1.45029111</v>
      </c>
      <c r="U2306">
        <f>AVERAGE(G2306:T2306)</f>
        <v>1.3060448709560952</v>
      </c>
      <c r="V2306" t="str">
        <f t="shared" ref="V2306" si="227">CONCATENATE(A2306,B2306,C2306,D2306,E2306)</f>
        <v>2021/22Expenditure driversEnvironmental Reporting &amp; LossesDNO Actual</v>
      </c>
    </row>
    <row r="2307" spans="1:22">
      <c r="A2307" t="s">
        <v>137</v>
      </c>
      <c r="C2307" t="s">
        <v>1344</v>
      </c>
      <c r="D2307" t="s">
        <v>90</v>
      </c>
      <c r="E2307" t="s">
        <v>297</v>
      </c>
      <c r="F2307" t="s">
        <v>1289</v>
      </c>
      <c r="G2307">
        <f t="array" ref="G2307:T2310">TRANSPOSE('Ch4 expenditure drivers'!AF634:AI647)</f>
        <v>2.6692002662351983</v>
      </c>
      <c r="H2307">
        <v>0.43255630107930926</v>
      </c>
      <c r="I2307">
        <v>0.6572360163162192</v>
      </c>
      <c r="J2307">
        <v>0.71177100668601012</v>
      </c>
      <c r="K2307">
        <v>0.79159364410645239</v>
      </c>
      <c r="L2307">
        <v>0.36477416472579743</v>
      </c>
      <c r="M2307">
        <v>0.39022775963842249</v>
      </c>
      <c r="N2307">
        <v>1.2320141027714984</v>
      </c>
      <c r="O2307">
        <v>1.2532078641551299</v>
      </c>
      <c r="P2307">
        <v>1.9772671672965265</v>
      </c>
      <c r="Q2307">
        <v>3.0000906917134467</v>
      </c>
      <c r="R2307">
        <v>2.5101235132912558</v>
      </c>
      <c r="S2307">
        <v>0.97360203061529005</v>
      </c>
      <c r="T2307">
        <v>3.7019212746047807</v>
      </c>
      <c r="U2307">
        <f t="shared" si="225"/>
        <v>1.476113271659667</v>
      </c>
      <c r="V2307" t="str">
        <f t="shared" si="226"/>
        <v>2015/16Expenditure driversEnvironmental Reporting &amp; LossesAllowance</v>
      </c>
    </row>
    <row r="2308" spans="1:22">
      <c r="A2308" t="s">
        <v>137</v>
      </c>
      <c r="C2308" t="s">
        <v>1344</v>
      </c>
      <c r="D2308" t="s">
        <v>90</v>
      </c>
      <c r="E2308" t="s">
        <v>298</v>
      </c>
      <c r="F2308" t="s">
        <v>1289</v>
      </c>
      <c r="G2308">
        <v>1.8692894815628551</v>
      </c>
      <c r="H2308">
        <v>0.22786032579086427</v>
      </c>
      <c r="I2308">
        <v>0.56583923074323617</v>
      </c>
      <c r="J2308">
        <v>0.77479760863113034</v>
      </c>
      <c r="K2308">
        <v>1.1274144769555148</v>
      </c>
      <c r="L2308">
        <v>0.86235213716065429</v>
      </c>
      <c r="M2308">
        <v>1.7115111261867226</v>
      </c>
      <c r="N2308">
        <v>0.86853372546837082</v>
      </c>
      <c r="O2308">
        <v>0.61580689243246378</v>
      </c>
      <c r="P2308">
        <v>0.53937034547941565</v>
      </c>
      <c r="Q2308">
        <v>0.88082442695165175</v>
      </c>
      <c r="R2308">
        <v>0.72755132518381072</v>
      </c>
      <c r="S2308">
        <v>2.3127396779592423E-2</v>
      </c>
      <c r="T2308">
        <v>1.2389565475479218</v>
      </c>
      <c r="U2308">
        <f t="shared" si="225"/>
        <v>0.85951678906244311</v>
      </c>
      <c r="V2308" t="str">
        <f t="shared" si="226"/>
        <v>2015/16Expenditure driversEnvironmental Reporting &amp; LossesActual</v>
      </c>
    </row>
    <row r="2309" spans="1:22">
      <c r="A2309" t="s">
        <v>137</v>
      </c>
      <c r="C2309" t="s">
        <v>1344</v>
      </c>
      <c r="D2309" t="s">
        <v>90</v>
      </c>
      <c r="E2309" t="s">
        <v>602</v>
      </c>
      <c r="F2309" t="s">
        <v>1289</v>
      </c>
      <c r="G2309">
        <v>-0.79991078467234322</v>
      </c>
      <c r="H2309">
        <v>-0.20469597528844499</v>
      </c>
      <c r="I2309">
        <v>-9.139678557298303E-2</v>
      </c>
      <c r="J2309">
        <v>6.302660194512022E-2</v>
      </c>
      <c r="K2309">
        <v>0.33582083284906239</v>
      </c>
      <c r="L2309">
        <v>0.49757797243485685</v>
      </c>
      <c r="M2309">
        <v>1.3212833665483001</v>
      </c>
      <c r="N2309">
        <v>-0.36348037730312754</v>
      </c>
      <c r="O2309">
        <v>-0.63740097172266608</v>
      </c>
      <c r="P2309">
        <v>-1.4378968218171109</v>
      </c>
      <c r="Q2309">
        <v>-2.1192662647617948</v>
      </c>
      <c r="R2309">
        <v>-1.7825721881074452</v>
      </c>
      <c r="S2309">
        <v>-0.95047463383569764</v>
      </c>
      <c r="T2309">
        <v>-2.4629647270568586</v>
      </c>
      <c r="U2309">
        <f>U2308-U2307</f>
        <v>-0.61659648259722388</v>
      </c>
      <c r="V2309" t="str">
        <f t="shared" si="226"/>
        <v>2015/16Expenditure driversEnvironmental Reporting &amp; LossesDifference</v>
      </c>
    </row>
    <row r="2310" spans="1:22">
      <c r="A2310" t="s">
        <v>137</v>
      </c>
      <c r="C2310" t="s">
        <v>1344</v>
      </c>
      <c r="D2310" t="s">
        <v>90</v>
      </c>
      <c r="E2310" t="s">
        <v>1346</v>
      </c>
      <c r="F2310" t="s">
        <v>606</v>
      </c>
      <c r="G2310" s="829">
        <v>-0.29968181660665943</v>
      </c>
      <c r="H2310" s="829">
        <v>-0.47322388964786793</v>
      </c>
      <c r="I2310" s="829">
        <v>-0.1390623509728792</v>
      </c>
      <c r="J2310" s="829">
        <v>8.8548987459563244E-2</v>
      </c>
      <c r="K2310" s="829">
        <v>0.42423386714800565</v>
      </c>
      <c r="L2310" s="829">
        <v>1.3640713091862982</v>
      </c>
      <c r="M2310" s="829">
        <v>3.3859286888574402</v>
      </c>
      <c r="N2310" s="829">
        <v>-0.29502939656733967</v>
      </c>
      <c r="O2310" s="829">
        <v>-0.50861552177729119</v>
      </c>
      <c r="P2310" s="829">
        <v>-0.72721423063081314</v>
      </c>
      <c r="Q2310" s="829">
        <v>-0.70640073335630227</v>
      </c>
      <c r="R2310" s="829">
        <v>-0.71015317719172688</v>
      </c>
      <c r="S2310" s="829">
        <v>-0.97624553354210186</v>
      </c>
      <c r="T2310" s="829">
        <v>-0.6653206657723445</v>
      </c>
      <c r="U2310" s="829">
        <f>U2309/U2307</f>
        <v>-0.41771623793067997</v>
      </c>
      <c r="V2310" t="str">
        <f t="shared" si="226"/>
        <v>2015/16Expenditure driversEnvironmental Reporting &amp; LossesDifference %</v>
      </c>
    </row>
    <row r="2311" spans="1:22">
      <c r="A2311" t="s">
        <v>138</v>
      </c>
      <c r="C2311" t="s">
        <v>1344</v>
      </c>
      <c r="D2311" t="s">
        <v>90</v>
      </c>
      <c r="E2311" t="s">
        <v>297</v>
      </c>
      <c r="F2311" t="s">
        <v>1289</v>
      </c>
      <c r="G2311">
        <f t="array" ref="G2311:T2314">TRANSPOSE('Ch4 expenditure drivers'!AK634:AN647)</f>
        <v>2.4867567198226355</v>
      </c>
      <c r="H2311">
        <v>0.41110613859767964</v>
      </c>
      <c r="I2311">
        <v>0.66326566374871354</v>
      </c>
      <c r="J2311">
        <v>0.712832668815367</v>
      </c>
      <c r="K2311">
        <v>0.79108437818882227</v>
      </c>
      <c r="L2311">
        <v>0.36479693142667829</v>
      </c>
      <c r="M2311">
        <v>0.39177809376134354</v>
      </c>
      <c r="N2311">
        <v>1.0664078285918481</v>
      </c>
      <c r="O2311">
        <v>1.3976927130661332</v>
      </c>
      <c r="P2311">
        <v>2.0235639533756307</v>
      </c>
      <c r="Q2311">
        <v>2.9932719670813768</v>
      </c>
      <c r="R2311">
        <v>2.7484314222371151</v>
      </c>
      <c r="S2311">
        <v>0.96184944517169935</v>
      </c>
      <c r="T2311">
        <v>3.8005930192459743</v>
      </c>
      <c r="U2311">
        <f t="shared" si="225"/>
        <v>1.4866736387950723</v>
      </c>
      <c r="V2311" t="str">
        <f t="shared" si="226"/>
        <v>2016/17Expenditure driversEnvironmental Reporting &amp; LossesAllowance</v>
      </c>
    </row>
    <row r="2312" spans="1:22">
      <c r="A2312" t="s">
        <v>138</v>
      </c>
      <c r="C2312" t="s">
        <v>1344</v>
      </c>
      <c r="D2312" t="s">
        <v>90</v>
      </c>
      <c r="E2312" t="s">
        <v>298</v>
      </c>
      <c r="F2312" t="s">
        <v>1289</v>
      </c>
      <c r="G2312">
        <v>2.6098102985905145</v>
      </c>
      <c r="H2312">
        <v>0.37607344645700763</v>
      </c>
      <c r="I2312">
        <v>0.7646472745062356</v>
      </c>
      <c r="J2312">
        <v>1.9644643385460692</v>
      </c>
      <c r="K2312">
        <v>0.37457508905929232</v>
      </c>
      <c r="L2312">
        <v>0.87009448587127158</v>
      </c>
      <c r="M2312">
        <v>0.77028607656080195</v>
      </c>
      <c r="N2312">
        <v>0.42996342809323651</v>
      </c>
      <c r="O2312">
        <v>0.84587533769745105</v>
      </c>
      <c r="P2312">
        <v>0.50480781302873479</v>
      </c>
      <c r="Q2312">
        <v>0.77153393681053617</v>
      </c>
      <c r="R2312">
        <v>1.2081961876643992</v>
      </c>
      <c r="S2312">
        <v>0</v>
      </c>
      <c r="T2312">
        <v>2.1156786346117618</v>
      </c>
      <c r="U2312">
        <f t="shared" si="225"/>
        <v>0.97185759624980805</v>
      </c>
      <c r="V2312" t="str">
        <f t="shared" si="226"/>
        <v>2016/17Expenditure driversEnvironmental Reporting &amp; LossesActual</v>
      </c>
    </row>
    <row r="2313" spans="1:22">
      <c r="A2313" t="s">
        <v>138</v>
      </c>
      <c r="C2313" t="s">
        <v>1344</v>
      </c>
      <c r="D2313" t="s">
        <v>90</v>
      </c>
      <c r="E2313" t="s">
        <v>602</v>
      </c>
      <c r="F2313" t="s">
        <v>1289</v>
      </c>
      <c r="G2313">
        <v>0.12305357876787903</v>
      </c>
      <c r="H2313">
        <v>-3.5032692140672006E-2</v>
      </c>
      <c r="I2313">
        <v>0.10138161075752206</v>
      </c>
      <c r="J2313">
        <v>1.2516316697307022</v>
      </c>
      <c r="K2313">
        <v>-0.41650928912952995</v>
      </c>
      <c r="L2313">
        <v>0.50529755444459323</v>
      </c>
      <c r="M2313">
        <v>0.37850798279945841</v>
      </c>
      <c r="N2313">
        <v>-0.63644440049861162</v>
      </c>
      <c r="O2313">
        <v>-0.55181737536868214</v>
      </c>
      <c r="P2313">
        <v>-1.5187561403468959</v>
      </c>
      <c r="Q2313">
        <v>-2.2217380302708407</v>
      </c>
      <c r="R2313">
        <v>-1.5402352345727159</v>
      </c>
      <c r="S2313">
        <v>-0.96184944517169935</v>
      </c>
      <c r="T2313">
        <v>-1.6849143846342125</v>
      </c>
      <c r="U2313">
        <f>U2312-U2311</f>
        <v>-0.51481604254526425</v>
      </c>
      <c r="V2313" t="str">
        <f t="shared" si="226"/>
        <v>2016/17Expenditure driversEnvironmental Reporting &amp; LossesDifference</v>
      </c>
    </row>
    <row r="2314" spans="1:22">
      <c r="A2314" t="s">
        <v>138</v>
      </c>
      <c r="C2314" t="s">
        <v>1344</v>
      </c>
      <c r="D2314" t="s">
        <v>90</v>
      </c>
      <c r="E2314" t="s">
        <v>1346</v>
      </c>
      <c r="F2314" t="s">
        <v>606</v>
      </c>
      <c r="G2314" s="829">
        <v>4.9483561374132193E-2</v>
      </c>
      <c r="H2314" s="829">
        <v>-8.5215687267944235E-2</v>
      </c>
      <c r="I2314" s="829">
        <v>0.1528521922641419</v>
      </c>
      <c r="J2314" s="829">
        <v>1.7558562121047951</v>
      </c>
      <c r="K2314" s="829">
        <v>-0.52650425240746468</v>
      </c>
      <c r="L2314" s="829">
        <v>1.3851474914233335</v>
      </c>
      <c r="M2314" s="829">
        <v>0.96612850189125488</v>
      </c>
      <c r="N2314" s="829">
        <v>-0.59681144814832499</v>
      </c>
      <c r="O2314" s="829">
        <v>-0.3948059328134827</v>
      </c>
      <c r="P2314" s="829">
        <v>-0.75053528098944733</v>
      </c>
      <c r="Q2314" s="829">
        <v>-0.74224395734984661</v>
      </c>
      <c r="R2314" s="829">
        <v>-0.56040519043368564</v>
      </c>
      <c r="S2314" s="829">
        <v>-1</v>
      </c>
      <c r="T2314" s="829">
        <v>-0.4433293373170733</v>
      </c>
      <c r="U2314" s="829">
        <f>U2313/U2311</f>
        <v>-0.34628719384741041</v>
      </c>
      <c r="V2314" t="str">
        <f t="shared" si="226"/>
        <v>2016/17Expenditure driversEnvironmental Reporting &amp; LossesDifference %</v>
      </c>
    </row>
    <row r="2315" spans="1:22">
      <c r="A2315" t="s">
        <v>139</v>
      </c>
      <c r="C2315" t="s">
        <v>1344</v>
      </c>
      <c r="D2315" t="s">
        <v>90</v>
      </c>
      <c r="E2315" t="s">
        <v>297</v>
      </c>
      <c r="F2315" t="s">
        <v>1289</v>
      </c>
      <c r="G2315">
        <f t="array" ref="G2315:T2318">TRANSPOSE('Ch4 expenditure drivers'!AP634:AS647)</f>
        <v>2.613218846104211</v>
      </c>
      <c r="H2315">
        <v>0.35106797573969128</v>
      </c>
      <c r="I2315">
        <v>0.61663448310318603</v>
      </c>
      <c r="J2315">
        <v>0.71094590548336034</v>
      </c>
      <c r="K2315">
        <v>0.79115886744017083</v>
      </c>
      <c r="L2315">
        <v>0.36383842088384727</v>
      </c>
      <c r="M2315">
        <v>0.39098523211237202</v>
      </c>
      <c r="N2315">
        <v>0.85875726881276759</v>
      </c>
      <c r="O2315">
        <v>1.2555560809795425</v>
      </c>
      <c r="P2315">
        <v>2.0948865160544474</v>
      </c>
      <c r="Q2315">
        <v>2.9853194888982411</v>
      </c>
      <c r="R2315">
        <v>2.5679458954552867</v>
      </c>
      <c r="S2315">
        <v>0.93055766890154301</v>
      </c>
      <c r="T2315">
        <v>2.9409818234346048</v>
      </c>
      <c r="U2315">
        <f t="shared" si="225"/>
        <v>1.3908467481002338</v>
      </c>
      <c r="V2315" t="str">
        <f t="shared" si="226"/>
        <v>2017/18Expenditure driversEnvironmental Reporting &amp; LossesAllowance</v>
      </c>
    </row>
    <row r="2316" spans="1:22">
      <c r="A2316" t="s">
        <v>139</v>
      </c>
      <c r="C2316" t="s">
        <v>1344</v>
      </c>
      <c r="D2316" t="s">
        <v>90</v>
      </c>
      <c r="E2316" t="s">
        <v>298</v>
      </c>
      <c r="F2316" t="s">
        <v>1289</v>
      </c>
      <c r="G2316">
        <v>4.0600101875911081</v>
      </c>
      <c r="H2316">
        <v>0.78693985031655911</v>
      </c>
      <c r="I2316">
        <v>0.33738046735370247</v>
      </c>
      <c r="J2316">
        <v>0.78324870865889673</v>
      </c>
      <c r="K2316">
        <v>0.52065665604493139</v>
      </c>
      <c r="L2316">
        <v>0.48556892487668601</v>
      </c>
      <c r="M2316">
        <v>0.61233750200066928</v>
      </c>
      <c r="N2316">
        <v>0.63026520439073719</v>
      </c>
      <c r="O2316">
        <v>0.19036127719670115</v>
      </c>
      <c r="P2316">
        <v>0.56965549899775669</v>
      </c>
      <c r="Q2316">
        <v>0.7045674464267212</v>
      </c>
      <c r="R2316">
        <v>1.3337516292448937</v>
      </c>
      <c r="S2316">
        <v>1.4227509057575625E-3</v>
      </c>
      <c r="T2316">
        <v>0.90514408646189559</v>
      </c>
      <c r="U2316">
        <f t="shared" si="225"/>
        <v>0.85152215646192952</v>
      </c>
      <c r="V2316" t="str">
        <f t="shared" si="226"/>
        <v>2017/18Expenditure driversEnvironmental Reporting &amp; LossesActual</v>
      </c>
    </row>
    <row r="2317" spans="1:22">
      <c r="A2317" t="s">
        <v>139</v>
      </c>
      <c r="C2317" t="s">
        <v>1344</v>
      </c>
      <c r="D2317" t="s">
        <v>90</v>
      </c>
      <c r="E2317" t="s">
        <v>602</v>
      </c>
      <c r="F2317" t="s">
        <v>1289</v>
      </c>
      <c r="G2317">
        <v>1.4467913414868971</v>
      </c>
      <c r="H2317">
        <v>0.43587187457686782</v>
      </c>
      <c r="I2317">
        <v>-0.27925401574948355</v>
      </c>
      <c r="J2317">
        <v>7.230280317553639E-2</v>
      </c>
      <c r="K2317">
        <v>-0.27050221139523944</v>
      </c>
      <c r="L2317">
        <v>0.12173050399283875</v>
      </c>
      <c r="M2317">
        <v>0.22135226988829726</v>
      </c>
      <c r="N2317">
        <v>-0.22849206442203041</v>
      </c>
      <c r="O2317">
        <v>-1.0651948037828414</v>
      </c>
      <c r="P2317">
        <v>-1.5252310170566907</v>
      </c>
      <c r="Q2317">
        <v>-2.2807520424715197</v>
      </c>
      <c r="R2317">
        <v>-1.2341942662103931</v>
      </c>
      <c r="S2317">
        <v>-0.9291349179957854</v>
      </c>
      <c r="T2317">
        <v>-2.0358377369727094</v>
      </c>
      <c r="U2317">
        <f>U2316-U2315</f>
        <v>-0.53932459163830426</v>
      </c>
      <c r="V2317" t="str">
        <f t="shared" si="226"/>
        <v>2017/18Expenditure driversEnvironmental Reporting &amp; LossesDifference</v>
      </c>
    </row>
    <row r="2318" spans="1:22">
      <c r="A2318" t="s">
        <v>139</v>
      </c>
      <c r="C2318" t="s">
        <v>1344</v>
      </c>
      <c r="D2318" t="s">
        <v>90</v>
      </c>
      <c r="E2318" t="s">
        <v>1346</v>
      </c>
      <c r="F2318" t="s">
        <v>606</v>
      </c>
      <c r="G2318" s="829">
        <v>0.55364339027470855</v>
      </c>
      <c r="H2318" s="829">
        <v>1.2415597681859101</v>
      </c>
      <c r="I2318" s="829">
        <v>-0.45286798484598195</v>
      </c>
      <c r="J2318" s="829">
        <v>0.10169944382249295</v>
      </c>
      <c r="K2318" s="829">
        <v>-0.34190631303983382</v>
      </c>
      <c r="L2318" s="829">
        <v>0.33457297801899905</v>
      </c>
      <c r="M2318" s="829">
        <v>0.56613972014339153</v>
      </c>
      <c r="N2318" s="829">
        <v>-0.2660729320380843</v>
      </c>
      <c r="O2318" s="829">
        <v>-0.84838488691943759</v>
      </c>
      <c r="P2318" s="829">
        <v>-0.72807333732298896</v>
      </c>
      <c r="Q2318" s="829">
        <v>-0.76398926511991239</v>
      </c>
      <c r="R2318" s="829">
        <v>-0.48061536981548253</v>
      </c>
      <c r="S2318" s="829">
        <v>-0.99847107712578731</v>
      </c>
      <c r="T2318" s="829">
        <v>-0.69223064241694998</v>
      </c>
      <c r="U2318" s="829">
        <f>U2317/U2315</f>
        <v>-0.38776708675845922</v>
      </c>
      <c r="V2318" t="str">
        <f t="shared" si="226"/>
        <v>2017/18Expenditure driversEnvironmental Reporting &amp; LossesDifference %</v>
      </c>
    </row>
    <row r="2319" spans="1:22">
      <c r="A2319" t="s">
        <v>140</v>
      </c>
      <c r="C2319" t="s">
        <v>1344</v>
      </c>
      <c r="D2319" t="s">
        <v>90</v>
      </c>
      <c r="E2319" t="s">
        <v>297</v>
      </c>
      <c r="F2319" t="s">
        <v>1289</v>
      </c>
      <c r="G2319">
        <f t="array" ref="G2319:T2322">TRANSPOSE('Ch4 expenditure drivers'!AU634:AX647)</f>
        <v>2.5405932020741848</v>
      </c>
      <c r="H2319">
        <v>0.34486420596423073</v>
      </c>
      <c r="I2319">
        <v>0.5973268435261917</v>
      </c>
      <c r="J2319">
        <v>0.71186643377270464</v>
      </c>
      <c r="K2319">
        <v>0.7906435740226937</v>
      </c>
      <c r="L2319">
        <v>0.36449718385982266</v>
      </c>
      <c r="M2319">
        <v>0.39057631175455015</v>
      </c>
      <c r="N2319">
        <v>0.78555514807465732</v>
      </c>
      <c r="O2319">
        <v>1.2414029494009726</v>
      </c>
      <c r="P2319">
        <v>2.1685704911622481</v>
      </c>
      <c r="Q2319">
        <v>2.8867893155360229</v>
      </c>
      <c r="R2319">
        <v>2.3999126084424587</v>
      </c>
      <c r="S2319">
        <v>0.92454638781269305</v>
      </c>
      <c r="T2319">
        <v>2.9722891870977404</v>
      </c>
      <c r="U2319">
        <f>AVERAGE(G2319:T2319)</f>
        <v>1.3656738458929407</v>
      </c>
      <c r="V2319" t="str">
        <f t="shared" si="226"/>
        <v>2018/19Expenditure driversEnvironmental Reporting &amp; LossesAllowance</v>
      </c>
    </row>
    <row r="2320" spans="1:22">
      <c r="A2320" t="s">
        <v>140</v>
      </c>
      <c r="C2320" t="s">
        <v>1344</v>
      </c>
      <c r="D2320" t="s">
        <v>90</v>
      </c>
      <c r="E2320" t="s">
        <v>298</v>
      </c>
      <c r="F2320" t="s">
        <v>1289</v>
      </c>
      <c r="G2320">
        <v>3.7217344161269641</v>
      </c>
      <c r="H2320">
        <v>0.20460856245712053</v>
      </c>
      <c r="I2320">
        <v>0.28057582961368471</v>
      </c>
      <c r="J2320">
        <v>1.5343291611955894</v>
      </c>
      <c r="K2320">
        <v>0.91927953322885336</v>
      </c>
      <c r="L2320">
        <v>0.21746397560252448</v>
      </c>
      <c r="M2320">
        <v>0.42614152794838128</v>
      </c>
      <c r="N2320">
        <v>0.31733272690429259</v>
      </c>
      <c r="O2320">
        <v>0.30772820315810179</v>
      </c>
      <c r="P2320">
        <v>1.0183674096847555</v>
      </c>
      <c r="Q2320">
        <v>0.87149811034627866</v>
      </c>
      <c r="R2320">
        <v>1.8287730760916387</v>
      </c>
      <c r="S2320">
        <v>3.1301632851878522E-2</v>
      </c>
      <c r="T2320">
        <v>1.1881326405665917</v>
      </c>
      <c r="U2320">
        <f>AVERAGE(G2320:T2320)</f>
        <v>0.91909048612690381</v>
      </c>
      <c r="V2320" t="str">
        <f t="shared" si="226"/>
        <v>2018/19Expenditure driversEnvironmental Reporting &amp; LossesActual</v>
      </c>
    </row>
    <row r="2321" spans="1:22">
      <c r="A2321" t="s">
        <v>140</v>
      </c>
      <c r="C2321" t="s">
        <v>1344</v>
      </c>
      <c r="D2321" t="s">
        <v>90</v>
      </c>
      <c r="E2321" t="s">
        <v>602</v>
      </c>
      <c r="F2321" t="s">
        <v>1289</v>
      </c>
      <c r="G2321">
        <v>1.1811412140527793</v>
      </c>
      <c r="H2321">
        <v>-0.1402556435071102</v>
      </c>
      <c r="I2321">
        <v>-0.31675101391250698</v>
      </c>
      <c r="J2321">
        <v>0.82246272742288473</v>
      </c>
      <c r="K2321">
        <v>0.12863595920615967</v>
      </c>
      <c r="L2321">
        <v>-0.14703320825729818</v>
      </c>
      <c r="M2321">
        <v>3.5565216193831128E-2</v>
      </c>
      <c r="N2321">
        <v>-0.46822242117036472</v>
      </c>
      <c r="O2321">
        <v>-0.93367474624287083</v>
      </c>
      <c r="P2321">
        <v>-1.1502030814774926</v>
      </c>
      <c r="Q2321">
        <v>-2.0152912051897443</v>
      </c>
      <c r="R2321">
        <v>-0.57113953235081993</v>
      </c>
      <c r="S2321">
        <v>-0.89324475496081457</v>
      </c>
      <c r="T2321">
        <v>-1.7841565465311486</v>
      </c>
      <c r="U2321">
        <f>U2320-U2319</f>
        <v>-0.44658335976603691</v>
      </c>
      <c r="V2321" t="str">
        <f t="shared" si="226"/>
        <v>2018/19Expenditure driversEnvironmental Reporting &amp; LossesDifference</v>
      </c>
    </row>
    <row r="2322" spans="1:22">
      <c r="A2322" t="s">
        <v>140</v>
      </c>
      <c r="C2322" t="s">
        <v>1344</v>
      </c>
      <c r="D2322" t="s">
        <v>90</v>
      </c>
      <c r="E2322" t="s">
        <v>1346</v>
      </c>
      <c r="F2322" t="s">
        <v>606</v>
      </c>
      <c r="G2322" s="829">
        <v>0.4649076495554168</v>
      </c>
      <c r="H2322" s="829">
        <v>-0.40669817592393886</v>
      </c>
      <c r="I2322" s="829">
        <v>-0.53028089620522478</v>
      </c>
      <c r="J2322" s="829">
        <v>1.1553610177460523</v>
      </c>
      <c r="K2322" s="829">
        <v>0.16269778624984746</v>
      </c>
      <c r="L2322" s="829">
        <v>-0.40338640397793529</v>
      </c>
      <c r="M2322" s="829">
        <v>9.105830313688193E-2</v>
      </c>
      <c r="N2322" s="829">
        <v>-0.59604016639435986</v>
      </c>
      <c r="O2322" s="829">
        <v>-0.75211255675959754</v>
      </c>
      <c r="P2322" s="829">
        <v>-0.53039690716304078</v>
      </c>
      <c r="Q2322" s="829">
        <v>-0.69810816963465938</v>
      </c>
      <c r="R2322" s="829">
        <v>-0.23798347087375363</v>
      </c>
      <c r="S2322" s="829">
        <v>-0.96614379411947904</v>
      </c>
      <c r="T2322" s="829">
        <v>-0.60026344484779726</v>
      </c>
      <c r="U2322" s="829">
        <f>U2321/U2319</f>
        <v>-0.32700586681737326</v>
      </c>
      <c r="V2322" t="str">
        <f t="shared" si="226"/>
        <v>2018/19Expenditure driversEnvironmental Reporting &amp; LossesDifference %</v>
      </c>
    </row>
    <row r="2323" spans="1:22">
      <c r="A2323" t="s">
        <v>141</v>
      </c>
      <c r="C2323" t="s">
        <v>1344</v>
      </c>
      <c r="D2323" t="s">
        <v>90</v>
      </c>
      <c r="E2323" t="s">
        <v>297</v>
      </c>
      <c r="F2323" t="s">
        <v>1289</v>
      </c>
      <c r="G2323" s="229">
        <f t="array" ref="G2323:T2326">TRANSPOSE('Ch4 expenditure drivers'!AZ634:BC647)</f>
        <v>1.8105052785114741</v>
      </c>
      <c r="H2323" s="229">
        <v>0.32493652036138115</v>
      </c>
      <c r="I2323" s="229">
        <v>0.50090182755863832</v>
      </c>
      <c r="J2323" s="229">
        <v>0.71405287828654995</v>
      </c>
      <c r="K2323" s="229">
        <v>0.79349219689491424</v>
      </c>
      <c r="L2323" s="229">
        <v>0.36612255576882125</v>
      </c>
      <c r="M2323" s="229">
        <v>0.39277957843208283</v>
      </c>
      <c r="N2323" s="229">
        <v>0.80351329223480628</v>
      </c>
      <c r="O2323" s="229">
        <v>1.194272958824713</v>
      </c>
      <c r="P2323" s="229">
        <v>2.1247014320248945</v>
      </c>
      <c r="Q2323" s="229">
        <v>2.8219709856822921</v>
      </c>
      <c r="R2323" s="229">
        <v>2.3549935498949339</v>
      </c>
      <c r="S2323" s="229">
        <v>0.92465902369409314</v>
      </c>
      <c r="T2323" s="229">
        <v>2.5443351589999912</v>
      </c>
      <c r="U2323" s="229">
        <f>AVERAGE(G2323:T2323)</f>
        <v>1.262231231226399</v>
      </c>
      <c r="V2323" t="str">
        <f t="shared" si="226"/>
        <v>2019/20Expenditure driversEnvironmental Reporting &amp; LossesAllowance</v>
      </c>
    </row>
    <row r="2324" spans="1:22">
      <c r="A2324" t="s">
        <v>141</v>
      </c>
      <c r="C2324" t="s">
        <v>1344</v>
      </c>
      <c r="D2324" t="s">
        <v>90</v>
      </c>
      <c r="E2324" t="s">
        <v>298</v>
      </c>
      <c r="F2324" t="s">
        <v>1289</v>
      </c>
      <c r="G2324" s="229">
        <v>2.9477583871796602</v>
      </c>
      <c r="H2324" s="229">
        <v>0.12448830969555465</v>
      </c>
      <c r="I2324" s="229">
        <v>0.19730821613434416</v>
      </c>
      <c r="J2324" s="229">
        <v>0.97316500024084618</v>
      </c>
      <c r="K2324" s="229">
        <v>0.3222471562953737</v>
      </c>
      <c r="L2324" s="229">
        <v>0.26550596266196902</v>
      </c>
      <c r="M2324" s="229">
        <v>0.48818838295910438</v>
      </c>
      <c r="N2324" s="229">
        <v>0.34625878868299881</v>
      </c>
      <c r="O2324" s="229">
        <v>0.13512683921231541</v>
      </c>
      <c r="P2324" s="229">
        <v>0.53352185772269201</v>
      </c>
      <c r="Q2324" s="229">
        <v>0.63905944873501963</v>
      </c>
      <c r="R2324" s="229">
        <v>1.9748950245303847</v>
      </c>
      <c r="S2324" s="229">
        <v>1.5199370597436025E-2</v>
      </c>
      <c r="T2324" s="229">
        <v>1.1319882475750926</v>
      </c>
      <c r="U2324" s="229">
        <f>AVERAGE(G2324:T2324)</f>
        <v>0.72105078515877086</v>
      </c>
      <c r="V2324" t="str">
        <f t="shared" si="226"/>
        <v>2019/20Expenditure driversEnvironmental Reporting &amp; LossesActual</v>
      </c>
    </row>
    <row r="2325" spans="1:22">
      <c r="A2325" t="s">
        <v>141</v>
      </c>
      <c r="C2325" t="s">
        <v>1344</v>
      </c>
      <c r="D2325" t="s">
        <v>90</v>
      </c>
      <c r="E2325" t="s">
        <v>602</v>
      </c>
      <c r="F2325" t="s">
        <v>1289</v>
      </c>
      <c r="G2325" s="229">
        <v>1.1372531086681861</v>
      </c>
      <c r="H2325" s="229">
        <v>-0.20044821066582652</v>
      </c>
      <c r="I2325" s="229">
        <v>-0.3035936114242942</v>
      </c>
      <c r="J2325" s="229">
        <v>0.25911212195429623</v>
      </c>
      <c r="K2325" s="229">
        <v>-0.47124504059954053</v>
      </c>
      <c r="L2325" s="229">
        <v>-0.10061659310685223</v>
      </c>
      <c r="M2325" s="229">
        <v>9.5408804527021551E-2</v>
      </c>
      <c r="N2325" s="229">
        <v>-0.45725450355180747</v>
      </c>
      <c r="O2325" s="229">
        <v>-1.0591461196123975</v>
      </c>
      <c r="P2325" s="229">
        <v>-1.5911795743022026</v>
      </c>
      <c r="Q2325" s="229">
        <v>-2.1829115369472722</v>
      </c>
      <c r="R2325" s="229">
        <v>-0.38009852536454924</v>
      </c>
      <c r="S2325" s="229">
        <v>-0.90945965309665711</v>
      </c>
      <c r="T2325" s="229">
        <v>-1.4123469114248985</v>
      </c>
      <c r="U2325" s="229">
        <f>U2324-U2323</f>
        <v>-0.54118044606762816</v>
      </c>
      <c r="V2325" t="str">
        <f t="shared" si="226"/>
        <v>2019/20Expenditure driversEnvironmental Reporting &amp; LossesDifference</v>
      </c>
    </row>
    <row r="2326" spans="1:22">
      <c r="A2326" t="s">
        <v>141</v>
      </c>
      <c r="C2326" t="s">
        <v>1344</v>
      </c>
      <c r="D2326" t="s">
        <v>90</v>
      </c>
      <c r="E2326" t="s">
        <v>1346</v>
      </c>
      <c r="F2326" t="s">
        <v>606</v>
      </c>
      <c r="G2326" s="829">
        <v>0.62814128308048378</v>
      </c>
      <c r="H2326" s="829">
        <v>-0.6168842161628868</v>
      </c>
      <c r="I2326" s="829">
        <v>-0.60609403823497499</v>
      </c>
      <c r="J2326" s="829">
        <v>0.36287525732837161</v>
      </c>
      <c r="K2326" s="829">
        <v>-0.59388742881607648</v>
      </c>
      <c r="L2326" s="829">
        <v>-0.27481670146098292</v>
      </c>
      <c r="M2326" s="829">
        <v>0.2429067338680875</v>
      </c>
      <c r="N2326" s="829">
        <v>-0.5690689973280324</v>
      </c>
      <c r="O2326" s="829">
        <v>-0.88685430896359396</v>
      </c>
      <c r="P2326" s="829">
        <v>-0.7488956096696221</v>
      </c>
      <c r="Q2326" s="829">
        <v>-0.77354145312712741</v>
      </c>
      <c r="R2326" s="829">
        <v>-0.1614010897743253</v>
      </c>
      <c r="S2326" s="829">
        <v>-0.98356218864688816</v>
      </c>
      <c r="T2326" s="829">
        <v>-0.55509468020714614</v>
      </c>
      <c r="U2326" s="829">
        <f>U2325/U2323</f>
        <v>-0.42874905380198108</v>
      </c>
      <c r="V2326" t="str">
        <f t="shared" si="226"/>
        <v>2019/20Expenditure driversEnvironmental Reporting &amp; LossesDifference %</v>
      </c>
    </row>
    <row r="2327" spans="1:22">
      <c r="A2327" t="s">
        <v>126</v>
      </c>
      <c r="C2327" t="s">
        <v>1344</v>
      </c>
      <c r="D2327" t="s">
        <v>90</v>
      </c>
      <c r="E2327" t="s">
        <v>297</v>
      </c>
      <c r="F2327" t="s">
        <v>1289</v>
      </c>
      <c r="G2327" s="229" cm="1">
        <f t="array" ref="G2327:T2330">TRANSPOSE('Ch4 expenditure drivers'!BE634:BH647)</f>
        <v>1.8092866736425153</v>
      </c>
      <c r="H2327" s="229">
        <v>0.28345698511580902</v>
      </c>
      <c r="I2327" s="229">
        <v>0.48361243073654026</v>
      </c>
      <c r="J2327" s="229">
        <v>0.71539749434455624</v>
      </c>
      <c r="K2327" s="229">
        <v>0.79671656802366242</v>
      </c>
      <c r="L2327" s="229">
        <v>0.36535840865997499</v>
      </c>
      <c r="M2327" s="229">
        <v>0.39222931872533445</v>
      </c>
      <c r="N2327" s="229">
        <v>0.79120773594413463</v>
      </c>
      <c r="O2327" s="229">
        <v>1.1785614486824474</v>
      </c>
      <c r="P2327" s="229">
        <v>1.9686878062710671</v>
      </c>
      <c r="Q2327" s="229">
        <v>2.7627275673519405</v>
      </c>
      <c r="R2327" s="229">
        <v>2.3697016730208107</v>
      </c>
      <c r="S2327" s="229">
        <v>0.91857413227294082</v>
      </c>
      <c r="T2327" s="229">
        <v>2.6757760068779168</v>
      </c>
      <c r="U2327" s="229">
        <f>AVERAGE(G2327:T2327)</f>
        <v>1.2508067321192606</v>
      </c>
      <c r="V2327" t="str">
        <f t="shared" si="226"/>
        <v>2020/21Expenditure driversEnvironmental Reporting &amp; LossesAllowance</v>
      </c>
    </row>
    <row r="2328" spans="1:22">
      <c r="A2328" t="s">
        <v>126</v>
      </c>
      <c r="C2328" t="s">
        <v>1344</v>
      </c>
      <c r="D2328" t="s">
        <v>90</v>
      </c>
      <c r="E2328" t="s">
        <v>298</v>
      </c>
      <c r="F2328" t="s">
        <v>1289</v>
      </c>
      <c r="G2328" s="229">
        <v>0.49940938366367355</v>
      </c>
      <c r="H2328" s="229">
        <v>5.627897262289789E-2</v>
      </c>
      <c r="I2328" s="229">
        <v>0.19606446722555557</v>
      </c>
      <c r="J2328" s="229">
        <v>1.532693816777545</v>
      </c>
      <c r="K2328" s="229">
        <v>0.91919318618335855</v>
      </c>
      <c r="L2328" s="229">
        <v>2.3143782409311719</v>
      </c>
      <c r="M2328" s="229">
        <v>0.64946446066350083</v>
      </c>
      <c r="N2328" s="229">
        <v>0.31454393541008913</v>
      </c>
      <c r="O2328" s="229">
        <v>0.14934647609662671</v>
      </c>
      <c r="P2328" s="229">
        <v>0.80466808241156407</v>
      </c>
      <c r="Q2328" s="229">
        <v>1.8266624639604654</v>
      </c>
      <c r="R2328" s="229">
        <v>2.6010116250028514</v>
      </c>
      <c r="S2328" s="229">
        <v>0.54278666509962048</v>
      </c>
      <c r="T2328" s="229">
        <v>1.2181408312190016</v>
      </c>
      <c r="U2328" s="229">
        <f>AVERAGE(G2328:T2328)</f>
        <v>0.97318875766199453</v>
      </c>
      <c r="V2328" t="str">
        <f t="shared" si="226"/>
        <v>2020/21Expenditure driversEnvironmental Reporting &amp; LossesActual</v>
      </c>
    </row>
    <row r="2329" spans="1:22">
      <c r="A2329" t="s">
        <v>126</v>
      </c>
      <c r="C2329" t="s">
        <v>1344</v>
      </c>
      <c r="D2329" t="s">
        <v>90</v>
      </c>
      <c r="E2329" t="s">
        <v>602</v>
      </c>
      <c r="F2329" t="s">
        <v>1289</v>
      </c>
      <c r="G2329" s="229">
        <v>-1.3098772899788418</v>
      </c>
      <c r="H2329" s="229">
        <v>-0.22717801249291114</v>
      </c>
      <c r="I2329" s="229">
        <v>-0.28754796351098466</v>
      </c>
      <c r="J2329" s="229">
        <v>0.81729632243298878</v>
      </c>
      <c r="K2329" s="229">
        <v>0.12247661815969613</v>
      </c>
      <c r="L2329" s="229">
        <v>1.9490198322711969</v>
      </c>
      <c r="M2329" s="229">
        <v>0.25723514193816638</v>
      </c>
      <c r="N2329" s="229">
        <v>-0.4766638005340455</v>
      </c>
      <c r="O2329" s="229">
        <v>-1.0292149725858206</v>
      </c>
      <c r="P2329" s="229">
        <v>-1.1640197238595031</v>
      </c>
      <c r="Q2329" s="229">
        <v>-0.93606510339147508</v>
      </c>
      <c r="R2329" s="229">
        <v>0.23130995198204074</v>
      </c>
      <c r="S2329" s="229">
        <v>-0.37578746717332034</v>
      </c>
      <c r="T2329" s="229">
        <v>-1.4576351756589152</v>
      </c>
      <c r="U2329" s="229">
        <f>U2328-U2327</f>
        <v>-0.2776179744572661</v>
      </c>
      <c r="V2329" t="str">
        <f t="shared" si="226"/>
        <v>2020/21Expenditure driversEnvironmental Reporting &amp; LossesDifference</v>
      </c>
    </row>
    <row r="2330" spans="1:22">
      <c r="A2330" t="s">
        <v>126</v>
      </c>
      <c r="C2330" t="s">
        <v>1344</v>
      </c>
      <c r="D2330" t="s">
        <v>90</v>
      </c>
      <c r="E2330" t="s">
        <v>1346</v>
      </c>
      <c r="F2330" t="s">
        <v>606</v>
      </c>
      <c r="G2330" s="829">
        <v>-0.72397443095170422</v>
      </c>
      <c r="H2330" s="829">
        <v>-0.80145498055056019</v>
      </c>
      <c r="I2330" s="829">
        <v>-0.59458348304457354</v>
      </c>
      <c r="J2330" s="829">
        <v>1.1424366577937091</v>
      </c>
      <c r="K2330" s="829">
        <v>0.15372671170063903</v>
      </c>
      <c r="L2330" s="829">
        <v>5.3345421538801228</v>
      </c>
      <c r="M2330" s="829">
        <v>0.65582843927661572</v>
      </c>
      <c r="N2330" s="829">
        <v>-0.60245088474173059</v>
      </c>
      <c r="O2330" s="829">
        <v>-0.87328070482571263</v>
      </c>
      <c r="P2330" s="829">
        <v>-0.59126679209960531</v>
      </c>
      <c r="Q2330" s="829">
        <v>-0.33881918523319637</v>
      </c>
      <c r="R2330" s="829">
        <v>9.7611422828247876E-2</v>
      </c>
      <c r="S2330" s="829">
        <v>-0.40909868237140889</v>
      </c>
      <c r="T2330" s="829">
        <v>-0.54475231555711467</v>
      </c>
      <c r="U2330" s="829">
        <f>U2329/U2327</f>
        <v>-0.22195113547789577</v>
      </c>
      <c r="V2330" t="str">
        <f t="shared" si="226"/>
        <v>2020/21Expenditure driversEnvironmental Reporting &amp; LossesDifference %</v>
      </c>
    </row>
    <row r="2331" spans="1:22">
      <c r="A2331" t="s">
        <v>142</v>
      </c>
      <c r="C2331" t="s">
        <v>1344</v>
      </c>
      <c r="D2331" t="s">
        <v>90</v>
      </c>
      <c r="E2331" t="s">
        <v>297</v>
      </c>
      <c r="F2331" t="s">
        <v>1289</v>
      </c>
      <c r="G2331" s="229" cm="1">
        <f t="array" ref="G2331:T2334">TRANSPOSE('Ch4 expenditure drivers'!BJ634:BM647)</f>
        <v>1.7319022673312079</v>
      </c>
      <c r="H2331" s="229">
        <v>0.25316967558696241</v>
      </c>
      <c r="I2331" s="229">
        <v>0.4110617372109403</v>
      </c>
      <c r="J2331" s="229">
        <v>0.71731092119248641</v>
      </c>
      <c r="K2331" s="229">
        <v>0.79826155710488134</v>
      </c>
      <c r="L2331" s="229">
        <v>0.36712807830742561</v>
      </c>
      <c r="M2331" s="229">
        <v>0.39296999606912952</v>
      </c>
      <c r="N2331" s="229">
        <v>0.71053388372092441</v>
      </c>
      <c r="O2331" s="229">
        <v>1.1093611694781409</v>
      </c>
      <c r="P2331" s="229">
        <v>1.9234017306161184</v>
      </c>
      <c r="Q2331" s="229">
        <v>2.5176354120153492</v>
      </c>
      <c r="R2331" s="229">
        <v>2.065809851497086</v>
      </c>
      <c r="S2331" s="229">
        <v>0.91839572440433381</v>
      </c>
      <c r="T2331" s="229">
        <v>2.3565374531145094</v>
      </c>
      <c r="U2331" s="229">
        <f>AVERAGE(G2331:T2331)</f>
        <v>1.162391389832107</v>
      </c>
      <c r="V2331" t="str">
        <f t="shared" ref="V2331:V2334" si="228">CONCATENATE(A2331,B2331,C2331,D2331,E2331)</f>
        <v>2021/22Expenditure driversEnvironmental Reporting &amp; LossesAllowance</v>
      </c>
    </row>
    <row r="2332" spans="1:22">
      <c r="A2332" t="s">
        <v>142</v>
      </c>
      <c r="C2332" t="s">
        <v>1344</v>
      </c>
      <c r="D2332" t="s">
        <v>90</v>
      </c>
      <c r="E2332" t="s">
        <v>298</v>
      </c>
      <c r="F2332" t="s">
        <v>1289</v>
      </c>
      <c r="G2332" s="229">
        <v>0.31887590031451696</v>
      </c>
      <c r="H2332" s="229">
        <v>0.25263860999999999</v>
      </c>
      <c r="I2332" s="229">
        <v>5.4942119999999997E-2</v>
      </c>
      <c r="J2332" s="229">
        <v>1.7099</v>
      </c>
      <c r="K2332" s="229">
        <v>1.7621999999999998</v>
      </c>
      <c r="L2332" s="229">
        <v>0.66889999999999994</v>
      </c>
      <c r="M2332" s="229">
        <v>0.63769999999999993</v>
      </c>
      <c r="N2332" s="229">
        <v>0.62172768496159525</v>
      </c>
      <c r="O2332" s="229">
        <v>1.7275522722390249</v>
      </c>
      <c r="P2332" s="229">
        <v>3.9961687229070515</v>
      </c>
      <c r="Q2332" s="229">
        <v>2.0925242309159708</v>
      </c>
      <c r="R2332" s="229">
        <v>1.6972329020471764</v>
      </c>
      <c r="S2332" s="229">
        <v>1.2939746400000001</v>
      </c>
      <c r="T2332" s="229">
        <v>1.45029111</v>
      </c>
      <c r="U2332" s="229">
        <f>AVERAGE(G2332:T2332)</f>
        <v>1.3060448709560952</v>
      </c>
      <c r="V2332" t="str">
        <f t="shared" si="228"/>
        <v>2021/22Expenditure driversEnvironmental Reporting &amp; LossesActual</v>
      </c>
    </row>
    <row r="2333" spans="1:22">
      <c r="A2333" t="s">
        <v>142</v>
      </c>
      <c r="C2333" t="s">
        <v>1344</v>
      </c>
      <c r="D2333" t="s">
        <v>90</v>
      </c>
      <c r="E2333" t="s">
        <v>602</v>
      </c>
      <c r="F2333" t="s">
        <v>1289</v>
      </c>
      <c r="G2333" s="229">
        <v>-1.4130263670166909</v>
      </c>
      <c r="H2333" s="229">
        <v>-5.3106558696242034E-4</v>
      </c>
      <c r="I2333" s="229">
        <v>-0.35611961721094032</v>
      </c>
      <c r="J2333" s="229">
        <v>0.99258907880751357</v>
      </c>
      <c r="K2333" s="229">
        <v>0.96393844289511843</v>
      </c>
      <c r="L2333" s="229">
        <v>0.30177192169257433</v>
      </c>
      <c r="M2333" s="229">
        <v>0.24473000393087041</v>
      </c>
      <c r="N2333" s="229">
        <v>-8.8806198759329158E-2</v>
      </c>
      <c r="O2333" s="229">
        <v>0.61819110276088396</v>
      </c>
      <c r="P2333" s="229">
        <v>2.0727669922909331</v>
      </c>
      <c r="Q2333" s="229">
        <v>-0.4251111810993784</v>
      </c>
      <c r="R2333" s="229">
        <v>-0.3685769494499096</v>
      </c>
      <c r="S2333" s="229">
        <v>0.37557891559566625</v>
      </c>
      <c r="T2333" s="229">
        <v>-0.90624634311450936</v>
      </c>
      <c r="U2333" s="229">
        <f>U2332-U2331</f>
        <v>0.14365348112398824</v>
      </c>
      <c r="V2333" t="str">
        <f t="shared" si="228"/>
        <v>2021/22Expenditure driversEnvironmental Reporting &amp; LossesDifference</v>
      </c>
    </row>
    <row r="2334" spans="1:22">
      <c r="A2334" t="s">
        <v>142</v>
      </c>
      <c r="C2334" t="s">
        <v>1344</v>
      </c>
      <c r="D2334" t="s">
        <v>90</v>
      </c>
      <c r="E2334" t="s">
        <v>1346</v>
      </c>
      <c r="F2334" t="s">
        <v>606</v>
      </c>
      <c r="G2334" s="829">
        <v>-0.81588112312717742</v>
      </c>
      <c r="H2334" s="829">
        <v>-2.0976666566845689E-3</v>
      </c>
      <c r="I2334" s="829">
        <v>-0.86634095313082882</v>
      </c>
      <c r="J2334" s="829">
        <v>1.3837640686655011</v>
      </c>
      <c r="K2334" s="829">
        <v>1.2075471182542106</v>
      </c>
      <c r="L2334" s="829">
        <v>0.82197995610642627</v>
      </c>
      <c r="M2334" s="829">
        <v>0.62277020225182433</v>
      </c>
      <c r="N2334" s="829">
        <v>-0.12498517072017563</v>
      </c>
      <c r="O2334" s="829">
        <v>0.55724963138171657</v>
      </c>
      <c r="P2334" s="829">
        <v>1.0776568198402154</v>
      </c>
      <c r="Q2334" s="829">
        <v>-0.16885335305920246</v>
      </c>
      <c r="R2334" s="829">
        <v>-0.17841765503383722</v>
      </c>
      <c r="S2334" s="829">
        <v>0.40895107154300459</v>
      </c>
      <c r="T2334" s="829">
        <v>-0.38456691698948903</v>
      </c>
      <c r="U2334" s="829">
        <f>U2333/U2331</f>
        <v>0.12358443324733952</v>
      </c>
      <c r="V2334" t="str">
        <f t="shared" si="228"/>
        <v>2021/22Expenditure driversEnvironmental Reporting &amp; LossesDifference %</v>
      </c>
    </row>
    <row r="2335" spans="1:22">
      <c r="A2335" t="s">
        <v>137</v>
      </c>
      <c r="C2335" t="s">
        <v>1344</v>
      </c>
      <c r="D2335" t="s">
        <v>92</v>
      </c>
      <c r="E2335" t="s">
        <v>1347</v>
      </c>
      <c r="F2335" t="s">
        <v>1289</v>
      </c>
      <c r="G2335">
        <f t="array" ref="G2335:T2342">TRANSPOSE('Ch4 expenditure drivers'!E654:L667)</f>
        <v>27.28437991937572</v>
      </c>
      <c r="H2335">
        <v>25.190841014576467</v>
      </c>
      <c r="I2335">
        <v>37.701877583168802</v>
      </c>
      <c r="J2335">
        <v>29.992407913365064</v>
      </c>
      <c r="K2335">
        <v>36.974731932026707</v>
      </c>
      <c r="L2335">
        <v>13.655280559129324</v>
      </c>
      <c r="M2335">
        <v>25.832400803377656</v>
      </c>
      <c r="N2335">
        <v>22.65041303490208</v>
      </c>
      <c r="O2335">
        <v>24.54072465490259</v>
      </c>
      <c r="P2335">
        <v>36.353459500675292</v>
      </c>
      <c r="Q2335">
        <v>23.295474941978675</v>
      </c>
      <c r="R2335">
        <v>19.325933359237158</v>
      </c>
      <c r="S2335">
        <v>18.10956026842646</v>
      </c>
      <c r="T2335">
        <v>27.103681319788084</v>
      </c>
      <c r="U2335">
        <f>AVERAGE(G2335:T2335)</f>
        <v>26.286511914637863</v>
      </c>
      <c r="V2335" t="str">
        <f t="shared" si="226"/>
        <v>2015/16Expenditure driversFaultsBPDT</v>
      </c>
    </row>
    <row r="2336" spans="1:22">
      <c r="A2336" t="s">
        <v>138</v>
      </c>
      <c r="C2336" t="s">
        <v>1344</v>
      </c>
      <c r="D2336" t="s">
        <v>92</v>
      </c>
      <c r="E2336" t="s">
        <v>1347</v>
      </c>
      <c r="F2336" t="s">
        <v>1289</v>
      </c>
      <c r="G2336">
        <v>27.645315785920577</v>
      </c>
      <c r="H2336">
        <v>25.175546372294701</v>
      </c>
      <c r="I2336">
        <v>37.96481297684128</v>
      </c>
      <c r="J2336">
        <v>29.955808035286672</v>
      </c>
      <c r="K2336">
        <v>37.016835470369593</v>
      </c>
      <c r="L2336">
        <v>13.658294420672778</v>
      </c>
      <c r="M2336">
        <v>25.825602175143342</v>
      </c>
      <c r="N2336">
        <v>22.767601812225838</v>
      </c>
      <c r="O2336">
        <v>24.710564025550614</v>
      </c>
      <c r="P2336">
        <v>37.072726551195991</v>
      </c>
      <c r="Q2336">
        <v>23.16069683381216</v>
      </c>
      <c r="R2336">
        <v>18.998288499819189</v>
      </c>
      <c r="S2336">
        <v>17.873110635154898</v>
      </c>
      <c r="T2336">
        <v>26.970713003636945</v>
      </c>
      <c r="U2336">
        <f t="shared" ref="U2336:U2367" si="229">AVERAGE(G2336:T2336)</f>
        <v>26.342565471280324</v>
      </c>
      <c r="V2336" t="str">
        <f t="shared" si="226"/>
        <v>2016/17Expenditure driversFaultsBPDT</v>
      </c>
    </row>
    <row r="2337" spans="1:22">
      <c r="A2337" t="s">
        <v>139</v>
      </c>
      <c r="C2337" t="s">
        <v>1344</v>
      </c>
      <c r="D2337" t="s">
        <v>92</v>
      </c>
      <c r="E2337" t="s">
        <v>1347</v>
      </c>
      <c r="F2337" t="s">
        <v>1289</v>
      </c>
      <c r="G2337">
        <v>27.458596746252336</v>
      </c>
      <c r="H2337">
        <v>25.135140697745726</v>
      </c>
      <c r="I2337">
        <v>37.61383502502175</v>
      </c>
      <c r="J2337">
        <v>29.843044109639361</v>
      </c>
      <c r="K2337">
        <v>36.951904008456424</v>
      </c>
      <c r="L2337">
        <v>13.608331044362936</v>
      </c>
      <c r="M2337">
        <v>25.727864106637284</v>
      </c>
      <c r="N2337">
        <v>22.773211213568796</v>
      </c>
      <c r="O2337">
        <v>24.77919541567741</v>
      </c>
      <c r="P2337">
        <v>37.326174710677954</v>
      </c>
      <c r="Q2337">
        <v>22.957359228982732</v>
      </c>
      <c r="R2337">
        <v>19.057958214460612</v>
      </c>
      <c r="S2337">
        <v>17.6163503653937</v>
      </c>
      <c r="T2337">
        <v>27.042387404809887</v>
      </c>
      <c r="U2337">
        <f t="shared" si="229"/>
        <v>26.277953735120491</v>
      </c>
      <c r="V2337" t="str">
        <f t="shared" si="226"/>
        <v>2017/18Expenditure driversFaultsBPDT</v>
      </c>
    </row>
    <row r="2338" spans="1:22">
      <c r="A2338" t="s">
        <v>140</v>
      </c>
      <c r="C2338" t="s">
        <v>1344</v>
      </c>
      <c r="D2338" t="s">
        <v>92</v>
      </c>
      <c r="E2338" t="s">
        <v>1347</v>
      </c>
      <c r="F2338" t="s">
        <v>1289</v>
      </c>
      <c r="G2338">
        <v>27.446736477751013</v>
      </c>
      <c r="H2338">
        <v>25.111640851408588</v>
      </c>
      <c r="I2338">
        <v>37.758914855066138</v>
      </c>
      <c r="J2338">
        <v>29.880975499256319</v>
      </c>
      <c r="K2338">
        <v>37.071399324131654</v>
      </c>
      <c r="L2338">
        <v>13.628319579358347</v>
      </c>
      <c r="M2338">
        <v>25.748492058597858</v>
      </c>
      <c r="N2338">
        <v>22.817360560436278</v>
      </c>
      <c r="O2338">
        <v>24.894167412031287</v>
      </c>
      <c r="P2338">
        <v>37.626512670408061</v>
      </c>
      <c r="Q2338">
        <v>22.731108224787707</v>
      </c>
      <c r="R2338">
        <v>18.682654541274658</v>
      </c>
      <c r="S2338">
        <v>15.978265443327727</v>
      </c>
      <c r="T2338">
        <v>26.820340238437215</v>
      </c>
      <c r="U2338">
        <f t="shared" si="229"/>
        <v>26.156920552590915</v>
      </c>
      <c r="V2338" t="str">
        <f t="shared" si="226"/>
        <v>2018/19Expenditure driversFaultsBPDT</v>
      </c>
    </row>
    <row r="2339" spans="1:22">
      <c r="A2339" t="s">
        <v>141</v>
      </c>
      <c r="C2339" t="s">
        <v>1344</v>
      </c>
      <c r="D2339" t="s">
        <v>92</v>
      </c>
      <c r="E2339" t="s">
        <v>1347</v>
      </c>
      <c r="F2339" t="s">
        <v>1289</v>
      </c>
      <c r="G2339">
        <v>27.478991868191393</v>
      </c>
      <c r="H2339">
        <v>25.060932361094807</v>
      </c>
      <c r="I2339">
        <v>37.736815114358301</v>
      </c>
      <c r="J2339">
        <v>29.915376681530972</v>
      </c>
      <c r="K2339">
        <v>37.195791579961025</v>
      </c>
      <c r="L2339">
        <v>13.658802464676674</v>
      </c>
      <c r="M2339">
        <v>25.785288907886052</v>
      </c>
      <c r="N2339">
        <v>22.873049542005599</v>
      </c>
      <c r="O2339">
        <v>25.030867024704403</v>
      </c>
      <c r="P2339">
        <v>37.119504772706911</v>
      </c>
      <c r="Q2339">
        <v>22.605701370229241</v>
      </c>
      <c r="R2339">
        <v>18.487702757507083</v>
      </c>
      <c r="S2339">
        <v>15.044599229506964</v>
      </c>
      <c r="T2339">
        <v>26.938465794341898</v>
      </c>
      <c r="U2339">
        <f t="shared" si="229"/>
        <v>26.066563533478661</v>
      </c>
      <c r="V2339" t="str">
        <f t="shared" si="226"/>
        <v>2019/20Expenditure driversFaultsBPDT</v>
      </c>
    </row>
    <row r="2340" spans="1:22">
      <c r="A2340" t="s">
        <v>126</v>
      </c>
      <c r="C2340" t="s">
        <v>1344</v>
      </c>
      <c r="D2340" t="s">
        <v>92</v>
      </c>
      <c r="E2340" t="s">
        <v>1347</v>
      </c>
      <c r="F2340" t="s">
        <v>1289</v>
      </c>
      <c r="G2340">
        <v>27.659289010507798</v>
      </c>
      <c r="H2340">
        <v>25.056869892003263</v>
      </c>
      <c r="I2340">
        <v>37.701198739815041</v>
      </c>
      <c r="J2340">
        <v>29.963449087984149</v>
      </c>
      <c r="K2340">
        <v>37.321943619637409</v>
      </c>
      <c r="L2340">
        <v>13.681431092881976</v>
      </c>
      <c r="M2340">
        <v>25.810263683738039</v>
      </c>
      <c r="N2340">
        <v>23.02527034128283</v>
      </c>
      <c r="O2340">
        <v>25.234930022445116</v>
      </c>
      <c r="P2340">
        <v>38.308558280729841</v>
      </c>
      <c r="Q2340">
        <v>22.539391085957796</v>
      </c>
      <c r="R2340">
        <v>18.627430324409193</v>
      </c>
      <c r="S2340">
        <v>15.773795178085779</v>
      </c>
      <c r="T2340">
        <v>26.867130036643797</v>
      </c>
      <c r="U2340">
        <f t="shared" si="229"/>
        <v>26.255067885437288</v>
      </c>
      <c r="V2340" t="str">
        <f t="shared" si="226"/>
        <v>2020/21Expenditure driversFaultsBPDT</v>
      </c>
    </row>
    <row r="2341" spans="1:22">
      <c r="A2341" t="s">
        <v>142</v>
      </c>
      <c r="C2341" t="s">
        <v>1344</v>
      </c>
      <c r="D2341" t="s">
        <v>92</v>
      </c>
      <c r="E2341" t="s">
        <v>1347</v>
      </c>
      <c r="F2341" t="s">
        <v>1289</v>
      </c>
      <c r="G2341">
        <v>27.605922732198955</v>
      </c>
      <c r="H2341">
        <v>25.020552541553485</v>
      </c>
      <c r="I2341">
        <v>37.743832768717127</v>
      </c>
      <c r="J2341">
        <v>29.996250976910179</v>
      </c>
      <c r="K2341">
        <v>37.447592757139624</v>
      </c>
      <c r="L2341">
        <v>13.707882874317139</v>
      </c>
      <c r="M2341">
        <v>25.84106161590071</v>
      </c>
      <c r="N2341">
        <v>23.311673282661257</v>
      </c>
      <c r="O2341">
        <v>25.547258426669828</v>
      </c>
      <c r="P2341">
        <v>38.916284896642793</v>
      </c>
      <c r="Q2341">
        <v>22.622937755945511</v>
      </c>
      <c r="R2341">
        <v>18.452201681105027</v>
      </c>
      <c r="S2341">
        <v>15.672736394431233</v>
      </c>
      <c r="T2341">
        <v>28.357260309371146</v>
      </c>
      <c r="U2341">
        <f t="shared" si="229"/>
        <v>26.445960643825998</v>
      </c>
      <c r="V2341" t="str">
        <f t="shared" si="226"/>
        <v>2021/22Expenditure driversFaultsBPDT</v>
      </c>
    </row>
    <row r="2342" spans="1:22">
      <c r="A2342" t="s">
        <v>143</v>
      </c>
      <c r="C2342" t="s">
        <v>1344</v>
      </c>
      <c r="D2342" t="s">
        <v>92</v>
      </c>
      <c r="E2342" t="s">
        <v>1347</v>
      </c>
      <c r="F2342" t="s">
        <v>1289</v>
      </c>
      <c r="G2342">
        <v>27.667275078523804</v>
      </c>
      <c r="H2342">
        <v>25.03881465903233</v>
      </c>
      <c r="I2342">
        <v>37.768541599834258</v>
      </c>
      <c r="J2342">
        <v>30.017792547535915</v>
      </c>
      <c r="K2342">
        <v>37.554504663901795</v>
      </c>
      <c r="L2342">
        <v>13.721219508115647</v>
      </c>
      <c r="M2342">
        <v>25.845275168204481</v>
      </c>
      <c r="N2342">
        <v>23.934018949089339</v>
      </c>
      <c r="O2342">
        <v>26.117037457897677</v>
      </c>
      <c r="P2342">
        <v>39.865827926272246</v>
      </c>
      <c r="Q2342">
        <v>22.581497701458805</v>
      </c>
      <c r="R2342">
        <v>18.314468293644211</v>
      </c>
      <c r="S2342">
        <v>14.704114654056539</v>
      </c>
      <c r="T2342">
        <v>26.905586580886162</v>
      </c>
      <c r="U2342">
        <f t="shared" si="229"/>
        <v>26.431141056318086</v>
      </c>
      <c r="V2342" t="str">
        <f t="shared" si="226"/>
        <v>2022/23Expenditure driversFaultsBPDT</v>
      </c>
    </row>
    <row r="2343" spans="1:22">
      <c r="A2343" t="s">
        <v>137</v>
      </c>
      <c r="C2343" t="s">
        <v>1344</v>
      </c>
      <c r="D2343" t="s">
        <v>92</v>
      </c>
      <c r="E2343" t="s">
        <v>1348</v>
      </c>
      <c r="F2343" t="s">
        <v>1289</v>
      </c>
      <c r="G2343">
        <f t="array" ref="G2343:T2350">TRANSPOSE('Ch4 expenditure drivers'!N654:U667)</f>
        <v>27.34356302238373</v>
      </c>
      <c r="H2343">
        <v>22.720789658846378</v>
      </c>
      <c r="I2343">
        <v>37.196999526874393</v>
      </c>
      <c r="J2343">
        <v>29.992407913365064</v>
      </c>
      <c r="K2343">
        <v>36.974731932026707</v>
      </c>
      <c r="L2343">
        <v>13.655280559129324</v>
      </c>
      <c r="M2343">
        <v>25.832400803377656</v>
      </c>
      <c r="N2343">
        <v>23.668757072231664</v>
      </c>
      <c r="O2343">
        <v>24.696066266183117</v>
      </c>
      <c r="P2343">
        <v>36.788345783949467</v>
      </c>
      <c r="Q2343">
        <v>24.418794631596292</v>
      </c>
      <c r="R2343">
        <v>19.022504793654708</v>
      </c>
      <c r="S2343">
        <v>17.667137564982333</v>
      </c>
      <c r="T2343">
        <v>33.791022076912334</v>
      </c>
      <c r="U2343">
        <f t="shared" si="229"/>
        <v>26.697771543250944</v>
      </c>
      <c r="V2343" t="str">
        <f t="shared" si="226"/>
        <v>2015/16Expenditure driversFaultsDNO Baseline</v>
      </c>
    </row>
    <row r="2344" spans="1:22">
      <c r="A2344" t="s">
        <v>138</v>
      </c>
      <c r="C2344" t="s">
        <v>1344</v>
      </c>
      <c r="D2344" t="s">
        <v>92</v>
      </c>
      <c r="E2344" t="s">
        <v>1348</v>
      </c>
      <c r="F2344" t="s">
        <v>1289</v>
      </c>
      <c r="G2344">
        <v>26.984368421874343</v>
      </c>
      <c r="H2344">
        <v>22.528991273047808</v>
      </c>
      <c r="I2344">
        <v>37.055127283543989</v>
      </c>
      <c r="J2344">
        <v>29.955808035286672</v>
      </c>
      <c r="K2344">
        <v>37.016835470369593</v>
      </c>
      <c r="L2344">
        <v>13.658294420672778</v>
      </c>
      <c r="M2344">
        <v>25.825602175143342</v>
      </c>
      <c r="N2344">
        <v>23.15190255847082</v>
      </c>
      <c r="O2344">
        <v>24.224382944039718</v>
      </c>
      <c r="P2344">
        <v>36.455196640883237</v>
      </c>
      <c r="Q2344">
        <v>23.871442363232301</v>
      </c>
      <c r="R2344">
        <v>18.497578314945297</v>
      </c>
      <c r="S2344">
        <v>17.348595057441589</v>
      </c>
      <c r="T2344">
        <v>33.346898131605109</v>
      </c>
      <c r="U2344">
        <f t="shared" si="229"/>
        <v>26.42293022075404</v>
      </c>
      <c r="V2344" t="str">
        <f t="shared" si="226"/>
        <v>2016/17Expenditure driversFaultsDNO Baseline</v>
      </c>
    </row>
    <row r="2345" spans="1:22">
      <c r="A2345" t="s">
        <v>139</v>
      </c>
      <c r="C2345" t="s">
        <v>1344</v>
      </c>
      <c r="D2345" t="s">
        <v>92</v>
      </c>
      <c r="E2345" t="s">
        <v>1348</v>
      </c>
      <c r="F2345" t="s">
        <v>1289</v>
      </c>
      <c r="G2345">
        <v>26.347262669231096</v>
      </c>
      <c r="H2345">
        <v>22.237311686328358</v>
      </c>
      <c r="I2345">
        <v>36.331322085038188</v>
      </c>
      <c r="J2345">
        <v>29.843044109639361</v>
      </c>
      <c r="K2345">
        <v>36.951904008456424</v>
      </c>
      <c r="L2345">
        <v>13.608331044362936</v>
      </c>
      <c r="M2345">
        <v>25.727864106637284</v>
      </c>
      <c r="N2345">
        <v>22.590185281531021</v>
      </c>
      <c r="O2345">
        <v>23.710200633197019</v>
      </c>
      <c r="P2345">
        <v>35.872856093537195</v>
      </c>
      <c r="Q2345">
        <v>23.308134120941748</v>
      </c>
      <c r="R2345">
        <v>18.147190059345903</v>
      </c>
      <c r="S2345">
        <v>17.01642338180735</v>
      </c>
      <c r="T2345">
        <v>33.084236809035765</v>
      </c>
      <c r="U2345">
        <f t="shared" si="229"/>
        <v>26.055447577792116</v>
      </c>
      <c r="V2345" t="str">
        <f t="shared" si="226"/>
        <v>2017/18Expenditure driversFaultsDNO Baseline</v>
      </c>
    </row>
    <row r="2346" spans="1:22">
      <c r="A2346" t="s">
        <v>140</v>
      </c>
      <c r="C2346" t="s">
        <v>1344</v>
      </c>
      <c r="D2346" t="s">
        <v>92</v>
      </c>
      <c r="E2346" t="s">
        <v>1348</v>
      </c>
      <c r="F2346" t="s">
        <v>1289</v>
      </c>
      <c r="G2346">
        <v>25.772868328025222</v>
      </c>
      <c r="H2346">
        <v>22.028185942557233</v>
      </c>
      <c r="I2346">
        <v>36.00707569096226</v>
      </c>
      <c r="J2346">
        <v>29.880975499256319</v>
      </c>
      <c r="K2346">
        <v>37.071399324131654</v>
      </c>
      <c r="L2346">
        <v>13.628319579358347</v>
      </c>
      <c r="M2346">
        <v>25.748492058597858</v>
      </c>
      <c r="N2346">
        <v>22.127749196828191</v>
      </c>
      <c r="O2346">
        <v>23.316965666280325</v>
      </c>
      <c r="P2346">
        <v>35.449921811152088</v>
      </c>
      <c r="Q2346">
        <v>22.73604257365346</v>
      </c>
      <c r="R2346">
        <v>17.513561809411375</v>
      </c>
      <c r="S2346">
        <v>15.564186173272782</v>
      </c>
      <c r="T2346">
        <v>32.605753193000581</v>
      </c>
      <c r="U2346">
        <f t="shared" si="229"/>
        <v>25.675106917606264</v>
      </c>
      <c r="V2346" t="str">
        <f t="shared" si="226"/>
        <v>2018/19Expenditure driversFaultsDNO Baseline</v>
      </c>
    </row>
    <row r="2347" spans="1:22">
      <c r="A2347" t="s">
        <v>141</v>
      </c>
      <c r="C2347" t="s">
        <v>1344</v>
      </c>
      <c r="D2347" t="s">
        <v>92</v>
      </c>
      <c r="E2347" t="s">
        <v>1348</v>
      </c>
      <c r="F2347" t="s">
        <v>1289</v>
      </c>
      <c r="G2347">
        <v>25.267256939476521</v>
      </c>
      <c r="H2347">
        <v>21.759371060814118</v>
      </c>
      <c r="I2347">
        <v>35.440215081548494</v>
      </c>
      <c r="J2347">
        <v>29.915376681530972</v>
      </c>
      <c r="K2347">
        <v>37.195791579961025</v>
      </c>
      <c r="L2347">
        <v>13.658802464676674</v>
      </c>
      <c r="M2347">
        <v>25.785288907886052</v>
      </c>
      <c r="N2347">
        <v>21.731762376500367</v>
      </c>
      <c r="O2347">
        <v>22.950685742272604</v>
      </c>
      <c r="P2347">
        <v>34.331115695185623</v>
      </c>
      <c r="Q2347">
        <v>22.214339743755346</v>
      </c>
      <c r="R2347">
        <v>17.046400232301515</v>
      </c>
      <c r="S2347">
        <v>14.663477789608496</v>
      </c>
      <c r="T2347">
        <v>32.336684669984031</v>
      </c>
      <c r="U2347">
        <f t="shared" si="229"/>
        <v>25.306897783250133</v>
      </c>
      <c r="V2347" t="str">
        <f t="shared" si="226"/>
        <v>2019/20Expenditure driversFaultsDNO Baseline</v>
      </c>
    </row>
    <row r="2348" spans="1:22">
      <c r="A2348" t="s">
        <v>126</v>
      </c>
      <c r="C2348" t="s">
        <v>1344</v>
      </c>
      <c r="D2348" t="s">
        <v>92</v>
      </c>
      <c r="E2348" t="s">
        <v>1348</v>
      </c>
      <c r="F2348" t="s">
        <v>1289</v>
      </c>
      <c r="G2348">
        <v>24.742662965989872</v>
      </c>
      <c r="H2348">
        <v>21.584841620371318</v>
      </c>
      <c r="I2348">
        <v>35.272633206976089</v>
      </c>
      <c r="J2348">
        <v>29.963449087984149</v>
      </c>
      <c r="K2348">
        <v>37.321943619637409</v>
      </c>
      <c r="L2348">
        <v>13.681431092881976</v>
      </c>
      <c r="M2348">
        <v>25.810263683738039</v>
      </c>
      <c r="N2348">
        <v>21.474922488174943</v>
      </c>
      <c r="O2348">
        <v>22.680901719523437</v>
      </c>
      <c r="P2348">
        <v>34.497804302449872</v>
      </c>
      <c r="Q2348">
        <v>21.706265390499642</v>
      </c>
      <c r="R2348">
        <v>16.800745415234648</v>
      </c>
      <c r="S2348">
        <v>15.152276113401919</v>
      </c>
      <c r="T2348">
        <v>31.903974378802236</v>
      </c>
      <c r="U2348">
        <f t="shared" si="229"/>
        <v>25.185293934690396</v>
      </c>
      <c r="V2348" t="str">
        <f t="shared" si="226"/>
        <v>2020/21Expenditure driversFaultsDNO Baseline</v>
      </c>
    </row>
    <row r="2349" spans="1:22">
      <c r="A2349" t="s">
        <v>142</v>
      </c>
      <c r="C2349" t="s">
        <v>1344</v>
      </c>
      <c r="D2349" t="s">
        <v>92</v>
      </c>
      <c r="E2349" t="s">
        <v>1348</v>
      </c>
      <c r="F2349" t="s">
        <v>1289</v>
      </c>
      <c r="G2349">
        <v>24.14281045873847</v>
      </c>
      <c r="H2349">
        <v>21.424471495557025</v>
      </c>
      <c r="I2349">
        <v>35.130177370837146</v>
      </c>
      <c r="J2349">
        <v>29.996250976910179</v>
      </c>
      <c r="K2349">
        <v>37.447592757139624</v>
      </c>
      <c r="L2349">
        <v>13.707882874317139</v>
      </c>
      <c r="M2349">
        <v>25.84106161590071</v>
      </c>
      <c r="N2349">
        <v>21.42979232168847</v>
      </c>
      <c r="O2349">
        <v>22.743665402900628</v>
      </c>
      <c r="P2349">
        <v>34.57237516353284</v>
      </c>
      <c r="Q2349">
        <v>21.354575031490743</v>
      </c>
      <c r="R2349">
        <v>16.334630021621599</v>
      </c>
      <c r="S2349">
        <v>14.955485035094329</v>
      </c>
      <c r="T2349">
        <v>32.912303367277516</v>
      </c>
      <c r="U2349">
        <f t="shared" si="229"/>
        <v>25.142362420929029</v>
      </c>
      <c r="V2349" t="str">
        <f t="shared" si="226"/>
        <v>2021/22Expenditure driversFaultsDNO Baseline</v>
      </c>
    </row>
    <row r="2350" spans="1:22">
      <c r="A2350" t="s">
        <v>143</v>
      </c>
      <c r="C2350" t="s">
        <v>1344</v>
      </c>
      <c r="D2350" t="s">
        <v>92</v>
      </c>
      <c r="E2350" t="s">
        <v>1348</v>
      </c>
      <c r="F2350" t="s">
        <v>1289</v>
      </c>
      <c r="G2350">
        <v>23.572209729357002</v>
      </c>
      <c r="H2350">
        <v>21.299689441855207</v>
      </c>
      <c r="I2350">
        <v>34.977453158041754</v>
      </c>
      <c r="J2350">
        <v>30.017792547535915</v>
      </c>
      <c r="K2350">
        <v>37.554504663901795</v>
      </c>
      <c r="L2350">
        <v>13.721219508115647</v>
      </c>
      <c r="M2350">
        <v>25.845275168204481</v>
      </c>
      <c r="N2350">
        <v>21.5195688633024</v>
      </c>
      <c r="O2350">
        <v>22.727685278616583</v>
      </c>
      <c r="P2350">
        <v>34.601614717710689</v>
      </c>
      <c r="Q2350">
        <v>20.88916599815656</v>
      </c>
      <c r="R2350">
        <v>15.869150258012377</v>
      </c>
      <c r="S2350">
        <v>14.047082285261933</v>
      </c>
      <c r="T2350">
        <v>31.259901878232206</v>
      </c>
      <c r="U2350">
        <f t="shared" si="229"/>
        <v>24.850165249736033</v>
      </c>
      <c r="V2350" t="str">
        <f t="shared" si="226"/>
        <v>2022/23Expenditure driversFaultsDNO Baseline</v>
      </c>
    </row>
    <row r="2351" spans="1:22">
      <c r="A2351" t="s">
        <v>137</v>
      </c>
      <c r="C2351" t="s">
        <v>1344</v>
      </c>
      <c r="D2351" t="s">
        <v>92</v>
      </c>
      <c r="E2351" t="s">
        <v>1349</v>
      </c>
      <c r="F2351" t="s">
        <v>1289</v>
      </c>
      <c r="G2351" cm="1">
        <f t="array" ref="G2351:T2357">TRANSPOSE('Ch4 expenditure drivers'!W654:AC667)</f>
        <v>38.84189518422513</v>
      </c>
      <c r="H2351">
        <v>27.378387171626816</v>
      </c>
      <c r="I2351">
        <v>43.179275520764612</v>
      </c>
      <c r="J2351">
        <v>47.706423654662281</v>
      </c>
      <c r="K2351">
        <v>40.985114368642385</v>
      </c>
      <c r="L2351">
        <v>14.027914598374149</v>
      </c>
      <c r="M2351">
        <v>30.149941618838003</v>
      </c>
      <c r="N2351">
        <v>30.344428507508304</v>
      </c>
      <c r="O2351">
        <v>30.60827840176545</v>
      </c>
      <c r="P2351">
        <v>38.45846462918189</v>
      </c>
      <c r="Q2351">
        <v>24.128534841678832</v>
      </c>
      <c r="R2351">
        <v>21.178607756197604</v>
      </c>
      <c r="S2351">
        <v>12.643789880271362</v>
      </c>
      <c r="T2351">
        <v>30.528944783431555</v>
      </c>
      <c r="U2351">
        <f t="shared" si="229"/>
        <v>30.725714351226316</v>
      </c>
      <c r="V2351" t="str">
        <f t="shared" si="226"/>
        <v>2015/16Expenditure driversFaultsDNO Actual</v>
      </c>
    </row>
    <row r="2352" spans="1:22">
      <c r="A2352" t="s">
        <v>138</v>
      </c>
      <c r="C2352" t="s">
        <v>1344</v>
      </c>
      <c r="D2352" t="s">
        <v>92</v>
      </c>
      <c r="E2352" t="s">
        <v>1349</v>
      </c>
      <c r="F2352" t="s">
        <v>1289</v>
      </c>
      <c r="G2352">
        <v>27.110207018304294</v>
      </c>
      <c r="H2352">
        <v>25.14983096553572</v>
      </c>
      <c r="I2352">
        <v>39.026623184599366</v>
      </c>
      <c r="J2352">
        <v>39.184781495290423</v>
      </c>
      <c r="K2352">
        <v>37.011306605482424</v>
      </c>
      <c r="L2352">
        <v>10.874419748520712</v>
      </c>
      <c r="M2352">
        <v>25.790492965825379</v>
      </c>
      <c r="N2352">
        <v>24.443161871370648</v>
      </c>
      <c r="O2352">
        <v>37.922343450105323</v>
      </c>
      <c r="P2352">
        <v>44.119943607160039</v>
      </c>
      <c r="Q2352">
        <v>24.808337914600489</v>
      </c>
      <c r="R2352">
        <v>24.008840572902834</v>
      </c>
      <c r="S2352">
        <v>12.266614112012235</v>
      </c>
      <c r="T2352">
        <v>37.59779363436882</v>
      </c>
      <c r="U2352">
        <f t="shared" si="229"/>
        <v>29.236764081862766</v>
      </c>
      <c r="V2352" t="str">
        <f t="shared" si="226"/>
        <v>2016/17Expenditure driversFaultsDNO Actual</v>
      </c>
    </row>
    <row r="2353" spans="1:22">
      <c r="A2353" t="s">
        <v>139</v>
      </c>
      <c r="C2353" t="s">
        <v>1344</v>
      </c>
      <c r="D2353" t="s">
        <v>92</v>
      </c>
      <c r="E2353" t="s">
        <v>1349</v>
      </c>
      <c r="F2353" t="s">
        <v>1289</v>
      </c>
      <c r="G2353">
        <v>25.923998471441141</v>
      </c>
      <c r="H2353">
        <v>28.235078468674889</v>
      </c>
      <c r="I2353">
        <v>35.961386918849783</v>
      </c>
      <c r="J2353">
        <v>33.85400126587804</v>
      </c>
      <c r="K2353">
        <v>33.590277350968321</v>
      </c>
      <c r="L2353">
        <v>12.354276958109619</v>
      </c>
      <c r="M2353">
        <v>26.222985667932544</v>
      </c>
      <c r="N2353">
        <v>25.680940253581088</v>
      </c>
      <c r="O2353">
        <v>28.219510231213665</v>
      </c>
      <c r="P2353">
        <v>50.08655027446251</v>
      </c>
      <c r="Q2353">
        <v>22.069031104865015</v>
      </c>
      <c r="R2353">
        <v>26.788547826614597</v>
      </c>
      <c r="S2353">
        <v>12.671090319207373</v>
      </c>
      <c r="T2353">
        <v>44.927969712167844</v>
      </c>
      <c r="U2353">
        <f t="shared" si="229"/>
        <v>29.041831773140462</v>
      </c>
      <c r="V2353" t="str">
        <f t="shared" si="226"/>
        <v>2017/18Expenditure driversFaultsDNO Actual</v>
      </c>
    </row>
    <row r="2354" spans="1:22">
      <c r="A2354" t="s">
        <v>140</v>
      </c>
      <c r="C2354" t="s">
        <v>1344</v>
      </c>
      <c r="D2354" t="s">
        <v>92</v>
      </c>
      <c r="E2354" t="s">
        <v>1349</v>
      </c>
      <c r="F2354" t="s">
        <v>1289</v>
      </c>
      <c r="G2354">
        <v>28.153653113297636</v>
      </c>
      <c r="H2354">
        <v>30.020899653190483</v>
      </c>
      <c r="I2354">
        <v>41.819524422826966</v>
      </c>
      <c r="J2354">
        <v>31.378514055374364</v>
      </c>
      <c r="K2354">
        <v>37.653118563542144</v>
      </c>
      <c r="L2354">
        <v>12.977547150098125</v>
      </c>
      <c r="M2354">
        <v>23.196157397602605</v>
      </c>
      <c r="N2354">
        <v>27.430650817446132</v>
      </c>
      <c r="O2354">
        <v>34.353631165921286</v>
      </c>
      <c r="P2354">
        <v>48.765505298406651</v>
      </c>
      <c r="Q2354">
        <v>28.353091861416932</v>
      </c>
      <c r="R2354">
        <v>32.737391509307606</v>
      </c>
      <c r="S2354">
        <v>16.996973746092753</v>
      </c>
      <c r="T2354">
        <v>48.815827156275006</v>
      </c>
      <c r="U2354">
        <f>AVERAGE(G2354:T2354)</f>
        <v>31.618034707914195</v>
      </c>
      <c r="V2354" t="str">
        <f t="shared" si="226"/>
        <v>2018/19Expenditure driversFaultsDNO Actual</v>
      </c>
    </row>
    <row r="2355" spans="1:22">
      <c r="A2355" t="s">
        <v>141</v>
      </c>
      <c r="C2355" t="s">
        <v>1344</v>
      </c>
      <c r="D2355" t="s">
        <v>92</v>
      </c>
      <c r="E2355" t="s">
        <v>1349</v>
      </c>
      <c r="F2355" t="s">
        <v>1289</v>
      </c>
      <c r="G2355">
        <v>26.822157164772765</v>
      </c>
      <c r="H2355">
        <v>27.357823524877816</v>
      </c>
      <c r="I2355">
        <v>41.12930250977309</v>
      </c>
      <c r="J2355">
        <v>31.794339028770793</v>
      </c>
      <c r="K2355">
        <v>39.355906021841299</v>
      </c>
      <c r="L2355">
        <v>13.05796865559692</v>
      </c>
      <c r="M2355">
        <v>26.328984434458892</v>
      </c>
      <c r="N2355">
        <v>31.37338966582476</v>
      </c>
      <c r="O2355">
        <v>42.319207670171224</v>
      </c>
      <c r="P2355">
        <v>59.918567093992529</v>
      </c>
      <c r="Q2355">
        <v>22.532722978444273</v>
      </c>
      <c r="R2355">
        <v>24.925764141809999</v>
      </c>
      <c r="S2355">
        <v>25.790492186380682</v>
      </c>
      <c r="T2355">
        <v>44.432510475730382</v>
      </c>
      <c r="U2355">
        <f>AVERAGE(G2355:T2355)</f>
        <v>32.652795396603246</v>
      </c>
      <c r="V2355" t="str">
        <f t="shared" si="226"/>
        <v>2019/20Expenditure driversFaultsDNO Actual</v>
      </c>
    </row>
    <row r="2356" spans="1:22">
      <c r="A2356" t="s">
        <v>126</v>
      </c>
      <c r="C2356" t="s">
        <v>1344</v>
      </c>
      <c r="D2356" t="s">
        <v>92</v>
      </c>
      <c r="E2356" t="s">
        <v>1349</v>
      </c>
      <c r="F2356" t="s">
        <v>1289</v>
      </c>
      <c r="G2356">
        <v>26.150572559289277</v>
      </c>
      <c r="H2356">
        <v>29.33589889383239</v>
      </c>
      <c r="I2356">
        <v>44.595846259837181</v>
      </c>
      <c r="J2356">
        <v>31.729617958506573</v>
      </c>
      <c r="K2356">
        <v>37.14428990335422</v>
      </c>
      <c r="L2356">
        <v>13.293924009151267</v>
      </c>
      <c r="M2356">
        <v>26.153108778346997</v>
      </c>
      <c r="N2356">
        <v>29.413731490627978</v>
      </c>
      <c r="O2356">
        <v>38.207153510870533</v>
      </c>
      <c r="P2356">
        <v>59.848984568063784</v>
      </c>
      <c r="Q2356">
        <v>23.924105789185521</v>
      </c>
      <c r="R2356">
        <v>23.110686975282377</v>
      </c>
      <c r="S2356">
        <v>17.476040914886514</v>
      </c>
      <c r="T2356">
        <v>43.3418124418559</v>
      </c>
      <c r="U2356">
        <f>AVERAGE(G2356:T2356)</f>
        <v>31.694698146649323</v>
      </c>
      <c r="V2356" t="str">
        <f t="shared" si="226"/>
        <v>2020/21Expenditure driversFaultsDNO Actual</v>
      </c>
    </row>
    <row r="2357" spans="1:22">
      <c r="A2357" t="s">
        <v>142</v>
      </c>
      <c r="C2357" t="s">
        <v>1344</v>
      </c>
      <c r="D2357" t="s">
        <v>92</v>
      </c>
      <c r="E2357" t="s">
        <v>1349</v>
      </c>
      <c r="F2357" t="s">
        <v>1289</v>
      </c>
      <c r="G2357">
        <v>28.127819068049895</v>
      </c>
      <c r="H2357">
        <v>30.901489058065369</v>
      </c>
      <c r="I2357">
        <v>49.276981380095435</v>
      </c>
      <c r="J2357">
        <v>32.742699999999999</v>
      </c>
      <c r="K2357">
        <v>35.937199999999997</v>
      </c>
      <c r="L2357">
        <v>13.1891</v>
      </c>
      <c r="M2357">
        <v>26.197699999999998</v>
      </c>
      <c r="N2357">
        <v>28.186488005630352</v>
      </c>
      <c r="O2357">
        <v>32.977858282643155</v>
      </c>
      <c r="P2357">
        <v>49.25804538025438</v>
      </c>
      <c r="Q2357">
        <v>28.398055005254896</v>
      </c>
      <c r="R2357">
        <v>25.815951633576816</v>
      </c>
      <c r="S2357">
        <v>39.723258309999999</v>
      </c>
      <c r="T2357">
        <v>38.699932470000014</v>
      </c>
      <c r="U2357">
        <f>AVERAGE(G2357:T2357)</f>
        <v>32.81661275668359</v>
      </c>
      <c r="V2357" t="str">
        <f t="shared" ref="V2357" si="230">CONCATENATE(A2357,B2357,C2357,D2357,E2357)</f>
        <v>2021/22Expenditure driversFaultsDNO Actual</v>
      </c>
    </row>
    <row r="2358" spans="1:22">
      <c r="A2358" t="s">
        <v>137</v>
      </c>
      <c r="C2358" t="s">
        <v>1344</v>
      </c>
      <c r="D2358" t="s">
        <v>92</v>
      </c>
      <c r="E2358" t="s">
        <v>297</v>
      </c>
      <c r="F2358" t="s">
        <v>1289</v>
      </c>
      <c r="G2358">
        <f t="array" ref="G2358:T2361">TRANSPOSE('Ch4 expenditure drivers'!AF654:AI667)</f>
        <v>27.34356302238373</v>
      </c>
      <c r="H2358">
        <v>22.720789658846378</v>
      </c>
      <c r="I2358">
        <v>37.196999526874393</v>
      </c>
      <c r="J2358">
        <v>29.992407913365064</v>
      </c>
      <c r="K2358">
        <v>36.974731932026707</v>
      </c>
      <c r="L2358">
        <v>13.655280559129324</v>
      </c>
      <c r="M2358">
        <v>25.832400803377656</v>
      </c>
      <c r="N2358">
        <v>23.668757072231664</v>
      </c>
      <c r="O2358">
        <v>24.696066266183117</v>
      </c>
      <c r="P2358">
        <v>36.788345783949467</v>
      </c>
      <c r="Q2358">
        <v>24.418794631596292</v>
      </c>
      <c r="R2358">
        <v>19.022504793654708</v>
      </c>
      <c r="S2358">
        <v>17.667137564982333</v>
      </c>
      <c r="T2358">
        <v>33.791022076912334</v>
      </c>
      <c r="U2358">
        <f t="shared" si="229"/>
        <v>26.697771543250944</v>
      </c>
      <c r="V2358" t="str">
        <f t="shared" si="226"/>
        <v>2015/16Expenditure driversFaultsAllowance</v>
      </c>
    </row>
    <row r="2359" spans="1:22">
      <c r="A2359" t="s">
        <v>137</v>
      </c>
      <c r="C2359" t="s">
        <v>1344</v>
      </c>
      <c r="D2359" t="s">
        <v>92</v>
      </c>
      <c r="E2359" t="s">
        <v>298</v>
      </c>
      <c r="F2359" t="s">
        <v>1289</v>
      </c>
      <c r="G2359">
        <v>38.84189518422513</v>
      </c>
      <c r="H2359">
        <v>27.378387171626816</v>
      </c>
      <c r="I2359">
        <v>43.179275520764612</v>
      </c>
      <c r="J2359">
        <v>47.706423654662281</v>
      </c>
      <c r="K2359">
        <v>40.985114368642385</v>
      </c>
      <c r="L2359">
        <v>14.027914598374149</v>
      </c>
      <c r="M2359">
        <v>30.149941618838003</v>
      </c>
      <c r="N2359">
        <v>30.344428507508304</v>
      </c>
      <c r="O2359">
        <v>30.60827840176545</v>
      </c>
      <c r="P2359">
        <v>38.45846462918189</v>
      </c>
      <c r="Q2359">
        <v>24.128534841678832</v>
      </c>
      <c r="R2359">
        <v>21.178607756197604</v>
      </c>
      <c r="S2359">
        <v>12.643789880271362</v>
      </c>
      <c r="T2359">
        <v>30.528944783431555</v>
      </c>
      <c r="U2359">
        <f t="shared" si="229"/>
        <v>30.725714351226316</v>
      </c>
      <c r="V2359" t="str">
        <f t="shared" si="226"/>
        <v>2015/16Expenditure driversFaultsActual</v>
      </c>
    </row>
    <row r="2360" spans="1:22">
      <c r="A2360" t="s">
        <v>137</v>
      </c>
      <c r="C2360" t="s">
        <v>1344</v>
      </c>
      <c r="D2360" t="s">
        <v>92</v>
      </c>
      <c r="E2360" t="s">
        <v>602</v>
      </c>
      <c r="F2360" t="s">
        <v>1289</v>
      </c>
      <c r="G2360">
        <v>11.4983321618414</v>
      </c>
      <c r="H2360">
        <v>4.6575975127804377</v>
      </c>
      <c r="I2360">
        <v>5.9822759938902195</v>
      </c>
      <c r="J2360">
        <v>17.714015741297217</v>
      </c>
      <c r="K2360">
        <v>4.0103824366156786</v>
      </c>
      <c r="L2360">
        <v>0.37263403924482574</v>
      </c>
      <c r="M2360">
        <v>4.3175408154603474</v>
      </c>
      <c r="N2360">
        <v>6.6756714352766409</v>
      </c>
      <c r="O2360">
        <v>5.9122121355823332</v>
      </c>
      <c r="P2360">
        <v>1.6701188452324232</v>
      </c>
      <c r="Q2360">
        <v>-0.29025978991746015</v>
      </c>
      <c r="R2360">
        <v>2.1561029625428958</v>
      </c>
      <c r="S2360">
        <v>-5.0233476847109717</v>
      </c>
      <c r="T2360">
        <v>-3.2620772934807789</v>
      </c>
      <c r="U2360">
        <f>U2359-U2358</f>
        <v>4.0279428079753714</v>
      </c>
      <c r="V2360" t="str">
        <f t="shared" si="226"/>
        <v>2015/16Expenditure driversFaultsDifference</v>
      </c>
    </row>
    <row r="2361" spans="1:22">
      <c r="A2361" t="s">
        <v>137</v>
      </c>
      <c r="C2361" t="s">
        <v>1344</v>
      </c>
      <c r="D2361" t="s">
        <v>92</v>
      </c>
      <c r="E2361" t="s">
        <v>1346</v>
      </c>
      <c r="F2361" t="s">
        <v>606</v>
      </c>
      <c r="G2361" s="829">
        <v>0.42051330883355414</v>
      </c>
      <c r="H2361" s="829">
        <v>0.20499276577594627</v>
      </c>
      <c r="I2361" s="829">
        <v>0.16082684275563935</v>
      </c>
      <c r="J2361" s="829">
        <v>0.59061665847121225</v>
      </c>
      <c r="K2361" s="829">
        <v>0.10846278599093703</v>
      </c>
      <c r="L2361" s="829">
        <v>2.7288640290565023E-2</v>
      </c>
      <c r="M2361" s="829">
        <v>0.16713664549892773</v>
      </c>
      <c r="N2361" s="829">
        <v>0.28204571177540122</v>
      </c>
      <c r="O2361" s="829">
        <v>0.23939894199579709</v>
      </c>
      <c r="P2361" s="829">
        <v>4.5398041408023462E-2</v>
      </c>
      <c r="Q2361" s="829">
        <v>-1.1886737011248023E-2</v>
      </c>
      <c r="R2361" s="829">
        <v>0.11334485052999445</v>
      </c>
      <c r="S2361" s="829">
        <v>-0.28433285619893767</v>
      </c>
      <c r="T2361" s="829">
        <v>-9.6536804541037788E-2</v>
      </c>
      <c r="U2361" s="829">
        <f>U2360/U2358</f>
        <v>0.1508718733865117</v>
      </c>
      <c r="V2361" t="str">
        <f t="shared" si="226"/>
        <v>2015/16Expenditure driversFaultsDifference %</v>
      </c>
    </row>
    <row r="2362" spans="1:22">
      <c r="A2362" t="s">
        <v>138</v>
      </c>
      <c r="C2362" t="s">
        <v>1344</v>
      </c>
      <c r="D2362" t="s">
        <v>92</v>
      </c>
      <c r="E2362" t="s">
        <v>297</v>
      </c>
      <c r="F2362" t="s">
        <v>1289</v>
      </c>
      <c r="G2362">
        <f t="array" ref="G2362:T2365">TRANSPOSE('Ch4 expenditure drivers'!AK654:AN667)</f>
        <v>26.984368421874343</v>
      </c>
      <c r="H2362">
        <v>22.528991273047808</v>
      </c>
      <c r="I2362">
        <v>37.055127283543989</v>
      </c>
      <c r="J2362">
        <v>29.955808035286672</v>
      </c>
      <c r="K2362">
        <v>37.016835470369593</v>
      </c>
      <c r="L2362">
        <v>13.658294420672778</v>
      </c>
      <c r="M2362">
        <v>25.825602175143342</v>
      </c>
      <c r="N2362">
        <v>23.15190255847082</v>
      </c>
      <c r="O2362">
        <v>24.224382944039718</v>
      </c>
      <c r="P2362">
        <v>36.455196640883237</v>
      </c>
      <c r="Q2362">
        <v>23.871442363232301</v>
      </c>
      <c r="R2362">
        <v>18.497578314945297</v>
      </c>
      <c r="S2362">
        <v>17.348595057441589</v>
      </c>
      <c r="T2362">
        <v>33.346898131605109</v>
      </c>
      <c r="U2362">
        <f t="shared" si="229"/>
        <v>26.42293022075404</v>
      </c>
      <c r="V2362" t="str">
        <f t="shared" si="226"/>
        <v>2016/17Expenditure driversFaultsAllowance</v>
      </c>
    </row>
    <row r="2363" spans="1:22">
      <c r="A2363" t="s">
        <v>138</v>
      </c>
      <c r="C2363" t="s">
        <v>1344</v>
      </c>
      <c r="D2363" t="s">
        <v>92</v>
      </c>
      <c r="E2363" t="s">
        <v>298</v>
      </c>
      <c r="F2363" t="s">
        <v>1289</v>
      </c>
      <c r="G2363">
        <v>27.110207018304294</v>
      </c>
      <c r="H2363">
        <v>25.14983096553572</v>
      </c>
      <c r="I2363">
        <v>39.026623184599366</v>
      </c>
      <c r="J2363">
        <v>39.184781495290423</v>
      </c>
      <c r="K2363">
        <v>37.011306605482424</v>
      </c>
      <c r="L2363">
        <v>10.874419748520712</v>
      </c>
      <c r="M2363">
        <v>25.790492965825379</v>
      </c>
      <c r="N2363">
        <v>24.443161871370648</v>
      </c>
      <c r="O2363">
        <v>37.922343450105323</v>
      </c>
      <c r="P2363">
        <v>44.119943607160039</v>
      </c>
      <c r="Q2363">
        <v>24.808337914600489</v>
      </c>
      <c r="R2363">
        <v>24.008840572902834</v>
      </c>
      <c r="S2363">
        <v>12.266614112012235</v>
      </c>
      <c r="T2363">
        <v>37.59779363436882</v>
      </c>
      <c r="U2363">
        <f t="shared" si="229"/>
        <v>29.236764081862766</v>
      </c>
      <c r="V2363" t="str">
        <f t="shared" si="226"/>
        <v>2016/17Expenditure driversFaultsActual</v>
      </c>
    </row>
    <row r="2364" spans="1:22">
      <c r="A2364" t="s">
        <v>138</v>
      </c>
      <c r="C2364" t="s">
        <v>1344</v>
      </c>
      <c r="D2364" t="s">
        <v>92</v>
      </c>
      <c r="E2364" t="s">
        <v>602</v>
      </c>
      <c r="F2364" t="s">
        <v>1289</v>
      </c>
      <c r="G2364">
        <v>0.12583859642995066</v>
      </c>
      <c r="H2364">
        <v>2.6208396924879125</v>
      </c>
      <c r="I2364">
        <v>1.971495901055377</v>
      </c>
      <c r="J2364">
        <v>9.2289734600037505</v>
      </c>
      <c r="K2364">
        <v>-5.5288648871680834E-3</v>
      </c>
      <c r="L2364">
        <v>-2.7838746721520664</v>
      </c>
      <c r="M2364">
        <v>-3.5109209317962353E-2</v>
      </c>
      <c r="N2364">
        <v>1.2912593128998289</v>
      </c>
      <c r="O2364">
        <v>13.697960506065606</v>
      </c>
      <c r="P2364">
        <v>7.6647469662768017</v>
      </c>
      <c r="Q2364">
        <v>0.93689555136818825</v>
      </c>
      <c r="R2364">
        <v>5.5112622579575365</v>
      </c>
      <c r="S2364">
        <v>-5.0819809454293541</v>
      </c>
      <c r="T2364">
        <v>4.2508955027637114</v>
      </c>
      <c r="U2364">
        <f>U2363-U2362</f>
        <v>2.8138338611087264</v>
      </c>
      <c r="V2364" t="str">
        <f t="shared" si="226"/>
        <v>2016/17Expenditure driversFaultsDifference</v>
      </c>
    </row>
    <row r="2365" spans="1:22">
      <c r="A2365" t="s">
        <v>138</v>
      </c>
      <c r="C2365" t="s">
        <v>1344</v>
      </c>
      <c r="D2365" t="s">
        <v>92</v>
      </c>
      <c r="E2365" t="s">
        <v>1346</v>
      </c>
      <c r="F2365" t="s">
        <v>606</v>
      </c>
      <c r="G2365" s="829">
        <v>4.6633886130883866E-3</v>
      </c>
      <c r="H2365" s="829">
        <v>0.11633187037642966</v>
      </c>
      <c r="I2365" s="829">
        <v>5.3204402348144386E-2</v>
      </c>
      <c r="J2365" s="829">
        <v>0.30808627993384158</v>
      </c>
      <c r="K2365" s="829">
        <v>-1.4936081966254801E-4</v>
      </c>
      <c r="L2365" s="829">
        <v>-0.2038230094043425</v>
      </c>
      <c r="M2365" s="829">
        <v>-1.3594730175064151E-3</v>
      </c>
      <c r="N2365" s="829">
        <v>5.5773356407263504E-2</v>
      </c>
      <c r="O2365" s="829">
        <v>0.56546168947663189</v>
      </c>
      <c r="P2365" s="829">
        <v>0.21025114860253022</v>
      </c>
      <c r="Q2365" s="829">
        <v>3.9247546801412812E-2</v>
      </c>
      <c r="R2365" s="829">
        <v>0.2979450695718725</v>
      </c>
      <c r="S2365" s="829">
        <v>-0.29293328529502249</v>
      </c>
      <c r="T2365" s="829">
        <v>0.12747498990722769</v>
      </c>
      <c r="U2365" s="829">
        <f>U2364/U2362</f>
        <v>0.10649212020015042</v>
      </c>
      <c r="V2365" t="str">
        <f t="shared" si="226"/>
        <v>2016/17Expenditure driversFaultsDifference %</v>
      </c>
    </row>
    <row r="2366" spans="1:22">
      <c r="A2366" t="s">
        <v>139</v>
      </c>
      <c r="C2366" t="s">
        <v>1344</v>
      </c>
      <c r="D2366" t="s">
        <v>92</v>
      </c>
      <c r="E2366" t="s">
        <v>297</v>
      </c>
      <c r="F2366" t="s">
        <v>1289</v>
      </c>
      <c r="G2366">
        <f t="array" ref="G2366:T2369">TRANSPOSE('Ch4 expenditure drivers'!AP654:AS667)</f>
        <v>26.347262669231096</v>
      </c>
      <c r="H2366">
        <v>22.237311686328358</v>
      </c>
      <c r="I2366">
        <v>36.331322085038188</v>
      </c>
      <c r="J2366">
        <v>29.843044109639361</v>
      </c>
      <c r="K2366">
        <v>36.951904008456424</v>
      </c>
      <c r="L2366">
        <v>13.608331044362936</v>
      </c>
      <c r="M2366">
        <v>25.727864106637284</v>
      </c>
      <c r="N2366">
        <v>22.590185281531021</v>
      </c>
      <c r="O2366">
        <v>23.710200633197019</v>
      </c>
      <c r="P2366">
        <v>35.872856093537195</v>
      </c>
      <c r="Q2366">
        <v>23.308134120941748</v>
      </c>
      <c r="R2366">
        <v>18.147190059345903</v>
      </c>
      <c r="S2366">
        <v>17.01642338180735</v>
      </c>
      <c r="T2366">
        <v>33.084236809035765</v>
      </c>
      <c r="U2366">
        <f t="shared" si="229"/>
        <v>26.055447577792116</v>
      </c>
      <c r="V2366" t="str">
        <f t="shared" si="226"/>
        <v>2017/18Expenditure driversFaultsAllowance</v>
      </c>
    </row>
    <row r="2367" spans="1:22">
      <c r="A2367" t="s">
        <v>139</v>
      </c>
      <c r="C2367" t="s">
        <v>1344</v>
      </c>
      <c r="D2367" t="s">
        <v>92</v>
      </c>
      <c r="E2367" t="s">
        <v>298</v>
      </c>
      <c r="F2367" t="s">
        <v>1289</v>
      </c>
      <c r="G2367">
        <v>25.923998471441141</v>
      </c>
      <c r="H2367">
        <v>28.235078468674889</v>
      </c>
      <c r="I2367">
        <v>35.961386918849783</v>
      </c>
      <c r="J2367">
        <v>33.85400126587804</v>
      </c>
      <c r="K2367">
        <v>33.590277350968321</v>
      </c>
      <c r="L2367">
        <v>12.354276958109619</v>
      </c>
      <c r="M2367">
        <v>26.222985667932544</v>
      </c>
      <c r="N2367">
        <v>25.680940253581088</v>
      </c>
      <c r="O2367">
        <v>28.219510231213665</v>
      </c>
      <c r="P2367">
        <v>50.08655027446251</v>
      </c>
      <c r="Q2367">
        <v>22.069031104865015</v>
      </c>
      <c r="R2367">
        <v>26.788547826614597</v>
      </c>
      <c r="S2367">
        <v>12.671090319207373</v>
      </c>
      <c r="T2367">
        <v>44.927969712167844</v>
      </c>
      <c r="U2367">
        <f t="shared" si="229"/>
        <v>29.041831773140462</v>
      </c>
      <c r="V2367" t="str">
        <f t="shared" si="226"/>
        <v>2017/18Expenditure driversFaultsActual</v>
      </c>
    </row>
    <row r="2368" spans="1:22">
      <c r="A2368" t="s">
        <v>139</v>
      </c>
      <c r="C2368" t="s">
        <v>1344</v>
      </c>
      <c r="D2368" t="s">
        <v>92</v>
      </c>
      <c r="E2368" t="s">
        <v>602</v>
      </c>
      <c r="F2368" t="s">
        <v>1289</v>
      </c>
      <c r="G2368">
        <v>-0.42326419778995472</v>
      </c>
      <c r="H2368">
        <v>5.997766782346531</v>
      </c>
      <c r="I2368">
        <v>-0.36993516618840516</v>
      </c>
      <c r="J2368">
        <v>4.0109571562386783</v>
      </c>
      <c r="K2368">
        <v>-3.3616266574881024</v>
      </c>
      <c r="L2368">
        <v>-1.2540540862533174</v>
      </c>
      <c r="M2368">
        <v>0.49512156129526019</v>
      </c>
      <c r="N2368">
        <v>3.0907549720500676</v>
      </c>
      <c r="O2368">
        <v>4.509309598016646</v>
      </c>
      <c r="P2368">
        <v>14.213694180925316</v>
      </c>
      <c r="Q2368">
        <v>-1.2391030160767329</v>
      </c>
      <c r="R2368">
        <v>8.6413577672686941</v>
      </c>
      <c r="S2368">
        <v>-4.3453330625999769</v>
      </c>
      <c r="T2368">
        <v>11.843732903132079</v>
      </c>
      <c r="U2368">
        <f>U2367-U2366</f>
        <v>2.9863841953483465</v>
      </c>
      <c r="V2368" t="str">
        <f t="shared" si="226"/>
        <v>2017/18Expenditure driversFaultsDifference</v>
      </c>
    </row>
    <row r="2369" spans="1:22">
      <c r="A2369" t="s">
        <v>139</v>
      </c>
      <c r="C2369" t="s">
        <v>1344</v>
      </c>
      <c r="D2369" t="s">
        <v>92</v>
      </c>
      <c r="E2369" t="s">
        <v>1346</v>
      </c>
      <c r="F2369" t="s">
        <v>606</v>
      </c>
      <c r="G2369" s="829">
        <v>-1.606482628209616E-2</v>
      </c>
      <c r="H2369" s="829">
        <v>0.26971636081505285</v>
      </c>
      <c r="I2369" s="829">
        <v>-1.0182265465664139E-2</v>
      </c>
      <c r="J2369" s="829">
        <v>0.1344017433845876</v>
      </c>
      <c r="K2369" s="829">
        <v>-9.0973029609483613E-2</v>
      </c>
      <c r="L2369" s="829">
        <v>-9.215340824419406E-2</v>
      </c>
      <c r="M2369" s="829">
        <v>1.9244565318095277E-2</v>
      </c>
      <c r="N2369" s="829">
        <v>0.13681848703458688</v>
      </c>
      <c r="O2369" s="829">
        <v>0.19018437118170531</v>
      </c>
      <c r="P2369" s="829">
        <v>0.39622421320074475</v>
      </c>
      <c r="Q2369" s="829">
        <v>-5.316182795444923E-2</v>
      </c>
      <c r="R2369" s="829">
        <v>0.47618158728757831</v>
      </c>
      <c r="S2369" s="829">
        <v>-0.25536112760603219</v>
      </c>
      <c r="T2369" s="829">
        <v>0.35798718802234514</v>
      </c>
      <c r="U2369" s="829">
        <f>U2368/U2366</f>
        <v>0.11461649954129886</v>
      </c>
      <c r="V2369" t="str">
        <f t="shared" ref="V2369:V2441" si="231">CONCATENATE(A2369,B2369,C2369,D2369,E2369)</f>
        <v>2017/18Expenditure driversFaultsDifference %</v>
      </c>
    </row>
    <row r="2370" spans="1:22">
      <c r="A2370" t="s">
        <v>140</v>
      </c>
      <c r="C2370" t="s">
        <v>1344</v>
      </c>
      <c r="D2370" t="s">
        <v>92</v>
      </c>
      <c r="E2370" t="s">
        <v>297</v>
      </c>
      <c r="F2370" t="s">
        <v>1289</v>
      </c>
      <c r="G2370">
        <f t="array" ref="G2370:T2373">TRANSPOSE('Ch4 expenditure drivers'!AU654:AX667)</f>
        <v>25.772868328025222</v>
      </c>
      <c r="H2370">
        <v>22.028185942557233</v>
      </c>
      <c r="I2370">
        <v>36.00707569096226</v>
      </c>
      <c r="J2370">
        <v>29.880975499256319</v>
      </c>
      <c r="K2370">
        <v>37.071399324131654</v>
      </c>
      <c r="L2370">
        <v>13.628319579358347</v>
      </c>
      <c r="M2370">
        <v>25.748492058597858</v>
      </c>
      <c r="N2370">
        <v>22.127749196828191</v>
      </c>
      <c r="O2370">
        <v>23.316965666280325</v>
      </c>
      <c r="P2370">
        <v>35.449921811152088</v>
      </c>
      <c r="Q2370">
        <v>22.73604257365346</v>
      </c>
      <c r="R2370">
        <v>17.513561809411375</v>
      </c>
      <c r="S2370">
        <v>15.564186173272782</v>
      </c>
      <c r="T2370">
        <v>32.605753193000581</v>
      </c>
      <c r="U2370">
        <f>AVERAGE(G2370:T2370)</f>
        <v>25.675106917606264</v>
      </c>
      <c r="V2370" t="str">
        <f t="shared" si="231"/>
        <v>2018/19Expenditure driversFaultsAllowance</v>
      </c>
    </row>
    <row r="2371" spans="1:22">
      <c r="A2371" t="s">
        <v>140</v>
      </c>
      <c r="C2371" t="s">
        <v>1344</v>
      </c>
      <c r="D2371" t="s">
        <v>92</v>
      </c>
      <c r="E2371" t="s">
        <v>298</v>
      </c>
      <c r="F2371" t="s">
        <v>1289</v>
      </c>
      <c r="G2371">
        <v>28.153653113297636</v>
      </c>
      <c r="H2371">
        <v>30.020899653190483</v>
      </c>
      <c r="I2371">
        <v>41.819524422826966</v>
      </c>
      <c r="J2371">
        <v>31.378514055374364</v>
      </c>
      <c r="K2371">
        <v>37.653118563542144</v>
      </c>
      <c r="L2371">
        <v>12.977547150098125</v>
      </c>
      <c r="M2371">
        <v>23.196157397602605</v>
      </c>
      <c r="N2371">
        <v>27.430650817446132</v>
      </c>
      <c r="O2371">
        <v>34.353631165921286</v>
      </c>
      <c r="P2371">
        <v>48.765505298406651</v>
      </c>
      <c r="Q2371">
        <v>28.353091861416932</v>
      </c>
      <c r="R2371">
        <v>32.737391509307606</v>
      </c>
      <c r="S2371">
        <v>16.996973746092753</v>
      </c>
      <c r="T2371">
        <v>48.815827156275006</v>
      </c>
      <c r="U2371">
        <f>AVERAGE(G2371:T2371)</f>
        <v>31.618034707914195</v>
      </c>
      <c r="V2371" t="str">
        <f t="shared" si="231"/>
        <v>2018/19Expenditure driversFaultsActual</v>
      </c>
    </row>
    <row r="2372" spans="1:22">
      <c r="A2372" t="s">
        <v>140</v>
      </c>
      <c r="C2372" t="s">
        <v>1344</v>
      </c>
      <c r="D2372" t="s">
        <v>92</v>
      </c>
      <c r="E2372" t="s">
        <v>602</v>
      </c>
      <c r="F2372" t="s">
        <v>1289</v>
      </c>
      <c r="G2372">
        <v>2.3807847852724144</v>
      </c>
      <c r="H2372">
        <v>7.9927137106332502</v>
      </c>
      <c r="I2372">
        <v>5.8124487318647056</v>
      </c>
      <c r="J2372">
        <v>1.4975385561180445</v>
      </c>
      <c r="K2372">
        <v>0.58171923941048931</v>
      </c>
      <c r="L2372">
        <v>-0.65077242926022194</v>
      </c>
      <c r="M2372">
        <v>-2.5523346609952533</v>
      </c>
      <c r="N2372">
        <v>5.3029016206179413</v>
      </c>
      <c r="O2372">
        <v>11.036665499640961</v>
      </c>
      <c r="P2372">
        <v>13.315583487254564</v>
      </c>
      <c r="Q2372">
        <v>5.6170492877634715</v>
      </c>
      <c r="R2372">
        <v>15.223829699896232</v>
      </c>
      <c r="S2372">
        <v>1.4327875728199704</v>
      </c>
      <c r="T2372">
        <v>16.210073963274425</v>
      </c>
      <c r="U2372">
        <f>U2371-U2370</f>
        <v>5.9429277903079303</v>
      </c>
      <c r="V2372" t="str">
        <f t="shared" si="231"/>
        <v>2018/19Expenditure driversFaultsDifference</v>
      </c>
    </row>
    <row r="2373" spans="1:22">
      <c r="A2373" t="s">
        <v>140</v>
      </c>
      <c r="C2373" t="s">
        <v>1344</v>
      </c>
      <c r="D2373" t="s">
        <v>92</v>
      </c>
      <c r="E2373" t="s">
        <v>1346</v>
      </c>
      <c r="F2373" t="s">
        <v>606</v>
      </c>
      <c r="G2373" s="829">
        <v>9.2375623658604078E-2</v>
      </c>
      <c r="H2373" s="829">
        <v>0.36284030521059707</v>
      </c>
      <c r="I2373" s="829">
        <v>0.16142518158795174</v>
      </c>
      <c r="J2373" s="829">
        <v>5.011678939850258E-2</v>
      </c>
      <c r="K2373" s="829">
        <v>1.5691860841946119E-2</v>
      </c>
      <c r="L2373" s="829">
        <v>-4.7751479958386904E-2</v>
      </c>
      <c r="M2373" s="829">
        <v>-9.9125597537389976E-2</v>
      </c>
      <c r="N2373" s="829">
        <v>0.23964939106314814</v>
      </c>
      <c r="O2373" s="829">
        <v>0.47333197885184353</v>
      </c>
      <c r="P2373" s="829">
        <v>0.37561672373183214</v>
      </c>
      <c r="Q2373" s="829">
        <v>0.24705483681106893</v>
      </c>
      <c r="R2373" s="829">
        <v>0.86925948391122276</v>
      </c>
      <c r="S2373" s="829">
        <v>9.2056697142340133E-2</v>
      </c>
      <c r="T2373" s="829">
        <v>0.497153795752653</v>
      </c>
      <c r="U2373" s="829">
        <f>U2372/U2370</f>
        <v>0.23146652550968227</v>
      </c>
      <c r="V2373" t="str">
        <f t="shared" si="231"/>
        <v>2018/19Expenditure driversFaultsDifference %</v>
      </c>
    </row>
    <row r="2374" spans="1:22">
      <c r="A2374" t="s">
        <v>141</v>
      </c>
      <c r="C2374" t="s">
        <v>1344</v>
      </c>
      <c r="D2374" t="s">
        <v>92</v>
      </c>
      <c r="E2374" t="s">
        <v>297</v>
      </c>
      <c r="F2374" t="s">
        <v>1289</v>
      </c>
      <c r="G2374" s="229">
        <f t="array" ref="G2374:T2377">TRANSPOSE('Ch4 expenditure drivers'!AZ654:BC667)</f>
        <v>25.267256939476521</v>
      </c>
      <c r="H2374" s="229">
        <v>21.759371060814118</v>
      </c>
      <c r="I2374" s="229">
        <v>35.440215081548494</v>
      </c>
      <c r="J2374" s="229">
        <v>29.915376681530972</v>
      </c>
      <c r="K2374" s="229">
        <v>37.195791579961025</v>
      </c>
      <c r="L2374" s="229">
        <v>13.658802464676674</v>
      </c>
      <c r="M2374" s="229">
        <v>25.785288907886052</v>
      </c>
      <c r="N2374" s="229">
        <v>21.731762376500367</v>
      </c>
      <c r="O2374" s="229">
        <v>22.950685742272604</v>
      </c>
      <c r="P2374" s="229">
        <v>34.331115695185623</v>
      </c>
      <c r="Q2374" s="229">
        <v>22.214339743755346</v>
      </c>
      <c r="R2374" s="229">
        <v>17.046400232301515</v>
      </c>
      <c r="S2374" s="229">
        <v>14.663477789608496</v>
      </c>
      <c r="T2374" s="229">
        <v>32.336684669984031</v>
      </c>
      <c r="U2374" s="229">
        <f>AVERAGE(G2374:T2374)</f>
        <v>25.306897783250133</v>
      </c>
      <c r="V2374" t="str">
        <f t="shared" si="231"/>
        <v>2019/20Expenditure driversFaultsAllowance</v>
      </c>
    </row>
    <row r="2375" spans="1:22">
      <c r="A2375" t="s">
        <v>141</v>
      </c>
      <c r="C2375" t="s">
        <v>1344</v>
      </c>
      <c r="D2375" t="s">
        <v>92</v>
      </c>
      <c r="E2375" t="s">
        <v>298</v>
      </c>
      <c r="F2375" t="s">
        <v>1289</v>
      </c>
      <c r="G2375" s="229">
        <v>26.822157164772765</v>
      </c>
      <c r="H2375" s="229">
        <v>27.357823524877816</v>
      </c>
      <c r="I2375" s="229">
        <v>41.12930250977309</v>
      </c>
      <c r="J2375" s="229">
        <v>31.794339028770793</v>
      </c>
      <c r="K2375" s="229">
        <v>39.355906021841299</v>
      </c>
      <c r="L2375" s="229">
        <v>13.05796865559692</v>
      </c>
      <c r="M2375" s="229">
        <v>26.328984434458892</v>
      </c>
      <c r="N2375" s="229">
        <v>31.37338966582476</v>
      </c>
      <c r="O2375" s="229">
        <v>42.319207670171224</v>
      </c>
      <c r="P2375" s="229">
        <v>59.918567093992529</v>
      </c>
      <c r="Q2375" s="229">
        <v>22.532722978444273</v>
      </c>
      <c r="R2375" s="229">
        <v>24.925764141809999</v>
      </c>
      <c r="S2375" s="229">
        <v>25.790492186380682</v>
      </c>
      <c r="T2375" s="229">
        <v>44.432510475730382</v>
      </c>
      <c r="U2375" s="229">
        <f>AVERAGE(G2375:T2375)</f>
        <v>32.652795396603246</v>
      </c>
      <c r="V2375" t="str">
        <f t="shared" si="231"/>
        <v>2019/20Expenditure driversFaultsActual</v>
      </c>
    </row>
    <row r="2376" spans="1:22">
      <c r="A2376" t="s">
        <v>141</v>
      </c>
      <c r="C2376" t="s">
        <v>1344</v>
      </c>
      <c r="D2376" t="s">
        <v>92</v>
      </c>
      <c r="E2376" t="s">
        <v>602</v>
      </c>
      <c r="F2376" t="s">
        <v>1289</v>
      </c>
      <c r="G2376" s="229">
        <v>1.5549002252962438</v>
      </c>
      <c r="H2376" s="229">
        <v>5.5984524640636977</v>
      </c>
      <c r="I2376" s="229">
        <v>5.689087428224596</v>
      </c>
      <c r="J2376" s="229">
        <v>1.8789623472398205</v>
      </c>
      <c r="K2376" s="229">
        <v>2.1601144418802747</v>
      </c>
      <c r="L2376" s="229">
        <v>-0.60083380907975403</v>
      </c>
      <c r="M2376" s="229">
        <v>0.54369552657284004</v>
      </c>
      <c r="N2376" s="229">
        <v>9.6416272893243935</v>
      </c>
      <c r="O2376" s="229">
        <v>19.36852192789862</v>
      </c>
      <c r="P2376" s="229">
        <v>25.587451398806905</v>
      </c>
      <c r="Q2376" s="229">
        <v>0.31838323468892682</v>
      </c>
      <c r="R2376" s="229">
        <v>7.8793639095084842</v>
      </c>
      <c r="S2376" s="229">
        <v>11.127014396772186</v>
      </c>
      <c r="T2376" s="229">
        <v>12.095825805746351</v>
      </c>
      <c r="U2376" s="229">
        <f>U2375-U2374</f>
        <v>7.3458976133531131</v>
      </c>
      <c r="V2376" t="str">
        <f t="shared" si="231"/>
        <v>2019/20Expenditure driversFaultsDifference</v>
      </c>
    </row>
    <row r="2377" spans="1:22">
      <c r="A2377" t="s">
        <v>141</v>
      </c>
      <c r="C2377" t="s">
        <v>1344</v>
      </c>
      <c r="D2377" t="s">
        <v>92</v>
      </c>
      <c r="E2377" t="s">
        <v>1346</v>
      </c>
      <c r="F2377" t="s">
        <v>606</v>
      </c>
      <c r="G2377" s="829">
        <v>6.1538149116097035E-2</v>
      </c>
      <c r="H2377" s="829">
        <v>0.25728925934563451</v>
      </c>
      <c r="I2377" s="829">
        <v>0.16052632341914166</v>
      </c>
      <c r="J2377" s="829">
        <v>6.2809249144432339E-2</v>
      </c>
      <c r="K2377" s="829">
        <v>5.8074162428741576E-2</v>
      </c>
      <c r="L2377" s="829">
        <v>-4.3988761872322514E-2</v>
      </c>
      <c r="M2377" s="829">
        <v>2.108549291478207E-2</v>
      </c>
      <c r="N2377" s="829">
        <v>0.44366522706646028</v>
      </c>
      <c r="O2377" s="829">
        <v>0.84391909441834068</v>
      </c>
      <c r="P2377" s="829">
        <v>0.7453137155806191</v>
      </c>
      <c r="Q2377" s="829">
        <v>1.4332329403507356E-2</v>
      </c>
      <c r="R2377" s="829">
        <v>0.46223037134712719</v>
      </c>
      <c r="S2377" s="829">
        <v>0.75882505885865081</v>
      </c>
      <c r="T2377" s="829">
        <v>0.37405893427825926</v>
      </c>
      <c r="U2377" s="829">
        <f>U2376/U2374</f>
        <v>0.29027254451610973</v>
      </c>
      <c r="V2377" t="str">
        <f t="shared" si="231"/>
        <v>2019/20Expenditure driversFaultsDifference %</v>
      </c>
    </row>
    <row r="2378" spans="1:22">
      <c r="A2378" t="s">
        <v>126</v>
      </c>
      <c r="C2378" t="s">
        <v>1344</v>
      </c>
      <c r="D2378" t="s">
        <v>92</v>
      </c>
      <c r="E2378" t="s">
        <v>297</v>
      </c>
      <c r="F2378" t="s">
        <v>1289</v>
      </c>
      <c r="G2378" s="229" cm="1">
        <f t="array" ref="G2378:T2381">TRANSPOSE('Ch4 expenditure drivers'!BE654:BH667)</f>
        <v>24.742662965989872</v>
      </c>
      <c r="H2378" s="229">
        <v>21.584841620371318</v>
      </c>
      <c r="I2378" s="229">
        <v>35.272633206976089</v>
      </c>
      <c r="J2378" s="229">
        <v>29.963449087984149</v>
      </c>
      <c r="K2378" s="229">
        <v>37.321943619637409</v>
      </c>
      <c r="L2378" s="229">
        <v>13.681431092881976</v>
      </c>
      <c r="M2378" s="229">
        <v>25.810263683738039</v>
      </c>
      <c r="N2378" s="229">
        <v>21.474922488174943</v>
      </c>
      <c r="O2378" s="229">
        <v>22.680901719523437</v>
      </c>
      <c r="P2378" s="229">
        <v>34.497804302449872</v>
      </c>
      <c r="Q2378" s="229">
        <v>21.706265390499642</v>
      </c>
      <c r="R2378" s="229">
        <v>16.800745415234648</v>
      </c>
      <c r="S2378" s="229">
        <v>15.152276113401919</v>
      </c>
      <c r="T2378" s="229">
        <v>31.903974378802236</v>
      </c>
      <c r="U2378" s="229">
        <f>AVERAGE(G2378:T2378)</f>
        <v>25.185293934690396</v>
      </c>
      <c r="V2378" t="str">
        <f t="shared" si="231"/>
        <v>2020/21Expenditure driversFaultsAllowance</v>
      </c>
    </row>
    <row r="2379" spans="1:22">
      <c r="A2379" t="s">
        <v>126</v>
      </c>
      <c r="C2379" t="s">
        <v>1344</v>
      </c>
      <c r="D2379" t="s">
        <v>92</v>
      </c>
      <c r="E2379" t="s">
        <v>298</v>
      </c>
      <c r="F2379" t="s">
        <v>1289</v>
      </c>
      <c r="G2379" s="229">
        <v>26.150572559289277</v>
      </c>
      <c r="H2379" s="229">
        <v>29.33589889383239</v>
      </c>
      <c r="I2379" s="229">
        <v>44.595846259837181</v>
      </c>
      <c r="J2379" s="229">
        <v>31.729617958506573</v>
      </c>
      <c r="K2379" s="229">
        <v>37.14428990335422</v>
      </c>
      <c r="L2379" s="229">
        <v>13.293924009151267</v>
      </c>
      <c r="M2379" s="229">
        <v>26.153108778346997</v>
      </c>
      <c r="N2379" s="229">
        <v>29.413731490627978</v>
      </c>
      <c r="O2379" s="229">
        <v>38.207153510870533</v>
      </c>
      <c r="P2379" s="229">
        <v>59.848984568063784</v>
      </c>
      <c r="Q2379" s="229">
        <v>23.924105789185521</v>
      </c>
      <c r="R2379" s="229">
        <v>23.110686975282377</v>
      </c>
      <c r="S2379" s="229">
        <v>17.476040914886514</v>
      </c>
      <c r="T2379" s="229">
        <v>43.3418124418559</v>
      </c>
      <c r="U2379" s="229">
        <f>AVERAGE(G2379:T2379)</f>
        <v>31.694698146649323</v>
      </c>
      <c r="V2379" t="str">
        <f t="shared" si="231"/>
        <v>2020/21Expenditure driversFaultsActual</v>
      </c>
    </row>
    <row r="2380" spans="1:22">
      <c r="A2380" t="s">
        <v>126</v>
      </c>
      <c r="C2380" t="s">
        <v>1344</v>
      </c>
      <c r="D2380" t="s">
        <v>92</v>
      </c>
      <c r="E2380" t="s">
        <v>602</v>
      </c>
      <c r="F2380" t="s">
        <v>1289</v>
      </c>
      <c r="G2380" s="229">
        <v>1.4079095932994043</v>
      </c>
      <c r="H2380" s="229">
        <v>7.7510572734610719</v>
      </c>
      <c r="I2380" s="229">
        <v>9.3232130528610924</v>
      </c>
      <c r="J2380" s="229">
        <v>1.7661688705224243</v>
      </c>
      <c r="K2380" s="229">
        <v>-0.1776537162831886</v>
      </c>
      <c r="L2380" s="229">
        <v>-0.38750708373070886</v>
      </c>
      <c r="M2380" s="229">
        <v>0.34284509460895762</v>
      </c>
      <c r="N2380" s="229">
        <v>7.9388090024530342</v>
      </c>
      <c r="O2380" s="229">
        <v>15.526251791347097</v>
      </c>
      <c r="P2380" s="229">
        <v>25.351180265613912</v>
      </c>
      <c r="Q2380" s="229">
        <v>2.2178403986858797</v>
      </c>
      <c r="R2380" s="229">
        <v>6.3099415600477293</v>
      </c>
      <c r="S2380" s="229">
        <v>2.3237648014845949</v>
      </c>
      <c r="T2380" s="229">
        <v>11.437838063053665</v>
      </c>
      <c r="U2380" s="229">
        <f>U2379-U2378</f>
        <v>6.5094042119589268</v>
      </c>
      <c r="V2380" t="str">
        <f t="shared" si="231"/>
        <v>2020/21Expenditure driversFaultsDifference</v>
      </c>
    </row>
    <row r="2381" spans="1:22">
      <c r="A2381" t="s">
        <v>126</v>
      </c>
      <c r="C2381" t="s">
        <v>1344</v>
      </c>
      <c r="D2381" t="s">
        <v>92</v>
      </c>
      <c r="E2381" t="s">
        <v>1346</v>
      </c>
      <c r="F2381" t="s">
        <v>606</v>
      </c>
      <c r="G2381" s="829">
        <v>5.6902104483848491E-2</v>
      </c>
      <c r="H2381" s="829">
        <v>0.35909725027334866</v>
      </c>
      <c r="I2381" s="829">
        <v>0.26431860071669339</v>
      </c>
      <c r="J2381" s="829">
        <v>5.8944111051310442E-2</v>
      </c>
      <c r="K2381" s="829">
        <v>-4.7600338849907555E-3</v>
      </c>
      <c r="L2381" s="829">
        <v>-2.832357822072552E-2</v>
      </c>
      <c r="M2381" s="829">
        <v>1.3283285239157392E-2</v>
      </c>
      <c r="N2381" s="829">
        <v>0.36967812139133444</v>
      </c>
      <c r="O2381" s="829">
        <v>0.6845517864919054</v>
      </c>
      <c r="P2381" s="829">
        <v>0.73486358851579403</v>
      </c>
      <c r="Q2381" s="829">
        <v>0.10217512588123888</v>
      </c>
      <c r="R2381" s="829">
        <v>0.37557509527678307</v>
      </c>
      <c r="S2381" s="829">
        <v>0.15336077458549385</v>
      </c>
      <c r="T2381" s="829">
        <v>0.35850825126831964</v>
      </c>
      <c r="U2381" s="829">
        <f>U2380/U2378</f>
        <v>0.25846052179652462</v>
      </c>
      <c r="V2381" t="str">
        <f t="shared" si="231"/>
        <v>2020/21Expenditure driversFaultsDifference %</v>
      </c>
    </row>
    <row r="2382" spans="1:22">
      <c r="A2382" t="s">
        <v>142</v>
      </c>
      <c r="C2382" t="s">
        <v>1344</v>
      </c>
      <c r="D2382" t="s">
        <v>92</v>
      </c>
      <c r="E2382" t="s">
        <v>297</v>
      </c>
      <c r="F2382" t="s">
        <v>1289</v>
      </c>
      <c r="G2382" s="229" cm="1">
        <f t="array" ref="G2382:T2385">TRANSPOSE('Ch4 expenditure drivers'!BJ654:BM667)</f>
        <v>24.14281045873847</v>
      </c>
      <c r="H2382" s="229">
        <v>21.424471495557025</v>
      </c>
      <c r="I2382" s="229">
        <v>35.130177370837146</v>
      </c>
      <c r="J2382" s="229">
        <v>29.996250976910179</v>
      </c>
      <c r="K2382" s="229">
        <v>37.447592757139624</v>
      </c>
      <c r="L2382" s="229">
        <v>13.707882874317139</v>
      </c>
      <c r="M2382" s="229">
        <v>25.84106161590071</v>
      </c>
      <c r="N2382" s="229">
        <v>21.42979232168847</v>
      </c>
      <c r="O2382" s="229">
        <v>22.743665402900628</v>
      </c>
      <c r="P2382" s="229">
        <v>34.57237516353284</v>
      </c>
      <c r="Q2382" s="229">
        <v>21.354575031490743</v>
      </c>
      <c r="R2382" s="229">
        <v>16.334630021621599</v>
      </c>
      <c r="S2382" s="229">
        <v>14.955485035094329</v>
      </c>
      <c r="T2382" s="229">
        <v>32.912303367277516</v>
      </c>
      <c r="U2382" s="229">
        <f>AVERAGE(G2382:T2382)</f>
        <v>25.142362420929029</v>
      </c>
      <c r="V2382" t="str">
        <f t="shared" ref="V2382:V2385" si="232">CONCATENATE(A2382,B2382,C2382,D2382,E2382)</f>
        <v>2021/22Expenditure driversFaultsAllowance</v>
      </c>
    </row>
    <row r="2383" spans="1:22">
      <c r="A2383" t="s">
        <v>142</v>
      </c>
      <c r="C2383" t="s">
        <v>1344</v>
      </c>
      <c r="D2383" t="s">
        <v>92</v>
      </c>
      <c r="E2383" t="s">
        <v>298</v>
      </c>
      <c r="F2383" t="s">
        <v>1289</v>
      </c>
      <c r="G2383" s="229">
        <v>28.127819068049895</v>
      </c>
      <c r="H2383" s="229">
        <v>30.901489058065369</v>
      </c>
      <c r="I2383" s="229">
        <v>49.276981380095435</v>
      </c>
      <c r="J2383" s="229">
        <v>32.742699999999999</v>
      </c>
      <c r="K2383" s="229">
        <v>35.937199999999997</v>
      </c>
      <c r="L2383" s="229">
        <v>13.1891</v>
      </c>
      <c r="M2383" s="229">
        <v>26.197699999999998</v>
      </c>
      <c r="N2383" s="229">
        <v>28.186488005630352</v>
      </c>
      <c r="O2383" s="229">
        <v>32.977858282643155</v>
      </c>
      <c r="P2383" s="229">
        <v>49.25804538025438</v>
      </c>
      <c r="Q2383" s="229">
        <v>28.398055005254896</v>
      </c>
      <c r="R2383" s="229">
        <v>25.815951633576816</v>
      </c>
      <c r="S2383" s="229">
        <v>39.723258309999999</v>
      </c>
      <c r="T2383" s="229">
        <v>38.699932470000014</v>
      </c>
      <c r="U2383" s="229">
        <f>AVERAGE(G2383:T2383)</f>
        <v>32.81661275668359</v>
      </c>
      <c r="V2383" t="str">
        <f t="shared" si="232"/>
        <v>2021/22Expenditure driversFaultsActual</v>
      </c>
    </row>
    <row r="2384" spans="1:22">
      <c r="A2384" t="s">
        <v>142</v>
      </c>
      <c r="C2384" t="s">
        <v>1344</v>
      </c>
      <c r="D2384" t="s">
        <v>92</v>
      </c>
      <c r="E2384" t="s">
        <v>602</v>
      </c>
      <c r="F2384" t="s">
        <v>1289</v>
      </c>
      <c r="G2384" s="229">
        <v>3.985008609311425</v>
      </c>
      <c r="H2384" s="229">
        <v>9.4770175625083439</v>
      </c>
      <c r="I2384" s="229">
        <v>14.14680400925829</v>
      </c>
      <c r="J2384" s="229">
        <v>2.74644902308982</v>
      </c>
      <c r="K2384" s="229">
        <v>-1.510392757139627</v>
      </c>
      <c r="L2384" s="229">
        <v>-0.51878287431713943</v>
      </c>
      <c r="M2384" s="229">
        <v>0.35663838409928772</v>
      </c>
      <c r="N2384" s="229">
        <v>6.7566956839418815</v>
      </c>
      <c r="O2384" s="229">
        <v>10.234192879742526</v>
      </c>
      <c r="P2384" s="229">
        <v>14.68567021672154</v>
      </c>
      <c r="Q2384" s="229">
        <v>7.0434799737641534</v>
      </c>
      <c r="R2384" s="229">
        <v>9.4813216119552166</v>
      </c>
      <c r="S2384" s="229">
        <v>24.767773274905672</v>
      </c>
      <c r="T2384" s="229">
        <v>5.787629102722498</v>
      </c>
      <c r="U2384" s="229">
        <f>U2383-U2382</f>
        <v>7.6742503357545608</v>
      </c>
      <c r="V2384" t="str">
        <f t="shared" si="232"/>
        <v>2021/22Expenditure driversFaultsDifference</v>
      </c>
    </row>
    <row r="2385" spans="1:22">
      <c r="A2385" t="s">
        <v>142</v>
      </c>
      <c r="C2385" t="s">
        <v>1344</v>
      </c>
      <c r="D2385" t="s">
        <v>92</v>
      </c>
      <c r="E2385" t="s">
        <v>1346</v>
      </c>
      <c r="F2385" t="s">
        <v>606</v>
      </c>
      <c r="G2385" s="829">
        <v>0.1650598473662396</v>
      </c>
      <c r="H2385" s="829">
        <v>0.44234545363108135</v>
      </c>
      <c r="I2385" s="829">
        <v>0.40269662916652599</v>
      </c>
      <c r="J2385" s="829">
        <v>9.1559742755983678E-2</v>
      </c>
      <c r="K2385" s="829">
        <v>-4.0333507334771493E-2</v>
      </c>
      <c r="L2385" s="829">
        <v>-3.7845587030009016E-2</v>
      </c>
      <c r="M2385" s="829">
        <v>1.3801228037776838E-2</v>
      </c>
      <c r="N2385" s="829">
        <v>0.31529450134258308</v>
      </c>
      <c r="O2385" s="829">
        <v>0.44997992621001631</v>
      </c>
      <c r="P2385" s="829">
        <v>0.42478048289294507</v>
      </c>
      <c r="Q2385" s="829">
        <v>0.3298347058359819</v>
      </c>
      <c r="R2385" s="829">
        <v>0.58044299744806649</v>
      </c>
      <c r="S2385" s="829">
        <v>1.656099632795992</v>
      </c>
      <c r="T2385" s="829">
        <v>0.17585001688082236</v>
      </c>
      <c r="U2385" s="829">
        <f>U2384/U2382</f>
        <v>0.30523187150330605</v>
      </c>
      <c r="V2385" t="str">
        <f t="shared" si="232"/>
        <v>2021/22Expenditure driversFaultsDifference %</v>
      </c>
    </row>
    <row r="2386" spans="1:22">
      <c r="A2386" t="s">
        <v>137</v>
      </c>
      <c r="C2386" t="s">
        <v>1344</v>
      </c>
      <c r="D2386" t="s">
        <v>93</v>
      </c>
      <c r="E2386" t="s">
        <v>1347</v>
      </c>
      <c r="F2386" t="s">
        <v>1289</v>
      </c>
      <c r="G2386">
        <f t="array" ref="G2386:T2393">TRANSPOSE('Ch4 expenditure drivers'!E674:L687)</f>
        <v>0.37028331807569786</v>
      </c>
      <c r="H2386">
        <v>3.2085650985933345</v>
      </c>
      <c r="I2386">
        <v>2.9729077763142628</v>
      </c>
      <c r="J2386">
        <v>2.0627457205624826</v>
      </c>
      <c r="K2386">
        <v>2.0629488421534656</v>
      </c>
      <c r="L2386">
        <v>1.0304410123786969</v>
      </c>
      <c r="M2386">
        <v>1.6739373185458886</v>
      </c>
      <c r="N2386">
        <v>0</v>
      </c>
      <c r="O2386">
        <v>0.95973917366143546</v>
      </c>
      <c r="P2386">
        <v>1.1195350650758791</v>
      </c>
      <c r="Q2386">
        <v>0.63318111559263446</v>
      </c>
      <c r="R2386">
        <v>0.63722754667618731</v>
      </c>
      <c r="S2386">
        <v>1.2895308117838766</v>
      </c>
      <c r="T2386">
        <v>1.284885944862695</v>
      </c>
      <c r="U2386">
        <f>AVERAGE(G2386:T2386)</f>
        <v>1.3789949103054668</v>
      </c>
      <c r="V2386" t="str">
        <f t="shared" si="231"/>
        <v>2015/16Expenditure driversSevere Weather 1 in 20BPDT</v>
      </c>
    </row>
    <row r="2387" spans="1:22">
      <c r="A2387" t="s">
        <v>138</v>
      </c>
      <c r="C2387" t="s">
        <v>1344</v>
      </c>
      <c r="D2387" t="s">
        <v>93</v>
      </c>
      <c r="E2387" t="s">
        <v>1347</v>
      </c>
      <c r="F2387" t="s">
        <v>1289</v>
      </c>
      <c r="G2387">
        <v>0.37505012988067365</v>
      </c>
      <c r="H2387">
        <v>3.244673256680338</v>
      </c>
      <c r="I2387">
        <v>3.0057654664303231</v>
      </c>
      <c r="J2387">
        <v>2.0885083675390046</v>
      </c>
      <c r="K2387">
        <v>2.0887821029436475</v>
      </c>
      <c r="L2387">
        <v>1.0428841258840855</v>
      </c>
      <c r="M2387">
        <v>1.6940314692926173</v>
      </c>
      <c r="N2387">
        <v>0</v>
      </c>
      <c r="O2387">
        <v>0.97066143398451388</v>
      </c>
      <c r="P2387">
        <v>1.1322758739926642</v>
      </c>
      <c r="Q2387">
        <v>0.63676640427125419</v>
      </c>
      <c r="R2387">
        <v>0.64083574763566231</v>
      </c>
      <c r="S2387">
        <v>1.3015019858812003</v>
      </c>
      <c r="T2387">
        <v>1.296334083885873</v>
      </c>
      <c r="U2387">
        <f t="shared" ref="U2387:U2419" si="233">AVERAGE(G2387:T2387)</f>
        <v>1.3941478891644186</v>
      </c>
      <c r="V2387" t="str">
        <f t="shared" si="231"/>
        <v>2016/17Expenditure driversSevere Weather 1 in 20BPDT</v>
      </c>
    </row>
    <row r="2388" spans="1:22">
      <c r="A2388" t="s">
        <v>139</v>
      </c>
      <c r="C2388" t="s">
        <v>1344</v>
      </c>
      <c r="D2388" t="s">
        <v>93</v>
      </c>
      <c r="E2388" t="s">
        <v>1347</v>
      </c>
      <c r="F2388" t="s">
        <v>1289</v>
      </c>
      <c r="G2388">
        <v>0.38001086103113979</v>
      </c>
      <c r="H2388">
        <v>3.2816098236017841</v>
      </c>
      <c r="I2388">
        <v>3.0390404307175247</v>
      </c>
      <c r="J2388">
        <v>2.108970731831084</v>
      </c>
      <c r="K2388">
        <v>2.1093294040098511</v>
      </c>
      <c r="L2388">
        <v>1.0528320642304163</v>
      </c>
      <c r="M2388">
        <v>1.7100479410271767</v>
      </c>
      <c r="N2388">
        <v>0</v>
      </c>
      <c r="O2388">
        <v>0.98171771983289768</v>
      </c>
      <c r="P2388">
        <v>1.1451730235896174</v>
      </c>
      <c r="Q2388">
        <v>0.63990954459083349</v>
      </c>
      <c r="R2388">
        <v>0.64399897462614175</v>
      </c>
      <c r="S2388">
        <v>1.3126286398596749</v>
      </c>
      <c r="T2388">
        <v>1.3073023966201214</v>
      </c>
      <c r="U2388">
        <f t="shared" si="233"/>
        <v>1.4080408253977332</v>
      </c>
      <c r="V2388" t="str">
        <f t="shared" si="231"/>
        <v>2017/18Expenditure driversSevere Weather 1 in 20BPDT</v>
      </c>
    </row>
    <row r="2389" spans="1:22">
      <c r="A2389" t="s">
        <v>140</v>
      </c>
      <c r="C2389" t="s">
        <v>1344</v>
      </c>
      <c r="D2389" t="s">
        <v>93</v>
      </c>
      <c r="E2389" t="s">
        <v>1347</v>
      </c>
      <c r="F2389" t="s">
        <v>1289</v>
      </c>
      <c r="G2389">
        <v>0.38512218490341688</v>
      </c>
      <c r="H2389">
        <v>3.318479615516674</v>
      </c>
      <c r="I2389">
        <v>3.0724774470791063</v>
      </c>
      <c r="J2389">
        <v>2.1416115553781969</v>
      </c>
      <c r="K2389">
        <v>2.1420854956576942</v>
      </c>
      <c r="L2389">
        <v>1.0686910576126722</v>
      </c>
      <c r="M2389">
        <v>1.7356462534250041</v>
      </c>
      <c r="N2389">
        <v>0</v>
      </c>
      <c r="O2389">
        <v>0.99290969116856742</v>
      </c>
      <c r="P2389">
        <v>1.1582284502112117</v>
      </c>
      <c r="Q2389">
        <v>0.64170435340692999</v>
      </c>
      <c r="R2389">
        <v>0.64580525341505268</v>
      </c>
      <c r="S2389">
        <v>1.320834733387829</v>
      </c>
      <c r="T2389">
        <v>1.3151788942129199</v>
      </c>
      <c r="U2389">
        <f t="shared" si="233"/>
        <v>1.4241982132410911</v>
      </c>
      <c r="V2389" t="str">
        <f t="shared" si="231"/>
        <v>2018/19Expenditure driversSevere Weather 1 in 20BPDT</v>
      </c>
    </row>
    <row r="2390" spans="1:22">
      <c r="A2390" t="s">
        <v>141</v>
      </c>
      <c r="C2390" t="s">
        <v>1344</v>
      </c>
      <c r="D2390" t="s">
        <v>93</v>
      </c>
      <c r="E2390" t="s">
        <v>1347</v>
      </c>
      <c r="F2390" t="s">
        <v>1289</v>
      </c>
      <c r="G2390">
        <v>0.39043875577244991</v>
      </c>
      <c r="H2390">
        <v>3.3563349251448829</v>
      </c>
      <c r="I2390">
        <v>3.1070084683099517</v>
      </c>
      <c r="J2390">
        <v>2.174814964122032</v>
      </c>
      <c r="K2390">
        <v>2.1754244748097946</v>
      </c>
      <c r="L2390">
        <v>1.0848146283807547</v>
      </c>
      <c r="M2390">
        <v>1.7616939915364482</v>
      </c>
      <c r="N2390">
        <v>0</v>
      </c>
      <c r="O2390">
        <v>1.0042390286389482</v>
      </c>
      <c r="P2390">
        <v>1.1714441143314758</v>
      </c>
      <c r="Q2390">
        <v>0.64656214658965661</v>
      </c>
      <c r="R2390">
        <v>0.65069409099384234</v>
      </c>
      <c r="S2390">
        <v>1.335509801624694</v>
      </c>
      <c r="T2390">
        <v>1.3292341035373108</v>
      </c>
      <c r="U2390">
        <f t="shared" si="233"/>
        <v>1.4420152495565886</v>
      </c>
      <c r="V2390" t="str">
        <f t="shared" si="231"/>
        <v>2019/20Expenditure driversSevere Weather 1 in 20BPDT</v>
      </c>
    </row>
    <row r="2391" spans="1:22">
      <c r="A2391" t="s">
        <v>126</v>
      </c>
      <c r="C2391" t="s">
        <v>1344</v>
      </c>
      <c r="D2391" t="s">
        <v>93</v>
      </c>
      <c r="E2391" t="s">
        <v>1347</v>
      </c>
      <c r="F2391" t="s">
        <v>1289</v>
      </c>
      <c r="G2391">
        <v>0.39892185036293937</v>
      </c>
      <c r="H2391">
        <v>3.3952925873004736</v>
      </c>
      <c r="I2391">
        <v>3.1420737649953772</v>
      </c>
      <c r="J2391">
        <v>2.2086084781434665</v>
      </c>
      <c r="K2391">
        <v>2.2093820495930068</v>
      </c>
      <c r="L2391">
        <v>1.1013319181939569</v>
      </c>
      <c r="M2391">
        <v>1.7884026655022653</v>
      </c>
      <c r="N2391">
        <v>0</v>
      </c>
      <c r="O2391">
        <v>1.0157074338357035</v>
      </c>
      <c r="P2391">
        <v>1.1848220008558779</v>
      </c>
      <c r="Q2391">
        <v>0.65151978973894409</v>
      </c>
      <c r="R2391">
        <v>0.65568341664414964</v>
      </c>
      <c r="S2391">
        <v>1.3503972998847753</v>
      </c>
      <c r="T2391">
        <v>1.3434907423250957</v>
      </c>
      <c r="U2391">
        <f t="shared" si="233"/>
        <v>1.4604024283840022</v>
      </c>
      <c r="V2391" t="str">
        <f t="shared" si="231"/>
        <v>2020/21Expenditure driversSevere Weather 1 in 20BPDT</v>
      </c>
    </row>
    <row r="2392" spans="1:22">
      <c r="A2392" t="s">
        <v>142</v>
      </c>
      <c r="C2392" t="s">
        <v>1344</v>
      </c>
      <c r="D2392" t="s">
        <v>93</v>
      </c>
      <c r="E2392" t="s">
        <v>1347</v>
      </c>
      <c r="F2392" t="s">
        <v>1289</v>
      </c>
      <c r="G2392">
        <v>0.40526206634452344</v>
      </c>
      <c r="H2392">
        <v>3.4352860659061371</v>
      </c>
      <c r="I2392">
        <v>3.1780764453068677</v>
      </c>
      <c r="J2392">
        <v>2.2430856655543563</v>
      </c>
      <c r="K2392">
        <v>2.2439676038726732</v>
      </c>
      <c r="L2392">
        <v>1.1181404231000232</v>
      </c>
      <c r="M2392">
        <v>1.8156116797740165</v>
      </c>
      <c r="N2392">
        <v>0</v>
      </c>
      <c r="O2392">
        <v>1.0273166295567802</v>
      </c>
      <c r="P2392">
        <v>1.1983641194270003</v>
      </c>
      <c r="Q2392">
        <v>0.65657872406383699</v>
      </c>
      <c r="R2392">
        <v>0.6607746807852638</v>
      </c>
      <c r="S2392">
        <v>1.3655004354054774</v>
      </c>
      <c r="T2392">
        <v>1.3579518960246899</v>
      </c>
      <c r="U2392">
        <f t="shared" si="233"/>
        <v>1.4789940310801177</v>
      </c>
      <c r="V2392" t="str">
        <f t="shared" si="231"/>
        <v>2021/22Expenditure driversSevere Weather 1 in 20BPDT</v>
      </c>
    </row>
    <row r="2393" spans="1:22">
      <c r="A2393" t="s">
        <v>143</v>
      </c>
      <c r="C2393" t="s">
        <v>1344</v>
      </c>
      <c r="D2393" t="s">
        <v>93</v>
      </c>
      <c r="E2393" t="s">
        <v>1347</v>
      </c>
      <c r="F2393" t="s">
        <v>1289</v>
      </c>
      <c r="G2393">
        <v>0.41179759557760243</v>
      </c>
      <c r="H2393">
        <v>3.4749653624618269</v>
      </c>
      <c r="I2393">
        <v>3.2138183972027128</v>
      </c>
      <c r="J2393">
        <v>2.2783258626676997</v>
      </c>
      <c r="K2393">
        <v>2.2793174013456978</v>
      </c>
      <c r="L2393">
        <v>1.1354130645205471</v>
      </c>
      <c r="M2393">
        <v>1.8436164613689312</v>
      </c>
      <c r="N2393">
        <v>0</v>
      </c>
      <c r="O2393">
        <v>1.0390683600717354</v>
      </c>
      <c r="P2393">
        <v>1.2120725047340437</v>
      </c>
      <c r="Q2393">
        <v>0.66174041959363694</v>
      </c>
      <c r="R2393">
        <v>0.66596936284091113</v>
      </c>
      <c r="S2393">
        <v>1.3808224710862309</v>
      </c>
      <c r="T2393">
        <v>1.3726207054990678</v>
      </c>
      <c r="U2393">
        <f t="shared" si="233"/>
        <v>1.4978248549264743</v>
      </c>
      <c r="V2393" t="str">
        <f t="shared" si="231"/>
        <v>2022/23Expenditure driversSevere Weather 1 in 20BPDT</v>
      </c>
    </row>
    <row r="2394" spans="1:22">
      <c r="A2394" t="s">
        <v>137</v>
      </c>
      <c r="C2394" t="s">
        <v>1344</v>
      </c>
      <c r="D2394" t="s">
        <v>93</v>
      </c>
      <c r="E2394" t="s">
        <v>1348</v>
      </c>
      <c r="F2394" t="s">
        <v>1289</v>
      </c>
      <c r="G2394">
        <f t="array" ref="G2394:T2401">TRANSPOSE('Ch4 expenditure drivers'!N674:U687)</f>
        <v>0.55731349703456401</v>
      </c>
      <c r="H2394">
        <v>1.3226141201212216</v>
      </c>
      <c r="I2394">
        <v>1.1727290781473219</v>
      </c>
      <c r="J2394">
        <v>2.0627457205624826</v>
      </c>
      <c r="K2394">
        <v>2.0629488421534656</v>
      </c>
      <c r="L2394">
        <v>1.0304410123786969</v>
      </c>
      <c r="M2394">
        <v>1.6739373185458886</v>
      </c>
      <c r="N2394">
        <v>0</v>
      </c>
      <c r="O2394">
        <v>0.6851539663931725</v>
      </c>
      <c r="P2394">
        <v>1.3754026166963242</v>
      </c>
      <c r="Q2394">
        <v>0.73105629908624326</v>
      </c>
      <c r="R2394">
        <v>0.69674145354007166</v>
      </c>
      <c r="S2394">
        <v>1.1866008724524686</v>
      </c>
      <c r="T2394">
        <v>1.2870098958247429</v>
      </c>
      <c r="U2394">
        <f t="shared" si="233"/>
        <v>1.1317639066383332</v>
      </c>
      <c r="V2394" t="str">
        <f t="shared" si="231"/>
        <v>2015/16Expenditure driversSevere Weather 1 in 20DNO Baseline</v>
      </c>
    </row>
    <row r="2395" spans="1:22">
      <c r="A2395" t="s">
        <v>138</v>
      </c>
      <c r="C2395" t="s">
        <v>1344</v>
      </c>
      <c r="D2395" t="s">
        <v>93</v>
      </c>
      <c r="E2395" t="s">
        <v>1348</v>
      </c>
      <c r="F2395" t="s">
        <v>1289</v>
      </c>
      <c r="G2395">
        <v>0.55006381914394065</v>
      </c>
      <c r="H2395">
        <v>1.3260615282538577</v>
      </c>
      <c r="I2395">
        <v>1.1782774092825206</v>
      </c>
      <c r="J2395">
        <v>2.0885083675390046</v>
      </c>
      <c r="K2395">
        <v>2.0887821029436475</v>
      </c>
      <c r="L2395">
        <v>1.0428841258840855</v>
      </c>
      <c r="M2395">
        <v>1.6940314692926173</v>
      </c>
      <c r="N2395">
        <v>0</v>
      </c>
      <c r="O2395">
        <v>0.67515627317315041</v>
      </c>
      <c r="P2395">
        <v>1.3551479093868817</v>
      </c>
      <c r="Q2395">
        <v>0.7161443283540474</v>
      </c>
      <c r="R2395">
        <v>0.68083121279258352</v>
      </c>
      <c r="S2395">
        <v>1.1725666403835204</v>
      </c>
      <c r="T2395">
        <v>1.2750858258668964</v>
      </c>
      <c r="U2395">
        <f t="shared" si="233"/>
        <v>1.1316815008783396</v>
      </c>
      <c r="V2395" t="str">
        <f t="shared" si="231"/>
        <v>2016/17Expenditure driversSevere Weather 1 in 20DNO Baseline</v>
      </c>
    </row>
    <row r="2396" spans="1:22">
      <c r="A2396" t="s">
        <v>139</v>
      </c>
      <c r="C2396" t="s">
        <v>1344</v>
      </c>
      <c r="D2396" t="s">
        <v>93</v>
      </c>
      <c r="E2396" t="s">
        <v>1348</v>
      </c>
      <c r="F2396" t="s">
        <v>1289</v>
      </c>
      <c r="G2396">
        <v>0.53633206651531684</v>
      </c>
      <c r="H2396">
        <v>1.3278114026910821</v>
      </c>
      <c r="I2396">
        <v>1.1769586751357857</v>
      </c>
      <c r="J2396">
        <v>2.108970731831084</v>
      </c>
      <c r="K2396">
        <v>2.1093294040098511</v>
      </c>
      <c r="L2396">
        <v>1.0528320642304163</v>
      </c>
      <c r="M2396">
        <v>1.7100479410271767</v>
      </c>
      <c r="N2396">
        <v>0</v>
      </c>
      <c r="O2396">
        <v>0.66542958060269841</v>
      </c>
      <c r="P2396">
        <v>1.3337023182093239</v>
      </c>
      <c r="Q2396">
        <v>0.70113034642791083</v>
      </c>
      <c r="R2396">
        <v>0.66781458919805647</v>
      </c>
      <c r="S2396">
        <v>1.1576804322603305</v>
      </c>
      <c r="T2396">
        <v>1.2680567917724939</v>
      </c>
      <c r="U2396">
        <f t="shared" si="233"/>
        <v>1.1297211674222518</v>
      </c>
      <c r="V2396" t="str">
        <f t="shared" si="231"/>
        <v>2017/18Expenditure driversSevere Weather 1 in 20DNO Baseline</v>
      </c>
    </row>
    <row r="2397" spans="1:22">
      <c r="A2397" t="s">
        <v>140</v>
      </c>
      <c r="C2397" t="s">
        <v>1344</v>
      </c>
      <c r="D2397" t="s">
        <v>93</v>
      </c>
      <c r="E2397" t="s">
        <v>1348</v>
      </c>
      <c r="F2397" t="s">
        <v>1289</v>
      </c>
      <c r="G2397">
        <v>0.52421267991034959</v>
      </c>
      <c r="H2397">
        <v>1.3303312139194419</v>
      </c>
      <c r="I2397">
        <v>1.1796838872638824</v>
      </c>
      <c r="J2397">
        <v>2.1416115553781969</v>
      </c>
      <c r="K2397">
        <v>2.1420854956576942</v>
      </c>
      <c r="L2397">
        <v>1.0686910576126722</v>
      </c>
      <c r="M2397">
        <v>1.7356462534250041</v>
      </c>
      <c r="N2397">
        <v>0</v>
      </c>
      <c r="O2397">
        <v>0.65808269558862842</v>
      </c>
      <c r="P2397">
        <v>1.3153574096629681</v>
      </c>
      <c r="Q2397">
        <v>0.68570210951627308</v>
      </c>
      <c r="R2397">
        <v>0.64783923485257489</v>
      </c>
      <c r="S2397">
        <v>1.0914340821988278</v>
      </c>
      <c r="T2397">
        <v>1.2549369139385436</v>
      </c>
      <c r="U2397">
        <f t="shared" si="233"/>
        <v>1.1268296134946467</v>
      </c>
      <c r="V2397" t="str">
        <f t="shared" si="231"/>
        <v>2018/19Expenditure driversSevere Weather 1 in 20DNO Baseline</v>
      </c>
    </row>
    <row r="2398" spans="1:22">
      <c r="A2398" t="s">
        <v>141</v>
      </c>
      <c r="C2398" t="s">
        <v>1344</v>
      </c>
      <c r="D2398" t="s">
        <v>93</v>
      </c>
      <c r="E2398" t="s">
        <v>1348</v>
      </c>
      <c r="F2398" t="s">
        <v>1289</v>
      </c>
      <c r="G2398">
        <v>0.51303672393279742</v>
      </c>
      <c r="H2398">
        <v>1.3323368016570496</v>
      </c>
      <c r="I2398">
        <v>1.1810964032549442</v>
      </c>
      <c r="J2398">
        <v>2.174814964122032</v>
      </c>
      <c r="K2398">
        <v>2.1754244748097946</v>
      </c>
      <c r="L2398">
        <v>1.0848146283807547</v>
      </c>
      <c r="M2398">
        <v>1.7616939915364482</v>
      </c>
      <c r="N2398">
        <v>0</v>
      </c>
      <c r="O2398">
        <v>0.65132065489258506</v>
      </c>
      <c r="P2398">
        <v>1.2784819676377157</v>
      </c>
      <c r="Q2398">
        <v>0.67179269522796237</v>
      </c>
      <c r="R2398">
        <v>0.63320550758583116</v>
      </c>
      <c r="S2398">
        <v>1.0513132619593315</v>
      </c>
      <c r="T2398">
        <v>1.248204406332303</v>
      </c>
      <c r="U2398">
        <f t="shared" si="233"/>
        <v>1.1255383200949678</v>
      </c>
      <c r="V2398" t="str">
        <f t="shared" si="231"/>
        <v>2019/20Expenditure driversSevere Weather 1 in 20DNO Baseline</v>
      </c>
    </row>
    <row r="2399" spans="1:22">
      <c r="A2399" t="s">
        <v>126</v>
      </c>
      <c r="C2399" t="s">
        <v>1344</v>
      </c>
      <c r="D2399" t="s">
        <v>93</v>
      </c>
      <c r="E2399" t="s">
        <v>1348</v>
      </c>
      <c r="F2399" t="s">
        <v>1289</v>
      </c>
      <c r="G2399">
        <v>0.50154722852208644</v>
      </c>
      <c r="H2399">
        <v>1.338156541171982</v>
      </c>
      <c r="I2399">
        <v>1.1879121868240241</v>
      </c>
      <c r="J2399">
        <v>2.2086084781434665</v>
      </c>
      <c r="K2399">
        <v>2.2093820495930068</v>
      </c>
      <c r="L2399">
        <v>1.1013319181939569</v>
      </c>
      <c r="M2399">
        <v>1.7884026655022653</v>
      </c>
      <c r="N2399">
        <v>0</v>
      </c>
      <c r="O2399">
        <v>0.64652522770777232</v>
      </c>
      <c r="P2399">
        <v>1.281407247614712</v>
      </c>
      <c r="Q2399">
        <v>0.65790255365821959</v>
      </c>
      <c r="R2399">
        <v>0.62383092746917712</v>
      </c>
      <c r="S2399">
        <v>1.0750668959655594</v>
      </c>
      <c r="T2399">
        <v>1.2371794047626929</v>
      </c>
      <c r="U2399">
        <f t="shared" si="233"/>
        <v>1.1326609517949231</v>
      </c>
      <c r="V2399" t="str">
        <f t="shared" si="231"/>
        <v>2020/21Expenditure driversSevere Weather 1 in 20DNO Baseline</v>
      </c>
    </row>
    <row r="2400" spans="1:22">
      <c r="A2400" t="s">
        <v>142</v>
      </c>
      <c r="C2400" t="s">
        <v>1344</v>
      </c>
      <c r="D2400" t="s">
        <v>93</v>
      </c>
      <c r="E2400" t="s">
        <v>1348</v>
      </c>
      <c r="F2400" t="s">
        <v>1289</v>
      </c>
      <c r="G2400">
        <v>0.48873460193520812</v>
      </c>
      <c r="H2400">
        <v>1.3437990438661185</v>
      </c>
      <c r="I2400">
        <v>1.1954364924390868</v>
      </c>
      <c r="J2400">
        <v>2.2430856655543563</v>
      </c>
      <c r="K2400">
        <v>2.2439676038726732</v>
      </c>
      <c r="L2400">
        <v>1.1181404231000232</v>
      </c>
      <c r="M2400">
        <v>1.8156116797740165</v>
      </c>
      <c r="N2400">
        <v>0</v>
      </c>
      <c r="O2400">
        <v>0.64914776772947702</v>
      </c>
      <c r="P2400">
        <v>1.2827960505324039</v>
      </c>
      <c r="Q2400">
        <v>0.6477223477939047</v>
      </c>
      <c r="R2400">
        <v>0.60912829824259773</v>
      </c>
      <c r="S2400">
        <v>1.0675850442494672</v>
      </c>
      <c r="T2400">
        <v>1.2639840560629507</v>
      </c>
      <c r="U2400">
        <f t="shared" si="233"/>
        <v>1.1406527910823061</v>
      </c>
      <c r="V2400" t="str">
        <f t="shared" si="231"/>
        <v>2021/22Expenditure driversSevere Weather 1 in 20DNO Baseline</v>
      </c>
    </row>
    <row r="2401" spans="1:22">
      <c r="A2401" t="s">
        <v>143</v>
      </c>
      <c r="C2401" t="s">
        <v>1344</v>
      </c>
      <c r="D2401" t="s">
        <v>93</v>
      </c>
      <c r="E2401" t="s">
        <v>1348</v>
      </c>
      <c r="F2401" t="s">
        <v>1289</v>
      </c>
      <c r="G2401">
        <v>0.47699880412518164</v>
      </c>
      <c r="H2401">
        <v>1.3499430404639914</v>
      </c>
      <c r="I2401">
        <v>1.2015782419201553</v>
      </c>
      <c r="J2401">
        <v>2.2783258626676997</v>
      </c>
      <c r="K2401">
        <v>2.2793174013456978</v>
      </c>
      <c r="L2401">
        <v>1.1354130645205471</v>
      </c>
      <c r="M2401">
        <v>1.8436164613689312</v>
      </c>
      <c r="N2401">
        <v>0</v>
      </c>
      <c r="O2401">
        <v>0.64839943083028517</v>
      </c>
      <c r="P2401">
        <v>1.2804020755989067</v>
      </c>
      <c r="Q2401">
        <v>0.63499540755099371</v>
      </c>
      <c r="R2401">
        <v>0.59411662599200454</v>
      </c>
      <c r="S2401">
        <v>1.0276966835777159</v>
      </c>
      <c r="T2401">
        <v>1.220980261791927</v>
      </c>
      <c r="U2401">
        <f t="shared" si="233"/>
        <v>1.1408416686967171</v>
      </c>
      <c r="V2401" t="str">
        <f t="shared" si="231"/>
        <v>2022/23Expenditure driversSevere Weather 1 in 20DNO Baseline</v>
      </c>
    </row>
    <row r="2402" spans="1:22">
      <c r="A2402" t="s">
        <v>137</v>
      </c>
      <c r="C2402" t="s">
        <v>1344</v>
      </c>
      <c r="D2402" t="s">
        <v>93</v>
      </c>
      <c r="E2402" t="s">
        <v>1349</v>
      </c>
      <c r="F2402" t="s">
        <v>1289</v>
      </c>
      <c r="G2402" cm="1">
        <f t="array" ref="G2402:T2408">TRANSPOSE('Ch4 expenditure drivers'!W674:AC687)</f>
        <v>0</v>
      </c>
      <c r="H2402">
        <v>0</v>
      </c>
      <c r="I2402">
        <v>0</v>
      </c>
      <c r="J2402">
        <v>0</v>
      </c>
      <c r="K2402">
        <v>0</v>
      </c>
      <c r="L2402">
        <v>0</v>
      </c>
      <c r="M2402">
        <v>0</v>
      </c>
      <c r="N2402">
        <v>0</v>
      </c>
      <c r="O2402">
        <v>0</v>
      </c>
      <c r="P2402">
        <v>0</v>
      </c>
      <c r="Q2402">
        <v>0</v>
      </c>
      <c r="R2402">
        <v>2.0676346853101955E-2</v>
      </c>
      <c r="S2402">
        <v>0</v>
      </c>
      <c r="T2402">
        <v>0</v>
      </c>
      <c r="U2402">
        <f t="shared" si="233"/>
        <v>1.4768819180787111E-3</v>
      </c>
      <c r="V2402" t="str">
        <f t="shared" si="231"/>
        <v>2015/16Expenditure driversSevere Weather 1 in 20DNO Actual</v>
      </c>
    </row>
    <row r="2403" spans="1:22">
      <c r="A2403" t="s">
        <v>138</v>
      </c>
      <c r="C2403" t="s">
        <v>1344</v>
      </c>
      <c r="D2403" t="s">
        <v>93</v>
      </c>
      <c r="E2403" t="s">
        <v>1349</v>
      </c>
      <c r="F2403" t="s">
        <v>1289</v>
      </c>
      <c r="G2403">
        <v>0</v>
      </c>
      <c r="H2403">
        <v>0</v>
      </c>
      <c r="I2403">
        <v>0</v>
      </c>
      <c r="J2403">
        <v>0</v>
      </c>
      <c r="K2403">
        <v>0</v>
      </c>
      <c r="L2403">
        <v>0</v>
      </c>
      <c r="M2403">
        <v>0</v>
      </c>
      <c r="N2403">
        <v>0</v>
      </c>
      <c r="O2403">
        <v>0</v>
      </c>
      <c r="P2403">
        <v>0</v>
      </c>
      <c r="Q2403">
        <v>0</v>
      </c>
      <c r="R2403">
        <v>0</v>
      </c>
      <c r="S2403">
        <v>0</v>
      </c>
      <c r="T2403">
        <v>0</v>
      </c>
      <c r="U2403">
        <f t="shared" si="233"/>
        <v>0</v>
      </c>
      <c r="V2403" t="str">
        <f t="shared" si="231"/>
        <v>2016/17Expenditure driversSevere Weather 1 in 20DNO Actual</v>
      </c>
    </row>
    <row r="2404" spans="1:22">
      <c r="A2404" t="s">
        <v>139</v>
      </c>
      <c r="C2404" t="s">
        <v>1344</v>
      </c>
      <c r="D2404" t="s">
        <v>1350</v>
      </c>
      <c r="E2404" t="s">
        <v>1349</v>
      </c>
      <c r="F2404" t="s">
        <v>1289</v>
      </c>
      <c r="G2404">
        <v>0</v>
      </c>
      <c r="H2404">
        <v>0</v>
      </c>
      <c r="I2404">
        <v>0</v>
      </c>
      <c r="J2404">
        <v>0</v>
      </c>
      <c r="K2404">
        <v>0</v>
      </c>
      <c r="L2404">
        <v>0</v>
      </c>
      <c r="M2404">
        <v>0</v>
      </c>
      <c r="N2404">
        <v>0</v>
      </c>
      <c r="O2404">
        <v>0</v>
      </c>
      <c r="P2404">
        <v>0</v>
      </c>
      <c r="Q2404">
        <v>0</v>
      </c>
      <c r="R2404">
        <v>0</v>
      </c>
      <c r="S2404">
        <v>0</v>
      </c>
      <c r="T2404">
        <v>0</v>
      </c>
      <c r="U2404">
        <f t="shared" si="233"/>
        <v>0</v>
      </c>
      <c r="V2404" t="str">
        <f t="shared" si="231"/>
        <v>2017/18Expenditure driversSevere Weather 1 in 21DNO Actual</v>
      </c>
    </row>
    <row r="2405" spans="1:22">
      <c r="A2405" t="s">
        <v>140</v>
      </c>
      <c r="C2405" t="s">
        <v>1344</v>
      </c>
      <c r="D2405" t="s">
        <v>1350</v>
      </c>
      <c r="E2405" t="s">
        <v>1349</v>
      </c>
      <c r="F2405" t="s">
        <v>1289</v>
      </c>
      <c r="G2405">
        <v>0</v>
      </c>
      <c r="H2405">
        <v>0</v>
      </c>
      <c r="I2405">
        <v>0</v>
      </c>
      <c r="J2405">
        <v>0</v>
      </c>
      <c r="K2405">
        <v>0</v>
      </c>
      <c r="L2405">
        <v>0</v>
      </c>
      <c r="M2405">
        <v>0</v>
      </c>
      <c r="N2405">
        <v>0</v>
      </c>
      <c r="O2405">
        <v>0</v>
      </c>
      <c r="P2405">
        <v>0</v>
      </c>
      <c r="Q2405">
        <v>0</v>
      </c>
      <c r="R2405">
        <v>0</v>
      </c>
      <c r="S2405">
        <v>0</v>
      </c>
      <c r="T2405">
        <v>0</v>
      </c>
      <c r="U2405">
        <f>AVERAGE(G2405:T2405)</f>
        <v>0</v>
      </c>
      <c r="V2405" t="str">
        <f t="shared" si="231"/>
        <v>2018/19Expenditure driversSevere Weather 1 in 21DNO Actual</v>
      </c>
    </row>
    <row r="2406" spans="1:22">
      <c r="A2406" t="s">
        <v>141</v>
      </c>
      <c r="C2406" t="s">
        <v>1344</v>
      </c>
      <c r="D2406" t="s">
        <v>1350</v>
      </c>
      <c r="E2406" t="s">
        <v>1349</v>
      </c>
      <c r="F2406" t="s">
        <v>1289</v>
      </c>
      <c r="G2406">
        <v>0</v>
      </c>
      <c r="H2406">
        <v>0</v>
      </c>
      <c r="I2406">
        <v>0</v>
      </c>
      <c r="J2406">
        <v>0</v>
      </c>
      <c r="K2406">
        <v>0</v>
      </c>
      <c r="L2406">
        <v>0</v>
      </c>
      <c r="M2406">
        <v>0</v>
      </c>
      <c r="N2406">
        <v>0</v>
      </c>
      <c r="O2406">
        <v>0</v>
      </c>
      <c r="P2406">
        <v>0</v>
      </c>
      <c r="Q2406">
        <v>0</v>
      </c>
      <c r="R2406">
        <v>0</v>
      </c>
      <c r="S2406">
        <v>0</v>
      </c>
      <c r="T2406">
        <v>0</v>
      </c>
      <c r="U2406">
        <f>AVERAGE(G2406:T2406)</f>
        <v>0</v>
      </c>
      <c r="V2406" t="str">
        <f t="shared" si="231"/>
        <v>2019/20Expenditure driversSevere Weather 1 in 21DNO Actual</v>
      </c>
    </row>
    <row r="2407" spans="1:22">
      <c r="A2407" t="s">
        <v>126</v>
      </c>
      <c r="C2407" t="s">
        <v>1344</v>
      </c>
      <c r="D2407" t="s">
        <v>1350</v>
      </c>
      <c r="E2407" t="s">
        <v>1349</v>
      </c>
      <c r="F2407" t="s">
        <v>1289</v>
      </c>
      <c r="G2407">
        <v>0</v>
      </c>
      <c r="H2407">
        <v>0</v>
      </c>
      <c r="I2407">
        <v>0</v>
      </c>
      <c r="J2407">
        <v>0</v>
      </c>
      <c r="K2407">
        <v>0</v>
      </c>
      <c r="L2407">
        <v>0</v>
      </c>
      <c r="M2407">
        <v>0</v>
      </c>
      <c r="N2407">
        <v>0</v>
      </c>
      <c r="O2407">
        <v>0</v>
      </c>
      <c r="P2407">
        <v>0</v>
      </c>
      <c r="Q2407">
        <v>0</v>
      </c>
      <c r="R2407">
        <v>0</v>
      </c>
      <c r="S2407">
        <v>0</v>
      </c>
      <c r="T2407">
        <v>0</v>
      </c>
      <c r="U2407">
        <f>AVERAGE(G2407:T2407)</f>
        <v>0</v>
      </c>
      <c r="V2407" t="str">
        <f t="shared" si="231"/>
        <v>2020/21Expenditure driversSevere Weather 1 in 21DNO Actual</v>
      </c>
    </row>
    <row r="2408" spans="1:22">
      <c r="A2408" t="s">
        <v>142</v>
      </c>
      <c r="C2408" t="s">
        <v>1344</v>
      </c>
      <c r="D2408" t="s">
        <v>1350</v>
      </c>
      <c r="E2408" t="s">
        <v>1349</v>
      </c>
      <c r="F2408" t="s">
        <v>1289</v>
      </c>
      <c r="G2408">
        <v>0</v>
      </c>
      <c r="H2408">
        <v>11.129968527217935</v>
      </c>
      <c r="I2408">
        <v>0</v>
      </c>
      <c r="J2408">
        <v>0</v>
      </c>
      <c r="K2408">
        <v>0</v>
      </c>
      <c r="L2408">
        <v>1.0985</v>
      </c>
      <c r="M2408">
        <v>2.8346</v>
      </c>
      <c r="N2408">
        <v>0</v>
      </c>
      <c r="O2408">
        <v>9.209779231574462</v>
      </c>
      <c r="P2408">
        <v>5.987797002579164</v>
      </c>
      <c r="Q2408">
        <v>0</v>
      </c>
      <c r="R2408">
        <v>0</v>
      </c>
      <c r="S2408">
        <v>11.672510560000001</v>
      </c>
      <c r="T2408">
        <v>7.2145473399999993</v>
      </c>
      <c r="U2408">
        <f>AVERAGE(G2408:T2408)</f>
        <v>3.5105501900979683</v>
      </c>
      <c r="V2408" t="str">
        <f t="shared" ref="V2408" si="234">CONCATENATE(A2408,B2408,C2408,D2408,E2408)</f>
        <v>2021/22Expenditure driversSevere Weather 1 in 21DNO Actual</v>
      </c>
    </row>
    <row r="2409" spans="1:22">
      <c r="A2409" t="s">
        <v>137</v>
      </c>
      <c r="C2409" t="s">
        <v>1344</v>
      </c>
      <c r="D2409" t="s">
        <v>93</v>
      </c>
      <c r="E2409" t="s">
        <v>297</v>
      </c>
      <c r="F2409" t="s">
        <v>1289</v>
      </c>
      <c r="G2409">
        <f t="array" ref="G2409:T2412">TRANSPOSE('Ch4 expenditure drivers'!AF674:AI687)</f>
        <v>0.55731349703456401</v>
      </c>
      <c r="H2409">
        <v>1.3226141201212216</v>
      </c>
      <c r="I2409">
        <v>1.1727290781473219</v>
      </c>
      <c r="J2409">
        <v>2.0627457205624826</v>
      </c>
      <c r="K2409">
        <v>2.0629488421534656</v>
      </c>
      <c r="L2409">
        <v>1.0304410123786969</v>
      </c>
      <c r="M2409">
        <v>1.6739373185458886</v>
      </c>
      <c r="N2409">
        <v>0</v>
      </c>
      <c r="O2409">
        <v>0.6851539663931725</v>
      </c>
      <c r="P2409">
        <v>1.3754026166963242</v>
      </c>
      <c r="Q2409">
        <v>0.73105629908624326</v>
      </c>
      <c r="R2409">
        <v>0.69674145354007166</v>
      </c>
      <c r="S2409">
        <v>1.1866008724524686</v>
      </c>
      <c r="T2409">
        <v>1.2870098958247429</v>
      </c>
      <c r="U2409">
        <f t="shared" si="233"/>
        <v>1.1317639066383332</v>
      </c>
      <c r="V2409" t="str">
        <f t="shared" si="231"/>
        <v>2015/16Expenditure driversSevere Weather 1 in 20Allowance</v>
      </c>
    </row>
    <row r="2410" spans="1:22">
      <c r="A2410" t="s">
        <v>137</v>
      </c>
      <c r="C2410" t="s">
        <v>1344</v>
      </c>
      <c r="D2410" t="s">
        <v>93</v>
      </c>
      <c r="E2410" t="s">
        <v>298</v>
      </c>
      <c r="F2410" t="s">
        <v>1289</v>
      </c>
      <c r="G2410">
        <v>0</v>
      </c>
      <c r="H2410">
        <v>0</v>
      </c>
      <c r="I2410">
        <v>0</v>
      </c>
      <c r="J2410">
        <v>0</v>
      </c>
      <c r="K2410">
        <v>0</v>
      </c>
      <c r="L2410">
        <v>0</v>
      </c>
      <c r="M2410">
        <v>0</v>
      </c>
      <c r="N2410">
        <v>0</v>
      </c>
      <c r="O2410">
        <v>0</v>
      </c>
      <c r="P2410">
        <v>0</v>
      </c>
      <c r="Q2410">
        <v>0</v>
      </c>
      <c r="R2410">
        <v>2.0676346853101955E-2</v>
      </c>
      <c r="S2410">
        <v>0</v>
      </c>
      <c r="T2410">
        <v>0</v>
      </c>
      <c r="U2410">
        <f t="shared" si="233"/>
        <v>1.4768819180787111E-3</v>
      </c>
      <c r="V2410" t="str">
        <f t="shared" si="231"/>
        <v>2015/16Expenditure driversSevere Weather 1 in 20Actual</v>
      </c>
    </row>
    <row r="2411" spans="1:22">
      <c r="A2411" t="s">
        <v>137</v>
      </c>
      <c r="C2411" t="s">
        <v>1344</v>
      </c>
      <c r="D2411" t="s">
        <v>93</v>
      </c>
      <c r="E2411" t="s">
        <v>602</v>
      </c>
      <c r="F2411" t="s">
        <v>1289</v>
      </c>
      <c r="G2411">
        <v>-0.55731349703456401</v>
      </c>
      <c r="H2411">
        <v>-1.3226141201212216</v>
      </c>
      <c r="I2411">
        <v>-1.1727290781473219</v>
      </c>
      <c r="J2411">
        <v>-2.0627457205624826</v>
      </c>
      <c r="K2411">
        <v>-2.0629488421534656</v>
      </c>
      <c r="L2411">
        <v>-1.0304410123786969</v>
      </c>
      <c r="M2411">
        <v>-1.6739373185458886</v>
      </c>
      <c r="N2411">
        <v>0</v>
      </c>
      <c r="O2411">
        <v>-0.6851539663931725</v>
      </c>
      <c r="P2411">
        <v>-1.3754026166963242</v>
      </c>
      <c r="Q2411">
        <v>-0.73105629908624326</v>
      </c>
      <c r="R2411">
        <v>-0.67606510668696973</v>
      </c>
      <c r="S2411">
        <v>-1.1866008724524686</v>
      </c>
      <c r="T2411">
        <v>-1.2870098958247429</v>
      </c>
      <c r="U2411">
        <f>U2410-U2409</f>
        <v>-1.1302870247202543</v>
      </c>
      <c r="V2411" t="str">
        <f t="shared" si="231"/>
        <v>2015/16Expenditure driversSevere Weather 1 in 20Difference</v>
      </c>
    </row>
    <row r="2412" spans="1:22">
      <c r="A2412" t="s">
        <v>137</v>
      </c>
      <c r="C2412" t="s">
        <v>1344</v>
      </c>
      <c r="D2412" t="s">
        <v>93</v>
      </c>
      <c r="E2412" t="s">
        <v>1346</v>
      </c>
      <c r="F2412" t="s">
        <v>606</v>
      </c>
      <c r="G2412" s="829">
        <v>-1</v>
      </c>
      <c r="H2412" s="829">
        <v>-1</v>
      </c>
      <c r="I2412" s="829">
        <v>-1</v>
      </c>
      <c r="J2412" s="829">
        <v>-1</v>
      </c>
      <c r="K2412" s="829">
        <v>-1</v>
      </c>
      <c r="L2412" s="829">
        <v>-1</v>
      </c>
      <c r="M2412" s="829">
        <v>-1</v>
      </c>
      <c r="N2412" s="829" t="e">
        <v>#DIV/0!</v>
      </c>
      <c r="O2412" s="829">
        <v>-1</v>
      </c>
      <c r="P2412" s="829">
        <v>-1</v>
      </c>
      <c r="Q2412" s="829">
        <v>-1</v>
      </c>
      <c r="R2412" s="829">
        <v>-0.97032421890782072</v>
      </c>
      <c r="S2412" s="829">
        <v>-1</v>
      </c>
      <c r="T2412" s="829">
        <v>-1</v>
      </c>
      <c r="U2412" s="829">
        <f>U2411/U2409</f>
        <v>-0.99869506183275836</v>
      </c>
      <c r="V2412" t="str">
        <f t="shared" si="231"/>
        <v>2015/16Expenditure driversSevere Weather 1 in 20Difference %</v>
      </c>
    </row>
    <row r="2413" spans="1:22">
      <c r="A2413" t="s">
        <v>138</v>
      </c>
      <c r="C2413" t="s">
        <v>1344</v>
      </c>
      <c r="D2413" t="s">
        <v>93</v>
      </c>
      <c r="E2413" t="s">
        <v>297</v>
      </c>
      <c r="F2413" t="s">
        <v>1289</v>
      </c>
      <c r="G2413">
        <f t="array" ref="G2413:T2416">TRANSPOSE('Ch4 expenditure drivers'!AK674:AN687)</f>
        <v>0.55006381914394065</v>
      </c>
      <c r="H2413">
        <v>1.3260615282538577</v>
      </c>
      <c r="I2413">
        <v>1.1782774092825206</v>
      </c>
      <c r="J2413">
        <v>2.0885083675390046</v>
      </c>
      <c r="K2413">
        <v>2.0887821029436475</v>
      </c>
      <c r="L2413">
        <v>1.0428841258840855</v>
      </c>
      <c r="M2413">
        <v>1.6940314692926173</v>
      </c>
      <c r="N2413">
        <v>0</v>
      </c>
      <c r="O2413">
        <v>0.67515627317315041</v>
      </c>
      <c r="P2413">
        <v>1.3551479093868817</v>
      </c>
      <c r="Q2413">
        <v>0.7161443283540474</v>
      </c>
      <c r="R2413">
        <v>0.68083121279258352</v>
      </c>
      <c r="S2413">
        <v>1.1725666403835204</v>
      </c>
      <c r="T2413">
        <v>1.2750858258668964</v>
      </c>
      <c r="U2413">
        <f t="shared" si="233"/>
        <v>1.1316815008783396</v>
      </c>
      <c r="V2413" t="str">
        <f t="shared" si="231"/>
        <v>2016/17Expenditure driversSevere Weather 1 in 20Allowance</v>
      </c>
    </row>
    <row r="2414" spans="1:22">
      <c r="A2414" t="s">
        <v>138</v>
      </c>
      <c r="C2414" t="s">
        <v>1344</v>
      </c>
      <c r="D2414" t="s">
        <v>93</v>
      </c>
      <c r="E2414" t="s">
        <v>298</v>
      </c>
      <c r="F2414" t="s">
        <v>1289</v>
      </c>
      <c r="G2414">
        <v>0</v>
      </c>
      <c r="H2414">
        <v>0</v>
      </c>
      <c r="I2414">
        <v>0</v>
      </c>
      <c r="J2414">
        <v>0</v>
      </c>
      <c r="K2414">
        <v>0</v>
      </c>
      <c r="L2414">
        <v>0</v>
      </c>
      <c r="M2414">
        <v>0</v>
      </c>
      <c r="N2414">
        <v>0</v>
      </c>
      <c r="O2414">
        <v>0</v>
      </c>
      <c r="P2414">
        <v>0</v>
      </c>
      <c r="Q2414">
        <v>0</v>
      </c>
      <c r="R2414">
        <v>0</v>
      </c>
      <c r="S2414">
        <v>0</v>
      </c>
      <c r="T2414">
        <v>0</v>
      </c>
      <c r="U2414">
        <f t="shared" si="233"/>
        <v>0</v>
      </c>
      <c r="V2414" t="str">
        <f t="shared" si="231"/>
        <v>2016/17Expenditure driversSevere Weather 1 in 20Actual</v>
      </c>
    </row>
    <row r="2415" spans="1:22">
      <c r="A2415" t="s">
        <v>138</v>
      </c>
      <c r="C2415" t="s">
        <v>1344</v>
      </c>
      <c r="D2415" t="s">
        <v>93</v>
      </c>
      <c r="E2415" t="s">
        <v>602</v>
      </c>
      <c r="F2415" t="s">
        <v>1289</v>
      </c>
      <c r="G2415">
        <v>-0.55006381914394065</v>
      </c>
      <c r="H2415">
        <v>-1.3260615282538577</v>
      </c>
      <c r="I2415">
        <v>-1.1782774092825206</v>
      </c>
      <c r="J2415">
        <v>-2.0885083675390046</v>
      </c>
      <c r="K2415">
        <v>-2.0887821029436475</v>
      </c>
      <c r="L2415">
        <v>-1.0428841258840855</v>
      </c>
      <c r="M2415">
        <v>-1.6940314692926173</v>
      </c>
      <c r="N2415">
        <v>0</v>
      </c>
      <c r="O2415">
        <v>-0.67515627317315041</v>
      </c>
      <c r="P2415">
        <v>-1.3551479093868817</v>
      </c>
      <c r="Q2415">
        <v>-0.7161443283540474</v>
      </c>
      <c r="R2415">
        <v>-0.68083121279258352</v>
      </c>
      <c r="S2415">
        <v>-1.1725666403835204</v>
      </c>
      <c r="T2415">
        <v>-1.2750858258668964</v>
      </c>
      <c r="U2415">
        <f>U2414-U2413</f>
        <v>-1.1316815008783396</v>
      </c>
      <c r="V2415" t="str">
        <f t="shared" si="231"/>
        <v>2016/17Expenditure driversSevere Weather 1 in 20Difference</v>
      </c>
    </row>
    <row r="2416" spans="1:22">
      <c r="A2416" t="s">
        <v>138</v>
      </c>
      <c r="C2416" t="s">
        <v>1344</v>
      </c>
      <c r="D2416" t="s">
        <v>93</v>
      </c>
      <c r="E2416" t="s">
        <v>1346</v>
      </c>
      <c r="F2416" t="s">
        <v>606</v>
      </c>
      <c r="G2416" s="829">
        <v>-1</v>
      </c>
      <c r="H2416" s="829">
        <v>-1</v>
      </c>
      <c r="I2416" s="829">
        <v>-1</v>
      </c>
      <c r="J2416" s="829">
        <v>-1</v>
      </c>
      <c r="K2416" s="829">
        <v>-1</v>
      </c>
      <c r="L2416" s="829">
        <v>-1</v>
      </c>
      <c r="M2416" s="829">
        <v>-1</v>
      </c>
      <c r="N2416" s="829" t="e">
        <v>#DIV/0!</v>
      </c>
      <c r="O2416" s="829">
        <v>-1</v>
      </c>
      <c r="P2416" s="829">
        <v>-1</v>
      </c>
      <c r="Q2416" s="829">
        <v>-1</v>
      </c>
      <c r="R2416" s="829">
        <v>-1</v>
      </c>
      <c r="S2416" s="829">
        <v>-1</v>
      </c>
      <c r="T2416" s="829">
        <v>-1</v>
      </c>
      <c r="U2416" s="829">
        <f>U2415/U2413</f>
        <v>-1</v>
      </c>
      <c r="V2416" t="str">
        <f t="shared" si="231"/>
        <v>2016/17Expenditure driversSevere Weather 1 in 20Difference %</v>
      </c>
    </row>
    <row r="2417" spans="1:22">
      <c r="A2417" t="s">
        <v>139</v>
      </c>
      <c r="C2417" t="s">
        <v>1344</v>
      </c>
      <c r="D2417" t="s">
        <v>93</v>
      </c>
      <c r="E2417" t="s">
        <v>297</v>
      </c>
      <c r="F2417" t="s">
        <v>1289</v>
      </c>
      <c r="G2417">
        <f t="array" ref="G2417:T2420">TRANSPOSE('Ch4 expenditure drivers'!AP674:AS687)</f>
        <v>0.53633206651531684</v>
      </c>
      <c r="H2417">
        <v>1.3278114026910821</v>
      </c>
      <c r="I2417">
        <v>1.1769586751357857</v>
      </c>
      <c r="J2417">
        <v>2.108970731831084</v>
      </c>
      <c r="K2417">
        <v>2.1093294040098511</v>
      </c>
      <c r="L2417">
        <v>1.0528320642304163</v>
      </c>
      <c r="M2417">
        <v>1.7100479410271767</v>
      </c>
      <c r="N2417">
        <v>0</v>
      </c>
      <c r="O2417">
        <v>0.66542958060269841</v>
      </c>
      <c r="P2417">
        <v>1.3337023182093239</v>
      </c>
      <c r="Q2417">
        <v>0.70113034642791083</v>
      </c>
      <c r="R2417">
        <v>0.66781458919805647</v>
      </c>
      <c r="S2417">
        <v>1.1576804322603305</v>
      </c>
      <c r="T2417">
        <v>1.2680567917724939</v>
      </c>
      <c r="U2417">
        <f t="shared" si="233"/>
        <v>1.1297211674222518</v>
      </c>
      <c r="V2417" t="str">
        <f t="shared" si="231"/>
        <v>2017/18Expenditure driversSevere Weather 1 in 20Allowance</v>
      </c>
    </row>
    <row r="2418" spans="1:22">
      <c r="A2418" t="s">
        <v>139</v>
      </c>
      <c r="C2418" t="s">
        <v>1344</v>
      </c>
      <c r="D2418" t="s">
        <v>93</v>
      </c>
      <c r="E2418" t="s">
        <v>298</v>
      </c>
      <c r="F2418" t="s">
        <v>1289</v>
      </c>
      <c r="G2418">
        <v>0</v>
      </c>
      <c r="H2418">
        <v>0</v>
      </c>
      <c r="I2418">
        <v>0</v>
      </c>
      <c r="J2418">
        <v>0</v>
      </c>
      <c r="K2418">
        <v>0</v>
      </c>
      <c r="L2418">
        <v>0</v>
      </c>
      <c r="M2418">
        <v>0</v>
      </c>
      <c r="N2418">
        <v>0</v>
      </c>
      <c r="O2418">
        <v>0</v>
      </c>
      <c r="P2418">
        <v>0</v>
      </c>
      <c r="Q2418">
        <v>0</v>
      </c>
      <c r="R2418">
        <v>0</v>
      </c>
      <c r="S2418">
        <v>0</v>
      </c>
      <c r="T2418">
        <v>0</v>
      </c>
      <c r="U2418">
        <f t="shared" si="233"/>
        <v>0</v>
      </c>
      <c r="V2418" t="str">
        <f t="shared" si="231"/>
        <v>2017/18Expenditure driversSevere Weather 1 in 20Actual</v>
      </c>
    </row>
    <row r="2419" spans="1:22">
      <c r="A2419" t="s">
        <v>139</v>
      </c>
      <c r="C2419" t="s">
        <v>1344</v>
      </c>
      <c r="D2419" t="s">
        <v>93</v>
      </c>
      <c r="E2419" t="s">
        <v>602</v>
      </c>
      <c r="F2419" t="s">
        <v>1289</v>
      </c>
      <c r="G2419">
        <v>-0.53633206651531684</v>
      </c>
      <c r="H2419">
        <v>-1.3278114026910821</v>
      </c>
      <c r="I2419">
        <v>-1.1769586751357857</v>
      </c>
      <c r="J2419">
        <v>-2.108970731831084</v>
      </c>
      <c r="K2419">
        <v>-2.1093294040098511</v>
      </c>
      <c r="L2419">
        <v>-1.0528320642304163</v>
      </c>
      <c r="M2419">
        <v>-1.7100479410271767</v>
      </c>
      <c r="N2419">
        <v>0</v>
      </c>
      <c r="O2419">
        <v>-0.66542958060269841</v>
      </c>
      <c r="P2419">
        <v>-1.3337023182093239</v>
      </c>
      <c r="Q2419">
        <v>-0.70113034642791083</v>
      </c>
      <c r="R2419">
        <v>-0.66781458919805647</v>
      </c>
      <c r="S2419">
        <v>-1.1576804322603305</v>
      </c>
      <c r="T2419">
        <v>-1.2680567917724939</v>
      </c>
      <c r="U2419">
        <f t="shared" si="233"/>
        <v>-1.1297211674222518</v>
      </c>
      <c r="V2419" t="str">
        <f t="shared" si="231"/>
        <v>2017/18Expenditure driversSevere Weather 1 in 20Difference</v>
      </c>
    </row>
    <row r="2420" spans="1:22">
      <c r="A2420" t="s">
        <v>139</v>
      </c>
      <c r="C2420" t="s">
        <v>1344</v>
      </c>
      <c r="D2420" t="s">
        <v>93</v>
      </c>
      <c r="E2420" t="s">
        <v>1346</v>
      </c>
      <c r="F2420" t="s">
        <v>606</v>
      </c>
      <c r="G2420" s="829">
        <v>-1</v>
      </c>
      <c r="H2420" s="829">
        <v>-1</v>
      </c>
      <c r="I2420" s="829">
        <v>-1</v>
      </c>
      <c r="J2420" s="829">
        <v>-1</v>
      </c>
      <c r="K2420" s="829">
        <v>-1</v>
      </c>
      <c r="L2420" s="829">
        <v>-1</v>
      </c>
      <c r="M2420" s="829">
        <v>-1</v>
      </c>
      <c r="N2420" s="829" t="e">
        <v>#DIV/0!</v>
      </c>
      <c r="O2420" s="829">
        <v>-1</v>
      </c>
      <c r="P2420" s="829">
        <v>-1</v>
      </c>
      <c r="Q2420" s="829">
        <v>-1</v>
      </c>
      <c r="R2420" s="829">
        <v>-1</v>
      </c>
      <c r="S2420" s="829">
        <v>-1</v>
      </c>
      <c r="T2420" s="829">
        <v>-1</v>
      </c>
      <c r="U2420" s="829">
        <f>U2419/U2417</f>
        <v>-1</v>
      </c>
      <c r="V2420" t="str">
        <f t="shared" si="231"/>
        <v>2017/18Expenditure driversSevere Weather 1 in 20Difference %</v>
      </c>
    </row>
    <row r="2421" spans="1:22">
      <c r="A2421" t="s">
        <v>140</v>
      </c>
      <c r="C2421" t="s">
        <v>1344</v>
      </c>
      <c r="D2421" t="s">
        <v>93</v>
      </c>
      <c r="E2421" t="s">
        <v>297</v>
      </c>
      <c r="F2421" t="s">
        <v>1289</v>
      </c>
      <c r="G2421">
        <f t="array" ref="G2421:T2424">TRANSPOSE('Ch4 expenditure drivers'!AU674:AX687)</f>
        <v>0.52421267991034959</v>
      </c>
      <c r="H2421">
        <v>1.3303312139194419</v>
      </c>
      <c r="I2421">
        <v>1.1796838872638824</v>
      </c>
      <c r="J2421">
        <v>2.1416115553781969</v>
      </c>
      <c r="K2421">
        <v>2.1420854956576942</v>
      </c>
      <c r="L2421">
        <v>1.0686910576126722</v>
      </c>
      <c r="M2421">
        <v>1.7356462534250041</v>
      </c>
      <c r="N2421">
        <v>0</v>
      </c>
      <c r="O2421">
        <v>0.65808269558862842</v>
      </c>
      <c r="P2421">
        <v>1.3153574096629681</v>
      </c>
      <c r="Q2421">
        <v>0.68570210951627308</v>
      </c>
      <c r="R2421">
        <v>0.64783923485257489</v>
      </c>
      <c r="S2421">
        <v>1.0914340821988278</v>
      </c>
      <c r="T2421">
        <v>1.2549369139385436</v>
      </c>
      <c r="U2421">
        <f>AVERAGE(G2421:T2421)</f>
        <v>1.1268296134946467</v>
      </c>
      <c r="V2421" t="str">
        <f t="shared" si="231"/>
        <v>2018/19Expenditure driversSevere Weather 1 in 20Allowance</v>
      </c>
    </row>
    <row r="2422" spans="1:22">
      <c r="A2422" t="s">
        <v>140</v>
      </c>
      <c r="C2422" t="s">
        <v>1344</v>
      </c>
      <c r="D2422" t="s">
        <v>93</v>
      </c>
      <c r="E2422" t="s">
        <v>298</v>
      </c>
      <c r="F2422" t="s">
        <v>1289</v>
      </c>
      <c r="G2422">
        <v>0</v>
      </c>
      <c r="H2422">
        <v>0</v>
      </c>
      <c r="I2422">
        <v>0</v>
      </c>
      <c r="J2422">
        <v>0</v>
      </c>
      <c r="K2422">
        <v>0</v>
      </c>
      <c r="L2422">
        <v>0</v>
      </c>
      <c r="M2422">
        <v>0</v>
      </c>
      <c r="N2422">
        <v>0</v>
      </c>
      <c r="O2422">
        <v>0</v>
      </c>
      <c r="P2422">
        <v>0</v>
      </c>
      <c r="Q2422">
        <v>0</v>
      </c>
      <c r="R2422">
        <v>0</v>
      </c>
      <c r="S2422">
        <v>0</v>
      </c>
      <c r="T2422">
        <v>0</v>
      </c>
      <c r="U2422">
        <f>AVERAGE(G2422:T2422)</f>
        <v>0</v>
      </c>
      <c r="V2422" t="str">
        <f t="shared" si="231"/>
        <v>2018/19Expenditure driversSevere Weather 1 in 20Actual</v>
      </c>
    </row>
    <row r="2423" spans="1:22">
      <c r="A2423" t="s">
        <v>140</v>
      </c>
      <c r="C2423" t="s">
        <v>1344</v>
      </c>
      <c r="D2423" t="s">
        <v>93</v>
      </c>
      <c r="E2423" t="s">
        <v>602</v>
      </c>
      <c r="F2423" t="s">
        <v>1289</v>
      </c>
      <c r="G2423">
        <v>-0.52421267991034959</v>
      </c>
      <c r="H2423">
        <v>-1.3303312139194419</v>
      </c>
      <c r="I2423">
        <v>-1.1796838872638824</v>
      </c>
      <c r="J2423">
        <v>-2.1416115553781969</v>
      </c>
      <c r="K2423">
        <v>-2.1420854956576942</v>
      </c>
      <c r="L2423">
        <v>-1.0686910576126722</v>
      </c>
      <c r="M2423">
        <v>-1.7356462534250041</v>
      </c>
      <c r="N2423">
        <v>0</v>
      </c>
      <c r="O2423">
        <v>-0.65808269558862842</v>
      </c>
      <c r="P2423">
        <v>-1.3153574096629681</v>
      </c>
      <c r="Q2423">
        <v>-0.68570210951627308</v>
      </c>
      <c r="R2423">
        <v>-0.64783923485257489</v>
      </c>
      <c r="S2423">
        <v>-1.0914340821988278</v>
      </c>
      <c r="T2423">
        <v>-1.2549369139385436</v>
      </c>
      <c r="U2423">
        <f>AVERAGE(G2423:T2423)</f>
        <v>-1.1268296134946467</v>
      </c>
      <c r="V2423" t="str">
        <f t="shared" si="231"/>
        <v>2018/19Expenditure driversSevere Weather 1 in 20Difference</v>
      </c>
    </row>
    <row r="2424" spans="1:22">
      <c r="A2424" t="s">
        <v>140</v>
      </c>
      <c r="C2424" t="s">
        <v>1344</v>
      </c>
      <c r="D2424" t="s">
        <v>93</v>
      </c>
      <c r="E2424" t="s">
        <v>1346</v>
      </c>
      <c r="F2424" t="s">
        <v>606</v>
      </c>
      <c r="G2424" s="829">
        <v>-1</v>
      </c>
      <c r="H2424" s="829">
        <v>-1</v>
      </c>
      <c r="I2424" s="829">
        <v>-1</v>
      </c>
      <c r="J2424" s="829">
        <v>-1</v>
      </c>
      <c r="K2424" s="829">
        <v>-1</v>
      </c>
      <c r="L2424" s="829">
        <v>-1</v>
      </c>
      <c r="M2424" s="829">
        <v>-1</v>
      </c>
      <c r="N2424" s="829" t="e">
        <v>#DIV/0!</v>
      </c>
      <c r="O2424" s="829">
        <v>-1</v>
      </c>
      <c r="P2424" s="829">
        <v>-1</v>
      </c>
      <c r="Q2424" s="829">
        <v>-1</v>
      </c>
      <c r="R2424" s="829">
        <v>-1</v>
      </c>
      <c r="S2424" s="829">
        <v>-1</v>
      </c>
      <c r="T2424" s="829">
        <v>-1</v>
      </c>
      <c r="U2424" s="829">
        <f>U2423/U2421</f>
        <v>-1</v>
      </c>
      <c r="V2424" t="str">
        <f t="shared" si="231"/>
        <v>2018/19Expenditure driversSevere Weather 1 in 20Difference %</v>
      </c>
    </row>
    <row r="2425" spans="1:22">
      <c r="A2425" t="s">
        <v>141</v>
      </c>
      <c r="C2425" t="s">
        <v>1344</v>
      </c>
      <c r="D2425" t="s">
        <v>93</v>
      </c>
      <c r="E2425" t="s">
        <v>297</v>
      </c>
      <c r="F2425" t="s">
        <v>1289</v>
      </c>
      <c r="G2425" s="229">
        <f t="array" ref="G2425:T2428">TRANSPOSE('Ch4 expenditure drivers'!AZ674:BC687)</f>
        <v>0.51303672393279742</v>
      </c>
      <c r="H2425" s="229">
        <v>1.3323368016570496</v>
      </c>
      <c r="I2425" s="229">
        <v>1.1810964032549442</v>
      </c>
      <c r="J2425" s="229">
        <v>2.174814964122032</v>
      </c>
      <c r="K2425" s="229">
        <v>2.1754244748097946</v>
      </c>
      <c r="L2425" s="229">
        <v>1.0848146283807547</v>
      </c>
      <c r="M2425" s="229">
        <v>1.7616939915364482</v>
      </c>
      <c r="N2425" s="229">
        <v>0</v>
      </c>
      <c r="O2425" s="229">
        <v>0.65132065489258506</v>
      </c>
      <c r="P2425" s="229">
        <v>1.2784819676377157</v>
      </c>
      <c r="Q2425" s="229">
        <v>0.67179269522796237</v>
      </c>
      <c r="R2425" s="229">
        <v>0.63320550758583116</v>
      </c>
      <c r="S2425" s="229">
        <v>1.0513132619593315</v>
      </c>
      <c r="T2425" s="229">
        <v>1.248204406332303</v>
      </c>
      <c r="U2425" s="229">
        <f>AVERAGE(G2425:T2425)</f>
        <v>1.1255383200949678</v>
      </c>
      <c r="V2425" t="str">
        <f t="shared" si="231"/>
        <v>2019/20Expenditure driversSevere Weather 1 in 20Allowance</v>
      </c>
    </row>
    <row r="2426" spans="1:22">
      <c r="A2426" t="s">
        <v>141</v>
      </c>
      <c r="C2426" t="s">
        <v>1344</v>
      </c>
      <c r="D2426" t="s">
        <v>93</v>
      </c>
      <c r="E2426" t="s">
        <v>298</v>
      </c>
      <c r="F2426" t="s">
        <v>1289</v>
      </c>
      <c r="G2426" s="229">
        <v>0</v>
      </c>
      <c r="H2426" s="229">
        <v>0</v>
      </c>
      <c r="I2426" s="229">
        <v>0</v>
      </c>
      <c r="J2426" s="229">
        <v>0</v>
      </c>
      <c r="K2426" s="229">
        <v>0</v>
      </c>
      <c r="L2426" s="229">
        <v>0</v>
      </c>
      <c r="M2426" s="229">
        <v>0</v>
      </c>
      <c r="N2426" s="229">
        <v>0</v>
      </c>
      <c r="O2426" s="229">
        <v>0</v>
      </c>
      <c r="P2426" s="229">
        <v>0</v>
      </c>
      <c r="Q2426" s="229">
        <v>0</v>
      </c>
      <c r="R2426" s="229">
        <v>0</v>
      </c>
      <c r="S2426" s="229">
        <v>0</v>
      </c>
      <c r="T2426" s="229">
        <v>0</v>
      </c>
      <c r="U2426" s="229">
        <f>AVERAGE(G2426:T2426)</f>
        <v>0</v>
      </c>
      <c r="V2426" t="str">
        <f t="shared" si="231"/>
        <v>2019/20Expenditure driversSevere Weather 1 in 20Actual</v>
      </c>
    </row>
    <row r="2427" spans="1:22">
      <c r="A2427" t="s">
        <v>141</v>
      </c>
      <c r="C2427" t="s">
        <v>1344</v>
      </c>
      <c r="D2427" t="s">
        <v>93</v>
      </c>
      <c r="E2427" t="s">
        <v>602</v>
      </c>
      <c r="F2427" t="s">
        <v>1289</v>
      </c>
      <c r="G2427" s="229">
        <v>-0.51303672393279742</v>
      </c>
      <c r="H2427" s="229">
        <v>-1.3323368016570496</v>
      </c>
      <c r="I2427" s="229">
        <v>-1.1810964032549442</v>
      </c>
      <c r="J2427" s="229">
        <v>-2.174814964122032</v>
      </c>
      <c r="K2427" s="229">
        <v>-2.1754244748097946</v>
      </c>
      <c r="L2427" s="229">
        <v>-1.0848146283807547</v>
      </c>
      <c r="M2427" s="229">
        <v>-1.7616939915364482</v>
      </c>
      <c r="N2427" s="229">
        <v>0</v>
      </c>
      <c r="O2427" s="229">
        <v>-0.65132065489258506</v>
      </c>
      <c r="P2427" s="229">
        <v>-1.2784819676377157</v>
      </c>
      <c r="Q2427" s="229">
        <v>-0.67179269522796237</v>
      </c>
      <c r="R2427" s="229">
        <v>-0.63320550758583116</v>
      </c>
      <c r="S2427" s="229">
        <v>-1.0513132619593315</v>
      </c>
      <c r="T2427" s="229">
        <v>-1.248204406332303</v>
      </c>
      <c r="U2427" s="229">
        <f>AVERAGE(G2427:T2427)</f>
        <v>-1.1255383200949678</v>
      </c>
      <c r="V2427" t="str">
        <f t="shared" si="231"/>
        <v>2019/20Expenditure driversSevere Weather 1 in 20Difference</v>
      </c>
    </row>
    <row r="2428" spans="1:22">
      <c r="A2428" t="s">
        <v>141</v>
      </c>
      <c r="C2428" t="s">
        <v>1344</v>
      </c>
      <c r="D2428" t="s">
        <v>93</v>
      </c>
      <c r="E2428" t="s">
        <v>1346</v>
      </c>
      <c r="F2428" t="s">
        <v>606</v>
      </c>
      <c r="G2428" s="829">
        <v>-1</v>
      </c>
      <c r="H2428" s="829">
        <v>-1</v>
      </c>
      <c r="I2428" s="829">
        <v>-1</v>
      </c>
      <c r="J2428" s="829">
        <v>-1</v>
      </c>
      <c r="K2428" s="829">
        <v>-1</v>
      </c>
      <c r="L2428" s="829">
        <v>-1</v>
      </c>
      <c r="M2428" s="829">
        <v>-1</v>
      </c>
      <c r="N2428" s="829" t="e">
        <v>#DIV/0!</v>
      </c>
      <c r="O2428" s="829">
        <v>-1</v>
      </c>
      <c r="P2428" s="829">
        <v>-1</v>
      </c>
      <c r="Q2428" s="829">
        <v>-1</v>
      </c>
      <c r="R2428" s="829">
        <v>-1</v>
      </c>
      <c r="S2428" s="829">
        <v>-1</v>
      </c>
      <c r="T2428" s="829">
        <v>-1</v>
      </c>
      <c r="U2428" s="829">
        <f>U2427/U2425</f>
        <v>-1</v>
      </c>
      <c r="V2428" t="str">
        <f t="shared" si="231"/>
        <v>2019/20Expenditure driversSevere Weather 1 in 20Difference %</v>
      </c>
    </row>
    <row r="2429" spans="1:22">
      <c r="A2429" t="s">
        <v>126</v>
      </c>
      <c r="C2429" t="s">
        <v>1344</v>
      </c>
      <c r="D2429" t="s">
        <v>93</v>
      </c>
      <c r="E2429" t="s">
        <v>297</v>
      </c>
      <c r="F2429" t="s">
        <v>1289</v>
      </c>
      <c r="G2429" s="229" cm="1">
        <f t="array" ref="G2429:T2432">TRANSPOSE('Ch4 expenditure drivers'!BE674:BH687)</f>
        <v>0.50154722852208644</v>
      </c>
      <c r="H2429" s="229">
        <v>1.338156541171982</v>
      </c>
      <c r="I2429" s="229">
        <v>1.1879121868240241</v>
      </c>
      <c r="J2429" s="229">
        <v>2.2086084781434665</v>
      </c>
      <c r="K2429" s="229">
        <v>2.2093820495930068</v>
      </c>
      <c r="L2429" s="229">
        <v>1.1013319181939569</v>
      </c>
      <c r="M2429" s="229">
        <v>1.7884026655022653</v>
      </c>
      <c r="N2429" s="229">
        <v>0</v>
      </c>
      <c r="O2429" s="229">
        <v>0.64652522770777232</v>
      </c>
      <c r="P2429" s="229">
        <v>1.281407247614712</v>
      </c>
      <c r="Q2429" s="229">
        <v>0.65790255365821959</v>
      </c>
      <c r="R2429" s="229">
        <v>0.62383092746917712</v>
      </c>
      <c r="S2429" s="229">
        <v>1.0750668959655594</v>
      </c>
      <c r="T2429" s="229">
        <v>1.2371794047626929</v>
      </c>
      <c r="U2429" s="229">
        <f>AVERAGE(G2429:T2429)</f>
        <v>1.1326609517949231</v>
      </c>
      <c r="V2429" t="str">
        <f t="shared" si="231"/>
        <v>2020/21Expenditure driversSevere Weather 1 in 20Allowance</v>
      </c>
    </row>
    <row r="2430" spans="1:22">
      <c r="A2430" t="s">
        <v>126</v>
      </c>
      <c r="C2430" t="s">
        <v>1344</v>
      </c>
      <c r="D2430" t="s">
        <v>93</v>
      </c>
      <c r="E2430" t="s">
        <v>298</v>
      </c>
      <c r="F2430" t="s">
        <v>1289</v>
      </c>
      <c r="G2430" s="229">
        <v>0</v>
      </c>
      <c r="H2430" s="229">
        <v>0</v>
      </c>
      <c r="I2430" s="229">
        <v>0</v>
      </c>
      <c r="J2430" s="229">
        <v>0</v>
      </c>
      <c r="K2430" s="229">
        <v>0</v>
      </c>
      <c r="L2430" s="229">
        <v>0</v>
      </c>
      <c r="M2430" s="229">
        <v>0</v>
      </c>
      <c r="N2430" s="229">
        <v>0</v>
      </c>
      <c r="O2430" s="229">
        <v>0</v>
      </c>
      <c r="P2430" s="229">
        <v>0</v>
      </c>
      <c r="Q2430" s="229">
        <v>0</v>
      </c>
      <c r="R2430" s="229">
        <v>0</v>
      </c>
      <c r="S2430" s="229">
        <v>0</v>
      </c>
      <c r="T2430" s="229">
        <v>0</v>
      </c>
      <c r="U2430" s="229">
        <f>AVERAGE(G2430:T2430)</f>
        <v>0</v>
      </c>
      <c r="V2430" t="str">
        <f t="shared" si="231"/>
        <v>2020/21Expenditure driversSevere Weather 1 in 20Actual</v>
      </c>
    </row>
    <row r="2431" spans="1:22">
      <c r="A2431" t="s">
        <v>126</v>
      </c>
      <c r="C2431" t="s">
        <v>1344</v>
      </c>
      <c r="D2431" t="s">
        <v>93</v>
      </c>
      <c r="E2431" t="s">
        <v>602</v>
      </c>
      <c r="F2431" t="s">
        <v>1289</v>
      </c>
      <c r="G2431" s="229">
        <v>-0.50154722852208644</v>
      </c>
      <c r="H2431" s="229">
        <v>-1.338156541171982</v>
      </c>
      <c r="I2431" s="229">
        <v>-1.1879121868240241</v>
      </c>
      <c r="J2431" s="229">
        <v>-2.2086084781434665</v>
      </c>
      <c r="K2431" s="229">
        <v>-2.2093820495930068</v>
      </c>
      <c r="L2431" s="229">
        <v>-1.1013319181939569</v>
      </c>
      <c r="M2431" s="229">
        <v>-1.7884026655022653</v>
      </c>
      <c r="N2431" s="229">
        <v>0</v>
      </c>
      <c r="O2431" s="229">
        <v>-0.64652522770777232</v>
      </c>
      <c r="P2431" s="229">
        <v>-1.281407247614712</v>
      </c>
      <c r="Q2431" s="229">
        <v>-0.65790255365821959</v>
      </c>
      <c r="R2431" s="229">
        <v>-0.62383092746917712</v>
      </c>
      <c r="S2431" s="229">
        <v>-1.0750668959655594</v>
      </c>
      <c r="T2431" s="229">
        <v>-1.2371794047626929</v>
      </c>
      <c r="U2431" s="229">
        <f>AVERAGE(G2431:T2431)</f>
        <v>-1.1326609517949231</v>
      </c>
      <c r="V2431" t="str">
        <f t="shared" si="231"/>
        <v>2020/21Expenditure driversSevere Weather 1 in 20Difference</v>
      </c>
    </row>
    <row r="2432" spans="1:22">
      <c r="A2432" t="s">
        <v>126</v>
      </c>
      <c r="C2432" t="s">
        <v>1344</v>
      </c>
      <c r="D2432" t="s">
        <v>93</v>
      </c>
      <c r="E2432" t="s">
        <v>1346</v>
      </c>
      <c r="F2432" t="s">
        <v>606</v>
      </c>
      <c r="G2432" s="829">
        <v>-1</v>
      </c>
      <c r="H2432" s="829">
        <v>-1</v>
      </c>
      <c r="I2432" s="829">
        <v>-1</v>
      </c>
      <c r="J2432" s="829">
        <v>-1</v>
      </c>
      <c r="K2432" s="829">
        <v>-1</v>
      </c>
      <c r="L2432" s="829">
        <v>-1</v>
      </c>
      <c r="M2432" s="829">
        <v>-1</v>
      </c>
      <c r="N2432" s="829" t="e">
        <v>#DIV/0!</v>
      </c>
      <c r="O2432" s="829">
        <v>-1</v>
      </c>
      <c r="P2432" s="829">
        <v>-1</v>
      </c>
      <c r="Q2432" s="829">
        <v>-1</v>
      </c>
      <c r="R2432" s="829">
        <v>-1</v>
      </c>
      <c r="S2432" s="829">
        <v>-1</v>
      </c>
      <c r="T2432" s="829">
        <v>-1</v>
      </c>
      <c r="U2432" s="829">
        <f>U2431/U2429</f>
        <v>-1</v>
      </c>
      <c r="V2432" t="str">
        <f t="shared" si="231"/>
        <v>2020/21Expenditure driversSevere Weather 1 in 20Difference %</v>
      </c>
    </row>
    <row r="2433" spans="1:22">
      <c r="A2433" t="s">
        <v>142</v>
      </c>
      <c r="C2433" t="s">
        <v>1344</v>
      </c>
      <c r="D2433" t="s">
        <v>93</v>
      </c>
      <c r="E2433" t="s">
        <v>297</v>
      </c>
      <c r="F2433" t="s">
        <v>1289</v>
      </c>
      <c r="G2433" s="229" cm="1">
        <f t="array" ref="G2433:T2436">TRANSPOSE('Ch4 expenditure drivers'!BJ674:BM687)</f>
        <v>0.48873460193520812</v>
      </c>
      <c r="H2433" s="229">
        <v>1.3437990438661185</v>
      </c>
      <c r="I2433" s="229">
        <v>1.1954364924390868</v>
      </c>
      <c r="J2433" s="229">
        <v>2.2430856655543563</v>
      </c>
      <c r="K2433" s="229">
        <v>2.2439676038726732</v>
      </c>
      <c r="L2433" s="229">
        <v>1.1181404231000232</v>
      </c>
      <c r="M2433" s="229">
        <v>1.8156116797740165</v>
      </c>
      <c r="N2433" s="229">
        <v>0</v>
      </c>
      <c r="O2433" s="229">
        <v>0.64914776772947702</v>
      </c>
      <c r="P2433" s="229">
        <v>1.2827960505324039</v>
      </c>
      <c r="Q2433" s="229">
        <v>0.6477223477939047</v>
      </c>
      <c r="R2433" s="229">
        <v>0.60912829824259773</v>
      </c>
      <c r="S2433" s="229">
        <v>1.0675850442494672</v>
      </c>
      <c r="T2433" s="229">
        <v>1.2639840560629507</v>
      </c>
      <c r="U2433" s="229">
        <f>AVERAGE(G2433:T2433)</f>
        <v>1.1406527910823061</v>
      </c>
      <c r="V2433" t="str">
        <f t="shared" ref="V2433:V2436" si="235">CONCATENATE(A2433,B2433,C2433,D2433,E2433)</f>
        <v>2021/22Expenditure driversSevere Weather 1 in 20Allowance</v>
      </c>
    </row>
    <row r="2434" spans="1:22">
      <c r="A2434" t="s">
        <v>142</v>
      </c>
      <c r="C2434" t="s">
        <v>1344</v>
      </c>
      <c r="D2434" t="s">
        <v>93</v>
      </c>
      <c r="E2434" t="s">
        <v>298</v>
      </c>
      <c r="F2434" t="s">
        <v>1289</v>
      </c>
      <c r="G2434" s="229">
        <v>0</v>
      </c>
      <c r="H2434" s="229">
        <v>11.129968527217935</v>
      </c>
      <c r="I2434" s="229">
        <v>0</v>
      </c>
      <c r="J2434" s="229">
        <v>0</v>
      </c>
      <c r="K2434" s="229">
        <v>0</v>
      </c>
      <c r="L2434" s="229">
        <v>1.0985</v>
      </c>
      <c r="M2434" s="229">
        <v>2.8346</v>
      </c>
      <c r="N2434" s="229">
        <v>0</v>
      </c>
      <c r="O2434" s="229">
        <v>9.209779231574462</v>
      </c>
      <c r="P2434" s="229">
        <v>5.987797002579164</v>
      </c>
      <c r="Q2434" s="229">
        <v>0</v>
      </c>
      <c r="R2434" s="229">
        <v>0</v>
      </c>
      <c r="S2434" s="229">
        <v>11.672510560000001</v>
      </c>
      <c r="T2434" s="229">
        <v>7.2145473399999993</v>
      </c>
      <c r="U2434" s="229">
        <f>AVERAGE(G2434:T2434)</f>
        <v>3.5105501900979683</v>
      </c>
      <c r="V2434" t="str">
        <f t="shared" si="235"/>
        <v>2021/22Expenditure driversSevere Weather 1 in 20Actual</v>
      </c>
    </row>
    <row r="2435" spans="1:22">
      <c r="A2435" t="s">
        <v>142</v>
      </c>
      <c r="C2435" t="s">
        <v>1344</v>
      </c>
      <c r="D2435" t="s">
        <v>93</v>
      </c>
      <c r="E2435" t="s">
        <v>602</v>
      </c>
      <c r="F2435" t="s">
        <v>1289</v>
      </c>
      <c r="G2435" s="229">
        <v>-0.48873460193520812</v>
      </c>
      <c r="H2435" s="229">
        <v>9.7861694833518165</v>
      </c>
      <c r="I2435" s="229">
        <v>-1.1954364924390868</v>
      </c>
      <c r="J2435" s="229">
        <v>-2.2430856655543563</v>
      </c>
      <c r="K2435" s="229">
        <v>-2.2439676038726732</v>
      </c>
      <c r="L2435" s="229">
        <v>-1.9640423100023119E-2</v>
      </c>
      <c r="M2435" s="229">
        <v>1.0189883202259835</v>
      </c>
      <c r="N2435" s="229">
        <v>0</v>
      </c>
      <c r="O2435" s="229">
        <v>8.5606314638449845</v>
      </c>
      <c r="P2435" s="229">
        <v>4.7050009520467597</v>
      </c>
      <c r="Q2435" s="229">
        <v>-0.6477223477939047</v>
      </c>
      <c r="R2435" s="229">
        <v>-0.60912829824259773</v>
      </c>
      <c r="S2435" s="229">
        <v>10.604925515750534</v>
      </c>
      <c r="T2435" s="229">
        <v>5.9505632839370488</v>
      </c>
      <c r="U2435" s="229">
        <f>AVERAGE(G2435:T2435)</f>
        <v>2.3698973990156627</v>
      </c>
      <c r="V2435" t="str">
        <f t="shared" si="235"/>
        <v>2021/22Expenditure driversSevere Weather 1 in 20Difference</v>
      </c>
    </row>
    <row r="2436" spans="1:22">
      <c r="A2436" t="s">
        <v>142</v>
      </c>
      <c r="C2436" t="s">
        <v>1344</v>
      </c>
      <c r="D2436" t="s">
        <v>93</v>
      </c>
      <c r="E2436" t="s">
        <v>1346</v>
      </c>
      <c r="F2436" t="s">
        <v>606</v>
      </c>
      <c r="G2436" s="829">
        <v>-1</v>
      </c>
      <c r="H2436" s="829">
        <v>7.2824649846430489</v>
      </c>
      <c r="I2436" s="829">
        <v>-1</v>
      </c>
      <c r="J2436" s="829">
        <v>-1</v>
      </c>
      <c r="K2436" s="829">
        <v>-1</v>
      </c>
      <c r="L2436" s="829">
        <v>-1.7565256290055606E-2</v>
      </c>
      <c r="M2436" s="829">
        <v>0.56123692724471441</v>
      </c>
      <c r="N2436" s="829" t="e">
        <v>#DIV/0!</v>
      </c>
      <c r="O2436" s="829">
        <v>13.187492724172017</v>
      </c>
      <c r="P2436" s="829">
        <v>3.6677700637556723</v>
      </c>
      <c r="Q2436" s="829">
        <v>-1</v>
      </c>
      <c r="R2436" s="829">
        <v>-1</v>
      </c>
      <c r="S2436" s="829">
        <v>9.9335650802470727</v>
      </c>
      <c r="T2436" s="829">
        <v>4.7077835004278645</v>
      </c>
      <c r="U2436" s="829">
        <f>U2435/U2433</f>
        <v>2.0776676457057457</v>
      </c>
      <c r="V2436" t="str">
        <f t="shared" si="235"/>
        <v>2021/22Expenditure driversSevere Weather 1 in 20Difference %</v>
      </c>
    </row>
    <row r="2437" spans="1:22">
      <c r="A2437" t="s">
        <v>137</v>
      </c>
      <c r="C2437" t="s">
        <v>1344</v>
      </c>
      <c r="D2437" t="s">
        <v>94</v>
      </c>
      <c r="E2437" t="s">
        <v>1347</v>
      </c>
      <c r="F2437" t="s">
        <v>1289</v>
      </c>
      <c r="G2437">
        <f t="array" ref="G2437:T2444">TRANSPOSE('Ch4 expenditure drivers'!E694:L707)</f>
        <v>6.0625848949104055</v>
      </c>
      <c r="H2437">
        <v>5.9498180966296914</v>
      </c>
      <c r="I2437">
        <v>12.477026252726263</v>
      </c>
      <c r="J2437">
        <v>5.7316864997862442</v>
      </c>
      <c r="K2437">
        <v>4.056914862235601</v>
      </c>
      <c r="L2437">
        <v>2.7058625509528742</v>
      </c>
      <c r="M2437">
        <v>3.7642198377394358</v>
      </c>
      <c r="N2437">
        <v>7.5313409979971029</v>
      </c>
      <c r="O2437">
        <v>6.8890419858001524</v>
      </c>
      <c r="P2437">
        <v>11.983523626120013</v>
      </c>
      <c r="Q2437">
        <v>5.8501310168595078</v>
      </c>
      <c r="R2437">
        <v>6.4184567831267225</v>
      </c>
      <c r="S2437">
        <v>1.612655034294376</v>
      </c>
      <c r="T2437">
        <v>9.1264112478399024</v>
      </c>
      <c r="U2437">
        <f>AVERAGE(G2437:T2437)</f>
        <v>6.4399766919298784</v>
      </c>
      <c r="V2437" t="str">
        <f t="shared" si="231"/>
        <v>2015/16Expenditure driversONIsBPDT</v>
      </c>
    </row>
    <row r="2438" spans="1:22">
      <c r="A2438" t="s">
        <v>138</v>
      </c>
      <c r="C2438" t="s">
        <v>1344</v>
      </c>
      <c r="D2438" t="s">
        <v>94</v>
      </c>
      <c r="E2438" t="s">
        <v>1347</v>
      </c>
      <c r="F2438" t="s">
        <v>1289</v>
      </c>
      <c r="G2438">
        <v>6.139994617642679</v>
      </c>
      <c r="H2438">
        <v>5.9431812872571541</v>
      </c>
      <c r="I2438">
        <v>12.435105800054172</v>
      </c>
      <c r="J2438">
        <v>5.637604568752935</v>
      </c>
      <c r="K2438">
        <v>3.9560210792246959</v>
      </c>
      <c r="L2438">
        <v>2.6410182887625537</v>
      </c>
      <c r="M2438">
        <v>3.6772269269143845</v>
      </c>
      <c r="N2438">
        <v>7.1169819765914557</v>
      </c>
      <c r="O2438">
        <v>6.3667722653529051</v>
      </c>
      <c r="P2438">
        <v>11.30151212518402</v>
      </c>
      <c r="Q2438">
        <v>5.8170411839658458</v>
      </c>
      <c r="R2438">
        <v>6.3372085759726762</v>
      </c>
      <c r="S2438">
        <v>1.6084336632306677</v>
      </c>
      <c r="T2438">
        <v>9.1238326398754062</v>
      </c>
      <c r="U2438">
        <f t="shared" ref="U2438:U2469" si="236">AVERAGE(G2438:T2438)</f>
        <v>6.2929953570558252</v>
      </c>
      <c r="V2438" t="str">
        <f t="shared" si="231"/>
        <v>2016/17Expenditure driversONIsBPDT</v>
      </c>
    </row>
    <row r="2439" spans="1:22">
      <c r="A2439" t="s">
        <v>139</v>
      </c>
      <c r="C2439" t="s">
        <v>1344</v>
      </c>
      <c r="D2439" t="s">
        <v>94</v>
      </c>
      <c r="E2439" t="s">
        <v>1347</v>
      </c>
      <c r="F2439" t="s">
        <v>1289</v>
      </c>
      <c r="G2439">
        <v>6.1208888604649987</v>
      </c>
      <c r="H2439">
        <v>5.8326571747231668</v>
      </c>
      <c r="I2439">
        <v>12.124840907401319</v>
      </c>
      <c r="J2439">
        <v>5.484227355333787</v>
      </c>
      <c r="K2439">
        <v>3.8105737008306479</v>
      </c>
      <c r="L2439">
        <v>2.5316907566414444</v>
      </c>
      <c r="M2439">
        <v>3.5507618507321554</v>
      </c>
      <c r="N2439">
        <v>6.9295929096360434</v>
      </c>
      <c r="O2439">
        <v>6.2394395656780279</v>
      </c>
      <c r="P2439">
        <v>11.056393571707275</v>
      </c>
      <c r="Q2439">
        <v>5.7842668294230482</v>
      </c>
      <c r="R2439">
        <v>6.239039857221095</v>
      </c>
      <c r="S2439">
        <v>1.6064875113127388</v>
      </c>
      <c r="T2439">
        <v>9.1172722588964525</v>
      </c>
      <c r="U2439">
        <f t="shared" si="236"/>
        <v>6.1734380792858712</v>
      </c>
      <c r="V2439" t="str">
        <f t="shared" si="231"/>
        <v>2017/18Expenditure driversONIsBPDT</v>
      </c>
    </row>
    <row r="2440" spans="1:22">
      <c r="A2440" t="s">
        <v>140</v>
      </c>
      <c r="C2440" t="s">
        <v>1344</v>
      </c>
      <c r="D2440" t="s">
        <v>94</v>
      </c>
      <c r="E2440" t="s">
        <v>1347</v>
      </c>
      <c r="F2440" t="s">
        <v>1289</v>
      </c>
      <c r="G2440">
        <v>6.1027947449910709</v>
      </c>
      <c r="H2440">
        <v>5.7469282266724191</v>
      </c>
      <c r="I2440">
        <v>11.806433942496612</v>
      </c>
      <c r="J2440">
        <v>5.3309222481608458</v>
      </c>
      <c r="K2440">
        <v>3.6709906084699728</v>
      </c>
      <c r="L2440">
        <v>2.41271399091494</v>
      </c>
      <c r="M2440">
        <v>3.4262238216461212</v>
      </c>
      <c r="N2440">
        <v>6.7422420296837418</v>
      </c>
      <c r="O2440">
        <v>6.1130266941432554</v>
      </c>
      <c r="P2440">
        <v>10.878798406135456</v>
      </c>
      <c r="Q2440">
        <v>5.7342234809303356</v>
      </c>
      <c r="R2440">
        <v>6.1481293908069574</v>
      </c>
      <c r="S2440">
        <v>1.6008937341814771</v>
      </c>
      <c r="T2440">
        <v>9.0887844701324365</v>
      </c>
      <c r="U2440">
        <f t="shared" si="236"/>
        <v>6.0573646992404031</v>
      </c>
      <c r="V2440" t="str">
        <f t="shared" si="231"/>
        <v>2018/19Expenditure driversONIsBPDT</v>
      </c>
    </row>
    <row r="2441" spans="1:22">
      <c r="A2441" t="s">
        <v>141</v>
      </c>
      <c r="C2441" t="s">
        <v>1344</v>
      </c>
      <c r="D2441" t="s">
        <v>94</v>
      </c>
      <c r="E2441" t="s">
        <v>1347</v>
      </c>
      <c r="F2441" t="s">
        <v>1289</v>
      </c>
      <c r="G2441">
        <v>6.0911924464794795</v>
      </c>
      <c r="H2441">
        <v>5.6347692749770859</v>
      </c>
      <c r="I2441">
        <v>11.451765061453541</v>
      </c>
      <c r="J2441">
        <v>5.1780379240451317</v>
      </c>
      <c r="K2441">
        <v>3.543765955354826</v>
      </c>
      <c r="L2441">
        <v>2.2978720994076589</v>
      </c>
      <c r="M2441">
        <v>3.3120231813495238</v>
      </c>
      <c r="N2441">
        <v>6.6029719057663545</v>
      </c>
      <c r="O2441">
        <v>6.0183065199688803</v>
      </c>
      <c r="P2441">
        <v>10.636386009921562</v>
      </c>
      <c r="Q2441">
        <v>5.7189172590052761</v>
      </c>
      <c r="R2441">
        <v>6.115835933854413</v>
      </c>
      <c r="S2441">
        <v>1.6064494082828065</v>
      </c>
      <c r="T2441">
        <v>9.1024478207413217</v>
      </c>
      <c r="U2441">
        <f t="shared" si="236"/>
        <v>5.95076720004342</v>
      </c>
      <c r="V2441" t="str">
        <f t="shared" si="231"/>
        <v>2019/20Expenditure driversONIsBPDT</v>
      </c>
    </row>
    <row r="2442" spans="1:22">
      <c r="A2442" t="s">
        <v>126</v>
      </c>
      <c r="C2442" t="s">
        <v>1344</v>
      </c>
      <c r="D2442" t="s">
        <v>94</v>
      </c>
      <c r="E2442" t="s">
        <v>1347</v>
      </c>
      <c r="F2442" t="s">
        <v>1289</v>
      </c>
      <c r="G2442">
        <v>6.1107814013392714</v>
      </c>
      <c r="H2442">
        <v>5.7213848140248036</v>
      </c>
      <c r="I2442">
        <v>11.787398478022096</v>
      </c>
      <c r="J2442">
        <v>5.1610268802263972</v>
      </c>
      <c r="K2442">
        <v>3.5324457054736529</v>
      </c>
      <c r="L2442">
        <v>2.282719957900452</v>
      </c>
      <c r="M2442">
        <v>3.2952029821083504</v>
      </c>
      <c r="N2442">
        <v>6.5948980925835929</v>
      </c>
      <c r="O2442">
        <v>6.0118774779506481</v>
      </c>
      <c r="P2442">
        <v>10.622607067514267</v>
      </c>
      <c r="Q2442">
        <v>5.6917702246266453</v>
      </c>
      <c r="R2442">
        <v>6.0668695107681865</v>
      </c>
      <c r="S2442">
        <v>1.6052286042320238</v>
      </c>
      <c r="T2442">
        <v>9.1165563573951953</v>
      </c>
      <c r="U2442">
        <f t="shared" si="236"/>
        <v>5.9714833967261134</v>
      </c>
      <c r="V2442" t="str">
        <f t="shared" ref="V2442:V2512" si="237">CONCATENATE(A2442,B2442,C2442,D2442,E2442)</f>
        <v>2020/21Expenditure driversONIsBPDT</v>
      </c>
    </row>
    <row r="2443" spans="1:22">
      <c r="A2443" t="s">
        <v>142</v>
      </c>
      <c r="C2443" t="s">
        <v>1344</v>
      </c>
      <c r="D2443" t="s">
        <v>94</v>
      </c>
      <c r="E2443" t="s">
        <v>1347</v>
      </c>
      <c r="F2443" t="s">
        <v>1289</v>
      </c>
      <c r="G2443">
        <v>6.0776487346036534</v>
      </c>
      <c r="H2443">
        <v>5.8124585639641717</v>
      </c>
      <c r="I2443">
        <v>12.116505245778658</v>
      </c>
      <c r="J2443">
        <v>5.2229603052351621</v>
      </c>
      <c r="K2443">
        <v>3.585379489872869</v>
      </c>
      <c r="L2443">
        <v>2.3175096361532979</v>
      </c>
      <c r="M2443">
        <v>3.3361131745615786</v>
      </c>
      <c r="N2443">
        <v>6.8214459532709153</v>
      </c>
      <c r="O2443">
        <v>6.4984402198087592</v>
      </c>
      <c r="P2443">
        <v>11.103572507429414</v>
      </c>
      <c r="Q2443">
        <v>5.7488399118649163</v>
      </c>
      <c r="R2443">
        <v>6.1181486917833103</v>
      </c>
      <c r="S2443">
        <v>1.6074962100781167</v>
      </c>
      <c r="T2443">
        <v>9.131111590852182</v>
      </c>
      <c r="U2443">
        <f t="shared" si="236"/>
        <v>6.1069735882326421</v>
      </c>
      <c r="V2443" t="str">
        <f t="shared" si="237"/>
        <v>2021/22Expenditure driversONIsBPDT</v>
      </c>
    </row>
    <row r="2444" spans="1:22">
      <c r="A2444" t="s">
        <v>143</v>
      </c>
      <c r="C2444" t="s">
        <v>1344</v>
      </c>
      <c r="D2444" t="s">
        <v>94</v>
      </c>
      <c r="E2444" t="s">
        <v>1347</v>
      </c>
      <c r="F2444" t="s">
        <v>1289</v>
      </c>
      <c r="G2444">
        <v>6.0670563268675748</v>
      </c>
      <c r="H2444">
        <v>5.8804534077844339</v>
      </c>
      <c r="I2444">
        <v>12.278798654392885</v>
      </c>
      <c r="J2444">
        <v>5.2821907371880963</v>
      </c>
      <c r="K2444">
        <v>3.6386023993435956</v>
      </c>
      <c r="L2444">
        <v>2.3515377539735258</v>
      </c>
      <c r="M2444">
        <v>3.373065320844896</v>
      </c>
      <c r="N2444">
        <v>6.8217352549330137</v>
      </c>
      <c r="O2444">
        <v>6.4860072654331473</v>
      </c>
      <c r="P2444">
        <v>11.086427257761516</v>
      </c>
      <c r="Q2444">
        <v>5.7407739046198651</v>
      </c>
      <c r="R2444">
        <v>6.0974455433281234</v>
      </c>
      <c r="S2444">
        <v>1.6098306295981828</v>
      </c>
      <c r="T2444">
        <v>9.1461151260333349</v>
      </c>
      <c r="U2444">
        <f t="shared" si="236"/>
        <v>6.1328599701501565</v>
      </c>
      <c r="V2444" t="str">
        <f t="shared" si="237"/>
        <v>2022/23Expenditure driversONIsBPDT</v>
      </c>
    </row>
    <row r="2445" spans="1:22">
      <c r="A2445" t="s">
        <v>137</v>
      </c>
      <c r="C2445" t="s">
        <v>1344</v>
      </c>
      <c r="D2445" t="s">
        <v>94</v>
      </c>
      <c r="E2445" t="s">
        <v>1348</v>
      </c>
      <c r="F2445" t="s">
        <v>1289</v>
      </c>
      <c r="G2445">
        <f t="array" ref="G2445:T2452">TRANSPOSE('Ch4 expenditure drivers'!N694:U707)</f>
        <v>5.4135741928487935</v>
      </c>
      <c r="H2445">
        <v>5.5602506684586803</v>
      </c>
      <c r="I2445">
        <v>11.521779644833014</v>
      </c>
      <c r="J2445">
        <v>5.7316864997862442</v>
      </c>
      <c r="K2445">
        <v>4.056914862235601</v>
      </c>
      <c r="L2445">
        <v>2.7058625509528742</v>
      </c>
      <c r="M2445">
        <v>3.7642198377394358</v>
      </c>
      <c r="N2445">
        <v>6.6531512016463825</v>
      </c>
      <c r="O2445">
        <v>6.3852196248181565</v>
      </c>
      <c r="P2445">
        <v>10.459776086210963</v>
      </c>
      <c r="Q2445">
        <v>6.8266608544163105</v>
      </c>
      <c r="R2445">
        <v>6.4956919602076457</v>
      </c>
      <c r="S2445">
        <v>1.4558118731931844</v>
      </c>
      <c r="T2445">
        <v>9.4742713347286411</v>
      </c>
      <c r="U2445">
        <f t="shared" si="236"/>
        <v>6.178919370862566</v>
      </c>
      <c r="V2445" t="str">
        <f t="shared" si="237"/>
        <v>2015/16Expenditure driversONIsDNO Baseline</v>
      </c>
    </row>
    <row r="2446" spans="1:22">
      <c r="A2446" t="s">
        <v>138</v>
      </c>
      <c r="C2446" t="s">
        <v>1344</v>
      </c>
      <c r="D2446" t="s">
        <v>94</v>
      </c>
      <c r="E2446" t="s">
        <v>1348</v>
      </c>
      <c r="F2446" t="s">
        <v>1289</v>
      </c>
      <c r="G2446">
        <v>5.3341513909636831</v>
      </c>
      <c r="H2446">
        <v>5.5132257773046573</v>
      </c>
      <c r="I2446">
        <v>11.450204884786599</v>
      </c>
      <c r="J2446">
        <v>5.637604568752935</v>
      </c>
      <c r="K2446">
        <v>3.9560210792246959</v>
      </c>
      <c r="L2446">
        <v>2.6410182887625537</v>
      </c>
      <c r="M2446">
        <v>3.6772269269143845</v>
      </c>
      <c r="N2446">
        <v>6.4054637125231668</v>
      </c>
      <c r="O2446">
        <v>6.1379081886374562</v>
      </c>
      <c r="P2446">
        <v>10.156469451705584</v>
      </c>
      <c r="Q2446">
        <v>6.6674074594871264</v>
      </c>
      <c r="R2446">
        <v>6.3446560187710075</v>
      </c>
      <c r="S2446">
        <v>1.4338086639360799</v>
      </c>
      <c r="T2446">
        <v>9.3649907295435195</v>
      </c>
      <c r="U2446">
        <f t="shared" si="236"/>
        <v>6.0514397958081023</v>
      </c>
      <c r="V2446" t="str">
        <f t="shared" si="237"/>
        <v>2016/17Expenditure driversONIsDNO Baseline</v>
      </c>
    </row>
    <row r="2447" spans="1:22">
      <c r="A2447" t="s">
        <v>139</v>
      </c>
      <c r="C2447" t="s">
        <v>1344</v>
      </c>
      <c r="D2447" t="s">
        <v>94</v>
      </c>
      <c r="E2447" t="s">
        <v>1348</v>
      </c>
      <c r="F2447" t="s">
        <v>1289</v>
      </c>
      <c r="G2447">
        <v>5.2296045968234113</v>
      </c>
      <c r="H2447">
        <v>5.4205329389716166</v>
      </c>
      <c r="I2447">
        <v>11.180822462232957</v>
      </c>
      <c r="J2447">
        <v>5.484227355333787</v>
      </c>
      <c r="K2447">
        <v>3.8105737008306479</v>
      </c>
      <c r="L2447">
        <v>2.5316907566414444</v>
      </c>
      <c r="M2447">
        <v>3.5507618507321554</v>
      </c>
      <c r="N2447">
        <v>6.2067293372789036</v>
      </c>
      <c r="O2447">
        <v>5.964597374574458</v>
      </c>
      <c r="P2447">
        <v>9.9197116356601427</v>
      </c>
      <c r="Q2447">
        <v>6.5144243805809134</v>
      </c>
      <c r="R2447">
        <v>6.1769534006746092</v>
      </c>
      <c r="S2447">
        <v>1.4120470980880984</v>
      </c>
      <c r="T2447">
        <v>9.2866159496743581</v>
      </c>
      <c r="U2447">
        <f t="shared" si="236"/>
        <v>5.9063780598641076</v>
      </c>
      <c r="V2447" t="str">
        <f t="shared" si="237"/>
        <v>2017/18Expenditure driversONIsDNO Baseline</v>
      </c>
    </row>
    <row r="2448" spans="1:22">
      <c r="A2448" t="s">
        <v>140</v>
      </c>
      <c r="C2448" t="s">
        <v>1344</v>
      </c>
      <c r="D2448" t="s">
        <v>94</v>
      </c>
      <c r="E2448" t="s">
        <v>1348</v>
      </c>
      <c r="F2448" t="s">
        <v>1289</v>
      </c>
      <c r="G2448">
        <v>5.1200765931798244</v>
      </c>
      <c r="H2448">
        <v>5.3478471783278021</v>
      </c>
      <c r="I2448">
        <v>10.991958862547412</v>
      </c>
      <c r="J2448">
        <v>5.3309222481608458</v>
      </c>
      <c r="K2448">
        <v>3.6709906084699728</v>
      </c>
      <c r="L2448">
        <v>2.41271399091494</v>
      </c>
      <c r="M2448">
        <v>3.4262238216461212</v>
      </c>
      <c r="N2448">
        <v>6.034049798143954</v>
      </c>
      <c r="O2448">
        <v>5.8277022200698108</v>
      </c>
      <c r="P2448">
        <v>9.744405725367363</v>
      </c>
      <c r="Q2448">
        <v>6.3526988527129307</v>
      </c>
      <c r="R2448">
        <v>5.9579278092903039</v>
      </c>
      <c r="S2448">
        <v>1.3258233695633046</v>
      </c>
      <c r="T2448">
        <v>9.166627263259123</v>
      </c>
      <c r="U2448">
        <f t="shared" si="236"/>
        <v>5.7649977386895506</v>
      </c>
      <c r="V2448" t="str">
        <f t="shared" si="237"/>
        <v>2018/19Expenditure driversONIsDNO Baseline</v>
      </c>
    </row>
    <row r="2449" spans="1:22">
      <c r="A2449" t="s">
        <v>141</v>
      </c>
      <c r="C2449" t="s">
        <v>1344</v>
      </c>
      <c r="D2449" t="s">
        <v>94</v>
      </c>
      <c r="E2449" t="s">
        <v>1348</v>
      </c>
      <c r="F2449" t="s">
        <v>1289</v>
      </c>
      <c r="G2449">
        <v>5.0263530176802593</v>
      </c>
      <c r="H2449">
        <v>5.2584704853675506</v>
      </c>
      <c r="I2449">
        <v>10.738064523711502</v>
      </c>
      <c r="J2449">
        <v>5.1780379240451317</v>
      </c>
      <c r="K2449">
        <v>3.543765955354826</v>
      </c>
      <c r="L2449">
        <v>2.2978720994076589</v>
      </c>
      <c r="M2449">
        <v>3.3120231813495238</v>
      </c>
      <c r="N2449">
        <v>5.8911666451591449</v>
      </c>
      <c r="O2449">
        <v>5.7030624489811075</v>
      </c>
      <c r="P2449">
        <v>9.4181113509943035</v>
      </c>
      <c r="Q2449">
        <v>6.2116203061516897</v>
      </c>
      <c r="R2449">
        <v>5.8117414776844836</v>
      </c>
      <c r="S2449">
        <v>1.2733021612648285</v>
      </c>
      <c r="T2449">
        <v>9.0871881536935319</v>
      </c>
      <c r="U2449">
        <f t="shared" si="236"/>
        <v>5.6250556950603956</v>
      </c>
      <c r="V2449" t="str">
        <f t="shared" si="237"/>
        <v>2019/20Expenditure driversONIsDNO Baseline</v>
      </c>
    </row>
    <row r="2450" spans="1:22">
      <c r="A2450" t="s">
        <v>126</v>
      </c>
      <c r="C2450" t="s">
        <v>1344</v>
      </c>
      <c r="D2450" t="s">
        <v>94</v>
      </c>
      <c r="E2450" t="s">
        <v>1348</v>
      </c>
      <c r="F2450" t="s">
        <v>1289</v>
      </c>
      <c r="G2450">
        <v>4.9285343225929683</v>
      </c>
      <c r="H2450">
        <v>5.2423249252540227</v>
      </c>
      <c r="I2450">
        <v>10.775552085949041</v>
      </c>
      <c r="J2450">
        <v>5.1610268802263972</v>
      </c>
      <c r="K2450">
        <v>3.5324457054736529</v>
      </c>
      <c r="L2450">
        <v>2.282719957900452</v>
      </c>
      <c r="M2450">
        <v>3.2952029821083504</v>
      </c>
      <c r="N2450">
        <v>5.8109531070207892</v>
      </c>
      <c r="O2450">
        <v>5.6198421419914686</v>
      </c>
      <c r="P2450">
        <v>9.3713283444417179</v>
      </c>
      <c r="Q2450">
        <v>6.0610539143250506</v>
      </c>
      <c r="R2450">
        <v>5.7000587992274125</v>
      </c>
      <c r="S2450">
        <v>1.298131373502345</v>
      </c>
      <c r="T2450">
        <v>8.9783573877338601</v>
      </c>
      <c r="U2450">
        <f t="shared" si="236"/>
        <v>5.5755379948391095</v>
      </c>
      <c r="V2450" t="str">
        <f t="shared" si="237"/>
        <v>2020/21Expenditure driversONIsDNO Baseline</v>
      </c>
    </row>
    <row r="2451" spans="1:22">
      <c r="A2451" t="s">
        <v>142</v>
      </c>
      <c r="C2451" t="s">
        <v>1344</v>
      </c>
      <c r="D2451" t="s">
        <v>94</v>
      </c>
      <c r="E2451" t="s">
        <v>1348</v>
      </c>
      <c r="F2451" t="s">
        <v>1289</v>
      </c>
      <c r="G2451">
        <v>4.8174728407976932</v>
      </c>
      <c r="H2451">
        <v>5.2290276854536772</v>
      </c>
      <c r="I2451">
        <v>10.814315848092782</v>
      </c>
      <c r="J2451">
        <v>5.2229603052351621</v>
      </c>
      <c r="K2451">
        <v>3.585379489872869</v>
      </c>
      <c r="L2451">
        <v>2.3175096361532979</v>
      </c>
      <c r="M2451">
        <v>3.3361131745615786</v>
      </c>
      <c r="N2451">
        <v>5.8355912094633391</v>
      </c>
      <c r="O2451">
        <v>5.7348807439184331</v>
      </c>
      <c r="P2451">
        <v>9.4688979461258658</v>
      </c>
      <c r="Q2451">
        <v>5.9613148073682636</v>
      </c>
      <c r="R2451">
        <v>5.5559310722606954</v>
      </c>
      <c r="S2451">
        <v>1.2848479995225945</v>
      </c>
      <c r="T2451">
        <v>9.1476777352173055</v>
      </c>
      <c r="U2451">
        <f t="shared" si="236"/>
        <v>5.5937086067173967</v>
      </c>
      <c r="V2451" t="str">
        <f t="shared" si="237"/>
        <v>2021/22Expenditure driversONIsDNO Baseline</v>
      </c>
    </row>
    <row r="2452" spans="1:22">
      <c r="A2452" t="s">
        <v>143</v>
      </c>
      <c r="C2452" t="s">
        <v>1344</v>
      </c>
      <c r="D2452" t="s">
        <v>94</v>
      </c>
      <c r="E2452" t="s">
        <v>1348</v>
      </c>
      <c r="F2452" t="s">
        <v>1289</v>
      </c>
      <c r="G2452">
        <v>4.7043131730658878</v>
      </c>
      <c r="H2452">
        <v>5.2150203295611721</v>
      </c>
      <c r="I2452">
        <v>10.805751301404166</v>
      </c>
      <c r="J2452">
        <v>5.2821907371880963</v>
      </c>
      <c r="K2452">
        <v>3.6386023993435956</v>
      </c>
      <c r="L2452">
        <v>2.3515377539735258</v>
      </c>
      <c r="M2452">
        <v>3.373065320844896</v>
      </c>
      <c r="N2452">
        <v>5.8169715584310069</v>
      </c>
      <c r="O2452">
        <v>5.6883963642541877</v>
      </c>
      <c r="P2452">
        <v>9.4043823095313446</v>
      </c>
      <c r="Q2452">
        <v>5.8282262092084398</v>
      </c>
      <c r="R2452">
        <v>5.3933118954262786</v>
      </c>
      <c r="S2452">
        <v>1.2315959405177035</v>
      </c>
      <c r="T2452">
        <v>8.8125847742479824</v>
      </c>
      <c r="U2452">
        <f t="shared" si="236"/>
        <v>5.5389964333570196</v>
      </c>
      <c r="V2452" t="str">
        <f t="shared" si="237"/>
        <v>2022/23Expenditure driversONIsDNO Baseline</v>
      </c>
    </row>
    <row r="2453" spans="1:22">
      <c r="A2453" t="s">
        <v>137</v>
      </c>
      <c r="C2453" t="s">
        <v>1344</v>
      </c>
      <c r="D2453" t="s">
        <v>94</v>
      </c>
      <c r="E2453" t="s">
        <v>1349</v>
      </c>
      <c r="F2453" t="s">
        <v>1289</v>
      </c>
      <c r="G2453" cm="1">
        <f t="array" ref="G2453:T2459">TRANSPOSE('Ch4 expenditure drivers'!W694:AC707)</f>
        <v>9.9944530979310766</v>
      </c>
      <c r="H2453">
        <v>6.5520570504853941</v>
      </c>
      <c r="I2453">
        <v>15.043260209373022</v>
      </c>
      <c r="J2453">
        <v>8.314082078995348</v>
      </c>
      <c r="K2453">
        <v>7.1135055987480396</v>
      </c>
      <c r="L2453">
        <v>3.2862932626150112</v>
      </c>
      <c r="M2453">
        <v>5.5291284454945986</v>
      </c>
      <c r="N2453">
        <v>8.4052403135600713</v>
      </c>
      <c r="O2453">
        <v>12.298484838462045</v>
      </c>
      <c r="P2453">
        <v>19.8384172220564</v>
      </c>
      <c r="Q2453">
        <v>6.1706388416439308</v>
      </c>
      <c r="R2453">
        <v>5.0318505352726586</v>
      </c>
      <c r="S2453">
        <v>1.2713397293328144</v>
      </c>
      <c r="T2453">
        <v>7.8043468101590783</v>
      </c>
      <c r="U2453">
        <f t="shared" si="236"/>
        <v>8.3323641452949637</v>
      </c>
      <c r="V2453" t="str">
        <f t="shared" si="237"/>
        <v>2015/16Expenditure driversONIsDNO Actual</v>
      </c>
    </row>
    <row r="2454" spans="1:22">
      <c r="A2454" t="s">
        <v>138</v>
      </c>
      <c r="C2454" t="s">
        <v>1344</v>
      </c>
      <c r="D2454" t="s">
        <v>94</v>
      </c>
      <c r="E2454" t="s">
        <v>1349</v>
      </c>
      <c r="F2454" t="s">
        <v>1289</v>
      </c>
      <c r="G2454">
        <v>9.359307794350153</v>
      </c>
      <c r="H2454">
        <v>6.6935369775211351</v>
      </c>
      <c r="I2454">
        <v>15.061978485910382</v>
      </c>
      <c r="J2454">
        <v>8.9381366078975972</v>
      </c>
      <c r="K2454">
        <v>7.296581828885401</v>
      </c>
      <c r="L2454">
        <v>3.7116986097693516</v>
      </c>
      <c r="M2454">
        <v>5.5740061058447052</v>
      </c>
      <c r="N2454">
        <v>9.9947670016166974</v>
      </c>
      <c r="O2454">
        <v>12.379764425229981</v>
      </c>
      <c r="P2454">
        <v>18.59721286393988</v>
      </c>
      <c r="Q2454">
        <v>5.1616663282512114</v>
      </c>
      <c r="R2454">
        <v>4.8907250368708119</v>
      </c>
      <c r="S2454">
        <v>1.6821026850510203</v>
      </c>
      <c r="T2454">
        <v>8.5649378533183658</v>
      </c>
      <c r="U2454">
        <f t="shared" si="236"/>
        <v>8.4218873288897633</v>
      </c>
      <c r="V2454" t="str">
        <f t="shared" si="237"/>
        <v>2016/17Expenditure driversONIsDNO Actual</v>
      </c>
    </row>
    <row r="2455" spans="1:22">
      <c r="A2455" t="s">
        <v>139</v>
      </c>
      <c r="C2455" t="s">
        <v>1344</v>
      </c>
      <c r="D2455" t="s">
        <v>94</v>
      </c>
      <c r="E2455" t="s">
        <v>1349</v>
      </c>
      <c r="F2455" t="s">
        <v>1289</v>
      </c>
      <c r="G2455">
        <v>10.107666053701934</v>
      </c>
      <c r="H2455">
        <v>6.3469500971969515</v>
      </c>
      <c r="I2455">
        <v>12.816832261864466</v>
      </c>
      <c r="J2455">
        <v>9.1861943923057883</v>
      </c>
      <c r="K2455">
        <v>7.8822890276019599</v>
      </c>
      <c r="L2455">
        <v>3.8064529006067485</v>
      </c>
      <c r="M2455">
        <v>5.7860800558732368</v>
      </c>
      <c r="N2455">
        <v>9.8488523957232506</v>
      </c>
      <c r="O2455">
        <v>11.703671101050848</v>
      </c>
      <c r="P2455">
        <v>17.362056229278377</v>
      </c>
      <c r="Q2455">
        <v>4.9599796177807489</v>
      </c>
      <c r="R2455">
        <v>4.4618092391996038</v>
      </c>
      <c r="S2455">
        <v>1.5797723361628442</v>
      </c>
      <c r="T2455">
        <v>9.2197616704794392</v>
      </c>
      <c r="U2455">
        <f t="shared" si="236"/>
        <v>8.2191690984875869</v>
      </c>
      <c r="V2455" t="str">
        <f t="shared" si="237"/>
        <v>2017/18Expenditure driversONIsDNO Actual</v>
      </c>
    </row>
    <row r="2456" spans="1:22">
      <c r="A2456" t="s">
        <v>140</v>
      </c>
      <c r="C2456" t="s">
        <v>1344</v>
      </c>
      <c r="D2456" t="s">
        <v>94</v>
      </c>
      <c r="E2456" t="s">
        <v>1349</v>
      </c>
      <c r="F2456" t="s">
        <v>1289</v>
      </c>
      <c r="G2456">
        <v>10.976073677699537</v>
      </c>
      <c r="H2456">
        <v>6.439676813346912</v>
      </c>
      <c r="I2456">
        <v>12.90727545564315</v>
      </c>
      <c r="J2456">
        <v>8.52392886187471</v>
      </c>
      <c r="K2456">
        <v>5.4300095726206115</v>
      </c>
      <c r="L2456">
        <v>3.1894716421703588</v>
      </c>
      <c r="M2456">
        <v>5.395962182501024</v>
      </c>
      <c r="N2456">
        <v>7.7970092819251349</v>
      </c>
      <c r="O2456">
        <v>10.130906729364362</v>
      </c>
      <c r="P2456">
        <v>16.657930464324789</v>
      </c>
      <c r="Q2456">
        <v>6.2286213638040495</v>
      </c>
      <c r="R2456">
        <v>6.0745460304829004</v>
      </c>
      <c r="S2456">
        <v>1.5517655576284413</v>
      </c>
      <c r="T2456">
        <v>9.3476420723120288</v>
      </c>
      <c r="U2456">
        <f>AVERAGE(G2456:T2456)</f>
        <v>7.9036299789784303</v>
      </c>
      <c r="V2456" t="str">
        <f t="shared" si="237"/>
        <v>2018/19Expenditure driversONIsDNO Actual</v>
      </c>
    </row>
    <row r="2457" spans="1:22">
      <c r="A2457" t="s">
        <v>141</v>
      </c>
      <c r="C2457" t="s">
        <v>1344</v>
      </c>
      <c r="D2457" t="s">
        <v>94</v>
      </c>
      <c r="E2457" t="s">
        <v>1349</v>
      </c>
      <c r="F2457" t="s">
        <v>1289</v>
      </c>
      <c r="G2457">
        <v>8.4110737519890417</v>
      </c>
      <c r="H2457">
        <v>7.2149000629107034</v>
      </c>
      <c r="I2457">
        <v>13.669522237420104</v>
      </c>
      <c r="J2457">
        <v>9.387991074930671</v>
      </c>
      <c r="K2457">
        <v>8.0615318501799464</v>
      </c>
      <c r="L2457">
        <v>3.3926951438539517</v>
      </c>
      <c r="M2457">
        <v>6.1184136153756183</v>
      </c>
      <c r="N2457">
        <v>9.0473885829533298</v>
      </c>
      <c r="O2457">
        <v>10.248879869521407</v>
      </c>
      <c r="P2457">
        <v>17.633587654832517</v>
      </c>
      <c r="Q2457">
        <v>5.2151892526833574</v>
      </c>
      <c r="R2457">
        <v>5.1594082281598928</v>
      </c>
      <c r="S2457">
        <v>0.99475658078647478</v>
      </c>
      <c r="T2457">
        <v>7.9448892578513686</v>
      </c>
      <c r="U2457">
        <f>AVERAGE(G2457:T2457)</f>
        <v>8.0357305116748829</v>
      </c>
      <c r="V2457" t="str">
        <f t="shared" si="237"/>
        <v>2019/20Expenditure driversONIsDNO Actual</v>
      </c>
    </row>
    <row r="2458" spans="1:22">
      <c r="A2458" t="s">
        <v>126</v>
      </c>
      <c r="C2458" t="s">
        <v>1344</v>
      </c>
      <c r="D2458" t="s">
        <v>94</v>
      </c>
      <c r="E2458" t="s">
        <v>1349</v>
      </c>
      <c r="F2458" t="s">
        <v>1289</v>
      </c>
      <c r="G2458">
        <v>7.9874178054822487</v>
      </c>
      <c r="H2458">
        <v>8.0685999547026839</v>
      </c>
      <c r="I2458">
        <v>12.561817253537916</v>
      </c>
      <c r="J2458">
        <v>8.8471021970513366</v>
      </c>
      <c r="K2458">
        <v>6.8849579388578599</v>
      </c>
      <c r="L2458">
        <v>3.6048450845948055</v>
      </c>
      <c r="M2458">
        <v>5.5680471024962017</v>
      </c>
      <c r="N2458">
        <v>9.7203885072922063</v>
      </c>
      <c r="O2458">
        <v>11.088965819716057</v>
      </c>
      <c r="P2458">
        <v>19.527984075302868</v>
      </c>
      <c r="Q2458">
        <v>4.5187941149985251</v>
      </c>
      <c r="R2458">
        <v>5.1878144036073754</v>
      </c>
      <c r="S2458">
        <v>0.92754767910683411</v>
      </c>
      <c r="T2458">
        <v>9.4600761056213667</v>
      </c>
      <c r="U2458">
        <f t="shared" ref="U2458:U2459" si="238">AVERAGE(G2458:T2458)</f>
        <v>8.1395970030263065</v>
      </c>
      <c r="V2458" t="str">
        <f t="shared" ref="V2458:V2459" si="239">CONCATENATE(A2458,B2458,C2458,D2458,E2458)</f>
        <v>2020/21Expenditure driversONIsDNO Actual</v>
      </c>
    </row>
    <row r="2459" spans="1:22">
      <c r="A2459" t="s">
        <v>142</v>
      </c>
      <c r="C2459" t="s">
        <v>1344</v>
      </c>
      <c r="D2459" t="s">
        <v>94</v>
      </c>
      <c r="E2459" t="s">
        <v>1349</v>
      </c>
      <c r="F2459" t="s">
        <v>1289</v>
      </c>
      <c r="G2459">
        <v>11.038205312541018</v>
      </c>
      <c r="H2459">
        <v>5.8532459578941429</v>
      </c>
      <c r="I2459">
        <v>11.557860801210353</v>
      </c>
      <c r="J2459">
        <v>9.3211999999999993</v>
      </c>
      <c r="K2459">
        <v>7.2912999999999988</v>
      </c>
      <c r="L2459">
        <v>3.9914999999999994</v>
      </c>
      <c r="M2459">
        <v>5.8787999999999991</v>
      </c>
      <c r="N2459">
        <v>8.5188362881821611</v>
      </c>
      <c r="O2459">
        <v>10.184077869938456</v>
      </c>
      <c r="P2459">
        <v>18.18401149425646</v>
      </c>
      <c r="Q2459">
        <v>4.4707291356589263</v>
      </c>
      <c r="R2459">
        <v>5.5843523975850626</v>
      </c>
      <c r="S2459">
        <v>0.98309182000000006</v>
      </c>
      <c r="T2459">
        <v>10.61988414</v>
      </c>
      <c r="U2459">
        <f t="shared" si="238"/>
        <v>8.1055068012333269</v>
      </c>
      <c r="V2459" t="str">
        <f t="shared" si="239"/>
        <v>2021/22Expenditure driversONIsDNO Actual</v>
      </c>
    </row>
    <row r="2460" spans="1:22">
      <c r="A2460" t="s">
        <v>137</v>
      </c>
      <c r="C2460" t="s">
        <v>1344</v>
      </c>
      <c r="D2460" t="s">
        <v>94</v>
      </c>
      <c r="E2460" t="s">
        <v>297</v>
      </c>
      <c r="F2460" t="s">
        <v>1289</v>
      </c>
      <c r="G2460">
        <f t="array" ref="G2460:T2463">TRANSPOSE('Ch4 expenditure drivers'!AF694:AI707)</f>
        <v>5.4135741928487935</v>
      </c>
      <c r="H2460">
        <v>5.5602506684586803</v>
      </c>
      <c r="I2460">
        <v>11.521779644833014</v>
      </c>
      <c r="J2460">
        <v>5.7316864997862442</v>
      </c>
      <c r="K2460">
        <v>4.056914862235601</v>
      </c>
      <c r="L2460">
        <v>2.7058625509528742</v>
      </c>
      <c r="M2460">
        <v>3.7642198377394358</v>
      </c>
      <c r="N2460">
        <v>6.6531512016463825</v>
      </c>
      <c r="O2460">
        <v>6.3852196248181565</v>
      </c>
      <c r="P2460">
        <v>10.459776086210963</v>
      </c>
      <c r="Q2460">
        <v>6.8266608544163105</v>
      </c>
      <c r="R2460">
        <v>6.4956919602076457</v>
      </c>
      <c r="S2460">
        <v>1.4558118731931844</v>
      </c>
      <c r="T2460">
        <v>9.4742713347286411</v>
      </c>
      <c r="U2460">
        <f t="shared" si="236"/>
        <v>6.178919370862566</v>
      </c>
      <c r="V2460" t="str">
        <f t="shared" si="237"/>
        <v>2015/16Expenditure driversONIsAllowance</v>
      </c>
    </row>
    <row r="2461" spans="1:22">
      <c r="A2461" t="s">
        <v>137</v>
      </c>
      <c r="C2461" t="s">
        <v>1344</v>
      </c>
      <c r="D2461" t="s">
        <v>94</v>
      </c>
      <c r="E2461" t="s">
        <v>298</v>
      </c>
      <c r="F2461" t="s">
        <v>1289</v>
      </c>
      <c r="G2461">
        <v>9.9944530979310766</v>
      </c>
      <c r="H2461">
        <v>6.5520570504853941</v>
      </c>
      <c r="I2461">
        <v>15.043260209373022</v>
      </c>
      <c r="J2461">
        <v>8.314082078995348</v>
      </c>
      <c r="K2461">
        <v>7.1135055987480396</v>
      </c>
      <c r="L2461">
        <v>3.2862932626150112</v>
      </c>
      <c r="M2461">
        <v>5.5291284454945986</v>
      </c>
      <c r="N2461">
        <v>8.4052403135600713</v>
      </c>
      <c r="O2461">
        <v>12.298484838462045</v>
      </c>
      <c r="P2461">
        <v>19.8384172220564</v>
      </c>
      <c r="Q2461">
        <v>6.1706388416439308</v>
      </c>
      <c r="R2461">
        <v>5.0318505352726586</v>
      </c>
      <c r="S2461">
        <v>1.2713397293328144</v>
      </c>
      <c r="T2461">
        <v>7.8043468101590783</v>
      </c>
      <c r="U2461">
        <f t="shared" si="236"/>
        <v>8.3323641452949637</v>
      </c>
      <c r="V2461" t="str">
        <f t="shared" si="237"/>
        <v>2015/16Expenditure driversONIsActual</v>
      </c>
    </row>
    <row r="2462" spans="1:22">
      <c r="A2462" t="s">
        <v>137</v>
      </c>
      <c r="C2462" t="s">
        <v>1344</v>
      </c>
      <c r="D2462" t="s">
        <v>94</v>
      </c>
      <c r="E2462" t="s">
        <v>602</v>
      </c>
      <c r="F2462" t="s">
        <v>1289</v>
      </c>
      <c r="G2462">
        <v>4.5808789050822831</v>
      </c>
      <c r="H2462">
        <v>0.99180638202671378</v>
      </c>
      <c r="I2462">
        <v>3.521480564540008</v>
      </c>
      <c r="J2462">
        <v>2.5823955792091038</v>
      </c>
      <c r="K2462">
        <v>3.0565907365124385</v>
      </c>
      <c r="L2462">
        <v>0.580430711662137</v>
      </c>
      <c r="M2462">
        <v>1.7649086077551628</v>
      </c>
      <c r="N2462">
        <v>1.7520891119136888</v>
      </c>
      <c r="O2462">
        <v>5.9132652136438884</v>
      </c>
      <c r="P2462">
        <v>9.3786411358454362</v>
      </c>
      <c r="Q2462">
        <v>-0.6560220127723797</v>
      </c>
      <c r="R2462">
        <v>-1.4638414249349871</v>
      </c>
      <c r="S2462">
        <v>-0.18447214386037003</v>
      </c>
      <c r="T2462">
        <v>-1.6699245245695629</v>
      </c>
      <c r="U2462">
        <f>U2461-U2460</f>
        <v>2.1534447744323977</v>
      </c>
      <c r="V2462" t="str">
        <f t="shared" si="237"/>
        <v>2015/16Expenditure driversONIsDifference</v>
      </c>
    </row>
    <row r="2463" spans="1:22">
      <c r="A2463" t="s">
        <v>137</v>
      </c>
      <c r="C2463" t="s">
        <v>1344</v>
      </c>
      <c r="D2463" t="s">
        <v>94</v>
      </c>
      <c r="E2463" t="s">
        <v>1346</v>
      </c>
      <c r="F2463" t="s">
        <v>606</v>
      </c>
      <c r="G2463" s="829">
        <v>0.84618382271984349</v>
      </c>
      <c r="H2463" s="829">
        <v>0.17837440093355464</v>
      </c>
      <c r="I2463" s="829">
        <v>0.30563686106592303</v>
      </c>
      <c r="J2463" s="829">
        <v>0.45054724805786411</v>
      </c>
      <c r="K2463" s="829">
        <v>0.75342738024038181</v>
      </c>
      <c r="L2463" s="829">
        <v>0.21450857193678863</v>
      </c>
      <c r="M2463" s="829">
        <v>0.46886438195253249</v>
      </c>
      <c r="N2463" s="829">
        <v>0.26334725588081004</v>
      </c>
      <c r="O2463" s="829">
        <v>0.926086424758223</v>
      </c>
      <c r="P2463" s="829">
        <v>0.89663880551030362</v>
      </c>
      <c r="Q2463" s="829">
        <v>-9.6097056344608842E-2</v>
      </c>
      <c r="R2463" s="829">
        <v>-0.22535573329253022</v>
      </c>
      <c r="S2463" s="829">
        <v>-0.12671427349726719</v>
      </c>
      <c r="T2463" s="829">
        <v>-0.1762588874194822</v>
      </c>
      <c r="U2463" s="829">
        <f>U2462/U2460</f>
        <v>0.34851478797202379</v>
      </c>
      <c r="V2463" t="str">
        <f t="shared" si="237"/>
        <v>2015/16Expenditure driversONIsDifference %</v>
      </c>
    </row>
    <row r="2464" spans="1:22">
      <c r="A2464" t="s">
        <v>138</v>
      </c>
      <c r="C2464" t="s">
        <v>1344</v>
      </c>
      <c r="D2464" t="s">
        <v>94</v>
      </c>
      <c r="E2464" t="s">
        <v>297</v>
      </c>
      <c r="F2464" t="s">
        <v>1289</v>
      </c>
      <c r="G2464">
        <f t="array" ref="G2464:T2467">TRANSPOSE('Ch4 expenditure drivers'!AK694:AN707)</f>
        <v>5.3341513909636831</v>
      </c>
      <c r="H2464">
        <v>5.5132257773046573</v>
      </c>
      <c r="I2464">
        <v>11.450204884786599</v>
      </c>
      <c r="J2464">
        <v>5.637604568752935</v>
      </c>
      <c r="K2464">
        <v>3.9560210792246959</v>
      </c>
      <c r="L2464">
        <v>2.6410182887625537</v>
      </c>
      <c r="M2464">
        <v>3.6772269269143845</v>
      </c>
      <c r="N2464">
        <v>6.4054637125231668</v>
      </c>
      <c r="O2464">
        <v>6.1379081886374562</v>
      </c>
      <c r="P2464">
        <v>10.156469451705584</v>
      </c>
      <c r="Q2464">
        <v>6.6674074594871264</v>
      </c>
      <c r="R2464">
        <v>6.3446560187710075</v>
      </c>
      <c r="S2464">
        <v>1.4338086639360799</v>
      </c>
      <c r="T2464">
        <v>9.3649907295435195</v>
      </c>
      <c r="U2464">
        <f t="shared" si="236"/>
        <v>6.0514397958081023</v>
      </c>
      <c r="V2464" t="str">
        <f t="shared" si="237"/>
        <v>2016/17Expenditure driversONIsAllowance</v>
      </c>
    </row>
    <row r="2465" spans="1:22">
      <c r="A2465" t="s">
        <v>138</v>
      </c>
      <c r="C2465" t="s">
        <v>1344</v>
      </c>
      <c r="D2465" t="s">
        <v>94</v>
      </c>
      <c r="E2465" t="s">
        <v>298</v>
      </c>
      <c r="F2465" t="s">
        <v>1289</v>
      </c>
      <c r="G2465">
        <v>9.359307794350153</v>
      </c>
      <c r="H2465">
        <v>6.6935369775211351</v>
      </c>
      <c r="I2465">
        <v>15.061978485910382</v>
      </c>
      <c r="J2465">
        <v>8.9381366078975972</v>
      </c>
      <c r="K2465">
        <v>7.296581828885401</v>
      </c>
      <c r="L2465">
        <v>3.7116986097693516</v>
      </c>
      <c r="M2465">
        <v>5.5740061058447052</v>
      </c>
      <c r="N2465">
        <v>9.9947670016166974</v>
      </c>
      <c r="O2465">
        <v>12.379764425229981</v>
      </c>
      <c r="P2465">
        <v>18.59721286393988</v>
      </c>
      <c r="Q2465">
        <v>5.1616663282512114</v>
      </c>
      <c r="R2465">
        <v>4.8907250368708119</v>
      </c>
      <c r="S2465">
        <v>1.6821026850510203</v>
      </c>
      <c r="T2465">
        <v>8.5649378533183658</v>
      </c>
      <c r="U2465">
        <f t="shared" si="236"/>
        <v>8.4218873288897633</v>
      </c>
      <c r="V2465" t="str">
        <f t="shared" si="237"/>
        <v>2016/17Expenditure driversONIsActual</v>
      </c>
    </row>
    <row r="2466" spans="1:22">
      <c r="A2466" t="s">
        <v>138</v>
      </c>
      <c r="C2466" t="s">
        <v>1344</v>
      </c>
      <c r="D2466" t="s">
        <v>94</v>
      </c>
      <c r="E2466" t="s">
        <v>602</v>
      </c>
      <c r="F2466" t="s">
        <v>1289</v>
      </c>
      <c r="G2466">
        <v>4.02515640338647</v>
      </c>
      <c r="H2466">
        <v>1.1803112002164777</v>
      </c>
      <c r="I2466">
        <v>3.6117736011237831</v>
      </c>
      <c r="J2466">
        <v>3.3005320391446622</v>
      </c>
      <c r="K2466">
        <v>3.340560749660705</v>
      </c>
      <c r="L2466">
        <v>1.0706803210067979</v>
      </c>
      <c r="M2466">
        <v>1.8967791789303208</v>
      </c>
      <c r="N2466">
        <v>3.5893032890935306</v>
      </c>
      <c r="O2466">
        <v>6.2418562365925245</v>
      </c>
      <c r="P2466">
        <v>8.4407434122342959</v>
      </c>
      <c r="Q2466">
        <v>-1.505741131235915</v>
      </c>
      <c r="R2466">
        <v>-1.4539309819001955</v>
      </c>
      <c r="S2466">
        <v>0.24829402111494048</v>
      </c>
      <c r="T2466">
        <v>-0.80005287622515375</v>
      </c>
      <c r="U2466">
        <f>U2465-U2464</f>
        <v>2.370447533081661</v>
      </c>
      <c r="V2466" t="str">
        <f t="shared" si="237"/>
        <v>2016/17Expenditure driversONIsDifference</v>
      </c>
    </row>
    <row r="2467" spans="1:22">
      <c r="A2467" t="s">
        <v>138</v>
      </c>
      <c r="C2467" t="s">
        <v>1344</v>
      </c>
      <c r="D2467" t="s">
        <v>94</v>
      </c>
      <c r="E2467" t="s">
        <v>1346</v>
      </c>
      <c r="F2467" t="s">
        <v>606</v>
      </c>
      <c r="G2467" s="829">
        <v>0.75460108054024944</v>
      </c>
      <c r="H2467" s="829">
        <v>0.21408722368586111</v>
      </c>
      <c r="I2467" s="829">
        <v>0.31543309813805981</v>
      </c>
      <c r="J2467" s="829">
        <v>0.58544936930096814</v>
      </c>
      <c r="K2467" s="829">
        <v>0.84442440592743018</v>
      </c>
      <c r="L2467" s="829">
        <v>0.40540435693403093</v>
      </c>
      <c r="M2467" s="829">
        <v>0.51581782050147673</v>
      </c>
      <c r="N2467" s="829">
        <v>0.56035026505203223</v>
      </c>
      <c r="O2467" s="829">
        <v>1.0169354191624269</v>
      </c>
      <c r="P2467" s="829">
        <v>0.83107062472548809</v>
      </c>
      <c r="Q2467" s="829">
        <v>-0.22583607502394046</v>
      </c>
      <c r="R2467" s="829">
        <v>-0.22915836218680133</v>
      </c>
      <c r="S2467" s="829">
        <v>0.17317095883165173</v>
      </c>
      <c r="T2467" s="829">
        <v>-8.5430183470576807E-2</v>
      </c>
      <c r="U2467" s="829">
        <f>U2466/U2464</f>
        <v>0.3917162878698216</v>
      </c>
      <c r="V2467" t="str">
        <f t="shared" si="237"/>
        <v>2016/17Expenditure driversONIsDifference %</v>
      </c>
    </row>
    <row r="2468" spans="1:22">
      <c r="A2468" t="s">
        <v>139</v>
      </c>
      <c r="C2468" t="s">
        <v>1344</v>
      </c>
      <c r="D2468" t="s">
        <v>94</v>
      </c>
      <c r="E2468" t="s">
        <v>297</v>
      </c>
      <c r="F2468" t="s">
        <v>1289</v>
      </c>
      <c r="G2468">
        <f t="array" ref="G2468:T2471">TRANSPOSE('Ch4 expenditure drivers'!AP694:AS707)</f>
        <v>5.2296045968234113</v>
      </c>
      <c r="H2468">
        <v>5.4205329389716166</v>
      </c>
      <c r="I2468">
        <v>11.180822462232957</v>
      </c>
      <c r="J2468">
        <v>5.484227355333787</v>
      </c>
      <c r="K2468">
        <v>3.8105737008306479</v>
      </c>
      <c r="L2468">
        <v>2.5316907566414444</v>
      </c>
      <c r="M2468">
        <v>3.5507618507321554</v>
      </c>
      <c r="N2468">
        <v>6.2067293372789036</v>
      </c>
      <c r="O2468">
        <v>5.964597374574458</v>
      </c>
      <c r="P2468">
        <v>9.9197116356601427</v>
      </c>
      <c r="Q2468">
        <v>6.5144243805809134</v>
      </c>
      <c r="R2468">
        <v>6.1769534006746092</v>
      </c>
      <c r="S2468">
        <v>1.4120470980880984</v>
      </c>
      <c r="T2468">
        <v>9.2866159496743581</v>
      </c>
      <c r="U2468">
        <f t="shared" si="236"/>
        <v>5.9063780598641076</v>
      </c>
      <c r="V2468" t="str">
        <f t="shared" si="237"/>
        <v>2017/18Expenditure driversONIsAllowance</v>
      </c>
    </row>
    <row r="2469" spans="1:22">
      <c r="A2469" t="s">
        <v>139</v>
      </c>
      <c r="C2469" t="s">
        <v>1344</v>
      </c>
      <c r="D2469" t="s">
        <v>94</v>
      </c>
      <c r="E2469" t="s">
        <v>298</v>
      </c>
      <c r="F2469" t="s">
        <v>1289</v>
      </c>
      <c r="G2469">
        <v>10.107666053701934</v>
      </c>
      <c r="H2469">
        <v>6.3469500971969515</v>
      </c>
      <c r="I2469">
        <v>12.816832261864466</v>
      </c>
      <c r="J2469">
        <v>9.1861943923057883</v>
      </c>
      <c r="K2469">
        <v>7.8822890276019599</v>
      </c>
      <c r="L2469">
        <v>3.8064529006067485</v>
      </c>
      <c r="M2469">
        <v>5.7860800558732368</v>
      </c>
      <c r="N2469">
        <v>9.8488523957232506</v>
      </c>
      <c r="O2469">
        <v>11.703671101050848</v>
      </c>
      <c r="P2469">
        <v>17.362056229278377</v>
      </c>
      <c r="Q2469">
        <v>4.9599796177807489</v>
      </c>
      <c r="R2469">
        <v>4.4618092391996038</v>
      </c>
      <c r="S2469">
        <v>1.5797723361628442</v>
      </c>
      <c r="T2469">
        <v>9.2197616704794392</v>
      </c>
      <c r="U2469">
        <f t="shared" si="236"/>
        <v>8.2191690984875869</v>
      </c>
      <c r="V2469" t="str">
        <f t="shared" si="237"/>
        <v>2017/18Expenditure driversONIsActual</v>
      </c>
    </row>
    <row r="2470" spans="1:22">
      <c r="A2470" t="s">
        <v>139</v>
      </c>
      <c r="C2470" t="s">
        <v>1344</v>
      </c>
      <c r="D2470" t="s">
        <v>94</v>
      </c>
      <c r="E2470" t="s">
        <v>602</v>
      </c>
      <c r="F2470" t="s">
        <v>1289</v>
      </c>
      <c r="G2470">
        <v>4.8780614568785223</v>
      </c>
      <c r="H2470">
        <v>0.92641715822533488</v>
      </c>
      <c r="I2470">
        <v>1.6360097996315091</v>
      </c>
      <c r="J2470">
        <v>3.7019670369720012</v>
      </c>
      <c r="K2470">
        <v>4.0717153267713115</v>
      </c>
      <c r="L2470">
        <v>1.2747621439653041</v>
      </c>
      <c r="M2470">
        <v>2.2353182051410814</v>
      </c>
      <c r="N2470">
        <v>3.6421230584443469</v>
      </c>
      <c r="O2470">
        <v>5.7390737264763896</v>
      </c>
      <c r="P2470">
        <v>7.442344593618234</v>
      </c>
      <c r="Q2470">
        <v>-1.5544447628001645</v>
      </c>
      <c r="R2470">
        <v>-1.7151441614750054</v>
      </c>
      <c r="S2470">
        <v>0.16772523807474582</v>
      </c>
      <c r="T2470">
        <v>-6.6854279194918931E-2</v>
      </c>
      <c r="U2470">
        <f>U2469-U2468</f>
        <v>2.3127910386234793</v>
      </c>
      <c r="V2470" t="str">
        <f t="shared" si="237"/>
        <v>2017/18Expenditure driversONIsDifference</v>
      </c>
    </row>
    <row r="2471" spans="1:22">
      <c r="A2471" t="s">
        <v>139</v>
      </c>
      <c r="C2471" t="s">
        <v>1344</v>
      </c>
      <c r="D2471" t="s">
        <v>94</v>
      </c>
      <c r="E2471" t="s">
        <v>1346</v>
      </c>
      <c r="F2471" t="s">
        <v>606</v>
      </c>
      <c r="G2471" s="829">
        <v>0.93277825628376865</v>
      </c>
      <c r="H2471" s="829">
        <v>0.17090886978376976</v>
      </c>
      <c r="I2471" s="829">
        <v>0.14632284924992686</v>
      </c>
      <c r="J2471" s="829">
        <v>0.67502070886459231</v>
      </c>
      <c r="K2471" s="829">
        <v>1.0685307899657572</v>
      </c>
      <c r="L2471" s="829">
        <v>0.50352205956481466</v>
      </c>
      <c r="M2471" s="829">
        <v>0.62953199879630506</v>
      </c>
      <c r="N2471" s="829">
        <v>0.58680230126501576</v>
      </c>
      <c r="O2471" s="829">
        <v>0.96218962757496129</v>
      </c>
      <c r="P2471" s="829">
        <v>0.75025815940696516</v>
      </c>
      <c r="Q2471" s="829">
        <v>-0.23861582727613909</v>
      </c>
      <c r="R2471" s="829">
        <v>-0.27766830186669172</v>
      </c>
      <c r="S2471" s="829">
        <v>0.1187816173425409</v>
      </c>
      <c r="T2471" s="829">
        <v>-7.1989925670677942E-3</v>
      </c>
      <c r="U2471" s="829">
        <f>U2470/U2468</f>
        <v>0.39157517774551187</v>
      </c>
      <c r="V2471" t="str">
        <f t="shared" si="237"/>
        <v>2017/18Expenditure driversONIsDifference %</v>
      </c>
    </row>
    <row r="2472" spans="1:22">
      <c r="A2472" t="s">
        <v>140</v>
      </c>
      <c r="C2472" t="s">
        <v>1344</v>
      </c>
      <c r="D2472" t="s">
        <v>94</v>
      </c>
      <c r="E2472" t="s">
        <v>297</v>
      </c>
      <c r="F2472" t="s">
        <v>1289</v>
      </c>
      <c r="G2472">
        <f t="array" ref="G2472:T2475">TRANSPOSE('Ch4 expenditure drivers'!AU694:AX707)</f>
        <v>5.1200765931798244</v>
      </c>
      <c r="H2472">
        <v>5.3478471783278021</v>
      </c>
      <c r="I2472">
        <v>10.991958862547412</v>
      </c>
      <c r="J2472">
        <v>5.3309222481608458</v>
      </c>
      <c r="K2472">
        <v>3.6709906084699728</v>
      </c>
      <c r="L2472">
        <v>2.41271399091494</v>
      </c>
      <c r="M2472">
        <v>3.4262238216461212</v>
      </c>
      <c r="N2472">
        <v>6.034049798143954</v>
      </c>
      <c r="O2472">
        <v>5.8277022200698108</v>
      </c>
      <c r="P2472">
        <v>9.744405725367363</v>
      </c>
      <c r="Q2472">
        <v>6.3526988527129307</v>
      </c>
      <c r="R2472">
        <v>5.9579278092903039</v>
      </c>
      <c r="S2472">
        <v>1.3258233695633046</v>
      </c>
      <c r="T2472">
        <v>9.166627263259123</v>
      </c>
      <c r="U2472">
        <f>AVERAGE(G2472:T2472)</f>
        <v>5.7649977386895506</v>
      </c>
      <c r="V2472" t="str">
        <f t="shared" si="237"/>
        <v>2018/19Expenditure driversONIsAllowance</v>
      </c>
    </row>
    <row r="2473" spans="1:22">
      <c r="A2473" t="s">
        <v>140</v>
      </c>
      <c r="C2473" t="s">
        <v>1344</v>
      </c>
      <c r="D2473" t="s">
        <v>94</v>
      </c>
      <c r="E2473" t="s">
        <v>298</v>
      </c>
      <c r="F2473" t="s">
        <v>1289</v>
      </c>
      <c r="G2473">
        <v>10.976073677699537</v>
      </c>
      <c r="H2473">
        <v>6.439676813346912</v>
      </c>
      <c r="I2473">
        <v>12.90727545564315</v>
      </c>
      <c r="J2473">
        <v>8.52392886187471</v>
      </c>
      <c r="K2473">
        <v>5.4300095726206115</v>
      </c>
      <c r="L2473">
        <v>3.1894716421703588</v>
      </c>
      <c r="M2473">
        <v>5.395962182501024</v>
      </c>
      <c r="N2473">
        <v>7.7970092819251349</v>
      </c>
      <c r="O2473">
        <v>10.130906729364362</v>
      </c>
      <c r="P2473">
        <v>16.657930464324789</v>
      </c>
      <c r="Q2473">
        <v>6.2286213638040495</v>
      </c>
      <c r="R2473">
        <v>6.0745460304829004</v>
      </c>
      <c r="S2473">
        <v>1.5517655576284413</v>
      </c>
      <c r="T2473">
        <v>9.3476420723120288</v>
      </c>
      <c r="U2473">
        <f>AVERAGE(G2473:T2473)</f>
        <v>7.9036299789784303</v>
      </c>
      <c r="V2473" t="str">
        <f t="shared" si="237"/>
        <v>2018/19Expenditure driversONIsActual</v>
      </c>
    </row>
    <row r="2474" spans="1:22">
      <c r="A2474" t="s">
        <v>140</v>
      </c>
      <c r="C2474" t="s">
        <v>1344</v>
      </c>
      <c r="D2474" t="s">
        <v>94</v>
      </c>
      <c r="E2474" t="s">
        <v>602</v>
      </c>
      <c r="F2474" t="s">
        <v>1289</v>
      </c>
      <c r="G2474">
        <v>5.8559970845197125</v>
      </c>
      <c r="H2474">
        <v>1.0918296350191099</v>
      </c>
      <c r="I2474">
        <v>1.9153165930957385</v>
      </c>
      <c r="J2474">
        <v>3.1930066137138642</v>
      </c>
      <c r="K2474">
        <v>1.7590189641506386</v>
      </c>
      <c r="L2474">
        <v>0.77675765125541885</v>
      </c>
      <c r="M2474">
        <v>1.9697383608549028</v>
      </c>
      <c r="N2474">
        <v>1.7629594837811808</v>
      </c>
      <c r="O2474">
        <v>4.3032045092945514</v>
      </c>
      <c r="P2474">
        <v>6.9135247389574257</v>
      </c>
      <c r="Q2474">
        <v>-0.12407748890888115</v>
      </c>
      <c r="R2474">
        <v>0.11661822119259657</v>
      </c>
      <c r="S2474">
        <v>0.22594218806513666</v>
      </c>
      <c r="T2474">
        <v>0.18101480905290579</v>
      </c>
      <c r="U2474">
        <f>U2473-U2472</f>
        <v>2.1386322402888798</v>
      </c>
      <c r="V2474" t="str">
        <f t="shared" si="237"/>
        <v>2018/19Expenditure driversONIsDifference</v>
      </c>
    </row>
    <row r="2475" spans="1:22">
      <c r="A2475" t="s">
        <v>140</v>
      </c>
      <c r="C2475" t="s">
        <v>1344</v>
      </c>
      <c r="D2475" t="s">
        <v>94</v>
      </c>
      <c r="E2475" t="s">
        <v>1346</v>
      </c>
      <c r="F2475" t="s">
        <v>606</v>
      </c>
      <c r="G2475" s="829">
        <v>1.1437323207860148</v>
      </c>
      <c r="H2475" s="829">
        <v>0.20416245988549545</v>
      </c>
      <c r="I2475" s="829">
        <v>0.17424706706479245</v>
      </c>
      <c r="J2475" s="829">
        <v>0.59895951677318926</v>
      </c>
      <c r="K2475" s="829">
        <v>0.47916738334663778</v>
      </c>
      <c r="L2475" s="829">
        <v>0.32194352674220611</v>
      </c>
      <c r="M2475" s="829">
        <v>0.57490066714571686</v>
      </c>
      <c r="N2475" s="829">
        <v>0.29216853402891357</v>
      </c>
      <c r="O2475" s="829">
        <v>0.73840500883434002</v>
      </c>
      <c r="P2475" s="829">
        <v>0.70948654374680054</v>
      </c>
      <c r="Q2475" s="829">
        <v>-1.9531460846108524E-2</v>
      </c>
      <c r="R2475" s="829">
        <v>1.9573621051727361E-2</v>
      </c>
      <c r="S2475" s="829">
        <v>0.17041650739612227</v>
      </c>
      <c r="T2475" s="829">
        <v>1.9747154962701886E-2</v>
      </c>
      <c r="U2475" s="829">
        <f>U2474/U2472</f>
        <v>0.37096844391391126</v>
      </c>
      <c r="V2475" t="str">
        <f t="shared" si="237"/>
        <v>2018/19Expenditure driversONIsDifference %</v>
      </c>
    </row>
    <row r="2476" spans="1:22">
      <c r="A2476" t="s">
        <v>141</v>
      </c>
      <c r="C2476" t="s">
        <v>1344</v>
      </c>
      <c r="D2476" t="s">
        <v>94</v>
      </c>
      <c r="E2476" t="s">
        <v>297</v>
      </c>
      <c r="F2476" t="s">
        <v>1289</v>
      </c>
      <c r="G2476" s="229">
        <f t="array" ref="G2476:T2479">TRANSPOSE('Ch4 expenditure drivers'!AZ694:BC707)</f>
        <v>5.0263530176802593</v>
      </c>
      <c r="H2476" s="229">
        <v>5.2584704853675506</v>
      </c>
      <c r="I2476" s="229">
        <v>10.738064523711502</v>
      </c>
      <c r="J2476" s="229">
        <v>5.1780379240451317</v>
      </c>
      <c r="K2476" s="229">
        <v>3.543765955354826</v>
      </c>
      <c r="L2476" s="229">
        <v>2.2978720994076589</v>
      </c>
      <c r="M2476" s="229">
        <v>3.3120231813495238</v>
      </c>
      <c r="N2476" s="229">
        <v>5.8911666451591449</v>
      </c>
      <c r="O2476" s="229">
        <v>5.7030624489811075</v>
      </c>
      <c r="P2476" s="229">
        <v>9.4181113509943035</v>
      </c>
      <c r="Q2476" s="229">
        <v>6.2116203061516897</v>
      </c>
      <c r="R2476" s="229">
        <v>5.8117414776844836</v>
      </c>
      <c r="S2476" s="229">
        <v>1.2733021612648285</v>
      </c>
      <c r="T2476" s="229">
        <v>9.0871881536935319</v>
      </c>
      <c r="U2476" s="229">
        <f>AVERAGE(G2476:T2476)</f>
        <v>5.6250556950603956</v>
      </c>
      <c r="V2476" t="str">
        <f t="shared" si="237"/>
        <v>2019/20Expenditure driversONIsAllowance</v>
      </c>
    </row>
    <row r="2477" spans="1:22">
      <c r="A2477" t="s">
        <v>141</v>
      </c>
      <c r="C2477" t="s">
        <v>1344</v>
      </c>
      <c r="D2477" t="s">
        <v>94</v>
      </c>
      <c r="E2477" t="s">
        <v>298</v>
      </c>
      <c r="F2477" t="s">
        <v>1289</v>
      </c>
      <c r="G2477" s="229">
        <v>8.4110737519890417</v>
      </c>
      <c r="H2477" s="229">
        <v>7.2149000629107034</v>
      </c>
      <c r="I2477" s="229">
        <v>13.669522237420104</v>
      </c>
      <c r="J2477" s="229">
        <v>9.387991074930671</v>
      </c>
      <c r="K2477" s="229">
        <v>8.0615318501799464</v>
      </c>
      <c r="L2477" s="229">
        <v>3.3926951438539517</v>
      </c>
      <c r="M2477" s="229">
        <v>6.1184136153756183</v>
      </c>
      <c r="N2477" s="229">
        <v>9.0473885829533298</v>
      </c>
      <c r="O2477" s="229">
        <v>10.248879869521407</v>
      </c>
      <c r="P2477" s="229">
        <v>17.633587654832517</v>
      </c>
      <c r="Q2477" s="229">
        <v>5.2151892526833574</v>
      </c>
      <c r="R2477" s="229">
        <v>5.1594082281598928</v>
      </c>
      <c r="S2477" s="229">
        <v>0.99475658078647478</v>
      </c>
      <c r="T2477" s="229">
        <v>7.9448892578513686</v>
      </c>
      <c r="U2477" s="229">
        <f>AVERAGE(G2477:T2477)</f>
        <v>8.0357305116748829</v>
      </c>
      <c r="V2477" t="str">
        <f t="shared" si="237"/>
        <v>2019/20Expenditure driversONIsActual</v>
      </c>
    </row>
    <row r="2478" spans="1:22">
      <c r="A2478" t="s">
        <v>141</v>
      </c>
      <c r="C2478" t="s">
        <v>1344</v>
      </c>
      <c r="D2478" t="s">
        <v>94</v>
      </c>
      <c r="E2478" t="s">
        <v>602</v>
      </c>
      <c r="F2478" t="s">
        <v>1289</v>
      </c>
      <c r="G2478" s="229">
        <v>3.3847207343087824</v>
      </c>
      <c r="H2478" s="229">
        <v>1.9564295775431528</v>
      </c>
      <c r="I2478" s="229">
        <v>2.9314577137086015</v>
      </c>
      <c r="J2478" s="229">
        <v>4.2099531508855392</v>
      </c>
      <c r="K2478" s="229">
        <v>4.5177658948251205</v>
      </c>
      <c r="L2478" s="229">
        <v>1.0948230444462927</v>
      </c>
      <c r="M2478" s="229">
        <v>2.8063904340260946</v>
      </c>
      <c r="N2478" s="229">
        <v>3.1562219377941849</v>
      </c>
      <c r="O2478" s="229">
        <v>4.545817420540299</v>
      </c>
      <c r="P2478" s="229">
        <v>8.2154763038382139</v>
      </c>
      <c r="Q2478" s="229">
        <v>-0.99643105346833227</v>
      </c>
      <c r="R2478" s="229">
        <v>-0.65233324952459082</v>
      </c>
      <c r="S2478" s="229">
        <v>-0.27854558047835376</v>
      </c>
      <c r="T2478" s="229">
        <v>-1.1422988958421634</v>
      </c>
      <c r="U2478" s="229">
        <f>U2477-U2476</f>
        <v>2.4106748166144873</v>
      </c>
      <c r="V2478" t="str">
        <f t="shared" si="237"/>
        <v>2019/20Expenditure driversONIsDifference</v>
      </c>
    </row>
    <row r="2479" spans="1:22">
      <c r="A2479" t="s">
        <v>141</v>
      </c>
      <c r="C2479" t="s">
        <v>1344</v>
      </c>
      <c r="D2479" t="s">
        <v>94</v>
      </c>
      <c r="E2479" t="s">
        <v>1346</v>
      </c>
      <c r="F2479" t="s">
        <v>606</v>
      </c>
      <c r="G2479" s="829">
        <v>0.67339494906207042</v>
      </c>
      <c r="H2479" s="829">
        <v>0.37205297300559148</v>
      </c>
      <c r="I2479" s="829">
        <v>0.2729968428887195</v>
      </c>
      <c r="J2479" s="829">
        <v>0.81304023119179558</v>
      </c>
      <c r="K2479" s="829">
        <v>1.2748488336252926</v>
      </c>
      <c r="L2479" s="829">
        <v>0.47645081931605948</v>
      </c>
      <c r="M2479" s="829">
        <v>0.84733417623079466</v>
      </c>
      <c r="N2479" s="829">
        <v>0.53575499182113562</v>
      </c>
      <c r="O2479" s="829">
        <v>0.79708357767543669</v>
      </c>
      <c r="P2479" s="829">
        <v>0.87230613417740877</v>
      </c>
      <c r="Q2479" s="829">
        <v>-0.16041403117983805</v>
      </c>
      <c r="R2479" s="829">
        <v>-0.11224402393488668</v>
      </c>
      <c r="S2479" s="829">
        <v>-0.21875842902965142</v>
      </c>
      <c r="T2479" s="829">
        <v>-0.1257043297136827</v>
      </c>
      <c r="U2479" s="829">
        <f>U2478/U2476</f>
        <v>0.42856016852089218</v>
      </c>
      <c r="V2479" t="str">
        <f t="shared" si="237"/>
        <v>2019/20Expenditure driversONIsDifference %</v>
      </c>
    </row>
    <row r="2480" spans="1:22">
      <c r="A2480" t="s">
        <v>126</v>
      </c>
      <c r="C2480" t="s">
        <v>1344</v>
      </c>
      <c r="D2480" t="s">
        <v>94</v>
      </c>
      <c r="E2480" t="s">
        <v>297</v>
      </c>
      <c r="F2480" t="s">
        <v>1289</v>
      </c>
      <c r="G2480" s="229" cm="1">
        <f t="array" ref="G2480:T2483">TRANSPOSE('Ch4 expenditure drivers'!BE694:BH707)</f>
        <v>4.9285343225929683</v>
      </c>
      <c r="H2480" s="229">
        <v>5.2423249252540227</v>
      </c>
      <c r="I2480" s="229">
        <v>10.775552085949041</v>
      </c>
      <c r="J2480" s="229">
        <v>5.1610268802263972</v>
      </c>
      <c r="K2480" s="229">
        <v>3.5324457054736529</v>
      </c>
      <c r="L2480" s="229">
        <v>2.282719957900452</v>
      </c>
      <c r="M2480" s="229">
        <v>3.2952029821083504</v>
      </c>
      <c r="N2480" s="229">
        <v>5.8109531070207892</v>
      </c>
      <c r="O2480" s="229">
        <v>5.6198421419914686</v>
      </c>
      <c r="P2480" s="229">
        <v>9.3713283444417179</v>
      </c>
      <c r="Q2480" s="229">
        <v>6.0610539143250506</v>
      </c>
      <c r="R2480" s="229">
        <v>5.7000587992274125</v>
      </c>
      <c r="S2480" s="229">
        <v>1.298131373502345</v>
      </c>
      <c r="T2480" s="229">
        <v>8.9783573877338601</v>
      </c>
      <c r="U2480" s="229">
        <f>AVERAGE(G2480:T2480)</f>
        <v>5.5755379948391095</v>
      </c>
      <c r="V2480" t="str">
        <f t="shared" si="237"/>
        <v>2020/21Expenditure driversONIsAllowance</v>
      </c>
    </row>
    <row r="2481" spans="1:22">
      <c r="A2481" t="s">
        <v>126</v>
      </c>
      <c r="C2481" t="s">
        <v>1344</v>
      </c>
      <c r="D2481" t="s">
        <v>94</v>
      </c>
      <c r="E2481" t="s">
        <v>298</v>
      </c>
      <c r="F2481" t="s">
        <v>1289</v>
      </c>
      <c r="G2481" s="229">
        <v>7.9874178054822487</v>
      </c>
      <c r="H2481" s="229">
        <v>8.0685999547026839</v>
      </c>
      <c r="I2481" s="229">
        <v>12.561817253537916</v>
      </c>
      <c r="J2481" s="229">
        <v>8.8471021970513366</v>
      </c>
      <c r="K2481" s="229">
        <v>6.8849579388578599</v>
      </c>
      <c r="L2481" s="229">
        <v>3.6048450845948055</v>
      </c>
      <c r="M2481" s="229">
        <v>5.5680471024962017</v>
      </c>
      <c r="N2481" s="229">
        <v>9.7203885072922063</v>
      </c>
      <c r="O2481" s="229">
        <v>11.088965819716057</v>
      </c>
      <c r="P2481" s="229">
        <v>19.527984075302868</v>
      </c>
      <c r="Q2481" s="229">
        <v>4.5187941149985251</v>
      </c>
      <c r="R2481" s="229">
        <v>5.1878144036073754</v>
      </c>
      <c r="S2481" s="229">
        <v>0.92754767910683411</v>
      </c>
      <c r="T2481" s="229">
        <v>9.4600761056213667</v>
      </c>
      <c r="U2481" s="229">
        <f>AVERAGE(G2481:T2481)</f>
        <v>8.1395970030263065</v>
      </c>
      <c r="V2481" t="str">
        <f t="shared" si="237"/>
        <v>2020/21Expenditure driversONIsActual</v>
      </c>
    </row>
    <row r="2482" spans="1:22">
      <c r="A2482" t="s">
        <v>126</v>
      </c>
      <c r="C2482" t="s">
        <v>1344</v>
      </c>
      <c r="D2482" t="s">
        <v>94</v>
      </c>
      <c r="E2482" t="s">
        <v>602</v>
      </c>
      <c r="F2482" t="s">
        <v>1289</v>
      </c>
      <c r="G2482" s="229">
        <v>3.0588834828892804</v>
      </c>
      <c r="H2482" s="229">
        <v>2.8262750294486612</v>
      </c>
      <c r="I2482" s="229">
        <v>1.7862651675888745</v>
      </c>
      <c r="J2482" s="229">
        <v>3.6860753168249394</v>
      </c>
      <c r="K2482" s="229">
        <v>3.352512233384207</v>
      </c>
      <c r="L2482" s="229">
        <v>1.3221251266943534</v>
      </c>
      <c r="M2482" s="229">
        <v>2.2728441203878513</v>
      </c>
      <c r="N2482" s="229">
        <v>3.9094354002714171</v>
      </c>
      <c r="O2482" s="229">
        <v>5.4691236777245882</v>
      </c>
      <c r="P2482" s="229">
        <v>10.15665573086115</v>
      </c>
      <c r="Q2482" s="229">
        <v>-1.5422597993265255</v>
      </c>
      <c r="R2482" s="229">
        <v>-0.5122443956200371</v>
      </c>
      <c r="S2482" s="229">
        <v>-0.37058369439551087</v>
      </c>
      <c r="T2482" s="229">
        <v>0.48171871788750664</v>
      </c>
      <c r="U2482" s="229">
        <f>U2481-U2480</f>
        <v>2.564059008187197</v>
      </c>
      <c r="V2482" t="str">
        <f t="shared" si="237"/>
        <v>2020/21Expenditure driversONIsDifference</v>
      </c>
    </row>
    <row r="2483" spans="1:22">
      <c r="A2483" t="s">
        <v>126</v>
      </c>
      <c r="C2483" t="s">
        <v>1344</v>
      </c>
      <c r="D2483" t="s">
        <v>94</v>
      </c>
      <c r="E2483" t="s">
        <v>1346</v>
      </c>
      <c r="F2483" t="s">
        <v>606</v>
      </c>
      <c r="G2483" s="829">
        <v>0.62064769821466126</v>
      </c>
      <c r="H2483" s="829">
        <v>0.5391262597695069</v>
      </c>
      <c r="I2483" s="829">
        <v>0.16577017616740997</v>
      </c>
      <c r="J2483" s="829">
        <v>0.71421354749139443</v>
      </c>
      <c r="K2483" s="829">
        <v>0.949062636175658</v>
      </c>
      <c r="L2483" s="829">
        <v>0.5791884905191732</v>
      </c>
      <c r="M2483" s="829">
        <v>0.68974328219793934</v>
      </c>
      <c r="N2483" s="829">
        <v>0.67277008233779068</v>
      </c>
      <c r="O2483" s="829">
        <v>0.97318101461592454</v>
      </c>
      <c r="P2483" s="829">
        <v>1.0838010746774465</v>
      </c>
      <c r="Q2483" s="829">
        <v>-0.25445406378607821</v>
      </c>
      <c r="R2483" s="829">
        <v>-8.9866510796251228E-2</v>
      </c>
      <c r="S2483" s="829">
        <v>-0.28547472309807898</v>
      </c>
      <c r="T2483" s="829">
        <v>5.36533239972855E-2</v>
      </c>
      <c r="U2483" s="829">
        <f>U2482/U2480</f>
        <v>0.45987651964000054</v>
      </c>
      <c r="V2483" t="str">
        <f t="shared" si="237"/>
        <v>2020/21Expenditure driversONIsDifference %</v>
      </c>
    </row>
    <row r="2484" spans="1:22">
      <c r="A2484" t="s">
        <v>142</v>
      </c>
      <c r="C2484" t="s">
        <v>1344</v>
      </c>
      <c r="D2484" t="s">
        <v>94</v>
      </c>
      <c r="E2484" t="s">
        <v>297</v>
      </c>
      <c r="F2484" t="s">
        <v>1289</v>
      </c>
      <c r="G2484" s="229" cm="1">
        <f t="array" ref="G2484:T2487">TRANSPOSE('Ch4 expenditure drivers'!BJ694:BM707)</f>
        <v>4.8174728407976932</v>
      </c>
      <c r="H2484" s="229">
        <v>5.2290276854536772</v>
      </c>
      <c r="I2484" s="229">
        <v>10.814315848092782</v>
      </c>
      <c r="J2484" s="229">
        <v>5.2229603052351621</v>
      </c>
      <c r="K2484" s="229">
        <v>3.585379489872869</v>
      </c>
      <c r="L2484" s="229">
        <v>2.3175096361532979</v>
      </c>
      <c r="M2484" s="229">
        <v>3.3361131745615786</v>
      </c>
      <c r="N2484" s="229">
        <v>5.8355912094633391</v>
      </c>
      <c r="O2484" s="229">
        <v>5.7348807439184331</v>
      </c>
      <c r="P2484" s="229">
        <v>9.4688979461258658</v>
      </c>
      <c r="Q2484" s="229">
        <v>5.9613148073682636</v>
      </c>
      <c r="R2484" s="229">
        <v>5.5559310722606954</v>
      </c>
      <c r="S2484" s="229">
        <v>1.2848479995225945</v>
      </c>
      <c r="T2484" s="229">
        <v>9.1476777352173055</v>
      </c>
      <c r="U2484" s="229">
        <f>AVERAGE(G2484:T2484)</f>
        <v>5.5937086067173967</v>
      </c>
      <c r="V2484" t="str">
        <f t="shared" ref="V2484:V2487" si="240">CONCATENATE(A2484,B2484,C2484,D2484,E2484)</f>
        <v>2021/22Expenditure driversONIsAllowance</v>
      </c>
    </row>
    <row r="2485" spans="1:22">
      <c r="A2485" t="s">
        <v>142</v>
      </c>
      <c r="C2485" t="s">
        <v>1344</v>
      </c>
      <c r="D2485" t="s">
        <v>94</v>
      </c>
      <c r="E2485" t="s">
        <v>298</v>
      </c>
      <c r="F2485" t="s">
        <v>1289</v>
      </c>
      <c r="G2485" s="229">
        <v>11.038205312541018</v>
      </c>
      <c r="H2485" s="229">
        <v>5.8532459578941429</v>
      </c>
      <c r="I2485" s="229">
        <v>11.557860801210353</v>
      </c>
      <c r="J2485" s="229">
        <v>9.3211999999999993</v>
      </c>
      <c r="K2485" s="229">
        <v>7.2912999999999988</v>
      </c>
      <c r="L2485" s="229">
        <v>3.9914999999999994</v>
      </c>
      <c r="M2485" s="229">
        <v>5.8787999999999991</v>
      </c>
      <c r="N2485" s="229">
        <v>8.5188362881821611</v>
      </c>
      <c r="O2485" s="229">
        <v>10.184077869938456</v>
      </c>
      <c r="P2485" s="229">
        <v>18.18401149425646</v>
      </c>
      <c r="Q2485" s="229">
        <v>4.4707291356589263</v>
      </c>
      <c r="R2485" s="229">
        <v>5.5843523975850626</v>
      </c>
      <c r="S2485" s="229">
        <v>0.98309182000000006</v>
      </c>
      <c r="T2485" s="229">
        <v>10.61988414</v>
      </c>
      <c r="U2485" s="229">
        <f>AVERAGE(G2485:T2485)</f>
        <v>8.1055068012333269</v>
      </c>
      <c r="V2485" t="str">
        <f t="shared" si="240"/>
        <v>2021/22Expenditure driversONIsActual</v>
      </c>
    </row>
    <row r="2486" spans="1:22">
      <c r="A2486" t="s">
        <v>142</v>
      </c>
      <c r="C2486" t="s">
        <v>1344</v>
      </c>
      <c r="D2486" t="s">
        <v>94</v>
      </c>
      <c r="E2486" t="s">
        <v>602</v>
      </c>
      <c r="F2486" t="s">
        <v>1289</v>
      </c>
      <c r="G2486" s="229">
        <v>6.2207324717433252</v>
      </c>
      <c r="H2486" s="229">
        <v>0.62421827244046568</v>
      </c>
      <c r="I2486" s="229">
        <v>0.74354495311757063</v>
      </c>
      <c r="J2486" s="229">
        <v>4.0982396947648372</v>
      </c>
      <c r="K2486" s="229">
        <v>3.7059205101271298</v>
      </c>
      <c r="L2486" s="229">
        <v>1.6739903638467015</v>
      </c>
      <c r="M2486" s="229">
        <v>2.5426868254384205</v>
      </c>
      <c r="N2486" s="229">
        <v>2.683245078718822</v>
      </c>
      <c r="O2486" s="229">
        <v>4.4491971260200227</v>
      </c>
      <c r="P2486" s="229">
        <v>8.7151135481305939</v>
      </c>
      <c r="Q2486" s="229">
        <v>-1.4905856717093373</v>
      </c>
      <c r="R2486" s="229">
        <v>2.8421325324367253E-2</v>
      </c>
      <c r="S2486" s="229">
        <v>-0.30175617952259448</v>
      </c>
      <c r="T2486" s="229">
        <v>1.4722064047826944</v>
      </c>
      <c r="U2486" s="229">
        <f>U2485-U2484</f>
        <v>2.5117981945159302</v>
      </c>
      <c r="V2486" t="str">
        <f t="shared" si="240"/>
        <v>2021/22Expenditure driversONIsDifference</v>
      </c>
    </row>
    <row r="2487" spans="1:22">
      <c r="A2487" t="s">
        <v>142</v>
      </c>
      <c r="C2487" t="s">
        <v>1344</v>
      </c>
      <c r="D2487" t="s">
        <v>94</v>
      </c>
      <c r="E2487" t="s">
        <v>1346</v>
      </c>
      <c r="F2487" t="s">
        <v>606</v>
      </c>
      <c r="G2487" s="829">
        <v>1.2912854264712939</v>
      </c>
      <c r="H2487" s="829">
        <v>0.11937559140812001</v>
      </c>
      <c r="I2487" s="829">
        <v>6.8755616495952687E-2</v>
      </c>
      <c r="J2487" s="829">
        <v>0.78465840352204541</v>
      </c>
      <c r="K2487" s="829">
        <v>1.0336201566932417</v>
      </c>
      <c r="L2487" s="829">
        <v>0.72232293567730865</v>
      </c>
      <c r="M2487" s="829">
        <v>0.76217043379308391</v>
      </c>
      <c r="N2487" s="829">
        <v>0.45980689572078204</v>
      </c>
      <c r="O2487" s="829">
        <v>0.77581336468734485</v>
      </c>
      <c r="P2487" s="829">
        <v>0.92039365063558665</v>
      </c>
      <c r="Q2487" s="829">
        <v>-0.25004310624007875</v>
      </c>
      <c r="R2487" s="829">
        <v>5.1154927868467381E-3</v>
      </c>
      <c r="S2487" s="829">
        <v>-0.23485749258645125</v>
      </c>
      <c r="T2487" s="829">
        <v>0.16093772074139664</v>
      </c>
      <c r="U2487" s="829">
        <f>U2486/U2484</f>
        <v>0.44903987159780745</v>
      </c>
      <c r="V2487" t="str">
        <f t="shared" si="240"/>
        <v>2021/22Expenditure driversONIsDifference %</v>
      </c>
    </row>
    <row r="2488" spans="1:22">
      <c r="A2488" t="s">
        <v>137</v>
      </c>
      <c r="C2488" t="s">
        <v>1344</v>
      </c>
      <c r="D2488" t="s">
        <v>95</v>
      </c>
      <c r="E2488" t="s">
        <v>1347</v>
      </c>
      <c r="F2488" t="s">
        <v>1289</v>
      </c>
      <c r="G2488">
        <f t="array" ref="G2488:T2495">TRANSPOSE('Ch4 expenditure drivers'!E714:L727)</f>
        <v>4.630809100838162</v>
      </c>
      <c r="H2488">
        <v>5.2381665142545843</v>
      </c>
      <c r="I2488">
        <v>6.9992924242249268</v>
      </c>
      <c r="J2488">
        <v>10.406321738142125</v>
      </c>
      <c r="K2488">
        <v>8.0911934337602016</v>
      </c>
      <c r="L2488">
        <v>10.026291909471082</v>
      </c>
      <c r="M2488">
        <v>14.012124307783045</v>
      </c>
      <c r="N2488">
        <v>2.2239773150795721E-2</v>
      </c>
      <c r="O2488">
        <v>10.556883219945332</v>
      </c>
      <c r="P2488">
        <v>20.206632274347953</v>
      </c>
      <c r="Q2488">
        <v>9.1816835911539236</v>
      </c>
      <c r="R2488">
        <v>14.043881395192713</v>
      </c>
      <c r="S2488">
        <v>8.6342407569370767</v>
      </c>
      <c r="T2488">
        <v>23.078629019565597</v>
      </c>
      <c r="U2488">
        <f>AVERAGE(G2488:T2488)</f>
        <v>10.366313532769109</v>
      </c>
      <c r="V2488" t="str">
        <f t="shared" si="237"/>
        <v>2015/16Expenditure driversTree CuttingBPDT</v>
      </c>
    </row>
    <row r="2489" spans="1:22">
      <c r="A2489" t="s">
        <v>138</v>
      </c>
      <c r="C2489" t="s">
        <v>1344</v>
      </c>
      <c r="D2489" t="s">
        <v>95</v>
      </c>
      <c r="E2489" t="s">
        <v>1347</v>
      </c>
      <c r="F2489" t="s">
        <v>1289</v>
      </c>
      <c r="G2489">
        <v>4.6738286887449476</v>
      </c>
      <c r="H2489">
        <v>5.1491405482143753</v>
      </c>
      <c r="I2489">
        <v>6.8936320902664887</v>
      </c>
      <c r="J2489">
        <v>10.439080019721876</v>
      </c>
      <c r="K2489">
        <v>8.1195011978106191</v>
      </c>
      <c r="L2489">
        <v>10.060623414523388</v>
      </c>
      <c r="M2489">
        <v>14.058094765003757</v>
      </c>
      <c r="N2489">
        <v>2.2492871699386265E-2</v>
      </c>
      <c r="O2489">
        <v>10.689150926235499</v>
      </c>
      <c r="P2489">
        <v>20.554735362482347</v>
      </c>
      <c r="Q2489">
        <v>9.9185035796014986</v>
      </c>
      <c r="R2489">
        <v>14.599035926988835</v>
      </c>
      <c r="S2489">
        <v>8.6413544676540912</v>
      </c>
      <c r="T2489">
        <v>22.101697340111233</v>
      </c>
      <c r="U2489">
        <f t="shared" ref="U2489:U2520" si="241">AVERAGE(G2489:T2489)</f>
        <v>10.422919371361312</v>
      </c>
      <c r="V2489" t="str">
        <f t="shared" si="237"/>
        <v>2016/17Expenditure driversTree CuttingBPDT</v>
      </c>
    </row>
    <row r="2490" spans="1:22">
      <c r="A2490" t="s">
        <v>139</v>
      </c>
      <c r="C2490" t="s">
        <v>1344</v>
      </c>
      <c r="D2490" t="s">
        <v>95</v>
      </c>
      <c r="E2490" t="s">
        <v>1347</v>
      </c>
      <c r="F2490" t="s">
        <v>1289</v>
      </c>
      <c r="G2490">
        <v>4.6675856926361314</v>
      </c>
      <c r="H2490">
        <v>5.1537330982562599</v>
      </c>
      <c r="I2490">
        <v>6.8933026703598097</v>
      </c>
      <c r="J2490">
        <v>10.446895700787653</v>
      </c>
      <c r="K2490">
        <v>8.1257703764224392</v>
      </c>
      <c r="L2490">
        <v>10.065935751915443</v>
      </c>
      <c r="M2490">
        <v>14.059303889359096</v>
      </c>
      <c r="N2490">
        <v>2.2749075984786364E-2</v>
      </c>
      <c r="O2490">
        <v>10.822651136508641</v>
      </c>
      <c r="P2490">
        <v>20.997542492167003</v>
      </c>
      <c r="Q2490">
        <v>10.508788316268225</v>
      </c>
      <c r="R2490">
        <v>14.192196067811732</v>
      </c>
      <c r="S2490">
        <v>8.6487328414829125</v>
      </c>
      <c r="T2490">
        <v>21.424547556834948</v>
      </c>
      <c r="U2490">
        <f t="shared" si="241"/>
        <v>10.430695333342507</v>
      </c>
      <c r="V2490" t="str">
        <f t="shared" si="237"/>
        <v>2017/18Expenditure driversTree CuttingBPDT</v>
      </c>
    </row>
    <row r="2491" spans="1:22">
      <c r="A2491" t="s">
        <v>140</v>
      </c>
      <c r="C2491" t="s">
        <v>1344</v>
      </c>
      <c r="D2491" t="s">
        <v>95</v>
      </c>
      <c r="E2491" t="s">
        <v>1347</v>
      </c>
      <c r="F2491" t="s">
        <v>1289</v>
      </c>
      <c r="G2491">
        <v>4.6638498894712326</v>
      </c>
      <c r="H2491">
        <v>5.1546805365824735</v>
      </c>
      <c r="I2491">
        <v>6.9145096962717574</v>
      </c>
      <c r="J2491">
        <v>10.518640219415012</v>
      </c>
      <c r="K2491">
        <v>8.1815494911861784</v>
      </c>
      <c r="L2491">
        <v>10.134725003522307</v>
      </c>
      <c r="M2491">
        <v>14.147582921687491</v>
      </c>
      <c r="N2491">
        <v>2.3008424472840593E-2</v>
      </c>
      <c r="O2491">
        <v>10.94041795028156</v>
      </c>
      <c r="P2491">
        <v>21.236265119669138</v>
      </c>
      <c r="Q2491">
        <v>9.5173808109278291</v>
      </c>
      <c r="R2491">
        <v>14.5046994516235</v>
      </c>
      <c r="S2491">
        <v>8.6318628902435925</v>
      </c>
      <c r="T2491">
        <v>19.43211673078579</v>
      </c>
      <c r="U2491">
        <f t="shared" si="241"/>
        <v>10.285806366867194</v>
      </c>
      <c r="V2491" t="str">
        <f t="shared" si="237"/>
        <v>2018/19Expenditure driversTree CuttingBPDT</v>
      </c>
    </row>
    <row r="2492" spans="1:22">
      <c r="A2492" t="s">
        <v>141</v>
      </c>
      <c r="C2492" t="s">
        <v>1344</v>
      </c>
      <c r="D2492" t="s">
        <v>95</v>
      </c>
      <c r="E2492" t="s">
        <v>1347</v>
      </c>
      <c r="F2492" t="s">
        <v>1289</v>
      </c>
      <c r="G2492">
        <v>4.6651746942809229</v>
      </c>
      <c r="H2492">
        <v>5.297358837277427</v>
      </c>
      <c r="I2492">
        <v>7.080024366511295</v>
      </c>
      <c r="J2492">
        <v>10.591105369497823</v>
      </c>
      <c r="K2492">
        <v>8.2397629673110675</v>
      </c>
      <c r="L2492">
        <v>10.204713374130785</v>
      </c>
      <c r="M2492">
        <v>14.239463819441111</v>
      </c>
      <c r="N2492">
        <v>2.3270956108731655E-2</v>
      </c>
      <c r="O2492">
        <v>11.129801706213138</v>
      </c>
      <c r="P2492">
        <v>21.437970673005694</v>
      </c>
      <c r="Q2492">
        <v>10.25588115299459</v>
      </c>
      <c r="R2492">
        <v>14.872967610014861</v>
      </c>
      <c r="S2492">
        <v>8.652167890544666</v>
      </c>
      <c r="T2492">
        <v>19.262596784696978</v>
      </c>
      <c r="U2492">
        <f t="shared" si="241"/>
        <v>10.425161443002077</v>
      </c>
      <c r="V2492" t="str">
        <f t="shared" si="237"/>
        <v>2019/20Expenditure driversTree CuttingBPDT</v>
      </c>
    </row>
    <row r="2493" spans="1:22">
      <c r="A2493" t="s">
        <v>126</v>
      </c>
      <c r="C2493" t="s">
        <v>1344</v>
      </c>
      <c r="D2493" t="s">
        <v>95</v>
      </c>
      <c r="E2493" t="s">
        <v>1347</v>
      </c>
      <c r="F2493" t="s">
        <v>1289</v>
      </c>
      <c r="G2493">
        <v>4.6638283709825084</v>
      </c>
      <c r="H2493">
        <v>5.4452836750066718</v>
      </c>
      <c r="I2493">
        <v>7.2663961237375343</v>
      </c>
      <c r="J2493">
        <v>10.664811603256121</v>
      </c>
      <c r="K2493">
        <v>8.2947786499176388</v>
      </c>
      <c r="L2493">
        <v>10.273826702211307</v>
      </c>
      <c r="M2493">
        <v>14.330602184859533</v>
      </c>
      <c r="N2493">
        <v>2.3536710322977394E-2</v>
      </c>
      <c r="O2493">
        <v>11.11791232128626</v>
      </c>
      <c r="P2493">
        <v>21.410198781034385</v>
      </c>
      <c r="Q2493">
        <v>10.858013075683257</v>
      </c>
      <c r="R2493">
        <v>14.733003382284268</v>
      </c>
      <c r="S2493">
        <v>8.6728016113938367</v>
      </c>
      <c r="T2493">
        <v>19.258749621351964</v>
      </c>
      <c r="U2493">
        <f t="shared" si="241"/>
        <v>10.500981629523448</v>
      </c>
      <c r="V2493" t="str">
        <f t="shared" si="237"/>
        <v>2020/21Expenditure driversTree CuttingBPDT</v>
      </c>
    </row>
    <row r="2494" spans="1:22">
      <c r="A2494" t="s">
        <v>142</v>
      </c>
      <c r="C2494" t="s">
        <v>1344</v>
      </c>
      <c r="D2494" t="s">
        <v>95</v>
      </c>
      <c r="E2494" t="s">
        <v>1347</v>
      </c>
      <c r="F2494" t="s">
        <v>1289</v>
      </c>
      <c r="G2494">
        <v>4.6501808381199918</v>
      </c>
      <c r="H2494">
        <v>5.4745967106476776</v>
      </c>
      <c r="I2494">
        <v>7.2951382244720753</v>
      </c>
      <c r="J2494">
        <v>10.736003540222338</v>
      </c>
      <c r="K2494">
        <v>8.3534035950544361</v>
      </c>
      <c r="L2494">
        <v>10.343745374352997</v>
      </c>
      <c r="M2494">
        <v>14.422539314528931</v>
      </c>
      <c r="N2494">
        <v>2.3805727037503013E-2</v>
      </c>
      <c r="O2494">
        <v>11.118859463036864</v>
      </c>
      <c r="P2494">
        <v>21.410568017632585</v>
      </c>
      <c r="Q2494">
        <v>9.9200512776685397</v>
      </c>
      <c r="R2494">
        <v>14.920157812980376</v>
      </c>
      <c r="S2494">
        <v>8.6937686380292956</v>
      </c>
      <c r="T2494">
        <v>19.0795879117189</v>
      </c>
      <c r="U2494">
        <f t="shared" si="241"/>
        <v>10.460171888964465</v>
      </c>
      <c r="V2494" t="str">
        <f t="shared" si="237"/>
        <v>2021/22Expenditure driversTree CuttingBPDT</v>
      </c>
    </row>
    <row r="2495" spans="1:22">
      <c r="A2495" t="s">
        <v>143</v>
      </c>
      <c r="C2495" t="s">
        <v>1344</v>
      </c>
      <c r="D2495" t="s">
        <v>95</v>
      </c>
      <c r="E2495" t="s">
        <v>1347</v>
      </c>
      <c r="F2495" t="s">
        <v>1289</v>
      </c>
      <c r="G2495">
        <v>4.650648145267902</v>
      </c>
      <c r="H2495">
        <v>5.456586164386545</v>
      </c>
      <c r="I2495">
        <v>7.288413916491276</v>
      </c>
      <c r="J2495">
        <v>10.812173198238026</v>
      </c>
      <c r="K2495">
        <v>8.4115312676429586</v>
      </c>
      <c r="L2495">
        <v>10.415807147290488</v>
      </c>
      <c r="M2495">
        <v>14.512494449159947</v>
      </c>
      <c r="N2495">
        <v>2.4078046671789487E-2</v>
      </c>
      <c r="O2495">
        <v>11.097586624057532</v>
      </c>
      <c r="P2495">
        <v>21.381088944033966</v>
      </c>
      <c r="Q2495">
        <v>10.654427892165343</v>
      </c>
      <c r="R2495">
        <v>15.486348677420743</v>
      </c>
      <c r="S2495">
        <v>8.7151575557447831</v>
      </c>
      <c r="T2495">
        <v>18.9030930780348</v>
      </c>
      <c r="U2495">
        <f t="shared" si="241"/>
        <v>10.557816793329007</v>
      </c>
      <c r="V2495" t="str">
        <f t="shared" si="237"/>
        <v>2022/23Expenditure driversTree CuttingBPDT</v>
      </c>
    </row>
    <row r="2496" spans="1:22">
      <c r="A2496" t="s">
        <v>137</v>
      </c>
      <c r="C2496" t="s">
        <v>1344</v>
      </c>
      <c r="D2496" t="s">
        <v>95</v>
      </c>
      <c r="E2496" t="s">
        <v>1348</v>
      </c>
      <c r="F2496" t="s">
        <v>1289</v>
      </c>
      <c r="G2496">
        <f t="array" ref="G2496:T2503">TRANSPOSE('Ch4 expenditure drivers'!N714:U727)</f>
        <v>5.8621170761486567</v>
      </c>
      <c r="H2496">
        <v>5.5184745088604137</v>
      </c>
      <c r="I2496">
        <v>6.4977823149147653</v>
      </c>
      <c r="J2496">
        <v>10.406321738142125</v>
      </c>
      <c r="K2496">
        <v>8.0911934337602016</v>
      </c>
      <c r="L2496">
        <v>10.026291909471082</v>
      </c>
      <c r="M2496">
        <v>14.012124307783045</v>
      </c>
      <c r="N2496">
        <v>2.1704465682830593E-2</v>
      </c>
      <c r="O2496">
        <v>9.6661785428823883</v>
      </c>
      <c r="P2496">
        <v>20.298852885211534</v>
      </c>
      <c r="Q2496">
        <v>8.4563014177895983</v>
      </c>
      <c r="R2496">
        <v>13.628293386253077</v>
      </c>
      <c r="S2496">
        <v>9.8548240362453967</v>
      </c>
      <c r="T2496">
        <v>18.834574981575297</v>
      </c>
      <c r="U2496">
        <f t="shared" si="241"/>
        <v>10.083931071765743</v>
      </c>
      <c r="V2496" t="str">
        <f t="shared" si="237"/>
        <v>2015/16Expenditure driversTree CuttingDNO Baseline</v>
      </c>
    </row>
    <row r="2497" spans="1:22">
      <c r="A2497" t="s">
        <v>138</v>
      </c>
      <c r="C2497" t="s">
        <v>1344</v>
      </c>
      <c r="D2497" t="s">
        <v>95</v>
      </c>
      <c r="E2497" t="s">
        <v>1348</v>
      </c>
      <c r="F2497" t="s">
        <v>1289</v>
      </c>
      <c r="G2497">
        <v>5.7924677416582506</v>
      </c>
      <c r="H2497">
        <v>5.3786454087124955</v>
      </c>
      <c r="I2497">
        <v>6.3467844875740296</v>
      </c>
      <c r="J2497">
        <v>10.439080019721876</v>
      </c>
      <c r="K2497">
        <v>8.1195011978106191</v>
      </c>
      <c r="L2497">
        <v>10.060623414523388</v>
      </c>
      <c r="M2497">
        <v>14.058094765003757</v>
      </c>
      <c r="N2497">
        <v>2.1494190600206305E-2</v>
      </c>
      <c r="O2497">
        <v>9.5896956160873419</v>
      </c>
      <c r="P2497">
        <v>20.215950239820856</v>
      </c>
      <c r="Q2497">
        <v>8.9595008982584279</v>
      </c>
      <c r="R2497">
        <v>13.916606607141132</v>
      </c>
      <c r="S2497">
        <v>9.6989764974493529</v>
      </c>
      <c r="T2497">
        <v>17.961536161264593</v>
      </c>
      <c r="U2497">
        <f t="shared" si="241"/>
        <v>10.03992551754474</v>
      </c>
      <c r="V2497" t="str">
        <f t="shared" si="237"/>
        <v>2016/17Expenditure driversTree CuttingDNO Baseline</v>
      </c>
    </row>
    <row r="2498" spans="1:22">
      <c r="A2498" t="s">
        <v>139</v>
      </c>
      <c r="C2498" t="s">
        <v>1344</v>
      </c>
      <c r="D2498" t="s">
        <v>95</v>
      </c>
      <c r="E2498" t="s">
        <v>1348</v>
      </c>
      <c r="F2498" t="s">
        <v>1289</v>
      </c>
      <c r="G2498">
        <v>5.6915696706524255</v>
      </c>
      <c r="H2498">
        <v>5.3367248997394885</v>
      </c>
      <c r="I2498">
        <v>6.2938106146101056</v>
      </c>
      <c r="J2498">
        <v>10.446895700787653</v>
      </c>
      <c r="K2498">
        <v>8.1257703764224392</v>
      </c>
      <c r="L2498">
        <v>10.065935751915443</v>
      </c>
      <c r="M2498">
        <v>14.059303889359096</v>
      </c>
      <c r="N2498">
        <v>2.1284691951784396E-2</v>
      </c>
      <c r="O2498">
        <v>9.5109519106321905</v>
      </c>
      <c r="P2498">
        <v>20.219800921589798</v>
      </c>
      <c r="Q2498">
        <v>9.3286806184196873</v>
      </c>
      <c r="R2498">
        <v>13.270366125874341</v>
      </c>
      <c r="S2498">
        <v>9.5393953269457263</v>
      </c>
      <c r="T2498">
        <v>17.326618918338475</v>
      </c>
      <c r="U2498">
        <f t="shared" si="241"/>
        <v>9.9455078155170469</v>
      </c>
      <c r="V2498" t="str">
        <f t="shared" si="237"/>
        <v>2017/18Expenditure driversTree CuttingDNO Baseline</v>
      </c>
    </row>
    <row r="2499" spans="1:22">
      <c r="A2499" t="s">
        <v>140</v>
      </c>
      <c r="C2499" t="s">
        <v>1344</v>
      </c>
      <c r="D2499" t="s">
        <v>95</v>
      </c>
      <c r="E2499" t="s">
        <v>1348</v>
      </c>
      <c r="F2499" t="s">
        <v>1289</v>
      </c>
      <c r="G2499">
        <v>5.5836927220559831</v>
      </c>
      <c r="H2499">
        <v>5.2927262621752593</v>
      </c>
      <c r="I2499">
        <v>6.2612939605370563</v>
      </c>
      <c r="J2499">
        <v>10.518640219415012</v>
      </c>
      <c r="K2499">
        <v>8.1815494911861784</v>
      </c>
      <c r="L2499">
        <v>10.134725003522307</v>
      </c>
      <c r="M2499">
        <v>14.147582921687491</v>
      </c>
      <c r="N2499">
        <v>2.1075979354026029E-2</v>
      </c>
      <c r="O2499">
        <v>9.4180924284541021</v>
      </c>
      <c r="P2499">
        <v>20.02052021972305</v>
      </c>
      <c r="Q2499">
        <v>8.2984559597449632</v>
      </c>
      <c r="R2499">
        <v>13.340020491256677</v>
      </c>
      <c r="S2499">
        <v>9.3790336516896957</v>
      </c>
      <c r="T2499">
        <v>15.694827852529279</v>
      </c>
      <c r="U2499">
        <f t="shared" si="241"/>
        <v>9.735159797380792</v>
      </c>
      <c r="V2499" t="str">
        <f t="shared" si="237"/>
        <v>2018/19Expenditure driversTree CuttingDNO Baseline</v>
      </c>
    </row>
    <row r="2500" spans="1:22">
      <c r="A2500" t="s">
        <v>141</v>
      </c>
      <c r="C2500" t="s">
        <v>1344</v>
      </c>
      <c r="D2500" t="s">
        <v>95</v>
      </c>
      <c r="E2500" t="s">
        <v>1348</v>
      </c>
      <c r="F2500" t="s">
        <v>1289</v>
      </c>
      <c r="G2500">
        <v>5.4863708210910902</v>
      </c>
      <c r="H2500">
        <v>5.392148339140717</v>
      </c>
      <c r="I2500">
        <v>6.3561751548961718</v>
      </c>
      <c r="J2500">
        <v>10.591105369497823</v>
      </c>
      <c r="K2500">
        <v>8.2397629673110675</v>
      </c>
      <c r="L2500">
        <v>10.204713374130785</v>
      </c>
      <c r="M2500">
        <v>14.239463819441111</v>
      </c>
      <c r="N2500">
        <v>2.0868062543226863E-2</v>
      </c>
      <c r="O2500">
        <v>9.3876077687843615</v>
      </c>
      <c r="P2500">
        <v>19.781887106228456</v>
      </c>
      <c r="Q2500">
        <v>8.7868774853000993</v>
      </c>
      <c r="R2500">
        <v>13.421025464190928</v>
      </c>
      <c r="S2500">
        <v>9.2246966810033122</v>
      </c>
      <c r="T2500">
        <v>15.454257546580147</v>
      </c>
      <c r="U2500">
        <f t="shared" si="241"/>
        <v>9.7562114257242349</v>
      </c>
      <c r="V2500" t="str">
        <f t="shared" si="237"/>
        <v>2019/20Expenditure driversTree CuttingDNO Baseline</v>
      </c>
    </row>
    <row r="2501" spans="1:22">
      <c r="A2501" t="s">
        <v>126</v>
      </c>
      <c r="C2501" t="s">
        <v>1344</v>
      </c>
      <c r="D2501" t="s">
        <v>95</v>
      </c>
      <c r="E2501" t="s">
        <v>1348</v>
      </c>
      <c r="F2501" t="s">
        <v>1289</v>
      </c>
      <c r="G2501">
        <v>5.3792692312666119</v>
      </c>
      <c r="H2501">
        <v>5.4940968313433354</v>
      </c>
      <c r="I2501">
        <v>6.4688633778422231</v>
      </c>
      <c r="J2501">
        <v>10.664811603256121</v>
      </c>
      <c r="K2501">
        <v>8.2947786499176388</v>
      </c>
      <c r="L2501">
        <v>10.273826702211307</v>
      </c>
      <c r="M2501">
        <v>14.330602184859533</v>
      </c>
      <c r="N2501">
        <v>2.066095137701637E-2</v>
      </c>
      <c r="O2501">
        <v>9.178636277415249</v>
      </c>
      <c r="P2501">
        <v>19.319525713772414</v>
      </c>
      <c r="Q2501">
        <v>9.1429443935182793</v>
      </c>
      <c r="R2501">
        <v>13.019364124357736</v>
      </c>
      <c r="S2501">
        <v>9.0744176465362205</v>
      </c>
      <c r="T2501">
        <v>15.347983079297519</v>
      </c>
      <c r="U2501">
        <f t="shared" si="241"/>
        <v>9.7149843404979404</v>
      </c>
      <c r="V2501" t="str">
        <f t="shared" si="237"/>
        <v>2020/21Expenditure driversTree CuttingDNO Baseline</v>
      </c>
    </row>
    <row r="2502" spans="1:22">
      <c r="A2502" t="s">
        <v>142</v>
      </c>
      <c r="C2502" t="s">
        <v>1344</v>
      </c>
      <c r="D2502" t="s">
        <v>95</v>
      </c>
      <c r="E2502" t="s">
        <v>1348</v>
      </c>
      <c r="F2502" t="s">
        <v>1289</v>
      </c>
      <c r="G2502">
        <v>5.2648399370871353</v>
      </c>
      <c r="H2502">
        <v>5.4759177588035444</v>
      </c>
      <c r="I2502">
        <v>6.4401837866849965</v>
      </c>
      <c r="J2502">
        <v>10.736003540222338</v>
      </c>
      <c r="K2502">
        <v>8.3534035950544361</v>
      </c>
      <c r="L2502">
        <v>10.343745374352997</v>
      </c>
      <c r="M2502">
        <v>14.422539314528931</v>
      </c>
      <c r="N2502">
        <v>2.045465583587585E-2</v>
      </c>
      <c r="O2502">
        <v>8.9819325745833485</v>
      </c>
      <c r="P2502">
        <v>18.888431644499168</v>
      </c>
      <c r="Q2502">
        <v>8.1431990960802061</v>
      </c>
      <c r="R2502">
        <v>12.920608461134041</v>
      </c>
      <c r="S2502">
        <v>8.9250315246890519</v>
      </c>
      <c r="T2502">
        <v>15.116585621246953</v>
      </c>
      <c r="U2502">
        <f t="shared" si="241"/>
        <v>9.5737769203430734</v>
      </c>
      <c r="V2502" t="str">
        <f t="shared" si="237"/>
        <v>2021/22Expenditure driversTree CuttingDNO Baseline</v>
      </c>
    </row>
    <row r="2503" spans="1:22">
      <c r="A2503" t="s">
        <v>143</v>
      </c>
      <c r="C2503" t="s">
        <v>1344</v>
      </c>
      <c r="D2503" t="s">
        <v>95</v>
      </c>
      <c r="E2503" t="s">
        <v>1348</v>
      </c>
      <c r="F2503" t="s">
        <v>1289</v>
      </c>
      <c r="G2503">
        <v>5.15788634129495</v>
      </c>
      <c r="H2503">
        <v>5.4117600681936313</v>
      </c>
      <c r="I2503">
        <v>6.3813270042134649</v>
      </c>
      <c r="J2503">
        <v>10.812173198238026</v>
      </c>
      <c r="K2503">
        <v>8.4115312676429586</v>
      </c>
      <c r="L2503">
        <v>10.415807147290488</v>
      </c>
      <c r="M2503">
        <v>14.512494449159947</v>
      </c>
      <c r="N2503">
        <v>2.0249186024675535E-2</v>
      </c>
      <c r="O2503">
        <v>8.766637983632048</v>
      </c>
      <c r="P2503">
        <v>18.429944044509675</v>
      </c>
      <c r="Q2503">
        <v>8.6113601157364084</v>
      </c>
      <c r="R2503">
        <v>13.17115425157083</v>
      </c>
      <c r="S2503">
        <v>8.7724856567167997</v>
      </c>
      <c r="T2503">
        <v>14.886857033866008</v>
      </c>
      <c r="U2503">
        <f t="shared" si="241"/>
        <v>9.5544048391492797</v>
      </c>
      <c r="V2503" t="str">
        <f t="shared" si="237"/>
        <v>2022/23Expenditure driversTree CuttingDNO Baseline</v>
      </c>
    </row>
    <row r="2504" spans="1:22">
      <c r="A2504" t="s">
        <v>137</v>
      </c>
      <c r="C2504" t="s">
        <v>1344</v>
      </c>
      <c r="D2504" t="s">
        <v>95</v>
      </c>
      <c r="E2504" t="s">
        <v>1349</v>
      </c>
      <c r="F2504" t="s">
        <v>1289</v>
      </c>
      <c r="G2504" cm="1">
        <f t="array" ref="G2504:T2510">TRANSPOSE('Ch4 expenditure drivers'!W714:AC727)</f>
        <v>4.2228747260188113</v>
      </c>
      <c r="H2504">
        <v>5.5279865302721207</v>
      </c>
      <c r="I2504">
        <v>8.5056446824118996</v>
      </c>
      <c r="J2504">
        <v>18.029036614463077</v>
      </c>
      <c r="K2504">
        <v>12.721792933050153</v>
      </c>
      <c r="L2504">
        <v>12.598257091426303</v>
      </c>
      <c r="M2504">
        <v>17.396964881106104</v>
      </c>
      <c r="N2504">
        <v>-8.4450000839044609E-4</v>
      </c>
      <c r="O2504">
        <v>2.8724312103968948</v>
      </c>
      <c r="P2504">
        <v>7.8817890471145224</v>
      </c>
      <c r="Q2504">
        <v>3.7557856399968497</v>
      </c>
      <c r="R2504">
        <v>13.206237323252008</v>
      </c>
      <c r="S2504">
        <v>8.0082409176935858</v>
      </c>
      <c r="T2504">
        <v>21.606778513142121</v>
      </c>
      <c r="U2504">
        <f t="shared" si="241"/>
        <v>9.738069686452576</v>
      </c>
      <c r="V2504" t="str">
        <f t="shared" si="237"/>
        <v>2015/16Expenditure driversTree CuttingDNO Actual</v>
      </c>
    </row>
    <row r="2505" spans="1:22">
      <c r="A2505" t="s">
        <v>138</v>
      </c>
      <c r="C2505" t="s">
        <v>1344</v>
      </c>
      <c r="D2505" t="s">
        <v>95</v>
      </c>
      <c r="E2505" t="s">
        <v>1349</v>
      </c>
      <c r="F2505" t="s">
        <v>1289</v>
      </c>
      <c r="G2505">
        <v>4.6909131355504021</v>
      </c>
      <c r="H2505">
        <v>4.853341736139889</v>
      </c>
      <c r="I2505">
        <v>7.0420423383522017</v>
      </c>
      <c r="J2505">
        <v>21.643160004830332</v>
      </c>
      <c r="K2505">
        <v>10.535071156865113</v>
      </c>
      <c r="L2505">
        <v>9.6591055880932259</v>
      </c>
      <c r="M2505">
        <v>14.927815383105903</v>
      </c>
      <c r="N2505">
        <v>0</v>
      </c>
      <c r="O2505">
        <v>6.9428587298028566</v>
      </c>
      <c r="P2505">
        <v>12.648345142959805</v>
      </c>
      <c r="Q2505">
        <v>3.8500760239530769</v>
      </c>
      <c r="R2505">
        <v>13.369812060657196</v>
      </c>
      <c r="S2505">
        <v>7.8009022374997468</v>
      </c>
      <c r="T2505">
        <v>23.592025650289905</v>
      </c>
      <c r="U2505">
        <f t="shared" si="241"/>
        <v>10.111104942007117</v>
      </c>
      <c r="V2505" t="str">
        <f t="shared" si="237"/>
        <v>2016/17Expenditure driversTree CuttingDNO Actual</v>
      </c>
    </row>
    <row r="2506" spans="1:22">
      <c r="A2506" t="s">
        <v>139</v>
      </c>
      <c r="C2506" t="s">
        <v>1344</v>
      </c>
      <c r="D2506" t="s">
        <v>95</v>
      </c>
      <c r="E2506" t="s">
        <v>1349</v>
      </c>
      <c r="F2506" t="s">
        <v>1289</v>
      </c>
      <c r="G2506">
        <v>5.0684352535143633</v>
      </c>
      <c r="H2506">
        <v>4.0160432207859502</v>
      </c>
      <c r="I2506">
        <v>5.7758808919402949</v>
      </c>
      <c r="J2506">
        <v>18.851166535713766</v>
      </c>
      <c r="K2506">
        <v>15.109229785964759</v>
      </c>
      <c r="L2506">
        <v>8.654219113303359</v>
      </c>
      <c r="M2506">
        <v>14.541034913498335</v>
      </c>
      <c r="N2506">
        <v>0</v>
      </c>
      <c r="O2506">
        <v>5.9157091981176189</v>
      </c>
      <c r="P2506">
        <v>10.804661179078439</v>
      </c>
      <c r="Q2506">
        <v>4.0121084254483286</v>
      </c>
      <c r="R2506">
        <v>10.994986301206035</v>
      </c>
      <c r="S2506">
        <v>8.1089434451464708</v>
      </c>
      <c r="T2506">
        <v>11.971279890405716</v>
      </c>
      <c r="U2506">
        <f t="shared" si="241"/>
        <v>8.8445498681516739</v>
      </c>
      <c r="V2506" t="str">
        <f t="shared" si="237"/>
        <v>2017/18Expenditure driversTree CuttingDNO Actual</v>
      </c>
    </row>
    <row r="2507" spans="1:22">
      <c r="A2507" t="s">
        <v>140</v>
      </c>
      <c r="C2507" t="s">
        <v>1344</v>
      </c>
      <c r="D2507" t="s">
        <v>95</v>
      </c>
      <c r="E2507" t="s">
        <v>1349</v>
      </c>
      <c r="F2507" t="s">
        <v>1289</v>
      </c>
      <c r="G2507">
        <v>4.5480137657385606</v>
      </c>
      <c r="H2507">
        <v>3.8399966819960243</v>
      </c>
      <c r="I2507">
        <v>3.9765847184095304</v>
      </c>
      <c r="J2507">
        <v>15.917704032360541</v>
      </c>
      <c r="K2507">
        <v>10.438270828921175</v>
      </c>
      <c r="L2507">
        <v>9.3520492538156361</v>
      </c>
      <c r="M2507">
        <v>13.288366872802746</v>
      </c>
      <c r="N2507">
        <v>0</v>
      </c>
      <c r="O2507">
        <v>5.037446946938668</v>
      </c>
      <c r="P2507">
        <v>10.920045239892485</v>
      </c>
      <c r="Q2507">
        <v>3.6633182748479989</v>
      </c>
      <c r="R2507">
        <v>10.206173347965324</v>
      </c>
      <c r="S2507">
        <v>8.7567247674778823</v>
      </c>
      <c r="T2507">
        <v>13.672898402817651</v>
      </c>
      <c r="U2507">
        <f>AVERAGE(G2507:T2507)</f>
        <v>8.115542366713159</v>
      </c>
      <c r="V2507" t="str">
        <f t="shared" si="237"/>
        <v>2018/19Expenditure driversTree CuttingDNO Actual</v>
      </c>
    </row>
    <row r="2508" spans="1:22">
      <c r="A2508" t="s">
        <v>141</v>
      </c>
      <c r="C2508" t="s">
        <v>1344</v>
      </c>
      <c r="D2508" t="s">
        <v>95</v>
      </c>
      <c r="E2508" t="s">
        <v>1349</v>
      </c>
      <c r="F2508" t="s">
        <v>1289</v>
      </c>
      <c r="G2508">
        <v>5.5173205394970086</v>
      </c>
      <c r="H2508">
        <v>4.0455227371032834</v>
      </c>
      <c r="I2508">
        <v>3.6623884172354688</v>
      </c>
      <c r="J2508">
        <v>14.011863061773592</v>
      </c>
      <c r="K2508">
        <v>11.38142697201368</v>
      </c>
      <c r="L2508">
        <v>10.096720701068667</v>
      </c>
      <c r="M2508">
        <v>15.000016301842129</v>
      </c>
      <c r="N2508">
        <v>0</v>
      </c>
      <c r="O2508">
        <v>5.419275644114915</v>
      </c>
      <c r="P2508">
        <v>14.486899926259261</v>
      </c>
      <c r="Q2508">
        <v>5.1875055526223113</v>
      </c>
      <c r="R2508">
        <v>11.558352771023873</v>
      </c>
      <c r="S2508">
        <v>8.2331960685747418</v>
      </c>
      <c r="T2508">
        <v>23.457530117131896</v>
      </c>
      <c r="U2508">
        <f>AVERAGE(G2508:T2508)</f>
        <v>9.4327156293043437</v>
      </c>
      <c r="V2508" t="str">
        <f t="shared" si="237"/>
        <v>2019/20Expenditure driversTree CuttingDNO Actual</v>
      </c>
    </row>
    <row r="2509" spans="1:22">
      <c r="A2509" t="s">
        <v>126</v>
      </c>
      <c r="C2509" t="s">
        <v>1344</v>
      </c>
      <c r="D2509" t="s">
        <v>95</v>
      </c>
      <c r="E2509" t="s">
        <v>1349</v>
      </c>
      <c r="F2509" t="s">
        <v>1289</v>
      </c>
      <c r="G2509">
        <v>5.5527790014576928</v>
      </c>
      <c r="H2509">
        <v>4.3220309639871939</v>
      </c>
      <c r="I2509">
        <v>4.7546320269921871</v>
      </c>
      <c r="J2509">
        <v>14.337932840869307</v>
      </c>
      <c r="K2509">
        <v>14.641509877042633</v>
      </c>
      <c r="L2509">
        <v>9.1422171555612994</v>
      </c>
      <c r="M2509">
        <v>12.594744842215478</v>
      </c>
      <c r="N2509">
        <v>0</v>
      </c>
      <c r="O2509">
        <v>5.4663783455013943</v>
      </c>
      <c r="P2509">
        <v>10.802782025002855</v>
      </c>
      <c r="Q2509">
        <v>4.9963826697956826</v>
      </c>
      <c r="R2509">
        <v>9.7197263003186212</v>
      </c>
      <c r="S2509">
        <v>7.6394259518643457</v>
      </c>
      <c r="T2509">
        <v>21.630439936174685</v>
      </c>
      <c r="U2509">
        <f>AVERAGE(G2509:T2509)</f>
        <v>8.9714987097702412</v>
      </c>
      <c r="V2509" t="str">
        <f t="shared" si="237"/>
        <v>2020/21Expenditure driversTree CuttingDNO Actual</v>
      </c>
    </row>
    <row r="2510" spans="1:22">
      <c r="A2510" t="s">
        <v>142</v>
      </c>
      <c r="C2510" t="s">
        <v>1344</v>
      </c>
      <c r="D2510" t="s">
        <v>95</v>
      </c>
      <c r="E2510" t="s">
        <v>1349</v>
      </c>
      <c r="F2510" t="s">
        <v>1289</v>
      </c>
      <c r="G2510">
        <v>5.2653743248595291</v>
      </c>
      <c r="H2510">
        <v>4.1973049249227943</v>
      </c>
      <c r="I2510">
        <v>5.2260543766859593</v>
      </c>
      <c r="J2510">
        <v>13.915299999999998</v>
      </c>
      <c r="K2510">
        <v>9.6685000000000016</v>
      </c>
      <c r="L2510">
        <v>8.8666</v>
      </c>
      <c r="M2510">
        <v>12.776199999999999</v>
      </c>
      <c r="N2510">
        <v>0</v>
      </c>
      <c r="O2510">
        <v>7.1232128079946015</v>
      </c>
      <c r="P2510">
        <v>12.459990018666339</v>
      </c>
      <c r="Q2510">
        <v>5.3029252269618903</v>
      </c>
      <c r="R2510">
        <v>10.706592090341562</v>
      </c>
      <c r="S2510">
        <v>8.0388984800000003</v>
      </c>
      <c r="T2510">
        <v>15.647180349999999</v>
      </c>
      <c r="U2510">
        <f>AVERAGE(G2510:T2510)</f>
        <v>8.5138666143166191</v>
      </c>
      <c r="V2510" t="str">
        <f t="shared" ref="V2510" si="242">CONCATENATE(A2510,B2510,C2510,D2510,E2510)</f>
        <v>2021/22Expenditure driversTree CuttingDNO Actual</v>
      </c>
    </row>
    <row r="2511" spans="1:22">
      <c r="A2511" t="s">
        <v>137</v>
      </c>
      <c r="C2511" t="s">
        <v>1344</v>
      </c>
      <c r="D2511" t="s">
        <v>95</v>
      </c>
      <c r="E2511" t="s">
        <v>297</v>
      </c>
      <c r="F2511" t="s">
        <v>1289</v>
      </c>
      <c r="G2511">
        <f t="array" ref="G2511:T2514">TRANSPOSE('Ch4 expenditure drivers'!AF714:AI727)</f>
        <v>5.8621170761486567</v>
      </c>
      <c r="H2511">
        <v>5.5184745088604137</v>
      </c>
      <c r="I2511">
        <v>6.4977823149147653</v>
      </c>
      <c r="J2511">
        <v>10.406321738142125</v>
      </c>
      <c r="K2511">
        <v>8.0911934337602016</v>
      </c>
      <c r="L2511">
        <v>10.026291909471082</v>
      </c>
      <c r="M2511">
        <v>14.012124307783045</v>
      </c>
      <c r="N2511">
        <v>2.1704465682830593E-2</v>
      </c>
      <c r="O2511">
        <v>9.6661785428823883</v>
      </c>
      <c r="P2511">
        <v>20.298852885211534</v>
      </c>
      <c r="Q2511">
        <v>8.4563014177895983</v>
      </c>
      <c r="R2511">
        <v>13.628293386253077</v>
      </c>
      <c r="S2511">
        <v>9.8548240362453967</v>
      </c>
      <c r="T2511">
        <v>18.834574981575297</v>
      </c>
      <c r="U2511">
        <f t="shared" si="241"/>
        <v>10.083931071765743</v>
      </c>
      <c r="V2511" t="str">
        <f t="shared" si="237"/>
        <v>2015/16Expenditure driversTree CuttingAllowance</v>
      </c>
    </row>
    <row r="2512" spans="1:22">
      <c r="A2512" t="s">
        <v>137</v>
      </c>
      <c r="C2512" t="s">
        <v>1344</v>
      </c>
      <c r="D2512" t="s">
        <v>95</v>
      </c>
      <c r="E2512" t="s">
        <v>298</v>
      </c>
      <c r="F2512" t="s">
        <v>1289</v>
      </c>
      <c r="G2512">
        <v>4.2228747260188113</v>
      </c>
      <c r="H2512">
        <v>5.5279865302721207</v>
      </c>
      <c r="I2512">
        <v>8.5056446824118996</v>
      </c>
      <c r="J2512">
        <v>18.029036614463077</v>
      </c>
      <c r="K2512">
        <v>12.721792933050153</v>
      </c>
      <c r="L2512">
        <v>12.598257091426303</v>
      </c>
      <c r="M2512">
        <v>17.396964881106104</v>
      </c>
      <c r="N2512">
        <v>-8.4450000839044609E-4</v>
      </c>
      <c r="O2512">
        <v>2.8724312103968948</v>
      </c>
      <c r="P2512">
        <v>7.8817890471145224</v>
      </c>
      <c r="Q2512">
        <v>3.7557856399968497</v>
      </c>
      <c r="R2512">
        <v>13.206237323252008</v>
      </c>
      <c r="S2512">
        <v>8.0082409176935858</v>
      </c>
      <c r="T2512">
        <v>21.606778513142121</v>
      </c>
      <c r="U2512">
        <f t="shared" si="241"/>
        <v>9.738069686452576</v>
      </c>
      <c r="V2512" t="str">
        <f t="shared" si="237"/>
        <v>2015/16Expenditure driversTree CuttingActual</v>
      </c>
    </row>
    <row r="2513" spans="1:22">
      <c r="A2513" t="s">
        <v>137</v>
      </c>
      <c r="C2513" t="s">
        <v>1344</v>
      </c>
      <c r="D2513" t="s">
        <v>95</v>
      </c>
      <c r="E2513" t="s">
        <v>602</v>
      </c>
      <c r="F2513" t="s">
        <v>1289</v>
      </c>
      <c r="G2513">
        <v>-1.6392423501298454</v>
      </c>
      <c r="H2513">
        <v>9.512021411707039E-3</v>
      </c>
      <c r="I2513">
        <v>2.0078623674971343</v>
      </c>
      <c r="J2513">
        <v>7.622714876320952</v>
      </c>
      <c r="K2513">
        <v>4.6305994992899517</v>
      </c>
      <c r="L2513">
        <v>2.5719651819552212</v>
      </c>
      <c r="M2513">
        <v>3.3848405733230589</v>
      </c>
      <c r="N2513">
        <v>-2.2548965691221039E-2</v>
      </c>
      <c r="O2513">
        <v>-6.7937473324854931</v>
      </c>
      <c r="P2513">
        <v>-12.417063838097011</v>
      </c>
      <c r="Q2513">
        <v>-4.7005157777927487</v>
      </c>
      <c r="R2513">
        <v>-0.42205606300106879</v>
      </c>
      <c r="S2513">
        <v>-1.8465831185518109</v>
      </c>
      <c r="T2513">
        <v>2.7722035315668236</v>
      </c>
      <c r="U2513">
        <f>U2512-U2511</f>
        <v>-0.34586138531316735</v>
      </c>
      <c r="V2513" t="str">
        <f t="shared" ref="V2513:V2581" si="243">CONCATENATE(A2513,B2513,C2513,D2513,E2513)</f>
        <v>2015/16Expenditure driversTree CuttingDifference</v>
      </c>
    </row>
    <row r="2514" spans="1:22">
      <c r="A2514" t="s">
        <v>137</v>
      </c>
      <c r="C2514" t="s">
        <v>1344</v>
      </c>
      <c r="D2514" t="s">
        <v>95</v>
      </c>
      <c r="E2514" t="s">
        <v>1346</v>
      </c>
      <c r="F2514" t="s">
        <v>606</v>
      </c>
      <c r="G2514" s="829">
        <v>-0.27963316474852951</v>
      </c>
      <c r="H2514" s="829">
        <v>1.7236686327778848E-3</v>
      </c>
      <c r="I2514" s="829">
        <v>0.30900733053004292</v>
      </c>
      <c r="J2514" s="829">
        <v>0.73250809153646834</v>
      </c>
      <c r="K2514" s="829">
        <v>0.57230117376368095</v>
      </c>
      <c r="L2514" s="829">
        <v>0.25652207268428717</v>
      </c>
      <c r="M2514" s="829">
        <v>0.24156512595616544</v>
      </c>
      <c r="N2514" s="829">
        <v>-1.0389090439143356</v>
      </c>
      <c r="O2514" s="829">
        <v>-0.70283693833567906</v>
      </c>
      <c r="P2514" s="829">
        <v>-0.61171258830804676</v>
      </c>
      <c r="Q2514" s="829">
        <v>-0.55585953545887457</v>
      </c>
      <c r="R2514" s="829">
        <v>-3.0969106038383258E-2</v>
      </c>
      <c r="S2514" s="829">
        <v>-0.18737859872080914</v>
      </c>
      <c r="T2514" s="829">
        <v>0.14718694391982295</v>
      </c>
      <c r="U2514" s="829">
        <f>U2513/U2511</f>
        <v>-3.4298269479603398E-2</v>
      </c>
      <c r="V2514" t="str">
        <f t="shared" si="243"/>
        <v>2015/16Expenditure driversTree CuttingDifference %</v>
      </c>
    </row>
    <row r="2515" spans="1:22">
      <c r="A2515" t="s">
        <v>138</v>
      </c>
      <c r="C2515" t="s">
        <v>1344</v>
      </c>
      <c r="D2515" t="s">
        <v>95</v>
      </c>
      <c r="E2515" t="s">
        <v>297</v>
      </c>
      <c r="F2515" t="s">
        <v>1289</v>
      </c>
      <c r="G2515">
        <f t="array" ref="G2515:T2518">TRANSPOSE('Ch4 expenditure drivers'!AK714:AN727)</f>
        <v>5.7924677416582506</v>
      </c>
      <c r="H2515">
        <v>5.3786454087124955</v>
      </c>
      <c r="I2515">
        <v>6.3467844875740296</v>
      </c>
      <c r="J2515">
        <v>10.439080019721876</v>
      </c>
      <c r="K2515">
        <v>8.1195011978106191</v>
      </c>
      <c r="L2515">
        <v>10.060623414523388</v>
      </c>
      <c r="M2515">
        <v>14.058094765003757</v>
      </c>
      <c r="N2515">
        <v>2.1494190600206305E-2</v>
      </c>
      <c r="O2515">
        <v>9.5896956160873419</v>
      </c>
      <c r="P2515">
        <v>20.215950239820856</v>
      </c>
      <c r="Q2515">
        <v>8.9595008982584279</v>
      </c>
      <c r="R2515">
        <v>13.916606607141132</v>
      </c>
      <c r="S2515">
        <v>9.6989764974493529</v>
      </c>
      <c r="T2515">
        <v>17.961536161264593</v>
      </c>
      <c r="U2515">
        <f t="shared" si="241"/>
        <v>10.03992551754474</v>
      </c>
      <c r="V2515" t="str">
        <f t="shared" si="243"/>
        <v>2016/17Expenditure driversTree CuttingAllowance</v>
      </c>
    </row>
    <row r="2516" spans="1:22">
      <c r="A2516" t="s">
        <v>138</v>
      </c>
      <c r="C2516" t="s">
        <v>1344</v>
      </c>
      <c r="D2516" t="s">
        <v>95</v>
      </c>
      <c r="E2516" t="s">
        <v>298</v>
      </c>
      <c r="F2516" t="s">
        <v>1289</v>
      </c>
      <c r="G2516">
        <v>4.6909131355504021</v>
      </c>
      <c r="H2516">
        <v>4.853341736139889</v>
      </c>
      <c r="I2516">
        <v>7.0420423383522017</v>
      </c>
      <c r="J2516">
        <v>21.643160004830332</v>
      </c>
      <c r="K2516">
        <v>10.535071156865113</v>
      </c>
      <c r="L2516">
        <v>9.6591055880932259</v>
      </c>
      <c r="M2516">
        <v>14.927815383105903</v>
      </c>
      <c r="N2516">
        <v>0</v>
      </c>
      <c r="O2516">
        <v>6.9428587298028566</v>
      </c>
      <c r="P2516">
        <v>12.648345142959805</v>
      </c>
      <c r="Q2516">
        <v>3.8500760239530769</v>
      </c>
      <c r="R2516">
        <v>13.369812060657196</v>
      </c>
      <c r="S2516">
        <v>7.8009022374997468</v>
      </c>
      <c r="T2516">
        <v>23.592025650289905</v>
      </c>
      <c r="U2516">
        <f t="shared" si="241"/>
        <v>10.111104942007117</v>
      </c>
      <c r="V2516" t="str">
        <f t="shared" si="243"/>
        <v>2016/17Expenditure driversTree CuttingActual</v>
      </c>
    </row>
    <row r="2517" spans="1:22">
      <c r="A2517" t="s">
        <v>138</v>
      </c>
      <c r="C2517" t="s">
        <v>1344</v>
      </c>
      <c r="D2517" t="s">
        <v>95</v>
      </c>
      <c r="E2517" t="s">
        <v>602</v>
      </c>
      <c r="F2517" t="s">
        <v>1289</v>
      </c>
      <c r="G2517">
        <v>-1.1015546061078485</v>
      </c>
      <c r="H2517">
        <v>-0.52530367257260657</v>
      </c>
      <c r="I2517">
        <v>0.69525785077817215</v>
      </c>
      <c r="J2517">
        <v>11.204079985108455</v>
      </c>
      <c r="K2517">
        <v>2.4155699590544941</v>
      </c>
      <c r="L2517">
        <v>-0.40151782643016176</v>
      </c>
      <c r="M2517">
        <v>0.8697206181021464</v>
      </c>
      <c r="N2517">
        <v>-2.1494190600206305E-2</v>
      </c>
      <c r="O2517">
        <v>-2.6468368862844853</v>
      </c>
      <c r="P2517">
        <v>-7.5676050968610511</v>
      </c>
      <c r="Q2517">
        <v>-5.1094248743053505</v>
      </c>
      <c r="R2517">
        <v>-0.54679454648393566</v>
      </c>
      <c r="S2517">
        <v>-1.8980742599496061</v>
      </c>
      <c r="T2517">
        <v>5.6304894890253117</v>
      </c>
      <c r="U2517">
        <f>U2516-U2515</f>
        <v>7.1179424462377128E-2</v>
      </c>
      <c r="V2517" t="str">
        <f t="shared" si="243"/>
        <v>2016/17Expenditure driversTree CuttingDifference</v>
      </c>
    </row>
    <row r="2518" spans="1:22">
      <c r="A2518" t="s">
        <v>138</v>
      </c>
      <c r="C2518" t="s">
        <v>1344</v>
      </c>
      <c r="D2518" t="s">
        <v>95</v>
      </c>
      <c r="E2518" t="s">
        <v>1346</v>
      </c>
      <c r="F2518" t="s">
        <v>606</v>
      </c>
      <c r="G2518" s="829">
        <v>-0.19017017534438591</v>
      </c>
      <c r="H2518" s="829">
        <v>-9.7664678121689066E-2</v>
      </c>
      <c r="I2518" s="829">
        <v>0.1095448966542623</v>
      </c>
      <c r="J2518" s="829">
        <v>1.0732823164437206</v>
      </c>
      <c r="K2518" s="829">
        <v>0.29750226032429677</v>
      </c>
      <c r="L2518" s="829">
        <v>-3.9909835592348654E-2</v>
      </c>
      <c r="M2518" s="829">
        <v>6.1866179780437264E-2</v>
      </c>
      <c r="N2518" s="829">
        <v>-1</v>
      </c>
      <c r="O2518" s="829">
        <v>-0.27600843574682843</v>
      </c>
      <c r="P2518" s="829">
        <v>-0.37433833221228346</v>
      </c>
      <c r="Q2518" s="829">
        <v>-0.57028007835777261</v>
      </c>
      <c r="R2518" s="829">
        <v>-3.9290795660154317E-2</v>
      </c>
      <c r="S2518" s="829">
        <v>-0.19569840801746077</v>
      </c>
      <c r="T2518" s="829">
        <v>0.31347482968455043</v>
      </c>
      <c r="U2518" s="829">
        <f>U2517/U2515</f>
        <v>7.089636704773486E-3</v>
      </c>
      <c r="V2518" t="str">
        <f t="shared" si="243"/>
        <v>2016/17Expenditure driversTree CuttingDifference %</v>
      </c>
    </row>
    <row r="2519" spans="1:22">
      <c r="A2519" t="s">
        <v>139</v>
      </c>
      <c r="C2519" t="s">
        <v>1344</v>
      </c>
      <c r="D2519" t="s">
        <v>95</v>
      </c>
      <c r="E2519" t="s">
        <v>297</v>
      </c>
      <c r="F2519" t="s">
        <v>1289</v>
      </c>
      <c r="G2519">
        <f t="array" ref="G2519:T2522">TRANSPOSE('Ch4 expenditure drivers'!AP714:AS727)</f>
        <v>5.6915696706524255</v>
      </c>
      <c r="H2519">
        <v>5.3367248997394885</v>
      </c>
      <c r="I2519">
        <v>6.2938106146101056</v>
      </c>
      <c r="J2519">
        <v>10.446895700787653</v>
      </c>
      <c r="K2519">
        <v>8.1257703764224392</v>
      </c>
      <c r="L2519">
        <v>10.065935751915443</v>
      </c>
      <c r="M2519">
        <v>14.059303889359096</v>
      </c>
      <c r="N2519">
        <v>2.1284691951784396E-2</v>
      </c>
      <c r="O2519">
        <v>9.5109519106321905</v>
      </c>
      <c r="P2519">
        <v>20.219800921589798</v>
      </c>
      <c r="Q2519">
        <v>9.3286806184196873</v>
      </c>
      <c r="R2519">
        <v>13.270366125874341</v>
      </c>
      <c r="S2519">
        <v>9.5393953269457263</v>
      </c>
      <c r="T2519">
        <v>17.326618918338475</v>
      </c>
      <c r="U2519">
        <f t="shared" si="241"/>
        <v>9.9455078155170469</v>
      </c>
      <c r="V2519" t="str">
        <f t="shared" si="243"/>
        <v>2017/18Expenditure driversTree CuttingAllowance</v>
      </c>
    </row>
    <row r="2520" spans="1:22">
      <c r="A2520" t="s">
        <v>139</v>
      </c>
      <c r="C2520" t="s">
        <v>1344</v>
      </c>
      <c r="D2520" t="s">
        <v>95</v>
      </c>
      <c r="E2520" t="s">
        <v>298</v>
      </c>
      <c r="F2520" t="s">
        <v>1289</v>
      </c>
      <c r="G2520">
        <v>5.0684352535143633</v>
      </c>
      <c r="H2520">
        <v>4.0160432207859502</v>
      </c>
      <c r="I2520">
        <v>5.7758808919402949</v>
      </c>
      <c r="J2520">
        <v>18.851166535713766</v>
      </c>
      <c r="K2520">
        <v>15.109229785964759</v>
      </c>
      <c r="L2520">
        <v>8.654219113303359</v>
      </c>
      <c r="M2520">
        <v>14.541034913498335</v>
      </c>
      <c r="N2520">
        <v>0</v>
      </c>
      <c r="O2520">
        <v>5.9157091981176189</v>
      </c>
      <c r="P2520">
        <v>10.804661179078439</v>
      </c>
      <c r="Q2520">
        <v>4.0121084254483286</v>
      </c>
      <c r="R2520">
        <v>10.994986301206035</v>
      </c>
      <c r="S2520">
        <v>8.1089434451464708</v>
      </c>
      <c r="T2520">
        <v>11.971279890405716</v>
      </c>
      <c r="U2520">
        <f t="shared" si="241"/>
        <v>8.8445498681516739</v>
      </c>
      <c r="V2520" t="str">
        <f t="shared" si="243"/>
        <v>2017/18Expenditure driversTree CuttingActual</v>
      </c>
    </row>
    <row r="2521" spans="1:22">
      <c r="A2521" t="s">
        <v>139</v>
      </c>
      <c r="C2521" t="s">
        <v>1344</v>
      </c>
      <c r="D2521" t="s">
        <v>95</v>
      </c>
      <c r="E2521" t="s">
        <v>602</v>
      </c>
      <c r="F2521" t="s">
        <v>1289</v>
      </c>
      <c r="G2521">
        <v>-0.62313441713806217</v>
      </c>
      <c r="H2521">
        <v>-1.3206816789535383</v>
      </c>
      <c r="I2521">
        <v>-0.51792972266981074</v>
      </c>
      <c r="J2521">
        <v>8.4042708349261126</v>
      </c>
      <c r="K2521">
        <v>6.9834594095423199</v>
      </c>
      <c r="L2521">
        <v>-1.4117166386120843</v>
      </c>
      <c r="M2521">
        <v>0.48173102413923807</v>
      </c>
      <c r="N2521">
        <v>-2.1284691951784396E-2</v>
      </c>
      <c r="O2521">
        <v>-3.5952427125145716</v>
      </c>
      <c r="P2521">
        <v>-9.415139742511359</v>
      </c>
      <c r="Q2521">
        <v>-5.3165721929713587</v>
      </c>
      <c r="R2521">
        <v>-2.2753798246683061</v>
      </c>
      <c r="S2521">
        <v>-1.4304518817992555</v>
      </c>
      <c r="T2521">
        <v>-5.3553390279327591</v>
      </c>
      <c r="U2521">
        <f>U2520-U2519</f>
        <v>-1.100957947365373</v>
      </c>
      <c r="V2521" t="str">
        <f t="shared" si="243"/>
        <v>2017/18Expenditure driversTree CuttingDifference</v>
      </c>
    </row>
    <row r="2522" spans="1:22">
      <c r="A2522" t="s">
        <v>139</v>
      </c>
      <c r="C2522" t="s">
        <v>1344</v>
      </c>
      <c r="D2522" t="s">
        <v>95</v>
      </c>
      <c r="E2522" t="s">
        <v>1346</v>
      </c>
      <c r="F2522" t="s">
        <v>606</v>
      </c>
      <c r="G2522" s="829">
        <v>-0.10948375460484035</v>
      </c>
      <c r="H2522" s="829">
        <v>-0.24747044372064356</v>
      </c>
      <c r="I2522" s="829">
        <v>-8.2291914133469035E-2</v>
      </c>
      <c r="J2522" s="829">
        <v>0.80447542271264993</v>
      </c>
      <c r="K2522" s="829">
        <v>0.85942121005601835</v>
      </c>
      <c r="L2522" s="829">
        <v>-0.14024693514892039</v>
      </c>
      <c r="M2522" s="829">
        <v>3.426421591924194E-2</v>
      </c>
      <c r="N2522" s="829">
        <v>-1</v>
      </c>
      <c r="O2522" s="829">
        <v>-0.37801081808598869</v>
      </c>
      <c r="P2522" s="829">
        <v>-0.46563958661226457</v>
      </c>
      <c r="Q2522" s="829">
        <v>-0.56991684145276333</v>
      </c>
      <c r="R2522" s="829">
        <v>-0.17146322890306756</v>
      </c>
      <c r="S2522" s="829">
        <v>-0.14995204966070425</v>
      </c>
      <c r="T2522" s="829">
        <v>-0.30908159596357682</v>
      </c>
      <c r="U2522" s="829">
        <f>U2521/U2519</f>
        <v>-0.11069901786690582</v>
      </c>
      <c r="V2522" t="str">
        <f t="shared" si="243"/>
        <v>2017/18Expenditure driversTree CuttingDifference %</v>
      </c>
    </row>
    <row r="2523" spans="1:22">
      <c r="A2523" t="s">
        <v>140</v>
      </c>
      <c r="C2523" t="s">
        <v>1344</v>
      </c>
      <c r="D2523" t="s">
        <v>95</v>
      </c>
      <c r="E2523" t="s">
        <v>297</v>
      </c>
      <c r="F2523" t="s">
        <v>1289</v>
      </c>
      <c r="G2523">
        <f t="array" ref="G2523:T2526">TRANSPOSE('Ch4 expenditure drivers'!AU714:AX727)</f>
        <v>5.5836927220559831</v>
      </c>
      <c r="H2523">
        <v>5.2927262621752593</v>
      </c>
      <c r="I2523">
        <v>6.2612939605370563</v>
      </c>
      <c r="J2523">
        <v>10.518640219415012</v>
      </c>
      <c r="K2523">
        <v>8.1815494911861784</v>
      </c>
      <c r="L2523">
        <v>10.134725003522307</v>
      </c>
      <c r="M2523">
        <v>14.147582921687491</v>
      </c>
      <c r="N2523">
        <v>2.1075979354026029E-2</v>
      </c>
      <c r="O2523">
        <v>9.4180924284541021</v>
      </c>
      <c r="P2523">
        <v>20.02052021972305</v>
      </c>
      <c r="Q2523">
        <v>8.2984559597449632</v>
      </c>
      <c r="R2523">
        <v>13.340020491256677</v>
      </c>
      <c r="S2523">
        <v>9.3790336516896957</v>
      </c>
      <c r="T2523">
        <v>15.694827852529279</v>
      </c>
      <c r="U2523">
        <f>AVERAGE(G2523:T2523)</f>
        <v>9.735159797380792</v>
      </c>
      <c r="V2523" t="str">
        <f t="shared" si="243"/>
        <v>2018/19Expenditure driversTree CuttingAllowance</v>
      </c>
    </row>
    <row r="2524" spans="1:22">
      <c r="A2524" t="s">
        <v>140</v>
      </c>
      <c r="C2524" t="s">
        <v>1344</v>
      </c>
      <c r="D2524" t="s">
        <v>95</v>
      </c>
      <c r="E2524" t="s">
        <v>298</v>
      </c>
      <c r="F2524" t="s">
        <v>1289</v>
      </c>
      <c r="G2524">
        <v>4.5480137657385606</v>
      </c>
      <c r="H2524">
        <v>3.8399966819960243</v>
      </c>
      <c r="I2524">
        <v>3.9765847184095304</v>
      </c>
      <c r="J2524">
        <v>15.917704032360541</v>
      </c>
      <c r="K2524">
        <v>10.438270828921175</v>
      </c>
      <c r="L2524">
        <v>9.3520492538156361</v>
      </c>
      <c r="M2524">
        <v>13.288366872802746</v>
      </c>
      <c r="N2524">
        <v>0</v>
      </c>
      <c r="O2524">
        <v>5.037446946938668</v>
      </c>
      <c r="P2524">
        <v>10.920045239892485</v>
      </c>
      <c r="Q2524">
        <v>3.6633182748479989</v>
      </c>
      <c r="R2524">
        <v>10.206173347965324</v>
      </c>
      <c r="S2524">
        <v>8.7567247674778823</v>
      </c>
      <c r="T2524">
        <v>13.672898402817651</v>
      </c>
      <c r="U2524">
        <f>AVERAGE(G2524:T2524)</f>
        <v>8.115542366713159</v>
      </c>
      <c r="V2524" t="str">
        <f t="shared" si="243"/>
        <v>2018/19Expenditure driversTree CuttingActual</v>
      </c>
    </row>
    <row r="2525" spans="1:22">
      <c r="A2525" t="s">
        <v>140</v>
      </c>
      <c r="C2525" t="s">
        <v>1344</v>
      </c>
      <c r="D2525" t="s">
        <v>95</v>
      </c>
      <c r="E2525" t="s">
        <v>602</v>
      </c>
      <c r="F2525" t="s">
        <v>1289</v>
      </c>
      <c r="G2525">
        <v>-1.0356789563174225</v>
      </c>
      <c r="H2525">
        <v>-1.452729580179235</v>
      </c>
      <c r="I2525">
        <v>-2.2847092421275259</v>
      </c>
      <c r="J2525">
        <v>5.3990638129455295</v>
      </c>
      <c r="K2525">
        <v>2.2567213377349962</v>
      </c>
      <c r="L2525">
        <v>-0.7826757497066712</v>
      </c>
      <c r="M2525">
        <v>-0.85921604888474512</v>
      </c>
      <c r="N2525">
        <v>-2.1075979354026029E-2</v>
      </c>
      <c r="O2525">
        <v>-4.3806454815154341</v>
      </c>
      <c r="P2525">
        <v>-9.1004749798305653</v>
      </c>
      <c r="Q2525">
        <v>-4.6351376848969643</v>
      </c>
      <c r="R2525">
        <v>-3.1338471432913533</v>
      </c>
      <c r="S2525">
        <v>-0.62230888421181341</v>
      </c>
      <c r="T2525">
        <v>-2.021929449711628</v>
      </c>
      <c r="U2525">
        <f>U2524-U2523</f>
        <v>-1.619617430667633</v>
      </c>
      <c r="V2525" t="str">
        <f t="shared" si="243"/>
        <v>2018/19Expenditure driversTree CuttingDifference</v>
      </c>
    </row>
    <row r="2526" spans="1:22">
      <c r="A2526" t="s">
        <v>140</v>
      </c>
      <c r="C2526" t="s">
        <v>1344</v>
      </c>
      <c r="D2526" t="s">
        <v>95</v>
      </c>
      <c r="E2526" t="s">
        <v>1346</v>
      </c>
      <c r="F2526" t="s">
        <v>606</v>
      </c>
      <c r="G2526" s="829">
        <v>-0.18548279926408145</v>
      </c>
      <c r="H2526" s="829">
        <v>-0.2744766134158953</v>
      </c>
      <c r="I2526" s="829">
        <v>-0.36489410280483897</v>
      </c>
      <c r="J2526" s="829">
        <v>0.51328533920003161</v>
      </c>
      <c r="K2526" s="829">
        <v>0.27583055510036547</v>
      </c>
      <c r="L2526" s="829">
        <v>-7.7227132402177018E-2</v>
      </c>
      <c r="M2526" s="829">
        <v>-6.0732356448507732E-2</v>
      </c>
      <c r="N2526" s="829">
        <v>-1</v>
      </c>
      <c r="O2526" s="829">
        <v>-0.46513086538422077</v>
      </c>
      <c r="P2526" s="829">
        <v>-0.45455736813798214</v>
      </c>
      <c r="Q2526" s="829">
        <v>-0.55855423073660759</v>
      </c>
      <c r="R2526" s="829">
        <v>-0.2349207143531257</v>
      </c>
      <c r="S2526" s="829">
        <v>-6.6351066359560437E-2</v>
      </c>
      <c r="T2526" s="829">
        <v>-0.12882775578744476</v>
      </c>
      <c r="U2526" s="829">
        <f>U2525/U2523</f>
        <v>-0.16636783210311401</v>
      </c>
      <c r="V2526" t="str">
        <f t="shared" si="243"/>
        <v>2018/19Expenditure driversTree CuttingDifference %</v>
      </c>
    </row>
    <row r="2527" spans="1:22">
      <c r="A2527" t="s">
        <v>141</v>
      </c>
      <c r="C2527" t="s">
        <v>1344</v>
      </c>
      <c r="D2527" t="s">
        <v>95</v>
      </c>
      <c r="E2527" t="s">
        <v>297</v>
      </c>
      <c r="F2527" t="s">
        <v>1289</v>
      </c>
      <c r="G2527" s="229">
        <f t="array" ref="G2527:T2530">TRANSPOSE('Ch4 expenditure drivers'!AZ714:BC727)</f>
        <v>5.4863708210910902</v>
      </c>
      <c r="H2527" s="229">
        <v>5.392148339140717</v>
      </c>
      <c r="I2527" s="229">
        <v>6.3561751548961718</v>
      </c>
      <c r="J2527" s="229">
        <v>10.591105369497823</v>
      </c>
      <c r="K2527" s="229">
        <v>8.2397629673110675</v>
      </c>
      <c r="L2527" s="229">
        <v>10.204713374130785</v>
      </c>
      <c r="M2527" s="229">
        <v>14.239463819441111</v>
      </c>
      <c r="N2527" s="229">
        <v>2.0868062543226863E-2</v>
      </c>
      <c r="O2527" s="229">
        <v>9.3876077687843615</v>
      </c>
      <c r="P2527" s="229">
        <v>19.781887106228456</v>
      </c>
      <c r="Q2527" s="229">
        <v>8.7868774853000993</v>
      </c>
      <c r="R2527" s="229">
        <v>13.421025464190928</v>
      </c>
      <c r="S2527" s="229">
        <v>9.2246966810033122</v>
      </c>
      <c r="T2527" s="229">
        <v>15.454257546580147</v>
      </c>
      <c r="U2527" s="229">
        <f>AVERAGE(G2527:T2527)</f>
        <v>9.7562114257242349</v>
      </c>
      <c r="V2527" t="str">
        <f t="shared" si="243"/>
        <v>2019/20Expenditure driversTree CuttingAllowance</v>
      </c>
    </row>
    <row r="2528" spans="1:22">
      <c r="A2528" t="s">
        <v>141</v>
      </c>
      <c r="C2528" t="s">
        <v>1344</v>
      </c>
      <c r="D2528" t="s">
        <v>95</v>
      </c>
      <c r="E2528" t="s">
        <v>298</v>
      </c>
      <c r="F2528" t="s">
        <v>1289</v>
      </c>
      <c r="G2528" s="229">
        <v>5.5173205394970086</v>
      </c>
      <c r="H2528" s="229">
        <v>4.0455227371032834</v>
      </c>
      <c r="I2528" s="229">
        <v>3.6623884172354688</v>
      </c>
      <c r="J2528" s="229">
        <v>14.011863061773592</v>
      </c>
      <c r="K2528" s="229">
        <v>11.38142697201368</v>
      </c>
      <c r="L2528" s="229">
        <v>10.096720701068667</v>
      </c>
      <c r="M2528" s="229">
        <v>15.000016301842129</v>
      </c>
      <c r="N2528" s="229">
        <v>0</v>
      </c>
      <c r="O2528" s="229">
        <v>5.419275644114915</v>
      </c>
      <c r="P2528" s="229">
        <v>14.486899926259261</v>
      </c>
      <c r="Q2528" s="229">
        <v>5.1875055526223113</v>
      </c>
      <c r="R2528" s="229">
        <v>11.558352771023873</v>
      </c>
      <c r="S2528" s="229">
        <v>8.2331960685747418</v>
      </c>
      <c r="T2528" s="229">
        <v>23.457530117131896</v>
      </c>
      <c r="U2528" s="229">
        <f>AVERAGE(G2528:T2528)</f>
        <v>9.4327156293043437</v>
      </c>
      <c r="V2528" t="str">
        <f t="shared" si="243"/>
        <v>2019/20Expenditure driversTree CuttingActual</v>
      </c>
    </row>
    <row r="2529" spans="1:22">
      <c r="A2529" t="s">
        <v>141</v>
      </c>
      <c r="C2529" t="s">
        <v>1344</v>
      </c>
      <c r="D2529" t="s">
        <v>95</v>
      </c>
      <c r="E2529" t="s">
        <v>602</v>
      </c>
      <c r="F2529" t="s">
        <v>1289</v>
      </c>
      <c r="G2529" s="229">
        <v>3.0949718405918425E-2</v>
      </c>
      <c r="H2529" s="229">
        <v>-1.3466256020374336</v>
      </c>
      <c r="I2529" s="229">
        <v>-2.693786737660703</v>
      </c>
      <c r="J2529" s="229">
        <v>3.4207576922757692</v>
      </c>
      <c r="K2529" s="229">
        <v>3.1416640047026121</v>
      </c>
      <c r="L2529" s="229">
        <v>-0.10799267306211746</v>
      </c>
      <c r="M2529" s="229">
        <v>0.76055248240101747</v>
      </c>
      <c r="N2529" s="229">
        <v>-2.0868062543226863E-2</v>
      </c>
      <c r="O2529" s="229">
        <v>-3.9683321246694465</v>
      </c>
      <c r="P2529" s="229">
        <v>-5.2949871799691959</v>
      </c>
      <c r="Q2529" s="229">
        <v>-3.599371932677788</v>
      </c>
      <c r="R2529" s="229">
        <v>-1.8626726931670543</v>
      </c>
      <c r="S2529" s="229">
        <v>-0.99150061242857035</v>
      </c>
      <c r="T2529" s="229">
        <v>8.0032725705517489</v>
      </c>
      <c r="U2529" s="229">
        <f>U2528-U2527</f>
        <v>-0.32349579641989124</v>
      </c>
      <c r="V2529" t="str">
        <f t="shared" si="243"/>
        <v>2019/20Expenditure driversTree CuttingDifference</v>
      </c>
    </row>
    <row r="2530" spans="1:22">
      <c r="A2530" t="s">
        <v>141</v>
      </c>
      <c r="C2530" t="s">
        <v>1344</v>
      </c>
      <c r="D2530" t="s">
        <v>95</v>
      </c>
      <c r="E2530" t="s">
        <v>1346</v>
      </c>
      <c r="F2530" t="s">
        <v>606</v>
      </c>
      <c r="G2530" s="829">
        <v>5.6412006069548482E-3</v>
      </c>
      <c r="H2530" s="829">
        <v>-0.24973823369481513</v>
      </c>
      <c r="I2530" s="829">
        <v>-0.42380624699835007</v>
      </c>
      <c r="J2530" s="829">
        <v>0.3229840109161301</v>
      </c>
      <c r="K2530" s="829">
        <v>0.38128087144815653</v>
      </c>
      <c r="L2530" s="829">
        <v>-1.0582626782627889E-2</v>
      </c>
      <c r="M2530" s="829">
        <v>5.3411595551978351E-2</v>
      </c>
      <c r="N2530" s="829">
        <v>-1</v>
      </c>
      <c r="O2530" s="829">
        <v>-0.42272027362124459</v>
      </c>
      <c r="P2530" s="829">
        <v>-0.26766845607475104</v>
      </c>
      <c r="Q2530" s="829">
        <v>-0.40963037651308032</v>
      </c>
      <c r="R2530" s="829">
        <v>-0.13878765807701593</v>
      </c>
      <c r="S2530" s="829">
        <v>-0.10748327524637169</v>
      </c>
      <c r="T2530" s="829">
        <v>0.51786846093572336</v>
      </c>
      <c r="U2530" s="829">
        <f>U2529/U2527</f>
        <v>-3.3157932142279002E-2</v>
      </c>
      <c r="V2530" t="str">
        <f t="shared" si="243"/>
        <v>2019/20Expenditure driversTree CuttingDifference %</v>
      </c>
    </row>
    <row r="2531" spans="1:22">
      <c r="A2531" t="s">
        <v>126</v>
      </c>
      <c r="C2531" t="s">
        <v>1344</v>
      </c>
      <c r="D2531" t="s">
        <v>95</v>
      </c>
      <c r="E2531" t="s">
        <v>297</v>
      </c>
      <c r="F2531" t="s">
        <v>1289</v>
      </c>
      <c r="G2531" s="229" cm="1">
        <f t="array" ref="G2531:T2534">TRANSPOSE('Ch4 expenditure drivers'!BE714:BH727)</f>
        <v>5.3792692312666119</v>
      </c>
      <c r="H2531" s="229">
        <v>5.4940968313433354</v>
      </c>
      <c r="I2531" s="229">
        <v>6.4688633778422231</v>
      </c>
      <c r="J2531" s="229">
        <v>10.664811603256121</v>
      </c>
      <c r="K2531" s="229">
        <v>8.2947786499176388</v>
      </c>
      <c r="L2531" s="229">
        <v>10.273826702211307</v>
      </c>
      <c r="M2531" s="229">
        <v>14.330602184859533</v>
      </c>
      <c r="N2531" s="229">
        <v>2.066095137701637E-2</v>
      </c>
      <c r="O2531" s="229">
        <v>9.178636277415249</v>
      </c>
      <c r="P2531" s="229">
        <v>19.319525713772414</v>
      </c>
      <c r="Q2531" s="229">
        <v>9.1429443935182793</v>
      </c>
      <c r="R2531" s="229">
        <v>13.019364124357736</v>
      </c>
      <c r="S2531" s="229">
        <v>9.0744176465362205</v>
      </c>
      <c r="T2531" s="229">
        <v>15.347983079297519</v>
      </c>
      <c r="U2531" s="229">
        <f>AVERAGE(G2531:T2531)</f>
        <v>9.7149843404979404</v>
      </c>
      <c r="V2531" t="str">
        <f t="shared" si="243"/>
        <v>2020/21Expenditure driversTree CuttingAllowance</v>
      </c>
    </row>
    <row r="2532" spans="1:22">
      <c r="A2532" t="s">
        <v>126</v>
      </c>
      <c r="C2532" t="s">
        <v>1344</v>
      </c>
      <c r="D2532" t="s">
        <v>95</v>
      </c>
      <c r="E2532" t="s">
        <v>298</v>
      </c>
      <c r="F2532" t="s">
        <v>1289</v>
      </c>
      <c r="G2532" s="229">
        <v>5.5527790014576928</v>
      </c>
      <c r="H2532" s="229">
        <v>4.3220309639871939</v>
      </c>
      <c r="I2532" s="229">
        <v>4.7546320269921871</v>
      </c>
      <c r="J2532" s="229">
        <v>14.337932840869307</v>
      </c>
      <c r="K2532" s="229">
        <v>14.641509877042633</v>
      </c>
      <c r="L2532" s="229">
        <v>9.1422171555612994</v>
      </c>
      <c r="M2532" s="229">
        <v>12.594744842215478</v>
      </c>
      <c r="N2532" s="229">
        <v>0</v>
      </c>
      <c r="O2532" s="229">
        <v>5.4663783455013943</v>
      </c>
      <c r="P2532" s="229">
        <v>10.802782025002855</v>
      </c>
      <c r="Q2532" s="229">
        <v>4.9963826697956826</v>
      </c>
      <c r="R2532" s="229">
        <v>9.7197263003186212</v>
      </c>
      <c r="S2532" s="229">
        <v>7.6394259518643457</v>
      </c>
      <c r="T2532" s="229">
        <v>21.630439936174685</v>
      </c>
      <c r="U2532" s="229">
        <f>AVERAGE(G2532:T2532)</f>
        <v>8.9714987097702412</v>
      </c>
      <c r="V2532" t="str">
        <f t="shared" si="243"/>
        <v>2020/21Expenditure driversTree CuttingActual</v>
      </c>
    </row>
    <row r="2533" spans="1:22">
      <c r="A2533" t="s">
        <v>126</v>
      </c>
      <c r="C2533" t="s">
        <v>1344</v>
      </c>
      <c r="D2533" t="s">
        <v>95</v>
      </c>
      <c r="E2533" t="s">
        <v>602</v>
      </c>
      <c r="F2533" t="s">
        <v>1289</v>
      </c>
      <c r="G2533" s="229">
        <v>0.17350977019108083</v>
      </c>
      <c r="H2533" s="229">
        <v>-1.1720658673561415</v>
      </c>
      <c r="I2533" s="229">
        <v>-1.714231350850036</v>
      </c>
      <c r="J2533" s="229">
        <v>3.6731212376131861</v>
      </c>
      <c r="K2533" s="229">
        <v>6.3467312271249945</v>
      </c>
      <c r="L2533" s="229">
        <v>-1.131609546650008</v>
      </c>
      <c r="M2533" s="229">
        <v>-1.7358573426440547</v>
      </c>
      <c r="N2533" s="229">
        <v>-2.066095137701637E-2</v>
      </c>
      <c r="O2533" s="229">
        <v>-3.7122579319138547</v>
      </c>
      <c r="P2533" s="229">
        <v>-8.5167436887695587</v>
      </c>
      <c r="Q2533" s="229">
        <v>-4.1465617237225967</v>
      </c>
      <c r="R2533" s="229">
        <v>-3.2996378240391149</v>
      </c>
      <c r="S2533" s="229">
        <v>-1.4349916946718748</v>
      </c>
      <c r="T2533" s="229">
        <v>6.2824568568771664</v>
      </c>
      <c r="U2533" s="229">
        <f>U2532-U2531</f>
        <v>-0.74348563072769913</v>
      </c>
      <c r="V2533" t="str">
        <f t="shared" si="243"/>
        <v>2020/21Expenditure driversTree CuttingDifference</v>
      </c>
    </row>
    <row r="2534" spans="1:22">
      <c r="A2534" t="s">
        <v>126</v>
      </c>
      <c r="C2534" t="s">
        <v>1344</v>
      </c>
      <c r="D2534" t="s">
        <v>95</v>
      </c>
      <c r="E2534" t="s">
        <v>1346</v>
      </c>
      <c r="F2534" t="s">
        <v>606</v>
      </c>
      <c r="G2534" s="829">
        <v>3.2255267905641885E-2</v>
      </c>
      <c r="H2534" s="829">
        <v>-0.21333185477722375</v>
      </c>
      <c r="I2534" s="829">
        <v>-0.2649973033472599</v>
      </c>
      <c r="J2534" s="829">
        <v>0.34441501399722141</v>
      </c>
      <c r="K2534" s="829">
        <v>0.76514775077066255</v>
      </c>
      <c r="L2534" s="829">
        <v>-0.1101448933732203</v>
      </c>
      <c r="M2534" s="829">
        <v>-0.121129406863168</v>
      </c>
      <c r="N2534" s="829">
        <v>-1</v>
      </c>
      <c r="O2534" s="829">
        <v>-0.40444547748864995</v>
      </c>
      <c r="P2534" s="829">
        <v>-0.44083606476416665</v>
      </c>
      <c r="Q2534" s="829">
        <v>-0.45352586051624955</v>
      </c>
      <c r="R2534" s="829">
        <v>-0.25344078194002356</v>
      </c>
      <c r="S2534" s="829">
        <v>-0.15813595434629601</v>
      </c>
      <c r="T2534" s="829">
        <v>0.40933436168244175</v>
      </c>
      <c r="U2534" s="829">
        <f>U2533/U2531</f>
        <v>-7.6529781692843357E-2</v>
      </c>
      <c r="V2534" t="str">
        <f t="shared" si="243"/>
        <v>2020/21Expenditure driversTree CuttingDifference %</v>
      </c>
    </row>
    <row r="2535" spans="1:22">
      <c r="A2535" t="s">
        <v>142</v>
      </c>
      <c r="C2535" t="s">
        <v>1344</v>
      </c>
      <c r="D2535" t="s">
        <v>95</v>
      </c>
      <c r="E2535" t="s">
        <v>297</v>
      </c>
      <c r="F2535" t="s">
        <v>1289</v>
      </c>
      <c r="G2535" s="229" cm="1">
        <f t="array" ref="G2535:T2538">TRANSPOSE('Ch4 expenditure drivers'!BJ714:BM727)</f>
        <v>5.2648399370871353</v>
      </c>
      <c r="H2535" s="229">
        <v>5.4759177588035444</v>
      </c>
      <c r="I2535" s="229">
        <v>6.4401837866849965</v>
      </c>
      <c r="J2535" s="229">
        <v>10.736003540222338</v>
      </c>
      <c r="K2535" s="229">
        <v>8.3534035950544361</v>
      </c>
      <c r="L2535" s="229">
        <v>10.343745374352997</v>
      </c>
      <c r="M2535" s="229">
        <v>14.422539314528931</v>
      </c>
      <c r="N2535" s="229">
        <v>2.045465583587585E-2</v>
      </c>
      <c r="O2535" s="229">
        <v>8.9819325745833485</v>
      </c>
      <c r="P2535" s="229">
        <v>18.888431644499168</v>
      </c>
      <c r="Q2535" s="229">
        <v>8.1431990960802061</v>
      </c>
      <c r="R2535" s="229">
        <v>12.920608461134041</v>
      </c>
      <c r="S2535" s="229">
        <v>8.9250315246890519</v>
      </c>
      <c r="T2535" s="229">
        <v>15.116585621246953</v>
      </c>
      <c r="U2535" s="229">
        <f>AVERAGE(G2535:T2535)</f>
        <v>9.5737769203430734</v>
      </c>
      <c r="V2535" t="str">
        <f t="shared" ref="V2535:V2538" si="244">CONCATENATE(A2535,B2535,C2535,D2535,E2535)</f>
        <v>2021/22Expenditure driversTree CuttingAllowance</v>
      </c>
    </row>
    <row r="2536" spans="1:22">
      <c r="A2536" t="s">
        <v>142</v>
      </c>
      <c r="C2536" t="s">
        <v>1344</v>
      </c>
      <c r="D2536" t="s">
        <v>95</v>
      </c>
      <c r="E2536" t="s">
        <v>298</v>
      </c>
      <c r="F2536" t="s">
        <v>1289</v>
      </c>
      <c r="G2536" s="229">
        <v>5.2653743248595291</v>
      </c>
      <c r="H2536" s="229">
        <v>4.1973049249227943</v>
      </c>
      <c r="I2536" s="229">
        <v>5.2260543766859593</v>
      </c>
      <c r="J2536" s="229">
        <v>13.915299999999998</v>
      </c>
      <c r="K2536" s="229">
        <v>9.6685000000000016</v>
      </c>
      <c r="L2536" s="229">
        <v>8.8666</v>
      </c>
      <c r="M2536" s="229">
        <v>12.776199999999999</v>
      </c>
      <c r="N2536" s="229">
        <v>0</v>
      </c>
      <c r="O2536" s="229">
        <v>7.1232128079946015</v>
      </c>
      <c r="P2536" s="229">
        <v>12.459990018666339</v>
      </c>
      <c r="Q2536" s="229">
        <v>5.3029252269618903</v>
      </c>
      <c r="R2536" s="229">
        <v>10.706592090341562</v>
      </c>
      <c r="S2536" s="229">
        <v>8.0388984800000003</v>
      </c>
      <c r="T2536" s="229">
        <v>15.647180349999999</v>
      </c>
      <c r="U2536" s="229">
        <f>AVERAGE(G2536:T2536)</f>
        <v>8.5138666143166191</v>
      </c>
      <c r="V2536" t="str">
        <f t="shared" si="244"/>
        <v>2021/22Expenditure driversTree CuttingActual</v>
      </c>
    </row>
    <row r="2537" spans="1:22">
      <c r="A2537" t="s">
        <v>142</v>
      </c>
      <c r="C2537" t="s">
        <v>1344</v>
      </c>
      <c r="D2537" t="s">
        <v>95</v>
      </c>
      <c r="E2537" t="s">
        <v>602</v>
      </c>
      <c r="F2537" t="s">
        <v>1289</v>
      </c>
      <c r="G2537" s="229">
        <v>5.343877723937851E-4</v>
      </c>
      <c r="H2537" s="229">
        <v>-1.2786128338807501</v>
      </c>
      <c r="I2537" s="229">
        <v>-1.2141294099990372</v>
      </c>
      <c r="J2537" s="229">
        <v>3.1792964597776603</v>
      </c>
      <c r="K2537" s="229">
        <v>1.3150964049455656</v>
      </c>
      <c r="L2537" s="229">
        <v>-1.4771453743529968</v>
      </c>
      <c r="M2537" s="229">
        <v>-1.646339314528932</v>
      </c>
      <c r="N2537" s="229">
        <v>-2.045465583587585E-2</v>
      </c>
      <c r="O2537" s="229">
        <v>-1.8587197665887469</v>
      </c>
      <c r="P2537" s="229">
        <v>-6.4284416258328285</v>
      </c>
      <c r="Q2537" s="229">
        <v>-2.8402738691183158</v>
      </c>
      <c r="R2537" s="229">
        <v>-2.2140163707924785</v>
      </c>
      <c r="S2537" s="229">
        <v>-0.88613304468905163</v>
      </c>
      <c r="T2537" s="229">
        <v>0.53059472875304614</v>
      </c>
      <c r="U2537" s="229">
        <f>U2536-U2535</f>
        <v>-1.0599103060264543</v>
      </c>
      <c r="V2537" t="str">
        <f t="shared" si="244"/>
        <v>2021/22Expenditure driversTree CuttingDifference</v>
      </c>
    </row>
    <row r="2538" spans="1:22">
      <c r="A2538" t="s">
        <v>142</v>
      </c>
      <c r="C2538" t="s">
        <v>1344</v>
      </c>
      <c r="D2538" t="s">
        <v>95</v>
      </c>
      <c r="E2538" t="s">
        <v>1346</v>
      </c>
      <c r="F2538" t="s">
        <v>606</v>
      </c>
      <c r="G2538" s="829">
        <v>1.0150123817238867E-4</v>
      </c>
      <c r="H2538" s="829">
        <v>-0.23349745014434245</v>
      </c>
      <c r="I2538" s="829">
        <v>-0.18852403133420437</v>
      </c>
      <c r="J2538" s="829">
        <v>0.29613407334176589</v>
      </c>
      <c r="K2538" s="829">
        <v>0.15743240344859641</v>
      </c>
      <c r="L2538" s="829">
        <v>-0.14280565896522684</v>
      </c>
      <c r="M2538" s="829">
        <v>-0.11415044733977241</v>
      </c>
      <c r="N2538" s="829">
        <v>-1</v>
      </c>
      <c r="O2538" s="829">
        <v>-0.20693984854088807</v>
      </c>
      <c r="P2538" s="829">
        <v>-0.3403375011130142</v>
      </c>
      <c r="Q2538" s="829">
        <v>-0.34879091565936343</v>
      </c>
      <c r="R2538" s="829">
        <v>-0.17135542629067133</v>
      </c>
      <c r="S2538" s="829">
        <v>-9.9286264954669107E-2</v>
      </c>
      <c r="T2538" s="829">
        <v>3.5100170239982929E-2</v>
      </c>
      <c r="U2538" s="829">
        <f>U2537/U2535</f>
        <v>-0.1107097350236225</v>
      </c>
      <c r="V2538" t="str">
        <f t="shared" si="244"/>
        <v>2021/22Expenditure driversTree CuttingDifference %</v>
      </c>
    </row>
    <row r="2539" spans="1:22">
      <c r="A2539" t="s">
        <v>137</v>
      </c>
      <c r="C2539" t="s">
        <v>1344</v>
      </c>
      <c r="D2539" t="s">
        <v>97</v>
      </c>
      <c r="E2539" t="s">
        <v>1347</v>
      </c>
      <c r="F2539" t="s">
        <v>1289</v>
      </c>
      <c r="G2539">
        <f t="array" ref="G2539:T2546">TRANSPOSE('Ch4 expenditure drivers'!E734:L747)</f>
        <v>11.328045511169964</v>
      </c>
      <c r="H2539">
        <v>7.8234081279445196</v>
      </c>
      <c r="I2539">
        <v>11.073398129578818</v>
      </c>
      <c r="J2539">
        <v>11.842205718317333</v>
      </c>
      <c r="K2539">
        <v>10.663914561215986</v>
      </c>
      <c r="L2539">
        <v>6.1323879321084256</v>
      </c>
      <c r="M2539">
        <v>8.4928978581177663</v>
      </c>
      <c r="N2539">
        <v>20.380286885910987</v>
      </c>
      <c r="O2539">
        <v>12.592437757238208</v>
      </c>
      <c r="P2539">
        <v>21.053473798692448</v>
      </c>
      <c r="Q2539">
        <v>7.8930527388879419</v>
      </c>
      <c r="R2539">
        <v>10.476193193953989</v>
      </c>
      <c r="S2539">
        <v>5.3297142672002087</v>
      </c>
      <c r="T2539">
        <v>20.303452595610533</v>
      </c>
      <c r="U2539">
        <f>AVERAGE(G2539:T2539)</f>
        <v>11.813204933996227</v>
      </c>
      <c r="V2539" t="str">
        <f t="shared" si="243"/>
        <v>2015/16Expenditure driversI&amp;MBPDT</v>
      </c>
    </row>
    <row r="2540" spans="1:22">
      <c r="A2540" t="s">
        <v>138</v>
      </c>
      <c r="C2540" t="s">
        <v>1344</v>
      </c>
      <c r="D2540" t="s">
        <v>97</v>
      </c>
      <c r="E2540" t="s">
        <v>1347</v>
      </c>
      <c r="F2540" t="s">
        <v>1289</v>
      </c>
      <c r="G2540">
        <v>10.317564296995281</v>
      </c>
      <c r="H2540">
        <v>8.3751901834717213</v>
      </c>
      <c r="I2540">
        <v>11.000711143132781</v>
      </c>
      <c r="J2540">
        <v>11.836796911818686</v>
      </c>
      <c r="K2540">
        <v>10.669668139476405</v>
      </c>
      <c r="L2540">
        <v>6.126972649693136</v>
      </c>
      <c r="M2540">
        <v>8.4862924251463436</v>
      </c>
      <c r="N2540">
        <v>20.61990348718804</v>
      </c>
      <c r="O2540">
        <v>12.688681498612921</v>
      </c>
      <c r="P2540">
        <v>20.289242156307306</v>
      </c>
      <c r="Q2540">
        <v>8.0245749781486868</v>
      </c>
      <c r="R2540">
        <v>10.744198733879671</v>
      </c>
      <c r="S2540">
        <v>5.366565840559903</v>
      </c>
      <c r="T2540">
        <v>19.028035952083385</v>
      </c>
      <c r="U2540">
        <f t="shared" ref="U2540:U2571" si="245">AVERAGE(G2540:T2540)</f>
        <v>11.683885599751019</v>
      </c>
      <c r="V2540" t="str">
        <f t="shared" si="243"/>
        <v>2016/17Expenditure driversI&amp;MBPDT</v>
      </c>
    </row>
    <row r="2541" spans="1:22">
      <c r="A2541" t="s">
        <v>139</v>
      </c>
      <c r="C2541" t="s">
        <v>1344</v>
      </c>
      <c r="D2541" t="s">
        <v>97</v>
      </c>
      <c r="E2541" t="s">
        <v>1347</v>
      </c>
      <c r="F2541" t="s">
        <v>1289</v>
      </c>
      <c r="G2541">
        <v>9.9936277248642806</v>
      </c>
      <c r="H2541">
        <v>8.3796325333039547</v>
      </c>
      <c r="I2541">
        <v>11.218364063261166</v>
      </c>
      <c r="J2541">
        <v>11.811762388677518</v>
      </c>
      <c r="K2541">
        <v>10.639594360988166</v>
      </c>
      <c r="L2541">
        <v>6.1024188093121676</v>
      </c>
      <c r="M2541">
        <v>8.4485642483975916</v>
      </c>
      <c r="N2541">
        <v>19.304496092781257</v>
      </c>
      <c r="O2541">
        <v>11.894740698816749</v>
      </c>
      <c r="P2541">
        <v>19.29315883256459</v>
      </c>
      <c r="Q2541">
        <v>7.8689619628892604</v>
      </c>
      <c r="R2541">
        <v>10.659569822640158</v>
      </c>
      <c r="S2541">
        <v>5.3946458418379137</v>
      </c>
      <c r="T2541">
        <v>19.970835825069628</v>
      </c>
      <c r="U2541">
        <f t="shared" si="245"/>
        <v>11.498598086100316</v>
      </c>
      <c r="V2541" t="str">
        <f t="shared" si="243"/>
        <v>2017/18Expenditure driversI&amp;MBPDT</v>
      </c>
    </row>
    <row r="2542" spans="1:22">
      <c r="A2542" t="s">
        <v>140</v>
      </c>
      <c r="C2542" t="s">
        <v>1344</v>
      </c>
      <c r="D2542" t="s">
        <v>97</v>
      </c>
      <c r="E2542" t="s">
        <v>1347</v>
      </c>
      <c r="F2542" t="s">
        <v>1289</v>
      </c>
      <c r="G2542">
        <v>10.580214364680796</v>
      </c>
      <c r="H2542">
        <v>8.4118688263331762</v>
      </c>
      <c r="I2542">
        <v>11.732965794876909</v>
      </c>
      <c r="J2542">
        <v>11.829790800146682</v>
      </c>
      <c r="K2542">
        <v>10.653963909211823</v>
      </c>
      <c r="L2542">
        <v>6.1029432675998532</v>
      </c>
      <c r="M2542">
        <v>8.4397022830944053</v>
      </c>
      <c r="N2542">
        <v>19.534167501025632</v>
      </c>
      <c r="O2542">
        <v>11.696428668602868</v>
      </c>
      <c r="P2542">
        <v>19.143197178875457</v>
      </c>
      <c r="Q2542">
        <v>7.7409565358448544</v>
      </c>
      <c r="R2542">
        <v>10.423718045644094</v>
      </c>
      <c r="S2542">
        <v>5.3964261859361358</v>
      </c>
      <c r="T2542">
        <v>20.859834064315042</v>
      </c>
      <c r="U2542">
        <f t="shared" si="245"/>
        <v>11.610441244727694</v>
      </c>
      <c r="V2542" t="str">
        <f t="shared" si="243"/>
        <v>2018/19Expenditure driversI&amp;MBPDT</v>
      </c>
    </row>
    <row r="2543" spans="1:22">
      <c r="A2543" t="s">
        <v>141</v>
      </c>
      <c r="C2543" t="s">
        <v>1344</v>
      </c>
      <c r="D2543" t="s">
        <v>97</v>
      </c>
      <c r="E2543" t="s">
        <v>1347</v>
      </c>
      <c r="F2543" t="s">
        <v>1289</v>
      </c>
      <c r="G2543">
        <v>9.8655798248394984</v>
      </c>
      <c r="H2543">
        <v>8.1932071502726771</v>
      </c>
      <c r="I2543">
        <v>11.234455356693939</v>
      </c>
      <c r="J2543">
        <v>11.848422492231879</v>
      </c>
      <c r="K2543">
        <v>10.666708843452847</v>
      </c>
      <c r="L2543">
        <v>6.1057187596445939</v>
      </c>
      <c r="M2543">
        <v>8.4402555535957635</v>
      </c>
      <c r="N2543">
        <v>19.423935446645856</v>
      </c>
      <c r="O2543">
        <v>11.571419407547939</v>
      </c>
      <c r="P2543">
        <v>19.044370242402458</v>
      </c>
      <c r="Q2543">
        <v>8.1147936372809308</v>
      </c>
      <c r="R2543">
        <v>10.830191609769003</v>
      </c>
      <c r="S2543">
        <v>5.1992517185555718</v>
      </c>
      <c r="T2543">
        <v>21.158479494945301</v>
      </c>
      <c r="U2543">
        <f t="shared" si="245"/>
        <v>11.549770681277019</v>
      </c>
      <c r="V2543" t="str">
        <f t="shared" si="243"/>
        <v>2019/20Expenditure driversI&amp;MBPDT</v>
      </c>
    </row>
    <row r="2544" spans="1:22">
      <c r="A2544" t="s">
        <v>126</v>
      </c>
      <c r="C2544" t="s">
        <v>1344</v>
      </c>
      <c r="D2544" t="s">
        <v>97</v>
      </c>
      <c r="E2544" t="s">
        <v>1347</v>
      </c>
      <c r="F2544" t="s">
        <v>1289</v>
      </c>
      <c r="G2544">
        <v>11.159371037184004</v>
      </c>
      <c r="H2544">
        <v>7.5427644326892036</v>
      </c>
      <c r="I2544">
        <v>10.592398361111339</v>
      </c>
      <c r="J2544">
        <v>12.196707889009677</v>
      </c>
      <c r="K2544">
        <v>11.020136153065602</v>
      </c>
      <c r="L2544">
        <v>6.2539861656833136</v>
      </c>
      <c r="M2544">
        <v>8.6402403280681472</v>
      </c>
      <c r="N2544">
        <v>19.349569408494109</v>
      </c>
      <c r="O2544">
        <v>11.726415017047966</v>
      </c>
      <c r="P2544">
        <v>19.329065656969096</v>
      </c>
      <c r="Q2544">
        <v>9.1264686743298391</v>
      </c>
      <c r="R2544">
        <v>11.445608764075317</v>
      </c>
      <c r="S2544">
        <v>5.1144363083571278</v>
      </c>
      <c r="T2544">
        <v>19.790942373925319</v>
      </c>
      <c r="U2544">
        <f t="shared" si="245"/>
        <v>11.663436469286435</v>
      </c>
      <c r="V2544" t="str">
        <f t="shared" si="243"/>
        <v>2020/21Expenditure driversI&amp;MBPDT</v>
      </c>
    </row>
    <row r="2545" spans="1:22">
      <c r="A2545" t="s">
        <v>142</v>
      </c>
      <c r="C2545" t="s">
        <v>1344</v>
      </c>
      <c r="D2545" t="s">
        <v>97</v>
      </c>
      <c r="E2545" t="s">
        <v>1347</v>
      </c>
      <c r="F2545" t="s">
        <v>1289</v>
      </c>
      <c r="G2545">
        <v>11.181078401733288</v>
      </c>
      <c r="H2545">
        <v>7.3830720592004626</v>
      </c>
      <c r="I2545">
        <v>10.587742207236177</v>
      </c>
      <c r="J2545">
        <v>12.211359144488144</v>
      </c>
      <c r="K2545">
        <v>11.029738115152297</v>
      </c>
      <c r="L2545">
        <v>6.251914496865993</v>
      </c>
      <c r="M2545">
        <v>8.6314692949670171</v>
      </c>
      <c r="N2545">
        <v>17.146408950592175</v>
      </c>
      <c r="O2545">
        <v>11.861293093443821</v>
      </c>
      <c r="P2545">
        <v>19.270922081719707</v>
      </c>
      <c r="Q2545">
        <v>10.28778692480649</v>
      </c>
      <c r="R2545">
        <v>12.045044507044931</v>
      </c>
      <c r="S2545">
        <v>4.9402709110812539</v>
      </c>
      <c r="T2545">
        <v>20.530171915248957</v>
      </c>
      <c r="U2545">
        <f t="shared" si="245"/>
        <v>11.668448007398622</v>
      </c>
      <c r="V2545" t="str">
        <f t="shared" si="243"/>
        <v>2021/22Expenditure driversI&amp;MBPDT</v>
      </c>
    </row>
    <row r="2546" spans="1:22">
      <c r="A2546" t="s">
        <v>143</v>
      </c>
      <c r="C2546" t="s">
        <v>1344</v>
      </c>
      <c r="D2546" t="s">
        <v>97</v>
      </c>
      <c r="E2546" t="s">
        <v>1347</v>
      </c>
      <c r="F2546" t="s">
        <v>1289</v>
      </c>
      <c r="G2546">
        <v>10.49874911950991</v>
      </c>
      <c r="H2546">
        <v>6.8549627895798411</v>
      </c>
      <c r="I2546">
        <v>10.050292263674381</v>
      </c>
      <c r="J2546">
        <v>12.221672998596651</v>
      </c>
      <c r="K2546">
        <v>11.034007284203552</v>
      </c>
      <c r="L2546">
        <v>6.2496069010105328</v>
      </c>
      <c r="M2546">
        <v>8.7143062738777495</v>
      </c>
      <c r="N2546">
        <v>16.66820565442189</v>
      </c>
      <c r="O2546">
        <v>11.543688670593106</v>
      </c>
      <c r="P2546">
        <v>19.237738917405377</v>
      </c>
      <c r="Q2546">
        <v>10.167733670500464</v>
      </c>
      <c r="R2546">
        <v>12.12108981093842</v>
      </c>
      <c r="S2546">
        <v>4.9224819707367846</v>
      </c>
      <c r="T2546">
        <v>19.226082947532554</v>
      </c>
      <c r="U2546">
        <f t="shared" si="245"/>
        <v>11.39361566232723</v>
      </c>
      <c r="V2546" t="str">
        <f t="shared" si="243"/>
        <v>2022/23Expenditure driversI&amp;MBPDT</v>
      </c>
    </row>
    <row r="2547" spans="1:22">
      <c r="A2547" t="s">
        <v>137</v>
      </c>
      <c r="C2547" t="s">
        <v>1344</v>
      </c>
      <c r="D2547" t="s">
        <v>97</v>
      </c>
      <c r="E2547" t="s">
        <v>1348</v>
      </c>
      <c r="F2547" t="s">
        <v>1289</v>
      </c>
      <c r="G2547">
        <f t="array" ref="G2547:T2554">TRANSPOSE('Ch4 expenditure drivers'!N734:U747)</f>
        <v>10.133792492247753</v>
      </c>
      <c r="H2547">
        <v>7.2166619231214302</v>
      </c>
      <c r="I2547">
        <v>10.280761327028191</v>
      </c>
      <c r="J2547">
        <v>11.842205718317333</v>
      </c>
      <c r="K2547">
        <v>10.663914561215986</v>
      </c>
      <c r="L2547">
        <v>6.1323879321084256</v>
      </c>
      <c r="M2547">
        <v>8.4928978581177663</v>
      </c>
      <c r="N2547">
        <v>19.992478582877013</v>
      </c>
      <c r="O2547">
        <v>11.060984409069427</v>
      </c>
      <c r="P2547">
        <v>17.539394192838873</v>
      </c>
      <c r="Q2547">
        <v>8.3790820357653093</v>
      </c>
      <c r="R2547">
        <v>10.494548787186162</v>
      </c>
      <c r="S2547">
        <v>5.604207165533003</v>
      </c>
      <c r="T2547">
        <v>16.836870900508583</v>
      </c>
      <c r="U2547">
        <f t="shared" si="245"/>
        <v>11.047870563281091</v>
      </c>
      <c r="V2547" t="str">
        <f t="shared" si="243"/>
        <v>2015/16Expenditure driversI&amp;MDNO Baseline</v>
      </c>
    </row>
    <row r="2548" spans="1:22">
      <c r="A2548" t="s">
        <v>138</v>
      </c>
      <c r="C2548" t="s">
        <v>1344</v>
      </c>
      <c r="D2548" t="s">
        <v>97</v>
      </c>
      <c r="E2548" t="s">
        <v>1348</v>
      </c>
      <c r="F2548" t="s">
        <v>1289</v>
      </c>
      <c r="G2548">
        <v>9.551389058880611</v>
      </c>
      <c r="H2548">
        <v>7.3484939100443167</v>
      </c>
      <c r="I2548">
        <v>10.15286552395537</v>
      </c>
      <c r="J2548">
        <v>11.836796911818686</v>
      </c>
      <c r="K2548">
        <v>10.669668139476405</v>
      </c>
      <c r="L2548">
        <v>6.126972649693136</v>
      </c>
      <c r="M2548">
        <v>8.4862924251463436</v>
      </c>
      <c r="N2548">
        <v>19.58029107366831</v>
      </c>
      <c r="O2548">
        <v>10.968001684435674</v>
      </c>
      <c r="P2548">
        <v>17.031471170218616</v>
      </c>
      <c r="Q2548">
        <v>8.3464858861462083</v>
      </c>
      <c r="R2548">
        <v>10.468134224155403</v>
      </c>
      <c r="S2548">
        <v>5.6505220453589802</v>
      </c>
      <c r="T2548">
        <v>16.410924662944385</v>
      </c>
      <c r="U2548">
        <f t="shared" si="245"/>
        <v>10.902022097567315</v>
      </c>
      <c r="V2548" t="str">
        <f t="shared" si="243"/>
        <v>2016/17Expenditure driversI&amp;MDNO Baseline</v>
      </c>
    </row>
    <row r="2549" spans="1:22">
      <c r="A2549" t="s">
        <v>139</v>
      </c>
      <c r="C2549" t="s">
        <v>1344</v>
      </c>
      <c r="D2549" t="s">
        <v>97</v>
      </c>
      <c r="E2549" t="s">
        <v>1348</v>
      </c>
      <c r="F2549" t="s">
        <v>1289</v>
      </c>
      <c r="G2549">
        <v>9.3744438668317702</v>
      </c>
      <c r="H2549">
        <v>7.3396510405691844</v>
      </c>
      <c r="I2549">
        <v>10.182196486117148</v>
      </c>
      <c r="J2549">
        <v>11.811762388677518</v>
      </c>
      <c r="K2549">
        <v>10.639594360988166</v>
      </c>
      <c r="L2549">
        <v>6.1024188093121676</v>
      </c>
      <c r="M2549">
        <v>8.4485642483975916</v>
      </c>
      <c r="N2549">
        <v>18.604414236166441</v>
      </c>
      <c r="O2549">
        <v>10.410404878234619</v>
      </c>
      <c r="P2549">
        <v>16.369340797156724</v>
      </c>
      <c r="Q2549">
        <v>8.2294382821322358</v>
      </c>
      <c r="R2549">
        <v>10.162369103219273</v>
      </c>
      <c r="S2549">
        <v>5.6222060584683424</v>
      </c>
      <c r="T2549">
        <v>16.714104469931033</v>
      </c>
      <c r="U2549">
        <f t="shared" si="245"/>
        <v>10.715064930443017</v>
      </c>
      <c r="V2549" t="str">
        <f t="shared" si="243"/>
        <v>2017/18Expenditure driversI&amp;MDNO Baseline</v>
      </c>
    </row>
    <row r="2550" spans="1:22">
      <c r="A2550" t="s">
        <v>140</v>
      </c>
      <c r="C2550" t="s">
        <v>1344</v>
      </c>
      <c r="D2550" t="s">
        <v>97</v>
      </c>
      <c r="E2550" t="s">
        <v>1348</v>
      </c>
      <c r="F2550" t="s">
        <v>1289</v>
      </c>
      <c r="G2550">
        <v>9.4930718113419239</v>
      </c>
      <c r="H2550">
        <v>7.3516848071538705</v>
      </c>
      <c r="I2550">
        <v>10.36119535150212</v>
      </c>
      <c r="J2550">
        <v>11.829790800146682</v>
      </c>
      <c r="K2550">
        <v>10.653963909211823</v>
      </c>
      <c r="L2550">
        <v>6.1029432675998532</v>
      </c>
      <c r="M2550">
        <v>8.4397022830944053</v>
      </c>
      <c r="N2550">
        <v>18.541196708710917</v>
      </c>
      <c r="O2550">
        <v>10.23446046000999</v>
      </c>
      <c r="P2550">
        <v>16.270333463053156</v>
      </c>
      <c r="Q2550">
        <v>8.1090130105129603</v>
      </c>
      <c r="R2550">
        <v>9.8255588516633967</v>
      </c>
      <c r="S2550">
        <v>5.6491861393785205</v>
      </c>
      <c r="T2550">
        <v>16.941314648862026</v>
      </c>
      <c r="U2550">
        <f t="shared" si="245"/>
        <v>10.700243965160118</v>
      </c>
      <c r="V2550" t="str">
        <f t="shared" si="243"/>
        <v>2018/19Expenditure driversI&amp;MDNO Baseline</v>
      </c>
    </row>
    <row r="2551" spans="1:22">
      <c r="A2551" t="s">
        <v>141</v>
      </c>
      <c r="C2551" t="s">
        <v>1344</v>
      </c>
      <c r="D2551" t="s">
        <v>97</v>
      </c>
      <c r="E2551" t="s">
        <v>1348</v>
      </c>
      <c r="F2551" t="s">
        <v>1289</v>
      </c>
      <c r="G2551">
        <v>9.1976838540806192</v>
      </c>
      <c r="H2551">
        <v>7.2332417839826215</v>
      </c>
      <c r="I2551">
        <v>10.092805273640547</v>
      </c>
      <c r="J2551">
        <v>11.848422492231879</v>
      </c>
      <c r="K2551">
        <v>10.666708843452847</v>
      </c>
      <c r="L2551">
        <v>6.1057187596445939</v>
      </c>
      <c r="M2551">
        <v>8.4402555535957635</v>
      </c>
      <c r="N2551">
        <v>18.213577432658319</v>
      </c>
      <c r="O2551">
        <v>9.9987724071647062</v>
      </c>
      <c r="P2551">
        <v>15.968471962725339</v>
      </c>
      <c r="Q2551">
        <v>8.1788247568036159</v>
      </c>
      <c r="R2551">
        <v>9.8834247684844723</v>
      </c>
      <c r="S2551">
        <v>5.4844953859949879</v>
      </c>
      <c r="T2551">
        <v>16.939705416447509</v>
      </c>
      <c r="U2551">
        <f t="shared" si="245"/>
        <v>10.589436335064844</v>
      </c>
      <c r="V2551" t="str">
        <f t="shared" si="243"/>
        <v>2019/20Expenditure driversI&amp;MDNO Baseline</v>
      </c>
    </row>
    <row r="2552" spans="1:22">
      <c r="A2552" t="s">
        <v>126</v>
      </c>
      <c r="C2552" t="s">
        <v>1344</v>
      </c>
      <c r="D2552" t="s">
        <v>97</v>
      </c>
      <c r="E2552" t="s">
        <v>1348</v>
      </c>
      <c r="F2552" t="s">
        <v>1289</v>
      </c>
      <c r="G2552">
        <v>9.5670990668780593</v>
      </c>
      <c r="H2552">
        <v>6.9519801526166161</v>
      </c>
      <c r="I2552">
        <v>9.7800288729526752</v>
      </c>
      <c r="J2552">
        <v>12.196707889009677</v>
      </c>
      <c r="K2552">
        <v>11.020136153065602</v>
      </c>
      <c r="L2552">
        <v>6.2539861656833136</v>
      </c>
      <c r="M2552">
        <v>8.6402403280681472</v>
      </c>
      <c r="N2552">
        <v>17.821307350804204</v>
      </c>
      <c r="O2552">
        <v>9.8761233948284968</v>
      </c>
      <c r="P2552">
        <v>15.6760352158259</v>
      </c>
      <c r="Q2552">
        <v>8.410955220237371</v>
      </c>
      <c r="R2552">
        <v>9.8630607788825078</v>
      </c>
      <c r="S2552">
        <v>5.4165170808250442</v>
      </c>
      <c r="T2552">
        <v>16.395552130961157</v>
      </c>
      <c r="U2552">
        <f t="shared" si="245"/>
        <v>10.562123557188485</v>
      </c>
      <c r="V2552" t="str">
        <f t="shared" si="243"/>
        <v>2020/21Expenditure driversI&amp;MDNO Baseline</v>
      </c>
    </row>
    <row r="2553" spans="1:22">
      <c r="A2553" t="s">
        <v>142</v>
      </c>
      <c r="C2553" t="s">
        <v>1344</v>
      </c>
      <c r="D2553" t="s">
        <v>97</v>
      </c>
      <c r="E2553" t="s">
        <v>1348</v>
      </c>
      <c r="F2553" t="s">
        <v>1289</v>
      </c>
      <c r="G2553">
        <v>9.4962452423581016</v>
      </c>
      <c r="H2553">
        <v>6.8455802677786615</v>
      </c>
      <c r="I2553">
        <v>9.6637535791046787</v>
      </c>
      <c r="J2553">
        <v>12.211359144488144</v>
      </c>
      <c r="K2553">
        <v>11.029738115152297</v>
      </c>
      <c r="L2553">
        <v>6.251914496865993</v>
      </c>
      <c r="M2553">
        <v>8.6314692949670171</v>
      </c>
      <c r="N2553">
        <v>16.783388741346954</v>
      </c>
      <c r="O2553">
        <v>9.8517629624247025</v>
      </c>
      <c r="P2553">
        <v>15.51722024653079</v>
      </c>
      <c r="Q2553">
        <v>8.6893358684730782</v>
      </c>
      <c r="R2553">
        <v>10.072131683635321</v>
      </c>
      <c r="S2553">
        <v>5.3783018857647384</v>
      </c>
      <c r="T2553">
        <v>16.566274565833144</v>
      </c>
      <c r="U2553">
        <f t="shared" si="245"/>
        <v>10.499176863908829</v>
      </c>
      <c r="V2553" t="str">
        <f t="shared" si="243"/>
        <v>2021/22Expenditure driversI&amp;MDNO Baseline</v>
      </c>
    </row>
    <row r="2554" spans="1:22">
      <c r="A2554" t="s">
        <v>143</v>
      </c>
      <c r="C2554" t="s">
        <v>1344</v>
      </c>
      <c r="D2554" t="s">
        <v>97</v>
      </c>
      <c r="E2554" t="s">
        <v>1348</v>
      </c>
      <c r="F2554" t="s">
        <v>1289</v>
      </c>
      <c r="G2554">
        <v>9.1580358092392959</v>
      </c>
      <c r="H2554">
        <v>6.612603722678319</v>
      </c>
      <c r="I2554">
        <v>9.3753846488639727</v>
      </c>
      <c r="J2554">
        <v>12.221672998596651</v>
      </c>
      <c r="K2554">
        <v>11.034007284203552</v>
      </c>
      <c r="L2554">
        <v>6.2496069010105328</v>
      </c>
      <c r="M2554">
        <v>8.7143062738777495</v>
      </c>
      <c r="N2554">
        <v>16.262718803527843</v>
      </c>
      <c r="O2554">
        <v>9.5823290437818365</v>
      </c>
      <c r="P2554">
        <v>15.247390571830879</v>
      </c>
      <c r="Q2554">
        <v>8.5791281557297037</v>
      </c>
      <c r="R2554">
        <v>10.05228716130847</v>
      </c>
      <c r="S2554">
        <v>5.3029051102215892</v>
      </c>
      <c r="T2554">
        <v>16.027112574001595</v>
      </c>
      <c r="U2554">
        <f t="shared" si="245"/>
        <v>10.315677789919429</v>
      </c>
      <c r="V2554" t="str">
        <f t="shared" si="243"/>
        <v>2022/23Expenditure driversI&amp;MDNO Baseline</v>
      </c>
    </row>
    <row r="2555" spans="1:22">
      <c r="A2555" t="s">
        <v>137</v>
      </c>
      <c r="C2555" t="s">
        <v>1344</v>
      </c>
      <c r="D2555" t="s">
        <v>97</v>
      </c>
      <c r="E2555" t="s">
        <v>1349</v>
      </c>
      <c r="F2555" t="s">
        <v>1289</v>
      </c>
      <c r="G2555" cm="1">
        <f t="array" ref="G2555:T2561">TRANSPOSE('Ch4 expenditure drivers'!W734:AC747)</f>
        <v>13.476332645476973</v>
      </c>
      <c r="H2555">
        <v>9.3589124672303807</v>
      </c>
      <c r="I2555">
        <v>13.095671202763807</v>
      </c>
      <c r="J2555">
        <v>18.12618615981776</v>
      </c>
      <c r="K2555">
        <v>17.906700149942377</v>
      </c>
      <c r="L2555">
        <v>8.9425556810428901</v>
      </c>
      <c r="M2555">
        <v>11.825858237001462</v>
      </c>
      <c r="N2555">
        <v>14.409330443119575</v>
      </c>
      <c r="O2555">
        <v>11.037529396458325</v>
      </c>
      <c r="P2555">
        <v>15.322795355983995</v>
      </c>
      <c r="Q2555">
        <v>7.3862673921272073</v>
      </c>
      <c r="R2555">
        <v>11.951825330878442</v>
      </c>
      <c r="S2555">
        <v>6.4824590569575191</v>
      </c>
      <c r="T2555">
        <v>20.252995236906028</v>
      </c>
      <c r="U2555">
        <f t="shared" si="245"/>
        <v>12.826815625407622</v>
      </c>
      <c r="V2555" t="str">
        <f t="shared" si="243"/>
        <v>2015/16Expenditure driversI&amp;MDNO Actual</v>
      </c>
    </row>
    <row r="2556" spans="1:22">
      <c r="A2556" t="s">
        <v>138</v>
      </c>
      <c r="C2556" t="s">
        <v>1344</v>
      </c>
      <c r="D2556" t="s">
        <v>97</v>
      </c>
      <c r="E2556" t="s">
        <v>1349</v>
      </c>
      <c r="F2556" t="s">
        <v>1289</v>
      </c>
      <c r="G2556">
        <v>12.253120403034625</v>
      </c>
      <c r="H2556">
        <v>8.7174621930318459</v>
      </c>
      <c r="I2556">
        <v>12.53721688734627</v>
      </c>
      <c r="J2556">
        <v>15.897718278287645</v>
      </c>
      <c r="K2556">
        <v>14.345403959364811</v>
      </c>
      <c r="L2556">
        <v>7.6288851210602582</v>
      </c>
      <c r="M2556">
        <v>10.597304635611641</v>
      </c>
      <c r="N2556">
        <v>14.076335899657975</v>
      </c>
      <c r="O2556">
        <v>9.8219592326520786</v>
      </c>
      <c r="P2556">
        <v>11.510036139645141</v>
      </c>
      <c r="Q2556">
        <v>9.7998835714016259</v>
      </c>
      <c r="R2556">
        <v>15.229720197529957</v>
      </c>
      <c r="S2556">
        <v>7.161569791432755</v>
      </c>
      <c r="T2556">
        <v>18.487597496265359</v>
      </c>
      <c r="U2556">
        <f t="shared" si="245"/>
        <v>12.004586700451569</v>
      </c>
      <c r="V2556" t="str">
        <f t="shared" si="243"/>
        <v>2016/17Expenditure driversI&amp;MDNO Actual</v>
      </c>
    </row>
    <row r="2557" spans="1:22">
      <c r="A2557" t="s">
        <v>139</v>
      </c>
      <c r="C2557" t="s">
        <v>1344</v>
      </c>
      <c r="D2557" t="s">
        <v>97</v>
      </c>
      <c r="E2557" t="s">
        <v>1349</v>
      </c>
      <c r="F2557" t="s">
        <v>1289</v>
      </c>
      <c r="G2557">
        <v>11.173390977149479</v>
      </c>
      <c r="H2557">
        <v>7.2204933224832741</v>
      </c>
      <c r="I2557">
        <v>11.26759095960877</v>
      </c>
      <c r="J2557">
        <v>13.413700066931479</v>
      </c>
      <c r="K2557">
        <v>12.937186040420793</v>
      </c>
      <c r="L2557">
        <v>8.896437644593826</v>
      </c>
      <c r="M2557">
        <v>9.71477408442097</v>
      </c>
      <c r="N2557">
        <v>13.740346599282113</v>
      </c>
      <c r="O2557">
        <v>11.400373247384655</v>
      </c>
      <c r="P2557">
        <v>13.158064542981666</v>
      </c>
      <c r="Q2557">
        <v>9.3174800683241319</v>
      </c>
      <c r="R2557">
        <v>12.763799914901613</v>
      </c>
      <c r="S2557">
        <v>5.2295081212258792</v>
      </c>
      <c r="T2557">
        <v>19.419565305442767</v>
      </c>
      <c r="U2557">
        <f t="shared" si="245"/>
        <v>11.403765063939385</v>
      </c>
      <c r="V2557" t="str">
        <f t="shared" si="243"/>
        <v>2017/18Expenditure driversI&amp;MDNO Actual</v>
      </c>
    </row>
    <row r="2558" spans="1:22">
      <c r="A2558" t="s">
        <v>140</v>
      </c>
      <c r="C2558" t="s">
        <v>1344</v>
      </c>
      <c r="D2558" t="s">
        <v>97</v>
      </c>
      <c r="E2558" t="s">
        <v>1349</v>
      </c>
      <c r="F2558" t="s">
        <v>1289</v>
      </c>
      <c r="G2558">
        <v>12.444668823416212</v>
      </c>
      <c r="H2558">
        <v>9.1800443543433463</v>
      </c>
      <c r="I2558">
        <v>10.846025100412728</v>
      </c>
      <c r="J2558">
        <v>14.056080604854083</v>
      </c>
      <c r="K2558">
        <v>13.001709814053964</v>
      </c>
      <c r="L2558">
        <v>7.7682964618012917</v>
      </c>
      <c r="M2558">
        <v>9.7770924788569342</v>
      </c>
      <c r="N2558">
        <v>12.57008311925382</v>
      </c>
      <c r="O2558">
        <v>13.052298984723882</v>
      </c>
      <c r="P2558">
        <v>13.925199724727607</v>
      </c>
      <c r="Q2558">
        <v>9.7209012695314758</v>
      </c>
      <c r="R2558">
        <v>12.541189670579381</v>
      </c>
      <c r="S2558">
        <v>4.6785764964805923</v>
      </c>
      <c r="T2558">
        <v>15.384119410391218</v>
      </c>
      <c r="U2558">
        <f>AVERAGE(G2558:T2558)</f>
        <v>11.353306165244751</v>
      </c>
      <c r="V2558" t="str">
        <f t="shared" si="243"/>
        <v>2018/19Expenditure driversI&amp;MDNO Actual</v>
      </c>
    </row>
    <row r="2559" spans="1:22">
      <c r="A2559" t="s">
        <v>141</v>
      </c>
      <c r="C2559" t="s">
        <v>1344</v>
      </c>
      <c r="D2559" t="s">
        <v>97</v>
      </c>
      <c r="E2559" t="s">
        <v>1349</v>
      </c>
      <c r="F2559" t="s">
        <v>1289</v>
      </c>
      <c r="G2559">
        <v>10.443051043320301</v>
      </c>
      <c r="H2559">
        <v>11.068688297514615</v>
      </c>
      <c r="I2559">
        <v>12.305551320395665</v>
      </c>
      <c r="J2559">
        <v>12.660780300163086</v>
      </c>
      <c r="K2559">
        <v>12.576203803992541</v>
      </c>
      <c r="L2559">
        <v>7.3442375155689819</v>
      </c>
      <c r="M2559">
        <v>9.5335911189711062</v>
      </c>
      <c r="N2559">
        <v>13.066647503625129</v>
      </c>
      <c r="O2559">
        <v>12.313853859284862</v>
      </c>
      <c r="P2559">
        <v>14.826887333019123</v>
      </c>
      <c r="Q2559">
        <v>9.3955401729363945</v>
      </c>
      <c r="R2559">
        <v>11.253160692528461</v>
      </c>
      <c r="S2559">
        <v>4.5077689935706315</v>
      </c>
      <c r="T2559">
        <v>14.271656636136907</v>
      </c>
      <c r="U2559">
        <f>AVERAGE(G2559:T2559)</f>
        <v>11.111972756501986</v>
      </c>
      <c r="V2559" t="str">
        <f t="shared" si="243"/>
        <v>2019/20Expenditure driversI&amp;MDNO Actual</v>
      </c>
    </row>
    <row r="2560" spans="1:22">
      <c r="A2560" t="s">
        <v>126</v>
      </c>
      <c r="C2560" t="s">
        <v>1344</v>
      </c>
      <c r="D2560" t="s">
        <v>97</v>
      </c>
      <c r="E2560" t="s">
        <v>1349</v>
      </c>
      <c r="F2560" t="s">
        <v>1289</v>
      </c>
      <c r="G2560">
        <v>10.94279761903203</v>
      </c>
      <c r="H2560">
        <v>10.322396438147226</v>
      </c>
      <c r="I2560">
        <v>12.592658325785095</v>
      </c>
      <c r="J2560">
        <v>12.652921626151134</v>
      </c>
      <c r="K2560">
        <v>11.233408098121137</v>
      </c>
      <c r="L2560">
        <v>6.5739765847290839</v>
      </c>
      <c r="M2560">
        <v>8.2833162727294383</v>
      </c>
      <c r="N2560">
        <v>15.371825496401412</v>
      </c>
      <c r="O2560">
        <v>12.110617976029269</v>
      </c>
      <c r="P2560">
        <v>15.463955415946293</v>
      </c>
      <c r="Q2560">
        <v>8.9039432427575065</v>
      </c>
      <c r="R2560">
        <v>11.456878120056023</v>
      </c>
      <c r="S2560">
        <v>3.9853683429961895</v>
      </c>
      <c r="T2560">
        <v>13.154706510356565</v>
      </c>
      <c r="U2560">
        <f>AVERAGE(G2560:T2560)</f>
        <v>10.9320550049456</v>
      </c>
      <c r="V2560" t="str">
        <f t="shared" si="243"/>
        <v>2020/21Expenditure driversI&amp;MDNO Actual</v>
      </c>
    </row>
    <row r="2561" spans="1:22">
      <c r="A2561" t="s">
        <v>142</v>
      </c>
      <c r="C2561" t="s">
        <v>1344</v>
      </c>
      <c r="D2561" t="s">
        <v>97</v>
      </c>
      <c r="E2561" t="s">
        <v>1349</v>
      </c>
      <c r="F2561" t="s">
        <v>1289</v>
      </c>
      <c r="G2561">
        <v>9.4236121714589416</v>
      </c>
      <c r="H2561">
        <v>7.3712895701013279</v>
      </c>
      <c r="I2561">
        <v>9.4458760939746771</v>
      </c>
      <c r="J2561">
        <v>12.798499999999999</v>
      </c>
      <c r="K2561">
        <v>11.176399999999999</v>
      </c>
      <c r="L2561">
        <v>6.7292999999999994</v>
      </c>
      <c r="M2561">
        <v>9.2222999999999988</v>
      </c>
      <c r="N2561">
        <v>15.489664737799906</v>
      </c>
      <c r="O2561">
        <v>10.753639091523976</v>
      </c>
      <c r="P2561">
        <v>15.663342597668045</v>
      </c>
      <c r="Q2561">
        <v>8.450575242587032</v>
      </c>
      <c r="R2561">
        <v>10.799037976526078</v>
      </c>
      <c r="S2561">
        <v>3.2889735400000006</v>
      </c>
      <c r="T2561">
        <v>11.260292249999999</v>
      </c>
      <c r="U2561">
        <f>AVERAGE(G2561:T2561)</f>
        <v>10.133771662259999</v>
      </c>
      <c r="V2561" t="str">
        <f t="shared" ref="V2561" si="246">CONCATENATE(A2561,B2561,C2561,D2561,E2561)</f>
        <v>2021/22Expenditure driversI&amp;MDNO Actual</v>
      </c>
    </row>
    <row r="2562" spans="1:22">
      <c r="A2562" t="s">
        <v>137</v>
      </c>
      <c r="C2562" t="s">
        <v>1344</v>
      </c>
      <c r="D2562" t="s">
        <v>97</v>
      </c>
      <c r="E2562" t="s">
        <v>297</v>
      </c>
      <c r="F2562" t="s">
        <v>1289</v>
      </c>
      <c r="G2562">
        <f t="array" ref="G2562:T2565">TRANSPOSE('Ch4 expenditure drivers'!AF734:AI747)</f>
        <v>10.133792492247753</v>
      </c>
      <c r="H2562">
        <v>7.2166619231214302</v>
      </c>
      <c r="I2562">
        <v>10.280761327028191</v>
      </c>
      <c r="J2562">
        <v>11.842205718317333</v>
      </c>
      <c r="K2562">
        <v>10.663914561215986</v>
      </c>
      <c r="L2562">
        <v>6.1323879321084256</v>
      </c>
      <c r="M2562">
        <v>8.4928978581177663</v>
      </c>
      <c r="N2562">
        <v>19.992478582877013</v>
      </c>
      <c r="O2562">
        <v>11.060984409069427</v>
      </c>
      <c r="P2562">
        <v>17.539394192838873</v>
      </c>
      <c r="Q2562">
        <v>8.3790820357653093</v>
      </c>
      <c r="R2562">
        <v>10.494548787186162</v>
      </c>
      <c r="S2562">
        <v>5.604207165533003</v>
      </c>
      <c r="T2562">
        <v>16.836870900508583</v>
      </c>
      <c r="U2562">
        <f t="shared" si="245"/>
        <v>11.047870563281091</v>
      </c>
      <c r="V2562" t="str">
        <f t="shared" si="243"/>
        <v>2015/16Expenditure driversI&amp;MAllowance</v>
      </c>
    </row>
    <row r="2563" spans="1:22">
      <c r="A2563" t="s">
        <v>137</v>
      </c>
      <c r="C2563" t="s">
        <v>1344</v>
      </c>
      <c r="D2563" t="s">
        <v>97</v>
      </c>
      <c r="E2563" t="s">
        <v>298</v>
      </c>
      <c r="F2563" t="s">
        <v>1289</v>
      </c>
      <c r="G2563">
        <v>13.476332645476973</v>
      </c>
      <c r="H2563">
        <v>9.3589124672303807</v>
      </c>
      <c r="I2563">
        <v>13.095671202763807</v>
      </c>
      <c r="J2563">
        <v>18.12618615981776</v>
      </c>
      <c r="K2563">
        <v>17.906700149942377</v>
      </c>
      <c r="L2563">
        <v>8.9425556810428901</v>
      </c>
      <c r="M2563">
        <v>11.825858237001462</v>
      </c>
      <c r="N2563">
        <v>14.409330443119575</v>
      </c>
      <c r="O2563">
        <v>11.037529396458325</v>
      </c>
      <c r="P2563">
        <v>15.322795355983995</v>
      </c>
      <c r="Q2563">
        <v>7.3862673921272073</v>
      </c>
      <c r="R2563">
        <v>11.951825330878442</v>
      </c>
      <c r="S2563">
        <v>6.4824590569575191</v>
      </c>
      <c r="T2563">
        <v>20.252995236906028</v>
      </c>
      <c r="U2563">
        <f t="shared" si="245"/>
        <v>12.826815625407622</v>
      </c>
      <c r="V2563" t="str">
        <f t="shared" si="243"/>
        <v>2015/16Expenditure driversI&amp;MActual</v>
      </c>
    </row>
    <row r="2564" spans="1:22">
      <c r="A2564" t="s">
        <v>137</v>
      </c>
      <c r="C2564" t="s">
        <v>1344</v>
      </c>
      <c r="D2564" t="s">
        <v>97</v>
      </c>
      <c r="E2564" t="s">
        <v>602</v>
      </c>
      <c r="F2564" t="s">
        <v>1289</v>
      </c>
      <c r="G2564">
        <v>3.3425401532292192</v>
      </c>
      <c r="H2564">
        <v>2.1422505441089505</v>
      </c>
      <c r="I2564">
        <v>2.8149098757356157</v>
      </c>
      <c r="J2564">
        <v>6.283980441500427</v>
      </c>
      <c r="K2564">
        <v>7.2427855887263917</v>
      </c>
      <c r="L2564">
        <v>2.8101677489344645</v>
      </c>
      <c r="M2564">
        <v>3.3329603788836959</v>
      </c>
      <c r="N2564">
        <v>-5.5831481397574372</v>
      </c>
      <c r="O2564">
        <v>-2.3455012611101722E-2</v>
      </c>
      <c r="P2564">
        <v>-2.2165988368548781</v>
      </c>
      <c r="Q2564">
        <v>-0.99281464363810201</v>
      </c>
      <c r="R2564">
        <v>1.4572765436922808</v>
      </c>
      <c r="S2564">
        <v>0.8782518914245161</v>
      </c>
      <c r="T2564">
        <v>3.4161243363974449</v>
      </c>
      <c r="U2564">
        <f>U2563-U2562</f>
        <v>1.7789450621265317</v>
      </c>
      <c r="V2564" t="str">
        <f t="shared" si="243"/>
        <v>2015/16Expenditure driversI&amp;MDifference</v>
      </c>
    </row>
    <row r="2565" spans="1:22">
      <c r="A2565" t="s">
        <v>137</v>
      </c>
      <c r="C2565" t="s">
        <v>1344</v>
      </c>
      <c r="D2565" t="s">
        <v>97</v>
      </c>
      <c r="E2565" t="s">
        <v>1346</v>
      </c>
      <c r="F2565" t="s">
        <v>606</v>
      </c>
      <c r="G2565" s="829">
        <v>0.32984099050639015</v>
      </c>
      <c r="H2565" s="829">
        <v>0.2968478455732288</v>
      </c>
      <c r="I2565" s="829">
        <v>0.27380364023578668</v>
      </c>
      <c r="J2565" s="829">
        <v>0.53064273590353761</v>
      </c>
      <c r="K2565" s="829">
        <v>0.67918638574505896</v>
      </c>
      <c r="L2565" s="829">
        <v>0.45825015965163807</v>
      </c>
      <c r="M2565" s="829">
        <v>0.39244088820613243</v>
      </c>
      <c r="N2565" s="829">
        <v>-0.27926242944880503</v>
      </c>
      <c r="O2565" s="829">
        <v>-2.1205176450542541E-3</v>
      </c>
      <c r="P2565" s="829">
        <v>-0.126378300897068</v>
      </c>
      <c r="Q2565" s="829">
        <v>-0.1184872805159763</v>
      </c>
      <c r="R2565" s="829">
        <v>0.13886033342106283</v>
      </c>
      <c r="S2565" s="829">
        <v>0.15671295965394377</v>
      </c>
      <c r="T2565" s="829">
        <v>0.20289544040479968</v>
      </c>
      <c r="U2565" s="829">
        <f>U2564/U2562</f>
        <v>0.16102153369166605</v>
      </c>
      <c r="V2565" t="str">
        <f t="shared" si="243"/>
        <v>2015/16Expenditure driversI&amp;MDifference %</v>
      </c>
    </row>
    <row r="2566" spans="1:22">
      <c r="A2566" t="s">
        <v>138</v>
      </c>
      <c r="C2566" t="s">
        <v>1344</v>
      </c>
      <c r="D2566" t="s">
        <v>97</v>
      </c>
      <c r="E2566" t="s">
        <v>297</v>
      </c>
      <c r="F2566" t="s">
        <v>1289</v>
      </c>
      <c r="G2566">
        <f t="array" ref="G2566:T2569">TRANSPOSE('Ch4 expenditure drivers'!AK734:AN747)</f>
        <v>9.551389058880611</v>
      </c>
      <c r="H2566">
        <v>7.3484939100443167</v>
      </c>
      <c r="I2566">
        <v>10.15286552395537</v>
      </c>
      <c r="J2566">
        <v>11.836796911818686</v>
      </c>
      <c r="K2566">
        <v>10.669668139476405</v>
      </c>
      <c r="L2566">
        <v>6.126972649693136</v>
      </c>
      <c r="M2566">
        <v>8.4862924251463436</v>
      </c>
      <c r="N2566">
        <v>19.58029107366831</v>
      </c>
      <c r="O2566">
        <v>10.968001684435674</v>
      </c>
      <c r="P2566">
        <v>17.031471170218616</v>
      </c>
      <c r="Q2566">
        <v>8.3464858861462083</v>
      </c>
      <c r="R2566">
        <v>10.468134224155403</v>
      </c>
      <c r="S2566">
        <v>5.6505220453589802</v>
      </c>
      <c r="T2566">
        <v>16.410924662944385</v>
      </c>
      <c r="U2566">
        <f t="shared" si="245"/>
        <v>10.902022097567315</v>
      </c>
      <c r="V2566" t="str">
        <f t="shared" si="243"/>
        <v>2016/17Expenditure driversI&amp;MAllowance</v>
      </c>
    </row>
    <row r="2567" spans="1:22">
      <c r="A2567" t="s">
        <v>138</v>
      </c>
      <c r="C2567" t="s">
        <v>1344</v>
      </c>
      <c r="D2567" t="s">
        <v>97</v>
      </c>
      <c r="E2567" t="s">
        <v>298</v>
      </c>
      <c r="F2567" t="s">
        <v>1289</v>
      </c>
      <c r="G2567">
        <v>12.253120403034625</v>
      </c>
      <c r="H2567">
        <v>8.7174621930318459</v>
      </c>
      <c r="I2567">
        <v>12.53721688734627</v>
      </c>
      <c r="J2567">
        <v>15.897718278287645</v>
      </c>
      <c r="K2567">
        <v>14.345403959364811</v>
      </c>
      <c r="L2567">
        <v>7.6288851210602582</v>
      </c>
      <c r="M2567">
        <v>10.597304635611641</v>
      </c>
      <c r="N2567">
        <v>14.076335899657975</v>
      </c>
      <c r="O2567">
        <v>9.8219592326520786</v>
      </c>
      <c r="P2567">
        <v>11.510036139645141</v>
      </c>
      <c r="Q2567">
        <v>9.7998835714016259</v>
      </c>
      <c r="R2567">
        <v>15.229720197529957</v>
      </c>
      <c r="S2567">
        <v>7.161569791432755</v>
      </c>
      <c r="T2567">
        <v>18.487597496265359</v>
      </c>
      <c r="U2567">
        <f t="shared" si="245"/>
        <v>12.004586700451569</v>
      </c>
      <c r="V2567" t="str">
        <f t="shared" si="243"/>
        <v>2016/17Expenditure driversI&amp;MActual</v>
      </c>
    </row>
    <row r="2568" spans="1:22">
      <c r="A2568" t="s">
        <v>138</v>
      </c>
      <c r="C2568" t="s">
        <v>1344</v>
      </c>
      <c r="D2568" t="s">
        <v>97</v>
      </c>
      <c r="E2568" t="s">
        <v>602</v>
      </c>
      <c r="F2568" t="s">
        <v>1289</v>
      </c>
      <c r="G2568">
        <v>2.7017313441540143</v>
      </c>
      <c r="H2568">
        <v>1.3689682829875292</v>
      </c>
      <c r="I2568">
        <v>2.3843513633909001</v>
      </c>
      <c r="J2568">
        <v>4.0609213664689587</v>
      </c>
      <c r="K2568">
        <v>3.6757358198884056</v>
      </c>
      <c r="L2568">
        <v>1.5019124713671221</v>
      </c>
      <c r="M2568">
        <v>2.1110122104652973</v>
      </c>
      <c r="N2568">
        <v>-5.5039551740103345</v>
      </c>
      <c r="O2568">
        <v>-1.146042451783595</v>
      </c>
      <c r="P2568">
        <v>-5.5214350305734747</v>
      </c>
      <c r="Q2568">
        <v>1.4533976852554176</v>
      </c>
      <c r="R2568">
        <v>4.7615859733745545</v>
      </c>
      <c r="S2568">
        <v>1.5110477460737748</v>
      </c>
      <c r="T2568">
        <v>2.0766728333209734</v>
      </c>
      <c r="U2568">
        <f>U2567-U2566</f>
        <v>1.1025646028842537</v>
      </c>
      <c r="V2568" t="str">
        <f t="shared" si="243"/>
        <v>2016/17Expenditure driversI&amp;MDifference</v>
      </c>
    </row>
    <row r="2569" spans="1:22">
      <c r="A2569" t="s">
        <v>138</v>
      </c>
      <c r="C2569" t="s">
        <v>1344</v>
      </c>
      <c r="D2569" t="s">
        <v>97</v>
      </c>
      <c r="E2569" t="s">
        <v>1346</v>
      </c>
      <c r="F2569" t="s">
        <v>606</v>
      </c>
      <c r="G2569" s="829">
        <v>0.28286266295916623</v>
      </c>
      <c r="H2569" s="829">
        <v>0.18629236136623176</v>
      </c>
      <c r="I2569" s="829">
        <v>0.23484516344327594</v>
      </c>
      <c r="J2569" s="829">
        <v>0.3430760362555727</v>
      </c>
      <c r="K2569" s="829">
        <v>0.34450329399549495</v>
      </c>
      <c r="L2569" s="829">
        <v>0.24513125114771714</v>
      </c>
      <c r="M2569" s="829">
        <v>0.24875553477393791</v>
      </c>
      <c r="N2569" s="829">
        <v>-0.28109669837401374</v>
      </c>
      <c r="O2569" s="829">
        <v>-0.10448963127074512</v>
      </c>
      <c r="P2569" s="829">
        <v>-0.32419014044002881</v>
      </c>
      <c r="Q2569" s="829">
        <v>0.17413288719122119</v>
      </c>
      <c r="R2569" s="829">
        <v>0.45486481844941495</v>
      </c>
      <c r="S2569" s="829">
        <v>0.2674173702790637</v>
      </c>
      <c r="T2569" s="829">
        <v>0.12654209777771197</v>
      </c>
      <c r="U2569" s="829">
        <f>U2568/U2566</f>
        <v>0.10113395414326676</v>
      </c>
      <c r="V2569" t="str">
        <f t="shared" si="243"/>
        <v>2016/17Expenditure driversI&amp;MDifference %</v>
      </c>
    </row>
    <row r="2570" spans="1:22">
      <c r="A2570" t="s">
        <v>139</v>
      </c>
      <c r="C2570" t="s">
        <v>1344</v>
      </c>
      <c r="D2570" t="s">
        <v>97</v>
      </c>
      <c r="E2570" t="s">
        <v>297</v>
      </c>
      <c r="F2570" t="s">
        <v>1289</v>
      </c>
      <c r="G2570">
        <f t="array" ref="G2570:T2573">TRANSPOSE('Ch4 expenditure drivers'!AP734:AS747)</f>
        <v>9.3744438668317702</v>
      </c>
      <c r="H2570">
        <v>7.3396510405691844</v>
      </c>
      <c r="I2570">
        <v>10.182196486117148</v>
      </c>
      <c r="J2570">
        <v>11.811762388677518</v>
      </c>
      <c r="K2570">
        <v>10.639594360988166</v>
      </c>
      <c r="L2570">
        <v>6.1024188093121676</v>
      </c>
      <c r="M2570">
        <v>8.4485642483975916</v>
      </c>
      <c r="N2570">
        <v>18.604414236166441</v>
      </c>
      <c r="O2570">
        <v>10.410404878234619</v>
      </c>
      <c r="P2570">
        <v>16.369340797156724</v>
      </c>
      <c r="Q2570">
        <v>8.2294382821322358</v>
      </c>
      <c r="R2570">
        <v>10.162369103219273</v>
      </c>
      <c r="S2570">
        <v>5.6222060584683424</v>
      </c>
      <c r="T2570">
        <v>16.714104469931033</v>
      </c>
      <c r="U2570">
        <f t="shared" si="245"/>
        <v>10.715064930443017</v>
      </c>
      <c r="V2570" t="str">
        <f t="shared" si="243"/>
        <v>2017/18Expenditure driversI&amp;MAllowance</v>
      </c>
    </row>
    <row r="2571" spans="1:22">
      <c r="A2571" t="s">
        <v>139</v>
      </c>
      <c r="C2571" t="s">
        <v>1344</v>
      </c>
      <c r="D2571" t="s">
        <v>97</v>
      </c>
      <c r="E2571" t="s">
        <v>298</v>
      </c>
      <c r="F2571" t="s">
        <v>1289</v>
      </c>
      <c r="G2571">
        <v>11.173390977149479</v>
      </c>
      <c r="H2571">
        <v>7.2204933224832741</v>
      </c>
      <c r="I2571">
        <v>11.26759095960877</v>
      </c>
      <c r="J2571">
        <v>13.413700066931479</v>
      </c>
      <c r="K2571">
        <v>12.937186040420793</v>
      </c>
      <c r="L2571">
        <v>8.896437644593826</v>
      </c>
      <c r="M2571">
        <v>9.71477408442097</v>
      </c>
      <c r="N2571">
        <v>13.740346599282113</v>
      </c>
      <c r="O2571">
        <v>11.400373247384655</v>
      </c>
      <c r="P2571">
        <v>13.158064542981666</v>
      </c>
      <c r="Q2571">
        <v>9.3174800683241319</v>
      </c>
      <c r="R2571">
        <v>12.763799914901613</v>
      </c>
      <c r="S2571">
        <v>5.2295081212258792</v>
      </c>
      <c r="T2571">
        <v>19.419565305442767</v>
      </c>
      <c r="U2571">
        <f t="shared" si="245"/>
        <v>11.403765063939385</v>
      </c>
      <c r="V2571" t="str">
        <f t="shared" si="243"/>
        <v>2017/18Expenditure driversI&amp;MActual</v>
      </c>
    </row>
    <row r="2572" spans="1:22">
      <c r="A2572" t="s">
        <v>139</v>
      </c>
      <c r="C2572" t="s">
        <v>1344</v>
      </c>
      <c r="D2572" t="s">
        <v>97</v>
      </c>
      <c r="E2572" t="s">
        <v>602</v>
      </c>
      <c r="F2572" t="s">
        <v>1289</v>
      </c>
      <c r="G2572">
        <v>1.7989471103177088</v>
      </c>
      <c r="H2572">
        <v>-0.11915771808591025</v>
      </c>
      <c r="I2572">
        <v>1.0853944734916219</v>
      </c>
      <c r="J2572">
        <v>1.6019376782539609</v>
      </c>
      <c r="K2572">
        <v>2.2975916794326263</v>
      </c>
      <c r="L2572">
        <v>2.7940188352816584</v>
      </c>
      <c r="M2572">
        <v>1.2662098360233784</v>
      </c>
      <c r="N2572">
        <v>-4.8640676368843287</v>
      </c>
      <c r="O2572">
        <v>0.98996836915003605</v>
      </c>
      <c r="P2572">
        <v>-3.2112762541750577</v>
      </c>
      <c r="Q2572">
        <v>1.0880417861918961</v>
      </c>
      <c r="R2572">
        <v>2.6014308116823397</v>
      </c>
      <c r="S2572">
        <v>-0.39269793724246327</v>
      </c>
      <c r="T2572">
        <v>2.7054608355117331</v>
      </c>
      <c r="U2572">
        <f>U2571-U2570</f>
        <v>0.68870013349636849</v>
      </c>
      <c r="V2572" t="str">
        <f t="shared" si="243"/>
        <v>2017/18Expenditure driversI&amp;MDifference</v>
      </c>
    </row>
    <row r="2573" spans="1:22">
      <c r="A2573" t="s">
        <v>139</v>
      </c>
      <c r="C2573" t="s">
        <v>1344</v>
      </c>
      <c r="D2573" t="s">
        <v>97</v>
      </c>
      <c r="E2573" t="s">
        <v>1346</v>
      </c>
      <c r="F2573" t="s">
        <v>606</v>
      </c>
      <c r="G2573" s="829">
        <v>0.19189907538757167</v>
      </c>
      <c r="H2573" s="829">
        <v>-1.6234793374681974E-2</v>
      </c>
      <c r="I2573" s="829">
        <v>0.10659728232228638</v>
      </c>
      <c r="J2573" s="829">
        <v>0.13562224040246029</v>
      </c>
      <c r="K2573" s="829">
        <v>0.21594730038366186</v>
      </c>
      <c r="L2573" s="829">
        <v>0.45785432343942734</v>
      </c>
      <c r="M2573" s="829">
        <v>0.14987278297179735</v>
      </c>
      <c r="N2573" s="829">
        <v>-0.26144696495892478</v>
      </c>
      <c r="O2573" s="829">
        <v>9.5094127531946043E-2</v>
      </c>
      <c r="P2573" s="829">
        <v>-0.19617627209110589</v>
      </c>
      <c r="Q2573" s="829">
        <v>0.13221337215132331</v>
      </c>
      <c r="R2573" s="829">
        <v>0.25598664890633116</v>
      </c>
      <c r="S2573" s="829">
        <v>-6.9847660003668738E-2</v>
      </c>
      <c r="T2573" s="829">
        <v>0.16186693342613148</v>
      </c>
      <c r="U2573" s="829">
        <f>U2572/U2570</f>
        <v>6.4274004680986471E-2</v>
      </c>
      <c r="V2573" t="str">
        <f t="shared" si="243"/>
        <v>2017/18Expenditure driversI&amp;MDifference %</v>
      </c>
    </row>
    <row r="2574" spans="1:22">
      <c r="A2574" t="s">
        <v>140</v>
      </c>
      <c r="C2574" t="s">
        <v>1344</v>
      </c>
      <c r="D2574" t="s">
        <v>97</v>
      </c>
      <c r="E2574" t="s">
        <v>297</v>
      </c>
      <c r="F2574" t="s">
        <v>1289</v>
      </c>
      <c r="G2574">
        <f t="array" ref="G2574:T2577">TRANSPOSE('Ch4 expenditure drivers'!AU734:AX747)</f>
        <v>9.4930718113419239</v>
      </c>
      <c r="H2574">
        <v>7.3516848071538705</v>
      </c>
      <c r="I2574">
        <v>10.36119535150212</v>
      </c>
      <c r="J2574">
        <v>11.829790800146682</v>
      </c>
      <c r="K2574">
        <v>10.653963909211823</v>
      </c>
      <c r="L2574">
        <v>6.1029432675998532</v>
      </c>
      <c r="M2574">
        <v>8.4397022830944053</v>
      </c>
      <c r="N2574">
        <v>18.541196708710917</v>
      </c>
      <c r="O2574">
        <v>10.23446046000999</v>
      </c>
      <c r="P2574">
        <v>16.270333463053156</v>
      </c>
      <c r="Q2574">
        <v>8.1090130105129603</v>
      </c>
      <c r="R2574">
        <v>9.8255588516633967</v>
      </c>
      <c r="S2574">
        <v>5.6491861393785205</v>
      </c>
      <c r="T2574">
        <v>16.941314648862026</v>
      </c>
      <c r="U2574">
        <f>AVERAGE(G2574:T2574)</f>
        <v>10.700243965160118</v>
      </c>
      <c r="V2574" t="str">
        <f t="shared" si="243"/>
        <v>2018/19Expenditure driversI&amp;MAllowance</v>
      </c>
    </row>
    <row r="2575" spans="1:22">
      <c r="A2575" t="s">
        <v>140</v>
      </c>
      <c r="C2575" t="s">
        <v>1344</v>
      </c>
      <c r="D2575" t="s">
        <v>97</v>
      </c>
      <c r="E2575" t="s">
        <v>298</v>
      </c>
      <c r="F2575" t="s">
        <v>1289</v>
      </c>
      <c r="G2575">
        <v>12.444668823416212</v>
      </c>
      <c r="H2575">
        <v>9.1800443543433463</v>
      </c>
      <c r="I2575">
        <v>10.846025100412728</v>
      </c>
      <c r="J2575">
        <v>14.056080604854083</v>
      </c>
      <c r="K2575">
        <v>13.001709814053964</v>
      </c>
      <c r="L2575">
        <v>7.7682964618012917</v>
      </c>
      <c r="M2575">
        <v>9.7770924788569342</v>
      </c>
      <c r="N2575">
        <v>12.57008311925382</v>
      </c>
      <c r="O2575">
        <v>13.052298984723882</v>
      </c>
      <c r="P2575">
        <v>13.925199724727607</v>
      </c>
      <c r="Q2575">
        <v>9.7209012695314758</v>
      </c>
      <c r="R2575">
        <v>12.541189670579381</v>
      </c>
      <c r="S2575">
        <v>4.6785764964805923</v>
      </c>
      <c r="T2575">
        <v>15.384119410391218</v>
      </c>
      <c r="U2575">
        <f>AVERAGE(G2575:T2575)</f>
        <v>11.353306165244751</v>
      </c>
      <c r="V2575" t="str">
        <f t="shared" si="243"/>
        <v>2018/19Expenditure driversI&amp;MActual</v>
      </c>
    </row>
    <row r="2576" spans="1:22">
      <c r="A2576" t="s">
        <v>140</v>
      </c>
      <c r="C2576" t="s">
        <v>1344</v>
      </c>
      <c r="D2576" t="s">
        <v>97</v>
      </c>
      <c r="E2576" t="s">
        <v>602</v>
      </c>
      <c r="F2576" t="s">
        <v>1289</v>
      </c>
      <c r="G2576">
        <v>2.9515970120742878</v>
      </c>
      <c r="H2576">
        <v>1.8283595471894758</v>
      </c>
      <c r="I2576">
        <v>0.48482974891060771</v>
      </c>
      <c r="J2576">
        <v>2.2262898047074007</v>
      </c>
      <c r="K2576">
        <v>2.3477459048421405</v>
      </c>
      <c r="L2576">
        <v>1.6653531942014386</v>
      </c>
      <c r="M2576">
        <v>1.3373901957625289</v>
      </c>
      <c r="N2576">
        <v>-5.9711135894570972</v>
      </c>
      <c r="O2576">
        <v>2.817838524713892</v>
      </c>
      <c r="P2576">
        <v>-2.3451337383255488</v>
      </c>
      <c r="Q2576">
        <v>1.6118882590185155</v>
      </c>
      <c r="R2576">
        <v>2.7156308189159848</v>
      </c>
      <c r="S2576">
        <v>-0.97060964289792828</v>
      </c>
      <c r="T2576">
        <v>-1.5571952384708077</v>
      </c>
      <c r="U2576">
        <f>U2575-U2574</f>
        <v>0.65306220008463356</v>
      </c>
      <c r="V2576" t="str">
        <f t="shared" si="243"/>
        <v>2018/19Expenditure driversI&amp;MDifference</v>
      </c>
    </row>
    <row r="2577" spans="1:22">
      <c r="A2577" t="s">
        <v>140</v>
      </c>
      <c r="C2577" t="s">
        <v>1344</v>
      </c>
      <c r="D2577" t="s">
        <v>97</v>
      </c>
      <c r="E2577" t="s">
        <v>1346</v>
      </c>
      <c r="F2577" t="s">
        <v>606</v>
      </c>
      <c r="G2577" s="829">
        <v>0.31092117185375584</v>
      </c>
      <c r="H2577" s="829">
        <v>0.2486993927446825</v>
      </c>
      <c r="I2577" s="829">
        <v>4.6792839287632892E-2</v>
      </c>
      <c r="J2577" s="829">
        <v>0.18819350589697631</v>
      </c>
      <c r="K2577" s="829">
        <v>0.22036360596380375</v>
      </c>
      <c r="L2577" s="829">
        <v>0.27287705639387067</v>
      </c>
      <c r="M2577" s="829">
        <v>0.1584641437460963</v>
      </c>
      <c r="N2577" s="829">
        <v>-0.32204574943384229</v>
      </c>
      <c r="O2577" s="829">
        <v>0.27532848807460647</v>
      </c>
      <c r="P2577" s="829">
        <v>-0.14413556696000751</v>
      </c>
      <c r="Q2577" s="829">
        <v>0.19877736747108149</v>
      </c>
      <c r="R2577" s="829">
        <v>0.27638436244837594</v>
      </c>
      <c r="S2577" s="829">
        <v>-0.17181406647802672</v>
      </c>
      <c r="T2577" s="829">
        <v>-9.1917024785051551E-2</v>
      </c>
      <c r="U2577" s="829">
        <f>U2576/U2574</f>
        <v>6.1032458905703205E-2</v>
      </c>
      <c r="V2577" t="str">
        <f t="shared" si="243"/>
        <v>2018/19Expenditure driversI&amp;MDifference %</v>
      </c>
    </row>
    <row r="2578" spans="1:22">
      <c r="A2578" t="s">
        <v>141</v>
      </c>
      <c r="C2578" t="s">
        <v>1344</v>
      </c>
      <c r="D2578" t="s">
        <v>97</v>
      </c>
      <c r="E2578" t="s">
        <v>297</v>
      </c>
      <c r="F2578" t="s">
        <v>1289</v>
      </c>
      <c r="G2578" s="229">
        <f t="array" ref="G2578:T2581">TRANSPOSE('Ch4 expenditure drivers'!AZ734:BC747)</f>
        <v>9.1976838540806192</v>
      </c>
      <c r="H2578" s="229">
        <v>7.2332417839826215</v>
      </c>
      <c r="I2578" s="229">
        <v>10.092805273640547</v>
      </c>
      <c r="J2578" s="229">
        <v>11.848422492231879</v>
      </c>
      <c r="K2578" s="229">
        <v>10.666708843452847</v>
      </c>
      <c r="L2578" s="229">
        <v>6.1057187596445939</v>
      </c>
      <c r="M2578" s="229">
        <v>8.4402555535957635</v>
      </c>
      <c r="N2578" s="229">
        <v>18.213577432658319</v>
      </c>
      <c r="O2578" s="229">
        <v>9.9987724071647062</v>
      </c>
      <c r="P2578" s="229">
        <v>15.968471962725339</v>
      </c>
      <c r="Q2578" s="229">
        <v>8.1788247568036159</v>
      </c>
      <c r="R2578" s="229">
        <v>9.8834247684844723</v>
      </c>
      <c r="S2578" s="229">
        <v>5.4844953859949879</v>
      </c>
      <c r="T2578" s="229">
        <v>16.939705416447509</v>
      </c>
      <c r="U2578" s="229">
        <f>AVERAGE(G2578:T2578)</f>
        <v>10.589436335064844</v>
      </c>
      <c r="V2578" t="str">
        <f t="shared" si="243"/>
        <v>2019/20Expenditure driversI&amp;MAllowance</v>
      </c>
    </row>
    <row r="2579" spans="1:22">
      <c r="A2579" t="s">
        <v>141</v>
      </c>
      <c r="C2579" t="s">
        <v>1344</v>
      </c>
      <c r="D2579" t="s">
        <v>97</v>
      </c>
      <c r="E2579" t="s">
        <v>298</v>
      </c>
      <c r="F2579" t="s">
        <v>1289</v>
      </c>
      <c r="G2579" s="229">
        <v>10.443051043320301</v>
      </c>
      <c r="H2579" s="229">
        <v>11.068688297514615</v>
      </c>
      <c r="I2579" s="229">
        <v>12.305551320395665</v>
      </c>
      <c r="J2579" s="229">
        <v>12.660780300163086</v>
      </c>
      <c r="K2579" s="229">
        <v>12.576203803992541</v>
      </c>
      <c r="L2579" s="229">
        <v>7.3442375155689819</v>
      </c>
      <c r="M2579" s="229">
        <v>9.5335911189711062</v>
      </c>
      <c r="N2579" s="229">
        <v>13.066647503625129</v>
      </c>
      <c r="O2579" s="229">
        <v>12.313853859284862</v>
      </c>
      <c r="P2579" s="229">
        <v>14.826887333019123</v>
      </c>
      <c r="Q2579" s="229">
        <v>9.3955401729363945</v>
      </c>
      <c r="R2579" s="229">
        <v>11.253160692528461</v>
      </c>
      <c r="S2579" s="229">
        <v>4.5077689935706315</v>
      </c>
      <c r="T2579" s="229">
        <v>14.271656636136907</v>
      </c>
      <c r="U2579" s="229">
        <f>AVERAGE(G2579:T2579)</f>
        <v>11.111972756501986</v>
      </c>
      <c r="V2579" t="str">
        <f t="shared" si="243"/>
        <v>2019/20Expenditure driversI&amp;MActual</v>
      </c>
    </row>
    <row r="2580" spans="1:22">
      <c r="A2580" t="s">
        <v>141</v>
      </c>
      <c r="C2580" t="s">
        <v>1344</v>
      </c>
      <c r="D2580" t="s">
        <v>97</v>
      </c>
      <c r="E2580" t="s">
        <v>602</v>
      </c>
      <c r="F2580" t="s">
        <v>1289</v>
      </c>
      <c r="G2580" s="229">
        <v>1.2453671892396816</v>
      </c>
      <c r="H2580" s="229">
        <v>3.835446513531994</v>
      </c>
      <c r="I2580" s="229">
        <v>2.2127460467551181</v>
      </c>
      <c r="J2580" s="229">
        <v>0.81235780793120682</v>
      </c>
      <c r="K2580" s="229">
        <v>1.9094949605396945</v>
      </c>
      <c r="L2580" s="229">
        <v>1.238518755924388</v>
      </c>
      <c r="M2580" s="229">
        <v>1.0933355653753427</v>
      </c>
      <c r="N2580" s="229">
        <v>-5.14692992903319</v>
      </c>
      <c r="O2580" s="229">
        <v>2.3150814521201557</v>
      </c>
      <c r="P2580" s="229">
        <v>-1.141584629706216</v>
      </c>
      <c r="Q2580" s="229">
        <v>1.2167154161327787</v>
      </c>
      <c r="R2580" s="229">
        <v>1.3697359240439884</v>
      </c>
      <c r="S2580" s="229">
        <v>-0.97672639242435633</v>
      </c>
      <c r="T2580" s="229">
        <v>-2.6680487803106026</v>
      </c>
      <c r="U2580" s="229">
        <f>U2579-U2578</f>
        <v>0.52253642143714174</v>
      </c>
      <c r="V2580" t="str">
        <f t="shared" si="243"/>
        <v>2019/20Expenditure driversI&amp;MDifference</v>
      </c>
    </row>
    <row r="2581" spans="1:22">
      <c r="A2581" t="s">
        <v>141</v>
      </c>
      <c r="C2581" t="s">
        <v>1344</v>
      </c>
      <c r="D2581" t="s">
        <v>97</v>
      </c>
      <c r="E2581" t="s">
        <v>1346</v>
      </c>
      <c r="F2581" t="s">
        <v>606</v>
      </c>
      <c r="G2581" s="829">
        <v>0.13540008647798493</v>
      </c>
      <c r="H2581" s="829">
        <v>0.53025277297176121</v>
      </c>
      <c r="I2581" s="829">
        <v>0.21923994239085967</v>
      </c>
      <c r="J2581" s="829">
        <v>6.856252876396067E-2</v>
      </c>
      <c r="K2581" s="829">
        <v>0.17901444471428779</v>
      </c>
      <c r="L2581" s="829">
        <v>0.20284569346860656</v>
      </c>
      <c r="M2581" s="829">
        <v>0.12953820632949364</v>
      </c>
      <c r="N2581" s="829">
        <v>-0.28258753383639812</v>
      </c>
      <c r="O2581" s="829">
        <v>0.23153656847527246</v>
      </c>
      <c r="P2581" s="829">
        <v>-7.1489910391612815E-2</v>
      </c>
      <c r="Q2581" s="829">
        <v>0.14876408925630116</v>
      </c>
      <c r="R2581" s="829">
        <v>0.138589199202659</v>
      </c>
      <c r="S2581" s="829">
        <v>-0.17808865240701816</v>
      </c>
      <c r="T2581" s="829">
        <v>-0.15750266694248863</v>
      </c>
      <c r="U2581" s="829">
        <f>U2580/U2578</f>
        <v>4.9345064732753026E-2</v>
      </c>
      <c r="V2581" t="str">
        <f t="shared" si="243"/>
        <v>2019/20Expenditure driversI&amp;MDifference %</v>
      </c>
    </row>
    <row r="2582" spans="1:22">
      <c r="A2582" t="s">
        <v>126</v>
      </c>
      <c r="C2582" t="s">
        <v>1344</v>
      </c>
      <c r="D2582" t="s">
        <v>97</v>
      </c>
      <c r="E2582" t="s">
        <v>297</v>
      </c>
      <c r="F2582" t="s">
        <v>1289</v>
      </c>
      <c r="G2582" s="229" cm="1">
        <f t="array" ref="G2582:T2585">TRANSPOSE('Ch4 expenditure drivers'!BE734:BH747)</f>
        <v>9.5670990668780593</v>
      </c>
      <c r="H2582" s="229">
        <v>6.9519801526166161</v>
      </c>
      <c r="I2582" s="229">
        <v>9.7800288729526752</v>
      </c>
      <c r="J2582" s="229">
        <v>12.196707889009677</v>
      </c>
      <c r="K2582" s="229">
        <v>11.020136153065602</v>
      </c>
      <c r="L2582" s="229">
        <v>6.2539861656833136</v>
      </c>
      <c r="M2582" s="229">
        <v>8.6402403280681472</v>
      </c>
      <c r="N2582" s="229">
        <v>17.821307350804204</v>
      </c>
      <c r="O2582" s="229">
        <v>9.8761233948284968</v>
      </c>
      <c r="P2582" s="229">
        <v>15.6760352158259</v>
      </c>
      <c r="Q2582" s="229">
        <v>8.410955220237371</v>
      </c>
      <c r="R2582" s="229">
        <v>9.8630607788825078</v>
      </c>
      <c r="S2582" s="229">
        <v>5.4165170808250442</v>
      </c>
      <c r="T2582" s="229">
        <v>16.395552130961157</v>
      </c>
      <c r="U2582" s="229">
        <f>AVERAGE(G2582:T2582)</f>
        <v>10.562123557188485</v>
      </c>
      <c r="V2582" t="str">
        <f t="shared" ref="V2582:V2654" si="247">CONCATENATE(A2582,B2582,C2582,D2582,E2582)</f>
        <v>2020/21Expenditure driversI&amp;MAllowance</v>
      </c>
    </row>
    <row r="2583" spans="1:22">
      <c r="A2583" t="s">
        <v>126</v>
      </c>
      <c r="C2583" t="s">
        <v>1344</v>
      </c>
      <c r="D2583" t="s">
        <v>97</v>
      </c>
      <c r="E2583" t="s">
        <v>298</v>
      </c>
      <c r="F2583" t="s">
        <v>1289</v>
      </c>
      <c r="G2583" s="229">
        <v>10.94279761903203</v>
      </c>
      <c r="H2583" s="229">
        <v>10.322396438147226</v>
      </c>
      <c r="I2583" s="229">
        <v>12.592658325785095</v>
      </c>
      <c r="J2583" s="229">
        <v>12.652921626151134</v>
      </c>
      <c r="K2583" s="229">
        <v>11.233408098121137</v>
      </c>
      <c r="L2583" s="229">
        <v>6.5739765847290839</v>
      </c>
      <c r="M2583" s="229">
        <v>8.2833162727294383</v>
      </c>
      <c r="N2583" s="229">
        <v>15.371825496401412</v>
      </c>
      <c r="O2583" s="229">
        <v>12.110617976029269</v>
      </c>
      <c r="P2583" s="229">
        <v>15.463955415946293</v>
      </c>
      <c r="Q2583" s="229">
        <v>8.9039432427575065</v>
      </c>
      <c r="R2583" s="229">
        <v>11.456878120056023</v>
      </c>
      <c r="S2583" s="229">
        <v>3.9853683429961895</v>
      </c>
      <c r="T2583" s="229">
        <v>13.154706510356565</v>
      </c>
      <c r="U2583" s="229">
        <f>AVERAGE(G2583:T2583)</f>
        <v>10.9320550049456</v>
      </c>
      <c r="V2583" t="str">
        <f t="shared" si="247"/>
        <v>2020/21Expenditure driversI&amp;MActual</v>
      </c>
    </row>
    <row r="2584" spans="1:22">
      <c r="A2584" t="s">
        <v>126</v>
      </c>
      <c r="C2584" t="s">
        <v>1344</v>
      </c>
      <c r="D2584" t="s">
        <v>97</v>
      </c>
      <c r="E2584" t="s">
        <v>602</v>
      </c>
      <c r="F2584" t="s">
        <v>1289</v>
      </c>
      <c r="G2584" s="229">
        <v>1.3756985521539704</v>
      </c>
      <c r="H2584" s="229">
        <v>3.3704162855306103</v>
      </c>
      <c r="I2584" s="229">
        <v>2.8126294528324198</v>
      </c>
      <c r="J2584" s="229">
        <v>0.45621373714145719</v>
      </c>
      <c r="K2584" s="229">
        <v>0.21327194505553493</v>
      </c>
      <c r="L2584" s="229">
        <v>0.3199904190457703</v>
      </c>
      <c r="M2584" s="229">
        <v>-0.35692405533870897</v>
      </c>
      <c r="N2584" s="229">
        <v>-2.4494818544027925</v>
      </c>
      <c r="O2584" s="229">
        <v>2.2344945812007726</v>
      </c>
      <c r="P2584" s="229">
        <v>-0.21207979987960712</v>
      </c>
      <c r="Q2584" s="229">
        <v>0.49298802252013552</v>
      </c>
      <c r="R2584" s="229">
        <v>1.5938173411735157</v>
      </c>
      <c r="S2584" s="229">
        <v>-1.4311487378288548</v>
      </c>
      <c r="T2584" s="229">
        <v>-3.2408456206045919</v>
      </c>
      <c r="U2584" s="229">
        <f>U2583-U2582</f>
        <v>0.36993144775711428</v>
      </c>
      <c r="V2584" t="str">
        <f t="shared" si="247"/>
        <v>2020/21Expenditure driversI&amp;MDifference</v>
      </c>
    </row>
    <row r="2585" spans="1:22">
      <c r="A2585" t="s">
        <v>126</v>
      </c>
      <c r="C2585" t="s">
        <v>1344</v>
      </c>
      <c r="D2585" t="s">
        <v>97</v>
      </c>
      <c r="E2585" t="s">
        <v>1346</v>
      </c>
      <c r="F2585" t="s">
        <v>606</v>
      </c>
      <c r="G2585" s="829">
        <v>0.14379474306027951</v>
      </c>
      <c r="H2585" s="829">
        <v>0.48481385325331211</v>
      </c>
      <c r="I2585" s="829">
        <v>0.2875890745691902</v>
      </c>
      <c r="J2585" s="829">
        <v>3.7404662085294881E-2</v>
      </c>
      <c r="K2585" s="829">
        <v>1.9352931950501043E-2</v>
      </c>
      <c r="L2585" s="829">
        <v>5.1165834168551923E-2</v>
      </c>
      <c r="M2585" s="829">
        <v>-4.1309505498270421E-2</v>
      </c>
      <c r="N2585" s="829">
        <v>-0.13744681050530544</v>
      </c>
      <c r="O2585" s="829">
        <v>0.2262521934842204</v>
      </c>
      <c r="P2585" s="829">
        <v>-1.3528918311276809E-2</v>
      </c>
      <c r="Q2585" s="829">
        <v>5.8612608153467569E-2</v>
      </c>
      <c r="R2585" s="829">
        <v>0.16159459795543268</v>
      </c>
      <c r="S2585" s="829">
        <v>-0.26421937131800977</v>
      </c>
      <c r="T2585" s="829">
        <v>-0.19766614717930842</v>
      </c>
      <c r="U2585" s="829">
        <f>U2584/U2582</f>
        <v>3.5024343897713854E-2</v>
      </c>
      <c r="V2585" t="str">
        <f t="shared" si="247"/>
        <v>2020/21Expenditure driversI&amp;MDifference %</v>
      </c>
    </row>
    <row r="2586" spans="1:22">
      <c r="A2586" t="s">
        <v>142</v>
      </c>
      <c r="C2586" t="s">
        <v>1344</v>
      </c>
      <c r="D2586" t="s">
        <v>97</v>
      </c>
      <c r="E2586" t="s">
        <v>297</v>
      </c>
      <c r="F2586" t="s">
        <v>1289</v>
      </c>
      <c r="G2586" s="229" cm="1">
        <f t="array" ref="G2586:T2589">TRANSPOSE('Ch4 expenditure drivers'!BJ734:BM747)</f>
        <v>9.4962452423581016</v>
      </c>
      <c r="H2586" s="229">
        <v>6.8455802677786615</v>
      </c>
      <c r="I2586" s="229">
        <v>9.6637535791046787</v>
      </c>
      <c r="J2586" s="229">
        <v>12.211359144488144</v>
      </c>
      <c r="K2586" s="229">
        <v>11.029738115152297</v>
      </c>
      <c r="L2586" s="229">
        <v>6.251914496865993</v>
      </c>
      <c r="M2586" s="229">
        <v>8.6314692949670171</v>
      </c>
      <c r="N2586" s="229">
        <v>16.783388741346954</v>
      </c>
      <c r="O2586" s="229">
        <v>9.8517629624247025</v>
      </c>
      <c r="P2586" s="229">
        <v>15.51722024653079</v>
      </c>
      <c r="Q2586" s="229">
        <v>8.6893358684730782</v>
      </c>
      <c r="R2586" s="229">
        <v>10.072131683635321</v>
      </c>
      <c r="S2586" s="229">
        <v>5.3783018857647384</v>
      </c>
      <c r="T2586" s="229">
        <v>16.566274565833144</v>
      </c>
      <c r="U2586" s="229">
        <f>AVERAGE(G2586:T2586)</f>
        <v>10.499176863908829</v>
      </c>
      <c r="V2586" t="str">
        <f t="shared" ref="V2586:V2589" si="248">CONCATENATE(A2586,B2586,C2586,D2586,E2586)</f>
        <v>2021/22Expenditure driversI&amp;MAllowance</v>
      </c>
    </row>
    <row r="2587" spans="1:22">
      <c r="A2587" t="s">
        <v>142</v>
      </c>
      <c r="C2587" t="s">
        <v>1344</v>
      </c>
      <c r="D2587" t="s">
        <v>97</v>
      </c>
      <c r="E2587" t="s">
        <v>298</v>
      </c>
      <c r="F2587" t="s">
        <v>1289</v>
      </c>
      <c r="G2587" s="229">
        <v>9.4236121714589416</v>
      </c>
      <c r="H2587" s="229">
        <v>7.3712895701013279</v>
      </c>
      <c r="I2587" s="229">
        <v>9.4458760939746771</v>
      </c>
      <c r="J2587" s="229">
        <v>12.798499999999999</v>
      </c>
      <c r="K2587" s="229">
        <v>11.176399999999999</v>
      </c>
      <c r="L2587" s="229">
        <v>6.7292999999999994</v>
      </c>
      <c r="M2587" s="229">
        <v>9.2222999999999988</v>
      </c>
      <c r="N2587" s="229">
        <v>15.489664737799906</v>
      </c>
      <c r="O2587" s="229">
        <v>10.753639091523976</v>
      </c>
      <c r="P2587" s="229">
        <v>15.663342597668045</v>
      </c>
      <c r="Q2587" s="229">
        <v>8.450575242587032</v>
      </c>
      <c r="R2587" s="229">
        <v>10.799037976526078</v>
      </c>
      <c r="S2587" s="229">
        <v>3.2889735400000006</v>
      </c>
      <c r="T2587" s="229">
        <v>11.260292249999999</v>
      </c>
      <c r="U2587" s="229">
        <f>AVERAGE(G2587:T2587)</f>
        <v>10.133771662259999</v>
      </c>
      <c r="V2587" t="str">
        <f t="shared" si="248"/>
        <v>2021/22Expenditure driversI&amp;MActual</v>
      </c>
    </row>
    <row r="2588" spans="1:22">
      <c r="A2588" t="s">
        <v>142</v>
      </c>
      <c r="C2588" t="s">
        <v>1344</v>
      </c>
      <c r="D2588" t="s">
        <v>97</v>
      </c>
      <c r="E2588" t="s">
        <v>602</v>
      </c>
      <c r="F2588" t="s">
        <v>1289</v>
      </c>
      <c r="G2588" s="229">
        <v>-7.2633070899160046E-2</v>
      </c>
      <c r="H2588" s="229">
        <v>0.52570930232266644</v>
      </c>
      <c r="I2588" s="229">
        <v>-0.2178774851300016</v>
      </c>
      <c r="J2588" s="229">
        <v>0.58714085551185491</v>
      </c>
      <c r="K2588" s="229">
        <v>0.14666188484770259</v>
      </c>
      <c r="L2588" s="229">
        <v>0.47738550313400641</v>
      </c>
      <c r="M2588" s="229">
        <v>0.59083070503298174</v>
      </c>
      <c r="N2588" s="229">
        <v>-1.2937240035470481</v>
      </c>
      <c r="O2588" s="229">
        <v>0.90187612909927317</v>
      </c>
      <c r="P2588" s="229">
        <v>0.14612235113725447</v>
      </c>
      <c r="Q2588" s="229">
        <v>-0.23876062588604618</v>
      </c>
      <c r="R2588" s="229">
        <v>0.72690629289075659</v>
      </c>
      <c r="S2588" s="229">
        <v>-2.0893283457647378</v>
      </c>
      <c r="T2588" s="229">
        <v>-5.3059823158331447</v>
      </c>
      <c r="U2588" s="229">
        <f>U2587-U2586</f>
        <v>-0.36540520164883006</v>
      </c>
      <c r="V2588" t="str">
        <f t="shared" si="248"/>
        <v>2021/22Expenditure driversI&amp;MDifference</v>
      </c>
    </row>
    <row r="2589" spans="1:22">
      <c r="A2589" t="s">
        <v>142</v>
      </c>
      <c r="C2589" t="s">
        <v>1344</v>
      </c>
      <c r="D2589" t="s">
        <v>97</v>
      </c>
      <c r="E2589" t="s">
        <v>1346</v>
      </c>
      <c r="F2589" t="s">
        <v>606</v>
      </c>
      <c r="G2589" s="829">
        <v>-7.6486094288276667E-3</v>
      </c>
      <c r="H2589" s="829">
        <v>7.6795433222384094E-2</v>
      </c>
      <c r="I2589" s="829">
        <v>-2.2545844463698273E-2</v>
      </c>
      <c r="J2589" s="829">
        <v>4.8081532003493105E-2</v>
      </c>
      <c r="K2589" s="829">
        <v>1.3296950781290378E-2</v>
      </c>
      <c r="L2589" s="829">
        <v>7.6358290468193993E-2</v>
      </c>
      <c r="M2589" s="829">
        <v>6.8450768327183095E-2</v>
      </c>
      <c r="N2589" s="829">
        <v>-7.7083598758567518E-2</v>
      </c>
      <c r="O2589" s="829">
        <v>9.1544643587050403E-2</v>
      </c>
      <c r="P2589" s="829">
        <v>9.4167865645860948E-3</v>
      </c>
      <c r="Q2589" s="829">
        <v>-2.7477430899215786E-2</v>
      </c>
      <c r="R2589" s="829">
        <v>7.2170054534910058E-2</v>
      </c>
      <c r="S2589" s="829">
        <v>-0.38847360935516861</v>
      </c>
      <c r="T2589" s="829">
        <v>-0.32028820328599322</v>
      </c>
      <c r="U2589" s="829">
        <f>U2588/U2586</f>
        <v>-3.4803223756037407E-2</v>
      </c>
      <c r="V2589" t="str">
        <f t="shared" si="248"/>
        <v>2021/22Expenditure driversI&amp;MDifference %</v>
      </c>
    </row>
    <row r="2590" spans="1:22">
      <c r="A2590" t="s">
        <v>137</v>
      </c>
      <c r="C2590" t="s">
        <v>1344</v>
      </c>
      <c r="D2590" t="s">
        <v>99</v>
      </c>
      <c r="E2590" t="s">
        <v>1347</v>
      </c>
      <c r="F2590" t="s">
        <v>1289</v>
      </c>
      <c r="G2590">
        <f t="array" ref="G2590:T2597">TRANSPOSE('Ch4 expenditure drivers'!E754:L767)</f>
        <v>2.3204777559686023</v>
      </c>
      <c r="H2590">
        <v>1.2338658075237263</v>
      </c>
      <c r="I2590">
        <v>2.3765867469235173</v>
      </c>
      <c r="J2590">
        <v>3.3637344928751478</v>
      </c>
      <c r="K2590">
        <v>4.0190170583970923</v>
      </c>
      <c r="L2590">
        <v>1.5132493428703548</v>
      </c>
      <c r="M2590">
        <v>2.3529288777681701</v>
      </c>
      <c r="N2590">
        <v>3.6996885055954047</v>
      </c>
      <c r="O2590">
        <v>3.1042295265075901</v>
      </c>
      <c r="P2590">
        <v>5.7842361351795448</v>
      </c>
      <c r="Q2590">
        <v>2.8031437860357173</v>
      </c>
      <c r="R2590">
        <v>2.9973739350394495</v>
      </c>
      <c r="S2590">
        <v>10.209620859836145</v>
      </c>
      <c r="T2590">
        <v>1.2888899708317278</v>
      </c>
      <c r="U2590">
        <f>AVERAGE(G2590:T2590)</f>
        <v>3.361931628668013</v>
      </c>
      <c r="V2590" t="str">
        <f t="shared" si="247"/>
        <v>2015/16Expenditure driversNOCs OtherBPDT</v>
      </c>
    </row>
    <row r="2591" spans="1:22">
      <c r="A2591" t="s">
        <v>138</v>
      </c>
      <c r="C2591" t="s">
        <v>1344</v>
      </c>
      <c r="D2591" t="s">
        <v>99</v>
      </c>
      <c r="E2591" t="s">
        <v>1347</v>
      </c>
      <c r="F2591" t="s">
        <v>1289</v>
      </c>
      <c r="G2591">
        <v>2.3540153652355156</v>
      </c>
      <c r="H2591">
        <v>1.2089510967390094</v>
      </c>
      <c r="I2591">
        <v>2.3294532257833165</v>
      </c>
      <c r="J2591">
        <v>3.3652443646425159</v>
      </c>
      <c r="K2591">
        <v>4.0205436250665745</v>
      </c>
      <c r="L2591">
        <v>1.5118215587618347</v>
      </c>
      <c r="M2591">
        <v>2.3606728259733591</v>
      </c>
      <c r="N2591">
        <v>3.7417926127126049</v>
      </c>
      <c r="O2591">
        <v>3.1395570445683076</v>
      </c>
      <c r="P2591">
        <v>5.8500633250790326</v>
      </c>
      <c r="Q2591">
        <v>2.8267543346928337</v>
      </c>
      <c r="R2591">
        <v>3.0199114071110382</v>
      </c>
      <c r="S2591">
        <v>10.485117190806397</v>
      </c>
      <c r="T2591">
        <v>1.300474582453516</v>
      </c>
      <c r="U2591">
        <f t="shared" ref="U2591:U2622" si="249">AVERAGE(G2591:T2591)</f>
        <v>3.3938837542589901</v>
      </c>
      <c r="V2591" t="str">
        <f t="shared" si="247"/>
        <v>2016/17Expenditure driversNOCs OtherBPDT</v>
      </c>
    </row>
    <row r="2592" spans="1:22">
      <c r="A2592" t="s">
        <v>139</v>
      </c>
      <c r="C2592" t="s">
        <v>1344</v>
      </c>
      <c r="D2592" t="s">
        <v>99</v>
      </c>
      <c r="E2592" t="s">
        <v>1347</v>
      </c>
      <c r="F2592" t="s">
        <v>1289</v>
      </c>
      <c r="G2592">
        <v>2.3763680117823069</v>
      </c>
      <c r="H2592">
        <v>1.2104522181012543</v>
      </c>
      <c r="I2592">
        <v>2.3327914414911262</v>
      </c>
      <c r="J2592">
        <v>3.3611749426693107</v>
      </c>
      <c r="K2592">
        <v>4.0168865873532029</v>
      </c>
      <c r="L2592">
        <v>1.5108883820747665</v>
      </c>
      <c r="M2592">
        <v>2.3683435826390862</v>
      </c>
      <c r="N2592">
        <v>3.7844133734259442</v>
      </c>
      <c r="O2592">
        <v>3.1753180616508181</v>
      </c>
      <c r="P2592">
        <v>5.916698271197899</v>
      </c>
      <c r="Q2592">
        <v>2.8427648329576884</v>
      </c>
      <c r="R2592">
        <v>3.0357400135553902</v>
      </c>
      <c r="S2592">
        <v>9.8544102456636686</v>
      </c>
      <c r="T2592">
        <v>1.3118045735286961</v>
      </c>
      <c r="U2592">
        <f t="shared" si="249"/>
        <v>3.3641467527207967</v>
      </c>
      <c r="V2592" t="str">
        <f t="shared" si="247"/>
        <v>2017/18Expenditure driversNOCs OtherBPDT</v>
      </c>
    </row>
    <row r="2593" spans="1:22">
      <c r="A2593" t="s">
        <v>140</v>
      </c>
      <c r="C2593" t="s">
        <v>1344</v>
      </c>
      <c r="D2593" t="s">
        <v>99</v>
      </c>
      <c r="E2593" t="s">
        <v>1347</v>
      </c>
      <c r="F2593" t="s">
        <v>1289</v>
      </c>
      <c r="G2593">
        <v>2.3958904846150948</v>
      </c>
      <c r="H2593">
        <v>1.2112910555093155</v>
      </c>
      <c r="I2593">
        <v>2.3355374643632243</v>
      </c>
      <c r="J2593">
        <v>3.3720126812638833</v>
      </c>
      <c r="K2593">
        <v>4.030225915837307</v>
      </c>
      <c r="L2593">
        <v>1.5129438541027487</v>
      </c>
      <c r="M2593">
        <v>2.3834830436730572</v>
      </c>
      <c r="N2593">
        <v>3.8275571867055076</v>
      </c>
      <c r="O2593">
        <v>3.2115179468211492</v>
      </c>
      <c r="P2593">
        <v>5.984150977933524</v>
      </c>
      <c r="Q2593">
        <v>2.8512723539822478</v>
      </c>
      <c r="R2593">
        <v>3.0706814462307066</v>
      </c>
      <c r="S2593">
        <v>10.399640966348061</v>
      </c>
      <c r="T2593">
        <v>1.3213355431840219</v>
      </c>
      <c r="U2593">
        <f t="shared" si="249"/>
        <v>3.421967208612132</v>
      </c>
      <c r="V2593" t="str">
        <f t="shared" si="247"/>
        <v>2018/19Expenditure driversNOCs OtherBPDT</v>
      </c>
    </row>
    <row r="2594" spans="1:22">
      <c r="A2594" t="s">
        <v>141</v>
      </c>
      <c r="C2594" t="s">
        <v>1344</v>
      </c>
      <c r="D2594" t="s">
        <v>99</v>
      </c>
      <c r="E2594" t="s">
        <v>1347</v>
      </c>
      <c r="F2594" t="s">
        <v>1289</v>
      </c>
      <c r="G2594">
        <v>2.4142447717060072</v>
      </c>
      <c r="H2594">
        <v>1.2120190932133181</v>
      </c>
      <c r="I2594">
        <v>2.3380095770691218</v>
      </c>
      <c r="J2594">
        <v>3.3838883933056958</v>
      </c>
      <c r="K2594">
        <v>4.0445943444846115</v>
      </c>
      <c r="L2594">
        <v>1.5188100743511581</v>
      </c>
      <c r="M2594">
        <v>2.4026428935778745</v>
      </c>
      <c r="N2594">
        <v>3.8712305312614781</v>
      </c>
      <c r="O2594">
        <v>3.2481621360513899</v>
      </c>
      <c r="P2594">
        <v>6.0524315743520418</v>
      </c>
      <c r="Q2594">
        <v>2.8773099924747778</v>
      </c>
      <c r="R2594">
        <v>3.088978176320341</v>
      </c>
      <c r="S2594">
        <v>9.653626991247414</v>
      </c>
      <c r="T2594">
        <v>1.3351458066649635</v>
      </c>
      <c r="U2594">
        <f t="shared" si="249"/>
        <v>3.3886495968628703</v>
      </c>
      <c r="V2594" t="str">
        <f t="shared" si="247"/>
        <v>2019/20Expenditure driversNOCs OtherBPDT</v>
      </c>
    </row>
    <row r="2595" spans="1:22">
      <c r="A2595" t="s">
        <v>126</v>
      </c>
      <c r="C2595" t="s">
        <v>1344</v>
      </c>
      <c r="D2595" t="s">
        <v>99</v>
      </c>
      <c r="E2595" t="s">
        <v>1347</v>
      </c>
      <c r="F2595" t="s">
        <v>1289</v>
      </c>
      <c r="G2595">
        <v>2.4350686069215706</v>
      </c>
      <c r="H2595">
        <v>1.2129691819926471</v>
      </c>
      <c r="I2595">
        <v>2.3398922458236124</v>
      </c>
      <c r="J2595">
        <v>3.397183464244256</v>
      </c>
      <c r="K2595">
        <v>4.060319140301571</v>
      </c>
      <c r="L2595">
        <v>1.5219308848779054</v>
      </c>
      <c r="M2595">
        <v>2.4180458393363908</v>
      </c>
      <c r="N2595">
        <v>3.9154399665417707</v>
      </c>
      <c r="O2595">
        <v>3.2852561330567478</v>
      </c>
      <c r="P2595">
        <v>6.1215503157480828</v>
      </c>
      <c r="Q2595">
        <v>2.887091990019985</v>
      </c>
      <c r="R2595">
        <v>3.1174952255902224</v>
      </c>
      <c r="S2595">
        <v>9.412155302898956</v>
      </c>
      <c r="T2595">
        <v>1.3491901874086896</v>
      </c>
      <c r="U2595">
        <f t="shared" si="249"/>
        <v>3.390970606054458</v>
      </c>
      <c r="V2595" t="str">
        <f t="shared" si="247"/>
        <v>2020/21Expenditure driversNOCs OtherBPDT</v>
      </c>
    </row>
    <row r="2596" spans="1:22">
      <c r="A2596" t="s">
        <v>142</v>
      </c>
      <c r="C2596" t="s">
        <v>1344</v>
      </c>
      <c r="D2596" t="s">
        <v>99</v>
      </c>
      <c r="E2596" t="s">
        <v>1347</v>
      </c>
      <c r="F2596" t="s">
        <v>1289</v>
      </c>
      <c r="G2596">
        <v>2.4457853637157392</v>
      </c>
      <c r="H2596">
        <v>1.2142404622906409</v>
      </c>
      <c r="I2596">
        <v>2.3431717320472023</v>
      </c>
      <c r="J2596">
        <v>3.4084321072389807</v>
      </c>
      <c r="K2596">
        <v>4.0742193367955508</v>
      </c>
      <c r="L2596">
        <v>1.5276081455836938</v>
      </c>
      <c r="M2596">
        <v>2.4358770513542765</v>
      </c>
      <c r="N2596">
        <v>3.9601921337421757</v>
      </c>
      <c r="O2596">
        <v>3.3228055101431146</v>
      </c>
      <c r="P2596">
        <v>6.1915175852240614</v>
      </c>
      <c r="Q2596">
        <v>2.910526923977677</v>
      </c>
      <c r="R2596">
        <v>3.1473378631510669</v>
      </c>
      <c r="S2596">
        <v>10.000102285740851</v>
      </c>
      <c r="T2596">
        <v>1.3634728911150427</v>
      </c>
      <c r="U2596">
        <f t="shared" si="249"/>
        <v>3.4532349565800051</v>
      </c>
      <c r="V2596" t="str">
        <f t="shared" si="247"/>
        <v>2021/22Expenditure driversNOCs OtherBPDT</v>
      </c>
    </row>
    <row r="2597" spans="1:22">
      <c r="A2597" t="s">
        <v>143</v>
      </c>
      <c r="C2597" t="s">
        <v>1344</v>
      </c>
      <c r="D2597" t="s">
        <v>99</v>
      </c>
      <c r="E2597" t="s">
        <v>1347</v>
      </c>
      <c r="F2597" t="s">
        <v>1289</v>
      </c>
      <c r="G2597">
        <v>2.4567745372846281</v>
      </c>
      <c r="H2597">
        <v>1.2169638983166406</v>
      </c>
      <c r="I2597">
        <v>2.3463800570734104</v>
      </c>
      <c r="J2597">
        <v>3.4221009370285551</v>
      </c>
      <c r="K2597">
        <v>4.0904377060819632</v>
      </c>
      <c r="L2597">
        <v>1.5291839467391637</v>
      </c>
      <c r="M2597">
        <v>2.4530476430166379</v>
      </c>
      <c r="N2597">
        <v>4.0054937568291704</v>
      </c>
      <c r="O2597">
        <v>3.3608159090652627</v>
      </c>
      <c r="P2597">
        <v>6.2623438952892956</v>
      </c>
      <c r="Q2597">
        <v>2.9365563410042621</v>
      </c>
      <c r="R2597">
        <v>3.203821637219086</v>
      </c>
      <c r="S2597">
        <v>9.6611667525729388</v>
      </c>
      <c r="T2597">
        <v>1.3779821944934745</v>
      </c>
      <c r="U2597">
        <f t="shared" si="249"/>
        <v>3.4516478008581779</v>
      </c>
      <c r="V2597" t="str">
        <f t="shared" si="247"/>
        <v>2022/23Expenditure driversNOCs OtherBPDT</v>
      </c>
    </row>
    <row r="2598" spans="1:22">
      <c r="A2598" t="s">
        <v>137</v>
      </c>
      <c r="C2598" t="s">
        <v>1344</v>
      </c>
      <c r="D2598" t="s">
        <v>99</v>
      </c>
      <c r="E2598" t="s">
        <v>1348</v>
      </c>
      <c r="F2598" t="s">
        <v>1289</v>
      </c>
      <c r="G2598">
        <f t="array" ref="G2598:T2605">TRANSPOSE('Ch4 expenditure drivers'!N754:U767)</f>
        <v>2.410788219662459</v>
      </c>
      <c r="H2598">
        <v>1.2300279612000991</v>
      </c>
      <c r="I2598">
        <v>2.3650902171206849</v>
      </c>
      <c r="J2598">
        <v>3.3637344928751478</v>
      </c>
      <c r="K2598">
        <v>4.0190170583970923</v>
      </c>
      <c r="L2598">
        <v>1.5132493428703548</v>
      </c>
      <c r="M2598">
        <v>2.3529288777681701</v>
      </c>
      <c r="N2598">
        <v>3.5474243865452335</v>
      </c>
      <c r="O2598">
        <v>2.8159363159944961</v>
      </c>
      <c r="P2598">
        <v>5.7956522232045522</v>
      </c>
      <c r="Q2598">
        <v>2.6874336836676718</v>
      </c>
      <c r="R2598">
        <v>1.9746611624594961</v>
      </c>
      <c r="S2598">
        <v>8.4848757437367599</v>
      </c>
      <c r="T2598">
        <v>1.3091228024579247</v>
      </c>
      <c r="U2598">
        <f t="shared" si="249"/>
        <v>3.1335673205685817</v>
      </c>
      <c r="V2598" t="str">
        <f t="shared" si="247"/>
        <v>2015/16Expenditure driversNOCs OtherDNO Baseline</v>
      </c>
    </row>
    <row r="2599" spans="1:22">
      <c r="A2599" t="s">
        <v>138</v>
      </c>
      <c r="C2599" t="s">
        <v>1344</v>
      </c>
      <c r="D2599" t="s">
        <v>99</v>
      </c>
      <c r="E2599" t="s">
        <v>1348</v>
      </c>
      <c r="F2599" t="s">
        <v>1289</v>
      </c>
      <c r="G2599">
        <v>2.3446671311721894</v>
      </c>
      <c r="H2599">
        <v>1.2235704078075156</v>
      </c>
      <c r="I2599">
        <v>2.3284132054151527</v>
      </c>
      <c r="J2599">
        <v>3.3652443646425159</v>
      </c>
      <c r="K2599">
        <v>4.0205436250665745</v>
      </c>
      <c r="L2599">
        <v>1.5118215587618347</v>
      </c>
      <c r="M2599">
        <v>2.3606728259733591</v>
      </c>
      <c r="N2599">
        <v>3.4728343525050889</v>
      </c>
      <c r="O2599">
        <v>2.7782198895891517</v>
      </c>
      <c r="P2599">
        <v>5.6714756641222168</v>
      </c>
      <c r="Q2599">
        <v>2.6782211259380788</v>
      </c>
      <c r="R2599">
        <v>1.9596655647948369</v>
      </c>
      <c r="S2599">
        <v>8.6165728382277376</v>
      </c>
      <c r="T2599">
        <v>1.3030330971403454</v>
      </c>
      <c r="U2599">
        <f t="shared" si="249"/>
        <v>3.1167825465111858</v>
      </c>
      <c r="V2599" t="str">
        <f t="shared" si="247"/>
        <v>2016/17Expenditure driversNOCs OtherDNO Baseline</v>
      </c>
    </row>
    <row r="2600" spans="1:22">
      <c r="A2600" t="s">
        <v>139</v>
      </c>
      <c r="C2600" t="s">
        <v>1344</v>
      </c>
      <c r="D2600" t="s">
        <v>99</v>
      </c>
      <c r="E2600" t="s">
        <v>1348</v>
      </c>
      <c r="F2600" t="s">
        <v>1289</v>
      </c>
      <c r="G2600">
        <v>2.3171059545906618</v>
      </c>
      <c r="H2600">
        <v>1.224473679463727</v>
      </c>
      <c r="I2600">
        <v>2.3254000972825781</v>
      </c>
      <c r="J2600">
        <v>3.3611749426693107</v>
      </c>
      <c r="K2600">
        <v>4.0168865873532029</v>
      </c>
      <c r="L2600">
        <v>1.5108883820747665</v>
      </c>
      <c r="M2600">
        <v>2.3683435826390862</v>
      </c>
      <c r="N2600">
        <v>3.3767674067018119</v>
      </c>
      <c r="O2600">
        <v>2.7030256188638937</v>
      </c>
      <c r="P2600">
        <v>5.541917011299982</v>
      </c>
      <c r="Q2600">
        <v>2.6583827313583828</v>
      </c>
      <c r="R2600">
        <v>1.9245963890293722</v>
      </c>
      <c r="S2600">
        <v>8.4231671457395123</v>
      </c>
      <c r="T2600">
        <v>1.3133082937787288</v>
      </c>
      <c r="U2600">
        <f t="shared" si="249"/>
        <v>3.076102701631787</v>
      </c>
      <c r="V2600" t="str">
        <f t="shared" si="247"/>
        <v>2017/18Expenditure driversNOCs OtherDNO Baseline</v>
      </c>
    </row>
    <row r="2601" spans="1:22">
      <c r="A2601" t="s">
        <v>140</v>
      </c>
      <c r="C2601" t="s">
        <v>1344</v>
      </c>
      <c r="D2601" t="s">
        <v>99</v>
      </c>
      <c r="E2601" t="s">
        <v>1348</v>
      </c>
      <c r="F2601" t="s">
        <v>1289</v>
      </c>
      <c r="G2601">
        <v>2.3175601129760675</v>
      </c>
      <c r="H2601">
        <v>1.2255961487589619</v>
      </c>
      <c r="I2601">
        <v>2.3393089659916799</v>
      </c>
      <c r="J2601">
        <v>3.3720126812638833</v>
      </c>
      <c r="K2601">
        <v>4.030225915837307</v>
      </c>
      <c r="L2601">
        <v>1.5129438541027487</v>
      </c>
      <c r="M2601">
        <v>2.3834830436730572</v>
      </c>
      <c r="N2601">
        <v>3.3695626705981412</v>
      </c>
      <c r="O2601">
        <v>2.680041500969184</v>
      </c>
      <c r="P2601">
        <v>5.5305518574559516</v>
      </c>
      <c r="Q2601">
        <v>2.635915480436354</v>
      </c>
      <c r="R2601">
        <v>1.8940908113786139</v>
      </c>
      <c r="S2601">
        <v>8.604562797497076</v>
      </c>
      <c r="T2601">
        <v>1.3171013830130693</v>
      </c>
      <c r="U2601">
        <f t="shared" si="249"/>
        <v>3.0866398017108638</v>
      </c>
      <c r="V2601" t="str">
        <f t="shared" si="247"/>
        <v>2018/19Expenditure driversNOCs OtherDNO Baseline</v>
      </c>
    </row>
    <row r="2602" spans="1:22">
      <c r="A2602" t="s">
        <v>141</v>
      </c>
      <c r="C2602" t="s">
        <v>1344</v>
      </c>
      <c r="D2602" t="s">
        <v>99</v>
      </c>
      <c r="E2602" t="s">
        <v>1348</v>
      </c>
      <c r="F2602" t="s">
        <v>1289</v>
      </c>
      <c r="G2602">
        <v>2.2880694653950937</v>
      </c>
      <c r="H2602">
        <v>1.2155085731906135</v>
      </c>
      <c r="I2602">
        <v>2.3102021399399959</v>
      </c>
      <c r="J2602">
        <v>3.3838883933056958</v>
      </c>
      <c r="K2602">
        <v>4.0445943444846115</v>
      </c>
      <c r="L2602">
        <v>1.5188100743511581</v>
      </c>
      <c r="M2602">
        <v>2.4026428935778745</v>
      </c>
      <c r="N2602">
        <v>3.3262752892397063</v>
      </c>
      <c r="O2602">
        <v>2.6360051539261748</v>
      </c>
      <c r="P2602">
        <v>5.4504804123322597</v>
      </c>
      <c r="Q2602">
        <v>2.6358965549194822</v>
      </c>
      <c r="R2602">
        <v>1.8919645354277375</v>
      </c>
      <c r="S2602">
        <v>8.2570659018634682</v>
      </c>
      <c r="T2602">
        <v>1.3158820236814661</v>
      </c>
      <c r="U2602">
        <f t="shared" si="249"/>
        <v>3.0483775539739533</v>
      </c>
      <c r="V2602" t="str">
        <f t="shared" si="247"/>
        <v>2019/20Expenditure driversNOCs OtherDNO Baseline</v>
      </c>
    </row>
    <row r="2603" spans="1:22">
      <c r="A2603" t="s">
        <v>126</v>
      </c>
      <c r="C2603" t="s">
        <v>1344</v>
      </c>
      <c r="D2603" t="s">
        <v>99</v>
      </c>
      <c r="E2603" t="s">
        <v>1348</v>
      </c>
      <c r="F2603" t="s">
        <v>1289</v>
      </c>
      <c r="G2603">
        <v>2.3079754269302555</v>
      </c>
      <c r="H2603">
        <v>1.1963282045081975</v>
      </c>
      <c r="I2603">
        <v>2.2750643664590631</v>
      </c>
      <c r="J2603">
        <v>3.397183464244256</v>
      </c>
      <c r="K2603">
        <v>4.060319140301571</v>
      </c>
      <c r="L2603">
        <v>1.5219308848779054</v>
      </c>
      <c r="M2603">
        <v>2.4180458393363908</v>
      </c>
      <c r="N2603">
        <v>3.2708223255396143</v>
      </c>
      <c r="O2603">
        <v>2.6045076749781422</v>
      </c>
      <c r="P2603">
        <v>5.3593891733027865</v>
      </c>
      <c r="Q2603">
        <v>2.6374911426679404</v>
      </c>
      <c r="R2603">
        <v>1.8727524080457358</v>
      </c>
      <c r="S2603">
        <v>8.1304743193564839</v>
      </c>
      <c r="T2603">
        <v>1.303155328893665</v>
      </c>
      <c r="U2603">
        <f t="shared" si="249"/>
        <v>3.0253885499601441</v>
      </c>
      <c r="V2603" t="str">
        <f t="shared" si="247"/>
        <v>2020/21Expenditure driversNOCs OtherDNO Baseline</v>
      </c>
    </row>
    <row r="2604" spans="1:22">
      <c r="A2604" t="s">
        <v>142</v>
      </c>
      <c r="C2604" t="s">
        <v>1344</v>
      </c>
      <c r="D2604" t="s">
        <v>99</v>
      </c>
      <c r="E2604" t="s">
        <v>1348</v>
      </c>
      <c r="F2604" t="s">
        <v>1289</v>
      </c>
      <c r="G2604">
        <v>2.2871196672454182</v>
      </c>
      <c r="H2604">
        <v>1.1853770467004501</v>
      </c>
      <c r="I2604">
        <v>2.2504836119424607</v>
      </c>
      <c r="J2604">
        <v>3.4084321072389807</v>
      </c>
      <c r="K2604">
        <v>4.0742193367955508</v>
      </c>
      <c r="L2604">
        <v>1.5276081455836938</v>
      </c>
      <c r="M2604">
        <v>2.4358770513542765</v>
      </c>
      <c r="N2604">
        <v>3.1967963912246393</v>
      </c>
      <c r="O2604">
        <v>2.6016476933367407</v>
      </c>
      <c r="P2604">
        <v>5.3282492677515769</v>
      </c>
      <c r="Q2604">
        <v>2.647795465864911</v>
      </c>
      <c r="R2604">
        <v>1.8971782364875487</v>
      </c>
      <c r="S2604">
        <v>8.2896910384032001</v>
      </c>
      <c r="T2604">
        <v>1.3057700959926093</v>
      </c>
      <c r="U2604">
        <f t="shared" si="249"/>
        <v>3.0311603682801467</v>
      </c>
      <c r="V2604" t="str">
        <f t="shared" si="247"/>
        <v>2021/22Expenditure driversNOCs OtherDNO Baseline</v>
      </c>
    </row>
    <row r="2605" spans="1:22">
      <c r="A2605" t="s">
        <v>143</v>
      </c>
      <c r="C2605" t="s">
        <v>1344</v>
      </c>
      <c r="D2605" t="s">
        <v>99</v>
      </c>
      <c r="E2605" t="s">
        <v>1348</v>
      </c>
      <c r="F2605" t="s">
        <v>1289</v>
      </c>
      <c r="G2605">
        <v>2.2484927810055741</v>
      </c>
      <c r="H2605">
        <v>1.1683069300764737</v>
      </c>
      <c r="I2605">
        <v>2.2129026816112538</v>
      </c>
      <c r="J2605">
        <v>3.4221009370285551</v>
      </c>
      <c r="K2605">
        <v>4.0904377060819632</v>
      </c>
      <c r="L2605">
        <v>1.5291839467391637</v>
      </c>
      <c r="M2605">
        <v>2.4530476430166379</v>
      </c>
      <c r="N2605">
        <v>3.1389443213186059</v>
      </c>
      <c r="O2605">
        <v>2.5639608905499891</v>
      </c>
      <c r="P2605">
        <v>5.2629841121602023</v>
      </c>
      <c r="Q2605">
        <v>2.6313866382230549</v>
      </c>
      <c r="R2605">
        <v>1.910944845630365</v>
      </c>
      <c r="S2605">
        <v>8.1114282125103774</v>
      </c>
      <c r="T2605">
        <v>1.2911667862462242</v>
      </c>
      <c r="U2605">
        <f t="shared" si="249"/>
        <v>3.0025206022998887</v>
      </c>
      <c r="V2605" t="str">
        <f t="shared" si="247"/>
        <v>2022/23Expenditure driversNOCs OtherDNO Baseline</v>
      </c>
    </row>
    <row r="2606" spans="1:22">
      <c r="A2606" t="s">
        <v>137</v>
      </c>
      <c r="C2606" t="s">
        <v>1344</v>
      </c>
      <c r="D2606" t="s">
        <v>99</v>
      </c>
      <c r="E2606" t="s">
        <v>1349</v>
      </c>
      <c r="F2606" t="s">
        <v>1289</v>
      </c>
      <c r="G2606" cm="1">
        <f t="array" ref="G2606:T2612">TRANSPOSE('Ch4 expenditure drivers'!W754:AC767)</f>
        <v>2.4292633876645748</v>
      </c>
      <c r="H2606">
        <v>1.1028449862301362</v>
      </c>
      <c r="I2606">
        <v>1.8438445714281393</v>
      </c>
      <c r="J2606">
        <v>2.4299380109700772</v>
      </c>
      <c r="K2606">
        <v>2.9936452494478347</v>
      </c>
      <c r="L2606">
        <v>1.5064176415490707</v>
      </c>
      <c r="M2606">
        <v>2.3519784992657065</v>
      </c>
      <c r="N2606">
        <v>1.6204140574764969</v>
      </c>
      <c r="O2606">
        <v>1.6204870275794525</v>
      </c>
      <c r="P2606">
        <v>3.3516837460479585</v>
      </c>
      <c r="Q2606">
        <v>2.1404935730199344</v>
      </c>
      <c r="R2606">
        <v>1.5840742357454831</v>
      </c>
      <c r="S2606">
        <v>6.232967846292107</v>
      </c>
      <c r="T2606">
        <v>1.4044705877818167</v>
      </c>
      <c r="U2606">
        <f t="shared" si="249"/>
        <v>2.3294659586070563</v>
      </c>
      <c r="V2606" t="str">
        <f t="shared" si="247"/>
        <v>2015/16Expenditure driversNOCs OtherDNO Actual</v>
      </c>
    </row>
    <row r="2607" spans="1:22">
      <c r="A2607" t="s">
        <v>138</v>
      </c>
      <c r="C2607" t="s">
        <v>1344</v>
      </c>
      <c r="D2607" t="s">
        <v>99</v>
      </c>
      <c r="E2607" t="s">
        <v>1349</v>
      </c>
      <c r="F2607" t="s">
        <v>1289</v>
      </c>
      <c r="G2607">
        <v>2.4093720625331754</v>
      </c>
      <c r="H2607">
        <v>1.1659611719846128</v>
      </c>
      <c r="I2607">
        <v>1.9039331666351809</v>
      </c>
      <c r="J2607">
        <v>1.901056643219418</v>
      </c>
      <c r="K2607">
        <v>2.3860080908102881</v>
      </c>
      <c r="L2607">
        <v>1.0168715583866683</v>
      </c>
      <c r="M2607">
        <v>2.3918791737109042</v>
      </c>
      <c r="N2607">
        <v>1.8109769384567285</v>
      </c>
      <c r="O2607">
        <v>1.5275976110455058</v>
      </c>
      <c r="P2607">
        <v>3.1084599497129606</v>
      </c>
      <c r="Q2607">
        <v>2.872763442102666</v>
      </c>
      <c r="R2607">
        <v>1.9534256021051086</v>
      </c>
      <c r="S2607">
        <v>5.525398041534384</v>
      </c>
      <c r="T2607">
        <v>1.3102944260038039</v>
      </c>
      <c r="U2607">
        <f t="shared" si="249"/>
        <v>2.2345712770172432</v>
      </c>
      <c r="V2607" t="str">
        <f t="shared" si="247"/>
        <v>2016/17Expenditure driversNOCs OtherDNO Actual</v>
      </c>
    </row>
    <row r="2608" spans="1:22">
      <c r="A2608" t="s">
        <v>139</v>
      </c>
      <c r="C2608" t="s">
        <v>1344</v>
      </c>
      <c r="D2608" t="s">
        <v>99</v>
      </c>
      <c r="E2608" t="s">
        <v>1349</v>
      </c>
      <c r="F2608" t="s">
        <v>1289</v>
      </c>
      <c r="G2608">
        <v>2.6159833269749542</v>
      </c>
      <c r="H2608">
        <v>0.95235333030082026</v>
      </c>
      <c r="I2608">
        <v>1.4759085576764859</v>
      </c>
      <c r="J2608">
        <v>2.1041320077989729</v>
      </c>
      <c r="K2608">
        <v>2.6293161130269032</v>
      </c>
      <c r="L2608">
        <v>1.1295985711583512</v>
      </c>
      <c r="M2608">
        <v>2.2150545127824581</v>
      </c>
      <c r="N2608">
        <v>1.9598740837023809</v>
      </c>
      <c r="O2608">
        <v>1.1006268884351917</v>
      </c>
      <c r="P2608">
        <v>2.7886664299535977</v>
      </c>
      <c r="Q2608">
        <v>1.7329928852507135</v>
      </c>
      <c r="R2608">
        <v>1.7058308246491729</v>
      </c>
      <c r="S2608">
        <v>4.8541867631756155</v>
      </c>
      <c r="T2608">
        <v>1.5222006394574914</v>
      </c>
      <c r="U2608">
        <f t="shared" si="249"/>
        <v>2.0561946381673648</v>
      </c>
      <c r="V2608" t="str">
        <f t="shared" si="247"/>
        <v>2017/18Expenditure driversNOCs OtherDNO Actual</v>
      </c>
    </row>
    <row r="2609" spans="1:22">
      <c r="A2609" t="s">
        <v>140</v>
      </c>
      <c r="C2609" t="s">
        <v>1344</v>
      </c>
      <c r="D2609" t="s">
        <v>99</v>
      </c>
      <c r="E2609" t="s">
        <v>1349</v>
      </c>
      <c r="F2609" t="s">
        <v>1289</v>
      </c>
      <c r="G2609">
        <v>2.3205292378269871</v>
      </c>
      <c r="H2609">
        <v>1.1868886998619297</v>
      </c>
      <c r="I2609">
        <v>1.8786086671732964</v>
      </c>
      <c r="J2609">
        <v>2.1812295734677454</v>
      </c>
      <c r="K2609">
        <v>3.5881555974416539</v>
      </c>
      <c r="L2609">
        <v>1.4508581402572465</v>
      </c>
      <c r="M2609">
        <v>2.8544892555099044</v>
      </c>
      <c r="N2609">
        <v>2.4210539991398385</v>
      </c>
      <c r="O2609">
        <v>1.8588357296594842</v>
      </c>
      <c r="P2609">
        <v>2.6478638617067571</v>
      </c>
      <c r="Q2609">
        <v>2.3783965176219279</v>
      </c>
      <c r="R2609">
        <v>1.8272212744192218</v>
      </c>
      <c r="S2609">
        <v>6.2889300663599004</v>
      </c>
      <c r="T2609">
        <v>1.4607593189985459</v>
      </c>
      <c r="U2609">
        <f>AVERAGE(G2609:T2609)</f>
        <v>2.4531299956746033</v>
      </c>
      <c r="V2609" t="str">
        <f t="shared" si="247"/>
        <v>2018/19Expenditure driversNOCs OtherDNO Actual</v>
      </c>
    </row>
    <row r="2610" spans="1:22">
      <c r="A2610" t="s">
        <v>141</v>
      </c>
      <c r="C2610" t="s">
        <v>1344</v>
      </c>
      <c r="D2610" t="s">
        <v>99</v>
      </c>
      <c r="E2610" t="s">
        <v>1349</v>
      </c>
      <c r="F2610" t="s">
        <v>1289</v>
      </c>
      <c r="G2610">
        <v>2.304382703319646</v>
      </c>
      <c r="H2610">
        <v>1.0866245545474524</v>
      </c>
      <c r="I2610">
        <v>2.0448363831223797</v>
      </c>
      <c r="J2610">
        <v>2.1615183008649814</v>
      </c>
      <c r="K2610">
        <v>3.6806834662574581</v>
      </c>
      <c r="L2610">
        <v>1.4688475031137966</v>
      </c>
      <c r="M2610">
        <v>3.193565671857475</v>
      </c>
      <c r="N2610">
        <v>2.1419749935042209</v>
      </c>
      <c r="O2610">
        <v>1.7810710794109728</v>
      </c>
      <c r="P2610">
        <v>3.7575940866468489</v>
      </c>
      <c r="Q2610">
        <v>2.6746483606857376</v>
      </c>
      <c r="R2610">
        <v>1.9052045279133591</v>
      </c>
      <c r="S2610">
        <v>7.0664096781211247</v>
      </c>
      <c r="T2610">
        <v>2.0756696885449455</v>
      </c>
      <c r="U2610">
        <f>AVERAGE(G2610:T2610)</f>
        <v>2.6673593569935998</v>
      </c>
      <c r="V2610" t="str">
        <f t="shared" si="247"/>
        <v>2019/20Expenditure driversNOCs OtherDNO Actual</v>
      </c>
    </row>
    <row r="2611" spans="1:22">
      <c r="A2611" t="s">
        <v>126</v>
      </c>
      <c r="C2611" t="s">
        <v>1344</v>
      </c>
      <c r="D2611" t="s">
        <v>99</v>
      </c>
      <c r="E2611" t="s">
        <v>1349</v>
      </c>
      <c r="F2611" t="s">
        <v>1289</v>
      </c>
      <c r="G2611">
        <v>2.893483671148593</v>
      </c>
      <c r="H2611">
        <v>1.1167436828959576</v>
      </c>
      <c r="I2611">
        <v>1.817490471651509</v>
      </c>
      <c r="J2611">
        <v>2.0784978260647868</v>
      </c>
      <c r="K2611">
        <v>3.670426186485908</v>
      </c>
      <c r="L2611">
        <v>1.451246319267627</v>
      </c>
      <c r="M2611">
        <v>3.151066169896692</v>
      </c>
      <c r="N2611">
        <v>2.6046081917538553</v>
      </c>
      <c r="O2611">
        <v>1.7223983133624781</v>
      </c>
      <c r="P2611">
        <v>4.488073442039493</v>
      </c>
      <c r="Q2611">
        <v>2.3761680057501793</v>
      </c>
      <c r="R2611">
        <v>1.8213954789715847</v>
      </c>
      <c r="S2611">
        <v>14.436318731151628</v>
      </c>
      <c r="T2611">
        <v>3.2442297418370529</v>
      </c>
      <c r="U2611">
        <f>AVERAGE(G2611:T2611)</f>
        <v>3.3480104451626675</v>
      </c>
      <c r="V2611" t="str">
        <f t="shared" si="247"/>
        <v>2020/21Expenditure driversNOCs OtherDNO Actual</v>
      </c>
    </row>
    <row r="2612" spans="1:22">
      <c r="A2612" t="s">
        <v>142</v>
      </c>
      <c r="C2612" t="s">
        <v>1344</v>
      </c>
      <c r="D2612" t="s">
        <v>99</v>
      </c>
      <c r="E2612" t="s">
        <v>1349</v>
      </c>
      <c r="F2612" t="s">
        <v>1289</v>
      </c>
      <c r="G2612">
        <v>2.0711070615455891</v>
      </c>
      <c r="H2612">
        <v>1.2197710744999313</v>
      </c>
      <c r="I2612">
        <v>1.6688837129169305</v>
      </c>
      <c r="J2612">
        <v>2.5834999999999999</v>
      </c>
      <c r="K2612">
        <v>3.0088999999999997</v>
      </c>
      <c r="L2612">
        <v>1.6623999999999999</v>
      </c>
      <c r="M2612">
        <v>3.0793999999999997</v>
      </c>
      <c r="N2612">
        <v>2.4533424740185636</v>
      </c>
      <c r="O2612">
        <v>1.6522684912654664</v>
      </c>
      <c r="P2612">
        <v>3.7901694571400912</v>
      </c>
      <c r="Q2612">
        <v>2.4038705351797862</v>
      </c>
      <c r="R2612">
        <v>1.8507904421029358</v>
      </c>
      <c r="S2612">
        <v>13.050783510000002</v>
      </c>
      <c r="T2612">
        <v>2.8567682900000002</v>
      </c>
      <c r="U2612">
        <f>AVERAGE(G2612:T2612)</f>
        <v>3.0965682177620919</v>
      </c>
      <c r="V2612" t="str">
        <f t="shared" ref="V2612" si="250">CONCATENATE(A2612,B2612,C2612,D2612,E2612)</f>
        <v>2021/22Expenditure driversNOCs OtherDNO Actual</v>
      </c>
    </row>
    <row r="2613" spans="1:22">
      <c r="A2613" t="s">
        <v>137</v>
      </c>
      <c r="C2613" t="s">
        <v>1344</v>
      </c>
      <c r="D2613" t="s">
        <v>99</v>
      </c>
      <c r="E2613" t="s">
        <v>297</v>
      </c>
      <c r="F2613" t="s">
        <v>1289</v>
      </c>
      <c r="G2613">
        <f t="array" ref="G2613:T2616">TRANSPOSE('Ch4 expenditure drivers'!AF754:AI767)</f>
        <v>2.410788219662459</v>
      </c>
      <c r="H2613">
        <v>1.2300279612000991</v>
      </c>
      <c r="I2613">
        <v>2.3650902171206849</v>
      </c>
      <c r="J2613">
        <v>3.3637344928751478</v>
      </c>
      <c r="K2613">
        <v>4.0190170583970923</v>
      </c>
      <c r="L2613">
        <v>1.5132493428703548</v>
      </c>
      <c r="M2613">
        <v>2.3529288777681701</v>
      </c>
      <c r="N2613">
        <v>3.5474243865452335</v>
      </c>
      <c r="O2613">
        <v>2.8159363159944961</v>
      </c>
      <c r="P2613">
        <v>5.7956522232045522</v>
      </c>
      <c r="Q2613">
        <v>2.6874336836676718</v>
      </c>
      <c r="R2613">
        <v>1.9746611624594961</v>
      </c>
      <c r="S2613">
        <v>8.4848757437367599</v>
      </c>
      <c r="T2613">
        <v>1.3091228024579247</v>
      </c>
      <c r="U2613">
        <f t="shared" si="249"/>
        <v>3.1335673205685817</v>
      </c>
      <c r="V2613" t="str">
        <f t="shared" si="247"/>
        <v>2015/16Expenditure driversNOCs OtherAllowance</v>
      </c>
    </row>
    <row r="2614" spans="1:22">
      <c r="A2614" t="s">
        <v>137</v>
      </c>
      <c r="C2614" t="s">
        <v>1344</v>
      </c>
      <c r="D2614" t="s">
        <v>99</v>
      </c>
      <c r="E2614" t="s">
        <v>298</v>
      </c>
      <c r="F2614" t="s">
        <v>1289</v>
      </c>
      <c r="G2614">
        <v>2.4292633876645748</v>
      </c>
      <c r="H2614">
        <v>1.1028449862301362</v>
      </c>
      <c r="I2614">
        <v>1.8438445714281393</v>
      </c>
      <c r="J2614">
        <v>2.4299380109700772</v>
      </c>
      <c r="K2614">
        <v>2.9936452494478347</v>
      </c>
      <c r="L2614">
        <v>1.5064176415490707</v>
      </c>
      <c r="M2614">
        <v>2.3519784992657065</v>
      </c>
      <c r="N2614">
        <v>1.6204140574764969</v>
      </c>
      <c r="O2614">
        <v>1.6204870275794525</v>
      </c>
      <c r="P2614">
        <v>3.3516837460479585</v>
      </c>
      <c r="Q2614">
        <v>2.1404935730199344</v>
      </c>
      <c r="R2614">
        <v>1.5840742357454831</v>
      </c>
      <c r="S2614">
        <v>6.232967846292107</v>
      </c>
      <c r="T2614">
        <v>1.4044705877818167</v>
      </c>
      <c r="U2614">
        <f t="shared" si="249"/>
        <v>2.3294659586070563</v>
      </c>
      <c r="V2614" t="str">
        <f t="shared" si="247"/>
        <v>2015/16Expenditure driversNOCs OtherActual</v>
      </c>
    </row>
    <row r="2615" spans="1:22">
      <c r="A2615" t="s">
        <v>137</v>
      </c>
      <c r="C2615" t="s">
        <v>1344</v>
      </c>
      <c r="D2615" t="s">
        <v>99</v>
      </c>
      <c r="E2615" t="s">
        <v>602</v>
      </c>
      <c r="F2615" t="s">
        <v>1289</v>
      </c>
      <c r="G2615">
        <v>1.8475168002115794E-2</v>
      </c>
      <c r="H2615">
        <v>-0.12718297496996289</v>
      </c>
      <c r="I2615">
        <v>-0.52124564569254561</v>
      </c>
      <c r="J2615">
        <v>-0.93379648190507059</v>
      </c>
      <c r="K2615">
        <v>-1.0253718089492576</v>
      </c>
      <c r="L2615">
        <v>-6.8317013212841893E-3</v>
      </c>
      <c r="M2615">
        <v>-9.5037850246360023E-4</v>
      </c>
      <c r="N2615">
        <v>-1.9270103290687366</v>
      </c>
      <c r="O2615">
        <v>-1.1954492884150436</v>
      </c>
      <c r="P2615">
        <v>-2.4439684771565937</v>
      </c>
      <c r="Q2615">
        <v>-0.5469401106477374</v>
      </c>
      <c r="R2615">
        <v>-0.39058692671401296</v>
      </c>
      <c r="S2615">
        <v>-2.2519078974446529</v>
      </c>
      <c r="T2615">
        <v>9.5347785323891987E-2</v>
      </c>
      <c r="U2615">
        <f>U2614-U2613</f>
        <v>-0.80410136196152537</v>
      </c>
      <c r="V2615" t="str">
        <f t="shared" si="247"/>
        <v>2015/16Expenditure driversNOCs OtherDifference</v>
      </c>
    </row>
    <row r="2616" spans="1:22">
      <c r="A2616" t="s">
        <v>137</v>
      </c>
      <c r="C2616" t="s">
        <v>1344</v>
      </c>
      <c r="D2616" t="s">
        <v>99</v>
      </c>
      <c r="E2616" t="s">
        <v>1346</v>
      </c>
      <c r="F2616" t="s">
        <v>606</v>
      </c>
      <c r="G2616" s="829">
        <v>7.6635383612014465E-3</v>
      </c>
      <c r="H2616" s="829">
        <v>-0.10339844213449792</v>
      </c>
      <c r="I2616" s="829">
        <v>-0.22039144296454027</v>
      </c>
      <c r="J2616" s="829">
        <v>-0.2776070715102455</v>
      </c>
      <c r="K2616" s="829">
        <v>-0.25512999672566888</v>
      </c>
      <c r="L2616" s="829">
        <v>-4.514590641305492E-3</v>
      </c>
      <c r="M2616" s="829">
        <v>-4.0391297477935893E-4</v>
      </c>
      <c r="N2616" s="829">
        <v>-0.54321392624394005</v>
      </c>
      <c r="O2616" s="829">
        <v>-0.42452994466703703</v>
      </c>
      <c r="P2616" s="829">
        <v>-0.42168998121927787</v>
      </c>
      <c r="Q2616" s="829">
        <v>-0.20351762127997949</v>
      </c>
      <c r="R2616" s="829">
        <v>-0.19779946764513562</v>
      </c>
      <c r="S2616" s="829">
        <v>-0.26540257812342544</v>
      </c>
      <c r="T2616" s="829">
        <v>7.2833339351261114E-2</v>
      </c>
      <c r="U2616" s="829">
        <f>U2615/U2613</f>
        <v>-0.25660893151503195</v>
      </c>
      <c r="V2616" t="str">
        <f t="shared" si="247"/>
        <v>2015/16Expenditure driversNOCs OtherDifference %</v>
      </c>
    </row>
    <row r="2617" spans="1:22">
      <c r="A2617" t="s">
        <v>138</v>
      </c>
      <c r="C2617" t="s">
        <v>1344</v>
      </c>
      <c r="D2617" t="s">
        <v>99</v>
      </c>
      <c r="E2617" t="s">
        <v>297</v>
      </c>
      <c r="F2617" t="s">
        <v>1289</v>
      </c>
      <c r="G2617">
        <f t="array" ref="G2617:T2620">TRANSPOSE('Ch4 expenditure drivers'!AK754:AN767)</f>
        <v>2.3446671311721894</v>
      </c>
      <c r="H2617">
        <v>1.2235704078075156</v>
      </c>
      <c r="I2617">
        <v>2.3284132054151527</v>
      </c>
      <c r="J2617">
        <v>3.3652443646425159</v>
      </c>
      <c r="K2617">
        <v>4.0205436250665745</v>
      </c>
      <c r="L2617">
        <v>1.5118215587618347</v>
      </c>
      <c r="M2617">
        <v>2.3606728259733591</v>
      </c>
      <c r="N2617">
        <v>3.4728343525050889</v>
      </c>
      <c r="O2617">
        <v>2.7782198895891517</v>
      </c>
      <c r="P2617">
        <v>5.6714756641222168</v>
      </c>
      <c r="Q2617">
        <v>2.6782211259380788</v>
      </c>
      <c r="R2617">
        <v>1.9596655647948369</v>
      </c>
      <c r="S2617">
        <v>8.6165728382277376</v>
      </c>
      <c r="T2617">
        <v>1.3030330971403454</v>
      </c>
      <c r="U2617">
        <f t="shared" si="249"/>
        <v>3.1167825465111858</v>
      </c>
      <c r="V2617" t="str">
        <f t="shared" si="247"/>
        <v>2016/17Expenditure driversNOCs OtherAllowance</v>
      </c>
    </row>
    <row r="2618" spans="1:22">
      <c r="A2618" t="s">
        <v>138</v>
      </c>
      <c r="C2618" t="s">
        <v>1344</v>
      </c>
      <c r="D2618" t="s">
        <v>99</v>
      </c>
      <c r="E2618" t="s">
        <v>298</v>
      </c>
      <c r="F2618" t="s">
        <v>1289</v>
      </c>
      <c r="G2618">
        <v>2.4093720625331754</v>
      </c>
      <c r="H2618">
        <v>1.1659611719846128</v>
      </c>
      <c r="I2618">
        <v>1.9039331666351809</v>
      </c>
      <c r="J2618">
        <v>1.901056643219418</v>
      </c>
      <c r="K2618">
        <v>2.3860080908102881</v>
      </c>
      <c r="L2618">
        <v>1.0168715583866683</v>
      </c>
      <c r="M2618">
        <v>2.3918791737109042</v>
      </c>
      <c r="N2618">
        <v>1.8109769384567285</v>
      </c>
      <c r="O2618">
        <v>1.5275976110455058</v>
      </c>
      <c r="P2618">
        <v>3.1084599497129606</v>
      </c>
      <c r="Q2618">
        <v>2.872763442102666</v>
      </c>
      <c r="R2618">
        <v>1.9534256021051086</v>
      </c>
      <c r="S2618">
        <v>5.525398041534384</v>
      </c>
      <c r="T2618">
        <v>1.3102944260038039</v>
      </c>
      <c r="U2618">
        <f t="shared" si="249"/>
        <v>2.2345712770172432</v>
      </c>
      <c r="V2618" t="str">
        <f t="shared" si="247"/>
        <v>2016/17Expenditure driversNOCs OtherActual</v>
      </c>
    </row>
    <row r="2619" spans="1:22">
      <c r="A2619" t="s">
        <v>138</v>
      </c>
      <c r="C2619" t="s">
        <v>1344</v>
      </c>
      <c r="D2619" t="s">
        <v>99</v>
      </c>
      <c r="E2619" t="s">
        <v>602</v>
      </c>
      <c r="F2619" t="s">
        <v>1289</v>
      </c>
      <c r="G2619">
        <v>6.4704931360985984E-2</v>
      </c>
      <c r="H2619">
        <v>-5.7609235822902782E-2</v>
      </c>
      <c r="I2619">
        <v>-0.42448003877997187</v>
      </c>
      <c r="J2619">
        <v>-1.4641877214230978</v>
      </c>
      <c r="K2619">
        <v>-1.6345355342562864</v>
      </c>
      <c r="L2619">
        <v>-0.49495000037516634</v>
      </c>
      <c r="M2619">
        <v>3.1206347737545048E-2</v>
      </c>
      <c r="N2619">
        <v>-1.6618574140483604</v>
      </c>
      <c r="O2619">
        <v>-1.2506222785436458</v>
      </c>
      <c r="P2619">
        <v>-2.5630157144092562</v>
      </c>
      <c r="Q2619">
        <v>0.19454231616458717</v>
      </c>
      <c r="R2619">
        <v>-6.2399626897282623E-3</v>
      </c>
      <c r="S2619">
        <v>-3.0911747966933536</v>
      </c>
      <c r="T2619">
        <v>7.2613288634584272E-3</v>
      </c>
      <c r="U2619">
        <f>U2618-U2617</f>
        <v>-0.88221126949394257</v>
      </c>
      <c r="V2619" t="str">
        <f t="shared" si="247"/>
        <v>2016/17Expenditure driversNOCs OtherDifference</v>
      </c>
    </row>
    <row r="2620" spans="1:22">
      <c r="A2620" t="s">
        <v>138</v>
      </c>
      <c r="C2620" t="s">
        <v>1344</v>
      </c>
      <c r="D2620" t="s">
        <v>99</v>
      </c>
      <c r="E2620" t="s">
        <v>1346</v>
      </c>
      <c r="F2620" t="s">
        <v>606</v>
      </c>
      <c r="G2620" s="829">
        <v>2.7596638559366633E-2</v>
      </c>
      <c r="H2620" s="829">
        <v>-4.7082894008634364E-2</v>
      </c>
      <c r="I2620" s="829">
        <v>-0.18230442852358231</v>
      </c>
      <c r="J2620" s="829">
        <v>-0.43509105514203456</v>
      </c>
      <c r="K2620" s="829">
        <v>-0.40654590191872891</v>
      </c>
      <c r="L2620" s="829">
        <v>-0.32738652092018383</v>
      </c>
      <c r="M2620" s="829">
        <v>1.3219259947501602E-2</v>
      </c>
      <c r="N2620" s="829">
        <v>-0.47853057340601313</v>
      </c>
      <c r="O2620" s="829">
        <v>-0.45015237391039992</v>
      </c>
      <c r="P2620" s="829">
        <v>-0.45191337602361698</v>
      </c>
      <c r="Q2620" s="829">
        <v>7.263863102283849E-2</v>
      </c>
      <c r="R2620" s="829">
        <v>-3.1841977538557922E-3</v>
      </c>
      <c r="S2620" s="829">
        <v>-0.35874759660583899</v>
      </c>
      <c r="T2620" s="829">
        <v>5.5726357829238874E-3</v>
      </c>
      <c r="U2620" s="829">
        <f>U2619/U2617</f>
        <v>-0.28305191534181878</v>
      </c>
      <c r="V2620" t="str">
        <f t="shared" si="247"/>
        <v>2016/17Expenditure driversNOCs OtherDifference %</v>
      </c>
    </row>
    <row r="2621" spans="1:22">
      <c r="A2621" t="s">
        <v>139</v>
      </c>
      <c r="C2621" t="s">
        <v>1344</v>
      </c>
      <c r="D2621" t="s">
        <v>99</v>
      </c>
      <c r="E2621" t="s">
        <v>297</v>
      </c>
      <c r="F2621" t="s">
        <v>1289</v>
      </c>
      <c r="G2621">
        <f t="array" ref="G2621:T2624">TRANSPOSE('Ch4 expenditure drivers'!AP754:AS767)</f>
        <v>2.3171059545906618</v>
      </c>
      <c r="H2621">
        <v>1.224473679463727</v>
      </c>
      <c r="I2621">
        <v>2.3254000972825781</v>
      </c>
      <c r="J2621">
        <v>3.3611749426693107</v>
      </c>
      <c r="K2621">
        <v>4.0168865873532029</v>
      </c>
      <c r="L2621">
        <v>1.5108883820747665</v>
      </c>
      <c r="M2621">
        <v>2.3683435826390862</v>
      </c>
      <c r="N2621">
        <v>3.3767674067018119</v>
      </c>
      <c r="O2621">
        <v>2.7030256188638937</v>
      </c>
      <c r="P2621">
        <v>5.541917011299982</v>
      </c>
      <c r="Q2621">
        <v>2.6583827313583828</v>
      </c>
      <c r="R2621">
        <v>1.9245963890293722</v>
      </c>
      <c r="S2621">
        <v>8.4231671457395123</v>
      </c>
      <c r="T2621">
        <v>1.3133082937787288</v>
      </c>
      <c r="U2621">
        <f t="shared" si="249"/>
        <v>3.076102701631787</v>
      </c>
      <c r="V2621" t="str">
        <f t="shared" si="247"/>
        <v>2017/18Expenditure driversNOCs OtherAllowance</v>
      </c>
    </row>
    <row r="2622" spans="1:22">
      <c r="A2622" t="s">
        <v>139</v>
      </c>
      <c r="C2622" t="s">
        <v>1344</v>
      </c>
      <c r="D2622" t="s">
        <v>99</v>
      </c>
      <c r="E2622" t="s">
        <v>298</v>
      </c>
      <c r="F2622" t="s">
        <v>1289</v>
      </c>
      <c r="G2622">
        <v>2.6159833269749542</v>
      </c>
      <c r="H2622">
        <v>0.95235333030082026</v>
      </c>
      <c r="I2622">
        <v>1.4759085576764859</v>
      </c>
      <c r="J2622">
        <v>2.1041320077989729</v>
      </c>
      <c r="K2622">
        <v>2.6293161130269032</v>
      </c>
      <c r="L2622">
        <v>1.1295985711583512</v>
      </c>
      <c r="M2622">
        <v>2.2150545127824581</v>
      </c>
      <c r="N2622">
        <v>1.9598740837023809</v>
      </c>
      <c r="O2622">
        <v>1.1006268884351917</v>
      </c>
      <c r="P2622">
        <v>2.7886664299535977</v>
      </c>
      <c r="Q2622">
        <v>1.7329928852507135</v>
      </c>
      <c r="R2622">
        <v>1.7058308246491729</v>
      </c>
      <c r="S2622">
        <v>4.8541867631756155</v>
      </c>
      <c r="T2622">
        <v>1.5222006394574914</v>
      </c>
      <c r="U2622">
        <f t="shared" si="249"/>
        <v>2.0561946381673648</v>
      </c>
      <c r="V2622" t="str">
        <f t="shared" si="247"/>
        <v>2017/18Expenditure driversNOCs OtherActual</v>
      </c>
    </row>
    <row r="2623" spans="1:22">
      <c r="A2623" t="s">
        <v>139</v>
      </c>
      <c r="C2623" t="s">
        <v>1344</v>
      </c>
      <c r="D2623" t="s">
        <v>99</v>
      </c>
      <c r="E2623" t="s">
        <v>602</v>
      </c>
      <c r="F2623" t="s">
        <v>1289</v>
      </c>
      <c r="G2623">
        <v>0.29887737238429235</v>
      </c>
      <c r="H2623">
        <v>-0.27212034916290673</v>
      </c>
      <c r="I2623">
        <v>-0.84949153960609225</v>
      </c>
      <c r="J2623">
        <v>-1.2570429348703378</v>
      </c>
      <c r="K2623">
        <v>-1.3875704743262998</v>
      </c>
      <c r="L2623">
        <v>-0.38128981091641534</v>
      </c>
      <c r="M2623">
        <v>-0.15328906985662805</v>
      </c>
      <c r="N2623">
        <v>-1.4168933229994309</v>
      </c>
      <c r="O2623">
        <v>-1.602398730428702</v>
      </c>
      <c r="P2623">
        <v>-2.7532505813463843</v>
      </c>
      <c r="Q2623">
        <v>-0.92538984610766928</v>
      </c>
      <c r="R2623">
        <v>-0.21876556438019934</v>
      </c>
      <c r="S2623">
        <v>-3.5689803825638968</v>
      </c>
      <c r="T2623">
        <v>0.20889234567876258</v>
      </c>
      <c r="U2623">
        <f>U2622-U2621</f>
        <v>-1.0199080634644222</v>
      </c>
      <c r="V2623" t="str">
        <f t="shared" si="247"/>
        <v>2017/18Expenditure driversNOCs OtherDifference</v>
      </c>
    </row>
    <row r="2624" spans="1:22">
      <c r="A2624" t="s">
        <v>139</v>
      </c>
      <c r="C2624" t="s">
        <v>1344</v>
      </c>
      <c r="D2624" t="s">
        <v>99</v>
      </c>
      <c r="E2624" t="s">
        <v>1346</v>
      </c>
      <c r="F2624" t="s">
        <v>606</v>
      </c>
      <c r="G2624" s="829">
        <v>0.128987356746529</v>
      </c>
      <c r="H2624" s="829">
        <v>-0.22223454348327448</v>
      </c>
      <c r="I2624" s="829">
        <v>-0.36530984091674945</v>
      </c>
      <c r="J2624" s="829">
        <v>-0.37398914258001836</v>
      </c>
      <c r="K2624" s="829">
        <v>-0.34543431688983639</v>
      </c>
      <c r="L2624" s="829">
        <v>-0.25236133617813944</v>
      </c>
      <c r="M2624" s="829">
        <v>-6.4724168815833469E-2</v>
      </c>
      <c r="N2624" s="829">
        <v>-0.41960050911038388</v>
      </c>
      <c r="O2624" s="829">
        <v>-0.59281670112405549</v>
      </c>
      <c r="P2624" s="829">
        <v>-0.49680472943432746</v>
      </c>
      <c r="Q2624" s="829">
        <v>-0.34810256446212046</v>
      </c>
      <c r="R2624" s="829">
        <v>-0.1136682816341191</v>
      </c>
      <c r="S2624" s="829">
        <v>-0.42371002745316627</v>
      </c>
      <c r="T2624" s="829">
        <v>0.15905811808872775</v>
      </c>
      <c r="U2624" s="829">
        <f>U2623/U2621</f>
        <v>-0.33155852141197667</v>
      </c>
      <c r="V2624" t="str">
        <f t="shared" si="247"/>
        <v>2017/18Expenditure driversNOCs OtherDifference %</v>
      </c>
    </row>
    <row r="2625" spans="1:22">
      <c r="A2625" t="s">
        <v>140</v>
      </c>
      <c r="C2625" t="s">
        <v>1344</v>
      </c>
      <c r="D2625" t="s">
        <v>99</v>
      </c>
      <c r="E2625" t="s">
        <v>297</v>
      </c>
      <c r="F2625" t="s">
        <v>1289</v>
      </c>
      <c r="G2625">
        <f t="array" ref="G2625:T2628">TRANSPOSE('Ch4 expenditure drivers'!AU754:AX767)</f>
        <v>2.3175601129760675</v>
      </c>
      <c r="H2625">
        <v>1.2255961487589619</v>
      </c>
      <c r="I2625">
        <v>2.3393089659916799</v>
      </c>
      <c r="J2625">
        <v>3.3720126812638833</v>
      </c>
      <c r="K2625">
        <v>4.030225915837307</v>
      </c>
      <c r="L2625">
        <v>1.5129438541027487</v>
      </c>
      <c r="M2625">
        <v>2.3834830436730572</v>
      </c>
      <c r="N2625">
        <v>3.3695626705981412</v>
      </c>
      <c r="O2625">
        <v>2.680041500969184</v>
      </c>
      <c r="P2625">
        <v>5.5305518574559516</v>
      </c>
      <c r="Q2625">
        <v>2.635915480436354</v>
      </c>
      <c r="R2625">
        <v>1.8940908113786139</v>
      </c>
      <c r="S2625">
        <v>8.604562797497076</v>
      </c>
      <c r="T2625">
        <v>1.3171013830130693</v>
      </c>
      <c r="U2625">
        <f>AVERAGE(G2625:T2625)</f>
        <v>3.0866398017108638</v>
      </c>
      <c r="V2625" t="str">
        <f t="shared" si="247"/>
        <v>2018/19Expenditure driversNOCs OtherAllowance</v>
      </c>
    </row>
    <row r="2626" spans="1:22">
      <c r="A2626" t="s">
        <v>140</v>
      </c>
      <c r="C2626" t="s">
        <v>1344</v>
      </c>
      <c r="D2626" t="s">
        <v>99</v>
      </c>
      <c r="E2626" t="s">
        <v>298</v>
      </c>
      <c r="F2626" t="s">
        <v>1289</v>
      </c>
      <c r="G2626">
        <v>2.3205292378269871</v>
      </c>
      <c r="H2626">
        <v>1.1868886998619297</v>
      </c>
      <c r="I2626">
        <v>1.8786086671732964</v>
      </c>
      <c r="J2626">
        <v>2.1812295734677454</v>
      </c>
      <c r="K2626">
        <v>3.5881555974416539</v>
      </c>
      <c r="L2626">
        <v>1.4508581402572465</v>
      </c>
      <c r="M2626">
        <v>2.8544892555099044</v>
      </c>
      <c r="N2626">
        <v>2.4210539991398385</v>
      </c>
      <c r="O2626">
        <v>1.8588357296594842</v>
      </c>
      <c r="P2626">
        <v>2.6478638617067571</v>
      </c>
      <c r="Q2626">
        <v>2.3783965176219279</v>
      </c>
      <c r="R2626">
        <v>1.8272212744192218</v>
      </c>
      <c r="S2626">
        <v>6.2889300663599004</v>
      </c>
      <c r="T2626">
        <v>1.4607593189985459</v>
      </c>
      <c r="U2626">
        <f>AVERAGE(G2626:T2626)</f>
        <v>2.4531299956746033</v>
      </c>
      <c r="V2626" t="str">
        <f t="shared" si="247"/>
        <v>2018/19Expenditure driversNOCs OtherActual</v>
      </c>
    </row>
    <row r="2627" spans="1:22">
      <c r="A2627" t="s">
        <v>140</v>
      </c>
      <c r="C2627" t="s">
        <v>1344</v>
      </c>
      <c r="D2627" t="s">
        <v>99</v>
      </c>
      <c r="E2627" t="s">
        <v>602</v>
      </c>
      <c r="F2627" t="s">
        <v>1289</v>
      </c>
      <c r="G2627">
        <v>2.9691248509196022E-3</v>
      </c>
      <c r="H2627">
        <v>-3.8707448897032259E-2</v>
      </c>
      <c r="I2627">
        <v>-0.46070029881838348</v>
      </c>
      <c r="J2627">
        <v>-1.1907831077961379</v>
      </c>
      <c r="K2627">
        <v>-0.44207031839565314</v>
      </c>
      <c r="L2627">
        <v>-6.2085713845502211E-2</v>
      </c>
      <c r="M2627">
        <v>0.47100621183684721</v>
      </c>
      <c r="N2627">
        <v>-0.94850867145830264</v>
      </c>
      <c r="O2627">
        <v>-0.82120577130969985</v>
      </c>
      <c r="P2627">
        <v>-2.8826879957491944</v>
      </c>
      <c r="Q2627">
        <v>-0.2575189628144261</v>
      </c>
      <c r="R2627">
        <v>-6.6869536959392128E-2</v>
      </c>
      <c r="S2627">
        <v>-2.3156327311371756</v>
      </c>
      <c r="T2627">
        <v>0.1436579359854766</v>
      </c>
      <c r="U2627">
        <f>U2626-U2625</f>
        <v>-0.6335098060362605</v>
      </c>
      <c r="V2627" t="str">
        <f t="shared" si="247"/>
        <v>2018/19Expenditure driversNOCs OtherDifference</v>
      </c>
    </row>
    <row r="2628" spans="1:22">
      <c r="A2628" t="s">
        <v>140</v>
      </c>
      <c r="C2628" t="s">
        <v>1344</v>
      </c>
      <c r="D2628" t="s">
        <v>99</v>
      </c>
      <c r="E2628" t="s">
        <v>1346</v>
      </c>
      <c r="F2628" t="s">
        <v>606</v>
      </c>
      <c r="G2628" s="829">
        <v>1.2811425405086195E-3</v>
      </c>
      <c r="H2628" s="829">
        <v>-3.1582547755414705E-2</v>
      </c>
      <c r="I2628" s="829">
        <v>-0.19693862825130642</v>
      </c>
      <c r="J2628" s="829">
        <v>-0.3531371973814208</v>
      </c>
      <c r="K2628" s="829">
        <v>-0.10968871910095145</v>
      </c>
      <c r="L2628" s="829">
        <v>-4.1036363429574944E-2</v>
      </c>
      <c r="M2628" s="829">
        <v>0.19761257084967759</v>
      </c>
      <c r="N2628" s="829">
        <v>-0.28149310880451145</v>
      </c>
      <c r="O2628" s="829">
        <v>-0.30641531894663832</v>
      </c>
      <c r="P2628" s="829">
        <v>-0.52122971993525946</v>
      </c>
      <c r="Q2628" s="829">
        <v>-9.7696213981715366E-2</v>
      </c>
      <c r="R2628" s="829">
        <v>-3.5304292992541966E-2</v>
      </c>
      <c r="S2628" s="829">
        <v>-0.26911683784918794</v>
      </c>
      <c r="T2628" s="829">
        <v>0.10907128170865425</v>
      </c>
      <c r="U2628" s="829">
        <f>U2627/U2625</f>
        <v>-0.20524254423373872</v>
      </c>
      <c r="V2628" t="str">
        <f t="shared" si="247"/>
        <v>2018/19Expenditure driversNOCs OtherDifference %</v>
      </c>
    </row>
    <row r="2629" spans="1:22">
      <c r="A2629" t="s">
        <v>141</v>
      </c>
      <c r="C2629" t="s">
        <v>1344</v>
      </c>
      <c r="D2629" t="s">
        <v>99</v>
      </c>
      <c r="E2629" t="s">
        <v>297</v>
      </c>
      <c r="F2629" t="s">
        <v>1289</v>
      </c>
      <c r="G2629" s="229">
        <f t="array" ref="G2629:T2632">TRANSPOSE('Ch4 expenditure drivers'!AZ754:BC767)</f>
        <v>2.2880694653950937</v>
      </c>
      <c r="H2629" s="229">
        <v>1.2155085731906135</v>
      </c>
      <c r="I2629" s="229">
        <v>2.3102021399399959</v>
      </c>
      <c r="J2629" s="229">
        <v>3.3838883933056958</v>
      </c>
      <c r="K2629" s="229">
        <v>4.0445943444846115</v>
      </c>
      <c r="L2629" s="229">
        <v>1.5188100743511581</v>
      </c>
      <c r="M2629" s="229">
        <v>2.4026428935778745</v>
      </c>
      <c r="N2629" s="229">
        <v>3.3262752892397063</v>
      </c>
      <c r="O2629" s="229">
        <v>2.6360051539261748</v>
      </c>
      <c r="P2629" s="229">
        <v>5.4504804123322597</v>
      </c>
      <c r="Q2629" s="229">
        <v>2.6358965549194822</v>
      </c>
      <c r="R2629" s="229">
        <v>1.8919645354277375</v>
      </c>
      <c r="S2629" s="229">
        <v>8.2570659018634682</v>
      </c>
      <c r="T2629" s="229">
        <v>1.3158820236814661</v>
      </c>
      <c r="U2629" s="229">
        <f>AVERAGE(G2629:T2629)</f>
        <v>3.0483775539739533</v>
      </c>
      <c r="V2629" t="str">
        <f t="shared" si="247"/>
        <v>2019/20Expenditure driversNOCs OtherAllowance</v>
      </c>
    </row>
    <row r="2630" spans="1:22">
      <c r="A2630" t="s">
        <v>141</v>
      </c>
      <c r="C2630" t="s">
        <v>1344</v>
      </c>
      <c r="D2630" t="s">
        <v>99</v>
      </c>
      <c r="E2630" t="s">
        <v>298</v>
      </c>
      <c r="F2630" t="s">
        <v>1289</v>
      </c>
      <c r="G2630" s="229">
        <v>2.304382703319646</v>
      </c>
      <c r="H2630" s="229">
        <v>1.0866245545474524</v>
      </c>
      <c r="I2630" s="229">
        <v>2.0448363831223797</v>
      </c>
      <c r="J2630" s="229">
        <v>2.1615183008649814</v>
      </c>
      <c r="K2630" s="229">
        <v>3.6806834662574581</v>
      </c>
      <c r="L2630" s="229">
        <v>1.4688475031137966</v>
      </c>
      <c r="M2630" s="229">
        <v>3.193565671857475</v>
      </c>
      <c r="N2630" s="229">
        <v>2.1419749935042209</v>
      </c>
      <c r="O2630" s="229">
        <v>1.7810710794109728</v>
      </c>
      <c r="P2630" s="229">
        <v>3.7575940866468489</v>
      </c>
      <c r="Q2630" s="229">
        <v>2.6746483606857376</v>
      </c>
      <c r="R2630" s="229">
        <v>1.9052045279133591</v>
      </c>
      <c r="S2630" s="229">
        <v>7.0664096781211247</v>
      </c>
      <c r="T2630" s="229">
        <v>2.0756696885449455</v>
      </c>
      <c r="U2630" s="229">
        <f>AVERAGE(G2630:T2630)</f>
        <v>2.6673593569935998</v>
      </c>
      <c r="V2630" t="str">
        <f t="shared" si="247"/>
        <v>2019/20Expenditure driversNOCs OtherActual</v>
      </c>
    </row>
    <row r="2631" spans="1:22">
      <c r="A2631" t="s">
        <v>141</v>
      </c>
      <c r="C2631" t="s">
        <v>1344</v>
      </c>
      <c r="D2631" t="s">
        <v>99</v>
      </c>
      <c r="E2631" t="s">
        <v>602</v>
      </c>
      <c r="F2631" t="s">
        <v>1289</v>
      </c>
      <c r="G2631" s="229">
        <v>1.6313237924552304E-2</v>
      </c>
      <c r="H2631" s="229">
        <v>-0.12888401864316101</v>
      </c>
      <c r="I2631" s="229">
        <v>-0.26536575681761621</v>
      </c>
      <c r="J2631" s="229">
        <v>-1.2223700924407144</v>
      </c>
      <c r="K2631" s="229">
        <v>-0.3639108782271534</v>
      </c>
      <c r="L2631" s="229">
        <v>-4.9962571237361475E-2</v>
      </c>
      <c r="M2631" s="229">
        <v>0.79092277827960045</v>
      </c>
      <c r="N2631" s="229">
        <v>-1.1843002957354853</v>
      </c>
      <c r="O2631" s="229">
        <v>-0.85493407451520209</v>
      </c>
      <c r="P2631" s="229">
        <v>-1.6928863256854108</v>
      </c>
      <c r="Q2631" s="229">
        <v>3.8751805766255476E-2</v>
      </c>
      <c r="R2631" s="229">
        <v>1.3239992485621688E-2</v>
      </c>
      <c r="S2631" s="229">
        <v>-1.1906562237423435</v>
      </c>
      <c r="T2631" s="229">
        <v>0.75978766486347937</v>
      </c>
      <c r="U2631" s="229">
        <f>U2630-U2629</f>
        <v>-0.38101819698035344</v>
      </c>
      <c r="V2631" t="str">
        <f t="shared" si="247"/>
        <v>2019/20Expenditure driversNOCs OtherDifference</v>
      </c>
    </row>
    <row r="2632" spans="1:22">
      <c r="A2632" t="s">
        <v>141</v>
      </c>
      <c r="C2632" t="s">
        <v>1344</v>
      </c>
      <c r="D2632" t="s">
        <v>99</v>
      </c>
      <c r="E2632" t="s">
        <v>1346</v>
      </c>
      <c r="F2632" t="s">
        <v>606</v>
      </c>
      <c r="G2632" s="829">
        <v>7.1296952174200734E-3</v>
      </c>
      <c r="H2632" s="829">
        <v>-0.10603299843854717</v>
      </c>
      <c r="I2632" s="829">
        <v>-0.11486689940669377</v>
      </c>
      <c r="J2632" s="829">
        <v>-0.3612323901872514</v>
      </c>
      <c r="K2632" s="829">
        <v>-8.9974629649422919E-2</v>
      </c>
      <c r="L2632" s="829">
        <v>-3.289586504665877E-2</v>
      </c>
      <c r="M2632" s="829">
        <v>0.32918865320921858</v>
      </c>
      <c r="N2632" s="829">
        <v>-0.35604398095570233</v>
      </c>
      <c r="O2632" s="829">
        <v>-0.3243294396605515</v>
      </c>
      <c r="P2632" s="829">
        <v>-0.31059396559890123</v>
      </c>
      <c r="Q2632" s="829">
        <v>1.4701565466949524E-2</v>
      </c>
      <c r="R2632" s="829">
        <v>6.9980130376113923E-3</v>
      </c>
      <c r="S2632" s="829">
        <v>-0.14419846442955411</v>
      </c>
      <c r="T2632" s="829">
        <v>0.57739801227606113</v>
      </c>
      <c r="U2632" s="829">
        <f>U2631/U2629</f>
        <v>-0.12499048763944842</v>
      </c>
      <c r="V2632" t="str">
        <f t="shared" si="247"/>
        <v>2019/20Expenditure driversNOCs OtherDifference %</v>
      </c>
    </row>
    <row r="2633" spans="1:22">
      <c r="A2633" t="s">
        <v>126</v>
      </c>
      <c r="C2633" t="s">
        <v>1344</v>
      </c>
      <c r="D2633" t="s">
        <v>99</v>
      </c>
      <c r="E2633" t="s">
        <v>297</v>
      </c>
      <c r="F2633" t="s">
        <v>1289</v>
      </c>
      <c r="G2633" s="229" cm="1">
        <f t="array" ref="G2633:T2636">TRANSPOSE('Ch4 expenditure drivers'!BE754:BH767)</f>
        <v>2.3079754269302555</v>
      </c>
      <c r="H2633" s="229">
        <v>1.1963282045081975</v>
      </c>
      <c r="I2633" s="229">
        <v>2.2750643664590631</v>
      </c>
      <c r="J2633" s="229">
        <v>3.397183464244256</v>
      </c>
      <c r="K2633" s="229">
        <v>4.060319140301571</v>
      </c>
      <c r="L2633" s="229">
        <v>1.5219308848779054</v>
      </c>
      <c r="M2633" s="229">
        <v>2.4180458393363908</v>
      </c>
      <c r="N2633" s="229">
        <v>3.2708223255396143</v>
      </c>
      <c r="O2633" s="229">
        <v>2.6045076749781422</v>
      </c>
      <c r="P2633" s="229">
        <v>5.3593891733027865</v>
      </c>
      <c r="Q2633" s="229">
        <v>2.6374911426679404</v>
      </c>
      <c r="R2633" s="229">
        <v>1.8727524080457358</v>
      </c>
      <c r="S2633" s="229">
        <v>8.1304743193564839</v>
      </c>
      <c r="T2633" s="229">
        <v>1.303155328893665</v>
      </c>
      <c r="U2633" s="229">
        <f>AVERAGE(G2633:T2633)</f>
        <v>3.0253885499601441</v>
      </c>
      <c r="V2633" t="str">
        <f t="shared" si="247"/>
        <v>2020/21Expenditure driversNOCs OtherAllowance</v>
      </c>
    </row>
    <row r="2634" spans="1:22">
      <c r="A2634" t="s">
        <v>126</v>
      </c>
      <c r="C2634" t="s">
        <v>1344</v>
      </c>
      <c r="D2634" t="s">
        <v>99</v>
      </c>
      <c r="E2634" t="s">
        <v>298</v>
      </c>
      <c r="F2634" t="s">
        <v>1289</v>
      </c>
      <c r="G2634" s="229">
        <v>2.893483671148593</v>
      </c>
      <c r="H2634" s="229">
        <v>1.1167436828959576</v>
      </c>
      <c r="I2634" s="229">
        <v>1.817490471651509</v>
      </c>
      <c r="J2634" s="229">
        <v>2.0784978260647868</v>
      </c>
      <c r="K2634" s="229">
        <v>3.670426186485908</v>
      </c>
      <c r="L2634" s="229">
        <v>1.451246319267627</v>
      </c>
      <c r="M2634" s="229">
        <v>3.151066169896692</v>
      </c>
      <c r="N2634" s="229">
        <v>2.6046081917538553</v>
      </c>
      <c r="O2634" s="229">
        <v>1.7223983133624781</v>
      </c>
      <c r="P2634" s="229">
        <v>4.488073442039493</v>
      </c>
      <c r="Q2634" s="229">
        <v>2.3761680057501793</v>
      </c>
      <c r="R2634" s="229">
        <v>1.8213954789715847</v>
      </c>
      <c r="S2634" s="229">
        <v>14.436318731151628</v>
      </c>
      <c r="T2634" s="229">
        <v>3.2442297418370529</v>
      </c>
      <c r="U2634" s="229">
        <f>AVERAGE(G2634:T2634)</f>
        <v>3.3480104451626675</v>
      </c>
      <c r="V2634" t="str">
        <f t="shared" si="247"/>
        <v>2020/21Expenditure driversNOCs OtherActual</v>
      </c>
    </row>
    <row r="2635" spans="1:22">
      <c r="A2635" t="s">
        <v>126</v>
      </c>
      <c r="C2635" t="s">
        <v>1344</v>
      </c>
      <c r="D2635" t="s">
        <v>99</v>
      </c>
      <c r="E2635" t="s">
        <v>602</v>
      </c>
      <c r="F2635" t="s">
        <v>1289</v>
      </c>
      <c r="G2635" s="229">
        <v>0.58550824421833747</v>
      </c>
      <c r="H2635" s="229">
        <v>-7.9584521612239945E-2</v>
      </c>
      <c r="I2635" s="229">
        <v>-0.45757389480755406</v>
      </c>
      <c r="J2635" s="229">
        <v>-1.3186856381794692</v>
      </c>
      <c r="K2635" s="229">
        <v>-0.38989295381566302</v>
      </c>
      <c r="L2635" s="229">
        <v>-7.068456561027836E-2</v>
      </c>
      <c r="M2635" s="229">
        <v>0.73302033056030114</v>
      </c>
      <c r="N2635" s="229">
        <v>-0.666214133785759</v>
      </c>
      <c r="O2635" s="229">
        <v>-0.88210936161566411</v>
      </c>
      <c r="P2635" s="229">
        <v>-0.87131573126329354</v>
      </c>
      <c r="Q2635" s="229">
        <v>-0.2613231369177611</v>
      </c>
      <c r="R2635" s="229">
        <v>-5.1356929074151125E-2</v>
      </c>
      <c r="S2635" s="229">
        <v>6.3058444117951442</v>
      </c>
      <c r="T2635" s="229">
        <v>1.9410744129433879</v>
      </c>
      <c r="U2635" s="229">
        <f>U2634-U2633</f>
        <v>0.32262189520252349</v>
      </c>
      <c r="V2635" t="str">
        <f t="shared" si="247"/>
        <v>2020/21Expenditure driversNOCs OtherDifference</v>
      </c>
    </row>
    <row r="2636" spans="1:22">
      <c r="A2636" t="s">
        <v>126</v>
      </c>
      <c r="C2636" t="s">
        <v>1344</v>
      </c>
      <c r="D2636" t="s">
        <v>99</v>
      </c>
      <c r="E2636" t="s">
        <v>1346</v>
      </c>
      <c r="F2636" t="s">
        <v>606</v>
      </c>
      <c r="G2636" s="829">
        <v>0.25368911531137844</v>
      </c>
      <c r="H2636" s="829">
        <v>-6.6523986739037561E-2</v>
      </c>
      <c r="I2636" s="829">
        <v>-0.20112569189403967</v>
      </c>
      <c r="J2636" s="829">
        <v>-0.38817027459917491</v>
      </c>
      <c r="K2636" s="829">
        <v>-9.6025199089819477E-2</v>
      </c>
      <c r="L2636" s="829">
        <v>-4.6444004989062905E-2</v>
      </c>
      <c r="M2636" s="829">
        <v>0.30314575457406195</v>
      </c>
      <c r="N2636" s="829">
        <v>-0.20368398753541228</v>
      </c>
      <c r="O2636" s="829">
        <v>-0.33868564492637443</v>
      </c>
      <c r="P2636" s="829">
        <v>-0.16257743244391692</v>
      </c>
      <c r="Q2636" s="829">
        <v>-9.9080195072587446E-2</v>
      </c>
      <c r="R2636" s="829">
        <v>-2.742323483526761E-2</v>
      </c>
      <c r="S2636" s="829">
        <v>0.77558137005397287</v>
      </c>
      <c r="T2636" s="829">
        <v>1.4895188393169483</v>
      </c>
      <c r="U2636" s="829">
        <f>U2635/U2633</f>
        <v>0.10663816890784943</v>
      </c>
      <c r="V2636" t="str">
        <f t="shared" si="247"/>
        <v>2020/21Expenditure driversNOCs OtherDifference %</v>
      </c>
    </row>
    <row r="2637" spans="1:22">
      <c r="A2637" t="s">
        <v>142</v>
      </c>
      <c r="C2637" t="s">
        <v>1344</v>
      </c>
      <c r="D2637" t="s">
        <v>99</v>
      </c>
      <c r="E2637" t="s">
        <v>297</v>
      </c>
      <c r="F2637" t="s">
        <v>1289</v>
      </c>
      <c r="G2637" s="229" cm="1">
        <f t="array" ref="G2637:T2640">TRANSPOSE('Ch4 expenditure drivers'!BJ754:BM767)</f>
        <v>2.2871196672454182</v>
      </c>
      <c r="H2637" s="229">
        <v>1.1853770467004501</v>
      </c>
      <c r="I2637" s="229">
        <v>2.2504836119424607</v>
      </c>
      <c r="J2637" s="229">
        <v>3.4084321072389807</v>
      </c>
      <c r="K2637" s="229">
        <v>4.0742193367955508</v>
      </c>
      <c r="L2637" s="229">
        <v>1.5276081455836938</v>
      </c>
      <c r="M2637" s="229">
        <v>2.4358770513542765</v>
      </c>
      <c r="N2637" s="229">
        <v>3.1967963912246393</v>
      </c>
      <c r="O2637" s="229">
        <v>2.6016476933367407</v>
      </c>
      <c r="P2637" s="229">
        <v>5.3282492677515769</v>
      </c>
      <c r="Q2637" s="229">
        <v>2.647795465864911</v>
      </c>
      <c r="R2637" s="229">
        <v>1.8971782364875487</v>
      </c>
      <c r="S2637" s="229">
        <v>8.2896910384032001</v>
      </c>
      <c r="T2637" s="229">
        <v>1.3057700959926093</v>
      </c>
      <c r="U2637" s="229">
        <f>AVERAGE(G2637:T2637)</f>
        <v>3.0311603682801467</v>
      </c>
      <c r="V2637" t="str">
        <f t="shared" ref="V2637:V2640" si="251">CONCATENATE(A2637,B2637,C2637,D2637,E2637)</f>
        <v>2021/22Expenditure driversNOCs OtherAllowance</v>
      </c>
    </row>
    <row r="2638" spans="1:22">
      <c r="A2638" t="s">
        <v>142</v>
      </c>
      <c r="C2638" t="s">
        <v>1344</v>
      </c>
      <c r="D2638" t="s">
        <v>99</v>
      </c>
      <c r="E2638" t="s">
        <v>298</v>
      </c>
      <c r="F2638" t="s">
        <v>1289</v>
      </c>
      <c r="G2638" s="229">
        <v>2.0711070615455891</v>
      </c>
      <c r="H2638" s="229">
        <v>1.2197710744999313</v>
      </c>
      <c r="I2638" s="229">
        <v>1.6688837129169305</v>
      </c>
      <c r="J2638" s="229">
        <v>2.5834999999999999</v>
      </c>
      <c r="K2638" s="229">
        <v>3.0088999999999997</v>
      </c>
      <c r="L2638" s="229">
        <v>1.6623999999999999</v>
      </c>
      <c r="M2638" s="229">
        <v>3.0793999999999997</v>
      </c>
      <c r="N2638" s="229">
        <v>2.4533424740185636</v>
      </c>
      <c r="O2638" s="229">
        <v>1.6522684912654664</v>
      </c>
      <c r="P2638" s="229">
        <v>3.7901694571400912</v>
      </c>
      <c r="Q2638" s="229">
        <v>2.4038705351797862</v>
      </c>
      <c r="R2638" s="229">
        <v>1.8507904421029358</v>
      </c>
      <c r="S2638" s="229">
        <v>13.050783510000002</v>
      </c>
      <c r="T2638" s="229">
        <v>2.8567682900000002</v>
      </c>
      <c r="U2638" s="229">
        <f>AVERAGE(G2638:T2638)</f>
        <v>3.0965682177620919</v>
      </c>
      <c r="V2638" t="str">
        <f t="shared" si="251"/>
        <v>2021/22Expenditure driversNOCs OtherActual</v>
      </c>
    </row>
    <row r="2639" spans="1:22">
      <c r="A2639" t="s">
        <v>142</v>
      </c>
      <c r="C2639" t="s">
        <v>1344</v>
      </c>
      <c r="D2639" t="s">
        <v>99</v>
      </c>
      <c r="E2639" t="s">
        <v>602</v>
      </c>
      <c r="F2639" t="s">
        <v>1289</v>
      </c>
      <c r="G2639" s="229">
        <v>-0.21601260569982905</v>
      </c>
      <c r="H2639" s="229">
        <v>3.4394027799481197E-2</v>
      </c>
      <c r="I2639" s="229">
        <v>-0.58159989902553022</v>
      </c>
      <c r="J2639" s="229">
        <v>-0.82493210723898081</v>
      </c>
      <c r="K2639" s="229">
        <v>-1.0653193367955511</v>
      </c>
      <c r="L2639" s="229">
        <v>0.13479185441630603</v>
      </c>
      <c r="M2639" s="229">
        <v>0.64352294864572324</v>
      </c>
      <c r="N2639" s="229">
        <v>-0.74345391720607568</v>
      </c>
      <c r="O2639" s="229">
        <v>-0.94937920207127435</v>
      </c>
      <c r="P2639" s="229">
        <v>-1.5380798106114857</v>
      </c>
      <c r="Q2639" s="229">
        <v>-0.24392493068512477</v>
      </c>
      <c r="R2639" s="229">
        <v>-4.6387794384612935E-2</v>
      </c>
      <c r="S2639" s="229">
        <v>4.7610924715968022</v>
      </c>
      <c r="T2639" s="229">
        <v>1.5509981940073909</v>
      </c>
      <c r="U2639" s="229">
        <f>U2638-U2637</f>
        <v>6.5407849481945224E-2</v>
      </c>
      <c r="V2639" t="str">
        <f t="shared" si="251"/>
        <v>2021/22Expenditure driversNOCs OtherDifference</v>
      </c>
    </row>
    <row r="2640" spans="1:22">
      <c r="A2640" t="s">
        <v>142</v>
      </c>
      <c r="C2640" t="s">
        <v>1344</v>
      </c>
      <c r="D2640" t="s">
        <v>99</v>
      </c>
      <c r="E2640" t="s">
        <v>1346</v>
      </c>
      <c r="F2640" t="s">
        <v>606</v>
      </c>
      <c r="G2640" s="829">
        <v>-9.4447443565553471E-2</v>
      </c>
      <c r="H2640" s="829">
        <v>2.9015263873396663E-2</v>
      </c>
      <c r="I2640" s="829">
        <v>-0.25843329670973864</v>
      </c>
      <c r="J2640" s="829">
        <v>-0.24202685612747077</v>
      </c>
      <c r="K2640" s="829">
        <v>-0.26147815047027995</v>
      </c>
      <c r="L2640" s="829">
        <v>8.823719276830809E-2</v>
      </c>
      <c r="M2640" s="829">
        <v>0.2641853160396348</v>
      </c>
      <c r="N2640" s="829">
        <v>-0.23256217357066988</v>
      </c>
      <c r="O2640" s="829">
        <v>-0.3649145902816876</v>
      </c>
      <c r="P2640" s="829">
        <v>-0.28866513808212413</v>
      </c>
      <c r="Q2640" s="829">
        <v>-9.2123781398441934E-2</v>
      </c>
      <c r="R2640" s="829">
        <v>-2.4450941662969777E-2</v>
      </c>
      <c r="S2640" s="829">
        <v>0.57433895298876014</v>
      </c>
      <c r="T2640" s="829">
        <v>1.1878034263208994</v>
      </c>
      <c r="U2640" s="829">
        <f>U2639/U2637</f>
        <v>2.1578485310909844E-2</v>
      </c>
      <c r="V2640" t="str">
        <f t="shared" si="251"/>
        <v>2021/22Expenditure driversNOCs OtherDifference %</v>
      </c>
    </row>
    <row r="2641" spans="1:22">
      <c r="A2641" t="s">
        <v>137</v>
      </c>
      <c r="C2641" t="s">
        <v>1344</v>
      </c>
      <c r="D2641" t="s">
        <v>101</v>
      </c>
      <c r="E2641" t="s">
        <v>1347</v>
      </c>
      <c r="F2641" t="s">
        <v>1289</v>
      </c>
      <c r="G2641">
        <f t="array" ref="G2641:T2648">TRANSPOSE('Ch4 expenditure drivers'!E774:L787)</f>
        <v>5.1284477980452507</v>
      </c>
      <c r="H2641">
        <v>11.246112933274</v>
      </c>
      <c r="I2641">
        <v>12.79719559993355</v>
      </c>
      <c r="J2641">
        <v>16.211960636704077</v>
      </c>
      <c r="K2641">
        <v>13.203281934362863</v>
      </c>
      <c r="L2641">
        <v>8.1588064280947616</v>
      </c>
      <c r="M2641">
        <v>16.489836676811684</v>
      </c>
      <c r="N2641">
        <v>12.421683180999523</v>
      </c>
      <c r="O2641">
        <v>7.7562756119229537</v>
      </c>
      <c r="P2641">
        <v>12.149519011595052</v>
      </c>
      <c r="Q2641">
        <v>17.504442386947588</v>
      </c>
      <c r="R2641">
        <v>14.055858202708809</v>
      </c>
      <c r="S2641">
        <v>8.7111872346659709</v>
      </c>
      <c r="T2641">
        <v>15.502463944248856</v>
      </c>
      <c r="U2641">
        <f>AVERAGE(G2641:T2641)</f>
        <v>12.23836225573678</v>
      </c>
      <c r="V2641" t="str">
        <f t="shared" si="247"/>
        <v>2015/16Expenditure driversNon Op CapexBPDT</v>
      </c>
    </row>
    <row r="2642" spans="1:22">
      <c r="A2642" t="s">
        <v>138</v>
      </c>
      <c r="C2642" t="s">
        <v>1344</v>
      </c>
      <c r="D2642" t="s">
        <v>101</v>
      </c>
      <c r="E2642" t="s">
        <v>1347</v>
      </c>
      <c r="F2642" t="s">
        <v>1289</v>
      </c>
      <c r="G2642">
        <v>5.6563187326424558</v>
      </c>
      <c r="H2642">
        <v>9.0820154560014554</v>
      </c>
      <c r="I2642">
        <v>10.798325729617298</v>
      </c>
      <c r="J2642">
        <v>16.425475588709197</v>
      </c>
      <c r="K2642">
        <v>13.616238041123205</v>
      </c>
      <c r="L2642">
        <v>9.7235515554288519</v>
      </c>
      <c r="M2642">
        <v>17.497886537412846</v>
      </c>
      <c r="N2642">
        <v>12.900284479865887</v>
      </c>
      <c r="O2642">
        <v>13.688658688046583</v>
      </c>
      <c r="P2642">
        <v>26.314538287464678</v>
      </c>
      <c r="Q2642">
        <v>8.3258310781702676</v>
      </c>
      <c r="R2642">
        <v>9.6560218054221814</v>
      </c>
      <c r="S2642">
        <v>8.2413379201919472</v>
      </c>
      <c r="T2642">
        <v>17.233232346237536</v>
      </c>
      <c r="U2642">
        <f t="shared" ref="U2642:U2673" si="252">AVERAGE(G2642:T2642)</f>
        <v>12.797122589023884</v>
      </c>
      <c r="V2642" t="str">
        <f t="shared" si="247"/>
        <v>2016/17Expenditure driversNon Op CapexBPDT</v>
      </c>
    </row>
    <row r="2643" spans="1:22">
      <c r="A2643" t="s">
        <v>139</v>
      </c>
      <c r="C2643" t="s">
        <v>1344</v>
      </c>
      <c r="D2643" t="s">
        <v>101</v>
      </c>
      <c r="E2643" t="s">
        <v>1347</v>
      </c>
      <c r="F2643" t="s">
        <v>1289</v>
      </c>
      <c r="G2643">
        <v>5.7940312845854276</v>
      </c>
      <c r="H2643">
        <v>8.5943507698269013</v>
      </c>
      <c r="I2643">
        <v>10.573380508957516</v>
      </c>
      <c r="J2643">
        <v>8.9941291830202044</v>
      </c>
      <c r="K2643">
        <v>9.640720651969902</v>
      </c>
      <c r="L2643">
        <v>7.3809742289316222</v>
      </c>
      <c r="M2643">
        <v>11.581023016382117</v>
      </c>
      <c r="N2643">
        <v>9.0244234170690536</v>
      </c>
      <c r="O2643">
        <v>9.9062486713800162</v>
      </c>
      <c r="P2643">
        <v>15.953493177328522</v>
      </c>
      <c r="Q2643">
        <v>8.3351073656080956</v>
      </c>
      <c r="R2643">
        <v>10.084186789823795</v>
      </c>
      <c r="S2643">
        <v>7.1053938921605964</v>
      </c>
      <c r="T2643">
        <v>15.286315087139235</v>
      </c>
      <c r="U2643">
        <f t="shared" si="252"/>
        <v>9.8752698602987863</v>
      </c>
      <c r="V2643" t="str">
        <f t="shared" si="247"/>
        <v>2017/18Expenditure driversNon Op CapexBPDT</v>
      </c>
    </row>
    <row r="2644" spans="1:22">
      <c r="A2644" t="s">
        <v>140</v>
      </c>
      <c r="C2644" t="s">
        <v>1344</v>
      </c>
      <c r="D2644" t="s">
        <v>101</v>
      </c>
      <c r="E2644" t="s">
        <v>1347</v>
      </c>
      <c r="F2644" t="s">
        <v>1289</v>
      </c>
      <c r="G2644">
        <v>6.4342895398816164</v>
      </c>
      <c r="H2644">
        <v>9.5647311571995353</v>
      </c>
      <c r="I2644">
        <v>11.267449451503937</v>
      </c>
      <c r="J2644">
        <v>13.296125940374699</v>
      </c>
      <c r="K2644">
        <v>13.615213502938264</v>
      </c>
      <c r="L2644">
        <v>10.608132767254876</v>
      </c>
      <c r="M2644">
        <v>14.894022044346848</v>
      </c>
      <c r="N2644">
        <v>8.5743290736260942</v>
      </c>
      <c r="O2644">
        <v>12.769581814214105</v>
      </c>
      <c r="P2644">
        <v>18.776998264983611</v>
      </c>
      <c r="Q2644">
        <v>9.8093118093830949</v>
      </c>
      <c r="R2644">
        <v>8.6829826724649557</v>
      </c>
      <c r="S2644">
        <v>7.4556564776470564</v>
      </c>
      <c r="T2644">
        <v>16.654970402641208</v>
      </c>
      <c r="U2644">
        <f t="shared" si="252"/>
        <v>11.600271065604279</v>
      </c>
      <c r="V2644" t="str">
        <f t="shared" si="247"/>
        <v>2018/19Expenditure driversNon Op CapexBPDT</v>
      </c>
    </row>
    <row r="2645" spans="1:22">
      <c r="A2645" t="s">
        <v>141</v>
      </c>
      <c r="C2645" t="s">
        <v>1344</v>
      </c>
      <c r="D2645" t="s">
        <v>101</v>
      </c>
      <c r="E2645" t="s">
        <v>1347</v>
      </c>
      <c r="F2645" t="s">
        <v>1289</v>
      </c>
      <c r="G2645">
        <v>7.3932948994975174</v>
      </c>
      <c r="H2645">
        <v>9.1234966489169764</v>
      </c>
      <c r="I2645">
        <v>11.248514272297502</v>
      </c>
      <c r="J2645">
        <v>17.622717310992112</v>
      </c>
      <c r="K2645">
        <v>15.970734947412792</v>
      </c>
      <c r="L2645">
        <v>7.9343726859345836</v>
      </c>
      <c r="M2645">
        <v>11.905306066580376</v>
      </c>
      <c r="N2645">
        <v>8.374421227370787</v>
      </c>
      <c r="O2645">
        <v>12.689190199269392</v>
      </c>
      <c r="P2645">
        <v>19.082980446992476</v>
      </c>
      <c r="Q2645">
        <v>12.070482561494389</v>
      </c>
      <c r="R2645">
        <v>12.699366471781399</v>
      </c>
      <c r="S2645">
        <v>7.9045458354119411</v>
      </c>
      <c r="T2645">
        <v>13.008959547202062</v>
      </c>
      <c r="U2645">
        <f t="shared" si="252"/>
        <v>11.930598794368166</v>
      </c>
      <c r="V2645" t="str">
        <f t="shared" si="247"/>
        <v>2019/20Expenditure driversNon Op CapexBPDT</v>
      </c>
    </row>
    <row r="2646" spans="1:22">
      <c r="A2646" t="s">
        <v>126</v>
      </c>
      <c r="C2646" t="s">
        <v>1344</v>
      </c>
      <c r="D2646" t="s">
        <v>101</v>
      </c>
      <c r="E2646" t="s">
        <v>1347</v>
      </c>
      <c r="F2646" t="s">
        <v>1289</v>
      </c>
      <c r="G2646">
        <v>7.2588253143737154</v>
      </c>
      <c r="H2646">
        <v>7.8618571628007867</v>
      </c>
      <c r="I2646">
        <v>9.3103292375767222</v>
      </c>
      <c r="J2646">
        <v>19.777824973764275</v>
      </c>
      <c r="K2646">
        <v>16.212053711196049</v>
      </c>
      <c r="L2646">
        <v>7.2433288714773667</v>
      </c>
      <c r="M2646">
        <v>11.186615598363623</v>
      </c>
      <c r="N2646">
        <v>8.5101057051124869</v>
      </c>
      <c r="O2646">
        <v>11.06280445629012</v>
      </c>
      <c r="P2646">
        <v>11.906252694710682</v>
      </c>
      <c r="Q2646">
        <v>4.8506725244394078</v>
      </c>
      <c r="R2646">
        <v>4.2605818830698547</v>
      </c>
      <c r="S2646">
        <v>7.8020922837614961</v>
      </c>
      <c r="T2646">
        <v>12.95532292341572</v>
      </c>
      <c r="U2646">
        <f t="shared" si="252"/>
        <v>10.014190524310878</v>
      </c>
      <c r="V2646" t="str">
        <f t="shared" si="247"/>
        <v>2020/21Expenditure driversNon Op CapexBPDT</v>
      </c>
    </row>
    <row r="2647" spans="1:22">
      <c r="A2647" t="s">
        <v>142</v>
      </c>
      <c r="C2647" t="s">
        <v>1344</v>
      </c>
      <c r="D2647" t="s">
        <v>101</v>
      </c>
      <c r="E2647" t="s">
        <v>1347</v>
      </c>
      <c r="F2647" t="s">
        <v>1289</v>
      </c>
      <c r="G2647">
        <v>6.9487918962368749</v>
      </c>
      <c r="H2647">
        <v>11.659349718014496</v>
      </c>
      <c r="I2647">
        <v>13.362583606416704</v>
      </c>
      <c r="J2647">
        <v>18.273473268934566</v>
      </c>
      <c r="K2647">
        <v>18.778394442409173</v>
      </c>
      <c r="L2647">
        <v>6.775030927844969</v>
      </c>
      <c r="M2647">
        <v>12.192517010666711</v>
      </c>
      <c r="N2647">
        <v>11.081628517561839</v>
      </c>
      <c r="O2647">
        <v>13.51096609212717</v>
      </c>
      <c r="P2647">
        <v>11.997949799006937</v>
      </c>
      <c r="Q2647">
        <v>5.0887515047018068</v>
      </c>
      <c r="R2647">
        <v>4.0304236731126668</v>
      </c>
      <c r="S2647">
        <v>7.273590029410169</v>
      </c>
      <c r="T2647">
        <v>13.063530936011766</v>
      </c>
      <c r="U2647">
        <f t="shared" si="252"/>
        <v>11.002641530175419</v>
      </c>
      <c r="V2647" t="str">
        <f t="shared" si="247"/>
        <v>2021/22Expenditure driversNon Op CapexBPDT</v>
      </c>
    </row>
    <row r="2648" spans="1:22">
      <c r="A2648" t="s">
        <v>143</v>
      </c>
      <c r="C2648" t="s">
        <v>1344</v>
      </c>
      <c r="D2648" t="s">
        <v>101</v>
      </c>
      <c r="E2648" t="s">
        <v>1347</v>
      </c>
      <c r="F2648" t="s">
        <v>1289</v>
      </c>
      <c r="G2648">
        <v>7.1077481715525339</v>
      </c>
      <c r="H2648">
        <v>9.0461867238137046</v>
      </c>
      <c r="I2648">
        <v>10.860966874868234</v>
      </c>
      <c r="J2648">
        <v>12.986251897442296</v>
      </c>
      <c r="K2648">
        <v>13.102806962330314</v>
      </c>
      <c r="L2648">
        <v>6.3459280528487332</v>
      </c>
      <c r="M2648">
        <v>11.579404886330929</v>
      </c>
      <c r="N2648">
        <v>8.0957425729949293</v>
      </c>
      <c r="O2648">
        <v>11.135846839351219</v>
      </c>
      <c r="P2648">
        <v>10.888748851665257</v>
      </c>
      <c r="Q2648">
        <v>5.1640567330281488</v>
      </c>
      <c r="R2648">
        <v>4.0075390645408824</v>
      </c>
      <c r="S2648">
        <v>7.4070135688775505</v>
      </c>
      <c r="T2648">
        <v>12.754103808792252</v>
      </c>
      <c r="U2648">
        <f t="shared" si="252"/>
        <v>9.3201675006026399</v>
      </c>
      <c r="V2648" t="str">
        <f t="shared" si="247"/>
        <v>2022/23Expenditure driversNon Op CapexBPDT</v>
      </c>
    </row>
    <row r="2649" spans="1:22">
      <c r="A2649" t="s">
        <v>137</v>
      </c>
      <c r="C2649" t="s">
        <v>1344</v>
      </c>
      <c r="D2649" t="s">
        <v>101</v>
      </c>
      <c r="E2649" t="s">
        <v>1348</v>
      </c>
      <c r="F2649" t="s">
        <v>1289</v>
      </c>
      <c r="G2649">
        <f t="array" ref="G2649:T2656">TRANSPOSE('Ch4 expenditure drivers'!N774:U787)</f>
        <v>8.0736204418734587</v>
      </c>
      <c r="H2649">
        <v>10.979131095931578</v>
      </c>
      <c r="I2649">
        <v>13.290218928256047</v>
      </c>
      <c r="J2649">
        <v>16.211960636704077</v>
      </c>
      <c r="K2649">
        <v>13.203281934362863</v>
      </c>
      <c r="L2649">
        <v>8.1588064280947616</v>
      </c>
      <c r="M2649">
        <v>16.489836676811684</v>
      </c>
      <c r="N2649">
        <v>8.8923401962578357</v>
      </c>
      <c r="O2649">
        <v>8.4503361489879172</v>
      </c>
      <c r="P2649">
        <v>14.565120269706242</v>
      </c>
      <c r="Q2649">
        <v>15.200825259969555</v>
      </c>
      <c r="R2649">
        <v>11.545091625450716</v>
      </c>
      <c r="S2649">
        <v>7.6056101680857777</v>
      </c>
      <c r="T2649">
        <v>15.773326897513554</v>
      </c>
      <c r="U2649">
        <f t="shared" si="252"/>
        <v>12.031393336286145</v>
      </c>
      <c r="V2649" t="str">
        <f t="shared" si="247"/>
        <v>2015/16Expenditure driversNon Op CapexDNO Baseline</v>
      </c>
    </row>
    <row r="2650" spans="1:22">
      <c r="A2650" t="s">
        <v>138</v>
      </c>
      <c r="C2650" t="s">
        <v>1344</v>
      </c>
      <c r="D2650" t="s">
        <v>101</v>
      </c>
      <c r="E2650" t="s">
        <v>1348</v>
      </c>
      <c r="F2650" t="s">
        <v>1289</v>
      </c>
      <c r="G2650">
        <v>6.7820594222362924</v>
      </c>
      <c r="H2650">
        <v>9.9246840833655376</v>
      </c>
      <c r="I2650">
        <v>12.199449482588271</v>
      </c>
      <c r="J2650">
        <v>16.425475588709197</v>
      </c>
      <c r="K2650">
        <v>13.616238041123205</v>
      </c>
      <c r="L2650">
        <v>9.7235515554288519</v>
      </c>
      <c r="M2650">
        <v>17.497886537412846</v>
      </c>
      <c r="N2650">
        <v>9.9329906485159078</v>
      </c>
      <c r="O2650">
        <v>12.097641651858638</v>
      </c>
      <c r="P2650">
        <v>22.816133379544251</v>
      </c>
      <c r="Q2650">
        <v>8.8378467960266409</v>
      </c>
      <c r="R2650">
        <v>10.913128637653728</v>
      </c>
      <c r="S2650">
        <v>6.9617507200586024</v>
      </c>
      <c r="T2650">
        <v>16.553308043276544</v>
      </c>
      <c r="U2650">
        <f t="shared" si="252"/>
        <v>12.448724613414182</v>
      </c>
      <c r="V2650" t="str">
        <f t="shared" si="247"/>
        <v>2016/17Expenditure driversNon Op CapexDNO Baseline</v>
      </c>
    </row>
    <row r="2651" spans="1:22">
      <c r="A2651" t="s">
        <v>139</v>
      </c>
      <c r="C2651" t="s">
        <v>1344</v>
      </c>
      <c r="D2651" t="s">
        <v>101</v>
      </c>
      <c r="E2651" t="s">
        <v>1348</v>
      </c>
      <c r="F2651" t="s">
        <v>1289</v>
      </c>
      <c r="G2651">
        <v>7.0232427945122318</v>
      </c>
      <c r="H2651">
        <v>9.243231408364629</v>
      </c>
      <c r="I2651">
        <v>11.541416370520414</v>
      </c>
      <c r="J2651">
        <v>8.9941291830202044</v>
      </c>
      <c r="K2651">
        <v>9.640720651969902</v>
      </c>
      <c r="L2651">
        <v>7.3809742289316222</v>
      </c>
      <c r="M2651">
        <v>11.581023016382117</v>
      </c>
      <c r="N2651">
        <v>8.049943112891409</v>
      </c>
      <c r="O2651">
        <v>9.9280706906292018</v>
      </c>
      <c r="P2651">
        <v>15.430276758465412</v>
      </c>
      <c r="Q2651">
        <v>8.1510792589059449</v>
      </c>
      <c r="R2651">
        <v>8.1987036689118078</v>
      </c>
      <c r="S2651">
        <v>5.9353838188474484</v>
      </c>
      <c r="T2651">
        <v>14.140656336503191</v>
      </c>
      <c r="U2651">
        <f t="shared" si="252"/>
        <v>9.6599179499182508</v>
      </c>
      <c r="V2651" t="str">
        <f t="shared" si="247"/>
        <v>2017/18Expenditure driversNon Op CapexDNO Baseline</v>
      </c>
    </row>
    <row r="2652" spans="1:22">
      <c r="A2652" t="s">
        <v>140</v>
      </c>
      <c r="C2652" t="s">
        <v>1344</v>
      </c>
      <c r="D2652" t="s">
        <v>101</v>
      </c>
      <c r="E2652" t="s">
        <v>1348</v>
      </c>
      <c r="F2652" t="s">
        <v>1289</v>
      </c>
      <c r="G2652">
        <v>8.2172388522024935</v>
      </c>
      <c r="H2652">
        <v>9.9016990371137101</v>
      </c>
      <c r="I2652">
        <v>11.885263504836658</v>
      </c>
      <c r="J2652">
        <v>13.296125940374699</v>
      </c>
      <c r="K2652">
        <v>13.615213502938264</v>
      </c>
      <c r="L2652">
        <v>10.608132767254876</v>
      </c>
      <c r="M2652">
        <v>14.894022044346848</v>
      </c>
      <c r="N2652">
        <v>7.571190476361469</v>
      </c>
      <c r="O2652">
        <v>10.058386713489071</v>
      </c>
      <c r="P2652">
        <v>15.811654784063915</v>
      </c>
      <c r="Q2652">
        <v>8.4165429989580716</v>
      </c>
      <c r="R2652">
        <v>5.8410388719347264</v>
      </c>
      <c r="S2652">
        <v>6.1417347195817209</v>
      </c>
      <c r="T2652">
        <v>15.053892762731394</v>
      </c>
      <c r="U2652">
        <f t="shared" si="252"/>
        <v>10.808009784013425</v>
      </c>
      <c r="V2652" t="str">
        <f t="shared" si="247"/>
        <v>2018/19Expenditure driversNon Op CapexDNO Baseline</v>
      </c>
    </row>
    <row r="2653" spans="1:22">
      <c r="A2653" t="s">
        <v>141</v>
      </c>
      <c r="C2653" t="s">
        <v>1344</v>
      </c>
      <c r="D2653" t="s">
        <v>101</v>
      </c>
      <c r="E2653" t="s">
        <v>1348</v>
      </c>
      <c r="F2653" t="s">
        <v>1289</v>
      </c>
      <c r="G2653">
        <v>8.14387311015245</v>
      </c>
      <c r="H2653">
        <v>8.8993838474442377</v>
      </c>
      <c r="I2653">
        <v>11.251560863299703</v>
      </c>
      <c r="J2653">
        <v>17.622717310992112</v>
      </c>
      <c r="K2653">
        <v>15.970734947412792</v>
      </c>
      <c r="L2653">
        <v>7.9343726859345836</v>
      </c>
      <c r="M2653">
        <v>11.905306066580376</v>
      </c>
      <c r="N2653">
        <v>7.4280485438316255</v>
      </c>
      <c r="O2653">
        <v>10.075851003147125</v>
      </c>
      <c r="P2653">
        <v>16.100814359879653</v>
      </c>
      <c r="Q2653">
        <v>9.8145829112724883</v>
      </c>
      <c r="R2653">
        <v>7.7651898295094055</v>
      </c>
      <c r="S2653">
        <v>5.8287684545971654</v>
      </c>
      <c r="T2653">
        <v>11.268980042762196</v>
      </c>
      <c r="U2653">
        <f t="shared" si="252"/>
        <v>10.715013141201137</v>
      </c>
      <c r="V2653" t="str">
        <f t="shared" si="247"/>
        <v>2019/20Expenditure driversNon Op CapexDNO Baseline</v>
      </c>
    </row>
    <row r="2654" spans="1:22">
      <c r="A2654" t="s">
        <v>126</v>
      </c>
      <c r="C2654" t="s">
        <v>1344</v>
      </c>
      <c r="D2654" t="s">
        <v>101</v>
      </c>
      <c r="E2654" t="s">
        <v>1348</v>
      </c>
      <c r="F2654" t="s">
        <v>1289</v>
      </c>
      <c r="G2654">
        <v>7.6529124273422715</v>
      </c>
      <c r="H2654">
        <v>8.0994046629481335</v>
      </c>
      <c r="I2654">
        <v>9.9827439206320729</v>
      </c>
      <c r="J2654">
        <v>19.777824973764275</v>
      </c>
      <c r="K2654">
        <v>16.212053711196049</v>
      </c>
      <c r="L2654">
        <v>7.2433288714773667</v>
      </c>
      <c r="M2654">
        <v>11.186615598363623</v>
      </c>
      <c r="N2654">
        <v>7.5082538623136523</v>
      </c>
      <c r="O2654">
        <v>9.0080271494848638</v>
      </c>
      <c r="P2654">
        <v>11.399140064043822</v>
      </c>
      <c r="Q2654">
        <v>5.3180021402781579</v>
      </c>
      <c r="R2654">
        <v>3.7716397332143803</v>
      </c>
      <c r="S2654">
        <v>5.5860786401191396</v>
      </c>
      <c r="T2654">
        <v>10.858719422320764</v>
      </c>
      <c r="U2654">
        <f t="shared" si="252"/>
        <v>9.5431960841070396</v>
      </c>
      <c r="V2654" t="str">
        <f t="shared" si="247"/>
        <v>2020/21Expenditure driversNon Op CapexDNO Baseline</v>
      </c>
    </row>
    <row r="2655" spans="1:22">
      <c r="A2655" t="s">
        <v>142</v>
      </c>
      <c r="C2655" t="s">
        <v>1344</v>
      </c>
      <c r="D2655" t="s">
        <v>101</v>
      </c>
      <c r="E2655" t="s">
        <v>1348</v>
      </c>
      <c r="F2655" t="s">
        <v>1289</v>
      </c>
      <c r="G2655">
        <v>9.9050903830101067</v>
      </c>
      <c r="H2655">
        <v>10.884259592921257</v>
      </c>
      <c r="I2655">
        <v>12.733251722397323</v>
      </c>
      <c r="J2655">
        <v>18.273473268934566</v>
      </c>
      <c r="K2655">
        <v>18.778394442409173</v>
      </c>
      <c r="L2655">
        <v>6.775030927844969</v>
      </c>
      <c r="M2655">
        <v>12.192517010666711</v>
      </c>
      <c r="N2655">
        <v>8.9574081526325706</v>
      </c>
      <c r="O2655">
        <v>10.498135628763675</v>
      </c>
      <c r="P2655">
        <v>11.581882066855108</v>
      </c>
      <c r="Q2655">
        <v>5.2453357763861623</v>
      </c>
      <c r="R2655">
        <v>3.5740317260973247</v>
      </c>
      <c r="S2655">
        <v>5.0286381379930694</v>
      </c>
      <c r="T2655">
        <v>10.648125315245657</v>
      </c>
      <c r="U2655">
        <f t="shared" si="252"/>
        <v>10.362541010868403</v>
      </c>
      <c r="V2655" t="str">
        <f t="shared" ref="V2655:V2724" si="253">CONCATENATE(A2655,B2655,C2655,D2655,E2655)</f>
        <v>2021/22Expenditure driversNon Op CapexDNO Baseline</v>
      </c>
    </row>
    <row r="2656" spans="1:22">
      <c r="A2656" t="s">
        <v>143</v>
      </c>
      <c r="C2656" t="s">
        <v>1344</v>
      </c>
      <c r="D2656" t="s">
        <v>101</v>
      </c>
      <c r="E2656" t="s">
        <v>1348</v>
      </c>
      <c r="F2656" t="s">
        <v>1289</v>
      </c>
      <c r="G2656">
        <v>9.8300593930865698</v>
      </c>
      <c r="H2656">
        <v>9.1847751603342047</v>
      </c>
      <c r="I2656">
        <v>10.844850798912578</v>
      </c>
      <c r="J2656">
        <v>12.986251897442296</v>
      </c>
      <c r="K2656">
        <v>13.102806962330314</v>
      </c>
      <c r="L2656">
        <v>6.3459280528487332</v>
      </c>
      <c r="M2656">
        <v>11.579404886330929</v>
      </c>
      <c r="N2656">
        <v>7.0799283991268762</v>
      </c>
      <c r="O2656">
        <v>9.1680635748193495</v>
      </c>
      <c r="P2656">
        <v>10.7873554708307</v>
      </c>
      <c r="Q2656">
        <v>4.8826520434127358</v>
      </c>
      <c r="R2656">
        <v>3.3978583739550237</v>
      </c>
      <c r="S2656">
        <v>4.8394646698217425</v>
      </c>
      <c r="T2656">
        <v>10.185394510026335</v>
      </c>
      <c r="U2656">
        <f t="shared" si="252"/>
        <v>8.8724852995198837</v>
      </c>
      <c r="V2656" t="str">
        <f t="shared" si="253"/>
        <v>2022/23Expenditure driversNon Op CapexDNO Baseline</v>
      </c>
    </row>
    <row r="2657" spans="1:22">
      <c r="A2657" t="s">
        <v>137</v>
      </c>
      <c r="C2657" t="s">
        <v>1344</v>
      </c>
      <c r="D2657" t="s">
        <v>101</v>
      </c>
      <c r="E2657" t="s">
        <v>1349</v>
      </c>
      <c r="F2657" t="s">
        <v>1289</v>
      </c>
      <c r="G2657" cm="1">
        <f t="array" ref="G2657:T2663">TRANSPOSE('Ch4 expenditure drivers'!W774:AC787)</f>
        <v>19.135224461667516</v>
      </c>
      <c r="H2657">
        <v>11.225491061878929</v>
      </c>
      <c r="I2657">
        <v>9.0899627167463262</v>
      </c>
      <c r="J2657">
        <v>11.943157317688962</v>
      </c>
      <c r="K2657">
        <v>10.15020848619875</v>
      </c>
      <c r="L2657">
        <v>8.6880478597556987</v>
      </c>
      <c r="M2657">
        <v>12.767729076100574</v>
      </c>
      <c r="N2657">
        <v>5.9750469211747541</v>
      </c>
      <c r="O2657">
        <v>6.2327260203132502</v>
      </c>
      <c r="P2657">
        <v>10.555388569654358</v>
      </c>
      <c r="Q2657">
        <v>11.047405755130949</v>
      </c>
      <c r="R2657">
        <v>11.269667260376277</v>
      </c>
      <c r="S2657">
        <v>9.7290060755562031</v>
      </c>
      <c r="T2657">
        <v>17.421794575556895</v>
      </c>
      <c r="U2657">
        <f t="shared" si="252"/>
        <v>11.087918296985675</v>
      </c>
      <c r="V2657" t="str">
        <f t="shared" si="253"/>
        <v>2015/16Expenditure driversNon Op CapexDNO Actual</v>
      </c>
    </row>
    <row r="2658" spans="1:22">
      <c r="A2658" t="s">
        <v>138</v>
      </c>
      <c r="C2658" t="s">
        <v>1344</v>
      </c>
      <c r="D2658" t="s">
        <v>101</v>
      </c>
      <c r="E2658" t="s">
        <v>1349</v>
      </c>
      <c r="F2658" t="s">
        <v>1289</v>
      </c>
      <c r="G2658">
        <v>11.139621482338386</v>
      </c>
      <c r="H2658">
        <v>10.502851412169694</v>
      </c>
      <c r="I2658">
        <v>10.896088054929791</v>
      </c>
      <c r="J2658">
        <v>10.733044072273879</v>
      </c>
      <c r="K2658">
        <v>13.023353511804128</v>
      </c>
      <c r="L2658">
        <v>9.2892273653544244</v>
      </c>
      <c r="M2658">
        <v>16.691371264792899</v>
      </c>
      <c r="N2658">
        <v>9.5017141691811062</v>
      </c>
      <c r="O2658">
        <v>7.9567780680239579</v>
      </c>
      <c r="P2658">
        <v>27.266208054133433</v>
      </c>
      <c r="Q2658">
        <v>8.7406203850854691</v>
      </c>
      <c r="R2658">
        <v>8.6175984546059805</v>
      </c>
      <c r="S2658">
        <v>12.899109004758113</v>
      </c>
      <c r="T2658">
        <v>18.052828156928356</v>
      </c>
      <c r="U2658">
        <f t="shared" si="252"/>
        <v>12.522172389741399</v>
      </c>
      <c r="V2658" t="str">
        <f t="shared" si="253"/>
        <v>2016/17Expenditure driversNon Op CapexDNO Actual</v>
      </c>
    </row>
    <row r="2659" spans="1:22">
      <c r="A2659" t="s">
        <v>139</v>
      </c>
      <c r="C2659" t="s">
        <v>1344</v>
      </c>
      <c r="D2659" t="s">
        <v>101</v>
      </c>
      <c r="E2659" t="s">
        <v>1349</v>
      </c>
      <c r="F2659" t="s">
        <v>1289</v>
      </c>
      <c r="G2659">
        <v>13.407950010798743</v>
      </c>
      <c r="H2659">
        <v>10.318118451410246</v>
      </c>
      <c r="I2659">
        <v>11.032953623118395</v>
      </c>
      <c r="J2659">
        <v>16.856146053225078</v>
      </c>
      <c r="K2659">
        <v>12.657955612059308</v>
      </c>
      <c r="L2659">
        <v>10.160388270257686</v>
      </c>
      <c r="M2659">
        <v>15.062597059379863</v>
      </c>
      <c r="N2659">
        <v>13.402540440820943</v>
      </c>
      <c r="O2659">
        <v>13.665408635190529</v>
      </c>
      <c r="P2659">
        <v>22.566972634373549</v>
      </c>
      <c r="Q2659">
        <v>8.8434275514501106</v>
      </c>
      <c r="R2659">
        <v>8.957618498707884</v>
      </c>
      <c r="S2659">
        <v>12.057577788821858</v>
      </c>
      <c r="T2659">
        <v>16.454850654670643</v>
      </c>
      <c r="U2659">
        <f t="shared" si="252"/>
        <v>13.246036091734632</v>
      </c>
      <c r="V2659" t="str">
        <f t="shared" si="253"/>
        <v>2017/18Expenditure driversNon Op CapexDNO Actual</v>
      </c>
    </row>
    <row r="2660" spans="1:22">
      <c r="A2660" t="s">
        <v>140</v>
      </c>
      <c r="C2660" t="s">
        <v>1344</v>
      </c>
      <c r="D2660" t="s">
        <v>101</v>
      </c>
      <c r="E2660" t="s">
        <v>1349</v>
      </c>
      <c r="F2660" t="s">
        <v>1289</v>
      </c>
      <c r="G2660">
        <v>15.267120171620617</v>
      </c>
      <c r="H2660">
        <v>7.084763196782343</v>
      </c>
      <c r="I2660">
        <v>6.8211886889153712</v>
      </c>
      <c r="J2660">
        <v>10.986763300718653</v>
      </c>
      <c r="K2660">
        <v>11.260021064001014</v>
      </c>
      <c r="L2660">
        <v>13.286829248732829</v>
      </c>
      <c r="M2660">
        <v>15.011274643144562</v>
      </c>
      <c r="N2660">
        <v>12.09230496425236</v>
      </c>
      <c r="O2660">
        <v>13.41964560174025</v>
      </c>
      <c r="P2660">
        <v>18.334046922099652</v>
      </c>
      <c r="Q2660">
        <v>4.6259193829147343</v>
      </c>
      <c r="R2660">
        <v>5.3402844083989134</v>
      </c>
      <c r="S2660">
        <v>9.8326094538524753</v>
      </c>
      <c r="T2660">
        <v>19.507618677646846</v>
      </c>
      <c r="U2660">
        <f>AVERAGE(G2660:T2660)</f>
        <v>11.633599266058614</v>
      </c>
      <c r="V2660" t="str">
        <f t="shared" si="253"/>
        <v>2018/19Expenditure driversNon Op CapexDNO Actual</v>
      </c>
    </row>
    <row r="2661" spans="1:22">
      <c r="A2661" t="s">
        <v>141</v>
      </c>
      <c r="C2661" t="s">
        <v>1344</v>
      </c>
      <c r="D2661" t="s">
        <v>101</v>
      </c>
      <c r="E2661" t="s">
        <v>1349</v>
      </c>
      <c r="F2661" t="s">
        <v>1289</v>
      </c>
      <c r="G2661">
        <v>10.058999421278564</v>
      </c>
      <c r="H2661">
        <v>9.9700039674906957</v>
      </c>
      <c r="I2661">
        <v>7.8366991786331681</v>
      </c>
      <c r="J2661">
        <v>10.13472659491746</v>
      </c>
      <c r="K2661">
        <v>11.322223424694299</v>
      </c>
      <c r="L2661">
        <v>12.853807417372575</v>
      </c>
      <c r="M2661">
        <v>10.686614997144254</v>
      </c>
      <c r="N2661">
        <v>11.038424620184022</v>
      </c>
      <c r="O2661">
        <v>11.464534657961091</v>
      </c>
      <c r="P2661">
        <v>16.377513563963749</v>
      </c>
      <c r="Q2661">
        <v>3.3602906493745768</v>
      </c>
      <c r="R2661">
        <v>5.3364709789045177</v>
      </c>
      <c r="S2661">
        <v>10.493100163295541</v>
      </c>
      <c r="T2661">
        <v>28.387755083137133</v>
      </c>
      <c r="U2661">
        <f>AVERAGE(G2661:T2661)</f>
        <v>11.380083194167977</v>
      </c>
      <c r="V2661" t="str">
        <f t="shared" si="253"/>
        <v>2019/20Expenditure driversNon Op CapexDNO Actual</v>
      </c>
    </row>
    <row r="2662" spans="1:22">
      <c r="A2662" t="s">
        <v>126</v>
      </c>
      <c r="C2662" t="s">
        <v>1344</v>
      </c>
      <c r="D2662" t="s">
        <v>101</v>
      </c>
      <c r="E2662" t="s">
        <v>1349</v>
      </c>
      <c r="F2662" t="s">
        <v>1289</v>
      </c>
      <c r="G2662">
        <v>9.155259834207909</v>
      </c>
      <c r="H2662">
        <v>8.3737064507618229</v>
      </c>
      <c r="I2662">
        <v>9.9410567715997544</v>
      </c>
      <c r="J2662">
        <v>15.502843607202715</v>
      </c>
      <c r="K2662">
        <v>13.095594063916078</v>
      </c>
      <c r="L2662">
        <v>17.235771336689705</v>
      </c>
      <c r="M2662">
        <v>13.956822018105363</v>
      </c>
      <c r="N2662">
        <v>9.6393930133801735</v>
      </c>
      <c r="O2662">
        <v>10.989074835319162</v>
      </c>
      <c r="P2662">
        <v>15.055518212398734</v>
      </c>
      <c r="Q2662">
        <v>4.7082689029679052</v>
      </c>
      <c r="R2662">
        <v>4.1916515008038804</v>
      </c>
      <c r="S2662">
        <v>8.5126941045565925</v>
      </c>
      <c r="T2662">
        <v>12.223762824507117</v>
      </c>
      <c r="U2662">
        <f>AVERAGE(G2662:T2662)</f>
        <v>10.898672676886921</v>
      </c>
      <c r="V2662" t="str">
        <f t="shared" si="253"/>
        <v>2020/21Expenditure driversNon Op CapexDNO Actual</v>
      </c>
    </row>
    <row r="2663" spans="1:22">
      <c r="A2663" t="s">
        <v>142</v>
      </c>
      <c r="C2663" t="s">
        <v>1344</v>
      </c>
      <c r="D2663" t="s">
        <v>101</v>
      </c>
      <c r="E2663" t="s">
        <v>1349</v>
      </c>
      <c r="F2663" t="s">
        <v>1289</v>
      </c>
      <c r="G2663">
        <v>10.36849354198284</v>
      </c>
      <c r="H2663">
        <v>8.2218640179145588</v>
      </c>
      <c r="I2663">
        <v>8.467013549806957</v>
      </c>
      <c r="J2663">
        <v>16.193399999999997</v>
      </c>
      <c r="K2663">
        <v>12.052000000000001</v>
      </c>
      <c r="L2663">
        <v>5.5281000000000002</v>
      </c>
      <c r="M2663">
        <v>10.304899999999998</v>
      </c>
      <c r="N2663">
        <v>10.69315038492557</v>
      </c>
      <c r="O2663">
        <v>11.593382874546254</v>
      </c>
      <c r="P2663">
        <v>17.37776892871349</v>
      </c>
      <c r="Q2663">
        <v>5.0843640958481782</v>
      </c>
      <c r="R2663">
        <v>5.2191587338000005</v>
      </c>
      <c r="S2663">
        <v>9.2766526720524833</v>
      </c>
      <c r="T2663">
        <v>14.686258761728961</v>
      </c>
      <c r="U2663">
        <f>AVERAGE(G2663:T2663)</f>
        <v>10.361893397237093</v>
      </c>
      <c r="V2663" t="str">
        <f t="shared" ref="V2663" si="254">CONCATENATE(A2663,B2663,C2663,D2663,E2663)</f>
        <v>2021/22Expenditure driversNon Op CapexDNO Actual</v>
      </c>
    </row>
    <row r="2664" spans="1:22">
      <c r="A2664" t="s">
        <v>137</v>
      </c>
      <c r="C2664" t="s">
        <v>1344</v>
      </c>
      <c r="D2664" t="s">
        <v>101</v>
      </c>
      <c r="E2664" t="s">
        <v>297</v>
      </c>
      <c r="F2664" t="s">
        <v>1289</v>
      </c>
      <c r="G2664">
        <f t="array" ref="G2664:T2667">TRANSPOSE('Ch4 expenditure drivers'!AF774:AI787)</f>
        <v>8.0736204418734587</v>
      </c>
      <c r="H2664">
        <v>10.979131095931578</v>
      </c>
      <c r="I2664">
        <v>13.290218928256047</v>
      </c>
      <c r="J2664">
        <v>16.211960636704077</v>
      </c>
      <c r="K2664">
        <v>13.203281934362863</v>
      </c>
      <c r="L2664">
        <v>8.1588064280947616</v>
      </c>
      <c r="M2664">
        <v>16.489836676811684</v>
      </c>
      <c r="N2664">
        <v>8.8923401962578357</v>
      </c>
      <c r="O2664">
        <v>8.4503361489879172</v>
      </c>
      <c r="P2664">
        <v>14.565120269706242</v>
      </c>
      <c r="Q2664">
        <v>15.200825259969555</v>
      </c>
      <c r="R2664">
        <v>11.545091625450716</v>
      </c>
      <c r="S2664">
        <v>7.6056101680857777</v>
      </c>
      <c r="T2664">
        <v>15.773326897513554</v>
      </c>
      <c r="U2664">
        <f t="shared" si="252"/>
        <v>12.031393336286145</v>
      </c>
      <c r="V2664" t="str">
        <f t="shared" si="253"/>
        <v>2015/16Expenditure driversNon Op CapexAllowance</v>
      </c>
    </row>
    <row r="2665" spans="1:22">
      <c r="A2665" t="s">
        <v>137</v>
      </c>
      <c r="C2665" t="s">
        <v>1344</v>
      </c>
      <c r="D2665" t="s">
        <v>101</v>
      </c>
      <c r="E2665" t="s">
        <v>298</v>
      </c>
      <c r="F2665" t="s">
        <v>1289</v>
      </c>
      <c r="G2665">
        <v>19.135224461667516</v>
      </c>
      <c r="H2665">
        <v>11.225491061878929</v>
      </c>
      <c r="I2665">
        <v>9.0899627167463262</v>
      </c>
      <c r="J2665">
        <v>11.943157317688962</v>
      </c>
      <c r="K2665">
        <v>10.15020848619875</v>
      </c>
      <c r="L2665">
        <v>8.6880478597556987</v>
      </c>
      <c r="M2665">
        <v>12.767729076100574</v>
      </c>
      <c r="N2665">
        <v>5.9750469211747541</v>
      </c>
      <c r="O2665">
        <v>6.2327260203132502</v>
      </c>
      <c r="P2665">
        <v>10.555388569654358</v>
      </c>
      <c r="Q2665">
        <v>11.047405755130949</v>
      </c>
      <c r="R2665">
        <v>11.269667260376277</v>
      </c>
      <c r="S2665">
        <v>9.7290060755562031</v>
      </c>
      <c r="T2665">
        <v>17.421794575556895</v>
      </c>
      <c r="U2665">
        <f t="shared" si="252"/>
        <v>11.087918296985675</v>
      </c>
      <c r="V2665" t="str">
        <f t="shared" si="253"/>
        <v>2015/16Expenditure driversNon Op CapexActual</v>
      </c>
    </row>
    <row r="2666" spans="1:22">
      <c r="A2666" t="s">
        <v>137</v>
      </c>
      <c r="C2666" t="s">
        <v>1344</v>
      </c>
      <c r="D2666" t="s">
        <v>101</v>
      </c>
      <c r="E2666" t="s">
        <v>602</v>
      </c>
      <c r="F2666" t="s">
        <v>1289</v>
      </c>
      <c r="G2666">
        <v>11.061604019794057</v>
      </c>
      <c r="H2666">
        <v>0.24635996594735055</v>
      </c>
      <c r="I2666">
        <v>-4.2002562115097213</v>
      </c>
      <c r="J2666">
        <v>-4.2688033190151149</v>
      </c>
      <c r="K2666">
        <v>-3.0530734481641133</v>
      </c>
      <c r="L2666">
        <v>0.52924143166093707</v>
      </c>
      <c r="M2666">
        <v>-3.7221076007111105</v>
      </c>
      <c r="N2666">
        <v>-2.9172932750830816</v>
      </c>
      <c r="O2666">
        <v>-2.217610128674667</v>
      </c>
      <c r="P2666">
        <v>-4.0097317000518835</v>
      </c>
      <c r="Q2666">
        <v>-4.153419504838606</v>
      </c>
      <c r="R2666">
        <v>-0.27542436507443924</v>
      </c>
      <c r="S2666">
        <v>2.1233959074704254</v>
      </c>
      <c r="T2666">
        <v>1.6484676780433407</v>
      </c>
      <c r="U2666">
        <f>U2665-U2664</f>
        <v>-0.94347503930046983</v>
      </c>
      <c r="V2666" t="str">
        <f t="shared" si="253"/>
        <v>2015/16Expenditure driversNon Op CapexDifference</v>
      </c>
    </row>
    <row r="2667" spans="1:22">
      <c r="A2667" t="s">
        <v>137</v>
      </c>
      <c r="C2667" t="s">
        <v>1344</v>
      </c>
      <c r="D2667" t="s">
        <v>101</v>
      </c>
      <c r="E2667" t="s">
        <v>1346</v>
      </c>
      <c r="F2667" t="s">
        <v>606</v>
      </c>
      <c r="G2667" s="829">
        <v>1.3700921537534214</v>
      </c>
      <c r="H2667" s="829">
        <v>2.2438931077035922E-2</v>
      </c>
      <c r="I2667" s="829">
        <v>-0.31604116035888974</v>
      </c>
      <c r="J2667" s="829">
        <v>-0.26331197161622094</v>
      </c>
      <c r="K2667" s="829">
        <v>-0.23123595052667806</v>
      </c>
      <c r="L2667" s="829">
        <v>6.4867506825324342E-2</v>
      </c>
      <c r="M2667" s="829">
        <v>-0.22572131390150199</v>
      </c>
      <c r="N2667" s="829">
        <v>-0.328068113758262</v>
      </c>
      <c r="O2667" s="829">
        <v>-0.26242862882327661</v>
      </c>
      <c r="P2667" s="829">
        <v>-0.27529684793552028</v>
      </c>
      <c r="Q2667" s="829">
        <v>-0.27323644827208049</v>
      </c>
      <c r="R2667" s="829">
        <v>-2.3856403570438254E-2</v>
      </c>
      <c r="S2667" s="829">
        <v>0.27918810727119525</v>
      </c>
      <c r="T2667" s="829">
        <v>0.10450982780957889</v>
      </c>
      <c r="U2667" s="829">
        <f>U2666/U2664</f>
        <v>-7.8417770322161379E-2</v>
      </c>
      <c r="V2667" t="str">
        <f t="shared" si="253"/>
        <v>2015/16Expenditure driversNon Op CapexDifference %</v>
      </c>
    </row>
    <row r="2668" spans="1:22">
      <c r="A2668" t="s">
        <v>138</v>
      </c>
      <c r="C2668" t="s">
        <v>1344</v>
      </c>
      <c r="D2668" t="s">
        <v>101</v>
      </c>
      <c r="E2668" t="s">
        <v>297</v>
      </c>
      <c r="F2668" t="s">
        <v>1289</v>
      </c>
      <c r="G2668">
        <f t="array" ref="G2668:T2671">TRANSPOSE('Ch4 expenditure drivers'!AK774:AN787)</f>
        <v>6.7820594222362924</v>
      </c>
      <c r="H2668">
        <v>9.9246840833655376</v>
      </c>
      <c r="I2668">
        <v>12.199449482588271</v>
      </c>
      <c r="J2668">
        <v>16.425475588709197</v>
      </c>
      <c r="K2668">
        <v>13.616238041123205</v>
      </c>
      <c r="L2668">
        <v>9.7235515554288519</v>
      </c>
      <c r="M2668">
        <v>17.497886537412846</v>
      </c>
      <c r="N2668">
        <v>9.9329906485159078</v>
      </c>
      <c r="O2668">
        <v>12.097641651858638</v>
      </c>
      <c r="P2668">
        <v>22.816133379544251</v>
      </c>
      <c r="Q2668">
        <v>8.8378467960266409</v>
      </c>
      <c r="R2668">
        <v>10.913128637653728</v>
      </c>
      <c r="S2668">
        <v>6.9617507200586024</v>
      </c>
      <c r="T2668">
        <v>16.553308043276544</v>
      </c>
      <c r="U2668">
        <f t="shared" si="252"/>
        <v>12.448724613414182</v>
      </c>
      <c r="V2668" t="str">
        <f t="shared" si="253"/>
        <v>2016/17Expenditure driversNon Op CapexAllowance</v>
      </c>
    </row>
    <row r="2669" spans="1:22">
      <c r="A2669" t="s">
        <v>138</v>
      </c>
      <c r="C2669" t="s">
        <v>1344</v>
      </c>
      <c r="D2669" t="s">
        <v>101</v>
      </c>
      <c r="E2669" t="s">
        <v>298</v>
      </c>
      <c r="F2669" t="s">
        <v>1289</v>
      </c>
      <c r="G2669">
        <v>11.139621482338386</v>
      </c>
      <c r="H2669">
        <v>10.502851412169694</v>
      </c>
      <c r="I2669">
        <v>10.896088054929791</v>
      </c>
      <c r="J2669">
        <v>10.733044072273879</v>
      </c>
      <c r="K2669">
        <v>13.023353511804128</v>
      </c>
      <c r="L2669">
        <v>9.2892273653544244</v>
      </c>
      <c r="M2669">
        <v>16.691371264792899</v>
      </c>
      <c r="N2669">
        <v>9.5017141691811062</v>
      </c>
      <c r="O2669">
        <v>7.9567780680239579</v>
      </c>
      <c r="P2669">
        <v>27.266208054133433</v>
      </c>
      <c r="Q2669">
        <v>8.7406203850854691</v>
      </c>
      <c r="R2669">
        <v>8.6175984546059805</v>
      </c>
      <c r="S2669">
        <v>12.899109004758113</v>
      </c>
      <c r="T2669">
        <v>18.052828156928356</v>
      </c>
      <c r="U2669">
        <f t="shared" si="252"/>
        <v>12.522172389741399</v>
      </c>
      <c r="V2669" t="str">
        <f t="shared" si="253"/>
        <v>2016/17Expenditure driversNon Op CapexActual</v>
      </c>
    </row>
    <row r="2670" spans="1:22">
      <c r="A2670" t="s">
        <v>138</v>
      </c>
      <c r="C2670" t="s">
        <v>1344</v>
      </c>
      <c r="D2670" t="s">
        <v>101</v>
      </c>
      <c r="E2670" t="s">
        <v>602</v>
      </c>
      <c r="F2670" t="s">
        <v>1289</v>
      </c>
      <c r="G2670">
        <v>4.3575620601020937</v>
      </c>
      <c r="H2670">
        <v>0.578167328804156</v>
      </c>
      <c r="I2670">
        <v>-1.30336142765848</v>
      </c>
      <c r="J2670">
        <v>-5.6924315164353185</v>
      </c>
      <c r="K2670">
        <v>-0.5928845293190772</v>
      </c>
      <c r="L2670">
        <v>-0.43432419007442746</v>
      </c>
      <c r="M2670">
        <v>-0.80651527261994715</v>
      </c>
      <c r="N2670">
        <v>-0.43127647933480162</v>
      </c>
      <c r="O2670">
        <v>-4.1408635838346797</v>
      </c>
      <c r="P2670">
        <v>4.4500746745891817</v>
      </c>
      <c r="Q2670">
        <v>-9.7226410941171793E-2</v>
      </c>
      <c r="R2670">
        <v>-2.295530183047747</v>
      </c>
      <c r="S2670">
        <v>5.9373582846995108</v>
      </c>
      <c r="T2670">
        <v>1.4995201136518119</v>
      </c>
      <c r="U2670">
        <f>U2669-U2668</f>
        <v>7.344777632721744E-2</v>
      </c>
      <c r="V2670" t="str">
        <f t="shared" si="253"/>
        <v>2016/17Expenditure driversNon Op CapexDifference</v>
      </c>
    </row>
    <row r="2671" spans="1:22">
      <c r="A2671" t="s">
        <v>138</v>
      </c>
      <c r="C2671" t="s">
        <v>1344</v>
      </c>
      <c r="D2671" t="s">
        <v>101</v>
      </c>
      <c r="E2671" t="s">
        <v>1346</v>
      </c>
      <c r="F2671" t="s">
        <v>606</v>
      </c>
      <c r="G2671" s="829">
        <v>0.64251310535778916</v>
      </c>
      <c r="H2671" s="829">
        <v>5.825548943902454E-2</v>
      </c>
      <c r="I2671" s="829">
        <v>-0.10683772489231662</v>
      </c>
      <c r="J2671" s="829">
        <v>-0.34656113825698126</v>
      </c>
      <c r="K2671" s="829">
        <v>-4.3542462134436223E-2</v>
      </c>
      <c r="L2671" s="829">
        <v>-4.4667237850138784E-2</v>
      </c>
      <c r="M2671" s="829">
        <v>-4.6092153523541741E-2</v>
      </c>
      <c r="N2671" s="829">
        <v>-4.3418593110146418E-2</v>
      </c>
      <c r="O2671" s="829">
        <v>-0.3422868442460843</v>
      </c>
      <c r="P2671" s="829">
        <v>0.19504070214539004</v>
      </c>
      <c r="Q2671" s="829">
        <v>-1.1001142380617333E-2</v>
      </c>
      <c r="R2671" s="829">
        <v>-0.21034574586864538</v>
      </c>
      <c r="S2671" s="829">
        <v>0.85285419191934686</v>
      </c>
      <c r="T2671" s="829">
        <v>9.0587338176242774E-2</v>
      </c>
      <c r="U2671" s="829">
        <f>U2670/U2668</f>
        <v>5.9000241878652731E-3</v>
      </c>
      <c r="V2671" t="str">
        <f t="shared" si="253"/>
        <v>2016/17Expenditure driversNon Op CapexDifference %</v>
      </c>
    </row>
    <row r="2672" spans="1:22">
      <c r="A2672" t="s">
        <v>139</v>
      </c>
      <c r="C2672" t="s">
        <v>1344</v>
      </c>
      <c r="D2672" t="s">
        <v>101</v>
      </c>
      <c r="E2672" t="s">
        <v>297</v>
      </c>
      <c r="F2672" t="s">
        <v>1289</v>
      </c>
      <c r="G2672">
        <f t="array" ref="G2672:T2675">TRANSPOSE('Ch4 expenditure drivers'!AP774:AS787)</f>
        <v>7.0232427945122318</v>
      </c>
      <c r="H2672">
        <v>9.243231408364629</v>
      </c>
      <c r="I2672">
        <v>11.541416370520414</v>
      </c>
      <c r="J2672">
        <v>8.9941291830202044</v>
      </c>
      <c r="K2672">
        <v>9.640720651969902</v>
      </c>
      <c r="L2672">
        <v>7.3809742289316222</v>
      </c>
      <c r="M2672">
        <v>11.581023016382117</v>
      </c>
      <c r="N2672">
        <v>8.049943112891409</v>
      </c>
      <c r="O2672">
        <v>9.9280706906292018</v>
      </c>
      <c r="P2672">
        <v>15.430276758465412</v>
      </c>
      <c r="Q2672">
        <v>8.1510792589059449</v>
      </c>
      <c r="R2672">
        <v>8.1987036689118078</v>
      </c>
      <c r="S2672">
        <v>5.9353838188474484</v>
      </c>
      <c r="T2672">
        <v>14.140656336503191</v>
      </c>
      <c r="U2672">
        <f t="shared" si="252"/>
        <v>9.6599179499182508</v>
      </c>
      <c r="V2672" t="str">
        <f t="shared" si="253"/>
        <v>2017/18Expenditure driversNon Op CapexAllowance</v>
      </c>
    </row>
    <row r="2673" spans="1:22">
      <c r="A2673" t="s">
        <v>139</v>
      </c>
      <c r="C2673" t="s">
        <v>1344</v>
      </c>
      <c r="D2673" t="s">
        <v>101</v>
      </c>
      <c r="E2673" t="s">
        <v>298</v>
      </c>
      <c r="F2673" t="s">
        <v>1289</v>
      </c>
      <c r="G2673">
        <v>13.407950010798743</v>
      </c>
      <c r="H2673">
        <v>10.318118451410246</v>
      </c>
      <c r="I2673">
        <v>11.032953623118395</v>
      </c>
      <c r="J2673">
        <v>16.856146053225078</v>
      </c>
      <c r="K2673">
        <v>12.657955612059308</v>
      </c>
      <c r="L2673">
        <v>10.160388270257686</v>
      </c>
      <c r="M2673">
        <v>15.062597059379863</v>
      </c>
      <c r="N2673">
        <v>13.402540440820943</v>
      </c>
      <c r="O2673">
        <v>13.665408635190529</v>
      </c>
      <c r="P2673">
        <v>22.566972634373549</v>
      </c>
      <c r="Q2673">
        <v>8.8434275514501106</v>
      </c>
      <c r="R2673">
        <v>8.957618498707884</v>
      </c>
      <c r="S2673">
        <v>12.057577788821858</v>
      </c>
      <c r="T2673">
        <v>16.454850654670643</v>
      </c>
      <c r="U2673">
        <f t="shared" si="252"/>
        <v>13.246036091734632</v>
      </c>
      <c r="V2673" t="str">
        <f t="shared" si="253"/>
        <v>2017/18Expenditure driversNon Op CapexActual</v>
      </c>
    </row>
    <row r="2674" spans="1:22">
      <c r="A2674" t="s">
        <v>139</v>
      </c>
      <c r="C2674" t="s">
        <v>1344</v>
      </c>
      <c r="D2674" t="s">
        <v>101</v>
      </c>
      <c r="E2674" t="s">
        <v>602</v>
      </c>
      <c r="F2674" t="s">
        <v>1289</v>
      </c>
      <c r="G2674">
        <v>6.3847072162865111</v>
      </c>
      <c r="H2674">
        <v>1.0748870430456172</v>
      </c>
      <c r="I2674">
        <v>-0.50846274740201913</v>
      </c>
      <c r="J2674">
        <v>7.8620168702048741</v>
      </c>
      <c r="K2674">
        <v>3.0172349600894055</v>
      </c>
      <c r="L2674">
        <v>2.7794140413260635</v>
      </c>
      <c r="M2674">
        <v>3.481574042997746</v>
      </c>
      <c r="N2674">
        <v>5.3525973279295336</v>
      </c>
      <c r="O2674">
        <v>3.7373379445613271</v>
      </c>
      <c r="P2674">
        <v>7.1366958759081367</v>
      </c>
      <c r="Q2674">
        <v>0.69234829254416574</v>
      </c>
      <c r="R2674">
        <v>0.75891482979607616</v>
      </c>
      <c r="S2674">
        <v>6.1221939699744095</v>
      </c>
      <c r="T2674">
        <v>2.314194318167452</v>
      </c>
      <c r="U2674">
        <f>U2673-U2672</f>
        <v>3.5861181418163817</v>
      </c>
      <c r="V2674" t="str">
        <f t="shared" si="253"/>
        <v>2017/18Expenditure driversNon Op CapexDifference</v>
      </c>
    </row>
    <row r="2675" spans="1:22">
      <c r="A2675" t="s">
        <v>139</v>
      </c>
      <c r="C2675" t="s">
        <v>1344</v>
      </c>
      <c r="D2675" t="s">
        <v>101</v>
      </c>
      <c r="E2675" t="s">
        <v>1346</v>
      </c>
      <c r="F2675" t="s">
        <v>606</v>
      </c>
      <c r="G2675" s="829">
        <v>0.90908251403117446</v>
      </c>
      <c r="H2675" s="829">
        <v>0.1162890979958483</v>
      </c>
      <c r="I2675" s="829">
        <v>-4.4055489471877707E-2</v>
      </c>
      <c r="J2675" s="829">
        <v>0.87412763484066724</v>
      </c>
      <c r="K2675" s="829">
        <v>0.31296778207891435</v>
      </c>
      <c r="L2675" s="829">
        <v>0.37656465869118427</v>
      </c>
      <c r="M2675" s="829">
        <v>0.30062750398413257</v>
      </c>
      <c r="N2675" s="829">
        <v>0.66492362155426055</v>
      </c>
      <c r="O2675" s="829">
        <v>0.37644151225563738</v>
      </c>
      <c r="P2675" s="829">
        <v>0.46251249978343895</v>
      </c>
      <c r="Q2675" s="829">
        <v>8.4939462683754366E-2</v>
      </c>
      <c r="R2675" s="829">
        <v>9.2565222557532065E-2</v>
      </c>
      <c r="S2675" s="829">
        <v>1.0314739799191683</v>
      </c>
      <c r="T2675" s="829">
        <v>0.1636553681170731</v>
      </c>
      <c r="U2675" s="829">
        <f>U2674/U2672</f>
        <v>0.37123691530389552</v>
      </c>
      <c r="V2675" t="str">
        <f t="shared" si="253"/>
        <v>2017/18Expenditure driversNon Op CapexDifference %</v>
      </c>
    </row>
    <row r="2676" spans="1:22">
      <c r="A2676" t="s">
        <v>140</v>
      </c>
      <c r="C2676" t="s">
        <v>1344</v>
      </c>
      <c r="D2676" t="s">
        <v>101</v>
      </c>
      <c r="E2676" t="s">
        <v>297</v>
      </c>
      <c r="F2676" t="s">
        <v>1289</v>
      </c>
      <c r="G2676">
        <f t="array" ref="G2676:T2679">TRANSPOSE('Ch4 expenditure drivers'!AU774:AX787)</f>
        <v>8.2172388522024935</v>
      </c>
      <c r="H2676">
        <v>9.9016990371137101</v>
      </c>
      <c r="I2676">
        <v>11.885263504836658</v>
      </c>
      <c r="J2676">
        <v>13.296125940374699</v>
      </c>
      <c r="K2676">
        <v>13.615213502938264</v>
      </c>
      <c r="L2676">
        <v>10.608132767254876</v>
      </c>
      <c r="M2676">
        <v>14.894022044346848</v>
      </c>
      <c r="N2676">
        <v>7.571190476361469</v>
      </c>
      <c r="O2676">
        <v>10.058386713489071</v>
      </c>
      <c r="P2676">
        <v>15.811654784063915</v>
      </c>
      <c r="Q2676">
        <v>8.4165429989580716</v>
      </c>
      <c r="R2676">
        <v>5.8410388719347264</v>
      </c>
      <c r="S2676">
        <v>6.1417347195817209</v>
      </c>
      <c r="T2676">
        <v>15.053892762731394</v>
      </c>
      <c r="U2676">
        <f>AVERAGE(G2676:T2676)</f>
        <v>10.808009784013425</v>
      </c>
      <c r="V2676" t="str">
        <f t="shared" si="253"/>
        <v>2018/19Expenditure driversNon Op CapexAllowance</v>
      </c>
    </row>
    <row r="2677" spans="1:22">
      <c r="A2677" t="s">
        <v>140</v>
      </c>
      <c r="C2677" t="s">
        <v>1344</v>
      </c>
      <c r="D2677" t="s">
        <v>101</v>
      </c>
      <c r="E2677" t="s">
        <v>298</v>
      </c>
      <c r="F2677" t="s">
        <v>1289</v>
      </c>
      <c r="G2677">
        <v>15.267120171620617</v>
      </c>
      <c r="H2677">
        <v>7.084763196782343</v>
      </c>
      <c r="I2677">
        <v>6.8211886889153712</v>
      </c>
      <c r="J2677">
        <v>10.986763300718653</v>
      </c>
      <c r="K2677">
        <v>11.260021064001014</v>
      </c>
      <c r="L2677">
        <v>13.286829248732829</v>
      </c>
      <c r="M2677">
        <v>15.011274643144562</v>
      </c>
      <c r="N2677">
        <v>12.09230496425236</v>
      </c>
      <c r="O2677">
        <v>13.41964560174025</v>
      </c>
      <c r="P2677">
        <v>18.334046922099652</v>
      </c>
      <c r="Q2677">
        <v>4.6259193829147343</v>
      </c>
      <c r="R2677">
        <v>5.3402844083989134</v>
      </c>
      <c r="S2677">
        <v>9.8326094538524753</v>
      </c>
      <c r="T2677">
        <v>19.507618677646846</v>
      </c>
      <c r="U2677">
        <f>AVERAGE(G2677:T2677)</f>
        <v>11.633599266058614</v>
      </c>
      <c r="V2677" t="str">
        <f t="shared" si="253"/>
        <v>2018/19Expenditure driversNon Op CapexActual</v>
      </c>
    </row>
    <row r="2678" spans="1:22">
      <c r="A2678" t="s">
        <v>140</v>
      </c>
      <c r="C2678" t="s">
        <v>1344</v>
      </c>
      <c r="D2678" t="s">
        <v>101</v>
      </c>
      <c r="E2678" t="s">
        <v>602</v>
      </c>
      <c r="F2678" t="s">
        <v>1289</v>
      </c>
      <c r="G2678">
        <v>7.0498813194181231</v>
      </c>
      <c r="H2678">
        <v>-2.8169358403313671</v>
      </c>
      <c r="I2678">
        <v>-5.0640748159212867</v>
      </c>
      <c r="J2678">
        <v>-2.3093626396560456</v>
      </c>
      <c r="K2678">
        <v>-2.3551924389372498</v>
      </c>
      <c r="L2678">
        <v>2.678696481477953</v>
      </c>
      <c r="M2678">
        <v>0.11725259879771421</v>
      </c>
      <c r="N2678">
        <v>4.5211144878908911</v>
      </c>
      <c r="O2678">
        <v>3.3612588882511787</v>
      </c>
      <c r="P2678">
        <v>2.5223921380357375</v>
      </c>
      <c r="Q2678">
        <v>-3.7906236160433373</v>
      </c>
      <c r="R2678">
        <v>-0.50075446353581299</v>
      </c>
      <c r="S2678">
        <v>3.6908747342707544</v>
      </c>
      <c r="T2678">
        <v>4.4537259149154522</v>
      </c>
      <c r="U2678">
        <f>U2677-U2676</f>
        <v>0.82558948204518856</v>
      </c>
      <c r="V2678" t="str">
        <f t="shared" si="253"/>
        <v>2018/19Expenditure driversNon Op CapexDifference</v>
      </c>
    </row>
    <row r="2679" spans="1:22">
      <c r="A2679" t="s">
        <v>140</v>
      </c>
      <c r="C2679" t="s">
        <v>1344</v>
      </c>
      <c r="D2679" t="s">
        <v>101</v>
      </c>
      <c r="E2679" t="s">
        <v>1346</v>
      </c>
      <c r="F2679" t="s">
        <v>606</v>
      </c>
      <c r="G2679" s="829">
        <v>0.85793798211530881</v>
      </c>
      <c r="H2679" s="829">
        <v>-0.2844901495968401</v>
      </c>
      <c r="I2679" s="829">
        <v>-0.42608014654958914</v>
      </c>
      <c r="J2679" s="829">
        <v>-0.17368688067578317</v>
      </c>
      <c r="K2679" s="829">
        <v>-0.17298240959857014</v>
      </c>
      <c r="L2679" s="829">
        <v>0.25251347624028031</v>
      </c>
      <c r="M2679" s="829">
        <v>7.8724604038180827E-3</v>
      </c>
      <c r="N2679" s="829">
        <v>0.59714710678678229</v>
      </c>
      <c r="O2679" s="829">
        <v>0.33417475227349053</v>
      </c>
      <c r="P2679" s="829">
        <v>0.15952739751047307</v>
      </c>
      <c r="Q2679" s="829">
        <v>-0.45037774018532295</v>
      </c>
      <c r="R2679" s="829">
        <v>-8.5730376824208351E-2</v>
      </c>
      <c r="S2679" s="829">
        <v>0.60094987862356242</v>
      </c>
      <c r="T2679" s="829">
        <v>0.29585210849524901</v>
      </c>
      <c r="U2679" s="829">
        <f>U2678/U2676</f>
        <v>7.6386818530304462E-2</v>
      </c>
      <c r="V2679" t="str">
        <f t="shared" si="253"/>
        <v>2018/19Expenditure driversNon Op CapexDifference %</v>
      </c>
    </row>
    <row r="2680" spans="1:22">
      <c r="A2680" t="s">
        <v>141</v>
      </c>
      <c r="C2680" t="s">
        <v>1344</v>
      </c>
      <c r="D2680" t="s">
        <v>101</v>
      </c>
      <c r="E2680" t="s">
        <v>297</v>
      </c>
      <c r="F2680" t="s">
        <v>1289</v>
      </c>
      <c r="G2680" s="229">
        <f t="array" ref="G2680:T2683">TRANSPOSE('Ch4 expenditure drivers'!AZ774:BC787)</f>
        <v>8.14387311015245</v>
      </c>
      <c r="H2680" s="229">
        <v>8.8993838474442377</v>
      </c>
      <c r="I2680" s="229">
        <v>11.251560863299703</v>
      </c>
      <c r="J2680" s="229">
        <v>17.622717310992112</v>
      </c>
      <c r="K2680" s="229">
        <v>15.970734947412792</v>
      </c>
      <c r="L2680" s="229">
        <v>7.9343726859345836</v>
      </c>
      <c r="M2680" s="229">
        <v>11.905306066580376</v>
      </c>
      <c r="N2680" s="229">
        <v>7.4280485438316255</v>
      </c>
      <c r="O2680" s="229">
        <v>10.075851003147125</v>
      </c>
      <c r="P2680" s="229">
        <v>16.100814359879653</v>
      </c>
      <c r="Q2680" s="229">
        <v>9.8145829112724883</v>
      </c>
      <c r="R2680" s="229">
        <v>7.7651898295094055</v>
      </c>
      <c r="S2680" s="229">
        <v>5.8287684545971654</v>
      </c>
      <c r="T2680" s="229">
        <v>11.268980042762196</v>
      </c>
      <c r="U2680" s="229">
        <f>AVERAGE(G2680:T2680)</f>
        <v>10.715013141201137</v>
      </c>
      <c r="V2680" t="str">
        <f t="shared" si="253"/>
        <v>2019/20Expenditure driversNon Op CapexAllowance</v>
      </c>
    </row>
    <row r="2681" spans="1:22">
      <c r="A2681" t="s">
        <v>141</v>
      </c>
      <c r="C2681" t="s">
        <v>1344</v>
      </c>
      <c r="D2681" t="s">
        <v>101</v>
      </c>
      <c r="E2681" t="s">
        <v>298</v>
      </c>
      <c r="F2681" t="s">
        <v>1289</v>
      </c>
      <c r="G2681" s="229">
        <v>10.058999421278564</v>
      </c>
      <c r="H2681" s="229">
        <v>9.9700039674906957</v>
      </c>
      <c r="I2681" s="229">
        <v>7.8366991786331681</v>
      </c>
      <c r="J2681" s="229">
        <v>10.13472659491746</v>
      </c>
      <c r="K2681" s="229">
        <v>11.322223424694299</v>
      </c>
      <c r="L2681" s="229">
        <v>12.853807417372575</v>
      </c>
      <c r="M2681" s="229">
        <v>10.686614997144254</v>
      </c>
      <c r="N2681" s="229">
        <v>11.038424620184022</v>
      </c>
      <c r="O2681" s="229">
        <v>11.464534657961091</v>
      </c>
      <c r="P2681" s="229">
        <v>16.377513563963749</v>
      </c>
      <c r="Q2681" s="229">
        <v>3.3602906493745768</v>
      </c>
      <c r="R2681" s="229">
        <v>5.3364709789045177</v>
      </c>
      <c r="S2681" s="229">
        <v>10.493100163295541</v>
      </c>
      <c r="T2681" s="229">
        <v>28.387755083137133</v>
      </c>
      <c r="U2681" s="229">
        <f>AVERAGE(G2681:T2681)</f>
        <v>11.380083194167977</v>
      </c>
      <c r="V2681" t="str">
        <f t="shared" si="253"/>
        <v>2019/20Expenditure driversNon Op CapexActual</v>
      </c>
    </row>
    <row r="2682" spans="1:22">
      <c r="A2682" t="s">
        <v>141</v>
      </c>
      <c r="C2682" t="s">
        <v>1344</v>
      </c>
      <c r="D2682" t="s">
        <v>101</v>
      </c>
      <c r="E2682" t="s">
        <v>602</v>
      </c>
      <c r="F2682" t="s">
        <v>1289</v>
      </c>
      <c r="G2682" s="229">
        <v>1.9151263111261141</v>
      </c>
      <c r="H2682" s="229">
        <v>1.070620120046458</v>
      </c>
      <c r="I2682" s="229">
        <v>-3.4148616846665352</v>
      </c>
      <c r="J2682" s="229">
        <v>-7.4879907160746519</v>
      </c>
      <c r="K2682" s="229">
        <v>-4.6485115227184934</v>
      </c>
      <c r="L2682" s="229">
        <v>4.9194347314379918</v>
      </c>
      <c r="M2682" s="229">
        <v>-1.2186910694361224</v>
      </c>
      <c r="N2682" s="229">
        <v>3.6103760763523969</v>
      </c>
      <c r="O2682" s="229">
        <v>1.3886836548139652</v>
      </c>
      <c r="P2682" s="229">
        <v>0.2766992040840961</v>
      </c>
      <c r="Q2682" s="229">
        <v>-6.4542922618979119</v>
      </c>
      <c r="R2682" s="229">
        <v>-2.4287188506048878</v>
      </c>
      <c r="S2682" s="229">
        <v>4.6643317086983753</v>
      </c>
      <c r="T2682" s="229">
        <v>17.118775040374935</v>
      </c>
      <c r="U2682" s="229">
        <f>U2681-U2680</f>
        <v>0.66507005296683985</v>
      </c>
      <c r="V2682" t="str">
        <f t="shared" si="253"/>
        <v>2019/20Expenditure driversNon Op CapexDifference</v>
      </c>
    </row>
    <row r="2683" spans="1:22">
      <c r="A2683" t="s">
        <v>141</v>
      </c>
      <c r="C2683" t="s">
        <v>1344</v>
      </c>
      <c r="D2683" t="s">
        <v>101</v>
      </c>
      <c r="E2683" t="s">
        <v>1346</v>
      </c>
      <c r="F2683" t="s">
        <v>606</v>
      </c>
      <c r="G2683" s="829">
        <v>0.23516160986578336</v>
      </c>
      <c r="H2683" s="829">
        <v>0.12030272414352856</v>
      </c>
      <c r="I2683" s="829">
        <v>-0.30350115207616374</v>
      </c>
      <c r="J2683" s="829">
        <v>-0.42490556841674143</v>
      </c>
      <c r="K2683" s="829">
        <v>-0.29106434600691544</v>
      </c>
      <c r="L2683" s="829">
        <v>0.62001558612929408</v>
      </c>
      <c r="M2683" s="829">
        <v>-0.10236537075322528</v>
      </c>
      <c r="N2683" s="829">
        <v>0.4860463761172526</v>
      </c>
      <c r="O2683" s="829">
        <v>0.13782296447021886</v>
      </c>
      <c r="P2683" s="829">
        <v>1.718541670622456E-2</v>
      </c>
      <c r="Q2683" s="829">
        <v>-0.65762267436600574</v>
      </c>
      <c r="R2683" s="829">
        <v>-0.31277005507002925</v>
      </c>
      <c r="S2683" s="829">
        <v>0.80022593881210091</v>
      </c>
      <c r="T2683" s="829">
        <v>1.5191059861153917</v>
      </c>
      <c r="U2683" s="829">
        <f>U2682/U2680</f>
        <v>6.2068990882477491E-2</v>
      </c>
      <c r="V2683" t="str">
        <f t="shared" si="253"/>
        <v>2019/20Expenditure driversNon Op CapexDifference %</v>
      </c>
    </row>
    <row r="2684" spans="1:22">
      <c r="A2684" t="s">
        <v>126</v>
      </c>
      <c r="C2684" t="s">
        <v>1344</v>
      </c>
      <c r="D2684" t="s">
        <v>101</v>
      </c>
      <c r="E2684" t="s">
        <v>297</v>
      </c>
      <c r="F2684" t="s">
        <v>1289</v>
      </c>
      <c r="G2684" s="229" cm="1">
        <f t="array" ref="G2684:T2687">TRANSPOSE('Ch4 expenditure drivers'!BE774:BH787)</f>
        <v>7.6529124273422715</v>
      </c>
      <c r="H2684" s="229">
        <v>8.0994046629481335</v>
      </c>
      <c r="I2684" s="229">
        <v>9.9827439206320729</v>
      </c>
      <c r="J2684" s="229">
        <v>19.777824973764275</v>
      </c>
      <c r="K2684" s="229">
        <v>16.212053711196049</v>
      </c>
      <c r="L2684" s="229">
        <v>7.2433288714773667</v>
      </c>
      <c r="M2684" s="229">
        <v>11.186615598363623</v>
      </c>
      <c r="N2684" s="229">
        <v>7.5082538623136523</v>
      </c>
      <c r="O2684" s="229">
        <v>9.0080271494848638</v>
      </c>
      <c r="P2684" s="229">
        <v>11.399140064043822</v>
      </c>
      <c r="Q2684" s="229">
        <v>5.3180021402781579</v>
      </c>
      <c r="R2684" s="229">
        <v>3.7716397332143803</v>
      </c>
      <c r="S2684" s="229">
        <v>5.5860786401191396</v>
      </c>
      <c r="T2684" s="229">
        <v>10.858719422320764</v>
      </c>
      <c r="U2684" s="229">
        <f>AVERAGE(G2684:T2684)</f>
        <v>9.5431960841070396</v>
      </c>
      <c r="V2684" t="str">
        <f t="shared" si="253"/>
        <v>2020/21Expenditure driversNon Op CapexAllowance</v>
      </c>
    </row>
    <row r="2685" spans="1:22">
      <c r="A2685" t="s">
        <v>126</v>
      </c>
      <c r="C2685" t="s">
        <v>1344</v>
      </c>
      <c r="D2685" t="s">
        <v>101</v>
      </c>
      <c r="E2685" t="s">
        <v>298</v>
      </c>
      <c r="F2685" t="s">
        <v>1289</v>
      </c>
      <c r="G2685" s="229">
        <v>9.155259834207909</v>
      </c>
      <c r="H2685" s="229">
        <v>8.3737064507618229</v>
      </c>
      <c r="I2685" s="229">
        <v>9.9410567715997544</v>
      </c>
      <c r="J2685" s="229">
        <v>15.502843607202715</v>
      </c>
      <c r="K2685" s="229">
        <v>13.095594063916078</v>
      </c>
      <c r="L2685" s="229">
        <v>17.235771336689705</v>
      </c>
      <c r="M2685" s="229">
        <v>13.956822018105363</v>
      </c>
      <c r="N2685" s="229">
        <v>9.6393930133801735</v>
      </c>
      <c r="O2685" s="229">
        <v>10.989074835319162</v>
      </c>
      <c r="P2685" s="229">
        <v>15.055518212398734</v>
      </c>
      <c r="Q2685" s="229">
        <v>4.7082689029679052</v>
      </c>
      <c r="R2685" s="229">
        <v>4.1916515008038804</v>
      </c>
      <c r="S2685" s="229">
        <v>8.5126941045565925</v>
      </c>
      <c r="T2685" s="229">
        <v>12.223762824507117</v>
      </c>
      <c r="U2685" s="229">
        <f>AVERAGE(G2685:T2685)</f>
        <v>10.898672676886921</v>
      </c>
      <c r="V2685" t="str">
        <f t="shared" si="253"/>
        <v>2020/21Expenditure driversNon Op CapexActual</v>
      </c>
    </row>
    <row r="2686" spans="1:22">
      <c r="A2686" t="s">
        <v>126</v>
      </c>
      <c r="C2686" t="s">
        <v>1344</v>
      </c>
      <c r="D2686" t="s">
        <v>101</v>
      </c>
      <c r="E2686" t="s">
        <v>602</v>
      </c>
      <c r="F2686" t="s">
        <v>1289</v>
      </c>
      <c r="G2686" s="229">
        <v>1.5023474068656375</v>
      </c>
      <c r="H2686" s="229">
        <v>0.2743017878136893</v>
      </c>
      <c r="I2686" s="229">
        <v>-4.1687149032318516E-2</v>
      </c>
      <c r="J2686" s="229">
        <v>-4.2749813665615601</v>
      </c>
      <c r="K2686" s="229">
        <v>-3.1164596472799708</v>
      </c>
      <c r="L2686" s="229">
        <v>9.9924424652123385</v>
      </c>
      <c r="M2686" s="229">
        <v>2.77020641974174</v>
      </c>
      <c r="N2686" s="229">
        <v>2.1311391510665212</v>
      </c>
      <c r="O2686" s="229">
        <v>1.981047685834298</v>
      </c>
      <c r="P2686" s="229">
        <v>3.6563781483549125</v>
      </c>
      <c r="Q2686" s="229">
        <v>-0.60973323731025264</v>
      </c>
      <c r="R2686" s="229">
        <v>0.4200117675895001</v>
      </c>
      <c r="S2686" s="229">
        <v>2.9266154644374529</v>
      </c>
      <c r="T2686" s="229">
        <v>1.3650434021863536</v>
      </c>
      <c r="U2686" s="229">
        <f>U2685-U2684</f>
        <v>1.3554765927798815</v>
      </c>
      <c r="V2686" t="str">
        <f t="shared" si="253"/>
        <v>2020/21Expenditure driversNon Op CapexDifference</v>
      </c>
    </row>
    <row r="2687" spans="1:22">
      <c r="A2687" t="s">
        <v>126</v>
      </c>
      <c r="C2687" t="s">
        <v>1344</v>
      </c>
      <c r="D2687" t="s">
        <v>101</v>
      </c>
      <c r="E2687" t="s">
        <v>1346</v>
      </c>
      <c r="F2687" t="s">
        <v>606</v>
      </c>
      <c r="G2687" s="829">
        <v>0.19631054466245573</v>
      </c>
      <c r="H2687" s="829">
        <v>3.3866907412160974E-2</v>
      </c>
      <c r="I2687" s="829">
        <v>-4.1759209054897835E-3</v>
      </c>
      <c r="J2687" s="829">
        <v>-0.21615022745081514</v>
      </c>
      <c r="K2687" s="829">
        <v>-0.19223102160880104</v>
      </c>
      <c r="L2687" s="829">
        <v>1.3795373153026884</v>
      </c>
      <c r="M2687" s="829">
        <v>0.24763579255793552</v>
      </c>
      <c r="N2687" s="829">
        <v>0.28383951716968386</v>
      </c>
      <c r="O2687" s="829">
        <v>0.21992026144676827</v>
      </c>
      <c r="P2687" s="829">
        <v>0.32075912111021293</v>
      </c>
      <c r="Q2687" s="829">
        <v>-0.11465456786716535</v>
      </c>
      <c r="R2687" s="829">
        <v>0.11136052149698429</v>
      </c>
      <c r="S2687" s="829">
        <v>0.52391232794657439</v>
      </c>
      <c r="T2687" s="829">
        <v>0.12570942752056224</v>
      </c>
      <c r="U2687" s="829">
        <f>U2686/U2684</f>
        <v>0.14203591551862302</v>
      </c>
      <c r="V2687" t="str">
        <f t="shared" si="253"/>
        <v>2020/21Expenditure driversNon Op CapexDifference %</v>
      </c>
    </row>
    <row r="2688" spans="1:22">
      <c r="A2688" t="s">
        <v>142</v>
      </c>
      <c r="C2688" t="s">
        <v>1344</v>
      </c>
      <c r="D2688" t="s">
        <v>101</v>
      </c>
      <c r="E2688" t="s">
        <v>297</v>
      </c>
      <c r="F2688" t="s">
        <v>1289</v>
      </c>
      <c r="G2688" s="229" cm="1">
        <f t="array" ref="G2688:T2691">TRANSPOSE('Ch4 expenditure drivers'!BJ774:BM787)</f>
        <v>9.9050903830101067</v>
      </c>
      <c r="H2688" s="229">
        <v>10.884259592921257</v>
      </c>
      <c r="I2688" s="229">
        <v>12.733251722397323</v>
      </c>
      <c r="J2688" s="229">
        <v>18.273473268934566</v>
      </c>
      <c r="K2688" s="229">
        <v>18.778394442409173</v>
      </c>
      <c r="L2688" s="229">
        <v>6.775030927844969</v>
      </c>
      <c r="M2688" s="229">
        <v>12.192517010666711</v>
      </c>
      <c r="N2688" s="229">
        <v>8.9574081526325706</v>
      </c>
      <c r="O2688" s="229">
        <v>10.498135628763675</v>
      </c>
      <c r="P2688" s="229">
        <v>11.581882066855108</v>
      </c>
      <c r="Q2688" s="229">
        <v>5.2453357763861623</v>
      </c>
      <c r="R2688" s="229">
        <v>3.5740317260973247</v>
      </c>
      <c r="S2688" s="229">
        <v>5.0286381379930694</v>
      </c>
      <c r="T2688" s="229">
        <v>10.648125315245657</v>
      </c>
      <c r="U2688" s="229">
        <f>AVERAGE(G2688:T2688)</f>
        <v>10.362541010868403</v>
      </c>
      <c r="V2688" t="str">
        <f t="shared" ref="V2688:V2691" si="255">CONCATENATE(A2688,B2688,C2688,D2688,E2688)</f>
        <v>2021/22Expenditure driversNon Op CapexAllowance</v>
      </c>
    </row>
    <row r="2689" spans="1:22">
      <c r="A2689" t="s">
        <v>142</v>
      </c>
      <c r="C2689" t="s">
        <v>1344</v>
      </c>
      <c r="D2689" t="s">
        <v>101</v>
      </c>
      <c r="E2689" t="s">
        <v>298</v>
      </c>
      <c r="F2689" t="s">
        <v>1289</v>
      </c>
      <c r="G2689" s="229">
        <v>10.36849354198284</v>
      </c>
      <c r="H2689" s="229">
        <v>8.2218640179145588</v>
      </c>
      <c r="I2689" s="229">
        <v>8.467013549806957</v>
      </c>
      <c r="J2689" s="229">
        <v>16.193399999999997</v>
      </c>
      <c r="K2689" s="229">
        <v>12.052000000000001</v>
      </c>
      <c r="L2689" s="229">
        <v>5.5281000000000002</v>
      </c>
      <c r="M2689" s="229">
        <v>10.304899999999998</v>
      </c>
      <c r="N2689" s="229">
        <v>10.69315038492557</v>
      </c>
      <c r="O2689" s="229">
        <v>11.593382874546254</v>
      </c>
      <c r="P2689" s="229">
        <v>17.37776892871349</v>
      </c>
      <c r="Q2689" s="229">
        <v>5.0843640958481782</v>
      </c>
      <c r="R2689" s="229">
        <v>5.2191587338000005</v>
      </c>
      <c r="S2689" s="229">
        <v>9.2766526720524833</v>
      </c>
      <c r="T2689" s="229">
        <v>14.686258761728961</v>
      </c>
      <c r="U2689" s="229">
        <f>AVERAGE(G2689:T2689)</f>
        <v>10.361893397237093</v>
      </c>
      <c r="V2689" t="str">
        <f t="shared" si="255"/>
        <v>2021/22Expenditure driversNon Op CapexActual</v>
      </c>
    </row>
    <row r="2690" spans="1:22">
      <c r="A2690" t="s">
        <v>142</v>
      </c>
      <c r="C2690" t="s">
        <v>1344</v>
      </c>
      <c r="D2690" t="s">
        <v>101</v>
      </c>
      <c r="E2690" t="s">
        <v>602</v>
      </c>
      <c r="F2690" t="s">
        <v>1289</v>
      </c>
      <c r="G2690" s="229">
        <v>0.46340315897273321</v>
      </c>
      <c r="H2690" s="229">
        <v>-2.6623955750066983</v>
      </c>
      <c r="I2690" s="229">
        <v>-4.2662381725903664</v>
      </c>
      <c r="J2690" s="229">
        <v>-2.0800732689345693</v>
      </c>
      <c r="K2690" s="229">
        <v>-6.7263944424091715</v>
      </c>
      <c r="L2690" s="229">
        <v>-1.2469309278449687</v>
      </c>
      <c r="M2690" s="229">
        <v>-1.8876170106667125</v>
      </c>
      <c r="N2690" s="229">
        <v>1.7357422322929992</v>
      </c>
      <c r="O2690" s="229">
        <v>1.0952472457825788</v>
      </c>
      <c r="P2690" s="229">
        <v>5.7958868618583814</v>
      </c>
      <c r="Q2690" s="229">
        <v>-0.16097168053798416</v>
      </c>
      <c r="R2690" s="229">
        <v>1.6451270077026758</v>
      </c>
      <c r="S2690" s="229">
        <v>4.248014534059414</v>
      </c>
      <c r="T2690" s="229">
        <v>4.0381334464833039</v>
      </c>
      <c r="U2690" s="229">
        <f>U2689-U2688</f>
        <v>-6.4761363131005112E-4</v>
      </c>
      <c r="V2690" t="str">
        <f t="shared" si="255"/>
        <v>2021/22Expenditure driversNon Op CapexDifference</v>
      </c>
    </row>
    <row r="2691" spans="1:22">
      <c r="A2691" t="s">
        <v>142</v>
      </c>
      <c r="C2691" t="s">
        <v>1344</v>
      </c>
      <c r="D2691" t="s">
        <v>101</v>
      </c>
      <c r="E2691" t="s">
        <v>1346</v>
      </c>
      <c r="F2691" t="s">
        <v>606</v>
      </c>
      <c r="G2691" s="829">
        <v>4.6784344317301156E-2</v>
      </c>
      <c r="H2691" s="829">
        <v>-0.24460970930335285</v>
      </c>
      <c r="I2691" s="829">
        <v>-0.33504703005958875</v>
      </c>
      <c r="J2691" s="829">
        <v>-0.1138302083200983</v>
      </c>
      <c r="K2691" s="829">
        <v>-0.35819859163349266</v>
      </c>
      <c r="L2691" s="829">
        <v>-0.18404800526004358</v>
      </c>
      <c r="M2691" s="829">
        <v>-0.15481766472134648</v>
      </c>
      <c r="N2691" s="829">
        <v>0.19377728498202537</v>
      </c>
      <c r="O2691" s="829">
        <v>0.10432778585768393</v>
      </c>
      <c r="P2691" s="829">
        <v>0.50042703149645951</v>
      </c>
      <c r="Q2691" s="829">
        <v>-3.0688536902186186E-2</v>
      </c>
      <c r="R2691" s="829">
        <v>0.46030005712878141</v>
      </c>
      <c r="S2691" s="829">
        <v>0.8447644108579262</v>
      </c>
      <c r="T2691" s="829">
        <v>0.37923421512532624</v>
      </c>
      <c r="U2691" s="829">
        <f>U2690/U2688</f>
        <v>-6.2495639885123096E-5</v>
      </c>
      <c r="V2691" t="str">
        <f t="shared" si="255"/>
        <v>2021/22Expenditure driversNon Op CapexDifference %</v>
      </c>
    </row>
    <row r="2692" spans="1:22">
      <c r="A2692" t="s">
        <v>137</v>
      </c>
      <c r="C2692" t="s">
        <v>1344</v>
      </c>
      <c r="D2692" t="s">
        <v>103</v>
      </c>
      <c r="E2692" t="s">
        <v>1347</v>
      </c>
      <c r="F2692" t="s">
        <v>1289</v>
      </c>
      <c r="G2692">
        <f t="array" ref="G2692:T2699">TRANSPOSE('Ch4 expenditure drivers'!E794:L807)</f>
        <v>2.2914801850079725</v>
      </c>
      <c r="H2692">
        <v>1.1800879664111574</v>
      </c>
      <c r="I2692">
        <v>1.7199282933484272</v>
      </c>
      <c r="J2692">
        <v>0.99402031474597807</v>
      </c>
      <c r="K2692">
        <v>1.1625762379071845</v>
      </c>
      <c r="L2692">
        <v>0.45826863160699827</v>
      </c>
      <c r="M2692">
        <v>0.72735174213751663</v>
      </c>
      <c r="N2692">
        <v>2.2537669789894346</v>
      </c>
      <c r="O2692">
        <v>1.5439277808075733</v>
      </c>
      <c r="P2692">
        <v>2.5172569091779708</v>
      </c>
      <c r="Q2692">
        <v>0.9598004804482535</v>
      </c>
      <c r="R2692">
        <v>0.93592320306779941</v>
      </c>
      <c r="S2692">
        <v>0.79968246036649981</v>
      </c>
      <c r="T2692">
        <v>3.2340733614887389</v>
      </c>
      <c r="U2692">
        <f>AVERAGE(G2692:T2692)</f>
        <v>1.4841531818222504</v>
      </c>
      <c r="V2692" t="str">
        <f t="shared" si="253"/>
        <v>2015/16Expenditure driversSmart MeterBPDT</v>
      </c>
    </row>
    <row r="2693" spans="1:22">
      <c r="A2693" t="s">
        <v>138</v>
      </c>
      <c r="C2693" t="s">
        <v>1344</v>
      </c>
      <c r="D2693" t="s">
        <v>103</v>
      </c>
      <c r="E2693" t="s">
        <v>1347</v>
      </c>
      <c r="F2693" t="s">
        <v>1289</v>
      </c>
      <c r="G2693">
        <v>3.1556448023790553</v>
      </c>
      <c r="H2693">
        <v>2.0414071383302814</v>
      </c>
      <c r="I2693">
        <v>2.9098375784897659</v>
      </c>
      <c r="J2693">
        <v>1.6409522285897911</v>
      </c>
      <c r="K2693">
        <v>2.0979500938564737</v>
      </c>
      <c r="L2693">
        <v>0.81809265740651294</v>
      </c>
      <c r="M2693">
        <v>1.2701603427994821</v>
      </c>
      <c r="N2693">
        <v>3.8315719770241592</v>
      </c>
      <c r="O2693">
        <v>2.6161299021589888</v>
      </c>
      <c r="P2693">
        <v>4.5735397265148547</v>
      </c>
      <c r="Q2693">
        <v>1.6994530176922615</v>
      </c>
      <c r="R2693">
        <v>1.7100577935661323</v>
      </c>
      <c r="S2693">
        <v>1.4080766117279018</v>
      </c>
      <c r="T2693">
        <v>6.1843041722623893</v>
      </c>
      <c r="U2693">
        <f t="shared" ref="U2693:U2724" si="256">AVERAGE(G2693:T2693)</f>
        <v>2.5683698601998608</v>
      </c>
      <c r="V2693" t="str">
        <f t="shared" si="253"/>
        <v>2016/17Expenditure driversSmart MeterBPDT</v>
      </c>
    </row>
    <row r="2694" spans="1:22">
      <c r="A2694" t="s">
        <v>139</v>
      </c>
      <c r="C2694" t="s">
        <v>1344</v>
      </c>
      <c r="D2694" t="s">
        <v>103</v>
      </c>
      <c r="E2694" t="s">
        <v>1347</v>
      </c>
      <c r="F2694" t="s">
        <v>1289</v>
      </c>
      <c r="G2694">
        <v>3.8181389657132945</v>
      </c>
      <c r="H2694">
        <v>3.068373285486456</v>
      </c>
      <c r="I2694">
        <v>4.2794999527439526</v>
      </c>
      <c r="J2694">
        <v>2.4421930498505184</v>
      </c>
      <c r="K2694">
        <v>2.7279819537079653</v>
      </c>
      <c r="L2694">
        <v>1.1958549010053177</v>
      </c>
      <c r="M2694">
        <v>1.6956332245916013</v>
      </c>
      <c r="N2694">
        <v>4.9344506814546394</v>
      </c>
      <c r="O2694">
        <v>3.391306342357574</v>
      </c>
      <c r="P2694">
        <v>5.8418905547088134</v>
      </c>
      <c r="Q2694">
        <v>2.1272406344597852</v>
      </c>
      <c r="R2694">
        <v>2.1632504296061428</v>
      </c>
      <c r="S2694">
        <v>1.9573289043320845</v>
      </c>
      <c r="T2694">
        <v>8.7675033954501238</v>
      </c>
      <c r="U2694">
        <f t="shared" si="256"/>
        <v>3.4579033053905914</v>
      </c>
      <c r="V2694" t="str">
        <f t="shared" si="253"/>
        <v>2017/18Expenditure driversSmart MeterBPDT</v>
      </c>
    </row>
    <row r="2695" spans="1:22">
      <c r="A2695" t="s">
        <v>140</v>
      </c>
      <c r="C2695" t="s">
        <v>1344</v>
      </c>
      <c r="D2695" t="s">
        <v>103</v>
      </c>
      <c r="E2695" t="s">
        <v>1347</v>
      </c>
      <c r="F2695" t="s">
        <v>1289</v>
      </c>
      <c r="G2695">
        <v>3.480397557645563</v>
      </c>
      <c r="H2695">
        <v>3.4933592180695139</v>
      </c>
      <c r="I2695">
        <v>4.8942689069856833</v>
      </c>
      <c r="J2695">
        <v>2.8569771003115489</v>
      </c>
      <c r="K2695">
        <v>3.0350451264183964</v>
      </c>
      <c r="L2695">
        <v>1.4592457581274962</v>
      </c>
      <c r="M2695">
        <v>1.868494852782481</v>
      </c>
      <c r="N2695">
        <v>5.4744048384056629</v>
      </c>
      <c r="O2695">
        <v>3.7519800309549161</v>
      </c>
      <c r="P2695">
        <v>6.3778395083678445</v>
      </c>
      <c r="Q2695">
        <v>2.606828394868431</v>
      </c>
      <c r="R2695">
        <v>2.5855325246443339</v>
      </c>
      <c r="S2695">
        <v>2.3618371881766125</v>
      </c>
      <c r="T2695">
        <v>9.7638200625329805</v>
      </c>
      <c r="U2695">
        <f t="shared" si="256"/>
        <v>3.857859362020819</v>
      </c>
      <c r="V2695" t="str">
        <f t="shared" si="253"/>
        <v>2018/19Expenditure driversSmart MeterBPDT</v>
      </c>
    </row>
    <row r="2696" spans="1:22">
      <c r="A2696" t="s">
        <v>141</v>
      </c>
      <c r="C2696" t="s">
        <v>1344</v>
      </c>
      <c r="D2696" t="s">
        <v>103</v>
      </c>
      <c r="E2696" t="s">
        <v>1347</v>
      </c>
      <c r="F2696" t="s">
        <v>1289</v>
      </c>
      <c r="G2696">
        <v>3.320522632774991</v>
      </c>
      <c r="H2696">
        <v>3.4228420647481665</v>
      </c>
      <c r="I2696">
        <v>4.8292460160987591</v>
      </c>
      <c r="J2696">
        <v>2.8690142760608648</v>
      </c>
      <c r="K2696">
        <v>2.8214632738233982</v>
      </c>
      <c r="L2696">
        <v>1.4210460239072475</v>
      </c>
      <c r="M2696">
        <v>1.7968774048287788</v>
      </c>
      <c r="N2696">
        <v>5.4680080251351644</v>
      </c>
      <c r="O2696">
        <v>3.7581662689250419</v>
      </c>
      <c r="P2696">
        <v>6.2480964245151318</v>
      </c>
      <c r="Q2696">
        <v>2.5087056018989999</v>
      </c>
      <c r="R2696">
        <v>2.4890697048090993</v>
      </c>
      <c r="S2696">
        <v>2.352729118181458</v>
      </c>
      <c r="T2696">
        <v>9.2574693569846342</v>
      </c>
      <c r="U2696">
        <f t="shared" si="256"/>
        <v>3.7545182994779807</v>
      </c>
      <c r="V2696" t="str">
        <f t="shared" si="253"/>
        <v>2019/20Expenditure driversSmart MeterBPDT</v>
      </c>
    </row>
    <row r="2697" spans="1:22">
      <c r="A2697" t="s">
        <v>126</v>
      </c>
      <c r="C2697" t="s">
        <v>1344</v>
      </c>
      <c r="D2697" t="s">
        <v>103</v>
      </c>
      <c r="E2697" t="s">
        <v>1347</v>
      </c>
      <c r="F2697" t="s">
        <v>1289</v>
      </c>
      <c r="G2697">
        <v>0</v>
      </c>
      <c r="H2697">
        <v>2.500444828448932</v>
      </c>
      <c r="I2697">
        <v>3.550644798007029</v>
      </c>
      <c r="J2697">
        <v>2.0274632817596885</v>
      </c>
      <c r="K2697">
        <v>1.9844530634810658</v>
      </c>
      <c r="L2697">
        <v>0.92982401844441076</v>
      </c>
      <c r="M2697">
        <v>1.2721983329263855</v>
      </c>
      <c r="N2697">
        <v>4.0302652821616336</v>
      </c>
      <c r="O2697">
        <v>2.7652708703269693</v>
      </c>
      <c r="P2697">
        <v>4.3907989562278971</v>
      </c>
      <c r="Q2697">
        <v>1.4890324389504783</v>
      </c>
      <c r="R2697">
        <v>1.4958836764704764</v>
      </c>
      <c r="S2697">
        <v>1.5947633086847604</v>
      </c>
      <c r="T2697">
        <v>6.5035044985767714</v>
      </c>
      <c r="U2697">
        <f t="shared" si="256"/>
        <v>2.4667533824618926</v>
      </c>
      <c r="V2697" t="str">
        <f t="shared" si="253"/>
        <v>2020/21Expenditure driversSmart MeterBPDT</v>
      </c>
    </row>
    <row r="2698" spans="1:22">
      <c r="A2698" t="s">
        <v>142</v>
      </c>
      <c r="C2698" t="s">
        <v>1344</v>
      </c>
      <c r="D2698" t="s">
        <v>103</v>
      </c>
      <c r="E2698" t="s">
        <v>1347</v>
      </c>
      <c r="F2698" t="s">
        <v>1289</v>
      </c>
      <c r="G2698">
        <v>0</v>
      </c>
      <c r="H2698">
        <v>0</v>
      </c>
      <c r="I2698">
        <v>0</v>
      </c>
      <c r="J2698">
        <v>0</v>
      </c>
      <c r="K2698">
        <v>0</v>
      </c>
      <c r="L2698">
        <v>0</v>
      </c>
      <c r="M2698">
        <v>0</v>
      </c>
      <c r="N2698">
        <v>0</v>
      </c>
      <c r="O2698">
        <v>0</v>
      </c>
      <c r="P2698">
        <v>0</v>
      </c>
      <c r="Q2698">
        <v>0</v>
      </c>
      <c r="R2698">
        <v>0</v>
      </c>
      <c r="S2698">
        <v>0</v>
      </c>
      <c r="T2698">
        <v>0</v>
      </c>
      <c r="U2698">
        <f t="shared" si="256"/>
        <v>0</v>
      </c>
      <c r="V2698" t="str">
        <f t="shared" si="253"/>
        <v>2021/22Expenditure driversSmart MeterBPDT</v>
      </c>
    </row>
    <row r="2699" spans="1:22">
      <c r="A2699" t="s">
        <v>143</v>
      </c>
      <c r="C2699" t="s">
        <v>1344</v>
      </c>
      <c r="D2699" t="s">
        <v>103</v>
      </c>
      <c r="E2699" t="s">
        <v>1347</v>
      </c>
      <c r="F2699" t="s">
        <v>1289</v>
      </c>
      <c r="G2699">
        <v>0</v>
      </c>
      <c r="H2699">
        <v>0</v>
      </c>
      <c r="I2699">
        <v>0</v>
      </c>
      <c r="J2699">
        <v>0</v>
      </c>
      <c r="K2699">
        <v>0</v>
      </c>
      <c r="L2699">
        <v>0</v>
      </c>
      <c r="M2699">
        <v>0</v>
      </c>
      <c r="N2699">
        <v>0</v>
      </c>
      <c r="O2699">
        <v>0</v>
      </c>
      <c r="P2699">
        <v>0</v>
      </c>
      <c r="Q2699">
        <v>0</v>
      </c>
      <c r="R2699">
        <v>0</v>
      </c>
      <c r="S2699">
        <v>0</v>
      </c>
      <c r="T2699">
        <v>0</v>
      </c>
      <c r="U2699">
        <f t="shared" si="256"/>
        <v>0</v>
      </c>
      <c r="V2699" t="str">
        <f t="shared" si="253"/>
        <v>2022/23Expenditure driversSmart MeterBPDT</v>
      </c>
    </row>
    <row r="2700" spans="1:22">
      <c r="A2700" t="s">
        <v>137</v>
      </c>
      <c r="C2700" t="s">
        <v>1344</v>
      </c>
      <c r="D2700" t="s">
        <v>103</v>
      </c>
      <c r="E2700" t="s">
        <v>1348</v>
      </c>
      <c r="F2700" t="s">
        <v>1289</v>
      </c>
      <c r="G2700">
        <f t="array" ref="G2700:T2707">TRANSPOSE('Ch4 expenditure drivers'!N794:U807)</f>
        <v>0.43089571603147031</v>
      </c>
      <c r="H2700">
        <v>0.4853065900480229</v>
      </c>
      <c r="I2700">
        <v>1.4176890889547358</v>
      </c>
      <c r="J2700">
        <v>0.25809715745376521</v>
      </c>
      <c r="K2700">
        <v>0.3247674874833964</v>
      </c>
      <c r="L2700">
        <v>0.18193592283641566</v>
      </c>
      <c r="M2700">
        <v>9.2205352569735374E-2</v>
      </c>
      <c r="N2700">
        <v>0.97658012694390528</v>
      </c>
      <c r="O2700">
        <v>0.56872176004904462</v>
      </c>
      <c r="P2700">
        <v>2.3852208725860837</v>
      </c>
      <c r="Q2700">
        <v>0.71410313893940947</v>
      </c>
      <c r="R2700">
        <v>0.54585736589353229</v>
      </c>
      <c r="S2700">
        <v>0.13898585977316849</v>
      </c>
      <c r="T2700">
        <v>0.87063757065495062</v>
      </c>
      <c r="U2700">
        <f t="shared" si="256"/>
        <v>0.67078600072983108</v>
      </c>
      <c r="V2700" t="str">
        <f t="shared" si="253"/>
        <v>2015/16Expenditure driversSmart MeterDNO Baseline</v>
      </c>
    </row>
    <row r="2701" spans="1:22">
      <c r="A2701" t="s">
        <v>138</v>
      </c>
      <c r="C2701" t="s">
        <v>1344</v>
      </c>
      <c r="D2701" t="s">
        <v>103</v>
      </c>
      <c r="E2701" t="s">
        <v>1348</v>
      </c>
      <c r="F2701" t="s">
        <v>1289</v>
      </c>
      <c r="G2701">
        <v>3.4249842519260243</v>
      </c>
      <c r="H2701">
        <v>1.9511305763155207</v>
      </c>
      <c r="I2701">
        <v>2.5049731210789825</v>
      </c>
      <c r="J2701">
        <v>1.9005336139777258</v>
      </c>
      <c r="K2701">
        <v>1.7772078103606828</v>
      </c>
      <c r="L2701">
        <v>1.1452481136201085</v>
      </c>
      <c r="M2701">
        <v>1.1290806380709104</v>
      </c>
      <c r="N2701">
        <v>2.2425876974762442</v>
      </c>
      <c r="O2701">
        <v>1.7509199249616838</v>
      </c>
      <c r="P2701">
        <v>5.3118798569531016</v>
      </c>
      <c r="Q2701">
        <v>5.2741369892300964</v>
      </c>
      <c r="R2701">
        <v>2.9295560820386233</v>
      </c>
      <c r="S2701">
        <v>0.37224362979462555</v>
      </c>
      <c r="T2701">
        <v>1.7959340022478798</v>
      </c>
      <c r="U2701">
        <f t="shared" si="256"/>
        <v>2.3936011648608724</v>
      </c>
      <c r="V2701" t="str">
        <f t="shared" si="253"/>
        <v>2016/17Expenditure driversSmart MeterDNO Baseline</v>
      </c>
    </row>
    <row r="2702" spans="1:22">
      <c r="A2702" t="s">
        <v>139</v>
      </c>
      <c r="C2702" t="s">
        <v>1344</v>
      </c>
      <c r="D2702" t="s">
        <v>103</v>
      </c>
      <c r="E2702" t="s">
        <v>1348</v>
      </c>
      <c r="F2702" t="s">
        <v>1289</v>
      </c>
      <c r="G2702">
        <v>5.9171141939307255</v>
      </c>
      <c r="H2702">
        <v>3.3426729416573004</v>
      </c>
      <c r="I2702">
        <v>4.5004221395729029</v>
      </c>
      <c r="J2702">
        <v>2.169790182895678</v>
      </c>
      <c r="K2702">
        <v>2.0069772310207417</v>
      </c>
      <c r="L2702">
        <v>1.3425922905078165</v>
      </c>
      <c r="M2702">
        <v>1.3882994594462041</v>
      </c>
      <c r="N2702">
        <v>2.1507562328803518</v>
      </c>
      <c r="O2702">
        <v>1.845917991785021</v>
      </c>
      <c r="P2702">
        <v>5.712378735056709</v>
      </c>
      <c r="Q2702">
        <v>7.8587169855522641</v>
      </c>
      <c r="R2702">
        <v>3.2184950804127928</v>
      </c>
      <c r="S2702">
        <v>0.49520699098804538</v>
      </c>
      <c r="T2702">
        <v>2.4658954691733932</v>
      </c>
      <c r="U2702">
        <f t="shared" si="256"/>
        <v>3.1725168517771394</v>
      </c>
      <c r="V2702" t="str">
        <f t="shared" si="253"/>
        <v>2017/18Expenditure driversSmart MeterDNO Baseline</v>
      </c>
    </row>
    <row r="2703" spans="1:22">
      <c r="A2703" t="s">
        <v>140</v>
      </c>
      <c r="C2703" t="s">
        <v>1344</v>
      </c>
      <c r="D2703" t="s">
        <v>103</v>
      </c>
      <c r="E2703" t="s">
        <v>1348</v>
      </c>
      <c r="F2703" t="s">
        <v>1289</v>
      </c>
      <c r="G2703">
        <v>7.9610961605394914</v>
      </c>
      <c r="H2703">
        <v>2.3171363812404211</v>
      </c>
      <c r="I2703">
        <v>4.7033339407785837</v>
      </c>
      <c r="J2703">
        <v>2.7826993971594973</v>
      </c>
      <c r="K2703">
        <v>2.8233311004393586</v>
      </c>
      <c r="L2703">
        <v>1.5097125844487587</v>
      </c>
      <c r="M2703">
        <v>1.3781510715847556</v>
      </c>
      <c r="N2703">
        <v>2.4686830965157864</v>
      </c>
      <c r="O2703">
        <v>2.4703719510370901</v>
      </c>
      <c r="P2703">
        <v>7.8306003555737203</v>
      </c>
      <c r="Q2703">
        <v>3.9992164085419435</v>
      </c>
      <c r="R2703">
        <v>2.8354570250332074</v>
      </c>
      <c r="S2703">
        <v>0.55519820660059271</v>
      </c>
      <c r="T2703">
        <v>2.8656859948911824</v>
      </c>
      <c r="U2703">
        <f t="shared" si="256"/>
        <v>3.3214766910274562</v>
      </c>
      <c r="V2703" t="str">
        <f t="shared" si="253"/>
        <v>2018/19Expenditure driversSmart MeterDNO Baseline</v>
      </c>
    </row>
    <row r="2704" spans="1:22">
      <c r="A2704" t="s">
        <v>141</v>
      </c>
      <c r="C2704" t="s">
        <v>1344</v>
      </c>
      <c r="D2704" t="s">
        <v>103</v>
      </c>
      <c r="E2704" t="s">
        <v>1348</v>
      </c>
      <c r="F2704" t="s">
        <v>1289</v>
      </c>
      <c r="G2704">
        <v>8.2946398415857772</v>
      </c>
      <c r="H2704">
        <v>1.6697608000817412</v>
      </c>
      <c r="I2704">
        <v>3.4840674538878105</v>
      </c>
      <c r="J2704">
        <v>1.4847740022478799</v>
      </c>
      <c r="K2704">
        <v>1.4658888443854092</v>
      </c>
      <c r="L2704">
        <v>1.1073201036476958</v>
      </c>
      <c r="M2704">
        <v>0.78954457562072133</v>
      </c>
      <c r="N2704">
        <v>2.2539874654950443</v>
      </c>
      <c r="O2704">
        <v>2.3698851070195159</v>
      </c>
      <c r="P2704">
        <v>6.4480732686216422</v>
      </c>
      <c r="Q2704">
        <v>2.4762740397670382</v>
      </c>
      <c r="R2704">
        <v>2.0817611844283235</v>
      </c>
      <c r="S2704">
        <v>0.37112578105650351</v>
      </c>
      <c r="T2704">
        <v>2.6712566181260855</v>
      </c>
      <c r="U2704">
        <f t="shared" si="256"/>
        <v>2.640597077569371</v>
      </c>
      <c r="V2704" t="str">
        <f t="shared" si="253"/>
        <v>2019/20Expenditure driversSmart MeterDNO Baseline</v>
      </c>
    </row>
    <row r="2705" spans="1:22">
      <c r="A2705" t="s">
        <v>126</v>
      </c>
      <c r="C2705" t="s">
        <v>1344</v>
      </c>
      <c r="D2705" t="s">
        <v>103</v>
      </c>
      <c r="E2705" t="s">
        <v>1348</v>
      </c>
      <c r="F2705" t="s">
        <v>1289</v>
      </c>
      <c r="G2705">
        <v>7.0648002097476255</v>
      </c>
      <c r="H2705">
        <v>1.0466955675896596</v>
      </c>
      <c r="I2705">
        <v>2.2185622158373355</v>
      </c>
      <c r="J2705">
        <v>1.0386836824358843</v>
      </c>
      <c r="K2705">
        <v>1.0818906345151731</v>
      </c>
      <c r="L2705">
        <v>0.80804439995912958</v>
      </c>
      <c r="M2705">
        <v>0.64891691525493012</v>
      </c>
      <c r="N2705">
        <v>1.7340313797486462</v>
      </c>
      <c r="O2705">
        <v>1.2945069905793398</v>
      </c>
      <c r="P2705">
        <v>3.509841561254726</v>
      </c>
      <c r="Q2705">
        <v>1.296053411586799</v>
      </c>
      <c r="R2705">
        <v>1.3550768423418822</v>
      </c>
      <c r="S2705">
        <v>0.15687143958312047</v>
      </c>
      <c r="T2705">
        <v>1.3430462973331971</v>
      </c>
      <c r="U2705">
        <f t="shared" si="256"/>
        <v>1.7569301105548178</v>
      </c>
      <c r="V2705" t="str">
        <f t="shared" si="253"/>
        <v>2020/21Expenditure driversSmart MeterDNO Baseline</v>
      </c>
    </row>
    <row r="2706" spans="1:22">
      <c r="A2706" t="s">
        <v>142</v>
      </c>
      <c r="C2706" t="s">
        <v>1344</v>
      </c>
      <c r="D2706" t="s">
        <v>103</v>
      </c>
      <c r="E2706" t="s">
        <v>1348</v>
      </c>
      <c r="F2706" t="s">
        <v>1289</v>
      </c>
      <c r="G2706">
        <v>0</v>
      </c>
      <c r="H2706">
        <v>0</v>
      </c>
      <c r="I2706">
        <v>0</v>
      </c>
      <c r="J2706">
        <v>0</v>
      </c>
      <c r="K2706">
        <v>0</v>
      </c>
      <c r="L2706">
        <v>0</v>
      </c>
      <c r="M2706">
        <v>0</v>
      </c>
      <c r="N2706">
        <v>0</v>
      </c>
      <c r="O2706">
        <v>0</v>
      </c>
      <c r="P2706">
        <v>0</v>
      </c>
      <c r="Q2706">
        <v>0</v>
      </c>
      <c r="R2706">
        <v>0</v>
      </c>
      <c r="S2706">
        <v>0</v>
      </c>
      <c r="T2706">
        <v>0</v>
      </c>
      <c r="U2706">
        <f t="shared" si="256"/>
        <v>0</v>
      </c>
      <c r="V2706" t="str">
        <f t="shared" si="253"/>
        <v>2021/22Expenditure driversSmart MeterDNO Baseline</v>
      </c>
    </row>
    <row r="2707" spans="1:22">
      <c r="A2707" t="s">
        <v>143</v>
      </c>
      <c r="C2707" t="s">
        <v>1344</v>
      </c>
      <c r="D2707" t="s">
        <v>103</v>
      </c>
      <c r="E2707" t="s">
        <v>1348</v>
      </c>
      <c r="F2707" t="s">
        <v>1289</v>
      </c>
      <c r="G2707">
        <v>0</v>
      </c>
      <c r="H2707">
        <v>0</v>
      </c>
      <c r="I2707">
        <v>0</v>
      </c>
      <c r="J2707">
        <v>0</v>
      </c>
      <c r="K2707">
        <v>0</v>
      </c>
      <c r="L2707">
        <v>0</v>
      </c>
      <c r="M2707">
        <v>0</v>
      </c>
      <c r="N2707">
        <v>0</v>
      </c>
      <c r="O2707">
        <v>0</v>
      </c>
      <c r="P2707">
        <v>0</v>
      </c>
      <c r="Q2707">
        <v>0</v>
      </c>
      <c r="R2707">
        <v>0</v>
      </c>
      <c r="S2707">
        <v>0</v>
      </c>
      <c r="T2707">
        <v>0</v>
      </c>
      <c r="U2707">
        <f t="shared" si="256"/>
        <v>0</v>
      </c>
      <c r="V2707" t="str">
        <f t="shared" si="253"/>
        <v>2022/23Expenditure driversSmart MeterDNO Baseline</v>
      </c>
    </row>
    <row r="2708" spans="1:22">
      <c r="A2708" t="s">
        <v>137</v>
      </c>
      <c r="C2708" t="s">
        <v>1344</v>
      </c>
      <c r="D2708" t="s">
        <v>103</v>
      </c>
      <c r="E2708" t="s">
        <v>1349</v>
      </c>
      <c r="F2708" t="s">
        <v>1289</v>
      </c>
      <c r="G2708" cm="1">
        <f t="array" ref="G2708:T2714">TRANSPOSE('Ch4 expenditure drivers'!W794:AC807)</f>
        <v>0.27345324164434104</v>
      </c>
      <c r="H2708">
        <v>0.32370005965707133</v>
      </c>
      <c r="I2708">
        <v>1.1021398599562693</v>
      </c>
      <c r="J2708">
        <v>0.28185361923887869</v>
      </c>
      <c r="K2708">
        <v>0.23028040380367962</v>
      </c>
      <c r="L2708">
        <v>8.7554528529524028E-2</v>
      </c>
      <c r="M2708">
        <v>9.1152659838956498E-2</v>
      </c>
      <c r="N2708">
        <v>0.48227307133672276</v>
      </c>
      <c r="O2708">
        <v>1.1484068505600291</v>
      </c>
      <c r="P2708">
        <v>1.8908291213325212</v>
      </c>
      <c r="Q2708">
        <v>0.44906954474159222</v>
      </c>
      <c r="R2708">
        <v>0.39406916295263461</v>
      </c>
      <c r="S2708">
        <v>0.14512462948044391</v>
      </c>
      <c r="T2708">
        <v>0.84316210351034782</v>
      </c>
      <c r="U2708">
        <f t="shared" si="256"/>
        <v>0.5530763468987866</v>
      </c>
      <c r="V2708" t="str">
        <f t="shared" si="253"/>
        <v>2015/16Expenditure driversSmart MeterDNO Actual</v>
      </c>
    </row>
    <row r="2709" spans="1:22">
      <c r="A2709" t="s">
        <v>138</v>
      </c>
      <c r="C2709" t="s">
        <v>1344</v>
      </c>
      <c r="D2709" t="s">
        <v>103</v>
      </c>
      <c r="E2709" t="s">
        <v>1349</v>
      </c>
      <c r="F2709" t="s">
        <v>1289</v>
      </c>
      <c r="G2709">
        <v>2.1604386031112668</v>
      </c>
      <c r="H2709">
        <v>1.4388136123682951</v>
      </c>
      <c r="I2709">
        <v>1.9147756900026494</v>
      </c>
      <c r="J2709">
        <v>2.5914959923318439</v>
      </c>
      <c r="K2709">
        <v>2.3907049571307817</v>
      </c>
      <c r="L2709">
        <v>1.3209936526385704</v>
      </c>
      <c r="M2709">
        <v>1.2106172941069921</v>
      </c>
      <c r="N2709">
        <v>1.3384812595226812</v>
      </c>
      <c r="O2709">
        <v>1.6514184653725701</v>
      </c>
      <c r="P2709">
        <v>4.9376518682995503</v>
      </c>
      <c r="Q2709">
        <v>1.9052252376540475</v>
      </c>
      <c r="R2709">
        <v>1.4773526092830254</v>
      </c>
      <c r="S2709">
        <v>0.18771585090427403</v>
      </c>
      <c r="T2709">
        <v>1.7587079883452392</v>
      </c>
      <c r="U2709">
        <f t="shared" si="256"/>
        <v>1.8774566486479849</v>
      </c>
      <c r="V2709" t="str">
        <f t="shared" si="253"/>
        <v>2016/17Expenditure driversSmart MeterDNO Actual</v>
      </c>
    </row>
    <row r="2710" spans="1:22">
      <c r="A2710" t="s">
        <v>139</v>
      </c>
      <c r="C2710" t="s">
        <v>1344</v>
      </c>
      <c r="D2710" t="s">
        <v>103</v>
      </c>
      <c r="E2710" t="s">
        <v>1349</v>
      </c>
      <c r="F2710" t="s">
        <v>1289</v>
      </c>
      <c r="G2710">
        <v>4.1244677156168157</v>
      </c>
      <c r="H2710">
        <v>2.0801815968372099</v>
      </c>
      <c r="I2710">
        <v>3.4444921882737889</v>
      </c>
      <c r="J2710">
        <v>2.7809856606573828</v>
      </c>
      <c r="K2710">
        <v>2.4108666899471825</v>
      </c>
      <c r="L2710">
        <v>1.4680253975875563</v>
      </c>
      <c r="M2710">
        <v>1.3786082762233183</v>
      </c>
      <c r="N2710">
        <v>1.789001955722429</v>
      </c>
      <c r="O2710">
        <v>1.8238076971685449</v>
      </c>
      <c r="P2710">
        <v>4.700566057875915</v>
      </c>
      <c r="Q2710">
        <v>3.6234886894892431</v>
      </c>
      <c r="R2710">
        <v>3.408375570194631</v>
      </c>
      <c r="S2710">
        <v>0.45048119370844064</v>
      </c>
      <c r="T2710">
        <v>2.2433510701762041</v>
      </c>
      <c r="U2710">
        <f t="shared" si="256"/>
        <v>2.5519071256770469</v>
      </c>
      <c r="V2710" t="str">
        <f t="shared" si="253"/>
        <v>2017/18Expenditure driversSmart MeterDNO Actual</v>
      </c>
    </row>
    <row r="2711" spans="1:22">
      <c r="A2711" t="s">
        <v>140</v>
      </c>
      <c r="C2711" t="s">
        <v>1344</v>
      </c>
      <c r="D2711" t="s">
        <v>103</v>
      </c>
      <c r="E2711" t="s">
        <v>1349</v>
      </c>
      <c r="F2711" t="s">
        <v>1289</v>
      </c>
      <c r="G2711">
        <v>5.8824549392738952</v>
      </c>
      <c r="H2711">
        <v>2.0890723541917335</v>
      </c>
      <c r="I2711">
        <v>3.9127780242851347</v>
      </c>
      <c r="J2711">
        <v>4.2065001341296391</v>
      </c>
      <c r="K2711">
        <v>5.0884373685176563</v>
      </c>
      <c r="L2711">
        <v>2.0461383158964801</v>
      </c>
      <c r="M2711">
        <v>1.5848510949214281</v>
      </c>
      <c r="N2711">
        <v>1.9239756078042218</v>
      </c>
      <c r="O2711">
        <v>2.7355003736909471</v>
      </c>
      <c r="P2711">
        <v>6.9185208603292798</v>
      </c>
      <c r="Q2711">
        <v>2.99911669531354</v>
      </c>
      <c r="R2711">
        <v>2.5150048598793857</v>
      </c>
      <c r="S2711">
        <v>0.40385547513609743</v>
      </c>
      <c r="T2711">
        <v>2.1735639924904202</v>
      </c>
      <c r="U2711">
        <f>AVERAGE(G2711:T2711)</f>
        <v>3.1771264354185615</v>
      </c>
      <c r="V2711" t="str">
        <f t="shared" si="253"/>
        <v>2018/19Expenditure driversSmart MeterDNO Actual</v>
      </c>
    </row>
    <row r="2712" spans="1:22">
      <c r="A2712" t="s">
        <v>141</v>
      </c>
      <c r="C2712" t="s">
        <v>1344</v>
      </c>
      <c r="D2712" t="s">
        <v>103</v>
      </c>
      <c r="E2712" t="s">
        <v>1349</v>
      </c>
      <c r="F2712" t="s">
        <v>1289</v>
      </c>
      <c r="G2712">
        <v>6.060973598196</v>
      </c>
      <c r="H2712">
        <v>1.8164838107218886</v>
      </c>
      <c r="I2712">
        <v>3.3518705450509896</v>
      </c>
      <c r="J2712">
        <v>2.5180242910522224</v>
      </c>
      <c r="K2712">
        <v>2.5522831249440894</v>
      </c>
      <c r="L2712">
        <v>1.9302711720948798</v>
      </c>
      <c r="M2712">
        <v>1.1872827120650147</v>
      </c>
      <c r="N2712">
        <v>1.2153271207283647</v>
      </c>
      <c r="O2712">
        <v>2.2428598949102949</v>
      </c>
      <c r="P2712">
        <v>5.2762639358844323</v>
      </c>
      <c r="Q2712">
        <v>1.7286362972990166</v>
      </c>
      <c r="R2712">
        <v>1.9377369547918863</v>
      </c>
      <c r="S2712">
        <v>0.35516664584035718</v>
      </c>
      <c r="T2712">
        <v>3.2168825828521488</v>
      </c>
      <c r="U2712">
        <f>AVERAGE(G2712:T2712)</f>
        <v>2.5278616204593995</v>
      </c>
      <c r="V2712" t="str">
        <f t="shared" si="253"/>
        <v>2019/20Expenditure driversSmart MeterDNO Actual</v>
      </c>
    </row>
    <row r="2713" spans="1:22">
      <c r="A2713" t="s">
        <v>126</v>
      </c>
      <c r="C2713" t="s">
        <v>1344</v>
      </c>
      <c r="D2713" t="s">
        <v>103</v>
      </c>
      <c r="E2713" t="s">
        <v>1349</v>
      </c>
      <c r="F2713" t="s">
        <v>1289</v>
      </c>
      <c r="G2713">
        <v>4.4346941854926554</v>
      </c>
      <c r="H2713">
        <v>1.1265478113145422</v>
      </c>
      <c r="I2713">
        <v>2.124206407573983</v>
      </c>
      <c r="J2713">
        <v>1.7897294258023508</v>
      </c>
      <c r="K2713">
        <v>2.1916781148123348</v>
      </c>
      <c r="L2713">
        <v>1.0609329870447739</v>
      </c>
      <c r="M2713">
        <v>0.83986120808928266</v>
      </c>
      <c r="N2713">
        <v>1.7943260847325209</v>
      </c>
      <c r="O2713">
        <v>1.4487442656108949</v>
      </c>
      <c r="P2713">
        <v>2.9726356050622225</v>
      </c>
      <c r="Q2713">
        <v>1.0149804229237638</v>
      </c>
      <c r="R2713">
        <v>1.0166660818212201</v>
      </c>
      <c r="S2713">
        <v>7.2104221389074935E-2</v>
      </c>
      <c r="T2713">
        <v>1.6452819081750167</v>
      </c>
      <c r="U2713">
        <f>AVERAGE(G2713:T2713)</f>
        <v>1.6808849092746172</v>
      </c>
      <c r="V2713" t="str">
        <f t="shared" si="253"/>
        <v>2020/21Expenditure driversSmart MeterDNO Actual</v>
      </c>
    </row>
    <row r="2714" spans="1:22">
      <c r="A2714" t="s">
        <v>142</v>
      </c>
      <c r="C2714" t="s">
        <v>1344</v>
      </c>
      <c r="D2714" t="s">
        <v>103</v>
      </c>
      <c r="E2714" t="s">
        <v>1349</v>
      </c>
      <c r="F2714" t="s">
        <v>1289</v>
      </c>
      <c r="G2714">
        <v>4.2518501603030616</v>
      </c>
      <c r="H2714">
        <v>1.7795515449910433</v>
      </c>
      <c r="I2714">
        <v>4.0007636731116802</v>
      </c>
      <c r="J2714">
        <v>2.1987999999999999</v>
      </c>
      <c r="K2714">
        <v>2.9433000000000002</v>
      </c>
      <c r="L2714">
        <v>1.1940999999999997</v>
      </c>
      <c r="M2714">
        <v>1.0131000000000001</v>
      </c>
      <c r="N2714">
        <v>1.7047337170880601</v>
      </c>
      <c r="O2714">
        <v>1.5001857920990849</v>
      </c>
      <c r="P2714">
        <v>3.6644547245631269</v>
      </c>
      <c r="Q2714">
        <v>1.4904539856771848</v>
      </c>
      <c r="R2714">
        <v>1.3198092939787041</v>
      </c>
      <c r="S2714">
        <v>0.18384959999999997</v>
      </c>
      <c r="T2714">
        <v>1.5150632099999999</v>
      </c>
      <c r="U2714">
        <f>AVERAGE(G2714:T2714)</f>
        <v>2.054286835843711</v>
      </c>
      <c r="V2714" t="str">
        <f t="shared" ref="V2714" si="257">CONCATENATE(A2714,B2714,C2714,D2714,E2714)</f>
        <v>2021/22Expenditure driversSmart MeterDNO Actual</v>
      </c>
    </row>
    <row r="2715" spans="1:22">
      <c r="A2715" t="s">
        <v>137</v>
      </c>
      <c r="C2715" t="s">
        <v>1344</v>
      </c>
      <c r="D2715" t="s">
        <v>103</v>
      </c>
      <c r="E2715" t="s">
        <v>297</v>
      </c>
      <c r="F2715" t="s">
        <v>1289</v>
      </c>
      <c r="G2715">
        <f t="array" ref="G2715:T2718">TRANSPOSE('Ch4 expenditure drivers'!AF794:AI807)</f>
        <v>0.43089571603147031</v>
      </c>
      <c r="H2715">
        <v>0.4853065900480229</v>
      </c>
      <c r="I2715">
        <v>1.4176890889547358</v>
      </c>
      <c r="J2715">
        <v>0.25809715745376521</v>
      </c>
      <c r="K2715">
        <v>0.3247674874833964</v>
      </c>
      <c r="L2715">
        <v>0.18193592283641566</v>
      </c>
      <c r="M2715">
        <v>9.2205352569735374E-2</v>
      </c>
      <c r="N2715">
        <v>0.97658012694390528</v>
      </c>
      <c r="O2715">
        <v>0.56872176004904462</v>
      </c>
      <c r="P2715">
        <v>2.3852208725860837</v>
      </c>
      <c r="Q2715">
        <v>0.71410313893940947</v>
      </c>
      <c r="R2715">
        <v>0.54585736589353229</v>
      </c>
      <c r="S2715">
        <v>0.13898585977316849</v>
      </c>
      <c r="T2715">
        <v>0.87063757065495062</v>
      </c>
      <c r="U2715">
        <f t="shared" si="256"/>
        <v>0.67078600072983108</v>
      </c>
      <c r="V2715" t="str">
        <f t="shared" si="253"/>
        <v>2015/16Expenditure driversSmart MeterAllowance</v>
      </c>
    </row>
    <row r="2716" spans="1:22">
      <c r="A2716" t="s">
        <v>137</v>
      </c>
      <c r="C2716" t="s">
        <v>1344</v>
      </c>
      <c r="D2716" t="s">
        <v>103</v>
      </c>
      <c r="E2716" t="s">
        <v>298</v>
      </c>
      <c r="F2716" t="s">
        <v>1289</v>
      </c>
      <c r="G2716">
        <v>0.27345324164434104</v>
      </c>
      <c r="H2716">
        <v>0.32370005965707133</v>
      </c>
      <c r="I2716">
        <v>1.1021398599562693</v>
      </c>
      <c r="J2716">
        <v>0.28185361923887869</v>
      </c>
      <c r="K2716">
        <v>0.23028040380367962</v>
      </c>
      <c r="L2716">
        <v>8.7554528529524028E-2</v>
      </c>
      <c r="M2716">
        <v>9.1152659838956498E-2</v>
      </c>
      <c r="N2716">
        <v>0.48227307133672276</v>
      </c>
      <c r="O2716">
        <v>1.1484068505600291</v>
      </c>
      <c r="P2716">
        <v>1.8908291213325212</v>
      </c>
      <c r="Q2716">
        <v>0.44906954474159222</v>
      </c>
      <c r="R2716">
        <v>0.39406916295263461</v>
      </c>
      <c r="S2716">
        <v>0.14512462948044391</v>
      </c>
      <c r="T2716">
        <v>0.84316210351034782</v>
      </c>
      <c r="U2716">
        <f t="shared" si="256"/>
        <v>0.5530763468987866</v>
      </c>
      <c r="V2716" t="str">
        <f t="shared" si="253"/>
        <v>2015/16Expenditure driversSmart MeterActual</v>
      </c>
    </row>
    <row r="2717" spans="1:22">
      <c r="A2717" t="s">
        <v>137</v>
      </c>
      <c r="C2717" t="s">
        <v>1344</v>
      </c>
      <c r="D2717" t="s">
        <v>103</v>
      </c>
      <c r="E2717" t="s">
        <v>602</v>
      </c>
      <c r="F2717" t="s">
        <v>1289</v>
      </c>
      <c r="G2717">
        <v>-0.15744247438712927</v>
      </c>
      <c r="H2717">
        <v>-0.16160653039095157</v>
      </c>
      <c r="I2717">
        <v>-0.31554922899846649</v>
      </c>
      <c r="J2717">
        <v>2.3756461785113481E-2</v>
      </c>
      <c r="K2717">
        <v>-9.4487083679716782E-2</v>
      </c>
      <c r="L2717">
        <v>-9.4381394306891631E-2</v>
      </c>
      <c r="M2717">
        <v>-1.0526927307788758E-3</v>
      </c>
      <c r="N2717">
        <v>-0.49430705560718252</v>
      </c>
      <c r="O2717">
        <v>0.57968509051098449</v>
      </c>
      <c r="P2717">
        <v>-0.49439175125356249</v>
      </c>
      <c r="Q2717">
        <v>-0.26503359419781725</v>
      </c>
      <c r="R2717">
        <v>-0.15178820294089768</v>
      </c>
      <c r="S2717">
        <v>6.138769707275421E-3</v>
      </c>
      <c r="T2717">
        <v>-2.7475467144602805E-2</v>
      </c>
      <c r="U2717">
        <f>U2716-U2715</f>
        <v>-0.11770965383104448</v>
      </c>
      <c r="V2717" t="str">
        <f t="shared" si="253"/>
        <v>2015/16Expenditure driversSmart MeterDifference</v>
      </c>
    </row>
    <row r="2718" spans="1:22">
      <c r="A2718" t="s">
        <v>137</v>
      </c>
      <c r="C2718" t="s">
        <v>1344</v>
      </c>
      <c r="D2718" t="s">
        <v>103</v>
      </c>
      <c r="E2718" t="s">
        <v>1346</v>
      </c>
      <c r="F2718" t="s">
        <v>606</v>
      </c>
      <c r="G2718" s="829">
        <v>-0.3653841719225413</v>
      </c>
      <c r="H2718" s="829">
        <v>-0.33299883765221489</v>
      </c>
      <c r="I2718" s="829">
        <v>-0.22257999405999618</v>
      </c>
      <c r="J2718" s="829">
        <v>9.2044647137848254E-2</v>
      </c>
      <c r="K2718" s="829">
        <v>-0.2909376317558493</v>
      </c>
      <c r="L2718" s="829">
        <v>-0.51876173124838532</v>
      </c>
      <c r="M2718" s="829">
        <v>-1.141682886557718E-2</v>
      </c>
      <c r="N2718" s="829">
        <v>-0.50616128873527189</v>
      </c>
      <c r="O2718" s="829">
        <v>1.019277142589013</v>
      </c>
      <c r="P2718" s="829">
        <v>-0.20727294353983131</v>
      </c>
      <c r="Q2718" s="829">
        <v>-0.37114189778166612</v>
      </c>
      <c r="R2718" s="829">
        <v>-0.27807301398677742</v>
      </c>
      <c r="S2718" s="829">
        <v>4.4168304008006171E-2</v>
      </c>
      <c r="T2718" s="829">
        <v>-3.1557869853851998E-2</v>
      </c>
      <c r="U2718" s="829">
        <f>U2717/U2715</f>
        <v>-0.17548018846990485</v>
      </c>
      <c r="V2718" t="str">
        <f t="shared" si="253"/>
        <v>2015/16Expenditure driversSmart MeterDifference %</v>
      </c>
    </row>
    <row r="2719" spans="1:22">
      <c r="A2719" t="s">
        <v>138</v>
      </c>
      <c r="C2719" t="s">
        <v>1344</v>
      </c>
      <c r="D2719" t="s">
        <v>103</v>
      </c>
      <c r="E2719" t="s">
        <v>297</v>
      </c>
      <c r="F2719" t="s">
        <v>1289</v>
      </c>
      <c r="G2719">
        <f t="array" ref="G2719:T2722">TRANSPOSE('Ch4 expenditure drivers'!AK794:AN807)</f>
        <v>3.4249842519260243</v>
      </c>
      <c r="H2719">
        <v>1.9511305763155207</v>
      </c>
      <c r="I2719">
        <v>2.5049731210789825</v>
      </c>
      <c r="J2719">
        <v>1.9005336139777258</v>
      </c>
      <c r="K2719">
        <v>1.7772078103606828</v>
      </c>
      <c r="L2719">
        <v>1.1452481136201085</v>
      </c>
      <c r="M2719">
        <v>1.1290806380709104</v>
      </c>
      <c r="N2719">
        <v>2.2425876974762442</v>
      </c>
      <c r="O2719">
        <v>1.7509199249616838</v>
      </c>
      <c r="P2719">
        <v>5.3118798569531016</v>
      </c>
      <c r="Q2719">
        <v>5.2741369892300964</v>
      </c>
      <c r="R2719">
        <v>2.9295560820386233</v>
      </c>
      <c r="S2719">
        <v>0.37224362979462555</v>
      </c>
      <c r="T2719">
        <v>1.7959340022478798</v>
      </c>
      <c r="U2719">
        <f t="shared" si="256"/>
        <v>2.3936011648608724</v>
      </c>
      <c r="V2719" t="str">
        <f t="shared" si="253"/>
        <v>2016/17Expenditure driversSmart MeterAllowance</v>
      </c>
    </row>
    <row r="2720" spans="1:22">
      <c r="A2720" t="s">
        <v>138</v>
      </c>
      <c r="C2720" t="s">
        <v>1344</v>
      </c>
      <c r="D2720" t="s">
        <v>103</v>
      </c>
      <c r="E2720" t="s">
        <v>298</v>
      </c>
      <c r="F2720" t="s">
        <v>1289</v>
      </c>
      <c r="G2720">
        <v>2.1604386031112668</v>
      </c>
      <c r="H2720">
        <v>1.4388136123682951</v>
      </c>
      <c r="I2720">
        <v>1.9147756900026494</v>
      </c>
      <c r="J2720">
        <v>2.5914959923318439</v>
      </c>
      <c r="K2720">
        <v>2.3907049571307817</v>
      </c>
      <c r="L2720">
        <v>1.3209936526385704</v>
      </c>
      <c r="M2720">
        <v>1.2106172941069921</v>
      </c>
      <c r="N2720">
        <v>1.3384812595226812</v>
      </c>
      <c r="O2720">
        <v>1.6514184653725701</v>
      </c>
      <c r="P2720">
        <v>4.9376518682995503</v>
      </c>
      <c r="Q2720">
        <v>1.9052252376540475</v>
      </c>
      <c r="R2720">
        <v>1.4773526092830254</v>
      </c>
      <c r="S2720">
        <v>0.18771585090427403</v>
      </c>
      <c r="T2720">
        <v>1.7587079883452392</v>
      </c>
      <c r="U2720">
        <f t="shared" si="256"/>
        <v>1.8774566486479849</v>
      </c>
      <c r="V2720" t="str">
        <f t="shared" si="253"/>
        <v>2016/17Expenditure driversSmart MeterActual</v>
      </c>
    </row>
    <row r="2721" spans="1:22">
      <c r="A2721" t="s">
        <v>138</v>
      </c>
      <c r="C2721" t="s">
        <v>1344</v>
      </c>
      <c r="D2721" t="s">
        <v>103</v>
      </c>
      <c r="E2721" t="s">
        <v>602</v>
      </c>
      <c r="F2721" t="s">
        <v>1289</v>
      </c>
      <c r="G2721">
        <v>-1.2645456488147575</v>
      </c>
      <c r="H2721">
        <v>-0.51231696394722559</v>
      </c>
      <c r="I2721">
        <v>-0.59019743107633316</v>
      </c>
      <c r="J2721">
        <v>0.69096237835411811</v>
      </c>
      <c r="K2721">
        <v>0.61349714677009892</v>
      </c>
      <c r="L2721">
        <v>0.1757455390184619</v>
      </c>
      <c r="M2721">
        <v>8.1536656036081734E-2</v>
      </c>
      <c r="N2721">
        <v>-0.90410643795356305</v>
      </c>
      <c r="O2721">
        <v>-9.9501459589113717E-2</v>
      </c>
      <c r="P2721">
        <v>-0.37422798865355134</v>
      </c>
      <c r="Q2721">
        <v>-3.3689117515760492</v>
      </c>
      <c r="R2721">
        <v>-1.4522034727555979</v>
      </c>
      <c r="S2721">
        <v>-0.18452777889035152</v>
      </c>
      <c r="T2721">
        <v>-3.7226013902640576E-2</v>
      </c>
      <c r="U2721">
        <f>U2720-U2719</f>
        <v>-0.51614451621288748</v>
      </c>
      <c r="V2721" t="str">
        <f t="shared" si="253"/>
        <v>2016/17Expenditure driversSmart MeterDifference</v>
      </c>
    </row>
    <row r="2722" spans="1:22">
      <c r="A2722" t="s">
        <v>138</v>
      </c>
      <c r="C2722" t="s">
        <v>1344</v>
      </c>
      <c r="D2722" t="s">
        <v>103</v>
      </c>
      <c r="E2722" t="s">
        <v>1346</v>
      </c>
      <c r="F2722" t="s">
        <v>606</v>
      </c>
      <c r="G2722" s="829">
        <v>-0.36921210604213611</v>
      </c>
      <c r="H2722" s="829">
        <v>-0.26257441206968096</v>
      </c>
      <c r="I2722" s="829">
        <v>-0.23561028504054918</v>
      </c>
      <c r="J2722" s="829">
        <v>0.36356230338276785</v>
      </c>
      <c r="K2722" s="829">
        <v>0.34520281938530883</v>
      </c>
      <c r="L2722" s="829">
        <v>0.15345630080361666</v>
      </c>
      <c r="M2722" s="829">
        <v>7.2215086581761873E-2</v>
      </c>
      <c r="N2722" s="829">
        <v>-0.40315321401745996</v>
      </c>
      <c r="O2722" s="829">
        <v>-5.6828103998697227E-2</v>
      </c>
      <c r="P2722" s="829">
        <v>-7.0451139470652263E-2</v>
      </c>
      <c r="Q2722" s="829">
        <v>-0.63876075999835447</v>
      </c>
      <c r="R2722" s="829">
        <v>-0.49570768815766675</v>
      </c>
      <c r="S2722" s="829">
        <v>-0.49571776148905294</v>
      </c>
      <c r="T2722" s="829">
        <v>-2.0727940924358389E-2</v>
      </c>
      <c r="U2722" s="829">
        <f>U2721/U2719</f>
        <v>-0.21563513746154458</v>
      </c>
      <c r="V2722" t="str">
        <f t="shared" si="253"/>
        <v>2016/17Expenditure driversSmart MeterDifference %</v>
      </c>
    </row>
    <row r="2723" spans="1:22">
      <c r="A2723" t="s">
        <v>139</v>
      </c>
      <c r="C2723" t="s">
        <v>1344</v>
      </c>
      <c r="D2723" t="s">
        <v>103</v>
      </c>
      <c r="E2723" t="s">
        <v>297</v>
      </c>
      <c r="F2723" t="s">
        <v>1289</v>
      </c>
      <c r="G2723">
        <f t="array" ref="G2723:T2726">TRANSPOSE('Ch4 expenditure drivers'!AP794:AS807)</f>
        <v>5.9171141939307255</v>
      </c>
      <c r="H2723">
        <v>3.3426729416573004</v>
      </c>
      <c r="I2723">
        <v>4.5004221395729029</v>
      </c>
      <c r="J2723">
        <v>2.169790182895678</v>
      </c>
      <c r="K2723">
        <v>2.0069772310207417</v>
      </c>
      <c r="L2723">
        <v>1.3425922905078165</v>
      </c>
      <c r="M2723">
        <v>1.3882994594462041</v>
      </c>
      <c r="N2723">
        <v>2.1507562328803518</v>
      </c>
      <c r="O2723">
        <v>1.845917991785021</v>
      </c>
      <c r="P2723">
        <v>5.712378735056709</v>
      </c>
      <c r="Q2723">
        <v>7.8587169855522641</v>
      </c>
      <c r="R2723">
        <v>3.2184950804127928</v>
      </c>
      <c r="S2723">
        <v>0.49520699098804538</v>
      </c>
      <c r="T2723">
        <v>2.4658954691733932</v>
      </c>
      <c r="U2723">
        <f t="shared" si="256"/>
        <v>3.1725168517771394</v>
      </c>
      <c r="V2723" t="str">
        <f t="shared" si="253"/>
        <v>2017/18Expenditure driversSmart MeterAllowance</v>
      </c>
    </row>
    <row r="2724" spans="1:22">
      <c r="A2724" t="s">
        <v>139</v>
      </c>
      <c r="C2724" t="s">
        <v>1344</v>
      </c>
      <c r="D2724" t="s">
        <v>103</v>
      </c>
      <c r="E2724" t="s">
        <v>298</v>
      </c>
      <c r="F2724" t="s">
        <v>1289</v>
      </c>
      <c r="G2724">
        <v>4.1244677156168157</v>
      </c>
      <c r="H2724">
        <v>2.0801815968372099</v>
      </c>
      <c r="I2724">
        <v>3.4444921882737889</v>
      </c>
      <c r="J2724">
        <v>2.7809856606573828</v>
      </c>
      <c r="K2724">
        <v>2.4108666899471825</v>
      </c>
      <c r="L2724">
        <v>1.4680253975875563</v>
      </c>
      <c r="M2724">
        <v>1.3786082762233183</v>
      </c>
      <c r="N2724">
        <v>1.789001955722429</v>
      </c>
      <c r="O2724">
        <v>1.8238076971685449</v>
      </c>
      <c r="P2724">
        <v>4.700566057875915</v>
      </c>
      <c r="Q2724">
        <v>3.6234886894892431</v>
      </c>
      <c r="R2724">
        <v>3.408375570194631</v>
      </c>
      <c r="S2724">
        <v>0.45048119370844064</v>
      </c>
      <c r="T2724">
        <v>2.2433510701762041</v>
      </c>
      <c r="U2724">
        <f t="shared" si="256"/>
        <v>2.5519071256770469</v>
      </c>
      <c r="V2724" t="str">
        <f t="shared" si="253"/>
        <v>2017/18Expenditure driversSmart MeterActual</v>
      </c>
    </row>
    <row r="2725" spans="1:22">
      <c r="A2725" t="s">
        <v>139</v>
      </c>
      <c r="C2725" t="s">
        <v>1344</v>
      </c>
      <c r="D2725" t="s">
        <v>103</v>
      </c>
      <c r="E2725" t="s">
        <v>602</v>
      </c>
      <c r="F2725" t="s">
        <v>1289</v>
      </c>
      <c r="G2725">
        <v>-1.7926464783139098</v>
      </c>
      <c r="H2725">
        <v>-1.2624913448200905</v>
      </c>
      <c r="I2725">
        <v>-1.055929951299114</v>
      </c>
      <c r="J2725">
        <v>0.6111954777617048</v>
      </c>
      <c r="K2725">
        <v>0.40388945892644079</v>
      </c>
      <c r="L2725">
        <v>0.12543310707973987</v>
      </c>
      <c r="M2725">
        <v>-9.6911832228858685E-3</v>
      </c>
      <c r="N2725">
        <v>-0.36175427715792274</v>
      </c>
      <c r="O2725">
        <v>-2.2110294616476178E-2</v>
      </c>
      <c r="P2725">
        <v>-1.011812677180794</v>
      </c>
      <c r="Q2725">
        <v>-4.2352282960630205</v>
      </c>
      <c r="R2725">
        <v>0.18988048978183825</v>
      </c>
      <c r="S2725">
        <v>-4.472579727960474E-2</v>
      </c>
      <c r="T2725">
        <v>-0.22254439899718914</v>
      </c>
      <c r="U2725">
        <f>U2724-U2723</f>
        <v>-0.62060972610009246</v>
      </c>
      <c r="V2725" t="str">
        <f t="shared" ref="V2725:V2797" si="258">CONCATENATE(A2725,B2725,C2725,D2725,E2725)</f>
        <v>2017/18Expenditure driversSmart MeterDifference</v>
      </c>
    </row>
    <row r="2726" spans="1:22">
      <c r="A2726" t="s">
        <v>139</v>
      </c>
      <c r="C2726" t="s">
        <v>1344</v>
      </c>
      <c r="D2726" t="s">
        <v>103</v>
      </c>
      <c r="E2726" t="s">
        <v>1346</v>
      </c>
      <c r="F2726" t="s">
        <v>606</v>
      </c>
      <c r="G2726" s="829">
        <v>-0.3029595879952181</v>
      </c>
      <c r="H2726" s="829">
        <v>-0.37768916279142345</v>
      </c>
      <c r="I2726" s="829">
        <v>-0.23462909001672527</v>
      </c>
      <c r="J2726" s="829">
        <v>0.28168413820825672</v>
      </c>
      <c r="K2726" s="829">
        <v>0.20124267115926572</v>
      </c>
      <c r="L2726" s="829">
        <v>9.3426059397597599E-2</v>
      </c>
      <c r="M2726" s="829">
        <v>-6.9806144178372756E-3</v>
      </c>
      <c r="N2726" s="829">
        <v>-0.16819864177422444</v>
      </c>
      <c r="O2726" s="829">
        <v>-1.197793981903568E-2</v>
      </c>
      <c r="P2726" s="829">
        <v>-0.17712632934705955</v>
      </c>
      <c r="Q2726" s="829">
        <v>-0.53892108646350412</v>
      </c>
      <c r="R2726" s="829">
        <v>5.8996669262419643E-2</v>
      </c>
      <c r="S2726" s="829">
        <v>-9.0317378578131685E-2</v>
      </c>
      <c r="T2726" s="829">
        <v>-9.0248918406825057E-2</v>
      </c>
      <c r="U2726" s="829">
        <f>U2725/U2723</f>
        <v>-0.19562062397003419</v>
      </c>
      <c r="V2726" t="str">
        <f t="shared" si="258"/>
        <v>2017/18Expenditure driversSmart MeterDifference %</v>
      </c>
    </row>
    <row r="2727" spans="1:22">
      <c r="A2727" t="s">
        <v>140</v>
      </c>
      <c r="C2727" t="s">
        <v>1344</v>
      </c>
      <c r="D2727" t="s">
        <v>103</v>
      </c>
      <c r="E2727" t="s">
        <v>297</v>
      </c>
      <c r="F2727" t="s">
        <v>1289</v>
      </c>
      <c r="G2727">
        <f t="array" ref="G2727:T2730">TRANSPOSE('Ch4 expenditure drivers'!AU794:AX807)</f>
        <v>7.9610961605394914</v>
      </c>
      <c r="H2727">
        <v>2.3171363812404211</v>
      </c>
      <c r="I2727">
        <v>4.7033339407785837</v>
      </c>
      <c r="J2727">
        <v>2.7826993971594973</v>
      </c>
      <c r="K2727">
        <v>2.8233311004393586</v>
      </c>
      <c r="L2727">
        <v>1.5097125844487587</v>
      </c>
      <c r="M2727">
        <v>1.3781510715847556</v>
      </c>
      <c r="N2727">
        <v>2.4686830965157864</v>
      </c>
      <c r="O2727">
        <v>2.4703719510370901</v>
      </c>
      <c r="P2727">
        <v>7.8306003555737203</v>
      </c>
      <c r="Q2727">
        <v>3.9992164085419435</v>
      </c>
      <c r="R2727">
        <v>2.8354570250332074</v>
      </c>
      <c r="S2727">
        <v>0.55519820660059271</v>
      </c>
      <c r="T2727">
        <v>2.8656859948911824</v>
      </c>
      <c r="U2727">
        <f>AVERAGE(G2727:T2727)</f>
        <v>3.3214766910274562</v>
      </c>
      <c r="V2727" t="str">
        <f t="shared" si="258"/>
        <v>2018/19Expenditure driversSmart MeterAllowance</v>
      </c>
    </row>
    <row r="2728" spans="1:22">
      <c r="A2728" t="s">
        <v>140</v>
      </c>
      <c r="C2728" t="s">
        <v>1344</v>
      </c>
      <c r="D2728" t="s">
        <v>103</v>
      </c>
      <c r="E2728" t="s">
        <v>298</v>
      </c>
      <c r="F2728" t="s">
        <v>1289</v>
      </c>
      <c r="G2728">
        <v>5.8824549392738952</v>
      </c>
      <c r="H2728">
        <v>2.0890723541917335</v>
      </c>
      <c r="I2728">
        <v>3.9127780242851347</v>
      </c>
      <c r="J2728">
        <v>4.2065001341296391</v>
      </c>
      <c r="K2728">
        <v>5.0884373685176563</v>
      </c>
      <c r="L2728">
        <v>2.0461383158964801</v>
      </c>
      <c r="M2728">
        <v>1.5848510949214281</v>
      </c>
      <c r="N2728">
        <v>1.9239756078042218</v>
      </c>
      <c r="O2728">
        <v>2.7355003736909471</v>
      </c>
      <c r="P2728">
        <v>6.9185208603292798</v>
      </c>
      <c r="Q2728">
        <v>2.99911669531354</v>
      </c>
      <c r="R2728">
        <v>2.5150048598793857</v>
      </c>
      <c r="S2728">
        <v>0.40385547513609743</v>
      </c>
      <c r="T2728">
        <v>2.1735639924904202</v>
      </c>
      <c r="U2728">
        <f>AVERAGE(G2728:T2728)</f>
        <v>3.1771264354185615</v>
      </c>
      <c r="V2728" t="str">
        <f t="shared" si="258"/>
        <v>2018/19Expenditure driversSmart MeterActual</v>
      </c>
    </row>
    <row r="2729" spans="1:22">
      <c r="A2729" t="s">
        <v>140</v>
      </c>
      <c r="C2729" t="s">
        <v>1344</v>
      </c>
      <c r="D2729" t="s">
        <v>103</v>
      </c>
      <c r="E2729" t="s">
        <v>602</v>
      </c>
      <c r="F2729" t="s">
        <v>1289</v>
      </c>
      <c r="G2729">
        <v>-2.0786412212655963</v>
      </c>
      <c r="H2729">
        <v>-0.22806402704868756</v>
      </c>
      <c r="I2729">
        <v>-0.79055591649344903</v>
      </c>
      <c r="J2729">
        <v>1.4238007369701418</v>
      </c>
      <c r="K2729">
        <v>2.2651062680782976</v>
      </c>
      <c r="L2729">
        <v>0.53642573144772143</v>
      </c>
      <c r="M2729">
        <v>0.20670002333667248</v>
      </c>
      <c r="N2729">
        <v>-0.5447074887115646</v>
      </c>
      <c r="O2729">
        <v>0.26512842265385705</v>
      </c>
      <c r="P2729">
        <v>-0.91207949524444043</v>
      </c>
      <c r="Q2729">
        <v>-1.0000997132284035</v>
      </c>
      <c r="R2729">
        <v>-0.32045216515382169</v>
      </c>
      <c r="S2729">
        <v>-0.15134273146449528</v>
      </c>
      <c r="T2729">
        <v>-0.69212200240076216</v>
      </c>
      <c r="U2729">
        <f>U2728-U2727</f>
        <v>-0.1443502556088947</v>
      </c>
      <c r="V2729" t="str">
        <f t="shared" si="258"/>
        <v>2018/19Expenditure driversSmart MeterDifference</v>
      </c>
    </row>
    <row r="2730" spans="1:22">
      <c r="A2730" t="s">
        <v>140</v>
      </c>
      <c r="C2730" t="s">
        <v>1344</v>
      </c>
      <c r="D2730" t="s">
        <v>103</v>
      </c>
      <c r="E2730" t="s">
        <v>1346</v>
      </c>
      <c r="F2730" t="s">
        <v>606</v>
      </c>
      <c r="G2730" s="829">
        <v>-0.26109987611614721</v>
      </c>
      <c r="H2730" s="829">
        <v>-9.8424947661733736E-2</v>
      </c>
      <c r="I2730" s="829">
        <v>-0.16808415614277677</v>
      </c>
      <c r="J2730" s="829">
        <v>0.51166171179809006</v>
      </c>
      <c r="K2730" s="829">
        <v>0.80228148506061092</v>
      </c>
      <c r="L2730" s="829">
        <v>0.35531646021456897</v>
      </c>
      <c r="M2730" s="829">
        <v>0.14998357407870036</v>
      </c>
      <c r="N2730" s="829">
        <v>-0.22064698765116747</v>
      </c>
      <c r="O2730" s="829">
        <v>0.10732328082925049</v>
      </c>
      <c r="P2730" s="829">
        <v>-0.11647631775707133</v>
      </c>
      <c r="Q2730" s="829">
        <v>-0.25007391725346151</v>
      </c>
      <c r="R2730" s="829">
        <v>-0.11301605431670005</v>
      </c>
      <c r="S2730" s="829">
        <v>-0.27259225563992251</v>
      </c>
      <c r="T2730" s="829">
        <v>-0.241520530733181</v>
      </c>
      <c r="U2730" s="829">
        <f>U2729/U2727</f>
        <v>-4.3459662384155343E-2</v>
      </c>
      <c r="V2730" t="str">
        <f t="shared" si="258"/>
        <v>2018/19Expenditure driversSmart MeterDifference %</v>
      </c>
    </row>
    <row r="2731" spans="1:22">
      <c r="A2731" t="s">
        <v>141</v>
      </c>
      <c r="C2731" t="s">
        <v>1344</v>
      </c>
      <c r="D2731" t="s">
        <v>103</v>
      </c>
      <c r="E2731" t="s">
        <v>297</v>
      </c>
      <c r="F2731" t="s">
        <v>1289</v>
      </c>
      <c r="G2731" s="229">
        <f t="array" ref="G2731:T2734">TRANSPOSE('Ch4 expenditure drivers'!AZ794:BC807)</f>
        <v>8.2946398415857772</v>
      </c>
      <c r="H2731" s="229">
        <v>1.6697608000817412</v>
      </c>
      <c r="I2731" s="229">
        <v>3.4840674538878105</v>
      </c>
      <c r="J2731" s="229">
        <v>1.4847740022478799</v>
      </c>
      <c r="K2731" s="229">
        <v>1.4658888443854092</v>
      </c>
      <c r="L2731" s="229">
        <v>1.1073201036476958</v>
      </c>
      <c r="M2731" s="229">
        <v>0.78954457562072133</v>
      </c>
      <c r="N2731" s="229">
        <v>2.2539874654950443</v>
      </c>
      <c r="O2731" s="229">
        <v>2.3698851070195159</v>
      </c>
      <c r="P2731" s="229">
        <v>6.4480732686216422</v>
      </c>
      <c r="Q2731" s="229">
        <v>2.4762740397670382</v>
      </c>
      <c r="R2731" s="229">
        <v>2.0817611844283235</v>
      </c>
      <c r="S2731" s="229">
        <v>0.37112578105650351</v>
      </c>
      <c r="T2731" s="229">
        <v>2.6712566181260855</v>
      </c>
      <c r="U2731" s="229">
        <f>AVERAGE(G2731:T2731)</f>
        <v>2.640597077569371</v>
      </c>
      <c r="V2731" t="str">
        <f t="shared" si="258"/>
        <v>2019/20Expenditure driversSmart MeterAllowance</v>
      </c>
    </row>
    <row r="2732" spans="1:22">
      <c r="A2732" t="s">
        <v>141</v>
      </c>
      <c r="C2732" t="s">
        <v>1344</v>
      </c>
      <c r="D2732" t="s">
        <v>103</v>
      </c>
      <c r="E2732" t="s">
        <v>298</v>
      </c>
      <c r="F2732" t="s">
        <v>1289</v>
      </c>
      <c r="G2732" s="229">
        <v>6.060973598196</v>
      </c>
      <c r="H2732" s="229">
        <v>1.8164838107218886</v>
      </c>
      <c r="I2732" s="229">
        <v>3.3518705450509896</v>
      </c>
      <c r="J2732" s="229">
        <v>2.5180242910522224</v>
      </c>
      <c r="K2732" s="229">
        <v>2.5522831249440894</v>
      </c>
      <c r="L2732" s="229">
        <v>1.9302711720948798</v>
      </c>
      <c r="M2732" s="229">
        <v>1.1872827120650147</v>
      </c>
      <c r="N2732" s="229">
        <v>1.2153271207283647</v>
      </c>
      <c r="O2732" s="229">
        <v>2.2428598949102949</v>
      </c>
      <c r="P2732" s="229">
        <v>5.2762639358844323</v>
      </c>
      <c r="Q2732" s="229">
        <v>1.7286362972990166</v>
      </c>
      <c r="R2732" s="229">
        <v>1.9377369547918863</v>
      </c>
      <c r="S2732" s="229">
        <v>0.35516664584035718</v>
      </c>
      <c r="T2732" s="229">
        <v>3.2168825828521488</v>
      </c>
      <c r="U2732" s="229">
        <f>AVERAGE(G2732:T2732)</f>
        <v>2.5278616204593995</v>
      </c>
      <c r="V2732" t="str">
        <f t="shared" si="258"/>
        <v>2019/20Expenditure driversSmart MeterActual</v>
      </c>
    </row>
    <row r="2733" spans="1:22">
      <c r="A2733" t="s">
        <v>141</v>
      </c>
      <c r="C2733" t="s">
        <v>1344</v>
      </c>
      <c r="D2733" t="s">
        <v>103</v>
      </c>
      <c r="E2733" t="s">
        <v>602</v>
      </c>
      <c r="F2733" t="s">
        <v>1289</v>
      </c>
      <c r="G2733" s="229">
        <v>-2.2336662433897772</v>
      </c>
      <c r="H2733" s="229">
        <v>0.14672301064014737</v>
      </c>
      <c r="I2733" s="229">
        <v>-0.13219690883682089</v>
      </c>
      <c r="J2733" s="229">
        <v>1.0332502888043424</v>
      </c>
      <c r="K2733" s="229">
        <v>1.0863942805586801</v>
      </c>
      <c r="L2733" s="229">
        <v>0.82295106844718391</v>
      </c>
      <c r="M2733" s="229">
        <v>0.39773813644429334</v>
      </c>
      <c r="N2733" s="229">
        <v>-1.0386603447666796</v>
      </c>
      <c r="O2733" s="229">
        <v>-0.12702521210922102</v>
      </c>
      <c r="P2733" s="229">
        <v>-1.1718093327372099</v>
      </c>
      <c r="Q2733" s="229">
        <v>-0.74763774246802162</v>
      </c>
      <c r="R2733" s="229">
        <v>-0.14402422963643713</v>
      </c>
      <c r="S2733" s="229">
        <v>-1.5959135216146336E-2</v>
      </c>
      <c r="T2733" s="229">
        <v>0.54562596472606328</v>
      </c>
      <c r="U2733" s="229">
        <f>U2732-U2731</f>
        <v>-0.11273545710997146</v>
      </c>
      <c r="V2733" t="str">
        <f t="shared" si="258"/>
        <v>2019/20Expenditure driversSmart MeterDifference</v>
      </c>
    </row>
    <row r="2734" spans="1:22">
      <c r="A2734" t="s">
        <v>141</v>
      </c>
      <c r="C2734" t="s">
        <v>1344</v>
      </c>
      <c r="D2734" t="s">
        <v>103</v>
      </c>
      <c r="E2734" t="s">
        <v>1346</v>
      </c>
      <c r="F2734" t="s">
        <v>606</v>
      </c>
      <c r="G2734" s="829">
        <v>-0.26929032315437373</v>
      </c>
      <c r="H2734" s="829">
        <v>8.7870676226777342E-2</v>
      </c>
      <c r="I2734" s="829">
        <v>-3.7943269063090229E-2</v>
      </c>
      <c r="J2734" s="829">
        <v>0.69589734682857374</v>
      </c>
      <c r="K2734" s="829">
        <v>0.74111641187511967</v>
      </c>
      <c r="L2734" s="829">
        <v>0.74319166222689059</v>
      </c>
      <c r="M2734" s="829">
        <v>0.50375640429370439</v>
      </c>
      <c r="N2734" s="829">
        <v>-0.46081016894144888</v>
      </c>
      <c r="O2734" s="829">
        <v>-5.3599734321709031E-2</v>
      </c>
      <c r="P2734" s="829">
        <v>-0.1817301516159259</v>
      </c>
      <c r="Q2734" s="829">
        <v>-0.30192043790854323</v>
      </c>
      <c r="R2734" s="829">
        <v>-6.9183838527562852E-2</v>
      </c>
      <c r="S2734" s="829">
        <v>-4.3001957909565368E-2</v>
      </c>
      <c r="T2734" s="829">
        <v>0.20425816113048159</v>
      </c>
      <c r="U2734" s="829">
        <f>U2733/U2731</f>
        <v>-4.2693168930468831E-2</v>
      </c>
      <c r="V2734" t="str">
        <f t="shared" si="258"/>
        <v>2019/20Expenditure driversSmart MeterDifference %</v>
      </c>
    </row>
    <row r="2735" spans="1:22">
      <c r="A2735" t="s">
        <v>126</v>
      </c>
      <c r="C2735" t="s">
        <v>1344</v>
      </c>
      <c r="D2735" t="s">
        <v>103</v>
      </c>
      <c r="E2735" t="s">
        <v>297</v>
      </c>
      <c r="F2735" t="s">
        <v>1289</v>
      </c>
      <c r="G2735" s="229" cm="1">
        <f t="array" ref="G2735:T2738">TRANSPOSE('Ch4 expenditure drivers'!BE794:BH807)</f>
        <v>7.0648002097476255</v>
      </c>
      <c r="H2735" s="229">
        <v>1.0466955675896596</v>
      </c>
      <c r="I2735" s="229">
        <v>2.2185622158373355</v>
      </c>
      <c r="J2735" s="229">
        <v>1.0386836824358843</v>
      </c>
      <c r="K2735" s="229">
        <v>1.0818906345151731</v>
      </c>
      <c r="L2735" s="229">
        <v>0.80804439995912958</v>
      </c>
      <c r="M2735" s="229">
        <v>0.64891691525493012</v>
      </c>
      <c r="N2735" s="229">
        <v>1.7340313797486462</v>
      </c>
      <c r="O2735" s="229">
        <v>1.2945069905793398</v>
      </c>
      <c r="P2735" s="229">
        <v>3.509841561254726</v>
      </c>
      <c r="Q2735" s="229">
        <v>1.296053411586799</v>
      </c>
      <c r="R2735" s="229">
        <v>1.3550768423418822</v>
      </c>
      <c r="S2735" s="229">
        <v>0.15687143958312047</v>
      </c>
      <c r="T2735" s="229">
        <v>1.3430462973331971</v>
      </c>
      <c r="U2735" s="229">
        <f>AVERAGE(G2735:T2735)</f>
        <v>1.7569301105548178</v>
      </c>
      <c r="V2735" t="str">
        <f t="shared" si="258"/>
        <v>2020/21Expenditure driversSmart MeterAllowance</v>
      </c>
    </row>
    <row r="2736" spans="1:22">
      <c r="A2736" t="s">
        <v>126</v>
      </c>
      <c r="C2736" t="s">
        <v>1344</v>
      </c>
      <c r="D2736" t="s">
        <v>103</v>
      </c>
      <c r="E2736" t="s">
        <v>298</v>
      </c>
      <c r="F2736" t="s">
        <v>1289</v>
      </c>
      <c r="G2736" s="229">
        <v>4.4346941854926554</v>
      </c>
      <c r="H2736" s="229">
        <v>1.1265478113145422</v>
      </c>
      <c r="I2736" s="229">
        <v>2.124206407573983</v>
      </c>
      <c r="J2736" s="229">
        <v>1.7897294258023508</v>
      </c>
      <c r="K2736" s="229">
        <v>2.1916781148123348</v>
      </c>
      <c r="L2736" s="229">
        <v>1.0609329870447739</v>
      </c>
      <c r="M2736" s="229">
        <v>0.83986120808928266</v>
      </c>
      <c r="N2736" s="229">
        <v>1.7943260847325209</v>
      </c>
      <c r="O2736" s="229">
        <v>1.4487442656108949</v>
      </c>
      <c r="P2736" s="229">
        <v>2.9726356050622225</v>
      </c>
      <c r="Q2736" s="229">
        <v>1.0149804229237638</v>
      </c>
      <c r="R2736" s="229">
        <v>1.0166660818212201</v>
      </c>
      <c r="S2736" s="229">
        <v>7.2104221389074935E-2</v>
      </c>
      <c r="T2736" s="229">
        <v>1.6452819081750167</v>
      </c>
      <c r="U2736" s="229">
        <f>AVERAGE(G2736:T2736)</f>
        <v>1.6808849092746172</v>
      </c>
      <c r="V2736" t="str">
        <f t="shared" si="258"/>
        <v>2020/21Expenditure driversSmart MeterActual</v>
      </c>
    </row>
    <row r="2737" spans="1:22">
      <c r="A2737" t="s">
        <v>126</v>
      </c>
      <c r="C2737" t="s">
        <v>1344</v>
      </c>
      <c r="D2737" t="s">
        <v>103</v>
      </c>
      <c r="E2737" t="s">
        <v>602</v>
      </c>
      <c r="F2737" t="s">
        <v>1289</v>
      </c>
      <c r="G2737" s="229">
        <v>-2.6301060242549701</v>
      </c>
      <c r="H2737" s="229">
        <v>7.9852243724882532E-2</v>
      </c>
      <c r="I2737" s="229">
        <v>-9.4355808263352436E-2</v>
      </c>
      <c r="J2737" s="229">
        <v>0.75104574336646657</v>
      </c>
      <c r="K2737" s="229">
        <v>1.1097874802971617</v>
      </c>
      <c r="L2737" s="229">
        <v>0.25288858708564432</v>
      </c>
      <c r="M2737" s="229">
        <v>0.19094429283435255</v>
      </c>
      <c r="N2737" s="229">
        <v>6.0294704983874681E-2</v>
      </c>
      <c r="O2737" s="229">
        <v>0.15423727503155504</v>
      </c>
      <c r="P2737" s="229">
        <v>-0.53720595619250355</v>
      </c>
      <c r="Q2737" s="229">
        <v>-0.28107298866303521</v>
      </c>
      <c r="R2737" s="229">
        <v>-0.3384107605206621</v>
      </c>
      <c r="S2737" s="229">
        <v>-8.4767218194045535E-2</v>
      </c>
      <c r="T2737" s="229">
        <v>0.3022356108418196</v>
      </c>
      <c r="U2737" s="229">
        <f>U2736-U2735</f>
        <v>-7.6045201280200647E-2</v>
      </c>
      <c r="V2737" t="str">
        <f t="shared" si="258"/>
        <v>2020/21Expenditure driversSmart MeterDifference</v>
      </c>
    </row>
    <row r="2738" spans="1:22">
      <c r="A2738" t="s">
        <v>126</v>
      </c>
      <c r="C2738" t="s">
        <v>1344</v>
      </c>
      <c r="D2738" t="s">
        <v>103</v>
      </c>
      <c r="E2738" t="s">
        <v>1346</v>
      </c>
      <c r="F2738" t="s">
        <v>606</v>
      </c>
      <c r="G2738" s="829">
        <v>-0.37228314264656676</v>
      </c>
      <c r="H2738" s="829">
        <v>7.6289846061703526E-2</v>
      </c>
      <c r="I2738" s="829">
        <v>-4.2530161015899397E-2</v>
      </c>
      <c r="J2738" s="829">
        <v>0.72307455683249078</v>
      </c>
      <c r="K2738" s="829">
        <v>1.0257852733834691</v>
      </c>
      <c r="L2738" s="829">
        <v>0.31296372711503884</v>
      </c>
      <c r="M2738" s="829">
        <v>0.29425075590661581</v>
      </c>
      <c r="N2738" s="829">
        <v>3.4771403613592392E-2</v>
      </c>
      <c r="O2738" s="829">
        <v>0.11914750260446887</v>
      </c>
      <c r="P2738" s="829">
        <v>-0.15305703884834587</v>
      </c>
      <c r="Q2738" s="829">
        <v>-0.21686836834826792</v>
      </c>
      <c r="R2738" s="829">
        <v>-0.24973547620798467</v>
      </c>
      <c r="S2738" s="829">
        <v>-0.54036106520926308</v>
      </c>
      <c r="T2738" s="829">
        <v>0.22503737320295653</v>
      </c>
      <c r="U2738" s="829">
        <f>U2737/U2735</f>
        <v>-4.3282997327757373E-2</v>
      </c>
      <c r="V2738" t="str">
        <f t="shared" si="258"/>
        <v>2020/21Expenditure driversSmart MeterDifference %</v>
      </c>
    </row>
    <row r="2739" spans="1:22">
      <c r="A2739" t="s">
        <v>142</v>
      </c>
      <c r="C2739" t="s">
        <v>1344</v>
      </c>
      <c r="D2739" t="s">
        <v>103</v>
      </c>
      <c r="E2739" t="s">
        <v>297</v>
      </c>
      <c r="F2739" t="s">
        <v>1289</v>
      </c>
      <c r="G2739" s="229" cm="1">
        <f t="array" ref="G2739:T2742">TRANSPOSE('Ch4 expenditure drivers'!BJ794:BM807)</f>
        <v>0</v>
      </c>
      <c r="H2739" s="229">
        <v>0</v>
      </c>
      <c r="I2739" s="229">
        <v>0</v>
      </c>
      <c r="J2739" s="229">
        <v>0</v>
      </c>
      <c r="K2739" s="229">
        <v>0</v>
      </c>
      <c r="L2739" s="229">
        <v>0</v>
      </c>
      <c r="M2739" s="229">
        <v>0</v>
      </c>
      <c r="N2739" s="229">
        <v>0</v>
      </c>
      <c r="O2739" s="229">
        <v>0</v>
      </c>
      <c r="P2739" s="229">
        <v>0</v>
      </c>
      <c r="Q2739" s="229">
        <v>0</v>
      </c>
      <c r="R2739" s="229">
        <v>0</v>
      </c>
      <c r="S2739" s="229">
        <v>0</v>
      </c>
      <c r="T2739" s="229">
        <v>0</v>
      </c>
      <c r="U2739" s="229">
        <f>AVERAGE(G2739:T2739)</f>
        <v>0</v>
      </c>
      <c r="V2739" t="str">
        <f t="shared" ref="V2739:V2742" si="259">CONCATENATE(A2739,B2739,C2739,D2739,E2739)</f>
        <v>2021/22Expenditure driversSmart MeterAllowance</v>
      </c>
    </row>
    <row r="2740" spans="1:22">
      <c r="A2740" t="s">
        <v>142</v>
      </c>
      <c r="C2740" t="s">
        <v>1344</v>
      </c>
      <c r="D2740" t="s">
        <v>103</v>
      </c>
      <c r="E2740" t="s">
        <v>298</v>
      </c>
      <c r="F2740" t="s">
        <v>1289</v>
      </c>
      <c r="G2740" s="229">
        <v>4.2518501603030616</v>
      </c>
      <c r="H2740" s="229">
        <v>1.7795515449910433</v>
      </c>
      <c r="I2740" s="229">
        <v>4.0007636731116802</v>
      </c>
      <c r="J2740" s="229">
        <v>2.1987999999999999</v>
      </c>
      <c r="K2740" s="229">
        <v>2.9433000000000002</v>
      </c>
      <c r="L2740" s="229">
        <v>1.1940999999999997</v>
      </c>
      <c r="M2740" s="229">
        <v>1.0131000000000001</v>
      </c>
      <c r="N2740" s="229">
        <v>1.7047337170880601</v>
      </c>
      <c r="O2740" s="229">
        <v>1.5001857920990849</v>
      </c>
      <c r="P2740" s="229">
        <v>3.6644547245631269</v>
      </c>
      <c r="Q2740" s="229">
        <v>1.4904539856771848</v>
      </c>
      <c r="R2740" s="229">
        <v>1.3198092939787041</v>
      </c>
      <c r="S2740" s="229">
        <v>0.18384959999999997</v>
      </c>
      <c r="T2740" s="229">
        <v>1.5150632099999999</v>
      </c>
      <c r="U2740" s="229">
        <f>AVERAGE(G2740:T2740)</f>
        <v>2.054286835843711</v>
      </c>
      <c r="V2740" t="str">
        <f t="shared" si="259"/>
        <v>2021/22Expenditure driversSmart MeterActual</v>
      </c>
    </row>
    <row r="2741" spans="1:22">
      <c r="A2741" t="s">
        <v>142</v>
      </c>
      <c r="C2741" t="s">
        <v>1344</v>
      </c>
      <c r="D2741" t="s">
        <v>103</v>
      </c>
      <c r="E2741" t="s">
        <v>602</v>
      </c>
      <c r="F2741" t="s">
        <v>1289</v>
      </c>
      <c r="G2741" s="229">
        <v>4.2518501603030616</v>
      </c>
      <c r="H2741" s="229">
        <v>1.7795515449910433</v>
      </c>
      <c r="I2741" s="229">
        <v>4.0007636731116802</v>
      </c>
      <c r="J2741" s="229">
        <v>2.1987999999999999</v>
      </c>
      <c r="K2741" s="229">
        <v>2.9433000000000002</v>
      </c>
      <c r="L2741" s="229">
        <v>1.1940999999999997</v>
      </c>
      <c r="M2741" s="229">
        <v>1.0131000000000001</v>
      </c>
      <c r="N2741" s="229">
        <v>1.7047337170880601</v>
      </c>
      <c r="O2741" s="229">
        <v>1.5001857920990849</v>
      </c>
      <c r="P2741" s="229">
        <v>3.6644547245631269</v>
      </c>
      <c r="Q2741" s="229">
        <v>1.4904539856771848</v>
      </c>
      <c r="R2741" s="229">
        <v>1.3198092939787041</v>
      </c>
      <c r="S2741" s="229">
        <v>0.18384959999999997</v>
      </c>
      <c r="T2741" s="229">
        <v>1.5150632099999999</v>
      </c>
      <c r="U2741" s="229">
        <f>U2740-U2739</f>
        <v>2.054286835843711</v>
      </c>
      <c r="V2741" t="str">
        <f t="shared" si="259"/>
        <v>2021/22Expenditure driversSmart MeterDifference</v>
      </c>
    </row>
    <row r="2742" spans="1:22">
      <c r="A2742" t="s">
        <v>142</v>
      </c>
      <c r="C2742" t="s">
        <v>1344</v>
      </c>
      <c r="D2742" t="s">
        <v>103</v>
      </c>
      <c r="E2742" t="s">
        <v>1346</v>
      </c>
      <c r="F2742" t="s">
        <v>606</v>
      </c>
      <c r="G2742" s="829" t="e">
        <v>#DIV/0!</v>
      </c>
      <c r="H2742" s="829" t="e">
        <v>#DIV/0!</v>
      </c>
      <c r="I2742" s="829" t="e">
        <v>#DIV/0!</v>
      </c>
      <c r="J2742" s="829" t="e">
        <v>#DIV/0!</v>
      </c>
      <c r="K2742" s="829" t="e">
        <v>#DIV/0!</v>
      </c>
      <c r="L2742" s="829" t="e">
        <v>#DIV/0!</v>
      </c>
      <c r="M2742" s="829" t="e">
        <v>#DIV/0!</v>
      </c>
      <c r="N2742" s="829" t="e">
        <v>#DIV/0!</v>
      </c>
      <c r="O2742" s="829" t="e">
        <v>#DIV/0!</v>
      </c>
      <c r="P2742" s="829" t="e">
        <v>#DIV/0!</v>
      </c>
      <c r="Q2742" s="829" t="e">
        <v>#DIV/0!</v>
      </c>
      <c r="R2742" s="829" t="e">
        <v>#DIV/0!</v>
      </c>
      <c r="S2742" s="829" t="e">
        <v>#DIV/0!</v>
      </c>
      <c r="T2742" s="829" t="e">
        <v>#DIV/0!</v>
      </c>
      <c r="U2742" s="829" t="e">
        <f>U2741/U2739</f>
        <v>#DIV/0!</v>
      </c>
      <c r="V2742" t="str">
        <f t="shared" si="259"/>
        <v>2021/22Expenditure driversSmart MeterDifference %</v>
      </c>
    </row>
    <row r="2743" spans="1:22">
      <c r="A2743" t="s">
        <v>137</v>
      </c>
      <c r="C2743" t="s">
        <v>1344</v>
      </c>
      <c r="D2743" t="s">
        <v>105</v>
      </c>
      <c r="E2743" t="s">
        <v>1347</v>
      </c>
      <c r="F2743" t="s">
        <v>1289</v>
      </c>
      <c r="G2743">
        <f t="array" ref="G2743:T2750">TRANSPOSE('Ch4 expenditure drivers'!E814:L827)</f>
        <v>55.301324175221673</v>
      </c>
      <c r="H2743">
        <v>37.479404321148223</v>
      </c>
      <c r="I2743">
        <v>44.287310977497462</v>
      </c>
      <c r="J2743">
        <v>67.84005104149054</v>
      </c>
      <c r="K2743">
        <v>67.560774206357266</v>
      </c>
      <c r="L2743">
        <v>36.998458320049622</v>
      </c>
      <c r="M2743">
        <v>53.812400399583822</v>
      </c>
      <c r="N2743">
        <v>59.385868853090933</v>
      </c>
      <c r="O2743">
        <v>67.113829972012851</v>
      </c>
      <c r="P2743">
        <v>89.985476357314568</v>
      </c>
      <c r="Q2743">
        <v>46.093657068688323</v>
      </c>
      <c r="R2743">
        <v>50.762151947072546</v>
      </c>
      <c r="S2743">
        <v>40.314792324374892</v>
      </c>
      <c r="T2743">
        <v>77.778586043035205</v>
      </c>
      <c r="U2743">
        <f>AVERAGE(G2743:T2743)</f>
        <v>56.765291857638431</v>
      </c>
      <c r="V2743" t="str">
        <f t="shared" si="258"/>
        <v>2015/16Expenditure driversClosely Associated IndirectsBPDT</v>
      </c>
    </row>
    <row r="2744" spans="1:22">
      <c r="A2744" t="s">
        <v>138</v>
      </c>
      <c r="C2744" t="s">
        <v>1344</v>
      </c>
      <c r="D2744" t="s">
        <v>105</v>
      </c>
      <c r="E2744" t="s">
        <v>1347</v>
      </c>
      <c r="F2744" t="s">
        <v>1289</v>
      </c>
      <c r="G2744">
        <v>54.505576466611529</v>
      </c>
      <c r="H2744">
        <v>37.579243465618475</v>
      </c>
      <c r="I2744">
        <v>44.354483101945398</v>
      </c>
      <c r="J2744">
        <v>67.401078247069989</v>
      </c>
      <c r="K2744">
        <v>67.203383215637245</v>
      </c>
      <c r="L2744">
        <v>37.725326918501501</v>
      </c>
      <c r="M2744">
        <v>54.35643530120192</v>
      </c>
      <c r="N2744">
        <v>56.775294209326276</v>
      </c>
      <c r="O2744">
        <v>65.777059865991646</v>
      </c>
      <c r="P2744">
        <v>87.358895453968998</v>
      </c>
      <c r="Q2744">
        <v>44.710964431761084</v>
      </c>
      <c r="R2744">
        <v>50.555617577839918</v>
      </c>
      <c r="S2744">
        <v>40.825823727431001</v>
      </c>
      <c r="T2744">
        <v>78.011800551526989</v>
      </c>
      <c r="U2744">
        <f t="shared" ref="U2744:U2775" si="260">AVERAGE(G2744:T2744)</f>
        <v>56.224355895316577</v>
      </c>
      <c r="V2744" t="str">
        <f t="shared" si="258"/>
        <v>2016/17Expenditure driversClosely Associated IndirectsBPDT</v>
      </c>
    </row>
    <row r="2745" spans="1:22">
      <c r="A2745" t="s">
        <v>139</v>
      </c>
      <c r="C2745" t="s">
        <v>1344</v>
      </c>
      <c r="D2745" t="s">
        <v>105</v>
      </c>
      <c r="E2745" t="s">
        <v>1347</v>
      </c>
      <c r="F2745" t="s">
        <v>1289</v>
      </c>
      <c r="G2745">
        <v>53.630095799278571</v>
      </c>
      <c r="H2745">
        <v>38.210076860399575</v>
      </c>
      <c r="I2745">
        <v>44.911574225453812</v>
      </c>
      <c r="J2745">
        <v>67.044400484970822</v>
      </c>
      <c r="K2745">
        <v>66.73887561552506</v>
      </c>
      <c r="L2745">
        <v>37.396164238028511</v>
      </c>
      <c r="M2745">
        <v>54.886382200763151</v>
      </c>
      <c r="N2745">
        <v>55.427933689182005</v>
      </c>
      <c r="O2745">
        <v>63.564552179617827</v>
      </c>
      <c r="P2745">
        <v>85.399282642569716</v>
      </c>
      <c r="Q2745">
        <v>44.626906719680996</v>
      </c>
      <c r="R2745">
        <v>49.106304138277991</v>
      </c>
      <c r="S2745">
        <v>40.961923297863279</v>
      </c>
      <c r="T2745">
        <v>78.277027998290762</v>
      </c>
      <c r="U2745">
        <f t="shared" si="260"/>
        <v>55.727250006421578</v>
      </c>
      <c r="V2745" t="str">
        <f t="shared" si="258"/>
        <v>2017/18Expenditure driversClosely Associated IndirectsBPDT</v>
      </c>
    </row>
    <row r="2746" spans="1:22">
      <c r="A2746" t="s">
        <v>140</v>
      </c>
      <c r="C2746" t="s">
        <v>1344</v>
      </c>
      <c r="D2746" t="s">
        <v>105</v>
      </c>
      <c r="E2746" t="s">
        <v>1347</v>
      </c>
      <c r="F2746" t="s">
        <v>1289</v>
      </c>
      <c r="G2746">
        <v>53.595779957870846</v>
      </c>
      <c r="H2746">
        <v>38.861642079410515</v>
      </c>
      <c r="I2746">
        <v>45.722177491087848</v>
      </c>
      <c r="J2746">
        <v>67.323772361112376</v>
      </c>
      <c r="K2746">
        <v>66.979275185896299</v>
      </c>
      <c r="L2746">
        <v>38.00046470204326</v>
      </c>
      <c r="M2746">
        <v>55.154309670984354</v>
      </c>
      <c r="N2746">
        <v>56.169003610823047</v>
      </c>
      <c r="O2746">
        <v>63.158627375547297</v>
      </c>
      <c r="P2746">
        <v>86.007071180709957</v>
      </c>
      <c r="Q2746">
        <v>44.446374346039313</v>
      </c>
      <c r="R2746">
        <v>47.952080290889391</v>
      </c>
      <c r="S2746">
        <v>41.12875856153741</v>
      </c>
      <c r="T2746">
        <v>77.752137539739792</v>
      </c>
      <c r="U2746">
        <f t="shared" si="260"/>
        <v>55.875105310977979</v>
      </c>
      <c r="V2746" t="str">
        <f t="shared" si="258"/>
        <v>2018/19Expenditure driversClosely Associated IndirectsBPDT</v>
      </c>
    </row>
    <row r="2747" spans="1:22">
      <c r="A2747" t="s">
        <v>141</v>
      </c>
      <c r="C2747" t="s">
        <v>1344</v>
      </c>
      <c r="D2747" t="s">
        <v>105</v>
      </c>
      <c r="E2747" t="s">
        <v>1347</v>
      </c>
      <c r="F2747" t="s">
        <v>1289</v>
      </c>
      <c r="G2747">
        <v>53.295764576047752</v>
      </c>
      <c r="H2747">
        <v>39.043955894428706</v>
      </c>
      <c r="I2747">
        <v>45.842210735802638</v>
      </c>
      <c r="J2747">
        <v>68.203228603306442</v>
      </c>
      <c r="K2747">
        <v>67.727537549307812</v>
      </c>
      <c r="L2747">
        <v>37.905501961361331</v>
      </c>
      <c r="M2747">
        <v>55.572270268782226</v>
      </c>
      <c r="N2747">
        <v>55.38753291512559</v>
      </c>
      <c r="O2747">
        <v>61.508204646038763</v>
      </c>
      <c r="P2747">
        <v>84.45142883702249</v>
      </c>
      <c r="Q2747">
        <v>44.552413367674781</v>
      </c>
      <c r="R2747">
        <v>48.289394964704613</v>
      </c>
      <c r="S2747">
        <v>40.490054095765949</v>
      </c>
      <c r="T2747">
        <v>77.921231558247911</v>
      </c>
      <c r="U2747">
        <f t="shared" si="260"/>
        <v>55.727909283829781</v>
      </c>
      <c r="V2747" t="str">
        <f t="shared" si="258"/>
        <v>2019/20Expenditure driversClosely Associated IndirectsBPDT</v>
      </c>
    </row>
    <row r="2748" spans="1:22">
      <c r="A2748" t="s">
        <v>126</v>
      </c>
      <c r="C2748" t="s">
        <v>1344</v>
      </c>
      <c r="D2748" t="s">
        <v>105</v>
      </c>
      <c r="E2748" t="s">
        <v>1347</v>
      </c>
      <c r="F2748" t="s">
        <v>1289</v>
      </c>
      <c r="G2748">
        <v>52.759041811662222</v>
      </c>
      <c r="H2748">
        <v>38.926592087811201</v>
      </c>
      <c r="I2748">
        <v>45.670408370941779</v>
      </c>
      <c r="J2748">
        <v>68.832658749280256</v>
      </c>
      <c r="K2748">
        <v>68.063068970337028</v>
      </c>
      <c r="L2748">
        <v>38.532511672834815</v>
      </c>
      <c r="M2748">
        <v>56.746187344990759</v>
      </c>
      <c r="N2748">
        <v>53.961224916468574</v>
      </c>
      <c r="O2748">
        <v>60.399564617928903</v>
      </c>
      <c r="P2748">
        <v>82.101449164951404</v>
      </c>
      <c r="Q2748">
        <v>44.806893559763431</v>
      </c>
      <c r="R2748">
        <v>47.162631516756669</v>
      </c>
      <c r="S2748">
        <v>40.49402356004272</v>
      </c>
      <c r="T2748">
        <v>78.158034458866638</v>
      </c>
      <c r="U2748">
        <f t="shared" si="260"/>
        <v>55.472449343045447</v>
      </c>
      <c r="V2748" t="str">
        <f t="shared" si="258"/>
        <v>2020/21Expenditure driversClosely Associated IndirectsBPDT</v>
      </c>
    </row>
    <row r="2749" spans="1:22">
      <c r="A2749" t="s">
        <v>142</v>
      </c>
      <c r="C2749" t="s">
        <v>1344</v>
      </c>
      <c r="D2749" t="s">
        <v>105</v>
      </c>
      <c r="E2749" t="s">
        <v>1347</v>
      </c>
      <c r="F2749" t="s">
        <v>1289</v>
      </c>
      <c r="G2749">
        <v>52.210351193033183</v>
      </c>
      <c r="H2749">
        <v>38.843640070333961</v>
      </c>
      <c r="I2749">
        <v>45.296057684481681</v>
      </c>
      <c r="J2749">
        <v>69.292793895842266</v>
      </c>
      <c r="K2749">
        <v>68.942707837205461</v>
      </c>
      <c r="L2749">
        <v>38.795444416662917</v>
      </c>
      <c r="M2749">
        <v>56.866664823281916</v>
      </c>
      <c r="N2749">
        <v>53.797370392720303</v>
      </c>
      <c r="O2749">
        <v>61.010212215366359</v>
      </c>
      <c r="P2749">
        <v>82.167550406283667</v>
      </c>
      <c r="Q2749">
        <v>45.114340928842942</v>
      </c>
      <c r="R2749">
        <v>48.252535353195896</v>
      </c>
      <c r="S2749">
        <v>40.815701487382242</v>
      </c>
      <c r="T2749">
        <v>78.400533087059216</v>
      </c>
      <c r="U2749">
        <f t="shared" si="260"/>
        <v>55.700421699406569</v>
      </c>
      <c r="V2749" t="str">
        <f t="shared" si="258"/>
        <v>2021/22Expenditure driversClosely Associated IndirectsBPDT</v>
      </c>
    </row>
    <row r="2750" spans="1:22">
      <c r="A2750" t="s">
        <v>143</v>
      </c>
      <c r="C2750" t="s">
        <v>1344</v>
      </c>
      <c r="D2750" t="s">
        <v>105</v>
      </c>
      <c r="E2750" t="s">
        <v>1347</v>
      </c>
      <c r="F2750" t="s">
        <v>1289</v>
      </c>
      <c r="G2750">
        <v>52.053461942933438</v>
      </c>
      <c r="H2750">
        <v>38.635245634025338</v>
      </c>
      <c r="I2750">
        <v>44.824998924072638</v>
      </c>
      <c r="J2750">
        <v>69.83794744138622</v>
      </c>
      <c r="K2750">
        <v>69.296000528749687</v>
      </c>
      <c r="L2750">
        <v>38.867945767980657</v>
      </c>
      <c r="M2750">
        <v>57.775478689479854</v>
      </c>
      <c r="N2750">
        <v>52.905635023318091</v>
      </c>
      <c r="O2750">
        <v>60.200175023918341</v>
      </c>
      <c r="P2750">
        <v>81.429269963332203</v>
      </c>
      <c r="Q2750">
        <v>45.118043273918687</v>
      </c>
      <c r="R2750">
        <v>49.032155875877287</v>
      </c>
      <c r="S2750">
        <v>40.463493162957924</v>
      </c>
      <c r="T2750">
        <v>78.264828471458074</v>
      </c>
      <c r="U2750">
        <f t="shared" si="260"/>
        <v>55.621762837386314</v>
      </c>
      <c r="V2750" t="str">
        <f t="shared" si="258"/>
        <v>2022/23Expenditure driversClosely Associated IndirectsBPDT</v>
      </c>
    </row>
    <row r="2751" spans="1:22">
      <c r="A2751" t="s">
        <v>137</v>
      </c>
      <c r="C2751" t="s">
        <v>1344</v>
      </c>
      <c r="D2751" t="s">
        <v>105</v>
      </c>
      <c r="E2751" t="s">
        <v>1348</v>
      </c>
      <c r="F2751" t="s">
        <v>1289</v>
      </c>
      <c r="G2751">
        <f t="array" ref="G2751:T2758">TRANSPOSE('Ch4 expenditure drivers'!N814:U827)</f>
        <v>60.806570037842818</v>
      </c>
      <c r="H2751">
        <v>38.542920584186547</v>
      </c>
      <c r="I2751">
        <v>48.20966716079981</v>
      </c>
      <c r="J2751">
        <v>67.84005104149054</v>
      </c>
      <c r="K2751">
        <v>67.560774206357266</v>
      </c>
      <c r="L2751">
        <v>36.998458320049622</v>
      </c>
      <c r="M2751">
        <v>53.812400399583822</v>
      </c>
      <c r="N2751">
        <v>55.998198330495043</v>
      </c>
      <c r="O2751">
        <v>59.493356927471041</v>
      </c>
      <c r="P2751">
        <v>85.395926006736417</v>
      </c>
      <c r="Q2751">
        <v>48.949625968036138</v>
      </c>
      <c r="R2751">
        <v>48.673427954634811</v>
      </c>
      <c r="S2751">
        <v>38.654774261488789</v>
      </c>
      <c r="T2751">
        <v>78.548134001547155</v>
      </c>
      <c r="U2751">
        <f t="shared" si="260"/>
        <v>56.39173465719427</v>
      </c>
      <c r="V2751" t="str">
        <f t="shared" si="258"/>
        <v>2015/16Expenditure driversClosely Associated IndirectsDNO Baseline</v>
      </c>
    </row>
    <row r="2752" spans="1:22">
      <c r="A2752" t="s">
        <v>138</v>
      </c>
      <c r="C2752" t="s">
        <v>1344</v>
      </c>
      <c r="D2752" t="s">
        <v>105</v>
      </c>
      <c r="E2752" t="s">
        <v>1348</v>
      </c>
      <c r="F2752" t="s">
        <v>1289</v>
      </c>
      <c r="G2752">
        <v>58.556498175737616</v>
      </c>
      <c r="H2752">
        <v>38.501738298307764</v>
      </c>
      <c r="I2752">
        <v>47.66485281582888</v>
      </c>
      <c r="J2752">
        <v>67.401078247069989</v>
      </c>
      <c r="K2752">
        <v>67.203383215637245</v>
      </c>
      <c r="L2752">
        <v>37.725326918501501</v>
      </c>
      <c r="M2752">
        <v>54.35643530120192</v>
      </c>
      <c r="N2752">
        <v>54.099764247714916</v>
      </c>
      <c r="O2752">
        <v>58.498695014514588</v>
      </c>
      <c r="P2752">
        <v>83.027847520132724</v>
      </c>
      <c r="Q2752">
        <v>48.181038614302921</v>
      </c>
      <c r="R2752">
        <v>48.338198064192241</v>
      </c>
      <c r="S2752">
        <v>39.019051763258069</v>
      </c>
      <c r="T2752">
        <v>78.068239367901754</v>
      </c>
      <c r="U2752">
        <f t="shared" si="260"/>
        <v>55.760153397450154</v>
      </c>
      <c r="V2752" t="str">
        <f t="shared" si="258"/>
        <v>2016/17Expenditure driversClosely Associated IndirectsDNO Baseline</v>
      </c>
    </row>
    <row r="2753" spans="1:22">
      <c r="A2753" t="s">
        <v>139</v>
      </c>
      <c r="C2753" t="s">
        <v>1344</v>
      </c>
      <c r="D2753" t="s">
        <v>105</v>
      </c>
      <c r="E2753" t="s">
        <v>1348</v>
      </c>
      <c r="F2753" t="s">
        <v>1289</v>
      </c>
      <c r="G2753">
        <v>57.641520707235799</v>
      </c>
      <c r="H2753">
        <v>38.517277819671804</v>
      </c>
      <c r="I2753">
        <v>47.639384165445989</v>
      </c>
      <c r="J2753">
        <v>67.044400484970822</v>
      </c>
      <c r="K2753">
        <v>66.73887561552506</v>
      </c>
      <c r="L2753">
        <v>37.396164238028511</v>
      </c>
      <c r="M2753">
        <v>54.886382200763151</v>
      </c>
      <c r="N2753">
        <v>51.767472589994703</v>
      </c>
      <c r="O2753">
        <v>56.021798612308601</v>
      </c>
      <c r="P2753">
        <v>80.421742291791034</v>
      </c>
      <c r="Q2753">
        <v>47.70039945810165</v>
      </c>
      <c r="R2753">
        <v>46.552048884609015</v>
      </c>
      <c r="S2753">
        <v>38.802907054998776</v>
      </c>
      <c r="T2753">
        <v>78.407828861932131</v>
      </c>
      <c r="U2753">
        <f t="shared" si="260"/>
        <v>54.9670144989555</v>
      </c>
      <c r="V2753" t="str">
        <f t="shared" si="258"/>
        <v>2017/18Expenditure driversClosely Associated IndirectsDNO Baseline</v>
      </c>
    </row>
    <row r="2754" spans="1:22">
      <c r="A2754" t="s">
        <v>140</v>
      </c>
      <c r="C2754" t="s">
        <v>1344</v>
      </c>
      <c r="D2754" t="s">
        <v>105</v>
      </c>
      <c r="E2754" t="s">
        <v>1348</v>
      </c>
      <c r="F2754" t="s">
        <v>1289</v>
      </c>
      <c r="G2754">
        <v>57.475149951480923</v>
      </c>
      <c r="H2754">
        <v>38.693921217403229</v>
      </c>
      <c r="I2754">
        <v>48.064229587721677</v>
      </c>
      <c r="J2754">
        <v>67.323772361112376</v>
      </c>
      <c r="K2754">
        <v>66.979275185896299</v>
      </c>
      <c r="L2754">
        <v>38.00046470204326</v>
      </c>
      <c r="M2754">
        <v>55.154309670984354</v>
      </c>
      <c r="N2754">
        <v>51.525393272475284</v>
      </c>
      <c r="O2754">
        <v>55.239120995821104</v>
      </c>
      <c r="P2754">
        <v>80.238560144804751</v>
      </c>
      <c r="Q2754">
        <v>47.116650284881594</v>
      </c>
      <c r="R2754">
        <v>44.900316127784201</v>
      </c>
      <c r="S2754">
        <v>39.013609725504061</v>
      </c>
      <c r="T2754">
        <v>78.264776926392074</v>
      </c>
      <c r="U2754">
        <f t="shared" si="260"/>
        <v>54.856396439593233</v>
      </c>
      <c r="V2754" t="str">
        <f t="shared" si="258"/>
        <v>2018/19Expenditure driversClosely Associated IndirectsDNO Baseline</v>
      </c>
    </row>
    <row r="2755" spans="1:22">
      <c r="A2755" t="s">
        <v>141</v>
      </c>
      <c r="C2755" t="s">
        <v>1344</v>
      </c>
      <c r="D2755" t="s">
        <v>105</v>
      </c>
      <c r="E2755" t="s">
        <v>1348</v>
      </c>
      <c r="F2755" t="s">
        <v>1289</v>
      </c>
      <c r="G2755">
        <v>56.607426944277059</v>
      </c>
      <c r="H2755">
        <v>38.351270014377761</v>
      </c>
      <c r="I2755">
        <v>47.301363300302299</v>
      </c>
      <c r="J2755">
        <v>68.203228603306442</v>
      </c>
      <c r="K2755">
        <v>67.727537549307812</v>
      </c>
      <c r="L2755">
        <v>37.905501961361331</v>
      </c>
      <c r="M2755">
        <v>55.572270268782226</v>
      </c>
      <c r="N2755">
        <v>50.541274836957768</v>
      </c>
      <c r="O2755">
        <v>53.72207341812117</v>
      </c>
      <c r="P2755">
        <v>78.432852626047904</v>
      </c>
      <c r="Q2755">
        <v>46.998735272872203</v>
      </c>
      <c r="R2755">
        <v>44.78223167948277</v>
      </c>
      <c r="S2755">
        <v>38.082743216446097</v>
      </c>
      <c r="T2755">
        <v>77.8598598933049</v>
      </c>
      <c r="U2755">
        <f t="shared" si="260"/>
        <v>54.434883541781979</v>
      </c>
      <c r="V2755" t="str">
        <f t="shared" si="258"/>
        <v>2019/20Expenditure driversClosely Associated IndirectsDNO Baseline</v>
      </c>
    </row>
    <row r="2756" spans="1:22">
      <c r="A2756" t="s">
        <v>126</v>
      </c>
      <c r="C2756" t="s">
        <v>1344</v>
      </c>
      <c r="D2756" t="s">
        <v>105</v>
      </c>
      <c r="E2756" t="s">
        <v>1348</v>
      </c>
      <c r="F2756" t="s">
        <v>1289</v>
      </c>
      <c r="G2756">
        <v>56.796490869677207</v>
      </c>
      <c r="H2756">
        <v>37.61163695908413</v>
      </c>
      <c r="I2756">
        <v>46.500073210736922</v>
      </c>
      <c r="J2756">
        <v>68.832658749280256</v>
      </c>
      <c r="K2756">
        <v>68.063068970337028</v>
      </c>
      <c r="L2756">
        <v>38.532511672834815</v>
      </c>
      <c r="M2756">
        <v>56.746187344990759</v>
      </c>
      <c r="N2756">
        <v>49.173459386207838</v>
      </c>
      <c r="O2756">
        <v>52.575125939584154</v>
      </c>
      <c r="P2756">
        <v>76.045706250040155</v>
      </c>
      <c r="Q2756">
        <v>46.897385695382674</v>
      </c>
      <c r="R2756">
        <v>43.68658094498592</v>
      </c>
      <c r="S2756">
        <v>37.772145170800108</v>
      </c>
      <c r="T2756">
        <v>76.875397724105113</v>
      </c>
      <c r="U2756">
        <f t="shared" si="260"/>
        <v>54.007744920574794</v>
      </c>
      <c r="V2756" t="str">
        <f t="shared" si="258"/>
        <v>2020/21Expenditure driversClosely Associated IndirectsDNO Baseline</v>
      </c>
    </row>
    <row r="2757" spans="1:22">
      <c r="A2757" t="s">
        <v>142</v>
      </c>
      <c r="C2757" t="s">
        <v>1344</v>
      </c>
      <c r="D2757" t="s">
        <v>105</v>
      </c>
      <c r="E2757" t="s">
        <v>1348</v>
      </c>
      <c r="F2757" t="s">
        <v>1289</v>
      </c>
      <c r="G2757">
        <v>56.130343699168655</v>
      </c>
      <c r="H2757">
        <v>37.207862125471031</v>
      </c>
      <c r="I2757">
        <v>45.803192587360179</v>
      </c>
      <c r="J2757">
        <v>69.292793895842266</v>
      </c>
      <c r="K2757">
        <v>68.942707837205461</v>
      </c>
      <c r="L2757">
        <v>38.795444416662917</v>
      </c>
      <c r="M2757">
        <v>56.866664823281916</v>
      </c>
      <c r="N2757">
        <v>47.771254269820709</v>
      </c>
      <c r="O2757">
        <v>52.419031479292926</v>
      </c>
      <c r="P2757">
        <v>75.330690155455613</v>
      </c>
      <c r="Q2757">
        <v>46.84105486222137</v>
      </c>
      <c r="R2757">
        <v>44.047448855713462</v>
      </c>
      <c r="S2757">
        <v>37.883199500842586</v>
      </c>
      <c r="T2757">
        <v>76.856883407663474</v>
      </c>
      <c r="U2757">
        <f t="shared" si="260"/>
        <v>53.870612279714464</v>
      </c>
      <c r="V2757" t="str">
        <f t="shared" si="258"/>
        <v>2021/22Expenditure driversClosely Associated IndirectsDNO Baseline</v>
      </c>
    </row>
    <row r="2758" spans="1:22">
      <c r="A2758" t="s">
        <v>143</v>
      </c>
      <c r="C2758" t="s">
        <v>1344</v>
      </c>
      <c r="D2758" t="s">
        <v>105</v>
      </c>
      <c r="E2758" t="s">
        <v>1348</v>
      </c>
      <c r="F2758" t="s">
        <v>1289</v>
      </c>
      <c r="G2758">
        <v>55.018219478800432</v>
      </c>
      <c r="H2758">
        <v>36.598537349209572</v>
      </c>
      <c r="I2758">
        <v>44.965096708739267</v>
      </c>
      <c r="J2758">
        <v>69.83794744138622</v>
      </c>
      <c r="K2758">
        <v>69.296000528749687</v>
      </c>
      <c r="L2758">
        <v>38.867945767980657</v>
      </c>
      <c r="M2758">
        <v>57.775478689479854</v>
      </c>
      <c r="N2758">
        <v>46.398696899570169</v>
      </c>
      <c r="O2758">
        <v>51.19384479036782</v>
      </c>
      <c r="P2758">
        <v>73.836118750960253</v>
      </c>
      <c r="Q2758">
        <v>46.358243601667255</v>
      </c>
      <c r="R2758">
        <v>43.931112368109076</v>
      </c>
      <c r="S2758">
        <v>37.315360478666655</v>
      </c>
      <c r="T2758">
        <v>75.76462391204025</v>
      </c>
      <c r="U2758">
        <f t="shared" si="260"/>
        <v>53.368373340409093</v>
      </c>
      <c r="V2758" t="str">
        <f t="shared" si="258"/>
        <v>2022/23Expenditure driversClosely Associated IndirectsDNO Baseline</v>
      </c>
    </row>
    <row r="2759" spans="1:22">
      <c r="A2759" t="s">
        <v>137</v>
      </c>
      <c r="C2759" t="s">
        <v>1344</v>
      </c>
      <c r="D2759" t="s">
        <v>105</v>
      </c>
      <c r="E2759" t="s">
        <v>1349</v>
      </c>
      <c r="F2759" t="s">
        <v>1289</v>
      </c>
      <c r="G2759" cm="1">
        <f t="array" ref="G2759:T2765">TRANSPOSE('Ch4 expenditure drivers'!W814:AC827)</f>
        <v>51.431221165101284</v>
      </c>
      <c r="H2759">
        <v>42.294347443189707</v>
      </c>
      <c r="I2759">
        <v>48.795576220835301</v>
      </c>
      <c r="J2759">
        <v>82.401884556706364</v>
      </c>
      <c r="K2759">
        <v>83.104239788307595</v>
      </c>
      <c r="L2759">
        <v>39.435279275959488</v>
      </c>
      <c r="M2759">
        <v>62.116819611229104</v>
      </c>
      <c r="N2759">
        <v>51.82850539585089</v>
      </c>
      <c r="O2759">
        <v>51.129429580696829</v>
      </c>
      <c r="P2759">
        <v>82.044010542616022</v>
      </c>
      <c r="Q2759">
        <v>57.679157975293116</v>
      </c>
      <c r="R2759">
        <v>65.684032251099978</v>
      </c>
      <c r="S2759">
        <v>41.281840263960255</v>
      </c>
      <c r="T2759">
        <v>78.651261106660115</v>
      </c>
      <c r="U2759">
        <f t="shared" si="260"/>
        <v>59.848400369821853</v>
      </c>
      <c r="V2759" t="str">
        <f t="shared" si="258"/>
        <v>2015/16Expenditure driversClosely Associated IndirectsDNO Actual</v>
      </c>
    </row>
    <row r="2760" spans="1:22">
      <c r="A2760" t="s">
        <v>138</v>
      </c>
      <c r="C2760" t="s">
        <v>1344</v>
      </c>
      <c r="D2760" t="s">
        <v>105</v>
      </c>
      <c r="E2760" t="s">
        <v>1349</v>
      </c>
      <c r="F2760" t="s">
        <v>1289</v>
      </c>
      <c r="G2760">
        <v>50.908007114322672</v>
      </c>
      <c r="H2760">
        <v>42.302549186528964</v>
      </c>
      <c r="I2760">
        <v>48.528332392581909</v>
      </c>
      <c r="J2760">
        <v>81.207292199764524</v>
      </c>
      <c r="K2760">
        <v>81.624139085708237</v>
      </c>
      <c r="L2760">
        <v>39.372069039820069</v>
      </c>
      <c r="M2760">
        <v>60.937026220414197</v>
      </c>
      <c r="N2760">
        <v>56.459205718884647</v>
      </c>
      <c r="O2760">
        <v>54.269374034351934</v>
      </c>
      <c r="P2760">
        <v>85.510177223907093</v>
      </c>
      <c r="Q2760">
        <v>55.504923007240741</v>
      </c>
      <c r="R2760">
        <v>61.80436514345363</v>
      </c>
      <c r="S2760">
        <v>46.099323608250238</v>
      </c>
      <c r="T2760">
        <v>86.906602717342224</v>
      </c>
      <c r="U2760">
        <f t="shared" si="260"/>
        <v>60.816670478040798</v>
      </c>
      <c r="V2760" t="str">
        <f t="shared" si="258"/>
        <v>2016/17Expenditure driversClosely Associated IndirectsDNO Actual</v>
      </c>
    </row>
    <row r="2761" spans="1:22">
      <c r="A2761" t="s">
        <v>139</v>
      </c>
      <c r="C2761" t="s">
        <v>1344</v>
      </c>
      <c r="D2761" t="s">
        <v>105</v>
      </c>
      <c r="E2761" t="s">
        <v>1349</v>
      </c>
      <c r="F2761" t="s">
        <v>1289</v>
      </c>
      <c r="G2761">
        <v>53.16366551637195</v>
      </c>
      <c r="H2761">
        <v>39.821970946587101</v>
      </c>
      <c r="I2761">
        <v>48.310048464418202</v>
      </c>
      <c r="J2761">
        <v>79.619155401079624</v>
      </c>
      <c r="K2761">
        <v>79.035340828931837</v>
      </c>
      <c r="L2761">
        <v>38.299956363583448</v>
      </c>
      <c r="M2761">
        <v>57.064535433672368</v>
      </c>
      <c r="N2761">
        <v>67.471435050384144</v>
      </c>
      <c r="O2761">
        <v>58.471107455279856</v>
      </c>
      <c r="P2761">
        <v>98.828517883219817</v>
      </c>
      <c r="Q2761">
        <v>66.533817543441415</v>
      </c>
      <c r="R2761">
        <v>69.08113607471978</v>
      </c>
      <c r="S2761">
        <v>48.223851989132925</v>
      </c>
      <c r="T2761">
        <v>91.549855076053433</v>
      </c>
      <c r="U2761">
        <f t="shared" si="260"/>
        <v>63.962456716205409</v>
      </c>
      <c r="V2761" t="str">
        <f t="shared" si="258"/>
        <v>2017/18Expenditure driversClosely Associated IndirectsDNO Actual</v>
      </c>
    </row>
    <row r="2762" spans="1:22">
      <c r="A2762" t="s">
        <v>140</v>
      </c>
      <c r="C2762" t="s">
        <v>1344</v>
      </c>
      <c r="D2762" t="s">
        <v>105</v>
      </c>
      <c r="E2762" t="s">
        <v>1349</v>
      </c>
      <c r="F2762" t="s">
        <v>1289</v>
      </c>
      <c r="G2762">
        <v>55.017974017569259</v>
      </c>
      <c r="H2762">
        <v>40.749813267732435</v>
      </c>
      <c r="I2762">
        <v>46.472736882226187</v>
      </c>
      <c r="J2762">
        <v>78.394115750349428</v>
      </c>
      <c r="K2762">
        <v>76.841774421477695</v>
      </c>
      <c r="L2762">
        <v>38.071571971140948</v>
      </c>
      <c r="M2762">
        <v>56.704939771556042</v>
      </c>
      <c r="N2762">
        <v>68.267438802147495</v>
      </c>
      <c r="O2762">
        <v>56.415662567976312</v>
      </c>
      <c r="P2762">
        <v>91.820310376487029</v>
      </c>
      <c r="Q2762">
        <v>62.138630168173954</v>
      </c>
      <c r="R2762">
        <v>60.94731394977866</v>
      </c>
      <c r="S2762">
        <v>49.965486285443134</v>
      </c>
      <c r="T2762">
        <v>87.551561805906431</v>
      </c>
      <c r="U2762">
        <f>AVERAGE(G2762:T2762)</f>
        <v>62.097095002711775</v>
      </c>
      <c r="V2762" t="str">
        <f t="shared" si="258"/>
        <v>2018/19Expenditure driversClosely Associated IndirectsDNO Actual</v>
      </c>
    </row>
    <row r="2763" spans="1:22">
      <c r="A2763" t="s">
        <v>141</v>
      </c>
      <c r="C2763" t="s">
        <v>1344</v>
      </c>
      <c r="D2763" t="s">
        <v>105</v>
      </c>
      <c r="E2763" t="s">
        <v>1349</v>
      </c>
      <c r="F2763" t="s">
        <v>1289</v>
      </c>
      <c r="G2763">
        <v>57.1706755855406</v>
      </c>
      <c r="H2763">
        <v>47.262575661218534</v>
      </c>
      <c r="I2763">
        <v>47.842654541854834</v>
      </c>
      <c r="J2763">
        <v>73.08394210609616</v>
      </c>
      <c r="K2763">
        <v>73.577590490706783</v>
      </c>
      <c r="L2763">
        <v>36.374316884689755</v>
      </c>
      <c r="M2763">
        <v>56.47954178955554</v>
      </c>
      <c r="N2763">
        <v>67.409370734199783</v>
      </c>
      <c r="O2763">
        <v>58.526552910240859</v>
      </c>
      <c r="P2763">
        <v>96.561883430393479</v>
      </c>
      <c r="Q2763">
        <v>57.840529764966206</v>
      </c>
      <c r="R2763">
        <v>60.087981156649946</v>
      </c>
      <c r="S2763">
        <v>51.291048759215634</v>
      </c>
      <c r="T2763">
        <v>88.368097349316542</v>
      </c>
      <c r="U2763">
        <f>AVERAGE(G2763:T2763)</f>
        <v>62.276911511760318</v>
      </c>
      <c r="V2763" t="str">
        <f t="shared" si="258"/>
        <v>2019/20Expenditure driversClosely Associated IndirectsDNO Actual</v>
      </c>
    </row>
    <row r="2764" spans="1:22">
      <c r="A2764" t="s">
        <v>126</v>
      </c>
      <c r="C2764" t="s">
        <v>1344</v>
      </c>
      <c r="D2764" t="s">
        <v>105</v>
      </c>
      <c r="E2764" t="s">
        <v>1349</v>
      </c>
      <c r="F2764" t="s">
        <v>1289</v>
      </c>
      <c r="G2764">
        <v>57.999999628731501</v>
      </c>
      <c r="H2764">
        <v>42.846483499083178</v>
      </c>
      <c r="I2764">
        <v>45.11648060662624</v>
      </c>
      <c r="J2764">
        <v>70.07869616918282</v>
      </c>
      <c r="K2764">
        <v>69.371372252496059</v>
      </c>
      <c r="L2764">
        <v>35.227735088572139</v>
      </c>
      <c r="M2764">
        <v>53.436116476695219</v>
      </c>
      <c r="N2764">
        <v>62.958776824851455</v>
      </c>
      <c r="O2764">
        <v>62.479959317903891</v>
      </c>
      <c r="P2764">
        <v>95.703986607844556</v>
      </c>
      <c r="Q2764">
        <v>58.845982526645194</v>
      </c>
      <c r="R2764">
        <v>58.35988737027165</v>
      </c>
      <c r="S2764">
        <v>49.643448111192427</v>
      </c>
      <c r="T2764">
        <v>93.059038582630066</v>
      </c>
      <c r="U2764">
        <f>AVERAGE(G2764:T2764)</f>
        <v>61.080568790194739</v>
      </c>
      <c r="V2764" t="str">
        <f t="shared" si="258"/>
        <v>2020/21Expenditure driversClosely Associated IndirectsDNO Actual</v>
      </c>
    </row>
    <row r="2765" spans="1:22">
      <c r="A2765" t="s">
        <v>142</v>
      </c>
      <c r="C2765" t="s">
        <v>1344</v>
      </c>
      <c r="D2765" t="s">
        <v>105</v>
      </c>
      <c r="E2765" t="s">
        <v>1349</v>
      </c>
      <c r="F2765" t="s">
        <v>1289</v>
      </c>
      <c r="G2765">
        <v>60.381610863676769</v>
      </c>
      <c r="H2765">
        <v>39.23129479657031</v>
      </c>
      <c r="I2765">
        <v>45.052037215005988</v>
      </c>
      <c r="J2765">
        <v>69.809899999999985</v>
      </c>
      <c r="K2765">
        <v>68.353700000000003</v>
      </c>
      <c r="L2765">
        <v>35.818800000000003</v>
      </c>
      <c r="M2765">
        <v>53.139599999999994</v>
      </c>
      <c r="N2765">
        <v>63.725115674744757</v>
      </c>
      <c r="O2765">
        <v>57.000200434809699</v>
      </c>
      <c r="P2765">
        <v>101.1097913689681</v>
      </c>
      <c r="Q2765">
        <v>57.952652956293996</v>
      </c>
      <c r="R2765">
        <v>61.228443278367401</v>
      </c>
      <c r="S2765">
        <v>55.870046854485771</v>
      </c>
      <c r="T2765">
        <v>99.474058890313856</v>
      </c>
      <c r="U2765">
        <f>AVERAGE(G2765:T2765)</f>
        <v>62.010518023802611</v>
      </c>
      <c r="V2765" t="str">
        <f t="shared" ref="V2765" si="261">CONCATENATE(A2765,B2765,C2765,D2765,E2765)</f>
        <v>2021/22Expenditure driversClosely Associated IndirectsDNO Actual</v>
      </c>
    </row>
    <row r="2766" spans="1:22">
      <c r="A2766" t="s">
        <v>137</v>
      </c>
      <c r="C2766" t="s">
        <v>1344</v>
      </c>
      <c r="D2766" t="s">
        <v>105</v>
      </c>
      <c r="E2766" t="s">
        <v>297</v>
      </c>
      <c r="F2766" t="s">
        <v>1289</v>
      </c>
      <c r="G2766">
        <f t="array" ref="G2766:T2769">TRANSPOSE('Ch4 expenditure drivers'!AF814:AI827)</f>
        <v>60.806570037842818</v>
      </c>
      <c r="H2766">
        <v>38.542920584186547</v>
      </c>
      <c r="I2766">
        <v>48.20966716079981</v>
      </c>
      <c r="J2766">
        <v>67.84005104149054</v>
      </c>
      <c r="K2766">
        <v>67.560774206357266</v>
      </c>
      <c r="L2766">
        <v>36.998458320049622</v>
      </c>
      <c r="M2766">
        <v>53.812400399583822</v>
      </c>
      <c r="N2766">
        <v>55.998198330495043</v>
      </c>
      <c r="O2766">
        <v>59.493356927471041</v>
      </c>
      <c r="P2766">
        <v>85.395926006736417</v>
      </c>
      <c r="Q2766">
        <v>48.949625968036138</v>
      </c>
      <c r="R2766">
        <v>48.673427954634811</v>
      </c>
      <c r="S2766">
        <v>38.654774261488789</v>
      </c>
      <c r="T2766">
        <v>78.548134001547155</v>
      </c>
      <c r="U2766">
        <f t="shared" si="260"/>
        <v>56.39173465719427</v>
      </c>
      <c r="V2766" t="str">
        <f t="shared" si="258"/>
        <v>2015/16Expenditure driversClosely Associated IndirectsAllowance</v>
      </c>
    </row>
    <row r="2767" spans="1:22">
      <c r="A2767" t="s">
        <v>137</v>
      </c>
      <c r="C2767" t="s">
        <v>1344</v>
      </c>
      <c r="D2767" t="s">
        <v>105</v>
      </c>
      <c r="E2767" t="s">
        <v>298</v>
      </c>
      <c r="F2767" t="s">
        <v>1289</v>
      </c>
      <c r="G2767">
        <v>51.431221165101284</v>
      </c>
      <c r="H2767">
        <v>42.294347443189707</v>
      </c>
      <c r="I2767">
        <v>48.795576220835301</v>
      </c>
      <c r="J2767">
        <v>82.401884556706364</v>
      </c>
      <c r="K2767">
        <v>83.104239788307595</v>
      </c>
      <c r="L2767">
        <v>39.435279275959488</v>
      </c>
      <c r="M2767">
        <v>62.116819611229104</v>
      </c>
      <c r="N2767">
        <v>51.82850539585089</v>
      </c>
      <c r="O2767">
        <v>51.129429580696829</v>
      </c>
      <c r="P2767">
        <v>82.044010542616022</v>
      </c>
      <c r="Q2767">
        <v>57.679157975293116</v>
      </c>
      <c r="R2767">
        <v>65.684032251099978</v>
      </c>
      <c r="S2767">
        <v>41.281840263960255</v>
      </c>
      <c r="T2767">
        <v>78.651261106660115</v>
      </c>
      <c r="U2767">
        <f t="shared" si="260"/>
        <v>59.848400369821853</v>
      </c>
      <c r="V2767" t="str">
        <f t="shared" si="258"/>
        <v>2015/16Expenditure driversClosely Associated IndirectsActual</v>
      </c>
    </row>
    <row r="2768" spans="1:22">
      <c r="A2768" t="s">
        <v>137</v>
      </c>
      <c r="C2768" t="s">
        <v>1344</v>
      </c>
      <c r="D2768" t="s">
        <v>105</v>
      </c>
      <c r="E2768" t="s">
        <v>602</v>
      </c>
      <c r="F2768" t="s">
        <v>1289</v>
      </c>
      <c r="G2768">
        <v>-9.3753488727415331</v>
      </c>
      <c r="H2768">
        <v>3.7514268590031605</v>
      </c>
      <c r="I2768">
        <v>0.58590906003549037</v>
      </c>
      <c r="J2768">
        <v>14.561833515215824</v>
      </c>
      <c r="K2768">
        <v>15.543465581950329</v>
      </c>
      <c r="L2768">
        <v>2.4368209559098659</v>
      </c>
      <c r="M2768">
        <v>8.304419211645282</v>
      </c>
      <c r="N2768">
        <v>-4.1696929346441536</v>
      </c>
      <c r="O2768">
        <v>-8.3639273467742115</v>
      </c>
      <c r="P2768">
        <v>-3.3519154641203954</v>
      </c>
      <c r="Q2768">
        <v>8.729532007256978</v>
      </c>
      <c r="R2768">
        <v>17.010604296465168</v>
      </c>
      <c r="S2768">
        <v>2.6270660024714658</v>
      </c>
      <c r="T2768">
        <v>0.10312710511296075</v>
      </c>
      <c r="U2768">
        <f>U2767-U2766</f>
        <v>3.4566657126275828</v>
      </c>
      <c r="V2768" t="str">
        <f t="shared" si="258"/>
        <v>2015/16Expenditure driversClosely Associated IndirectsDifference</v>
      </c>
    </row>
    <row r="2769" spans="1:22">
      <c r="A2769" t="s">
        <v>137</v>
      </c>
      <c r="C2769" t="s">
        <v>1344</v>
      </c>
      <c r="D2769" t="s">
        <v>105</v>
      </c>
      <c r="E2769" t="s">
        <v>1346</v>
      </c>
      <c r="F2769" t="s">
        <v>606</v>
      </c>
      <c r="G2769" s="829">
        <v>-0.15418315597980298</v>
      </c>
      <c r="H2769" s="829">
        <v>9.7331151924753265E-2</v>
      </c>
      <c r="I2769" s="829">
        <v>1.2153352108431565E-2</v>
      </c>
      <c r="J2769" s="829">
        <v>0.21464950706345873</v>
      </c>
      <c r="K2769" s="829">
        <v>0.23006642189259779</v>
      </c>
      <c r="L2769" s="829">
        <v>6.5862770141136992E-2</v>
      </c>
      <c r="M2769" s="829">
        <v>0.15432166470889314</v>
      </c>
      <c r="N2769" s="829">
        <v>-7.4461198019891581E-2</v>
      </c>
      <c r="O2769" s="829">
        <v>-0.1405859036828391</v>
      </c>
      <c r="P2769" s="829">
        <v>-3.9251468083570884E-2</v>
      </c>
      <c r="Q2769" s="829">
        <v>0.17833705231899666</v>
      </c>
      <c r="R2769" s="829">
        <v>0.34948441092580523</v>
      </c>
      <c r="S2769" s="829">
        <v>6.7962264756743773E-2</v>
      </c>
      <c r="T2769" s="829">
        <v>1.3129160408944848E-3</v>
      </c>
      <c r="U2769" s="829">
        <f>U2768/U2766</f>
        <v>6.1297382207528756E-2</v>
      </c>
      <c r="V2769" t="str">
        <f t="shared" si="258"/>
        <v>2015/16Expenditure driversClosely Associated IndirectsDifference %</v>
      </c>
    </row>
    <row r="2770" spans="1:22">
      <c r="A2770" t="s">
        <v>138</v>
      </c>
      <c r="C2770" t="s">
        <v>1344</v>
      </c>
      <c r="D2770" t="s">
        <v>105</v>
      </c>
      <c r="E2770" t="s">
        <v>297</v>
      </c>
      <c r="F2770" t="s">
        <v>1289</v>
      </c>
      <c r="G2770">
        <f t="array" ref="G2770:T2773">TRANSPOSE('Ch4 expenditure drivers'!AK814:AN827)</f>
        <v>58.556498175737616</v>
      </c>
      <c r="H2770">
        <v>38.501738298307764</v>
      </c>
      <c r="I2770">
        <v>47.66485281582888</v>
      </c>
      <c r="J2770">
        <v>67.401078247069989</v>
      </c>
      <c r="K2770">
        <v>67.203383215637245</v>
      </c>
      <c r="L2770">
        <v>37.725326918501501</v>
      </c>
      <c r="M2770">
        <v>54.35643530120192</v>
      </c>
      <c r="N2770">
        <v>54.099764247714916</v>
      </c>
      <c r="O2770">
        <v>58.498695014514588</v>
      </c>
      <c r="P2770">
        <v>83.027847520132724</v>
      </c>
      <c r="Q2770">
        <v>48.181038614302921</v>
      </c>
      <c r="R2770">
        <v>48.338198064192241</v>
      </c>
      <c r="S2770">
        <v>39.019051763258069</v>
      </c>
      <c r="T2770">
        <v>78.068239367901754</v>
      </c>
      <c r="U2770">
        <f t="shared" si="260"/>
        <v>55.760153397450154</v>
      </c>
      <c r="V2770" t="str">
        <f t="shared" si="258"/>
        <v>2016/17Expenditure driversClosely Associated IndirectsAllowance</v>
      </c>
    </row>
    <row r="2771" spans="1:22">
      <c r="A2771" t="s">
        <v>138</v>
      </c>
      <c r="C2771" t="s">
        <v>1344</v>
      </c>
      <c r="D2771" t="s">
        <v>105</v>
      </c>
      <c r="E2771" t="s">
        <v>298</v>
      </c>
      <c r="F2771" t="s">
        <v>1289</v>
      </c>
      <c r="G2771">
        <v>50.908007114322672</v>
      </c>
      <c r="H2771">
        <v>42.302549186528964</v>
      </c>
      <c r="I2771">
        <v>48.528332392581909</v>
      </c>
      <c r="J2771">
        <v>81.207292199764524</v>
      </c>
      <c r="K2771">
        <v>81.624139085708237</v>
      </c>
      <c r="L2771">
        <v>39.372069039820069</v>
      </c>
      <c r="M2771">
        <v>60.937026220414197</v>
      </c>
      <c r="N2771">
        <v>56.459205718884647</v>
      </c>
      <c r="O2771">
        <v>54.269374034351934</v>
      </c>
      <c r="P2771">
        <v>85.510177223907093</v>
      </c>
      <c r="Q2771">
        <v>55.504923007240741</v>
      </c>
      <c r="R2771">
        <v>61.80436514345363</v>
      </c>
      <c r="S2771">
        <v>46.099323608250238</v>
      </c>
      <c r="T2771">
        <v>86.906602717342224</v>
      </c>
      <c r="U2771">
        <f t="shared" si="260"/>
        <v>60.816670478040798</v>
      </c>
      <c r="V2771" t="str">
        <f t="shared" si="258"/>
        <v>2016/17Expenditure driversClosely Associated IndirectsActual</v>
      </c>
    </row>
    <row r="2772" spans="1:22">
      <c r="A2772" t="s">
        <v>138</v>
      </c>
      <c r="C2772" t="s">
        <v>1344</v>
      </c>
      <c r="D2772" t="s">
        <v>105</v>
      </c>
      <c r="E2772" t="s">
        <v>602</v>
      </c>
      <c r="F2772" t="s">
        <v>1289</v>
      </c>
      <c r="G2772">
        <v>-7.6484910614149442</v>
      </c>
      <c r="H2772">
        <v>3.8008108882211999</v>
      </c>
      <c r="I2772">
        <v>0.86347957675302922</v>
      </c>
      <c r="J2772">
        <v>13.806213952694534</v>
      </c>
      <c r="K2772">
        <v>14.420755870070991</v>
      </c>
      <c r="L2772">
        <v>1.6467421213185673</v>
      </c>
      <c r="M2772">
        <v>6.5805909192122769</v>
      </c>
      <c r="N2772">
        <v>2.3594414711697311</v>
      </c>
      <c r="O2772">
        <v>-4.2293209801626546</v>
      </c>
      <c r="P2772">
        <v>2.4823297037743686</v>
      </c>
      <c r="Q2772">
        <v>7.3238843929378206</v>
      </c>
      <c r="R2772">
        <v>13.466167079261389</v>
      </c>
      <c r="S2772">
        <v>7.0802718449921684</v>
      </c>
      <c r="T2772">
        <v>8.8383633494404705</v>
      </c>
      <c r="U2772">
        <f>U2771-U2770</f>
        <v>5.0565170805906448</v>
      </c>
      <c r="V2772" t="str">
        <f t="shared" si="258"/>
        <v>2016/17Expenditure driversClosely Associated IndirectsDifference</v>
      </c>
    </row>
    <row r="2773" spans="1:22">
      <c r="A2773" t="s">
        <v>138</v>
      </c>
      <c r="C2773" t="s">
        <v>1344</v>
      </c>
      <c r="D2773" t="s">
        <v>105</v>
      </c>
      <c r="E2773" t="s">
        <v>1346</v>
      </c>
      <c r="F2773" t="s">
        <v>606</v>
      </c>
      <c r="G2773" s="829">
        <v>-0.13061728927950189</v>
      </c>
      <c r="H2773" s="829">
        <v>9.8717903559908976E-2</v>
      </c>
      <c r="I2773" s="829">
        <v>1.8115645506961028E-2</v>
      </c>
      <c r="J2773" s="829">
        <v>0.20483669270223742</v>
      </c>
      <c r="K2773" s="829">
        <v>0.21458377807853418</v>
      </c>
      <c r="L2773" s="829">
        <v>4.3650837668711133E-2</v>
      </c>
      <c r="M2773" s="829">
        <v>0.12106369526897155</v>
      </c>
      <c r="N2773" s="829">
        <v>4.3612786561623325E-2</v>
      </c>
      <c r="O2773" s="829">
        <v>-7.2297697907847056E-2</v>
      </c>
      <c r="P2773" s="829">
        <v>2.9897555795029486E-2</v>
      </c>
      <c r="Q2773" s="829">
        <v>0.15200760721591561</v>
      </c>
      <c r="R2773" s="829">
        <v>0.27858231416443296</v>
      </c>
      <c r="S2773" s="829">
        <v>0.1814567890565511</v>
      </c>
      <c r="T2773" s="829">
        <v>0.11321330442446764</v>
      </c>
      <c r="U2773" s="829">
        <f>U2772/U2770</f>
        <v>9.0683342360063757E-2</v>
      </c>
      <c r="V2773" t="str">
        <f t="shared" si="258"/>
        <v>2016/17Expenditure driversClosely Associated IndirectsDifference %</v>
      </c>
    </row>
    <row r="2774" spans="1:22">
      <c r="A2774" t="s">
        <v>139</v>
      </c>
      <c r="C2774" t="s">
        <v>1344</v>
      </c>
      <c r="D2774" t="s">
        <v>105</v>
      </c>
      <c r="E2774" t="s">
        <v>297</v>
      </c>
      <c r="F2774" t="s">
        <v>1289</v>
      </c>
      <c r="G2774">
        <f t="array" ref="G2774:T2777">TRANSPOSE('Ch4 expenditure drivers'!AP814:AS827)</f>
        <v>57.641520707235799</v>
      </c>
      <c r="H2774">
        <v>38.517277819671804</v>
      </c>
      <c r="I2774">
        <v>47.639384165445989</v>
      </c>
      <c r="J2774">
        <v>67.044400484970822</v>
      </c>
      <c r="K2774">
        <v>66.73887561552506</v>
      </c>
      <c r="L2774">
        <v>37.396164238028511</v>
      </c>
      <c r="M2774">
        <v>54.886382200763151</v>
      </c>
      <c r="N2774">
        <v>51.767472589994703</v>
      </c>
      <c r="O2774">
        <v>56.021798612308601</v>
      </c>
      <c r="P2774">
        <v>80.421742291791034</v>
      </c>
      <c r="Q2774">
        <v>47.70039945810165</v>
      </c>
      <c r="R2774">
        <v>46.552048884609015</v>
      </c>
      <c r="S2774">
        <v>38.802907054998776</v>
      </c>
      <c r="T2774">
        <v>78.407828861932131</v>
      </c>
      <c r="U2774">
        <f t="shared" si="260"/>
        <v>54.9670144989555</v>
      </c>
      <c r="V2774" t="str">
        <f t="shared" si="258"/>
        <v>2017/18Expenditure driversClosely Associated IndirectsAllowance</v>
      </c>
    </row>
    <row r="2775" spans="1:22">
      <c r="A2775" t="s">
        <v>139</v>
      </c>
      <c r="C2775" t="s">
        <v>1344</v>
      </c>
      <c r="D2775" t="s">
        <v>105</v>
      </c>
      <c r="E2775" t="s">
        <v>298</v>
      </c>
      <c r="F2775" t="s">
        <v>1289</v>
      </c>
      <c r="G2775">
        <v>53.16366551637195</v>
      </c>
      <c r="H2775">
        <v>39.821970946587101</v>
      </c>
      <c r="I2775">
        <v>48.310048464418202</v>
      </c>
      <c r="J2775">
        <v>79.619155401079624</v>
      </c>
      <c r="K2775">
        <v>79.035340828931837</v>
      </c>
      <c r="L2775">
        <v>38.299956363583448</v>
      </c>
      <c r="M2775">
        <v>57.064535433672368</v>
      </c>
      <c r="N2775">
        <v>67.471435050384144</v>
      </c>
      <c r="O2775">
        <v>58.471107455279856</v>
      </c>
      <c r="P2775">
        <v>98.828517883219817</v>
      </c>
      <c r="Q2775">
        <v>66.533817543441415</v>
      </c>
      <c r="R2775">
        <v>69.08113607471978</v>
      </c>
      <c r="S2775">
        <v>48.223851989132925</v>
      </c>
      <c r="T2775">
        <v>91.549855076053433</v>
      </c>
      <c r="U2775">
        <f t="shared" si="260"/>
        <v>63.962456716205409</v>
      </c>
      <c r="V2775" t="str">
        <f t="shared" si="258"/>
        <v>2017/18Expenditure driversClosely Associated IndirectsActual</v>
      </c>
    </row>
    <row r="2776" spans="1:22">
      <c r="A2776" t="s">
        <v>139</v>
      </c>
      <c r="C2776" t="s">
        <v>1344</v>
      </c>
      <c r="D2776" t="s">
        <v>105</v>
      </c>
      <c r="E2776" t="s">
        <v>602</v>
      </c>
      <c r="F2776" t="s">
        <v>1289</v>
      </c>
      <c r="G2776">
        <v>-4.4778551908638491</v>
      </c>
      <c r="H2776">
        <v>1.3046931269152964</v>
      </c>
      <c r="I2776">
        <v>0.67066429897221269</v>
      </c>
      <c r="J2776">
        <v>12.574754916108802</v>
      </c>
      <c r="K2776">
        <v>12.296465213406776</v>
      </c>
      <c r="L2776">
        <v>0.90379212555493638</v>
      </c>
      <c r="M2776">
        <v>2.1781532329092173</v>
      </c>
      <c r="N2776">
        <v>15.703962460389441</v>
      </c>
      <c r="O2776">
        <v>2.4493088429712557</v>
      </c>
      <c r="P2776">
        <v>18.406775591428783</v>
      </c>
      <c r="Q2776">
        <v>18.833418085339765</v>
      </c>
      <c r="R2776">
        <v>22.529087190110765</v>
      </c>
      <c r="S2776">
        <v>9.4209449341341482</v>
      </c>
      <c r="T2776">
        <v>13.142026214121302</v>
      </c>
      <c r="U2776">
        <f>U2775-U2774</f>
        <v>8.9954422172499093</v>
      </c>
      <c r="V2776" t="str">
        <f t="shared" si="258"/>
        <v>2017/18Expenditure driversClosely Associated IndirectsDifference</v>
      </c>
    </row>
    <row r="2777" spans="1:22">
      <c r="A2777" t="s">
        <v>139</v>
      </c>
      <c r="C2777" t="s">
        <v>1344</v>
      </c>
      <c r="D2777" t="s">
        <v>105</v>
      </c>
      <c r="E2777" t="s">
        <v>1346</v>
      </c>
      <c r="F2777" t="s">
        <v>606</v>
      </c>
      <c r="G2777" s="829">
        <v>-7.7684542946170734E-2</v>
      </c>
      <c r="H2777" s="829">
        <v>3.3872931857322347E-2</v>
      </c>
      <c r="I2777" s="829">
        <v>1.4077938048969615E-2</v>
      </c>
      <c r="J2777" s="829">
        <v>0.18755861526314421</v>
      </c>
      <c r="K2777" s="829">
        <v>0.18424741352019908</v>
      </c>
      <c r="L2777" s="829">
        <v>2.416804354056884E-2</v>
      </c>
      <c r="M2777" s="829">
        <v>3.9684765976048093E-2</v>
      </c>
      <c r="N2777" s="829">
        <v>0.30335578838795013</v>
      </c>
      <c r="O2777" s="829">
        <v>4.3720639173357702E-2</v>
      </c>
      <c r="P2777" s="829">
        <v>0.22887810021131108</v>
      </c>
      <c r="Q2777" s="829">
        <v>0.39482726139185431</v>
      </c>
      <c r="R2777" s="829">
        <v>0.48395479318117202</v>
      </c>
      <c r="S2777" s="829">
        <v>0.24278966833028809</v>
      </c>
      <c r="T2777" s="829">
        <v>0.16761114808143732</v>
      </c>
      <c r="U2777" s="829">
        <f>U2776/U2774</f>
        <v>0.16365164270329516</v>
      </c>
      <c r="V2777" t="str">
        <f t="shared" si="258"/>
        <v>2017/18Expenditure driversClosely Associated IndirectsDifference %</v>
      </c>
    </row>
    <row r="2778" spans="1:22">
      <c r="A2778" t="s">
        <v>140</v>
      </c>
      <c r="C2778" t="s">
        <v>1344</v>
      </c>
      <c r="D2778" t="s">
        <v>105</v>
      </c>
      <c r="E2778" t="s">
        <v>297</v>
      </c>
      <c r="F2778" t="s">
        <v>1289</v>
      </c>
      <c r="G2778">
        <f t="array" ref="G2778:T2781">TRANSPOSE('Ch4 expenditure drivers'!AU814:AX827)</f>
        <v>57.475149951480923</v>
      </c>
      <c r="H2778">
        <v>38.693921217403229</v>
      </c>
      <c r="I2778">
        <v>48.064229587721677</v>
      </c>
      <c r="J2778">
        <v>67.323772361112376</v>
      </c>
      <c r="K2778">
        <v>66.979275185896299</v>
      </c>
      <c r="L2778">
        <v>38.00046470204326</v>
      </c>
      <c r="M2778">
        <v>55.154309670984354</v>
      </c>
      <c r="N2778">
        <v>51.525393272475284</v>
      </c>
      <c r="O2778">
        <v>55.239120995821104</v>
      </c>
      <c r="P2778">
        <v>80.238560144804751</v>
      </c>
      <c r="Q2778">
        <v>47.116650284881594</v>
      </c>
      <c r="R2778">
        <v>44.900316127784201</v>
      </c>
      <c r="S2778">
        <v>39.013609725504061</v>
      </c>
      <c r="T2778">
        <v>78.264776926392074</v>
      </c>
      <c r="U2778">
        <f>AVERAGE(G2778:T2778)</f>
        <v>54.856396439593233</v>
      </c>
      <c r="V2778" t="str">
        <f t="shared" si="258"/>
        <v>2018/19Expenditure driversClosely Associated IndirectsAllowance</v>
      </c>
    </row>
    <row r="2779" spans="1:22">
      <c r="A2779" t="s">
        <v>140</v>
      </c>
      <c r="C2779" t="s">
        <v>1344</v>
      </c>
      <c r="D2779" t="s">
        <v>105</v>
      </c>
      <c r="E2779" t="s">
        <v>298</v>
      </c>
      <c r="F2779" t="s">
        <v>1289</v>
      </c>
      <c r="G2779">
        <v>55.017974017569259</v>
      </c>
      <c r="H2779">
        <v>40.749813267732435</v>
      </c>
      <c r="I2779">
        <v>46.472736882226187</v>
      </c>
      <c r="J2779">
        <v>78.394115750349428</v>
      </c>
      <c r="K2779">
        <v>76.841774421477695</v>
      </c>
      <c r="L2779">
        <v>38.071571971140948</v>
      </c>
      <c r="M2779">
        <v>56.704939771556042</v>
      </c>
      <c r="N2779">
        <v>68.267438802147495</v>
      </c>
      <c r="O2779">
        <v>56.415662567976312</v>
      </c>
      <c r="P2779">
        <v>91.820310376487029</v>
      </c>
      <c r="Q2779">
        <v>62.138630168173954</v>
      </c>
      <c r="R2779">
        <v>60.94731394977866</v>
      </c>
      <c r="S2779">
        <v>49.965486285443134</v>
      </c>
      <c r="T2779">
        <v>87.551561805906431</v>
      </c>
      <c r="U2779">
        <f>AVERAGE(G2779:T2779)</f>
        <v>62.097095002711775</v>
      </c>
      <c r="V2779" t="str">
        <f t="shared" si="258"/>
        <v>2018/19Expenditure driversClosely Associated IndirectsActual</v>
      </c>
    </row>
    <row r="2780" spans="1:22">
      <c r="A2780" t="s">
        <v>140</v>
      </c>
      <c r="C2780" t="s">
        <v>1344</v>
      </c>
      <c r="D2780" t="s">
        <v>105</v>
      </c>
      <c r="E2780" t="s">
        <v>602</v>
      </c>
      <c r="F2780" t="s">
        <v>1289</v>
      </c>
      <c r="G2780">
        <v>-2.4571759339116639</v>
      </c>
      <c r="H2780">
        <v>2.0558920503292057</v>
      </c>
      <c r="I2780">
        <v>-1.5914927054954902</v>
      </c>
      <c r="J2780">
        <v>11.070343389237053</v>
      </c>
      <c r="K2780">
        <v>9.8624992355813959</v>
      </c>
      <c r="L2780">
        <v>7.110726909768772E-2</v>
      </c>
      <c r="M2780">
        <v>1.5506301005716878</v>
      </c>
      <c r="N2780">
        <v>16.742045529672211</v>
      </c>
      <c r="O2780">
        <v>1.1765415721552088</v>
      </c>
      <c r="P2780">
        <v>11.581750231682278</v>
      </c>
      <c r="Q2780">
        <v>15.02197988329236</v>
      </c>
      <c r="R2780">
        <v>16.046997821994459</v>
      </c>
      <c r="S2780">
        <v>10.951876559939073</v>
      </c>
      <c r="T2780">
        <v>9.2867848795143573</v>
      </c>
      <c r="U2780">
        <f>U2779-U2778</f>
        <v>7.2406985631185421</v>
      </c>
      <c r="V2780" t="str">
        <f t="shared" si="258"/>
        <v>2018/19Expenditure driversClosely Associated IndirectsDifference</v>
      </c>
    </row>
    <row r="2781" spans="1:22">
      <c r="A2781" t="s">
        <v>140</v>
      </c>
      <c r="C2781" t="s">
        <v>1344</v>
      </c>
      <c r="D2781" t="s">
        <v>105</v>
      </c>
      <c r="E2781" t="s">
        <v>1346</v>
      </c>
      <c r="F2781" t="s">
        <v>606</v>
      </c>
      <c r="G2781" s="829">
        <v>-4.2751970825408027E-2</v>
      </c>
      <c r="H2781" s="829">
        <v>5.3132171298383025E-2</v>
      </c>
      <c r="I2781" s="829">
        <v>-3.3111790600759937E-2</v>
      </c>
      <c r="J2781" s="829">
        <v>0.16443438923561443</v>
      </c>
      <c r="K2781" s="829">
        <v>0.14724702840107956</v>
      </c>
      <c r="L2781" s="829">
        <v>1.8712210404591271E-3</v>
      </c>
      <c r="M2781" s="829">
        <v>2.8114395952406331E-2</v>
      </c>
      <c r="N2781" s="829">
        <v>0.32492804938212405</v>
      </c>
      <c r="O2781" s="829">
        <v>2.1299063977578778E-2</v>
      </c>
      <c r="P2781" s="829">
        <v>0.14434145142660773</v>
      </c>
      <c r="Q2781" s="829">
        <v>0.31882529408319354</v>
      </c>
      <c r="R2781" s="829">
        <v>0.35739164455603062</v>
      </c>
      <c r="S2781" s="829">
        <v>0.28071938579883804</v>
      </c>
      <c r="T2781" s="829">
        <v>0.11865854914847029</v>
      </c>
      <c r="U2781" s="829">
        <f>U2780/U2778</f>
        <v>0.13199369687164658</v>
      </c>
      <c r="V2781" t="str">
        <f t="shared" si="258"/>
        <v>2018/19Expenditure driversClosely Associated IndirectsDifference %</v>
      </c>
    </row>
    <row r="2782" spans="1:22">
      <c r="A2782" t="s">
        <v>141</v>
      </c>
      <c r="C2782" t="s">
        <v>1344</v>
      </c>
      <c r="D2782" t="s">
        <v>105</v>
      </c>
      <c r="E2782" t="s">
        <v>297</v>
      </c>
      <c r="F2782" t="s">
        <v>1289</v>
      </c>
      <c r="G2782" s="229">
        <f t="array" ref="G2782:T2785">TRANSPOSE('Ch4 expenditure drivers'!AZ814:BC827)</f>
        <v>56.607426944277059</v>
      </c>
      <c r="H2782" s="229">
        <v>38.351270014377761</v>
      </c>
      <c r="I2782" s="229">
        <v>47.301363300302299</v>
      </c>
      <c r="J2782" s="229">
        <v>68.203228603306442</v>
      </c>
      <c r="K2782" s="229">
        <v>67.727537549307812</v>
      </c>
      <c r="L2782" s="229">
        <v>37.905501961361331</v>
      </c>
      <c r="M2782" s="229">
        <v>55.572270268782226</v>
      </c>
      <c r="N2782" s="229">
        <v>50.541274836957768</v>
      </c>
      <c r="O2782" s="229">
        <v>53.72207341812117</v>
      </c>
      <c r="P2782" s="229">
        <v>78.432852626047904</v>
      </c>
      <c r="Q2782" s="229">
        <v>46.998735272872203</v>
      </c>
      <c r="R2782" s="229">
        <v>44.78223167948277</v>
      </c>
      <c r="S2782" s="229">
        <v>38.082743216446097</v>
      </c>
      <c r="T2782" s="229">
        <v>77.8598598933049</v>
      </c>
      <c r="U2782" s="229">
        <f>AVERAGE(G2782:T2782)</f>
        <v>54.434883541781979</v>
      </c>
      <c r="V2782" t="str">
        <f t="shared" si="258"/>
        <v>2019/20Expenditure driversClosely Associated IndirectsAllowance</v>
      </c>
    </row>
    <row r="2783" spans="1:22">
      <c r="A2783" t="s">
        <v>141</v>
      </c>
      <c r="C2783" t="s">
        <v>1344</v>
      </c>
      <c r="D2783" t="s">
        <v>105</v>
      </c>
      <c r="E2783" t="s">
        <v>298</v>
      </c>
      <c r="F2783" t="s">
        <v>1289</v>
      </c>
      <c r="G2783" s="229">
        <v>57.1706755855406</v>
      </c>
      <c r="H2783" s="229">
        <v>47.262575661218534</v>
      </c>
      <c r="I2783" s="229">
        <v>47.842654541854834</v>
      </c>
      <c r="J2783" s="229">
        <v>73.08394210609616</v>
      </c>
      <c r="K2783" s="229">
        <v>73.577590490706783</v>
      </c>
      <c r="L2783" s="229">
        <v>36.374316884689755</v>
      </c>
      <c r="M2783" s="229">
        <v>56.47954178955554</v>
      </c>
      <c r="N2783" s="229">
        <v>67.409370734199783</v>
      </c>
      <c r="O2783" s="229">
        <v>58.526552910240859</v>
      </c>
      <c r="P2783" s="229">
        <v>96.561883430393479</v>
      </c>
      <c r="Q2783" s="229">
        <v>57.840529764966206</v>
      </c>
      <c r="R2783" s="229">
        <v>60.087981156649946</v>
      </c>
      <c r="S2783" s="229">
        <v>51.291048759215634</v>
      </c>
      <c r="T2783" s="229">
        <v>88.368097349316542</v>
      </c>
      <c r="U2783" s="229">
        <f>AVERAGE(G2783:T2783)</f>
        <v>62.276911511760318</v>
      </c>
      <c r="V2783" t="str">
        <f t="shared" si="258"/>
        <v>2019/20Expenditure driversClosely Associated IndirectsActual</v>
      </c>
    </row>
    <row r="2784" spans="1:22">
      <c r="A2784" t="s">
        <v>141</v>
      </c>
      <c r="C2784" t="s">
        <v>1344</v>
      </c>
      <c r="D2784" t="s">
        <v>105</v>
      </c>
      <c r="E2784" t="s">
        <v>602</v>
      </c>
      <c r="F2784" t="s">
        <v>1289</v>
      </c>
      <c r="G2784" s="229">
        <v>0.56324864126354157</v>
      </c>
      <c r="H2784" s="229">
        <v>8.9113056468407734</v>
      </c>
      <c r="I2784" s="229">
        <v>0.5412912415525355</v>
      </c>
      <c r="J2784" s="229">
        <v>4.8807135027897175</v>
      </c>
      <c r="K2784" s="229">
        <v>5.850052941398971</v>
      </c>
      <c r="L2784" s="229">
        <v>-1.5311850766715764</v>
      </c>
      <c r="M2784" s="229">
        <v>0.90727152077331397</v>
      </c>
      <c r="N2784" s="229">
        <v>16.868095897242014</v>
      </c>
      <c r="O2784" s="229">
        <v>4.8044794921196896</v>
      </c>
      <c r="P2784" s="229">
        <v>18.129030804345575</v>
      </c>
      <c r="Q2784" s="229">
        <v>10.841794492094003</v>
      </c>
      <c r="R2784" s="229">
        <v>15.305749477167176</v>
      </c>
      <c r="S2784" s="229">
        <v>13.208305542769537</v>
      </c>
      <c r="T2784" s="229">
        <v>10.508237456011642</v>
      </c>
      <c r="U2784" s="229">
        <f>U2783-U2782</f>
        <v>7.8420279699783393</v>
      </c>
      <c r="V2784" t="str">
        <f t="shared" si="258"/>
        <v>2019/20Expenditure driversClosely Associated IndirectsDifference</v>
      </c>
    </row>
    <row r="2785" spans="1:22">
      <c r="A2785" t="s">
        <v>141</v>
      </c>
      <c r="C2785" t="s">
        <v>1344</v>
      </c>
      <c r="D2785" t="s">
        <v>105</v>
      </c>
      <c r="E2785" t="s">
        <v>1346</v>
      </c>
      <c r="F2785" t="s">
        <v>606</v>
      </c>
      <c r="G2785" s="829">
        <v>9.9500837905596648E-3</v>
      </c>
      <c r="H2785" s="829">
        <v>0.23236011854366115</v>
      </c>
      <c r="I2785" s="829">
        <v>1.1443459633838422E-2</v>
      </c>
      <c r="J2785" s="829">
        <v>7.1561326387899235E-2</v>
      </c>
      <c r="K2785" s="829">
        <v>8.6376282869282603E-2</v>
      </c>
      <c r="L2785" s="829">
        <v>-4.0394797521277455E-2</v>
      </c>
      <c r="M2785" s="829">
        <v>1.6325975461955789E-2</v>
      </c>
      <c r="N2785" s="829">
        <v>0.33374892009861606</v>
      </c>
      <c r="O2785" s="829">
        <v>8.9432130713314476E-2</v>
      </c>
      <c r="P2785" s="829">
        <v>0.23114078090186463</v>
      </c>
      <c r="Q2785" s="829">
        <v>0.23068268601584938</v>
      </c>
      <c r="R2785" s="829">
        <v>0.34178174921504839</v>
      </c>
      <c r="S2785" s="829">
        <v>0.3468317780496839</v>
      </c>
      <c r="T2785" s="829">
        <v>0.13496347759181154</v>
      </c>
      <c r="U2785" s="829">
        <f>U2784/U2782</f>
        <v>0.14406254702389729</v>
      </c>
      <c r="V2785" t="str">
        <f t="shared" si="258"/>
        <v>2019/20Expenditure driversClosely Associated IndirectsDifference %</v>
      </c>
    </row>
    <row r="2786" spans="1:22">
      <c r="A2786" t="s">
        <v>126</v>
      </c>
      <c r="C2786" t="s">
        <v>1344</v>
      </c>
      <c r="D2786" t="s">
        <v>105</v>
      </c>
      <c r="E2786" t="s">
        <v>297</v>
      </c>
      <c r="F2786" t="s">
        <v>1289</v>
      </c>
      <c r="G2786" s="229" cm="1">
        <f t="array" ref="G2786:T2789">TRANSPOSE('Ch4 expenditure drivers'!BE814:BH827)</f>
        <v>56.796490869677207</v>
      </c>
      <c r="H2786" s="229">
        <v>37.61163695908413</v>
      </c>
      <c r="I2786" s="229">
        <v>46.500073210736922</v>
      </c>
      <c r="J2786" s="229">
        <v>68.832658749280256</v>
      </c>
      <c r="K2786" s="229">
        <v>68.063068970337028</v>
      </c>
      <c r="L2786" s="229">
        <v>38.532511672834815</v>
      </c>
      <c r="M2786" s="229">
        <v>56.746187344990759</v>
      </c>
      <c r="N2786" s="229">
        <v>49.173459386207838</v>
      </c>
      <c r="O2786" s="229">
        <v>52.575125939584154</v>
      </c>
      <c r="P2786" s="229">
        <v>76.045706250040155</v>
      </c>
      <c r="Q2786" s="229">
        <v>46.897385695382674</v>
      </c>
      <c r="R2786" s="229">
        <v>43.68658094498592</v>
      </c>
      <c r="S2786" s="229">
        <v>37.772145170800108</v>
      </c>
      <c r="T2786" s="229">
        <v>76.875397724105113</v>
      </c>
      <c r="U2786" s="229">
        <f>AVERAGE(G2786:T2786)</f>
        <v>54.007744920574794</v>
      </c>
      <c r="V2786" t="str">
        <f t="shared" si="258"/>
        <v>2020/21Expenditure driversClosely Associated IndirectsAllowance</v>
      </c>
    </row>
    <row r="2787" spans="1:22">
      <c r="A2787" t="s">
        <v>126</v>
      </c>
      <c r="C2787" t="s">
        <v>1344</v>
      </c>
      <c r="D2787" t="s">
        <v>105</v>
      </c>
      <c r="E2787" t="s">
        <v>298</v>
      </c>
      <c r="F2787" t="s">
        <v>1289</v>
      </c>
      <c r="G2787" s="229">
        <v>57.999999628731501</v>
      </c>
      <c r="H2787" s="229">
        <v>42.846483499083178</v>
      </c>
      <c r="I2787" s="229">
        <v>45.11648060662624</v>
      </c>
      <c r="J2787" s="229">
        <v>70.07869616918282</v>
      </c>
      <c r="K2787" s="229">
        <v>69.371372252496059</v>
      </c>
      <c r="L2787" s="229">
        <v>35.227735088572139</v>
      </c>
      <c r="M2787" s="229">
        <v>53.436116476695219</v>
      </c>
      <c r="N2787" s="229">
        <v>62.958776824851455</v>
      </c>
      <c r="O2787" s="229">
        <v>62.479959317903891</v>
      </c>
      <c r="P2787" s="229">
        <v>95.703986607844556</v>
      </c>
      <c r="Q2787" s="229">
        <v>58.845982526645194</v>
      </c>
      <c r="R2787" s="229">
        <v>58.35988737027165</v>
      </c>
      <c r="S2787" s="229">
        <v>49.643448111192427</v>
      </c>
      <c r="T2787" s="229">
        <v>93.059038582630066</v>
      </c>
      <c r="U2787" s="229">
        <f>AVERAGE(G2787:T2787)</f>
        <v>61.080568790194739</v>
      </c>
      <c r="V2787" t="str">
        <f t="shared" si="258"/>
        <v>2020/21Expenditure driversClosely Associated IndirectsActual</v>
      </c>
    </row>
    <row r="2788" spans="1:22">
      <c r="A2788" t="s">
        <v>126</v>
      </c>
      <c r="C2788" t="s">
        <v>1344</v>
      </c>
      <c r="D2788" t="s">
        <v>105</v>
      </c>
      <c r="E2788" t="s">
        <v>602</v>
      </c>
      <c r="F2788" t="s">
        <v>1289</v>
      </c>
      <c r="G2788" s="229">
        <v>1.2035087590542943</v>
      </c>
      <c r="H2788" s="229">
        <v>5.2348465399990474</v>
      </c>
      <c r="I2788" s="229">
        <v>-1.3835926041106816</v>
      </c>
      <c r="J2788" s="229">
        <v>1.2460374199025637</v>
      </c>
      <c r="K2788" s="229">
        <v>1.3083032821590308</v>
      </c>
      <c r="L2788" s="229">
        <v>-3.304776584262676</v>
      </c>
      <c r="M2788" s="229">
        <v>-3.31007086829554</v>
      </c>
      <c r="N2788" s="229">
        <v>13.785317438643617</v>
      </c>
      <c r="O2788" s="229">
        <v>9.9048333783197364</v>
      </c>
      <c r="P2788" s="229">
        <v>19.658280357804401</v>
      </c>
      <c r="Q2788" s="229">
        <v>11.94859683126252</v>
      </c>
      <c r="R2788" s="229">
        <v>14.67330642528573</v>
      </c>
      <c r="S2788" s="229">
        <v>11.871302940392319</v>
      </c>
      <c r="T2788" s="229">
        <v>16.183640858524953</v>
      </c>
      <c r="U2788" s="229">
        <f>U2787-U2786</f>
        <v>7.0728238696199455</v>
      </c>
      <c r="V2788" t="str">
        <f t="shared" si="258"/>
        <v>2020/21Expenditure driversClosely Associated IndirectsDifference</v>
      </c>
    </row>
    <row r="2789" spans="1:22">
      <c r="A2789" t="s">
        <v>126</v>
      </c>
      <c r="C2789" t="s">
        <v>1344</v>
      </c>
      <c r="D2789" t="s">
        <v>105</v>
      </c>
      <c r="E2789" t="s">
        <v>1346</v>
      </c>
      <c r="F2789" t="s">
        <v>606</v>
      </c>
      <c r="G2789" s="829">
        <v>2.118984360875065E-2</v>
      </c>
      <c r="H2789" s="829">
        <v>0.13918156621828989</v>
      </c>
      <c r="I2789" s="829">
        <v>-2.9754632811872832E-2</v>
      </c>
      <c r="J2789" s="829">
        <v>1.8102415954048743E-2</v>
      </c>
      <c r="K2789" s="829">
        <v>1.922192610399643E-2</v>
      </c>
      <c r="L2789" s="829">
        <v>-8.5765927026047545E-2</v>
      </c>
      <c r="M2789" s="829">
        <v>-5.8331158852520423E-2</v>
      </c>
      <c r="N2789" s="829">
        <v>0.28034060671578698</v>
      </c>
      <c r="O2789" s="829">
        <v>0.1883939068391717</v>
      </c>
      <c r="P2789" s="829">
        <v>0.25850611858567651</v>
      </c>
      <c r="Q2789" s="829">
        <v>0.25478172512372965</v>
      </c>
      <c r="R2789" s="829">
        <v>0.33587674081804847</v>
      </c>
      <c r="S2789" s="829">
        <v>0.31428723168123029</v>
      </c>
      <c r="T2789" s="829">
        <v>0.21051781633190039</v>
      </c>
      <c r="U2789" s="829">
        <f>U2788/U2786</f>
        <v>0.13095943702188317</v>
      </c>
      <c r="V2789" t="str">
        <f t="shared" si="258"/>
        <v>2020/21Expenditure driversClosely Associated IndirectsDifference %</v>
      </c>
    </row>
    <row r="2790" spans="1:22">
      <c r="A2790" t="s">
        <v>142</v>
      </c>
      <c r="C2790" t="s">
        <v>1344</v>
      </c>
      <c r="D2790" t="s">
        <v>105</v>
      </c>
      <c r="E2790" t="s">
        <v>297</v>
      </c>
      <c r="F2790" t="s">
        <v>1289</v>
      </c>
      <c r="G2790" s="229" cm="1">
        <f t="array" ref="G2790:T2793">TRANSPOSE('Ch4 expenditure drivers'!BJ814:BM827)</f>
        <v>56.130343699168655</v>
      </c>
      <c r="H2790" s="229">
        <v>37.207862125471031</v>
      </c>
      <c r="I2790" s="229">
        <v>45.803192587360179</v>
      </c>
      <c r="J2790" s="229">
        <v>69.292793895842266</v>
      </c>
      <c r="K2790" s="229">
        <v>68.942707837205461</v>
      </c>
      <c r="L2790" s="229">
        <v>38.795444416662917</v>
      </c>
      <c r="M2790" s="229">
        <v>56.866664823281916</v>
      </c>
      <c r="N2790" s="229">
        <v>47.771254269820709</v>
      </c>
      <c r="O2790" s="229">
        <v>52.419031479292926</v>
      </c>
      <c r="P2790" s="229">
        <v>75.330690155455613</v>
      </c>
      <c r="Q2790" s="229">
        <v>46.84105486222137</v>
      </c>
      <c r="R2790" s="229">
        <v>44.047448855713462</v>
      </c>
      <c r="S2790" s="229">
        <v>37.883199500842586</v>
      </c>
      <c r="T2790" s="229">
        <v>76.856883407663474</v>
      </c>
      <c r="U2790" s="229">
        <f>AVERAGE(G2790:T2790)</f>
        <v>53.870612279714464</v>
      </c>
      <c r="V2790" t="str">
        <f t="shared" ref="V2790:V2793" si="262">CONCATENATE(A2790,B2790,C2790,D2790,E2790)</f>
        <v>2021/22Expenditure driversClosely Associated IndirectsAllowance</v>
      </c>
    </row>
    <row r="2791" spans="1:22">
      <c r="A2791" t="s">
        <v>142</v>
      </c>
      <c r="C2791" t="s">
        <v>1344</v>
      </c>
      <c r="D2791" t="s">
        <v>105</v>
      </c>
      <c r="E2791" t="s">
        <v>298</v>
      </c>
      <c r="F2791" t="s">
        <v>1289</v>
      </c>
      <c r="G2791" s="229">
        <v>60.381610863676769</v>
      </c>
      <c r="H2791" s="229">
        <v>39.23129479657031</v>
      </c>
      <c r="I2791" s="229">
        <v>45.052037215005988</v>
      </c>
      <c r="J2791" s="229">
        <v>69.809899999999985</v>
      </c>
      <c r="K2791" s="229">
        <v>68.353700000000003</v>
      </c>
      <c r="L2791" s="229">
        <v>35.818800000000003</v>
      </c>
      <c r="M2791" s="229">
        <v>53.139599999999994</v>
      </c>
      <c r="N2791" s="229">
        <v>63.725115674744757</v>
      </c>
      <c r="O2791" s="229">
        <v>57.000200434809699</v>
      </c>
      <c r="P2791" s="229">
        <v>101.1097913689681</v>
      </c>
      <c r="Q2791" s="229">
        <v>57.952652956293996</v>
      </c>
      <c r="R2791" s="229">
        <v>61.228443278367401</v>
      </c>
      <c r="S2791" s="229">
        <v>55.870046854485771</v>
      </c>
      <c r="T2791" s="229">
        <v>99.474058890313856</v>
      </c>
      <c r="U2791" s="229">
        <f>AVERAGE(G2791:T2791)</f>
        <v>62.010518023802611</v>
      </c>
      <c r="V2791" t="str">
        <f t="shared" si="262"/>
        <v>2021/22Expenditure driversClosely Associated IndirectsActual</v>
      </c>
    </row>
    <row r="2792" spans="1:22">
      <c r="A2792" t="s">
        <v>142</v>
      </c>
      <c r="C2792" t="s">
        <v>1344</v>
      </c>
      <c r="D2792" t="s">
        <v>105</v>
      </c>
      <c r="E2792" t="s">
        <v>602</v>
      </c>
      <c r="F2792" t="s">
        <v>1289</v>
      </c>
      <c r="G2792" s="229">
        <v>4.2512671645081141</v>
      </c>
      <c r="H2792" s="229">
        <v>2.0234326710992789</v>
      </c>
      <c r="I2792" s="229">
        <v>-0.75115537235419083</v>
      </c>
      <c r="J2792" s="229">
        <v>0.51710610415771896</v>
      </c>
      <c r="K2792" s="229">
        <v>-0.58900783720545746</v>
      </c>
      <c r="L2792" s="229">
        <v>-2.9766444166629142</v>
      </c>
      <c r="M2792" s="229">
        <v>-3.7270648232819212</v>
      </c>
      <c r="N2792" s="229">
        <v>15.953861404924048</v>
      </c>
      <c r="O2792" s="229">
        <v>4.5811689555167732</v>
      </c>
      <c r="P2792" s="229">
        <v>25.77910121351249</v>
      </c>
      <c r="Q2792" s="229">
        <v>11.111598094072626</v>
      </c>
      <c r="R2792" s="229">
        <v>17.180994422653939</v>
      </c>
      <c r="S2792" s="229">
        <v>17.986847353643185</v>
      </c>
      <c r="T2792" s="229">
        <v>22.617175482650381</v>
      </c>
      <c r="U2792" s="229">
        <f>U2791-U2790</f>
        <v>8.1399057440881464</v>
      </c>
      <c r="V2792" t="str">
        <f t="shared" si="262"/>
        <v>2021/22Expenditure driversClosely Associated IndirectsDifference</v>
      </c>
    </row>
    <row r="2793" spans="1:22">
      <c r="A2793" t="s">
        <v>142</v>
      </c>
      <c r="C2793" t="s">
        <v>1344</v>
      </c>
      <c r="D2793" t="s">
        <v>105</v>
      </c>
      <c r="E2793" t="s">
        <v>1346</v>
      </c>
      <c r="F2793" t="s">
        <v>606</v>
      </c>
      <c r="G2793" s="829">
        <v>7.5739197096188093E-2</v>
      </c>
      <c r="H2793" s="829">
        <v>5.4381857906157877E-2</v>
      </c>
      <c r="I2793" s="829">
        <v>-1.6399629150774069E-2</v>
      </c>
      <c r="J2793" s="829">
        <v>7.4626245397899386E-3</v>
      </c>
      <c r="K2793" s="829">
        <v>-8.5434392654881314E-3</v>
      </c>
      <c r="L2793" s="829">
        <v>-7.6726648229461306E-2</v>
      </c>
      <c r="M2793" s="829">
        <v>-6.5540415195160434E-2</v>
      </c>
      <c r="N2793" s="829">
        <v>0.33396362831115434</v>
      </c>
      <c r="O2793" s="829">
        <v>8.7395146881461758E-2</v>
      </c>
      <c r="P2793" s="829">
        <v>0.34221246560085461</v>
      </c>
      <c r="Q2793" s="829">
        <v>0.2372192113682402</v>
      </c>
      <c r="R2793" s="829">
        <v>0.39005651562100324</v>
      </c>
      <c r="S2793" s="829">
        <v>0.47479747198340855</v>
      </c>
      <c r="T2793" s="829">
        <v>0.29427651083227768</v>
      </c>
      <c r="U2793" s="829">
        <f>U2792/U2790</f>
        <v>0.15110104377175071</v>
      </c>
      <c r="V2793" t="str">
        <f t="shared" si="262"/>
        <v>2021/22Expenditure driversClosely Associated IndirectsDifference %</v>
      </c>
    </row>
    <row r="2794" spans="1:22">
      <c r="A2794" t="s">
        <v>137</v>
      </c>
      <c r="C2794" t="s">
        <v>1344</v>
      </c>
      <c r="D2794" t="s">
        <v>107</v>
      </c>
      <c r="E2794" t="s">
        <v>1347</v>
      </c>
      <c r="F2794" t="s">
        <v>1289</v>
      </c>
      <c r="G2794">
        <f t="array" ref="G2794:T2801">TRANSPOSE('Ch4 expenditure drivers'!E834:L847)</f>
        <v>40.852117063604176</v>
      </c>
      <c r="H2794">
        <v>21.967999031263449</v>
      </c>
      <c r="I2794">
        <v>25.664947783231462</v>
      </c>
      <c r="J2794">
        <v>34.850200593562079</v>
      </c>
      <c r="K2794">
        <v>36.297523233765432</v>
      </c>
      <c r="L2794">
        <v>18.88067707578135</v>
      </c>
      <c r="M2794">
        <v>29.910832433904034</v>
      </c>
      <c r="N2794">
        <v>28.157999056892987</v>
      </c>
      <c r="O2794">
        <v>28.592614819600225</v>
      </c>
      <c r="P2794">
        <v>36.546924889211716</v>
      </c>
      <c r="Q2794">
        <v>23.66487173693568</v>
      </c>
      <c r="R2794">
        <v>22.235976279751981</v>
      </c>
      <c r="S2794">
        <v>22.519040487075387</v>
      </c>
      <c r="T2794">
        <v>34.16762736884516</v>
      </c>
      <c r="U2794">
        <f>AVERAGE(G2794:T2794)</f>
        <v>28.879239418101797</v>
      </c>
      <c r="V2794" t="str">
        <f t="shared" si="258"/>
        <v>2015/16Expenditure driversBusiness SupportBPDT</v>
      </c>
    </row>
    <row r="2795" spans="1:22">
      <c r="A2795" t="s">
        <v>138</v>
      </c>
      <c r="C2795" t="s">
        <v>1344</v>
      </c>
      <c r="D2795" t="s">
        <v>107</v>
      </c>
      <c r="E2795" t="s">
        <v>1347</v>
      </c>
      <c r="F2795" t="s">
        <v>1289</v>
      </c>
      <c r="G2795">
        <v>38.933398196751057</v>
      </c>
      <c r="H2795">
        <v>22.040126426902088</v>
      </c>
      <c r="I2795">
        <v>25.424880453586422</v>
      </c>
      <c r="J2795">
        <v>34.901899374659294</v>
      </c>
      <c r="K2795">
        <v>36.303484148795746</v>
      </c>
      <c r="L2795">
        <v>18.876010723437897</v>
      </c>
      <c r="M2795">
        <v>29.98911808566028</v>
      </c>
      <c r="N2795">
        <v>28.426023143728589</v>
      </c>
      <c r="O2795">
        <v>28.684985692736582</v>
      </c>
      <c r="P2795">
        <v>36.88895761115424</v>
      </c>
      <c r="Q2795">
        <v>25.193766061856337</v>
      </c>
      <c r="R2795">
        <v>21.521629625350272</v>
      </c>
      <c r="S2795">
        <v>22.990096125497601</v>
      </c>
      <c r="T2795">
        <v>34.954284994720986</v>
      </c>
      <c r="U2795">
        <f t="shared" ref="U2795:U2826" si="263">AVERAGE(G2795:T2795)</f>
        <v>28.937761476059816</v>
      </c>
      <c r="V2795" t="str">
        <f t="shared" si="258"/>
        <v>2016/17Expenditure driversBusiness SupportBPDT</v>
      </c>
    </row>
    <row r="2796" spans="1:22">
      <c r="A2796" t="s">
        <v>139</v>
      </c>
      <c r="C2796" t="s">
        <v>1344</v>
      </c>
      <c r="D2796" t="s">
        <v>107</v>
      </c>
      <c r="E2796" t="s">
        <v>1347</v>
      </c>
      <c r="F2796" t="s">
        <v>1289</v>
      </c>
      <c r="G2796">
        <v>38.677232873210137</v>
      </c>
      <c r="H2796">
        <v>22.192396583874078</v>
      </c>
      <c r="I2796">
        <v>25.36574838581144</v>
      </c>
      <c r="J2796">
        <v>34.788031101529995</v>
      </c>
      <c r="K2796">
        <v>36.124111949813482</v>
      </c>
      <c r="L2796">
        <v>18.702148010906559</v>
      </c>
      <c r="M2796">
        <v>29.990707102825752</v>
      </c>
      <c r="N2796">
        <v>27.984343205125388</v>
      </c>
      <c r="O2796">
        <v>28.404480051905509</v>
      </c>
      <c r="P2796">
        <v>36.507360743429103</v>
      </c>
      <c r="Q2796">
        <v>25.261872003797635</v>
      </c>
      <c r="R2796">
        <v>21.245502655810693</v>
      </c>
      <c r="S2796">
        <v>23.411289910568655</v>
      </c>
      <c r="T2796">
        <v>35.69442371005151</v>
      </c>
      <c r="U2796">
        <f t="shared" si="263"/>
        <v>28.882117734904284</v>
      </c>
      <c r="V2796" t="str">
        <f t="shared" si="258"/>
        <v>2017/18Expenditure driversBusiness SupportBPDT</v>
      </c>
    </row>
    <row r="2797" spans="1:22">
      <c r="A2797" t="s">
        <v>140</v>
      </c>
      <c r="C2797" t="s">
        <v>1344</v>
      </c>
      <c r="D2797" t="s">
        <v>107</v>
      </c>
      <c r="E2797" t="s">
        <v>1347</v>
      </c>
      <c r="F2797" t="s">
        <v>1289</v>
      </c>
      <c r="G2797">
        <v>38.552649233848953</v>
      </c>
      <c r="H2797">
        <v>22.309121560677415</v>
      </c>
      <c r="I2797">
        <v>25.587950689977422</v>
      </c>
      <c r="J2797">
        <v>34.878162260666123</v>
      </c>
      <c r="K2797">
        <v>36.153053910090478</v>
      </c>
      <c r="L2797">
        <v>18.843757985216218</v>
      </c>
      <c r="M2797">
        <v>30.060156615693227</v>
      </c>
      <c r="N2797">
        <v>27.732965434246758</v>
      </c>
      <c r="O2797">
        <v>28.577649013725448</v>
      </c>
      <c r="P2797">
        <v>36.922993639230704</v>
      </c>
      <c r="Q2797">
        <v>25.219471686741169</v>
      </c>
      <c r="R2797">
        <v>20.544329443760276</v>
      </c>
      <c r="S2797">
        <v>23.644472108565722</v>
      </c>
      <c r="T2797">
        <v>36.273978374004464</v>
      </c>
      <c r="U2797">
        <f t="shared" si="263"/>
        <v>28.950050854031737</v>
      </c>
      <c r="V2797" t="str">
        <f t="shared" si="258"/>
        <v>2018/19Expenditure driversBusiness SupportBPDT</v>
      </c>
    </row>
    <row r="2798" spans="1:22">
      <c r="A2798" t="s">
        <v>141</v>
      </c>
      <c r="C2798" t="s">
        <v>1344</v>
      </c>
      <c r="D2798" t="s">
        <v>107</v>
      </c>
      <c r="E2798" t="s">
        <v>1347</v>
      </c>
      <c r="F2798" t="s">
        <v>1289</v>
      </c>
      <c r="G2798">
        <v>38.095112229012358</v>
      </c>
      <c r="H2798">
        <v>22.296082987501805</v>
      </c>
      <c r="I2798">
        <v>25.464070968979094</v>
      </c>
      <c r="J2798">
        <v>35.157462389632755</v>
      </c>
      <c r="K2798">
        <v>36.370915439097701</v>
      </c>
      <c r="L2798">
        <v>18.774246877981803</v>
      </c>
      <c r="M2798">
        <v>30.173884949815818</v>
      </c>
      <c r="N2798">
        <v>27.735173864819494</v>
      </c>
      <c r="O2798">
        <v>28.690314475687234</v>
      </c>
      <c r="P2798">
        <v>36.911273509266657</v>
      </c>
      <c r="Q2798">
        <v>25.433998782555953</v>
      </c>
      <c r="R2798">
        <v>20.346295915887158</v>
      </c>
      <c r="S2798">
        <v>23.666409557223098</v>
      </c>
      <c r="T2798">
        <v>36.344692617288388</v>
      </c>
      <c r="U2798">
        <f t="shared" si="263"/>
        <v>28.961423897482092</v>
      </c>
      <c r="V2798" t="str">
        <f t="shared" ref="V2798:V2866" si="264">CONCATENATE(A2798,B2798,C2798,D2798,E2798)</f>
        <v>2019/20Expenditure driversBusiness SupportBPDT</v>
      </c>
    </row>
    <row r="2799" spans="1:22">
      <c r="A2799" t="s">
        <v>126</v>
      </c>
      <c r="C2799" t="s">
        <v>1344</v>
      </c>
      <c r="D2799" t="s">
        <v>107</v>
      </c>
      <c r="E2799" t="s">
        <v>1347</v>
      </c>
      <c r="F2799" t="s">
        <v>1289</v>
      </c>
      <c r="G2799">
        <v>39.248411940609436</v>
      </c>
      <c r="H2799">
        <v>22.303645917528982</v>
      </c>
      <c r="I2799">
        <v>25.427738091351912</v>
      </c>
      <c r="J2799">
        <v>35.353250335379499</v>
      </c>
      <c r="K2799">
        <v>36.534919954531809</v>
      </c>
      <c r="L2799">
        <v>18.91741260122053</v>
      </c>
      <c r="M2799">
        <v>30.404323689072484</v>
      </c>
      <c r="N2799">
        <v>27.759520058785373</v>
      </c>
      <c r="O2799">
        <v>28.648960693334818</v>
      </c>
      <c r="P2799">
        <v>36.836140155219496</v>
      </c>
      <c r="Q2799">
        <v>25.203405730745519</v>
      </c>
      <c r="R2799">
        <v>19.965019569905344</v>
      </c>
      <c r="S2799">
        <v>23.695206136755889</v>
      </c>
      <c r="T2799">
        <v>36.415759586539345</v>
      </c>
      <c r="U2799">
        <f t="shared" si="263"/>
        <v>29.050979604355742</v>
      </c>
      <c r="V2799" t="str">
        <f t="shared" si="264"/>
        <v>2020/21Expenditure driversBusiness SupportBPDT</v>
      </c>
    </row>
    <row r="2800" spans="1:22">
      <c r="A2800" t="s">
        <v>142</v>
      </c>
      <c r="C2800" t="s">
        <v>1344</v>
      </c>
      <c r="D2800" t="s">
        <v>107</v>
      </c>
      <c r="E2800" t="s">
        <v>1347</v>
      </c>
      <c r="F2800" t="s">
        <v>1289</v>
      </c>
      <c r="G2800">
        <v>39.00616877444746</v>
      </c>
      <c r="H2800">
        <v>22.386236706282894</v>
      </c>
      <c r="I2800">
        <v>25.453697871477154</v>
      </c>
      <c r="J2800">
        <v>35.590784908488686</v>
      </c>
      <c r="K2800">
        <v>36.973048609638823</v>
      </c>
      <c r="L2800">
        <v>18.948483655655281</v>
      </c>
      <c r="M2800">
        <v>30.438148111205805</v>
      </c>
      <c r="N2800">
        <v>27.751682926211803</v>
      </c>
      <c r="O2800">
        <v>28.540828142753227</v>
      </c>
      <c r="P2800">
        <v>36.876638995366143</v>
      </c>
      <c r="Q2800">
        <v>25.041071371339559</v>
      </c>
      <c r="R2800">
        <v>20.717061484976711</v>
      </c>
      <c r="S2800">
        <v>23.734360388655556</v>
      </c>
      <c r="T2800">
        <v>36.502562677320192</v>
      </c>
      <c r="U2800">
        <f t="shared" si="263"/>
        <v>29.140055330272808</v>
      </c>
      <c r="V2800" t="str">
        <f t="shared" si="264"/>
        <v>2021/22Expenditure driversBusiness SupportBPDT</v>
      </c>
    </row>
    <row r="2801" spans="1:22">
      <c r="A2801" t="s">
        <v>143</v>
      </c>
      <c r="C2801" t="s">
        <v>1344</v>
      </c>
      <c r="D2801" t="s">
        <v>107</v>
      </c>
      <c r="E2801" t="s">
        <v>1347</v>
      </c>
      <c r="F2801" t="s">
        <v>1289</v>
      </c>
      <c r="G2801">
        <v>38.018189581783609</v>
      </c>
      <c r="H2801">
        <v>22.437560258556648</v>
      </c>
      <c r="I2801">
        <v>25.371499047075307</v>
      </c>
      <c r="J2801">
        <v>35.64718883262055</v>
      </c>
      <c r="K2801">
        <v>36.970445877198294</v>
      </c>
      <c r="L2801">
        <v>18.953704598183212</v>
      </c>
      <c r="M2801">
        <v>30.617744373244022</v>
      </c>
      <c r="N2801">
        <v>27.419185616139998</v>
      </c>
      <c r="O2801">
        <v>28.242224706603515</v>
      </c>
      <c r="P2801">
        <v>36.369973119071688</v>
      </c>
      <c r="Q2801">
        <v>25.207143707144589</v>
      </c>
      <c r="R2801">
        <v>20.98209009528788</v>
      </c>
      <c r="S2801">
        <v>23.781375541058861</v>
      </c>
      <c r="T2801">
        <v>36.592654451897388</v>
      </c>
      <c r="U2801">
        <f t="shared" si="263"/>
        <v>29.043641414704688</v>
      </c>
      <c r="V2801" t="str">
        <f t="shared" si="264"/>
        <v>2022/23Expenditure driversBusiness SupportBPDT</v>
      </c>
    </row>
    <row r="2802" spans="1:22">
      <c r="A2802" t="s">
        <v>137</v>
      </c>
      <c r="C2802" t="s">
        <v>1344</v>
      </c>
      <c r="D2802" t="s">
        <v>107</v>
      </c>
      <c r="E2802" t="s">
        <v>1348</v>
      </c>
      <c r="F2802" t="s">
        <v>1289</v>
      </c>
      <c r="G2802">
        <f t="array" ref="G2802:T2809">TRANSPOSE('Ch4 expenditure drivers'!N834:U847)</f>
        <v>39.760963324215062</v>
      </c>
      <c r="H2802">
        <v>24.736727474494121</v>
      </c>
      <c r="I2802">
        <v>28.632984715933425</v>
      </c>
      <c r="J2802">
        <v>34.850200593562079</v>
      </c>
      <c r="K2802">
        <v>36.297523233765432</v>
      </c>
      <c r="L2802">
        <v>18.88067707578135</v>
      </c>
      <c r="M2802">
        <v>29.910832433904034</v>
      </c>
      <c r="N2802">
        <v>30.431469846216093</v>
      </c>
      <c r="O2802">
        <v>31.172773602797289</v>
      </c>
      <c r="P2802">
        <v>38.652205684247974</v>
      </c>
      <c r="Q2802">
        <v>26.459466890698884</v>
      </c>
      <c r="R2802">
        <v>22.079742952789559</v>
      </c>
      <c r="S2802">
        <v>24.661791315331264</v>
      </c>
      <c r="T2802">
        <v>39.348872052492347</v>
      </c>
      <c r="U2802">
        <f t="shared" si="263"/>
        <v>30.419730799730637</v>
      </c>
      <c r="V2802" t="str">
        <f t="shared" si="264"/>
        <v>2015/16Expenditure driversBusiness SupportDNO Baseline</v>
      </c>
    </row>
    <row r="2803" spans="1:22">
      <c r="A2803" t="s">
        <v>138</v>
      </c>
      <c r="C2803" t="s">
        <v>1344</v>
      </c>
      <c r="D2803" t="s">
        <v>107</v>
      </c>
      <c r="E2803" t="s">
        <v>1348</v>
      </c>
      <c r="F2803" t="s">
        <v>1289</v>
      </c>
      <c r="G2803">
        <v>38.02776106543017</v>
      </c>
      <c r="H2803">
        <v>24.726644526005106</v>
      </c>
      <c r="I2803">
        <v>28.246141995880105</v>
      </c>
      <c r="J2803">
        <v>34.901899374659294</v>
      </c>
      <c r="K2803">
        <v>36.303484148795746</v>
      </c>
      <c r="L2803">
        <v>18.876010723437897</v>
      </c>
      <c r="M2803">
        <v>29.98911808566028</v>
      </c>
      <c r="N2803">
        <v>29.75612731301289</v>
      </c>
      <c r="O2803">
        <v>30.705877097085409</v>
      </c>
      <c r="P2803">
        <v>37.835681836373396</v>
      </c>
      <c r="Q2803">
        <v>26.660655465101058</v>
      </c>
      <c r="R2803">
        <v>21.698935172743603</v>
      </c>
      <c r="S2803">
        <v>24.960264851901727</v>
      </c>
      <c r="T2803">
        <v>39.265022930836913</v>
      </c>
      <c r="U2803">
        <f t="shared" si="263"/>
        <v>30.139544613351688</v>
      </c>
      <c r="V2803" t="str">
        <f t="shared" si="264"/>
        <v>2016/17Expenditure driversBusiness SupportDNO Baseline</v>
      </c>
    </row>
    <row r="2804" spans="1:22">
      <c r="A2804" t="s">
        <v>139</v>
      </c>
      <c r="C2804" t="s">
        <v>1344</v>
      </c>
      <c r="D2804" t="s">
        <v>107</v>
      </c>
      <c r="E2804" t="s">
        <v>1348</v>
      </c>
      <c r="F2804" t="s">
        <v>1289</v>
      </c>
      <c r="G2804">
        <v>37.485336758136498</v>
      </c>
      <c r="H2804">
        <v>24.712787579072799</v>
      </c>
      <c r="I2804">
        <v>28.152223197843245</v>
      </c>
      <c r="J2804">
        <v>34.788031101529995</v>
      </c>
      <c r="K2804">
        <v>36.124111949813482</v>
      </c>
      <c r="L2804">
        <v>18.702148010906559</v>
      </c>
      <c r="M2804">
        <v>29.990707102825752</v>
      </c>
      <c r="N2804">
        <v>28.633560809908126</v>
      </c>
      <c r="O2804">
        <v>29.61483905112814</v>
      </c>
      <c r="P2804">
        <v>36.747796715435392</v>
      </c>
      <c r="Q2804">
        <v>26.42927271838262</v>
      </c>
      <c r="R2804">
        <v>21.038265414830999</v>
      </c>
      <c r="S2804">
        <v>24.926332387475917</v>
      </c>
      <c r="T2804">
        <v>39.643390164700385</v>
      </c>
      <c r="U2804">
        <f t="shared" si="263"/>
        <v>29.784914497284994</v>
      </c>
      <c r="V2804" t="str">
        <f t="shared" si="264"/>
        <v>2017/18Expenditure driversBusiness SupportDNO Baseline</v>
      </c>
    </row>
    <row r="2805" spans="1:22">
      <c r="A2805" t="s">
        <v>140</v>
      </c>
      <c r="C2805" t="s">
        <v>1344</v>
      </c>
      <c r="D2805" t="s">
        <v>107</v>
      </c>
      <c r="E2805" t="s">
        <v>1348</v>
      </c>
      <c r="F2805" t="s">
        <v>1289</v>
      </c>
      <c r="G2805">
        <v>37.366549476696477</v>
      </c>
      <c r="H2805">
        <v>24.755030259322901</v>
      </c>
      <c r="I2805">
        <v>28.353421113560717</v>
      </c>
      <c r="J2805">
        <v>34.878162260666123</v>
      </c>
      <c r="K2805">
        <v>36.153053910090478</v>
      </c>
      <c r="L2805">
        <v>18.843757985216218</v>
      </c>
      <c r="M2805">
        <v>30.060156615693227</v>
      </c>
      <c r="N2805">
        <v>28.383018999451174</v>
      </c>
      <c r="O2805">
        <v>29.278922511291416</v>
      </c>
      <c r="P2805">
        <v>36.672008230077573</v>
      </c>
      <c r="Q2805">
        <v>26.150874432837217</v>
      </c>
      <c r="R2805">
        <v>20.284215710999593</v>
      </c>
      <c r="S2805">
        <v>25.114084658917996</v>
      </c>
      <c r="T2805">
        <v>39.810527988393275</v>
      </c>
      <c r="U2805">
        <f t="shared" si="263"/>
        <v>29.72169886808674</v>
      </c>
      <c r="V2805" t="str">
        <f t="shared" si="264"/>
        <v>2018/19Expenditure driversBusiness SupportDNO Baseline</v>
      </c>
    </row>
    <row r="2806" spans="1:22">
      <c r="A2806" t="s">
        <v>141</v>
      </c>
      <c r="C2806" t="s">
        <v>1344</v>
      </c>
      <c r="D2806" t="s">
        <v>107</v>
      </c>
      <c r="E2806" t="s">
        <v>1348</v>
      </c>
      <c r="F2806" t="s">
        <v>1289</v>
      </c>
      <c r="G2806">
        <v>36.732112920532899</v>
      </c>
      <c r="H2806">
        <v>24.512299352092768</v>
      </c>
      <c r="I2806">
        <v>27.887295144560785</v>
      </c>
      <c r="J2806">
        <v>35.157462389632755</v>
      </c>
      <c r="K2806">
        <v>36.370915439097701</v>
      </c>
      <c r="L2806">
        <v>18.774246877981803</v>
      </c>
      <c r="M2806">
        <v>30.173884949815818</v>
      </c>
      <c r="N2806">
        <v>27.911678352082429</v>
      </c>
      <c r="O2806">
        <v>28.682319729088182</v>
      </c>
      <c r="P2806">
        <v>36.007943112044039</v>
      </c>
      <c r="Q2806">
        <v>26.133160979405737</v>
      </c>
      <c r="R2806">
        <v>20.143035704444351</v>
      </c>
      <c r="S2806">
        <v>24.604438820203313</v>
      </c>
      <c r="T2806">
        <v>39.644511870209755</v>
      </c>
      <c r="U2806">
        <f t="shared" si="263"/>
        <v>29.481093260085157</v>
      </c>
      <c r="V2806" t="str">
        <f t="shared" si="264"/>
        <v>2019/20Expenditure driversBusiness SupportDNO Baseline</v>
      </c>
    </row>
    <row r="2807" spans="1:22">
      <c r="A2807" t="s">
        <v>126</v>
      </c>
      <c r="C2807" t="s">
        <v>1344</v>
      </c>
      <c r="D2807" t="s">
        <v>107</v>
      </c>
      <c r="E2807" t="s">
        <v>1348</v>
      </c>
      <c r="F2807" t="s">
        <v>1289</v>
      </c>
      <c r="G2807">
        <v>37.237910703237461</v>
      </c>
      <c r="H2807">
        <v>24.0708153070522</v>
      </c>
      <c r="I2807">
        <v>27.427236326306552</v>
      </c>
      <c r="J2807">
        <v>35.353250335379499</v>
      </c>
      <c r="K2807">
        <v>36.534919954531809</v>
      </c>
      <c r="L2807">
        <v>18.91741260122053</v>
      </c>
      <c r="M2807">
        <v>30.404323689072484</v>
      </c>
      <c r="N2807">
        <v>27.330628571458583</v>
      </c>
      <c r="O2807">
        <v>28.188828655008511</v>
      </c>
      <c r="P2807">
        <v>35.216060845847437</v>
      </c>
      <c r="Q2807">
        <v>26.040050219051956</v>
      </c>
      <c r="R2807">
        <v>19.683037029610375</v>
      </c>
      <c r="S2807">
        <v>24.401518262420005</v>
      </c>
      <c r="T2807">
        <v>39.139296885511108</v>
      </c>
      <c r="U2807">
        <f t="shared" si="263"/>
        <v>29.281806384693464</v>
      </c>
      <c r="V2807" t="str">
        <f t="shared" si="264"/>
        <v>2020/21Expenditure driversBusiness SupportDNO Baseline</v>
      </c>
    </row>
    <row r="2808" spans="1:22">
      <c r="A2808" t="s">
        <v>142</v>
      </c>
      <c r="C2808" t="s">
        <v>1344</v>
      </c>
      <c r="D2808" t="s">
        <v>107</v>
      </c>
      <c r="E2808" t="s">
        <v>1348</v>
      </c>
      <c r="F2808" t="s">
        <v>1289</v>
      </c>
      <c r="G2808">
        <v>36.824974419632703</v>
      </c>
      <c r="H2808">
        <v>23.845713842511355</v>
      </c>
      <c r="I2808">
        <v>27.089136501718805</v>
      </c>
      <c r="J2808">
        <v>35.590784908488686</v>
      </c>
      <c r="K2808">
        <v>36.973048609638823</v>
      </c>
      <c r="L2808">
        <v>18.948483655655281</v>
      </c>
      <c r="M2808">
        <v>30.438148111205805</v>
      </c>
      <c r="N2808">
        <v>26.564064488805652</v>
      </c>
      <c r="O2808">
        <v>28.00786174714878</v>
      </c>
      <c r="P2808">
        <v>34.891593290141209</v>
      </c>
      <c r="Q2808">
        <v>26.00659934948132</v>
      </c>
      <c r="R2808">
        <v>20.003218763301934</v>
      </c>
      <c r="S2808">
        <v>24.441628867003125</v>
      </c>
      <c r="T2808">
        <v>39.126207449226698</v>
      </c>
      <c r="U2808">
        <f t="shared" si="263"/>
        <v>29.196533143140016</v>
      </c>
      <c r="V2808" t="str">
        <f t="shared" si="264"/>
        <v>2021/22Expenditure driversBusiness SupportDNO Baseline</v>
      </c>
    </row>
    <row r="2809" spans="1:22">
      <c r="A2809" t="s">
        <v>143</v>
      </c>
      <c r="C2809" t="s">
        <v>1344</v>
      </c>
      <c r="D2809" t="s">
        <v>107</v>
      </c>
      <c r="E2809" t="s">
        <v>1348</v>
      </c>
      <c r="F2809" t="s">
        <v>1289</v>
      </c>
      <c r="G2809">
        <v>35.90611172856898</v>
      </c>
      <c r="H2809">
        <v>23.489718317291413</v>
      </c>
      <c r="I2809">
        <v>26.618127952173193</v>
      </c>
      <c r="J2809">
        <v>35.64718883262055</v>
      </c>
      <c r="K2809">
        <v>36.970445877198294</v>
      </c>
      <c r="L2809">
        <v>18.953704598183212</v>
      </c>
      <c r="M2809">
        <v>30.617744373244022</v>
      </c>
      <c r="N2809">
        <v>25.851863600666903</v>
      </c>
      <c r="O2809">
        <v>27.371039376835043</v>
      </c>
      <c r="P2809">
        <v>34.18402951467467</v>
      </c>
      <c r="Q2809">
        <v>25.801835925613773</v>
      </c>
      <c r="R2809">
        <v>19.993809771008241</v>
      </c>
      <c r="S2809">
        <v>24.1441054003899</v>
      </c>
      <c r="T2809">
        <v>38.587212507570413</v>
      </c>
      <c r="U2809">
        <f t="shared" si="263"/>
        <v>28.866924126859896</v>
      </c>
      <c r="V2809" t="str">
        <f t="shared" si="264"/>
        <v>2022/23Expenditure driversBusiness SupportDNO Baseline</v>
      </c>
    </row>
    <row r="2810" spans="1:22">
      <c r="A2810" t="s">
        <v>137</v>
      </c>
      <c r="C2810" t="s">
        <v>1344</v>
      </c>
      <c r="D2810" t="s">
        <v>107</v>
      </c>
      <c r="E2810" t="s">
        <v>1349</v>
      </c>
      <c r="F2810" t="s">
        <v>1289</v>
      </c>
      <c r="G2810" cm="1">
        <f t="array" ref="G2810:T2816">TRANSPOSE('Ch4 expenditure drivers'!W834:AC847)</f>
        <v>36.306757426485134</v>
      </c>
      <c r="H2810">
        <v>23.279389990347564</v>
      </c>
      <c r="I2810">
        <v>25.524521780824674</v>
      </c>
      <c r="J2810">
        <v>31.813957411740219</v>
      </c>
      <c r="K2810">
        <v>31.924659918360426</v>
      </c>
      <c r="L2810">
        <v>16.876914969182799</v>
      </c>
      <c r="M2810">
        <v>27.84485876430524</v>
      </c>
      <c r="N2810">
        <v>25.878323929285663</v>
      </c>
      <c r="O2810">
        <v>22.212433569051122</v>
      </c>
      <c r="P2810">
        <v>32.524585895379239</v>
      </c>
      <c r="Q2810">
        <v>27.280393558568079</v>
      </c>
      <c r="R2810">
        <v>31.480731861569591</v>
      </c>
      <c r="S2810">
        <v>23.163956468307198</v>
      </c>
      <c r="T2810">
        <v>38.925680184399518</v>
      </c>
      <c r="U2810">
        <f t="shared" si="263"/>
        <v>28.216940409129041</v>
      </c>
      <c r="V2810" t="str">
        <f t="shared" si="264"/>
        <v>2015/16Expenditure driversBusiness SupportDNO Actual</v>
      </c>
    </row>
    <row r="2811" spans="1:22">
      <c r="A2811" t="s">
        <v>138</v>
      </c>
      <c r="C2811" t="s">
        <v>1344</v>
      </c>
      <c r="D2811" t="s">
        <v>107</v>
      </c>
      <c r="E2811" t="s">
        <v>1349</v>
      </c>
      <c r="F2811" t="s">
        <v>1289</v>
      </c>
      <c r="G2811">
        <v>21.757961793877509</v>
      </c>
      <c r="H2811">
        <v>24.825663868539984</v>
      </c>
      <c r="I2811">
        <v>27.164454880531078</v>
      </c>
      <c r="J2811">
        <v>30.55969102765366</v>
      </c>
      <c r="K2811">
        <v>30.59374330847724</v>
      </c>
      <c r="L2811">
        <v>16.197965457825145</v>
      </c>
      <c r="M2811">
        <v>26.442065746135732</v>
      </c>
      <c r="N2811">
        <v>24.833343436077346</v>
      </c>
      <c r="O2811">
        <v>24.922133788762345</v>
      </c>
      <c r="P2811">
        <v>36.762368301981212</v>
      </c>
      <c r="Q2811">
        <v>30.261763491481272</v>
      </c>
      <c r="R2811">
        <v>34.844063592148935</v>
      </c>
      <c r="S2811">
        <v>25.7166944099049</v>
      </c>
      <c r="T2811">
        <v>38.066248492087027</v>
      </c>
      <c r="U2811">
        <f t="shared" si="263"/>
        <v>28.067725828248808</v>
      </c>
      <c r="V2811" t="str">
        <f t="shared" si="264"/>
        <v>2016/17Expenditure driversBusiness SupportDNO Actual</v>
      </c>
    </row>
    <row r="2812" spans="1:22">
      <c r="A2812" t="s">
        <v>139</v>
      </c>
      <c r="C2812" t="s">
        <v>1344</v>
      </c>
      <c r="D2812" t="s">
        <v>107</v>
      </c>
      <c r="E2812" t="s">
        <v>1349</v>
      </c>
      <c r="F2812" t="s">
        <v>1289</v>
      </c>
      <c r="G2812">
        <v>38.902158569173409</v>
      </c>
      <c r="H2812">
        <v>25.714943318815177</v>
      </c>
      <c r="I2812">
        <v>28.323704674770099</v>
      </c>
      <c r="J2812">
        <v>29.138776128013735</v>
      </c>
      <c r="K2812">
        <v>29.323609240909683</v>
      </c>
      <c r="L2812">
        <v>15.537639664906077</v>
      </c>
      <c r="M2812">
        <v>26.628418742270142</v>
      </c>
      <c r="N2812">
        <v>29.270245096969827</v>
      </c>
      <c r="O2812">
        <v>25.466462980734416</v>
      </c>
      <c r="P2812">
        <v>44.75226165579965</v>
      </c>
      <c r="Q2812">
        <v>35.89310154797095</v>
      </c>
      <c r="R2812">
        <v>35.530755866262531</v>
      </c>
      <c r="S2812">
        <v>25.778673227120301</v>
      </c>
      <c r="T2812">
        <v>43.643718973613147</v>
      </c>
      <c r="U2812">
        <f t="shared" si="263"/>
        <v>30.993176406237797</v>
      </c>
      <c r="V2812" t="str">
        <f t="shared" si="264"/>
        <v>2017/18Expenditure driversBusiness SupportDNO Actual</v>
      </c>
    </row>
    <row r="2813" spans="1:22">
      <c r="A2813" t="s">
        <v>140</v>
      </c>
      <c r="C2813" t="s">
        <v>1344</v>
      </c>
      <c r="D2813" t="s">
        <v>107</v>
      </c>
      <c r="E2813" t="s">
        <v>1349</v>
      </c>
      <c r="F2813" t="s">
        <v>1289</v>
      </c>
      <c r="G2813">
        <v>37.946768533183246</v>
      </c>
      <c r="H2813">
        <v>23.649508900628302</v>
      </c>
      <c r="I2813">
        <v>27.498935723166504</v>
      </c>
      <c r="J2813">
        <v>28.382892876304233</v>
      </c>
      <c r="K2813">
        <v>29.458241252629644</v>
      </c>
      <c r="L2813">
        <v>15.708587158851852</v>
      </c>
      <c r="M2813">
        <v>24.896769618930634</v>
      </c>
      <c r="N2813">
        <v>29.664569860180503</v>
      </c>
      <c r="O2813">
        <v>25.301439723010514</v>
      </c>
      <c r="P2813">
        <v>42.301343541438122</v>
      </c>
      <c r="Q2813">
        <v>43.740756325478657</v>
      </c>
      <c r="R2813">
        <v>39.18312690275679</v>
      </c>
      <c r="S2813">
        <v>25.833855004661149</v>
      </c>
      <c r="T2813">
        <v>44.280616722266174</v>
      </c>
      <c r="U2813">
        <f>AVERAGE(G2813:T2813)</f>
        <v>31.274815153106164</v>
      </c>
      <c r="V2813" t="str">
        <f t="shared" si="264"/>
        <v>2018/19Expenditure driversBusiness SupportDNO Actual</v>
      </c>
    </row>
    <row r="2814" spans="1:22">
      <c r="A2814" t="s">
        <v>141</v>
      </c>
      <c r="C2814" t="s">
        <v>1344</v>
      </c>
      <c r="D2814" t="s">
        <v>107</v>
      </c>
      <c r="E2814" t="s">
        <v>1349</v>
      </c>
      <c r="F2814" t="s">
        <v>1289</v>
      </c>
      <c r="G2814">
        <v>41.102315691644975</v>
      </c>
      <c r="H2814">
        <v>23.952111760587361</v>
      </c>
      <c r="I2814">
        <v>29.150840446727969</v>
      </c>
      <c r="J2814">
        <v>28.898182858637089</v>
      </c>
      <c r="K2814">
        <v>28.892615798129661</v>
      </c>
      <c r="L2814">
        <v>15.24207637505935</v>
      </c>
      <c r="M2814">
        <v>25.335585310450661</v>
      </c>
      <c r="N2814">
        <v>29.459859519939148</v>
      </c>
      <c r="O2814">
        <v>26.703137721457193</v>
      </c>
      <c r="P2814">
        <v>44.089790586034596</v>
      </c>
      <c r="Q2814">
        <v>43.360195755858676</v>
      </c>
      <c r="R2814">
        <v>40.541366910850243</v>
      </c>
      <c r="S2814">
        <v>26.782015982935533</v>
      </c>
      <c r="T2814">
        <v>45.672575256201029</v>
      </c>
      <c r="U2814">
        <f>AVERAGE(G2814:T2814)</f>
        <v>32.08447642675096</v>
      </c>
      <c r="V2814" t="str">
        <f t="shared" si="264"/>
        <v>2019/20Expenditure driversBusiness SupportDNO Actual</v>
      </c>
    </row>
    <row r="2815" spans="1:22">
      <c r="A2815" t="s">
        <v>126</v>
      </c>
      <c r="C2815" t="s">
        <v>1344</v>
      </c>
      <c r="D2815" t="s">
        <v>107</v>
      </c>
      <c r="E2815" t="s">
        <v>1349</v>
      </c>
      <c r="F2815" t="s">
        <v>1289</v>
      </c>
      <c r="G2815">
        <v>41.234875866459689</v>
      </c>
      <c r="H2815">
        <v>24.435746099379035</v>
      </c>
      <c r="I2815">
        <v>27.429184454340302</v>
      </c>
      <c r="J2815">
        <v>29.886577443425001</v>
      </c>
      <c r="K2815">
        <v>30.442535945908279</v>
      </c>
      <c r="L2815">
        <v>16.703083547780686</v>
      </c>
      <c r="M2815">
        <v>25.212231518151256</v>
      </c>
      <c r="N2815">
        <v>28.670507741385624</v>
      </c>
      <c r="O2815">
        <v>28.274680048462816</v>
      </c>
      <c r="P2815">
        <v>44.388273718735242</v>
      </c>
      <c r="Q2815">
        <v>42.549526778393869</v>
      </c>
      <c r="R2815">
        <v>39.711095794900224</v>
      </c>
      <c r="S2815">
        <v>30.651026575861156</v>
      </c>
      <c r="T2815">
        <v>54.773286154051256</v>
      </c>
      <c r="U2815">
        <f>AVERAGE(G2815:T2815)</f>
        <v>33.16875940623104</v>
      </c>
      <c r="V2815" t="str">
        <f t="shared" si="264"/>
        <v>2020/21Expenditure driversBusiness SupportDNO Actual</v>
      </c>
    </row>
    <row r="2816" spans="1:22">
      <c r="A2816" t="s">
        <v>142</v>
      </c>
      <c r="C2816" t="s">
        <v>1344</v>
      </c>
      <c r="D2816" t="s">
        <v>107</v>
      </c>
      <c r="E2816" t="s">
        <v>1349</v>
      </c>
      <c r="F2816" t="s">
        <v>1289</v>
      </c>
      <c r="G2816">
        <v>45.24783127590397</v>
      </c>
      <c r="H2816">
        <v>23.737596829928219</v>
      </c>
      <c r="I2816">
        <v>26.289265328812863</v>
      </c>
      <c r="J2816">
        <v>35.716099999999997</v>
      </c>
      <c r="K2816">
        <v>36.616300000000003</v>
      </c>
      <c r="L2816">
        <v>21.807199999999998</v>
      </c>
      <c r="M2816">
        <v>31.001499999999997</v>
      </c>
      <c r="N2816">
        <v>28.886573956422513</v>
      </c>
      <c r="O2816">
        <v>27.270940122269508</v>
      </c>
      <c r="P2816">
        <v>45.027105859842656</v>
      </c>
      <c r="Q2816">
        <v>42.882538442591823</v>
      </c>
      <c r="R2816">
        <v>39.559152887016189</v>
      </c>
      <c r="S2816">
        <v>35.887961007984806</v>
      </c>
      <c r="T2816">
        <v>53.863992002606217</v>
      </c>
      <c r="U2816">
        <f>AVERAGE(G2816:T2816)</f>
        <v>35.271004122384198</v>
      </c>
      <c r="V2816" t="str">
        <f t="shared" ref="V2816" si="265">CONCATENATE(A2816,B2816,C2816,D2816,E2816)</f>
        <v>2021/22Expenditure driversBusiness SupportDNO Actual</v>
      </c>
    </row>
    <row r="2817" spans="1:22">
      <c r="A2817" t="s">
        <v>137</v>
      </c>
      <c r="C2817" t="s">
        <v>1344</v>
      </c>
      <c r="D2817" t="s">
        <v>107</v>
      </c>
      <c r="E2817" t="s">
        <v>297</v>
      </c>
      <c r="F2817" t="s">
        <v>1289</v>
      </c>
      <c r="G2817">
        <f t="array" ref="G2817:T2820">TRANSPOSE('Ch4 expenditure drivers'!AF834:AI847)</f>
        <v>39.760963324215062</v>
      </c>
      <c r="H2817">
        <v>24.736727474494121</v>
      </c>
      <c r="I2817">
        <v>28.632984715933425</v>
      </c>
      <c r="J2817">
        <v>34.850200593562079</v>
      </c>
      <c r="K2817">
        <v>36.297523233765432</v>
      </c>
      <c r="L2817">
        <v>18.88067707578135</v>
      </c>
      <c r="M2817">
        <v>29.910832433904034</v>
      </c>
      <c r="N2817">
        <v>30.431469846216093</v>
      </c>
      <c r="O2817">
        <v>31.172773602797289</v>
      </c>
      <c r="P2817">
        <v>38.652205684247974</v>
      </c>
      <c r="Q2817">
        <v>26.459466890698884</v>
      </c>
      <c r="R2817">
        <v>22.079742952789559</v>
      </c>
      <c r="S2817">
        <v>24.661791315331264</v>
      </c>
      <c r="T2817">
        <v>39.348872052492347</v>
      </c>
      <c r="U2817">
        <f t="shared" si="263"/>
        <v>30.419730799730637</v>
      </c>
      <c r="V2817" t="str">
        <f t="shared" si="264"/>
        <v>2015/16Expenditure driversBusiness SupportAllowance</v>
      </c>
    </row>
    <row r="2818" spans="1:22">
      <c r="A2818" t="s">
        <v>137</v>
      </c>
      <c r="C2818" t="s">
        <v>1344</v>
      </c>
      <c r="D2818" t="s">
        <v>107</v>
      </c>
      <c r="E2818" t="s">
        <v>298</v>
      </c>
      <c r="F2818" t="s">
        <v>1289</v>
      </c>
      <c r="G2818">
        <v>36.306757426485134</v>
      </c>
      <c r="H2818">
        <v>23.279389990347564</v>
      </c>
      <c r="I2818">
        <v>25.524521780824674</v>
      </c>
      <c r="J2818">
        <v>31.813957411740219</v>
      </c>
      <c r="K2818">
        <v>31.924659918360426</v>
      </c>
      <c r="L2818">
        <v>16.876914969182799</v>
      </c>
      <c r="M2818">
        <v>27.84485876430524</v>
      </c>
      <c r="N2818">
        <v>25.878323929285663</v>
      </c>
      <c r="O2818">
        <v>22.212433569051122</v>
      </c>
      <c r="P2818">
        <v>32.524585895379239</v>
      </c>
      <c r="Q2818">
        <v>27.280393558568079</v>
      </c>
      <c r="R2818">
        <v>31.480731861569591</v>
      </c>
      <c r="S2818">
        <v>23.163956468307198</v>
      </c>
      <c r="T2818">
        <v>38.925680184399518</v>
      </c>
      <c r="U2818">
        <f t="shared" si="263"/>
        <v>28.216940409129041</v>
      </c>
      <c r="V2818" t="str">
        <f t="shared" si="264"/>
        <v>2015/16Expenditure driversBusiness SupportActual</v>
      </c>
    </row>
    <row r="2819" spans="1:22">
      <c r="A2819" t="s">
        <v>137</v>
      </c>
      <c r="C2819" t="s">
        <v>1344</v>
      </c>
      <c r="D2819" t="s">
        <v>107</v>
      </c>
      <c r="E2819" t="s">
        <v>602</v>
      </c>
      <c r="F2819" t="s">
        <v>1289</v>
      </c>
      <c r="G2819">
        <v>-3.4542058977299277</v>
      </c>
      <c r="H2819">
        <v>-1.4573374841465565</v>
      </c>
      <c r="I2819">
        <v>-3.1084629351087507</v>
      </c>
      <c r="J2819">
        <v>-3.0362431818218596</v>
      </c>
      <c r="K2819">
        <v>-4.3728633154050058</v>
      </c>
      <c r="L2819">
        <v>-2.0037621065985505</v>
      </c>
      <c r="M2819">
        <v>-2.0659736695987938</v>
      </c>
      <c r="N2819">
        <v>-4.5531459169304291</v>
      </c>
      <c r="O2819">
        <v>-8.9603400337461672</v>
      </c>
      <c r="P2819">
        <v>-6.1276197888687349</v>
      </c>
      <c r="Q2819">
        <v>0.82092666786919466</v>
      </c>
      <c r="R2819">
        <v>9.4009889087800325</v>
      </c>
      <c r="S2819">
        <v>-1.4978348470240661</v>
      </c>
      <c r="T2819">
        <v>-0.42319186809282883</v>
      </c>
      <c r="U2819">
        <f>U2818-U2817</f>
        <v>-2.2027903906015958</v>
      </c>
      <c r="V2819" t="str">
        <f t="shared" si="264"/>
        <v>2015/16Expenditure driversBusiness SupportDifference</v>
      </c>
    </row>
    <row r="2820" spans="1:22">
      <c r="A2820" t="s">
        <v>137</v>
      </c>
      <c r="C2820" t="s">
        <v>1344</v>
      </c>
      <c r="D2820" t="s">
        <v>107</v>
      </c>
      <c r="E2820" t="s">
        <v>1346</v>
      </c>
      <c r="F2820" t="s">
        <v>606</v>
      </c>
      <c r="G2820" s="829">
        <v>-8.6874301046581059E-2</v>
      </c>
      <c r="H2820" s="829">
        <v>-5.8913915983802134E-2</v>
      </c>
      <c r="I2820" s="829">
        <v>-0.10856230902742672</v>
      </c>
      <c r="J2820" s="829">
        <v>-8.7122688825577332E-2</v>
      </c>
      <c r="K2820" s="829">
        <v>-0.12047277405796081</v>
      </c>
      <c r="L2820" s="829">
        <v>-0.10612766155345241</v>
      </c>
      <c r="M2820" s="829">
        <v>-6.9071085673195962E-2</v>
      </c>
      <c r="N2820" s="829">
        <v>-0.14961965162838087</v>
      </c>
      <c r="O2820" s="829">
        <v>-0.28744121867109418</v>
      </c>
      <c r="P2820" s="829">
        <v>-0.15853221518393032</v>
      </c>
      <c r="Q2820" s="829">
        <v>3.1025820409018499E-2</v>
      </c>
      <c r="R2820" s="829">
        <v>0.4257743819246913</v>
      </c>
      <c r="S2820" s="829">
        <v>-6.0735038581439992E-2</v>
      </c>
      <c r="T2820" s="829">
        <v>-1.0754866556995094E-2</v>
      </c>
      <c r="U2820" s="829">
        <f>U2819/U2817</f>
        <v>-7.2413211185323872E-2</v>
      </c>
      <c r="V2820" t="str">
        <f t="shared" si="264"/>
        <v>2015/16Expenditure driversBusiness SupportDifference %</v>
      </c>
    </row>
    <row r="2821" spans="1:22">
      <c r="A2821" t="s">
        <v>138</v>
      </c>
      <c r="C2821" t="s">
        <v>1344</v>
      </c>
      <c r="D2821" t="s">
        <v>107</v>
      </c>
      <c r="E2821" t="s">
        <v>297</v>
      </c>
      <c r="F2821" t="s">
        <v>1289</v>
      </c>
      <c r="G2821">
        <f t="array" ref="G2821:T2824">TRANSPOSE('Ch4 expenditure drivers'!AK834:AN847)</f>
        <v>38.02776106543017</v>
      </c>
      <c r="H2821">
        <v>24.726644526005106</v>
      </c>
      <c r="I2821">
        <v>28.246141995880105</v>
      </c>
      <c r="J2821">
        <v>34.901899374659294</v>
      </c>
      <c r="K2821">
        <v>36.303484148795746</v>
      </c>
      <c r="L2821">
        <v>18.876010723437897</v>
      </c>
      <c r="M2821">
        <v>29.98911808566028</v>
      </c>
      <c r="N2821">
        <v>29.75612731301289</v>
      </c>
      <c r="O2821">
        <v>30.705877097085409</v>
      </c>
      <c r="P2821">
        <v>37.835681836373396</v>
      </c>
      <c r="Q2821">
        <v>26.660655465101058</v>
      </c>
      <c r="R2821">
        <v>21.698935172743603</v>
      </c>
      <c r="S2821">
        <v>24.960264851901727</v>
      </c>
      <c r="T2821">
        <v>39.265022930836913</v>
      </c>
      <c r="U2821">
        <f t="shared" si="263"/>
        <v>30.139544613351688</v>
      </c>
      <c r="V2821" t="str">
        <f t="shared" si="264"/>
        <v>2016/17Expenditure driversBusiness SupportAllowance</v>
      </c>
    </row>
    <row r="2822" spans="1:22">
      <c r="A2822" t="s">
        <v>138</v>
      </c>
      <c r="C2822" t="s">
        <v>1344</v>
      </c>
      <c r="D2822" t="s">
        <v>107</v>
      </c>
      <c r="E2822" t="s">
        <v>298</v>
      </c>
      <c r="F2822" t="s">
        <v>1289</v>
      </c>
      <c r="G2822">
        <v>21.757961793877509</v>
      </c>
      <c r="H2822">
        <v>24.825663868539984</v>
      </c>
      <c r="I2822">
        <v>27.164454880531078</v>
      </c>
      <c r="J2822">
        <v>30.55969102765366</v>
      </c>
      <c r="K2822">
        <v>30.59374330847724</v>
      </c>
      <c r="L2822">
        <v>16.197965457825145</v>
      </c>
      <c r="M2822">
        <v>26.442065746135732</v>
      </c>
      <c r="N2822">
        <v>24.833343436077346</v>
      </c>
      <c r="O2822">
        <v>24.922133788762345</v>
      </c>
      <c r="P2822">
        <v>36.762368301981212</v>
      </c>
      <c r="Q2822">
        <v>30.261763491481272</v>
      </c>
      <c r="R2822">
        <v>34.844063592148935</v>
      </c>
      <c r="S2822">
        <v>25.7166944099049</v>
      </c>
      <c r="T2822">
        <v>38.066248492087027</v>
      </c>
      <c r="U2822">
        <f t="shared" si="263"/>
        <v>28.067725828248808</v>
      </c>
      <c r="V2822" t="str">
        <f t="shared" si="264"/>
        <v>2016/17Expenditure driversBusiness SupportActual</v>
      </c>
    </row>
    <row r="2823" spans="1:22">
      <c r="A2823" t="s">
        <v>138</v>
      </c>
      <c r="C2823" t="s">
        <v>1344</v>
      </c>
      <c r="D2823" t="s">
        <v>107</v>
      </c>
      <c r="E2823" t="s">
        <v>602</v>
      </c>
      <c r="F2823" t="s">
        <v>1289</v>
      </c>
      <c r="G2823">
        <v>-16.26979927155266</v>
      </c>
      <c r="H2823">
        <v>9.9019342534877097E-2</v>
      </c>
      <c r="I2823">
        <v>-1.0816871153490268</v>
      </c>
      <c r="J2823">
        <v>-4.3422083470056343</v>
      </c>
      <c r="K2823">
        <v>-5.7097408403185064</v>
      </c>
      <c r="L2823">
        <v>-2.6780452656127522</v>
      </c>
      <c r="M2823">
        <v>-3.5470523395245479</v>
      </c>
      <c r="N2823">
        <v>-4.9227838769355436</v>
      </c>
      <c r="O2823">
        <v>-5.7837433083230643</v>
      </c>
      <c r="P2823">
        <v>-1.0733135343921845</v>
      </c>
      <c r="Q2823">
        <v>3.6011080263802135</v>
      </c>
      <c r="R2823">
        <v>13.145128419405331</v>
      </c>
      <c r="S2823">
        <v>0.75642955800317324</v>
      </c>
      <c r="T2823">
        <v>-1.1987744387498864</v>
      </c>
      <c r="U2823">
        <f>U2822-U2821</f>
        <v>-2.0718187851028809</v>
      </c>
      <c r="V2823" t="str">
        <f t="shared" si="264"/>
        <v>2016/17Expenditure driversBusiness SupportDifference</v>
      </c>
    </row>
    <row r="2824" spans="1:22">
      <c r="A2824" t="s">
        <v>138</v>
      </c>
      <c r="C2824" t="s">
        <v>1344</v>
      </c>
      <c r="D2824" t="s">
        <v>107</v>
      </c>
      <c r="E2824" t="s">
        <v>1346</v>
      </c>
      <c r="F2824" t="s">
        <v>606</v>
      </c>
      <c r="G2824" s="829">
        <v>-0.42784005199672454</v>
      </c>
      <c r="H2824" s="829">
        <v>4.0045604421068163E-3</v>
      </c>
      <c r="I2824" s="829">
        <v>-3.8295039213029458E-2</v>
      </c>
      <c r="J2824" s="829">
        <v>-0.12441180637172765</v>
      </c>
      <c r="K2824" s="829">
        <v>-0.15727804022655795</v>
      </c>
      <c r="L2824" s="829">
        <v>-0.14187559568863176</v>
      </c>
      <c r="M2824" s="829">
        <v>-0.11827798101274012</v>
      </c>
      <c r="N2824" s="829">
        <v>-0.16543765339996788</v>
      </c>
      <c r="O2824" s="829">
        <v>-0.18835948864238941</v>
      </c>
      <c r="P2824" s="829">
        <v>-2.8367759804987912E-2</v>
      </c>
      <c r="Q2824" s="829">
        <v>0.1350719989271863</v>
      </c>
      <c r="R2824" s="829">
        <v>0.60579601324940346</v>
      </c>
      <c r="S2824" s="829">
        <v>3.0305349822661868E-2</v>
      </c>
      <c r="T2824" s="829">
        <v>-3.0530338435341267E-2</v>
      </c>
      <c r="U2824" s="829">
        <f>U2823/U2821</f>
        <v>-6.8740878858039353E-2</v>
      </c>
      <c r="V2824" t="str">
        <f t="shared" si="264"/>
        <v>2016/17Expenditure driversBusiness SupportDifference %</v>
      </c>
    </row>
    <row r="2825" spans="1:22">
      <c r="A2825" t="s">
        <v>139</v>
      </c>
      <c r="C2825" t="s">
        <v>1344</v>
      </c>
      <c r="D2825" t="s">
        <v>107</v>
      </c>
      <c r="E2825" t="s">
        <v>297</v>
      </c>
      <c r="F2825" t="s">
        <v>1289</v>
      </c>
      <c r="G2825">
        <f t="array" ref="G2825:T2828">TRANSPOSE('Ch4 expenditure drivers'!AP834:AS847)</f>
        <v>37.485336758136498</v>
      </c>
      <c r="H2825">
        <v>24.712787579072799</v>
      </c>
      <c r="I2825">
        <v>28.152223197843245</v>
      </c>
      <c r="J2825">
        <v>34.788031101529995</v>
      </c>
      <c r="K2825">
        <v>36.124111949813482</v>
      </c>
      <c r="L2825">
        <v>18.702148010906559</v>
      </c>
      <c r="M2825">
        <v>29.990707102825752</v>
      </c>
      <c r="N2825">
        <v>28.633560809908126</v>
      </c>
      <c r="O2825">
        <v>29.61483905112814</v>
      </c>
      <c r="P2825">
        <v>36.747796715435392</v>
      </c>
      <c r="Q2825">
        <v>26.42927271838262</v>
      </c>
      <c r="R2825">
        <v>21.038265414830999</v>
      </c>
      <c r="S2825">
        <v>24.926332387475917</v>
      </c>
      <c r="T2825">
        <v>39.643390164700385</v>
      </c>
      <c r="U2825">
        <f t="shared" si="263"/>
        <v>29.784914497284994</v>
      </c>
      <c r="V2825" t="str">
        <f t="shared" si="264"/>
        <v>2017/18Expenditure driversBusiness SupportAllowance</v>
      </c>
    </row>
    <row r="2826" spans="1:22">
      <c r="A2826" t="s">
        <v>139</v>
      </c>
      <c r="C2826" t="s">
        <v>1344</v>
      </c>
      <c r="D2826" t="s">
        <v>107</v>
      </c>
      <c r="E2826" t="s">
        <v>298</v>
      </c>
      <c r="F2826" t="s">
        <v>1289</v>
      </c>
      <c r="G2826">
        <v>38.902158569173409</v>
      </c>
      <c r="H2826">
        <v>25.714943318815177</v>
      </c>
      <c r="I2826">
        <v>28.323704674770099</v>
      </c>
      <c r="J2826">
        <v>29.138776128013735</v>
      </c>
      <c r="K2826">
        <v>29.323609240909683</v>
      </c>
      <c r="L2826">
        <v>15.537639664906077</v>
      </c>
      <c r="M2826">
        <v>26.628418742270142</v>
      </c>
      <c r="N2826">
        <v>29.270245096969827</v>
      </c>
      <c r="O2826">
        <v>25.466462980734416</v>
      </c>
      <c r="P2826">
        <v>44.75226165579965</v>
      </c>
      <c r="Q2826">
        <v>35.89310154797095</v>
      </c>
      <c r="R2826">
        <v>35.530755866262531</v>
      </c>
      <c r="S2826">
        <v>25.778673227120301</v>
      </c>
      <c r="T2826">
        <v>43.643718973613147</v>
      </c>
      <c r="U2826">
        <f t="shared" si="263"/>
        <v>30.993176406237797</v>
      </c>
      <c r="V2826" t="str">
        <f t="shared" si="264"/>
        <v>2017/18Expenditure driversBusiness SupportActual</v>
      </c>
    </row>
    <row r="2827" spans="1:22">
      <c r="A2827" t="s">
        <v>139</v>
      </c>
      <c r="C2827" t="s">
        <v>1344</v>
      </c>
      <c r="D2827" t="s">
        <v>107</v>
      </c>
      <c r="E2827" t="s">
        <v>602</v>
      </c>
      <c r="F2827" t="s">
        <v>1289</v>
      </c>
      <c r="G2827">
        <v>1.4168218110369111</v>
      </c>
      <c r="H2827">
        <v>1.0021557397423777</v>
      </c>
      <c r="I2827">
        <v>0.17148147692685356</v>
      </c>
      <c r="J2827">
        <v>-5.6492549735162605</v>
      </c>
      <c r="K2827">
        <v>-6.8005027089037995</v>
      </c>
      <c r="L2827">
        <v>-3.1645083460004813</v>
      </c>
      <c r="M2827">
        <v>-3.3622883605556098</v>
      </c>
      <c r="N2827">
        <v>0.63668428706170133</v>
      </c>
      <c r="O2827">
        <v>-4.1483760703937236</v>
      </c>
      <c r="P2827">
        <v>8.004464940364258</v>
      </c>
      <c r="Q2827">
        <v>9.4638288295883299</v>
      </c>
      <c r="R2827">
        <v>14.492490451431532</v>
      </c>
      <c r="S2827">
        <v>0.85234083964438412</v>
      </c>
      <c r="T2827">
        <v>4.0003288089127622</v>
      </c>
      <c r="U2827">
        <f>U2826-U2825</f>
        <v>1.2082619089528031</v>
      </c>
      <c r="V2827" t="str">
        <f t="shared" si="264"/>
        <v>2017/18Expenditure driversBusiness SupportDifference</v>
      </c>
    </row>
    <row r="2828" spans="1:22">
      <c r="A2828" t="s">
        <v>139</v>
      </c>
      <c r="C2828" t="s">
        <v>1344</v>
      </c>
      <c r="D2828" t="s">
        <v>107</v>
      </c>
      <c r="E2828" t="s">
        <v>1346</v>
      </c>
      <c r="F2828" t="s">
        <v>606</v>
      </c>
      <c r="G2828" s="829">
        <v>3.7796694216155821E-2</v>
      </c>
      <c r="H2828" s="829">
        <v>4.0552112404794831E-2</v>
      </c>
      <c r="I2828" s="829">
        <v>6.0912232658055527E-3</v>
      </c>
      <c r="J2828" s="829">
        <v>-0.16239076471527597</v>
      </c>
      <c r="K2828" s="829">
        <v>-0.18825383772344645</v>
      </c>
      <c r="L2828" s="829">
        <v>-0.16920560911800239</v>
      </c>
      <c r="M2828" s="829">
        <v>-0.1121110065537205</v>
      </c>
      <c r="N2828" s="829">
        <v>2.2235595890029446E-2</v>
      </c>
      <c r="O2828" s="829">
        <v>-0.14007761660402124</v>
      </c>
      <c r="P2828" s="829">
        <v>0.21782162893597634</v>
      </c>
      <c r="Q2828" s="829">
        <v>0.35808131878732541</v>
      </c>
      <c r="R2828" s="829">
        <v>0.68886337184504765</v>
      </c>
      <c r="S2828" s="829">
        <v>3.4194394361548253E-2</v>
      </c>
      <c r="T2828" s="829">
        <v>0.10090783841374823</v>
      </c>
      <c r="U2828" s="829">
        <f>U2827/U2825</f>
        <v>4.0566237283069607E-2</v>
      </c>
      <c r="V2828" t="str">
        <f t="shared" si="264"/>
        <v>2017/18Expenditure driversBusiness SupportDifference %</v>
      </c>
    </row>
    <row r="2829" spans="1:22">
      <c r="A2829" t="s">
        <v>140</v>
      </c>
      <c r="C2829" t="s">
        <v>1344</v>
      </c>
      <c r="D2829" t="s">
        <v>107</v>
      </c>
      <c r="E2829" t="s">
        <v>297</v>
      </c>
      <c r="F2829" t="s">
        <v>1289</v>
      </c>
      <c r="G2829">
        <f t="array" ref="G2829:T2832">TRANSPOSE('Ch4 expenditure drivers'!AU834:AX847)</f>
        <v>37.366549476696477</v>
      </c>
      <c r="H2829">
        <v>24.755030259322901</v>
      </c>
      <c r="I2829">
        <v>28.353421113560717</v>
      </c>
      <c r="J2829">
        <v>34.878162260666123</v>
      </c>
      <c r="K2829">
        <v>36.153053910090478</v>
      </c>
      <c r="L2829">
        <v>18.843757985216218</v>
      </c>
      <c r="M2829">
        <v>30.060156615693227</v>
      </c>
      <c r="N2829">
        <v>28.383018999451174</v>
      </c>
      <c r="O2829">
        <v>29.278922511291416</v>
      </c>
      <c r="P2829">
        <v>36.672008230077573</v>
      </c>
      <c r="Q2829">
        <v>26.150874432837217</v>
      </c>
      <c r="R2829">
        <v>20.284215710999593</v>
      </c>
      <c r="S2829">
        <v>25.114084658917996</v>
      </c>
      <c r="T2829">
        <v>39.810527988393275</v>
      </c>
      <c r="U2829">
        <f>AVERAGE(G2829:T2829)</f>
        <v>29.72169886808674</v>
      </c>
      <c r="V2829" t="str">
        <f t="shared" si="264"/>
        <v>2018/19Expenditure driversBusiness SupportAllowance</v>
      </c>
    </row>
    <row r="2830" spans="1:22">
      <c r="A2830" t="s">
        <v>140</v>
      </c>
      <c r="C2830" t="s">
        <v>1344</v>
      </c>
      <c r="D2830" t="s">
        <v>107</v>
      </c>
      <c r="E2830" t="s">
        <v>298</v>
      </c>
      <c r="F2830" t="s">
        <v>1289</v>
      </c>
      <c r="G2830">
        <v>37.946768533183246</v>
      </c>
      <c r="H2830">
        <v>23.649508900628302</v>
      </c>
      <c r="I2830">
        <v>27.498935723166504</v>
      </c>
      <c r="J2830">
        <v>28.382892876304233</v>
      </c>
      <c r="K2830">
        <v>29.458241252629644</v>
      </c>
      <c r="L2830">
        <v>15.708587158851852</v>
      </c>
      <c r="M2830">
        <v>24.896769618930634</v>
      </c>
      <c r="N2830">
        <v>29.664569860180503</v>
      </c>
      <c r="O2830">
        <v>25.301439723010514</v>
      </c>
      <c r="P2830">
        <v>42.301343541438122</v>
      </c>
      <c r="Q2830">
        <v>43.740756325478657</v>
      </c>
      <c r="R2830">
        <v>39.18312690275679</v>
      </c>
      <c r="S2830">
        <v>25.833855004661149</v>
      </c>
      <c r="T2830">
        <v>44.280616722266174</v>
      </c>
      <c r="U2830">
        <f>AVERAGE(G2830:T2830)</f>
        <v>31.274815153106164</v>
      </c>
      <c r="V2830" t="str">
        <f t="shared" si="264"/>
        <v>2018/19Expenditure driversBusiness SupportActual</v>
      </c>
    </row>
    <row r="2831" spans="1:22">
      <c r="A2831" t="s">
        <v>140</v>
      </c>
      <c r="C2831" t="s">
        <v>1344</v>
      </c>
      <c r="D2831" t="s">
        <v>107</v>
      </c>
      <c r="E2831" t="s">
        <v>602</v>
      </c>
      <c r="F2831" t="s">
        <v>1289</v>
      </c>
      <c r="G2831">
        <v>0.58021905648676864</v>
      </c>
      <c r="H2831">
        <v>-1.1055213586945989</v>
      </c>
      <c r="I2831">
        <v>-0.85448539039421334</v>
      </c>
      <c r="J2831">
        <v>-6.4952693843618903</v>
      </c>
      <c r="K2831">
        <v>-6.6948126574608331</v>
      </c>
      <c r="L2831">
        <v>-3.1351708263643658</v>
      </c>
      <c r="M2831">
        <v>-5.1633869967625934</v>
      </c>
      <c r="N2831">
        <v>1.2815508607293289</v>
      </c>
      <c r="O2831">
        <v>-3.9774827882809021</v>
      </c>
      <c r="P2831">
        <v>5.6293353113605491</v>
      </c>
      <c r="Q2831">
        <v>17.58988189264144</v>
      </c>
      <c r="R2831">
        <v>18.898911191757197</v>
      </c>
      <c r="S2831">
        <v>0.71977034574315368</v>
      </c>
      <c r="T2831">
        <v>4.470088733872899</v>
      </c>
      <c r="U2831">
        <f>U2830-U2829</f>
        <v>1.5531162850194242</v>
      </c>
      <c r="V2831" t="str">
        <f t="shared" si="264"/>
        <v>2018/19Expenditure driversBusiness SupportDifference</v>
      </c>
    </row>
    <row r="2832" spans="1:22">
      <c r="A2832" t="s">
        <v>140</v>
      </c>
      <c r="C2832" t="s">
        <v>1344</v>
      </c>
      <c r="D2832" t="s">
        <v>107</v>
      </c>
      <c r="E2832" t="s">
        <v>1346</v>
      </c>
      <c r="F2832" t="s">
        <v>606</v>
      </c>
      <c r="G2832" s="829">
        <v>1.5527766534842086E-2</v>
      </c>
      <c r="H2832" s="829">
        <v>-4.4658453135126043E-2</v>
      </c>
      <c r="I2832" s="829">
        <v>-3.0136941393133502E-2</v>
      </c>
      <c r="J2832" s="829">
        <v>-0.18622739741327873</v>
      </c>
      <c r="K2832" s="829">
        <v>-0.18517972711545347</v>
      </c>
      <c r="L2832" s="829">
        <v>-0.16637715411246787</v>
      </c>
      <c r="M2832" s="829">
        <v>-0.17176846623836256</v>
      </c>
      <c r="N2832" s="829">
        <v>4.5152027723129436E-2</v>
      </c>
      <c r="O2832" s="829">
        <v>-0.13584799053814176</v>
      </c>
      <c r="P2832" s="829">
        <v>0.15350496422346166</v>
      </c>
      <c r="Q2832" s="829">
        <v>0.67263073507607529</v>
      </c>
      <c r="R2832" s="829">
        <v>0.93170529543860148</v>
      </c>
      <c r="S2832" s="829">
        <v>2.8660027053287952E-2</v>
      </c>
      <c r="T2832" s="829">
        <v>0.11228408563624551</v>
      </c>
      <c r="U2832" s="829">
        <f>U2831/U2829</f>
        <v>5.2255299803439605E-2</v>
      </c>
      <c r="V2832" t="str">
        <f t="shared" si="264"/>
        <v>2018/19Expenditure driversBusiness SupportDifference %</v>
      </c>
    </row>
    <row r="2833" spans="1:22">
      <c r="A2833" t="s">
        <v>141</v>
      </c>
      <c r="C2833" t="s">
        <v>1344</v>
      </c>
      <c r="D2833" t="s">
        <v>107</v>
      </c>
      <c r="E2833" t="s">
        <v>297</v>
      </c>
      <c r="F2833" t="s">
        <v>1289</v>
      </c>
      <c r="G2833" s="229">
        <f t="array" ref="G2833:T2836">TRANSPOSE('Ch4 expenditure drivers'!AZ834:BC847)</f>
        <v>36.732112920532899</v>
      </c>
      <c r="H2833" s="229">
        <v>24.512299352092768</v>
      </c>
      <c r="I2833" s="229">
        <v>27.887295144560785</v>
      </c>
      <c r="J2833" s="229">
        <v>35.157462389632755</v>
      </c>
      <c r="K2833" s="229">
        <v>36.370915439097701</v>
      </c>
      <c r="L2833" s="229">
        <v>18.774246877981803</v>
      </c>
      <c r="M2833" s="229">
        <v>30.173884949815818</v>
      </c>
      <c r="N2833" s="229">
        <v>27.911678352082429</v>
      </c>
      <c r="O2833" s="229">
        <v>28.682319729088182</v>
      </c>
      <c r="P2833" s="229">
        <v>36.007943112044039</v>
      </c>
      <c r="Q2833" s="229">
        <v>26.133160979405737</v>
      </c>
      <c r="R2833" s="229">
        <v>20.143035704444351</v>
      </c>
      <c r="S2833" s="229">
        <v>24.604438820203313</v>
      </c>
      <c r="T2833" s="229">
        <v>39.644511870209755</v>
      </c>
      <c r="U2833" s="229">
        <f>AVERAGE(G2833:T2833)</f>
        <v>29.481093260085157</v>
      </c>
      <c r="V2833" t="str">
        <f t="shared" si="264"/>
        <v>2019/20Expenditure driversBusiness SupportAllowance</v>
      </c>
    </row>
    <row r="2834" spans="1:22">
      <c r="A2834" t="s">
        <v>141</v>
      </c>
      <c r="C2834" t="s">
        <v>1344</v>
      </c>
      <c r="D2834" t="s">
        <v>107</v>
      </c>
      <c r="E2834" t="s">
        <v>298</v>
      </c>
      <c r="F2834" t="s">
        <v>1289</v>
      </c>
      <c r="G2834" s="229">
        <v>41.102315691644975</v>
      </c>
      <c r="H2834" s="229">
        <v>23.952111760587361</v>
      </c>
      <c r="I2834" s="229">
        <v>29.150840446727969</v>
      </c>
      <c r="J2834" s="229">
        <v>28.898182858637089</v>
      </c>
      <c r="K2834" s="229">
        <v>28.892615798129661</v>
      </c>
      <c r="L2834" s="229">
        <v>15.24207637505935</v>
      </c>
      <c r="M2834" s="229">
        <v>25.335585310450661</v>
      </c>
      <c r="N2834" s="229">
        <v>29.459859519939148</v>
      </c>
      <c r="O2834" s="229">
        <v>26.703137721457193</v>
      </c>
      <c r="P2834" s="229">
        <v>44.089790586034596</v>
      </c>
      <c r="Q2834" s="229">
        <v>43.360195755858676</v>
      </c>
      <c r="R2834" s="229">
        <v>40.541366910850243</v>
      </c>
      <c r="S2834" s="229">
        <v>26.782015982935533</v>
      </c>
      <c r="T2834" s="229">
        <v>45.672575256201029</v>
      </c>
      <c r="U2834" s="229">
        <f>AVERAGE(G2834:T2834)</f>
        <v>32.08447642675096</v>
      </c>
      <c r="V2834" t="str">
        <f t="shared" si="264"/>
        <v>2019/20Expenditure driversBusiness SupportActual</v>
      </c>
    </row>
    <row r="2835" spans="1:22">
      <c r="A2835" t="s">
        <v>141</v>
      </c>
      <c r="C2835" t="s">
        <v>1344</v>
      </c>
      <c r="D2835" t="s">
        <v>107</v>
      </c>
      <c r="E2835" t="s">
        <v>602</v>
      </c>
      <c r="F2835" t="s">
        <v>1289</v>
      </c>
      <c r="G2835" s="229">
        <v>4.3702027711120763</v>
      </c>
      <c r="H2835" s="229">
        <v>-0.56018759150540731</v>
      </c>
      <c r="I2835" s="229">
        <v>1.2635453021671843</v>
      </c>
      <c r="J2835" s="229">
        <v>-6.2592795309956664</v>
      </c>
      <c r="K2835" s="229">
        <v>-7.4782996409680393</v>
      </c>
      <c r="L2835" s="229">
        <v>-3.5321705029224528</v>
      </c>
      <c r="M2835" s="229">
        <v>-4.8382996393651574</v>
      </c>
      <c r="N2835" s="229">
        <v>1.5481811678567183</v>
      </c>
      <c r="O2835" s="229">
        <v>-1.9791820076309889</v>
      </c>
      <c r="P2835" s="229">
        <v>8.0818474739905568</v>
      </c>
      <c r="Q2835" s="229">
        <v>17.227034776452939</v>
      </c>
      <c r="R2835" s="229">
        <v>20.398331206405892</v>
      </c>
      <c r="S2835" s="229">
        <v>2.17757716273222</v>
      </c>
      <c r="T2835" s="229">
        <v>6.028063385991274</v>
      </c>
      <c r="U2835" s="229">
        <f>U2834-U2833</f>
        <v>2.6033831666658038</v>
      </c>
      <c r="V2835" t="str">
        <f t="shared" si="264"/>
        <v>2019/20Expenditure driversBusiness SupportDifference</v>
      </c>
    </row>
    <row r="2836" spans="1:22">
      <c r="A2836" t="s">
        <v>141</v>
      </c>
      <c r="C2836" t="s">
        <v>1344</v>
      </c>
      <c r="D2836" t="s">
        <v>107</v>
      </c>
      <c r="E2836" t="s">
        <v>1346</v>
      </c>
      <c r="F2836" t="s">
        <v>606</v>
      </c>
      <c r="G2836" s="829">
        <v>0.11897499010107787</v>
      </c>
      <c r="H2836" s="829">
        <v>-2.2853326954722451E-2</v>
      </c>
      <c r="I2836" s="829">
        <v>4.5308994494348789E-2</v>
      </c>
      <c r="J2836" s="829">
        <v>-0.17803558919091397</v>
      </c>
      <c r="K2836" s="829">
        <v>-0.2056120818154904</v>
      </c>
      <c r="L2836" s="829">
        <v>-0.1881391315390093</v>
      </c>
      <c r="M2836" s="829">
        <v>-0.16034725549633577</v>
      </c>
      <c r="N2836" s="829">
        <v>5.5467147060370592E-2</v>
      </c>
      <c r="O2836" s="829">
        <v>-6.900355432631905E-2</v>
      </c>
      <c r="P2836" s="829">
        <v>0.22444624089864543</v>
      </c>
      <c r="Q2836" s="829">
        <v>0.65920210685682912</v>
      </c>
      <c r="R2836" s="829">
        <v>1.0126741324250947</v>
      </c>
      <c r="S2836" s="829">
        <v>8.8503427314268093E-2</v>
      </c>
      <c r="T2836" s="829">
        <v>0.15205290976280042</v>
      </c>
      <c r="U2836" s="829">
        <f>U2835/U2833</f>
        <v>8.8306873279715134E-2</v>
      </c>
      <c r="V2836" t="str">
        <f t="shared" si="264"/>
        <v>2019/20Expenditure driversBusiness SupportDifference %</v>
      </c>
    </row>
    <row r="2837" spans="1:22">
      <c r="A2837" t="s">
        <v>126</v>
      </c>
      <c r="C2837" t="s">
        <v>1344</v>
      </c>
      <c r="D2837" t="s">
        <v>107</v>
      </c>
      <c r="E2837" t="s">
        <v>297</v>
      </c>
      <c r="F2837" t="s">
        <v>1289</v>
      </c>
      <c r="G2837" s="229" cm="1">
        <f t="array" ref="G2837:T2840">TRANSPOSE('Ch4 expenditure drivers'!BE834:BH847)</f>
        <v>37.237910703237461</v>
      </c>
      <c r="H2837" s="229">
        <v>24.0708153070522</v>
      </c>
      <c r="I2837" s="229">
        <v>27.427236326306552</v>
      </c>
      <c r="J2837" s="229">
        <v>35.353250335379499</v>
      </c>
      <c r="K2837" s="229">
        <v>36.534919954531809</v>
      </c>
      <c r="L2837" s="229">
        <v>18.91741260122053</v>
      </c>
      <c r="M2837" s="229">
        <v>30.404323689072484</v>
      </c>
      <c r="N2837" s="229">
        <v>27.330628571458583</v>
      </c>
      <c r="O2837" s="229">
        <v>28.188828655008511</v>
      </c>
      <c r="P2837" s="229">
        <v>35.216060845847437</v>
      </c>
      <c r="Q2837" s="229">
        <v>26.040050219051956</v>
      </c>
      <c r="R2837" s="229">
        <v>19.683037029610375</v>
      </c>
      <c r="S2837" s="229">
        <v>24.401518262420005</v>
      </c>
      <c r="T2837" s="229">
        <v>39.139296885511108</v>
      </c>
      <c r="U2837" s="229">
        <f>AVERAGE(G2837:T2837)</f>
        <v>29.281806384693464</v>
      </c>
      <c r="V2837" t="str">
        <f t="shared" si="264"/>
        <v>2020/21Expenditure driversBusiness SupportAllowance</v>
      </c>
    </row>
    <row r="2838" spans="1:22">
      <c r="A2838" t="s">
        <v>126</v>
      </c>
      <c r="C2838" t="s">
        <v>1344</v>
      </c>
      <c r="D2838" t="s">
        <v>107</v>
      </c>
      <c r="E2838" t="s">
        <v>298</v>
      </c>
      <c r="F2838" t="s">
        <v>1289</v>
      </c>
      <c r="G2838" s="229">
        <v>41.234875866459689</v>
      </c>
      <c r="H2838" s="229">
        <v>24.435746099379035</v>
      </c>
      <c r="I2838" s="229">
        <v>27.429184454340302</v>
      </c>
      <c r="J2838" s="229">
        <v>29.886577443425001</v>
      </c>
      <c r="K2838" s="229">
        <v>30.442535945908279</v>
      </c>
      <c r="L2838" s="229">
        <v>16.703083547780686</v>
      </c>
      <c r="M2838" s="229">
        <v>25.212231518151256</v>
      </c>
      <c r="N2838" s="229">
        <v>28.670507741385624</v>
      </c>
      <c r="O2838" s="229">
        <v>28.274680048462816</v>
      </c>
      <c r="P2838" s="229">
        <v>44.388273718735242</v>
      </c>
      <c r="Q2838" s="229">
        <v>42.549526778393869</v>
      </c>
      <c r="R2838" s="229">
        <v>39.711095794900224</v>
      </c>
      <c r="S2838" s="229">
        <v>30.651026575861156</v>
      </c>
      <c r="T2838" s="229">
        <v>54.773286154051256</v>
      </c>
      <c r="U2838" s="229">
        <f>AVERAGE(G2838:T2838)</f>
        <v>33.16875940623104</v>
      </c>
      <c r="V2838" t="str">
        <f t="shared" si="264"/>
        <v>2020/21Expenditure driversBusiness SupportActual</v>
      </c>
    </row>
    <row r="2839" spans="1:22">
      <c r="A2839" t="s">
        <v>126</v>
      </c>
      <c r="C2839" t="s">
        <v>1344</v>
      </c>
      <c r="D2839" t="s">
        <v>107</v>
      </c>
      <c r="E2839" t="s">
        <v>602</v>
      </c>
      <c r="F2839" t="s">
        <v>1289</v>
      </c>
      <c r="G2839" s="229">
        <v>3.9969651632222281</v>
      </c>
      <c r="H2839" s="229">
        <v>0.36493079232683456</v>
      </c>
      <c r="I2839" s="229">
        <v>1.9481280337494411E-3</v>
      </c>
      <c r="J2839" s="229">
        <v>-5.4666728919544987</v>
      </c>
      <c r="K2839" s="229">
        <v>-6.0923840086235295</v>
      </c>
      <c r="L2839" s="229">
        <v>-2.2143290534398439</v>
      </c>
      <c r="M2839" s="229">
        <v>-5.192092170921228</v>
      </c>
      <c r="N2839" s="229">
        <v>1.3398791699270411</v>
      </c>
      <c r="O2839" s="229">
        <v>8.585139345430548E-2</v>
      </c>
      <c r="P2839" s="229">
        <v>9.1722128728878047</v>
      </c>
      <c r="Q2839" s="229">
        <v>16.509476559341913</v>
      </c>
      <c r="R2839" s="229">
        <v>20.028058765289849</v>
      </c>
      <c r="S2839" s="229">
        <v>6.2495083134411509</v>
      </c>
      <c r="T2839" s="229">
        <v>15.633989268540148</v>
      </c>
      <c r="U2839" s="229">
        <f>U2838-U2837</f>
        <v>3.8869530215375754</v>
      </c>
      <c r="V2839" t="str">
        <f t="shared" si="264"/>
        <v>2020/21Expenditure driversBusiness SupportDifference</v>
      </c>
    </row>
    <row r="2840" spans="1:22">
      <c r="A2840" t="s">
        <v>126</v>
      </c>
      <c r="C2840" t="s">
        <v>1344</v>
      </c>
      <c r="D2840" t="s">
        <v>107</v>
      </c>
      <c r="E2840" t="s">
        <v>1346</v>
      </c>
      <c r="F2840" t="s">
        <v>606</v>
      </c>
      <c r="G2840" s="829">
        <v>0.10733591352843359</v>
      </c>
      <c r="H2840" s="829">
        <v>1.5160715898971571E-2</v>
      </c>
      <c r="I2840" s="829">
        <v>7.1028958607867983E-5</v>
      </c>
      <c r="J2840" s="829">
        <v>-0.15462999413334752</v>
      </c>
      <c r="K2840" s="829">
        <v>-0.16675509392673044</v>
      </c>
      <c r="L2840" s="829">
        <v>-0.11705242678361721</v>
      </c>
      <c r="M2840" s="829">
        <v>-0.17076821783696838</v>
      </c>
      <c r="N2840" s="829">
        <v>4.9024820868052738E-2</v>
      </c>
      <c r="O2840" s="829">
        <v>3.0455821525968815E-3</v>
      </c>
      <c r="P2840" s="829">
        <v>0.26045539031289361</v>
      </c>
      <c r="Q2840" s="829">
        <v>0.63400325346772601</v>
      </c>
      <c r="R2840" s="829">
        <v>1.0175288871915669</v>
      </c>
      <c r="S2840" s="829">
        <v>0.25611145364941568</v>
      </c>
      <c r="T2840" s="829">
        <v>0.39944481665759463</v>
      </c>
      <c r="U2840" s="829">
        <f>U2839/U2837</f>
        <v>0.13274293841275481</v>
      </c>
      <c r="V2840" t="str">
        <f t="shared" si="264"/>
        <v>2020/21Expenditure driversBusiness SupportDifference %</v>
      </c>
    </row>
    <row r="2841" spans="1:22">
      <c r="A2841" t="s">
        <v>142</v>
      </c>
      <c r="C2841" t="s">
        <v>1344</v>
      </c>
      <c r="D2841" t="s">
        <v>107</v>
      </c>
      <c r="E2841" t="s">
        <v>297</v>
      </c>
      <c r="F2841" t="s">
        <v>1289</v>
      </c>
      <c r="G2841" s="229" cm="1">
        <f t="array" ref="G2841:T2844">TRANSPOSE('Ch4 expenditure drivers'!BJ834:BM847)</f>
        <v>36.824974419632703</v>
      </c>
      <c r="H2841" s="229">
        <v>23.845713842511355</v>
      </c>
      <c r="I2841" s="229">
        <v>27.089136501718805</v>
      </c>
      <c r="J2841" s="229">
        <v>35.590784908488686</v>
      </c>
      <c r="K2841" s="229">
        <v>36.973048609638823</v>
      </c>
      <c r="L2841" s="229">
        <v>18.948483655655281</v>
      </c>
      <c r="M2841" s="229">
        <v>30.438148111205805</v>
      </c>
      <c r="N2841" s="229">
        <v>26.564064488805652</v>
      </c>
      <c r="O2841" s="229">
        <v>28.00786174714878</v>
      </c>
      <c r="P2841" s="229">
        <v>34.891593290141209</v>
      </c>
      <c r="Q2841" s="229">
        <v>26.00659934948132</v>
      </c>
      <c r="R2841" s="229">
        <v>20.003218763301934</v>
      </c>
      <c r="S2841" s="229">
        <v>24.441628867003125</v>
      </c>
      <c r="T2841" s="229">
        <v>39.126207449226698</v>
      </c>
      <c r="U2841" s="229">
        <f>AVERAGE(G2841:T2841)</f>
        <v>29.196533143140016</v>
      </c>
      <c r="V2841" t="str">
        <f t="shared" ref="V2841:V2844" si="266">CONCATENATE(A2841,B2841,C2841,D2841,E2841)</f>
        <v>2021/22Expenditure driversBusiness SupportAllowance</v>
      </c>
    </row>
    <row r="2842" spans="1:22">
      <c r="A2842" t="s">
        <v>142</v>
      </c>
      <c r="C2842" t="s">
        <v>1344</v>
      </c>
      <c r="D2842" t="s">
        <v>107</v>
      </c>
      <c r="E2842" t="s">
        <v>298</v>
      </c>
      <c r="F2842" t="s">
        <v>1289</v>
      </c>
      <c r="G2842" s="229">
        <v>45.24783127590397</v>
      </c>
      <c r="H2842" s="229">
        <v>23.737596829928219</v>
      </c>
      <c r="I2842" s="229">
        <v>26.289265328812863</v>
      </c>
      <c r="J2842" s="229">
        <v>35.716099999999997</v>
      </c>
      <c r="K2842" s="229">
        <v>36.616300000000003</v>
      </c>
      <c r="L2842" s="229">
        <v>21.807199999999998</v>
      </c>
      <c r="M2842" s="229">
        <v>31.001499999999997</v>
      </c>
      <c r="N2842" s="229">
        <v>28.886573956422513</v>
      </c>
      <c r="O2842" s="229">
        <v>27.270940122269508</v>
      </c>
      <c r="P2842" s="229">
        <v>45.027105859842656</v>
      </c>
      <c r="Q2842" s="229">
        <v>42.882538442591823</v>
      </c>
      <c r="R2842" s="229">
        <v>39.559152887016189</v>
      </c>
      <c r="S2842" s="229">
        <v>35.887961007984806</v>
      </c>
      <c r="T2842" s="229">
        <v>53.863992002606217</v>
      </c>
      <c r="U2842" s="229">
        <f>AVERAGE(G2842:T2842)</f>
        <v>35.271004122384198</v>
      </c>
      <c r="V2842" t="str">
        <f t="shared" si="266"/>
        <v>2021/22Expenditure driversBusiness SupportActual</v>
      </c>
    </row>
    <row r="2843" spans="1:22">
      <c r="A2843" t="s">
        <v>142</v>
      </c>
      <c r="C2843" t="s">
        <v>1344</v>
      </c>
      <c r="D2843" t="s">
        <v>107</v>
      </c>
      <c r="E2843" t="s">
        <v>602</v>
      </c>
      <c r="F2843" t="s">
        <v>1289</v>
      </c>
      <c r="G2843" s="229">
        <v>8.4228568562712667</v>
      </c>
      <c r="H2843" s="229">
        <v>-0.10811701258313633</v>
      </c>
      <c r="I2843" s="229">
        <v>-0.79987117290594156</v>
      </c>
      <c r="J2843" s="229">
        <v>0.12531509151131104</v>
      </c>
      <c r="K2843" s="229">
        <v>-0.35674860963882082</v>
      </c>
      <c r="L2843" s="229">
        <v>2.8587163443447174</v>
      </c>
      <c r="M2843" s="229">
        <v>0.56335188879419107</v>
      </c>
      <c r="N2843" s="229">
        <v>2.3225094676168609</v>
      </c>
      <c r="O2843" s="229">
        <v>-0.73692162487927249</v>
      </c>
      <c r="P2843" s="229">
        <v>10.135512569701447</v>
      </c>
      <c r="Q2843" s="229">
        <v>16.875939093110503</v>
      </c>
      <c r="R2843" s="229">
        <v>19.555934123714255</v>
      </c>
      <c r="S2843" s="229">
        <v>11.446332140981681</v>
      </c>
      <c r="T2843" s="229">
        <v>14.73778455337952</v>
      </c>
      <c r="U2843" s="229">
        <f>U2842-U2841</f>
        <v>6.0744709792441824</v>
      </c>
      <c r="V2843" t="str">
        <f t="shared" si="266"/>
        <v>2021/22Expenditure driversBusiness SupportDifference</v>
      </c>
    </row>
    <row r="2844" spans="1:22">
      <c r="A2844" t="s">
        <v>142</v>
      </c>
      <c r="C2844" t="s">
        <v>1344</v>
      </c>
      <c r="D2844" t="s">
        <v>107</v>
      </c>
      <c r="E2844" t="s">
        <v>1346</v>
      </c>
      <c r="F2844" t="s">
        <v>606</v>
      </c>
      <c r="G2844" s="829">
        <v>0.22872675375928414</v>
      </c>
      <c r="H2844" s="829">
        <v>-4.5340228980853105E-3</v>
      </c>
      <c r="I2844" s="829">
        <v>-2.9527377989888668E-2</v>
      </c>
      <c r="J2844" s="829">
        <v>3.5209982537199509E-3</v>
      </c>
      <c r="K2844" s="829">
        <v>-9.6488827146868524E-3</v>
      </c>
      <c r="L2844" s="829">
        <v>0.15086781593162035</v>
      </c>
      <c r="M2844" s="829">
        <v>1.850808684996158E-2</v>
      </c>
      <c r="N2844" s="829">
        <v>8.7430501028770966E-2</v>
      </c>
      <c r="O2844" s="829">
        <v>-2.6311241876730972E-2</v>
      </c>
      <c r="P2844" s="829">
        <v>0.29048580514565625</v>
      </c>
      <c r="Q2844" s="829">
        <v>0.64890987346437046</v>
      </c>
      <c r="R2844" s="829">
        <v>0.97763936669990981</v>
      </c>
      <c r="S2844" s="829">
        <v>0.46831298369130164</v>
      </c>
      <c r="T2844" s="829">
        <v>0.37667296459807537</v>
      </c>
      <c r="U2844" s="829">
        <f>U2843/U2841</f>
        <v>0.20805452994926671</v>
      </c>
      <c r="V2844" t="str">
        <f t="shared" si="266"/>
        <v>2021/22Expenditure driversBusiness SupportDifference %</v>
      </c>
    </row>
    <row r="2845" spans="1:22">
      <c r="A2845" t="s">
        <v>137</v>
      </c>
      <c r="C2845" t="s">
        <v>1344</v>
      </c>
      <c r="D2845" t="s">
        <v>109</v>
      </c>
      <c r="E2845" t="s">
        <v>1347</v>
      </c>
      <c r="F2845" t="s">
        <v>1289</v>
      </c>
      <c r="G2845">
        <f t="array" ref="G2845:T2852">TRANSPOSE('Ch4 expenditure drivers'!E854:L867)</f>
        <v>0</v>
      </c>
      <c r="H2845">
        <v>0</v>
      </c>
      <c r="I2845">
        <v>13.625691516525016</v>
      </c>
      <c r="J2845">
        <v>0</v>
      </c>
      <c r="K2845">
        <v>0</v>
      </c>
      <c r="L2845">
        <v>0</v>
      </c>
      <c r="M2845">
        <v>0</v>
      </c>
      <c r="N2845">
        <v>14.725849503836203</v>
      </c>
      <c r="O2845">
        <v>6.6145762846348735</v>
      </c>
      <c r="P2845">
        <v>15.477708232598834</v>
      </c>
      <c r="Q2845">
        <v>0</v>
      </c>
      <c r="R2845">
        <v>0</v>
      </c>
      <c r="S2845">
        <v>0</v>
      </c>
      <c r="T2845">
        <v>6.2692791289521672</v>
      </c>
      <c r="U2845">
        <f>AVERAGE(G2845:T2845)</f>
        <v>4.0509360476105067</v>
      </c>
      <c r="V2845" t="str">
        <f t="shared" si="264"/>
        <v>2015/16Expenditure driversHVP ED1BPDT</v>
      </c>
    </row>
    <row r="2846" spans="1:22">
      <c r="A2846" t="s">
        <v>138</v>
      </c>
      <c r="C2846" t="s">
        <v>1344</v>
      </c>
      <c r="D2846" t="s">
        <v>109</v>
      </c>
      <c r="E2846" t="s">
        <v>1347</v>
      </c>
      <c r="F2846" t="s">
        <v>1289</v>
      </c>
      <c r="G2846">
        <v>0</v>
      </c>
      <c r="H2846">
        <v>0</v>
      </c>
      <c r="I2846">
        <v>5.2702565830062525E-4</v>
      </c>
      <c r="J2846">
        <v>0</v>
      </c>
      <c r="K2846">
        <v>0</v>
      </c>
      <c r="L2846">
        <v>0</v>
      </c>
      <c r="M2846">
        <v>0</v>
      </c>
      <c r="N2846">
        <v>12.896358555967554</v>
      </c>
      <c r="O2846">
        <v>8.1028346643999427</v>
      </c>
      <c r="P2846">
        <v>11.991274273661823</v>
      </c>
      <c r="Q2846">
        <v>0</v>
      </c>
      <c r="R2846">
        <v>0</v>
      </c>
      <c r="S2846">
        <v>0</v>
      </c>
      <c r="T2846">
        <v>6.2532264240024835</v>
      </c>
      <c r="U2846">
        <f t="shared" ref="U2846:U2878" si="267">AVERAGE(G2846:T2846)</f>
        <v>2.8031586388350074</v>
      </c>
      <c r="V2846" t="str">
        <f t="shared" si="264"/>
        <v>2016/17Expenditure driversHVP ED1BPDT</v>
      </c>
    </row>
    <row r="2847" spans="1:22">
      <c r="A2847" t="s">
        <v>139</v>
      </c>
      <c r="C2847" t="s">
        <v>1344</v>
      </c>
      <c r="D2847" t="s">
        <v>109</v>
      </c>
      <c r="E2847" t="s">
        <v>1347</v>
      </c>
      <c r="F2847" t="s">
        <v>1289</v>
      </c>
      <c r="G2847">
        <v>0</v>
      </c>
      <c r="H2847">
        <v>0</v>
      </c>
      <c r="I2847">
        <v>5.2855241999204424E-4</v>
      </c>
      <c r="J2847">
        <v>0</v>
      </c>
      <c r="K2847">
        <v>0</v>
      </c>
      <c r="L2847">
        <v>0</v>
      </c>
      <c r="M2847">
        <v>0</v>
      </c>
      <c r="N2847">
        <v>19.818493485679408</v>
      </c>
      <c r="O2847">
        <v>8.0814882823587482</v>
      </c>
      <c r="P2847">
        <v>0.74210039909511027</v>
      </c>
      <c r="Q2847">
        <v>0</v>
      </c>
      <c r="R2847">
        <v>0</v>
      </c>
      <c r="S2847">
        <v>0</v>
      </c>
      <c r="T2847">
        <v>12.48253888305506</v>
      </c>
      <c r="U2847">
        <f t="shared" si="267"/>
        <v>2.9375106859005942</v>
      </c>
      <c r="V2847" t="str">
        <f t="shared" si="264"/>
        <v>2017/18Expenditure driversHVP ED1BPDT</v>
      </c>
    </row>
    <row r="2848" spans="1:22">
      <c r="A2848" t="s">
        <v>140</v>
      </c>
      <c r="C2848" t="s">
        <v>1344</v>
      </c>
      <c r="D2848" t="s">
        <v>109</v>
      </c>
      <c r="E2848" t="s">
        <v>1347</v>
      </c>
      <c r="F2848" t="s">
        <v>1289</v>
      </c>
      <c r="G2848">
        <v>0</v>
      </c>
      <c r="H2848">
        <v>0</v>
      </c>
      <c r="I2848">
        <v>5.3031550655761308E-4</v>
      </c>
      <c r="J2848">
        <v>0</v>
      </c>
      <c r="K2848">
        <v>0</v>
      </c>
      <c r="L2848">
        <v>0</v>
      </c>
      <c r="M2848">
        <v>0</v>
      </c>
      <c r="N2848">
        <v>21.796668046345332</v>
      </c>
      <c r="O2848">
        <v>7.5674745968147832</v>
      </c>
      <c r="P2848">
        <v>0</v>
      </c>
      <c r="Q2848">
        <v>0</v>
      </c>
      <c r="R2848">
        <v>0</v>
      </c>
      <c r="S2848">
        <v>0</v>
      </c>
      <c r="T2848">
        <v>12.385919152690905</v>
      </c>
      <c r="U2848">
        <f t="shared" si="267"/>
        <v>2.9821851508112553</v>
      </c>
      <c r="V2848" t="str">
        <f t="shared" si="264"/>
        <v>2018/19Expenditure driversHVP ED1BPDT</v>
      </c>
    </row>
    <row r="2849" spans="1:22">
      <c r="A2849" t="s">
        <v>141</v>
      </c>
      <c r="C2849" t="s">
        <v>1344</v>
      </c>
      <c r="D2849" t="s">
        <v>109</v>
      </c>
      <c r="E2849" t="s">
        <v>1347</v>
      </c>
      <c r="F2849" t="s">
        <v>1289</v>
      </c>
      <c r="G2849">
        <v>0</v>
      </c>
      <c r="H2849">
        <v>0</v>
      </c>
      <c r="I2849">
        <v>5.3197672397259745E-4</v>
      </c>
      <c r="J2849">
        <v>0</v>
      </c>
      <c r="K2849">
        <v>0</v>
      </c>
      <c r="L2849">
        <v>0</v>
      </c>
      <c r="M2849">
        <v>0</v>
      </c>
      <c r="N2849">
        <v>19.620601894156167</v>
      </c>
      <c r="O2849">
        <v>6.3094220969185955</v>
      </c>
      <c r="P2849">
        <v>0</v>
      </c>
      <c r="Q2849">
        <v>0</v>
      </c>
      <c r="R2849">
        <v>0</v>
      </c>
      <c r="S2849">
        <v>0</v>
      </c>
      <c r="T2849">
        <v>0</v>
      </c>
      <c r="U2849">
        <f t="shared" si="267"/>
        <v>1.852182569128481</v>
      </c>
      <c r="V2849" t="str">
        <f t="shared" si="264"/>
        <v>2019/20Expenditure driversHVP ED1BPDT</v>
      </c>
    </row>
    <row r="2850" spans="1:22">
      <c r="A2850" t="s">
        <v>126</v>
      </c>
      <c r="C2850" t="s">
        <v>1344</v>
      </c>
      <c r="D2850" t="s">
        <v>109</v>
      </c>
      <c r="E2850" t="s">
        <v>1347</v>
      </c>
      <c r="F2850" t="s">
        <v>1289</v>
      </c>
      <c r="G2850">
        <v>0</v>
      </c>
      <c r="H2850">
        <v>0</v>
      </c>
      <c r="I2850">
        <v>0</v>
      </c>
      <c r="J2850">
        <v>0</v>
      </c>
      <c r="K2850">
        <v>0</v>
      </c>
      <c r="L2850">
        <v>0</v>
      </c>
      <c r="M2850">
        <v>0</v>
      </c>
      <c r="N2850">
        <v>10.715197898596781</v>
      </c>
      <c r="O2850">
        <v>3.7989976236662018</v>
      </c>
      <c r="P2850">
        <v>0</v>
      </c>
      <c r="Q2850">
        <v>0</v>
      </c>
      <c r="R2850">
        <v>0</v>
      </c>
      <c r="S2850">
        <v>0</v>
      </c>
      <c r="T2850">
        <v>0</v>
      </c>
      <c r="U2850">
        <f t="shared" si="267"/>
        <v>1.036728251590213</v>
      </c>
      <c r="V2850" t="str">
        <f t="shared" si="264"/>
        <v>2020/21Expenditure driversHVP ED1BPDT</v>
      </c>
    </row>
    <row r="2851" spans="1:22">
      <c r="A2851" t="s">
        <v>142</v>
      </c>
      <c r="C2851" t="s">
        <v>1344</v>
      </c>
      <c r="D2851" t="s">
        <v>109</v>
      </c>
      <c r="E2851" t="s">
        <v>1347</v>
      </c>
      <c r="F2851" t="s">
        <v>1289</v>
      </c>
      <c r="G2851">
        <v>0</v>
      </c>
      <c r="H2851">
        <v>0</v>
      </c>
      <c r="I2851">
        <v>0</v>
      </c>
      <c r="J2851">
        <v>0</v>
      </c>
      <c r="K2851">
        <v>0</v>
      </c>
      <c r="L2851">
        <v>0</v>
      </c>
      <c r="M2851">
        <v>0</v>
      </c>
      <c r="N2851">
        <v>10.189409165847954</v>
      </c>
      <c r="O2851">
        <v>0</v>
      </c>
      <c r="P2851">
        <v>0</v>
      </c>
      <c r="Q2851">
        <v>0</v>
      </c>
      <c r="R2851">
        <v>0</v>
      </c>
      <c r="S2851">
        <v>0</v>
      </c>
      <c r="T2851">
        <v>0</v>
      </c>
      <c r="U2851">
        <f t="shared" si="267"/>
        <v>0.727814940417711</v>
      </c>
      <c r="V2851" t="str">
        <f t="shared" si="264"/>
        <v>2021/22Expenditure driversHVP ED1BPDT</v>
      </c>
    </row>
    <row r="2852" spans="1:22">
      <c r="A2852" t="s">
        <v>143</v>
      </c>
      <c r="C2852" t="s">
        <v>1344</v>
      </c>
      <c r="D2852" t="s">
        <v>109</v>
      </c>
      <c r="E2852" t="s">
        <v>1347</v>
      </c>
      <c r="F2852" t="s">
        <v>1289</v>
      </c>
      <c r="G2852">
        <v>0</v>
      </c>
      <c r="H2852">
        <v>0</v>
      </c>
      <c r="I2852">
        <v>0</v>
      </c>
      <c r="J2852">
        <v>0</v>
      </c>
      <c r="K2852">
        <v>0</v>
      </c>
      <c r="L2852">
        <v>0</v>
      </c>
      <c r="M2852">
        <v>0</v>
      </c>
      <c r="N2852">
        <v>7.7143373629805083</v>
      </c>
      <c r="O2852">
        <v>0</v>
      </c>
      <c r="P2852">
        <v>0</v>
      </c>
      <c r="Q2852">
        <v>0</v>
      </c>
      <c r="R2852">
        <v>0</v>
      </c>
      <c r="S2852">
        <v>0</v>
      </c>
      <c r="T2852">
        <v>0</v>
      </c>
      <c r="U2852">
        <f t="shared" si="267"/>
        <v>0.55102409735575064</v>
      </c>
      <c r="V2852" t="str">
        <f t="shared" si="264"/>
        <v>2022/23Expenditure driversHVP ED1BPDT</v>
      </c>
    </row>
    <row r="2853" spans="1:22">
      <c r="A2853" t="s">
        <v>137</v>
      </c>
      <c r="C2853" t="s">
        <v>1344</v>
      </c>
      <c r="D2853" t="s">
        <v>109</v>
      </c>
      <c r="E2853" t="s">
        <v>1348</v>
      </c>
      <c r="F2853" t="s">
        <v>1289</v>
      </c>
      <c r="G2853">
        <f t="array" ref="G2853:T2860">TRANSPOSE('Ch4 expenditure drivers'!N854:U867)</f>
        <v>0</v>
      </c>
      <c r="H2853">
        <v>0</v>
      </c>
      <c r="I2853">
        <v>13.647638931634082</v>
      </c>
      <c r="J2853">
        <v>0</v>
      </c>
      <c r="K2853">
        <v>0</v>
      </c>
      <c r="L2853">
        <v>0</v>
      </c>
      <c r="M2853">
        <v>0</v>
      </c>
      <c r="N2853">
        <v>14.002931545344273</v>
      </c>
      <c r="O2853">
        <v>6.017375500985926</v>
      </c>
      <c r="P2853">
        <v>14.905433181842431</v>
      </c>
      <c r="Q2853">
        <v>0</v>
      </c>
      <c r="R2853">
        <v>0</v>
      </c>
      <c r="S2853">
        <v>0</v>
      </c>
      <c r="T2853">
        <v>5.637786138803353</v>
      </c>
      <c r="U2853">
        <f t="shared" si="267"/>
        <v>3.8722260927578622</v>
      </c>
      <c r="V2853" t="str">
        <f t="shared" si="264"/>
        <v>2015/16Expenditure driversHVP ED1DNO Baseline</v>
      </c>
    </row>
    <row r="2854" spans="1:22">
      <c r="A2854" t="s">
        <v>138</v>
      </c>
      <c r="C2854" t="s">
        <v>1344</v>
      </c>
      <c r="D2854" t="s">
        <v>109</v>
      </c>
      <c r="E2854" t="s">
        <v>1348</v>
      </c>
      <c r="F2854" t="s">
        <v>1289</v>
      </c>
      <c r="G2854">
        <v>0</v>
      </c>
      <c r="H2854">
        <v>0</v>
      </c>
      <c r="I2854">
        <v>5.2666162962354578E-4</v>
      </c>
      <c r="J2854">
        <v>0</v>
      </c>
      <c r="K2854">
        <v>0</v>
      </c>
      <c r="L2854">
        <v>0</v>
      </c>
      <c r="M2854">
        <v>0</v>
      </c>
      <c r="N2854">
        <v>12.26325353904943</v>
      </c>
      <c r="O2854">
        <v>7.3712656260931144</v>
      </c>
      <c r="P2854">
        <v>11.547907142658506</v>
      </c>
      <c r="Q2854">
        <v>0</v>
      </c>
      <c r="R2854">
        <v>0</v>
      </c>
      <c r="S2854">
        <v>0</v>
      </c>
      <c r="T2854">
        <v>5.6233503933860396</v>
      </c>
      <c r="U2854">
        <f t="shared" si="267"/>
        <v>2.6290216687726224</v>
      </c>
      <c r="V2854" t="str">
        <f t="shared" si="264"/>
        <v>2016/17Expenditure driversHVP ED1DNO Baseline</v>
      </c>
    </row>
    <row r="2855" spans="1:22">
      <c r="A2855" t="s">
        <v>139</v>
      </c>
      <c r="C2855" t="s">
        <v>1344</v>
      </c>
      <c r="D2855" t="s">
        <v>109</v>
      </c>
      <c r="E2855" t="s">
        <v>1348</v>
      </c>
      <c r="F2855" t="s">
        <v>1289</v>
      </c>
      <c r="G2855">
        <v>0</v>
      </c>
      <c r="H2855">
        <v>0</v>
      </c>
      <c r="I2855">
        <v>5.2818733674574224E-4</v>
      </c>
      <c r="J2855">
        <v>0</v>
      </c>
      <c r="K2855">
        <v>0</v>
      </c>
      <c r="L2855">
        <v>0</v>
      </c>
      <c r="M2855">
        <v>0</v>
      </c>
      <c r="N2855">
        <v>18.84556864033717</v>
      </c>
      <c r="O2855">
        <v>7.3518465143009113</v>
      </c>
      <c r="P2855">
        <v>0.71466187026536809</v>
      </c>
      <c r="Q2855">
        <v>0</v>
      </c>
      <c r="R2855">
        <v>0</v>
      </c>
      <c r="S2855">
        <v>0</v>
      </c>
      <c r="T2855">
        <v>11.225195631658506</v>
      </c>
      <c r="U2855">
        <f t="shared" si="267"/>
        <v>2.7241286317070501</v>
      </c>
      <c r="V2855" t="str">
        <f t="shared" si="264"/>
        <v>2017/18Expenditure driversHVP ED1DNO Baseline</v>
      </c>
    </row>
    <row r="2856" spans="1:22">
      <c r="A2856" t="s">
        <v>140</v>
      </c>
      <c r="C2856" t="s">
        <v>1344</v>
      </c>
      <c r="D2856" t="s">
        <v>109</v>
      </c>
      <c r="E2856" t="s">
        <v>1348</v>
      </c>
      <c r="F2856" t="s">
        <v>1289</v>
      </c>
      <c r="G2856">
        <v>0</v>
      </c>
      <c r="H2856">
        <v>0</v>
      </c>
      <c r="I2856">
        <v>5.299492055070924E-4</v>
      </c>
      <c r="J2856">
        <v>0</v>
      </c>
      <c r="K2856">
        <v>0</v>
      </c>
      <c r="L2856">
        <v>0</v>
      </c>
      <c r="M2856">
        <v>0</v>
      </c>
      <c r="N2856">
        <v>20.72663111829678</v>
      </c>
      <c r="O2856">
        <v>6.8842408468375922</v>
      </c>
      <c r="P2856">
        <v>0</v>
      </c>
      <c r="Q2856">
        <v>0</v>
      </c>
      <c r="R2856">
        <v>0</v>
      </c>
      <c r="S2856">
        <v>0</v>
      </c>
      <c r="T2856">
        <v>11.138308229554111</v>
      </c>
      <c r="U2856">
        <f t="shared" si="267"/>
        <v>2.7678364388495709</v>
      </c>
      <c r="V2856" t="str">
        <f t="shared" si="264"/>
        <v>2018/19Expenditure driversHVP ED1DNO Baseline</v>
      </c>
    </row>
    <row r="2857" spans="1:22">
      <c r="A2857" t="s">
        <v>141</v>
      </c>
      <c r="C2857" t="s">
        <v>1344</v>
      </c>
      <c r="D2857" t="s">
        <v>109</v>
      </c>
      <c r="E2857" t="s">
        <v>1348</v>
      </c>
      <c r="F2857" t="s">
        <v>1289</v>
      </c>
      <c r="G2857">
        <v>0</v>
      </c>
      <c r="H2857">
        <v>0</v>
      </c>
      <c r="I2857">
        <v>5.3160927548121038E-4</v>
      </c>
      <c r="J2857">
        <v>0</v>
      </c>
      <c r="K2857">
        <v>0</v>
      </c>
      <c r="L2857">
        <v>0</v>
      </c>
      <c r="M2857">
        <v>0</v>
      </c>
      <c r="N2857">
        <v>18.657391896525052</v>
      </c>
      <c r="O2857">
        <v>5.7397723327448107</v>
      </c>
      <c r="P2857">
        <v>0</v>
      </c>
      <c r="Q2857">
        <v>0</v>
      </c>
      <c r="R2857">
        <v>0</v>
      </c>
      <c r="S2857">
        <v>0</v>
      </c>
      <c r="T2857">
        <v>0</v>
      </c>
      <c r="U2857">
        <f t="shared" si="267"/>
        <v>1.7426925598960958</v>
      </c>
      <c r="V2857" t="str">
        <f t="shared" si="264"/>
        <v>2019/20Expenditure driversHVP ED1DNO Baseline</v>
      </c>
    </row>
    <row r="2858" spans="1:22">
      <c r="A2858" t="s">
        <v>126</v>
      </c>
      <c r="C2858" t="s">
        <v>1344</v>
      </c>
      <c r="D2858" t="s">
        <v>109</v>
      </c>
      <c r="E2858" t="s">
        <v>1348</v>
      </c>
      <c r="F2858" t="s">
        <v>1289</v>
      </c>
      <c r="G2858">
        <v>0</v>
      </c>
      <c r="H2858">
        <v>0</v>
      </c>
      <c r="I2858">
        <v>0</v>
      </c>
      <c r="J2858">
        <v>0</v>
      </c>
      <c r="K2858">
        <v>0</v>
      </c>
      <c r="L2858">
        <v>0</v>
      </c>
      <c r="M2858">
        <v>0</v>
      </c>
      <c r="N2858">
        <v>10.189169910352527</v>
      </c>
      <c r="O2858">
        <v>3.4560029615282657</v>
      </c>
      <c r="P2858">
        <v>0</v>
      </c>
      <c r="Q2858">
        <v>0</v>
      </c>
      <c r="R2858">
        <v>0</v>
      </c>
      <c r="S2858">
        <v>0</v>
      </c>
      <c r="T2858">
        <v>0</v>
      </c>
      <c r="U2858">
        <f t="shared" si="267"/>
        <v>0.97465520513434234</v>
      </c>
      <c r="V2858" t="str">
        <f t="shared" si="264"/>
        <v>2020/21Expenditure driversHVP ED1DNO Baseline</v>
      </c>
    </row>
    <row r="2859" spans="1:22">
      <c r="A2859" t="s">
        <v>142</v>
      </c>
      <c r="C2859" t="s">
        <v>1344</v>
      </c>
      <c r="D2859" t="s">
        <v>109</v>
      </c>
      <c r="E2859" t="s">
        <v>1348</v>
      </c>
      <c r="F2859" t="s">
        <v>1289</v>
      </c>
      <c r="G2859">
        <v>0</v>
      </c>
      <c r="H2859">
        <v>0</v>
      </c>
      <c r="I2859">
        <v>0</v>
      </c>
      <c r="J2859">
        <v>0</v>
      </c>
      <c r="K2859">
        <v>0</v>
      </c>
      <c r="L2859">
        <v>0</v>
      </c>
      <c r="M2859">
        <v>0</v>
      </c>
      <c r="N2859">
        <v>9.6891930750550355</v>
      </c>
      <c r="O2859">
        <v>0</v>
      </c>
      <c r="P2859">
        <v>0</v>
      </c>
      <c r="Q2859">
        <v>0</v>
      </c>
      <c r="R2859">
        <v>0</v>
      </c>
      <c r="S2859">
        <v>0</v>
      </c>
      <c r="T2859">
        <v>0</v>
      </c>
      <c r="U2859">
        <f t="shared" si="267"/>
        <v>0.69208521964678826</v>
      </c>
      <c r="V2859" t="str">
        <f t="shared" si="264"/>
        <v>2021/22Expenditure driversHVP ED1DNO Baseline</v>
      </c>
    </row>
    <row r="2860" spans="1:22">
      <c r="A2860" t="s">
        <v>143</v>
      </c>
      <c r="C2860" t="s">
        <v>1344</v>
      </c>
      <c r="D2860" t="s">
        <v>109</v>
      </c>
      <c r="E2860" t="s">
        <v>1348</v>
      </c>
      <c r="F2860" t="s">
        <v>1289</v>
      </c>
      <c r="G2860">
        <v>0</v>
      </c>
      <c r="H2860">
        <v>0</v>
      </c>
      <c r="I2860">
        <v>0</v>
      </c>
      <c r="J2860">
        <v>0</v>
      </c>
      <c r="K2860">
        <v>0</v>
      </c>
      <c r="L2860">
        <v>0</v>
      </c>
      <c r="M2860">
        <v>0</v>
      </c>
      <c r="N2860">
        <v>7.3356269180509264</v>
      </c>
      <c r="O2860">
        <v>0</v>
      </c>
      <c r="P2860">
        <v>0</v>
      </c>
      <c r="Q2860">
        <v>0</v>
      </c>
      <c r="R2860">
        <v>0</v>
      </c>
      <c r="S2860">
        <v>0</v>
      </c>
      <c r="T2860">
        <v>0</v>
      </c>
      <c r="U2860">
        <f t="shared" si="267"/>
        <v>0.52397335128935185</v>
      </c>
      <c r="V2860" t="str">
        <f t="shared" si="264"/>
        <v>2022/23Expenditure driversHVP ED1DNO Baseline</v>
      </c>
    </row>
    <row r="2861" spans="1:22">
      <c r="A2861" t="s">
        <v>137</v>
      </c>
      <c r="C2861" t="s">
        <v>1344</v>
      </c>
      <c r="D2861" t="s">
        <v>109</v>
      </c>
      <c r="E2861" t="s">
        <v>1349</v>
      </c>
      <c r="F2861" t="s">
        <v>1289</v>
      </c>
      <c r="G2861" cm="1">
        <f t="array" ref="G2861:T2867">TRANSPOSE('Ch4 expenditure drivers'!W854:AC867)</f>
        <v>0</v>
      </c>
      <c r="H2861">
        <v>0</v>
      </c>
      <c r="I2861">
        <v>0</v>
      </c>
      <c r="J2861">
        <v>0</v>
      </c>
      <c r="K2861">
        <v>0</v>
      </c>
      <c r="L2861">
        <v>0</v>
      </c>
      <c r="M2861">
        <v>0</v>
      </c>
      <c r="N2861">
        <v>1.3863189265895208</v>
      </c>
      <c r="O2861">
        <v>0.48338084217948235</v>
      </c>
      <c r="P2861">
        <v>7.8203086947009632E-3</v>
      </c>
      <c r="Q2861">
        <v>0</v>
      </c>
      <c r="R2861">
        <v>0</v>
      </c>
      <c r="S2861">
        <v>0</v>
      </c>
      <c r="T2861">
        <v>0.66313085079508016</v>
      </c>
      <c r="U2861">
        <f t="shared" si="267"/>
        <v>0.18147506630419888</v>
      </c>
      <c r="V2861" t="str">
        <f t="shared" si="264"/>
        <v>2015/16Expenditure driversHVP ED1DNO Actual</v>
      </c>
    </row>
    <row r="2862" spans="1:22">
      <c r="A2862" t="s">
        <v>138</v>
      </c>
      <c r="C2862" t="s">
        <v>1344</v>
      </c>
      <c r="D2862" t="s">
        <v>109</v>
      </c>
      <c r="E2862" t="s">
        <v>1349</v>
      </c>
      <c r="F2862" t="s">
        <v>1289</v>
      </c>
      <c r="G2862">
        <v>0</v>
      </c>
      <c r="H2862">
        <v>0</v>
      </c>
      <c r="I2862">
        <v>0</v>
      </c>
      <c r="J2862">
        <v>0</v>
      </c>
      <c r="K2862">
        <v>0</v>
      </c>
      <c r="L2862">
        <v>0</v>
      </c>
      <c r="M2862">
        <v>0</v>
      </c>
      <c r="N2862">
        <v>3.3209308930945998</v>
      </c>
      <c r="O2862">
        <v>0</v>
      </c>
      <c r="P2862">
        <v>0.22870393596814589</v>
      </c>
      <c r="Q2862">
        <v>0</v>
      </c>
      <c r="R2862">
        <v>0</v>
      </c>
      <c r="S2862">
        <v>0</v>
      </c>
      <c r="T2862">
        <v>1.363886175633755</v>
      </c>
      <c r="U2862">
        <f t="shared" si="267"/>
        <v>0.35096578604975004</v>
      </c>
      <c r="V2862" t="str">
        <f t="shared" si="264"/>
        <v>2016/17Expenditure driversHVP ED1DNO Actual</v>
      </c>
    </row>
    <row r="2863" spans="1:22">
      <c r="A2863" t="s">
        <v>139</v>
      </c>
      <c r="C2863" t="s">
        <v>1344</v>
      </c>
      <c r="D2863" t="s">
        <v>109</v>
      </c>
      <c r="E2863" t="s">
        <v>1349</v>
      </c>
      <c r="F2863" t="s">
        <v>1289</v>
      </c>
      <c r="G2863">
        <v>0</v>
      </c>
      <c r="H2863">
        <v>0</v>
      </c>
      <c r="I2863">
        <v>0</v>
      </c>
      <c r="J2863">
        <v>0</v>
      </c>
      <c r="K2863">
        <v>0</v>
      </c>
      <c r="L2863">
        <v>0</v>
      </c>
      <c r="M2863">
        <v>0</v>
      </c>
      <c r="N2863">
        <v>7.9682817625519178</v>
      </c>
      <c r="O2863">
        <v>0.12295426665529426</v>
      </c>
      <c r="P2863">
        <v>1.4906850410241312</v>
      </c>
      <c r="Q2863">
        <v>0</v>
      </c>
      <c r="R2863">
        <v>0</v>
      </c>
      <c r="S2863">
        <v>0</v>
      </c>
      <c r="T2863">
        <v>17.63611649252368</v>
      </c>
      <c r="U2863">
        <f t="shared" si="267"/>
        <v>1.9441455401967873</v>
      </c>
      <c r="V2863" t="str">
        <f t="shared" si="264"/>
        <v>2017/18Expenditure driversHVP ED1DNO Actual</v>
      </c>
    </row>
    <row r="2864" spans="1:22">
      <c r="A2864" t="s">
        <v>140</v>
      </c>
      <c r="C2864" t="s">
        <v>1344</v>
      </c>
      <c r="D2864" t="s">
        <v>109</v>
      </c>
      <c r="E2864" t="s">
        <v>1349</v>
      </c>
      <c r="F2864" t="s">
        <v>1289</v>
      </c>
      <c r="G2864">
        <v>0</v>
      </c>
      <c r="H2864">
        <v>0</v>
      </c>
      <c r="I2864">
        <v>0</v>
      </c>
      <c r="J2864">
        <v>0</v>
      </c>
      <c r="K2864">
        <v>0</v>
      </c>
      <c r="L2864">
        <v>0</v>
      </c>
      <c r="M2864">
        <v>0</v>
      </c>
      <c r="N2864">
        <v>11.225387510391739</v>
      </c>
      <c r="O2864">
        <v>4.623458504018326</v>
      </c>
      <c r="P2864">
        <v>11.0809324817505</v>
      </c>
      <c r="Q2864">
        <v>0</v>
      </c>
      <c r="R2864">
        <v>0</v>
      </c>
      <c r="S2864">
        <v>0</v>
      </c>
      <c r="T2864">
        <v>7.7164539506260335</v>
      </c>
      <c r="U2864">
        <f>AVERAGE(G2864:T2864)</f>
        <v>2.4747308890561857</v>
      </c>
      <c r="V2864" t="str">
        <f t="shared" si="264"/>
        <v>2018/19Expenditure driversHVP ED1DNO Actual</v>
      </c>
    </row>
    <row r="2865" spans="1:22">
      <c r="A2865" t="s">
        <v>141</v>
      </c>
      <c r="C2865" t="s">
        <v>1344</v>
      </c>
      <c r="D2865" t="s">
        <v>109</v>
      </c>
      <c r="E2865" t="s">
        <v>1349</v>
      </c>
      <c r="F2865" t="s">
        <v>1289</v>
      </c>
      <c r="G2865">
        <v>0</v>
      </c>
      <c r="H2865">
        <v>0</v>
      </c>
      <c r="I2865">
        <v>0</v>
      </c>
      <c r="J2865">
        <v>0</v>
      </c>
      <c r="K2865">
        <v>0</v>
      </c>
      <c r="L2865">
        <v>0</v>
      </c>
      <c r="M2865">
        <v>0</v>
      </c>
      <c r="N2865">
        <v>11.814602176299234</v>
      </c>
      <c r="O2865">
        <v>2.3015892216845395</v>
      </c>
      <c r="P2865">
        <v>9.1220787107866048</v>
      </c>
      <c r="Q2865">
        <v>0</v>
      </c>
      <c r="R2865">
        <v>0</v>
      </c>
      <c r="S2865">
        <v>0</v>
      </c>
      <c r="T2865">
        <v>1.5223789758939865</v>
      </c>
      <c r="U2865">
        <f>AVERAGE(G2865:T2865)</f>
        <v>1.7686177917617403</v>
      </c>
      <c r="V2865" t="str">
        <f t="shared" si="264"/>
        <v>2019/20Expenditure driversHVP ED1DNO Actual</v>
      </c>
    </row>
    <row r="2866" spans="1:22">
      <c r="A2866" t="s">
        <v>126</v>
      </c>
      <c r="C2866" t="s">
        <v>1344</v>
      </c>
      <c r="D2866" t="s">
        <v>109</v>
      </c>
      <c r="E2866" t="s">
        <v>1349</v>
      </c>
      <c r="F2866" t="s">
        <v>1289</v>
      </c>
      <c r="G2866">
        <v>6.1839514172540158</v>
      </c>
      <c r="H2866">
        <v>0</v>
      </c>
      <c r="I2866">
        <v>0</v>
      </c>
      <c r="J2866">
        <v>0</v>
      </c>
      <c r="K2866">
        <v>0</v>
      </c>
      <c r="L2866">
        <v>0</v>
      </c>
      <c r="M2866">
        <v>0</v>
      </c>
      <c r="N2866">
        <v>5.2722898859679628</v>
      </c>
      <c r="O2866">
        <v>-0.94329633229767129</v>
      </c>
      <c r="P2866">
        <v>3.1181820022675866</v>
      </c>
      <c r="Q2866">
        <v>0</v>
      </c>
      <c r="R2866">
        <v>0</v>
      </c>
      <c r="S2866">
        <v>0</v>
      </c>
      <c r="T2866">
        <v>0.21423561547195985</v>
      </c>
      <c r="U2866">
        <f>AVERAGE(G2866:T2866)</f>
        <v>0.98895447061884678</v>
      </c>
      <c r="V2866" t="str">
        <f t="shared" si="264"/>
        <v>2020/21Expenditure driversHVP ED1DNO Actual</v>
      </c>
    </row>
    <row r="2867" spans="1:22">
      <c r="A2867" t="s">
        <v>142</v>
      </c>
      <c r="C2867" t="s">
        <v>1344</v>
      </c>
      <c r="D2867" t="s">
        <v>109</v>
      </c>
      <c r="E2867" t="s">
        <v>1349</v>
      </c>
      <c r="F2867" t="s">
        <v>1289</v>
      </c>
      <c r="G2867">
        <v>6.8669707741051624</v>
      </c>
      <c r="H2867">
        <v>0</v>
      </c>
      <c r="I2867">
        <v>0</v>
      </c>
      <c r="J2867">
        <v>0</v>
      </c>
      <c r="K2867">
        <v>0</v>
      </c>
      <c r="L2867">
        <v>0</v>
      </c>
      <c r="M2867">
        <v>0</v>
      </c>
      <c r="N2867">
        <v>1.0985196723841535</v>
      </c>
      <c r="O2867">
        <v>2.2004948650804455</v>
      </c>
      <c r="P2867">
        <v>2.5725540096670403</v>
      </c>
      <c r="Q2867">
        <v>0</v>
      </c>
      <c r="R2867">
        <v>0</v>
      </c>
      <c r="S2867">
        <v>0</v>
      </c>
      <c r="T2867">
        <v>0.27166107999999994</v>
      </c>
      <c r="U2867">
        <f>AVERAGE(G2867:T2867)</f>
        <v>0.92930002865977157</v>
      </c>
      <c r="V2867" t="str">
        <f t="shared" ref="V2867" si="268">CONCATENATE(A2867,B2867,C2867,D2867,E2867)</f>
        <v>2021/22Expenditure driversHVP ED1DNO Actual</v>
      </c>
    </row>
    <row r="2868" spans="1:22">
      <c r="A2868" t="s">
        <v>137</v>
      </c>
      <c r="C2868" t="s">
        <v>1344</v>
      </c>
      <c r="D2868" t="s">
        <v>109</v>
      </c>
      <c r="E2868" t="s">
        <v>297</v>
      </c>
      <c r="F2868" t="s">
        <v>1289</v>
      </c>
      <c r="G2868">
        <f t="array" ref="G2868:T2871">TRANSPOSE('Ch4 expenditure drivers'!AF854:AI867)</f>
        <v>0</v>
      </c>
      <c r="H2868">
        <v>0</v>
      </c>
      <c r="I2868">
        <v>13.647638931634082</v>
      </c>
      <c r="J2868">
        <v>0</v>
      </c>
      <c r="K2868">
        <v>0</v>
      </c>
      <c r="L2868">
        <v>0</v>
      </c>
      <c r="M2868">
        <v>0</v>
      </c>
      <c r="N2868">
        <v>14.002931545344273</v>
      </c>
      <c r="O2868">
        <v>6.017375500985926</v>
      </c>
      <c r="P2868">
        <v>14.905433181842431</v>
      </c>
      <c r="Q2868">
        <v>0</v>
      </c>
      <c r="R2868">
        <v>0</v>
      </c>
      <c r="S2868">
        <v>0</v>
      </c>
      <c r="T2868">
        <v>5.637786138803353</v>
      </c>
      <c r="U2868">
        <f t="shared" si="267"/>
        <v>3.8722260927578622</v>
      </c>
      <c r="V2868" t="str">
        <f t="shared" ref="V2868:V2936" si="269">CONCATENATE(A2868,B2868,C2868,D2868,E2868)</f>
        <v>2015/16Expenditure driversHVP ED1Allowance</v>
      </c>
    </row>
    <row r="2869" spans="1:22">
      <c r="A2869" t="s">
        <v>137</v>
      </c>
      <c r="C2869" t="s">
        <v>1344</v>
      </c>
      <c r="D2869" t="s">
        <v>109</v>
      </c>
      <c r="E2869" t="s">
        <v>298</v>
      </c>
      <c r="F2869" t="s">
        <v>1289</v>
      </c>
      <c r="G2869">
        <v>0</v>
      </c>
      <c r="H2869">
        <v>0</v>
      </c>
      <c r="I2869">
        <v>0</v>
      </c>
      <c r="J2869">
        <v>0</v>
      </c>
      <c r="K2869">
        <v>0</v>
      </c>
      <c r="L2869">
        <v>0</v>
      </c>
      <c r="M2869">
        <v>0</v>
      </c>
      <c r="N2869">
        <v>1.3863189265895208</v>
      </c>
      <c r="O2869">
        <v>0.48338084217948235</v>
      </c>
      <c r="P2869">
        <v>7.8203086947009632E-3</v>
      </c>
      <c r="Q2869">
        <v>0</v>
      </c>
      <c r="R2869">
        <v>0</v>
      </c>
      <c r="S2869">
        <v>0</v>
      </c>
      <c r="T2869">
        <v>0.66313085079508016</v>
      </c>
      <c r="U2869">
        <f t="shared" si="267"/>
        <v>0.18147506630419888</v>
      </c>
      <c r="V2869" t="str">
        <f t="shared" si="269"/>
        <v>2015/16Expenditure driversHVP ED1Actual</v>
      </c>
    </row>
    <row r="2870" spans="1:22">
      <c r="A2870" t="s">
        <v>137</v>
      </c>
      <c r="C2870" t="s">
        <v>1344</v>
      </c>
      <c r="D2870" t="s">
        <v>109</v>
      </c>
      <c r="E2870" t="s">
        <v>602</v>
      </c>
      <c r="F2870" t="s">
        <v>1289</v>
      </c>
      <c r="G2870">
        <v>0</v>
      </c>
      <c r="H2870">
        <v>0</v>
      </c>
      <c r="I2870">
        <v>-13.647638931634082</v>
      </c>
      <c r="J2870">
        <v>0</v>
      </c>
      <c r="K2870">
        <v>0</v>
      </c>
      <c r="L2870">
        <v>0</v>
      </c>
      <c r="M2870">
        <v>0</v>
      </c>
      <c r="N2870">
        <v>-12.616612618754752</v>
      </c>
      <c r="O2870">
        <v>-5.5339946588064439</v>
      </c>
      <c r="P2870">
        <v>-14.897612873147731</v>
      </c>
      <c r="Q2870">
        <v>0</v>
      </c>
      <c r="R2870">
        <v>0</v>
      </c>
      <c r="S2870">
        <v>0</v>
      </c>
      <c r="T2870">
        <v>-4.9746552880082726</v>
      </c>
      <c r="U2870">
        <f>U2869-U2868</f>
        <v>-3.6907510264536634</v>
      </c>
      <c r="V2870" t="str">
        <f t="shared" si="269"/>
        <v>2015/16Expenditure driversHVP ED1Difference</v>
      </c>
    </row>
    <row r="2871" spans="1:22">
      <c r="A2871" t="s">
        <v>137</v>
      </c>
      <c r="C2871" t="s">
        <v>1344</v>
      </c>
      <c r="D2871" t="s">
        <v>109</v>
      </c>
      <c r="E2871" t="s">
        <v>1346</v>
      </c>
      <c r="F2871" t="s">
        <v>606</v>
      </c>
      <c r="G2871" s="829" t="e">
        <v>#DIV/0!</v>
      </c>
      <c r="H2871" s="829" t="e">
        <v>#DIV/0!</v>
      </c>
      <c r="I2871" s="829">
        <v>-1</v>
      </c>
      <c r="J2871" s="829" t="e">
        <v>#DIV/0!</v>
      </c>
      <c r="K2871" s="829" t="e">
        <v>#DIV/0!</v>
      </c>
      <c r="L2871" s="829" t="e">
        <v>#DIV/0!</v>
      </c>
      <c r="M2871" s="829" t="e">
        <v>#DIV/0!</v>
      </c>
      <c r="N2871" s="829">
        <v>-0.90099795017205186</v>
      </c>
      <c r="O2871" s="829">
        <v>-0.91966915774156333</v>
      </c>
      <c r="P2871" s="829">
        <v>-0.99947533838169644</v>
      </c>
      <c r="Q2871" s="829" t="e">
        <v>#DIV/0!</v>
      </c>
      <c r="R2871" s="829" t="e">
        <v>#DIV/0!</v>
      </c>
      <c r="S2871" s="829" t="e">
        <v>#DIV/0!</v>
      </c>
      <c r="T2871" s="829">
        <v>-0.88237743779762579</v>
      </c>
      <c r="U2871" s="829">
        <f>U2870/U2868</f>
        <v>-0.95313417606383899</v>
      </c>
      <c r="V2871" t="str">
        <f t="shared" si="269"/>
        <v>2015/16Expenditure driversHVP ED1Difference %</v>
      </c>
    </row>
    <row r="2872" spans="1:22">
      <c r="A2872" t="s">
        <v>138</v>
      </c>
      <c r="C2872" t="s">
        <v>1344</v>
      </c>
      <c r="D2872" t="s">
        <v>109</v>
      </c>
      <c r="E2872" t="s">
        <v>297</v>
      </c>
      <c r="F2872" t="s">
        <v>1289</v>
      </c>
      <c r="G2872">
        <f t="array" ref="G2872:T2875">TRANSPOSE('Ch4 expenditure drivers'!AK854:AN867)</f>
        <v>0</v>
      </c>
      <c r="H2872">
        <v>0</v>
      </c>
      <c r="I2872">
        <v>5.2666162962354578E-4</v>
      </c>
      <c r="J2872">
        <v>0</v>
      </c>
      <c r="K2872">
        <v>0</v>
      </c>
      <c r="L2872">
        <v>0</v>
      </c>
      <c r="M2872">
        <v>0</v>
      </c>
      <c r="N2872">
        <v>12.26325353904943</v>
      </c>
      <c r="O2872">
        <v>7.3712656260931144</v>
      </c>
      <c r="P2872">
        <v>11.547907142658506</v>
      </c>
      <c r="Q2872">
        <v>0</v>
      </c>
      <c r="R2872">
        <v>0</v>
      </c>
      <c r="S2872">
        <v>0</v>
      </c>
      <c r="T2872">
        <v>5.6233503933860396</v>
      </c>
      <c r="U2872">
        <f t="shared" si="267"/>
        <v>2.6290216687726224</v>
      </c>
      <c r="V2872" t="str">
        <f t="shared" si="269"/>
        <v>2016/17Expenditure driversHVP ED1Allowance</v>
      </c>
    </row>
    <row r="2873" spans="1:22">
      <c r="A2873" t="s">
        <v>138</v>
      </c>
      <c r="C2873" t="s">
        <v>1344</v>
      </c>
      <c r="D2873" t="s">
        <v>109</v>
      </c>
      <c r="E2873" t="s">
        <v>298</v>
      </c>
      <c r="F2873" t="s">
        <v>1289</v>
      </c>
      <c r="G2873">
        <v>0</v>
      </c>
      <c r="H2873">
        <v>0</v>
      </c>
      <c r="I2873">
        <v>0</v>
      </c>
      <c r="J2873">
        <v>0</v>
      </c>
      <c r="K2873">
        <v>0</v>
      </c>
      <c r="L2873">
        <v>0</v>
      </c>
      <c r="M2873">
        <v>0</v>
      </c>
      <c r="N2873">
        <v>3.3209308930945998</v>
      </c>
      <c r="O2873">
        <v>0</v>
      </c>
      <c r="P2873">
        <v>0.22870393596814589</v>
      </c>
      <c r="Q2873">
        <v>0</v>
      </c>
      <c r="R2873">
        <v>0</v>
      </c>
      <c r="S2873">
        <v>0</v>
      </c>
      <c r="T2873">
        <v>1.363886175633755</v>
      </c>
      <c r="U2873">
        <f t="shared" si="267"/>
        <v>0.35096578604975004</v>
      </c>
      <c r="V2873" t="str">
        <f t="shared" si="269"/>
        <v>2016/17Expenditure driversHVP ED1Actual</v>
      </c>
    </row>
    <row r="2874" spans="1:22">
      <c r="A2874" t="s">
        <v>138</v>
      </c>
      <c r="C2874" t="s">
        <v>1344</v>
      </c>
      <c r="D2874" t="s">
        <v>109</v>
      </c>
      <c r="E2874" t="s">
        <v>602</v>
      </c>
      <c r="F2874" t="s">
        <v>1289</v>
      </c>
      <c r="G2874">
        <v>0</v>
      </c>
      <c r="H2874">
        <v>0</v>
      </c>
      <c r="I2874">
        <v>-5.2666162962354578E-4</v>
      </c>
      <c r="J2874">
        <v>0</v>
      </c>
      <c r="K2874">
        <v>0</v>
      </c>
      <c r="L2874">
        <v>0</v>
      </c>
      <c r="M2874">
        <v>0</v>
      </c>
      <c r="N2874">
        <v>-8.94232264595483</v>
      </c>
      <c r="O2874">
        <v>-7.3712656260931144</v>
      </c>
      <c r="P2874">
        <v>-11.319203206690361</v>
      </c>
      <c r="Q2874">
        <v>0</v>
      </c>
      <c r="R2874">
        <v>0</v>
      </c>
      <c r="S2874">
        <v>0</v>
      </c>
      <c r="T2874">
        <v>-4.259464217752285</v>
      </c>
      <c r="U2874">
        <f t="shared" si="267"/>
        <v>-2.2780558827228723</v>
      </c>
      <c r="V2874" t="str">
        <f t="shared" si="269"/>
        <v>2016/17Expenditure driversHVP ED1Difference</v>
      </c>
    </row>
    <row r="2875" spans="1:22">
      <c r="A2875" t="s">
        <v>138</v>
      </c>
      <c r="C2875" t="s">
        <v>1344</v>
      </c>
      <c r="D2875" t="s">
        <v>109</v>
      </c>
      <c r="E2875" t="s">
        <v>1346</v>
      </c>
      <c r="F2875" t="s">
        <v>606</v>
      </c>
      <c r="G2875" s="829" t="e">
        <v>#DIV/0!</v>
      </c>
      <c r="H2875" s="829" t="e">
        <v>#DIV/0!</v>
      </c>
      <c r="I2875" s="829">
        <v>-1</v>
      </c>
      <c r="J2875" s="829" t="e">
        <v>#DIV/0!</v>
      </c>
      <c r="K2875" s="829" t="e">
        <v>#DIV/0!</v>
      </c>
      <c r="L2875" s="829" t="e">
        <v>#DIV/0!</v>
      </c>
      <c r="M2875" s="829" t="e">
        <v>#DIV/0!</v>
      </c>
      <c r="N2875" s="829">
        <v>-0.72919658861166969</v>
      </c>
      <c r="O2875" s="829">
        <v>-1</v>
      </c>
      <c r="P2875" s="829">
        <v>-0.98019520479833944</v>
      </c>
      <c r="Q2875" s="829" t="e">
        <v>#DIV/0!</v>
      </c>
      <c r="R2875" s="829" t="e">
        <v>#DIV/0!</v>
      </c>
      <c r="S2875" s="829" t="e">
        <v>#DIV/0!</v>
      </c>
      <c r="T2875" s="829">
        <v>-0.75746021851352119</v>
      </c>
      <c r="U2875" s="829">
        <f>U2874/U2872</f>
        <v>-0.86650327373923808</v>
      </c>
      <c r="V2875" t="str">
        <f t="shared" si="269"/>
        <v>2016/17Expenditure driversHVP ED1Difference %</v>
      </c>
    </row>
    <row r="2876" spans="1:22">
      <c r="A2876" t="s">
        <v>139</v>
      </c>
      <c r="C2876" t="s">
        <v>1344</v>
      </c>
      <c r="D2876" t="s">
        <v>109</v>
      </c>
      <c r="E2876" t="s">
        <v>297</v>
      </c>
      <c r="F2876" t="s">
        <v>1289</v>
      </c>
      <c r="G2876">
        <f t="array" ref="G2876:T2879">TRANSPOSE('Ch4 expenditure drivers'!AP854:AS867)</f>
        <v>0</v>
      </c>
      <c r="H2876">
        <v>0</v>
      </c>
      <c r="I2876">
        <v>5.2818733674574224E-4</v>
      </c>
      <c r="J2876">
        <v>0</v>
      </c>
      <c r="K2876">
        <v>0</v>
      </c>
      <c r="L2876">
        <v>0</v>
      </c>
      <c r="M2876">
        <v>0</v>
      </c>
      <c r="N2876">
        <v>18.84556864033717</v>
      </c>
      <c r="O2876">
        <v>7.3518465143009113</v>
      </c>
      <c r="P2876">
        <v>0.71466187026536809</v>
      </c>
      <c r="Q2876">
        <v>0</v>
      </c>
      <c r="R2876">
        <v>0</v>
      </c>
      <c r="S2876">
        <v>0</v>
      </c>
      <c r="T2876">
        <v>11.225195631658506</v>
      </c>
      <c r="U2876">
        <f t="shared" si="267"/>
        <v>2.7241286317070501</v>
      </c>
      <c r="V2876" t="str">
        <f t="shared" si="269"/>
        <v>2017/18Expenditure driversHVP ED1Allowance</v>
      </c>
    </row>
    <row r="2877" spans="1:22">
      <c r="A2877" t="s">
        <v>139</v>
      </c>
      <c r="C2877" t="s">
        <v>1344</v>
      </c>
      <c r="D2877" t="s">
        <v>109</v>
      </c>
      <c r="E2877" t="s">
        <v>298</v>
      </c>
      <c r="F2877" t="s">
        <v>1289</v>
      </c>
      <c r="G2877">
        <v>0</v>
      </c>
      <c r="H2877">
        <v>0</v>
      </c>
      <c r="I2877">
        <v>0</v>
      </c>
      <c r="J2877">
        <v>0</v>
      </c>
      <c r="K2877">
        <v>0</v>
      </c>
      <c r="L2877">
        <v>0</v>
      </c>
      <c r="M2877">
        <v>0</v>
      </c>
      <c r="N2877">
        <v>7.9682817625519178</v>
      </c>
      <c r="O2877">
        <v>0.12295426665529426</v>
      </c>
      <c r="P2877">
        <v>1.4906850410241312</v>
      </c>
      <c r="Q2877">
        <v>0</v>
      </c>
      <c r="R2877">
        <v>0</v>
      </c>
      <c r="S2877">
        <v>0</v>
      </c>
      <c r="T2877">
        <v>17.63611649252368</v>
      </c>
      <c r="U2877">
        <f t="shared" si="267"/>
        <v>1.9441455401967873</v>
      </c>
      <c r="V2877" t="str">
        <f t="shared" si="269"/>
        <v>2017/18Expenditure driversHVP ED1Actual</v>
      </c>
    </row>
    <row r="2878" spans="1:22">
      <c r="A2878" t="s">
        <v>139</v>
      </c>
      <c r="C2878" t="s">
        <v>1344</v>
      </c>
      <c r="D2878" t="s">
        <v>109</v>
      </c>
      <c r="E2878" t="s">
        <v>602</v>
      </c>
      <c r="F2878" t="s">
        <v>1289</v>
      </c>
      <c r="G2878">
        <v>0</v>
      </c>
      <c r="H2878">
        <v>0</v>
      </c>
      <c r="I2878">
        <v>-5.2818733674574224E-4</v>
      </c>
      <c r="J2878">
        <v>0</v>
      </c>
      <c r="K2878">
        <v>0</v>
      </c>
      <c r="L2878">
        <v>0</v>
      </c>
      <c r="M2878">
        <v>0</v>
      </c>
      <c r="N2878">
        <v>-10.877286877785252</v>
      </c>
      <c r="O2878">
        <v>-7.228892247645617</v>
      </c>
      <c r="P2878">
        <v>0.77602317075876315</v>
      </c>
      <c r="Q2878">
        <v>0</v>
      </c>
      <c r="R2878">
        <v>0</v>
      </c>
      <c r="S2878">
        <v>0</v>
      </c>
      <c r="T2878">
        <v>6.4109208608651738</v>
      </c>
      <c r="U2878">
        <f t="shared" si="267"/>
        <v>-0.77998309151026279</v>
      </c>
      <c r="V2878" t="str">
        <f t="shared" si="269"/>
        <v>2017/18Expenditure driversHVP ED1Difference</v>
      </c>
    </row>
    <row r="2879" spans="1:22">
      <c r="A2879" t="s">
        <v>139</v>
      </c>
      <c r="C2879" t="s">
        <v>1344</v>
      </c>
      <c r="D2879" t="s">
        <v>109</v>
      </c>
      <c r="E2879" t="s">
        <v>1346</v>
      </c>
      <c r="F2879" t="s">
        <v>606</v>
      </c>
      <c r="G2879" s="829" t="e">
        <v>#DIV/0!</v>
      </c>
      <c r="H2879" s="829" t="e">
        <v>#DIV/0!</v>
      </c>
      <c r="I2879" s="829">
        <v>-1</v>
      </c>
      <c r="J2879" s="829" t="e">
        <v>#DIV/0!</v>
      </c>
      <c r="K2879" s="829" t="e">
        <v>#DIV/0!</v>
      </c>
      <c r="L2879" s="829" t="e">
        <v>#DIV/0!</v>
      </c>
      <c r="M2879" s="829" t="e">
        <v>#DIV/0!</v>
      </c>
      <c r="N2879" s="829">
        <v>-0.57718008330634507</v>
      </c>
      <c r="O2879" s="829">
        <v>-0.98327572992497569</v>
      </c>
      <c r="P2879" s="829">
        <v>1.0858606049188133</v>
      </c>
      <c r="Q2879" s="829" t="e">
        <v>#DIV/0!</v>
      </c>
      <c r="R2879" s="829" t="e">
        <v>#DIV/0!</v>
      </c>
      <c r="S2879" s="829" t="e">
        <v>#DIV/0!</v>
      </c>
      <c r="T2879" s="829">
        <v>0.57111885362464454</v>
      </c>
      <c r="U2879" s="829">
        <f>U2878/U2876</f>
        <v>-0.28632388442740075</v>
      </c>
      <c r="V2879" t="str">
        <f t="shared" si="269"/>
        <v>2017/18Expenditure driversHVP ED1Difference %</v>
      </c>
    </row>
    <row r="2880" spans="1:22">
      <c r="A2880" t="s">
        <v>140</v>
      </c>
      <c r="C2880" t="s">
        <v>1344</v>
      </c>
      <c r="D2880" t="s">
        <v>109</v>
      </c>
      <c r="E2880" t="s">
        <v>297</v>
      </c>
      <c r="F2880" t="s">
        <v>1289</v>
      </c>
      <c r="G2880">
        <f t="array" ref="G2880:T2883">TRANSPOSE('Ch4 expenditure drivers'!AU854:AX867)</f>
        <v>0</v>
      </c>
      <c r="H2880">
        <v>0</v>
      </c>
      <c r="I2880">
        <v>5.299492055070924E-4</v>
      </c>
      <c r="J2880">
        <v>0</v>
      </c>
      <c r="K2880">
        <v>0</v>
      </c>
      <c r="L2880">
        <v>0</v>
      </c>
      <c r="M2880">
        <v>0</v>
      </c>
      <c r="N2880">
        <v>20.72663111829678</v>
      </c>
      <c r="O2880">
        <v>6.8842408468375922</v>
      </c>
      <c r="P2880">
        <v>0</v>
      </c>
      <c r="Q2880">
        <v>0</v>
      </c>
      <c r="R2880">
        <v>0</v>
      </c>
      <c r="S2880">
        <v>0</v>
      </c>
      <c r="T2880">
        <v>11.138308229554111</v>
      </c>
      <c r="U2880">
        <f>AVERAGE(G2880:T2880)</f>
        <v>2.7678364388495709</v>
      </c>
      <c r="V2880" t="str">
        <f t="shared" si="269"/>
        <v>2018/19Expenditure driversHVP ED1Allowance</v>
      </c>
    </row>
    <row r="2881" spans="1:22">
      <c r="A2881" t="s">
        <v>140</v>
      </c>
      <c r="C2881" t="s">
        <v>1344</v>
      </c>
      <c r="D2881" t="s">
        <v>109</v>
      </c>
      <c r="E2881" t="s">
        <v>298</v>
      </c>
      <c r="F2881" t="s">
        <v>1289</v>
      </c>
      <c r="G2881">
        <v>0</v>
      </c>
      <c r="H2881">
        <v>0</v>
      </c>
      <c r="I2881">
        <v>0</v>
      </c>
      <c r="J2881">
        <v>0</v>
      </c>
      <c r="K2881">
        <v>0</v>
      </c>
      <c r="L2881">
        <v>0</v>
      </c>
      <c r="M2881">
        <v>0</v>
      </c>
      <c r="N2881">
        <v>11.225387510391739</v>
      </c>
      <c r="O2881">
        <v>4.623458504018326</v>
      </c>
      <c r="P2881">
        <v>11.0809324817505</v>
      </c>
      <c r="Q2881">
        <v>0</v>
      </c>
      <c r="R2881">
        <v>0</v>
      </c>
      <c r="S2881">
        <v>0</v>
      </c>
      <c r="T2881">
        <v>7.7164539506260335</v>
      </c>
      <c r="U2881">
        <f>AVERAGE(G2881:T2881)</f>
        <v>2.4747308890561857</v>
      </c>
      <c r="V2881" t="str">
        <f t="shared" si="269"/>
        <v>2018/19Expenditure driversHVP ED1Actual</v>
      </c>
    </row>
    <row r="2882" spans="1:22">
      <c r="A2882" t="s">
        <v>140</v>
      </c>
      <c r="C2882" t="s">
        <v>1344</v>
      </c>
      <c r="D2882" t="s">
        <v>109</v>
      </c>
      <c r="E2882" t="s">
        <v>602</v>
      </c>
      <c r="F2882" t="s">
        <v>1289</v>
      </c>
      <c r="G2882">
        <v>0</v>
      </c>
      <c r="H2882">
        <v>0</v>
      </c>
      <c r="I2882">
        <v>-5.299492055070924E-4</v>
      </c>
      <c r="J2882">
        <v>0</v>
      </c>
      <c r="K2882">
        <v>0</v>
      </c>
      <c r="L2882">
        <v>0</v>
      </c>
      <c r="M2882">
        <v>0</v>
      </c>
      <c r="N2882">
        <v>-9.5012436079050406</v>
      </c>
      <c r="O2882">
        <v>-2.2607823428192662</v>
      </c>
      <c r="P2882">
        <v>11.0809324817505</v>
      </c>
      <c r="Q2882">
        <v>0</v>
      </c>
      <c r="R2882">
        <v>0</v>
      </c>
      <c r="S2882">
        <v>0</v>
      </c>
      <c r="T2882">
        <v>-3.4218542789280777</v>
      </c>
      <c r="U2882">
        <f>AVERAGE(G2882:T2882)</f>
        <v>-0.29310554979338521</v>
      </c>
      <c r="V2882" t="str">
        <f t="shared" si="269"/>
        <v>2018/19Expenditure driversHVP ED1Difference</v>
      </c>
    </row>
    <row r="2883" spans="1:22">
      <c r="A2883" t="s">
        <v>140</v>
      </c>
      <c r="C2883" t="s">
        <v>1344</v>
      </c>
      <c r="D2883" t="s">
        <v>109</v>
      </c>
      <c r="E2883" t="s">
        <v>1346</v>
      </c>
      <c r="F2883" t="s">
        <v>606</v>
      </c>
      <c r="G2883" s="829" t="e">
        <v>#DIV/0!</v>
      </c>
      <c r="H2883" s="829" t="e">
        <v>#DIV/0!</v>
      </c>
      <c r="I2883" s="829">
        <v>-1</v>
      </c>
      <c r="J2883" s="829" t="e">
        <v>#DIV/0!</v>
      </c>
      <c r="K2883" s="829" t="e">
        <v>#DIV/0!</v>
      </c>
      <c r="L2883" s="829" t="e">
        <v>#DIV/0!</v>
      </c>
      <c r="M2883" s="829" t="e">
        <v>#DIV/0!</v>
      </c>
      <c r="N2883" s="829">
        <v>-0.4584075218822059</v>
      </c>
      <c r="O2883" s="829">
        <v>-0.32839965845439584</v>
      </c>
      <c r="P2883" s="829" t="e">
        <v>#DIV/0!</v>
      </c>
      <c r="Q2883" s="829" t="e">
        <v>#DIV/0!</v>
      </c>
      <c r="R2883" s="829" t="e">
        <v>#DIV/0!</v>
      </c>
      <c r="S2883" s="829" t="e">
        <v>#DIV/0!</v>
      </c>
      <c r="T2883" s="829">
        <v>-0.30721490269488272</v>
      </c>
      <c r="U2883" s="829">
        <f>U2882/U2880</f>
        <v>-0.10589699076120704</v>
      </c>
      <c r="V2883" t="str">
        <f t="shared" si="269"/>
        <v>2018/19Expenditure driversHVP ED1Difference %</v>
      </c>
    </row>
    <row r="2884" spans="1:22">
      <c r="A2884" t="s">
        <v>141</v>
      </c>
      <c r="C2884" t="s">
        <v>1344</v>
      </c>
      <c r="D2884" t="s">
        <v>109</v>
      </c>
      <c r="E2884" t="s">
        <v>297</v>
      </c>
      <c r="F2884" t="s">
        <v>1289</v>
      </c>
      <c r="G2884" s="229">
        <f t="array" ref="G2884:T2887">TRANSPOSE('Ch4 expenditure drivers'!AZ854:BC867)</f>
        <v>0</v>
      </c>
      <c r="H2884" s="229">
        <v>0</v>
      </c>
      <c r="I2884" s="229">
        <v>5.3160927548121038E-4</v>
      </c>
      <c r="J2884" s="229">
        <v>0</v>
      </c>
      <c r="K2884" s="229">
        <v>0</v>
      </c>
      <c r="L2884" s="229">
        <v>0</v>
      </c>
      <c r="M2884" s="229">
        <v>0</v>
      </c>
      <c r="N2884" s="229">
        <v>18.657391896525052</v>
      </c>
      <c r="O2884" s="229">
        <v>5.7397723327448107</v>
      </c>
      <c r="P2884" s="229">
        <v>0</v>
      </c>
      <c r="Q2884" s="229">
        <v>0</v>
      </c>
      <c r="R2884" s="229">
        <v>0</v>
      </c>
      <c r="S2884" s="229">
        <v>0</v>
      </c>
      <c r="T2884" s="229">
        <v>0</v>
      </c>
      <c r="U2884" s="229">
        <f>AVERAGE(G2884:T2884)</f>
        <v>1.7426925598960958</v>
      </c>
      <c r="V2884" t="str">
        <f t="shared" si="269"/>
        <v>2019/20Expenditure driversHVP ED1Allowance</v>
      </c>
    </row>
    <row r="2885" spans="1:22">
      <c r="A2885" t="s">
        <v>141</v>
      </c>
      <c r="C2885" t="s">
        <v>1344</v>
      </c>
      <c r="D2885" t="s">
        <v>109</v>
      </c>
      <c r="E2885" t="s">
        <v>298</v>
      </c>
      <c r="F2885" t="s">
        <v>1289</v>
      </c>
      <c r="G2885" s="229">
        <v>0</v>
      </c>
      <c r="H2885" s="229">
        <v>0</v>
      </c>
      <c r="I2885" s="229">
        <v>0</v>
      </c>
      <c r="J2885" s="229">
        <v>0</v>
      </c>
      <c r="K2885" s="229">
        <v>0</v>
      </c>
      <c r="L2885" s="229">
        <v>0</v>
      </c>
      <c r="M2885" s="229">
        <v>0</v>
      </c>
      <c r="N2885" s="229">
        <v>11.814602176299234</v>
      </c>
      <c r="O2885" s="229">
        <v>2.3015892216845395</v>
      </c>
      <c r="P2885" s="229">
        <v>9.1220787107866048</v>
      </c>
      <c r="Q2885" s="229">
        <v>0</v>
      </c>
      <c r="R2885" s="229">
        <v>0</v>
      </c>
      <c r="S2885" s="229">
        <v>0</v>
      </c>
      <c r="T2885" s="229">
        <v>1.5223789758939865</v>
      </c>
      <c r="U2885" s="229">
        <f>AVERAGE(G2885:T2885)</f>
        <v>1.7686177917617403</v>
      </c>
      <c r="V2885" t="str">
        <f t="shared" si="269"/>
        <v>2019/20Expenditure driversHVP ED1Actual</v>
      </c>
    </row>
    <row r="2886" spans="1:22">
      <c r="A2886" t="s">
        <v>141</v>
      </c>
      <c r="C2886" t="s">
        <v>1344</v>
      </c>
      <c r="D2886" t="s">
        <v>109</v>
      </c>
      <c r="E2886" t="s">
        <v>602</v>
      </c>
      <c r="F2886" t="s">
        <v>1289</v>
      </c>
      <c r="G2886" s="229">
        <v>0</v>
      </c>
      <c r="H2886" s="229">
        <v>0</v>
      </c>
      <c r="I2886" s="229">
        <v>-5.3160927548121038E-4</v>
      </c>
      <c r="J2886" s="229">
        <v>0</v>
      </c>
      <c r="K2886" s="229">
        <v>0</v>
      </c>
      <c r="L2886" s="229">
        <v>0</v>
      </c>
      <c r="M2886" s="229">
        <v>0</v>
      </c>
      <c r="N2886" s="229">
        <v>-6.8427897202258183</v>
      </c>
      <c r="O2886" s="229">
        <v>-3.4381831110602712</v>
      </c>
      <c r="P2886" s="229">
        <v>9.1220787107866048</v>
      </c>
      <c r="Q2886" s="229">
        <v>0</v>
      </c>
      <c r="R2886" s="229">
        <v>0</v>
      </c>
      <c r="S2886" s="229">
        <v>0</v>
      </c>
      <c r="T2886" s="229">
        <v>1.5223789758939865</v>
      </c>
      <c r="U2886" s="229">
        <f>AVERAGE(G2886:T2886)</f>
        <v>2.5925231865644296E-2</v>
      </c>
      <c r="V2886" t="str">
        <f t="shared" si="269"/>
        <v>2019/20Expenditure driversHVP ED1Difference</v>
      </c>
    </row>
    <row r="2887" spans="1:22">
      <c r="A2887" t="s">
        <v>141</v>
      </c>
      <c r="C2887" t="s">
        <v>1344</v>
      </c>
      <c r="D2887" t="s">
        <v>109</v>
      </c>
      <c r="E2887" t="s">
        <v>1346</v>
      </c>
      <c r="F2887" t="s">
        <v>606</v>
      </c>
      <c r="G2887" s="829" t="e">
        <v>#DIV/0!</v>
      </c>
      <c r="H2887" s="829" t="e">
        <v>#DIV/0!</v>
      </c>
      <c r="I2887" s="829">
        <v>-1</v>
      </c>
      <c r="J2887" s="829" t="e">
        <v>#DIV/0!</v>
      </c>
      <c r="K2887" s="829" t="e">
        <v>#DIV/0!</v>
      </c>
      <c r="L2887" s="829" t="e">
        <v>#DIV/0!</v>
      </c>
      <c r="M2887" s="829" t="e">
        <v>#DIV/0!</v>
      </c>
      <c r="N2887" s="829">
        <v>-0.36676025020947817</v>
      </c>
      <c r="O2887" s="829">
        <v>-0.59901036343302161</v>
      </c>
      <c r="P2887" s="829" t="e">
        <v>#DIV/0!</v>
      </c>
      <c r="Q2887" s="829" t="e">
        <v>#DIV/0!</v>
      </c>
      <c r="R2887" s="829" t="e">
        <v>#DIV/0!</v>
      </c>
      <c r="S2887" s="829" t="e">
        <v>#DIV/0!</v>
      </c>
      <c r="T2887" s="829" t="e">
        <v>#DIV/0!</v>
      </c>
      <c r="U2887" s="829">
        <f>U2886/U2884</f>
        <v>1.4876537871482064E-2</v>
      </c>
      <c r="V2887" t="str">
        <f t="shared" si="269"/>
        <v>2019/20Expenditure driversHVP ED1Difference %</v>
      </c>
    </row>
    <row r="2888" spans="1:22">
      <c r="A2888" t="s">
        <v>126</v>
      </c>
      <c r="C2888" t="s">
        <v>1344</v>
      </c>
      <c r="D2888" t="s">
        <v>109</v>
      </c>
      <c r="E2888" t="s">
        <v>297</v>
      </c>
      <c r="F2888" t="s">
        <v>1289</v>
      </c>
      <c r="G2888" s="229" cm="1">
        <f t="array" ref="G2888:T2891">TRANSPOSE('Ch4 expenditure drivers'!BE854:BH867)</f>
        <v>0</v>
      </c>
      <c r="H2888" s="229">
        <v>0</v>
      </c>
      <c r="I2888" s="229">
        <v>0</v>
      </c>
      <c r="J2888" s="229">
        <v>0</v>
      </c>
      <c r="K2888" s="229">
        <v>0</v>
      </c>
      <c r="L2888" s="229">
        <v>0</v>
      </c>
      <c r="M2888" s="229">
        <v>0</v>
      </c>
      <c r="N2888" s="229">
        <v>10.189169910352527</v>
      </c>
      <c r="O2888" s="229">
        <v>3.4560029615282657</v>
      </c>
      <c r="P2888" s="229">
        <v>0</v>
      </c>
      <c r="Q2888" s="229">
        <v>0</v>
      </c>
      <c r="R2888" s="229">
        <v>0</v>
      </c>
      <c r="S2888" s="229">
        <v>0</v>
      </c>
      <c r="T2888" s="229">
        <v>0</v>
      </c>
      <c r="U2888" s="229">
        <f>AVERAGE(G2888:T2888)</f>
        <v>0.97465520513434234</v>
      </c>
      <c r="V2888" t="str">
        <f t="shared" si="269"/>
        <v>2020/21Expenditure driversHVP ED1Allowance</v>
      </c>
    </row>
    <row r="2889" spans="1:22">
      <c r="A2889" t="s">
        <v>126</v>
      </c>
      <c r="C2889" t="s">
        <v>1344</v>
      </c>
      <c r="D2889" t="s">
        <v>109</v>
      </c>
      <c r="E2889" t="s">
        <v>298</v>
      </c>
      <c r="F2889" t="s">
        <v>1289</v>
      </c>
      <c r="G2889" s="229">
        <v>6.1839514172540158</v>
      </c>
      <c r="H2889" s="229">
        <v>0</v>
      </c>
      <c r="I2889" s="229">
        <v>0</v>
      </c>
      <c r="J2889" s="229">
        <v>0</v>
      </c>
      <c r="K2889" s="229">
        <v>0</v>
      </c>
      <c r="L2889" s="229">
        <v>0</v>
      </c>
      <c r="M2889" s="229">
        <v>0</v>
      </c>
      <c r="N2889" s="229">
        <v>5.2722898859679628</v>
      </c>
      <c r="O2889" s="229">
        <v>-0.94329633229767129</v>
      </c>
      <c r="P2889" s="229">
        <v>3.1181820022675866</v>
      </c>
      <c r="Q2889" s="229">
        <v>0</v>
      </c>
      <c r="R2889" s="229">
        <v>0</v>
      </c>
      <c r="S2889" s="229">
        <v>0</v>
      </c>
      <c r="T2889" s="229">
        <v>0.21423561547195985</v>
      </c>
      <c r="U2889" s="229">
        <f>AVERAGE(G2889:T2889)</f>
        <v>0.98895447061884678</v>
      </c>
      <c r="V2889" t="str">
        <f t="shared" si="269"/>
        <v>2020/21Expenditure driversHVP ED1Actual</v>
      </c>
    </row>
    <row r="2890" spans="1:22">
      <c r="A2890" t="s">
        <v>126</v>
      </c>
      <c r="C2890" t="s">
        <v>1344</v>
      </c>
      <c r="D2890" t="s">
        <v>109</v>
      </c>
      <c r="E2890" t="s">
        <v>602</v>
      </c>
      <c r="F2890" t="s">
        <v>1289</v>
      </c>
      <c r="G2890" s="229">
        <v>6.1839514172540158</v>
      </c>
      <c r="H2890" s="229">
        <v>0</v>
      </c>
      <c r="I2890" s="229">
        <v>0</v>
      </c>
      <c r="J2890" s="229">
        <v>0</v>
      </c>
      <c r="K2890" s="229">
        <v>0</v>
      </c>
      <c r="L2890" s="229">
        <v>0</v>
      </c>
      <c r="M2890" s="229">
        <v>0</v>
      </c>
      <c r="N2890" s="229">
        <v>-4.9168800243845645</v>
      </c>
      <c r="O2890" s="229">
        <v>-4.399299293825937</v>
      </c>
      <c r="P2890" s="229">
        <v>3.1181820022675866</v>
      </c>
      <c r="Q2890" s="229">
        <v>0</v>
      </c>
      <c r="R2890" s="229">
        <v>0</v>
      </c>
      <c r="S2890" s="229">
        <v>0</v>
      </c>
      <c r="T2890" s="229">
        <v>0.21423561547195985</v>
      </c>
      <c r="U2890" s="229">
        <f>AVERAGE(G2890:T2890)</f>
        <v>1.4299265484504334E-2</v>
      </c>
      <c r="V2890" t="str">
        <f t="shared" si="269"/>
        <v>2020/21Expenditure driversHVP ED1Difference</v>
      </c>
    </row>
    <row r="2891" spans="1:22">
      <c r="A2891" t="s">
        <v>126</v>
      </c>
      <c r="C2891" t="s">
        <v>1344</v>
      </c>
      <c r="D2891" t="s">
        <v>109</v>
      </c>
      <c r="E2891" t="s">
        <v>1346</v>
      </c>
      <c r="F2891" t="s">
        <v>606</v>
      </c>
      <c r="G2891" s="829" t="e">
        <v>#DIV/0!</v>
      </c>
      <c r="H2891" s="829" t="e">
        <v>#DIV/0!</v>
      </c>
      <c r="I2891" s="829" t="e">
        <v>#DIV/0!</v>
      </c>
      <c r="J2891" s="829" t="e">
        <v>#DIV/0!</v>
      </c>
      <c r="K2891" s="829" t="e">
        <v>#DIV/0!</v>
      </c>
      <c r="L2891" s="829" t="e">
        <v>#DIV/0!</v>
      </c>
      <c r="M2891" s="829" t="e">
        <v>#DIV/0!</v>
      </c>
      <c r="N2891" s="829">
        <v>-0.48255943002666535</v>
      </c>
      <c r="O2891" s="829">
        <v>-1.2729443067029491</v>
      </c>
      <c r="P2891" s="829" t="e">
        <v>#DIV/0!</v>
      </c>
      <c r="Q2891" s="829" t="e">
        <v>#DIV/0!</v>
      </c>
      <c r="R2891" s="829" t="e">
        <v>#DIV/0!</v>
      </c>
      <c r="S2891" s="829" t="e">
        <v>#DIV/0!</v>
      </c>
      <c r="T2891" s="829" t="e">
        <v>#DIV/0!</v>
      </c>
      <c r="U2891" s="829">
        <f>U2890/U2888</f>
        <v>1.4671101543579593E-2</v>
      </c>
      <c r="V2891" t="str">
        <f t="shared" si="269"/>
        <v>2020/21Expenditure driversHVP ED1Difference %</v>
      </c>
    </row>
    <row r="2892" spans="1:22">
      <c r="A2892" t="s">
        <v>142</v>
      </c>
      <c r="C2892" t="s">
        <v>1344</v>
      </c>
      <c r="D2892" t="s">
        <v>109</v>
      </c>
      <c r="E2892" t="s">
        <v>297</v>
      </c>
      <c r="F2892" t="s">
        <v>1289</v>
      </c>
      <c r="G2892" s="229" cm="1">
        <f t="array" ref="G2892:T2895">TRANSPOSE('Ch4 expenditure drivers'!BJ854:BM867)</f>
        <v>0</v>
      </c>
      <c r="H2892" s="229">
        <v>0</v>
      </c>
      <c r="I2892" s="229">
        <v>0</v>
      </c>
      <c r="J2892" s="229">
        <v>0</v>
      </c>
      <c r="K2892" s="229">
        <v>0</v>
      </c>
      <c r="L2892" s="229">
        <v>0</v>
      </c>
      <c r="M2892" s="229">
        <v>0</v>
      </c>
      <c r="N2892" s="229">
        <v>9.6891930750550355</v>
      </c>
      <c r="O2892" s="229">
        <v>0</v>
      </c>
      <c r="P2892" s="229">
        <v>0</v>
      </c>
      <c r="Q2892" s="229">
        <v>0</v>
      </c>
      <c r="R2892" s="229">
        <v>0</v>
      </c>
      <c r="S2892" s="229">
        <v>0</v>
      </c>
      <c r="T2892" s="229">
        <v>0</v>
      </c>
      <c r="U2892" s="229">
        <f>AVERAGE(G2892:T2892)</f>
        <v>0.69208521964678826</v>
      </c>
      <c r="V2892" t="str">
        <f t="shared" ref="V2892:V2895" si="270">CONCATENATE(A2892,B2892,C2892,D2892,E2892)</f>
        <v>2021/22Expenditure driversHVP ED1Allowance</v>
      </c>
    </row>
    <row r="2893" spans="1:22">
      <c r="A2893" t="s">
        <v>142</v>
      </c>
      <c r="C2893" t="s">
        <v>1344</v>
      </c>
      <c r="D2893" t="s">
        <v>109</v>
      </c>
      <c r="E2893" t="s">
        <v>298</v>
      </c>
      <c r="F2893" t="s">
        <v>1289</v>
      </c>
      <c r="G2893" s="229">
        <v>6.8669707741051624</v>
      </c>
      <c r="H2893" s="229">
        <v>0</v>
      </c>
      <c r="I2893" s="229">
        <v>0</v>
      </c>
      <c r="J2893" s="229">
        <v>0</v>
      </c>
      <c r="K2893" s="229">
        <v>0</v>
      </c>
      <c r="L2893" s="229">
        <v>0</v>
      </c>
      <c r="M2893" s="229">
        <v>0</v>
      </c>
      <c r="N2893" s="229">
        <v>1.0985196723841535</v>
      </c>
      <c r="O2893" s="229">
        <v>2.2004948650804455</v>
      </c>
      <c r="P2893" s="229">
        <v>2.5725540096670403</v>
      </c>
      <c r="Q2893" s="229">
        <v>0</v>
      </c>
      <c r="R2893" s="229">
        <v>0</v>
      </c>
      <c r="S2893" s="229">
        <v>0</v>
      </c>
      <c r="T2893" s="229">
        <v>0.27166107999999994</v>
      </c>
      <c r="U2893" s="229">
        <f>AVERAGE(G2893:T2893)</f>
        <v>0.92930002865977157</v>
      </c>
      <c r="V2893" t="str">
        <f t="shared" si="270"/>
        <v>2021/22Expenditure driversHVP ED1Actual</v>
      </c>
    </row>
    <row r="2894" spans="1:22">
      <c r="A2894" t="s">
        <v>142</v>
      </c>
      <c r="C2894" t="s">
        <v>1344</v>
      </c>
      <c r="D2894" t="s">
        <v>109</v>
      </c>
      <c r="E2894" t="s">
        <v>602</v>
      </c>
      <c r="F2894" t="s">
        <v>1289</v>
      </c>
      <c r="G2894" s="229">
        <v>6.8669707741051624</v>
      </c>
      <c r="H2894" s="229">
        <v>0</v>
      </c>
      <c r="I2894" s="229">
        <v>0</v>
      </c>
      <c r="J2894" s="229">
        <v>0</v>
      </c>
      <c r="K2894" s="229">
        <v>0</v>
      </c>
      <c r="L2894" s="229">
        <v>0</v>
      </c>
      <c r="M2894" s="229">
        <v>0</v>
      </c>
      <c r="N2894" s="229">
        <v>-8.5906734026708822</v>
      </c>
      <c r="O2894" s="229">
        <v>2.2004948650804455</v>
      </c>
      <c r="P2894" s="229">
        <v>2.5725540096670403</v>
      </c>
      <c r="Q2894" s="229">
        <v>0</v>
      </c>
      <c r="R2894" s="229">
        <v>0</v>
      </c>
      <c r="S2894" s="229">
        <v>0</v>
      </c>
      <c r="T2894" s="229">
        <v>0.27166107999999994</v>
      </c>
      <c r="U2894" s="229">
        <f>AVERAGE(G2894:T2894)</f>
        <v>0.23721480901298328</v>
      </c>
      <c r="V2894" t="str">
        <f t="shared" si="270"/>
        <v>2021/22Expenditure driversHVP ED1Difference</v>
      </c>
    </row>
    <row r="2895" spans="1:22">
      <c r="A2895" t="s">
        <v>142</v>
      </c>
      <c r="C2895" t="s">
        <v>1344</v>
      </c>
      <c r="D2895" t="s">
        <v>109</v>
      </c>
      <c r="E2895" t="s">
        <v>1346</v>
      </c>
      <c r="F2895" t="s">
        <v>606</v>
      </c>
      <c r="G2895" s="829" t="e">
        <v>#DIV/0!</v>
      </c>
      <c r="H2895" s="829" t="e">
        <v>#DIV/0!</v>
      </c>
      <c r="I2895" s="829" t="e">
        <v>#DIV/0!</v>
      </c>
      <c r="J2895" s="829" t="e">
        <v>#DIV/0!</v>
      </c>
      <c r="K2895" s="829" t="e">
        <v>#DIV/0!</v>
      </c>
      <c r="L2895" s="829" t="e">
        <v>#DIV/0!</v>
      </c>
      <c r="M2895" s="829" t="e">
        <v>#DIV/0!</v>
      </c>
      <c r="N2895" s="829">
        <v>-0.88662423548847347</v>
      </c>
      <c r="O2895" s="829" t="e">
        <v>#DIV/0!</v>
      </c>
      <c r="P2895" s="829" t="e">
        <v>#DIV/0!</v>
      </c>
      <c r="Q2895" s="829" t="e">
        <v>#DIV/0!</v>
      </c>
      <c r="R2895" s="829" t="e">
        <v>#DIV/0!</v>
      </c>
      <c r="S2895" s="829" t="e">
        <v>#DIV/0!</v>
      </c>
      <c r="T2895" s="829" t="e">
        <v>#DIV/0!</v>
      </c>
      <c r="U2895" s="829">
        <f>U2894/U2892</f>
        <v>0.34275375673251329</v>
      </c>
      <c r="V2895" t="str">
        <f t="shared" si="270"/>
        <v>2021/22Expenditure driversHVP ED1Difference %</v>
      </c>
    </row>
    <row r="2896" spans="1:22">
      <c r="A2896" t="s">
        <v>137</v>
      </c>
      <c r="C2896" t="s">
        <v>1344</v>
      </c>
      <c r="D2896" t="s">
        <v>110</v>
      </c>
      <c r="E2896" t="s">
        <v>1347</v>
      </c>
      <c r="F2896" t="s">
        <v>1289</v>
      </c>
      <c r="G2896">
        <f t="array" ref="G2896:T2903">TRANSPOSE('Ch4 expenditure drivers'!E874:L887)</f>
        <v>0</v>
      </c>
      <c r="H2896">
        <v>0</v>
      </c>
      <c r="I2896">
        <v>0</v>
      </c>
      <c r="J2896">
        <v>0</v>
      </c>
      <c r="K2896">
        <v>0</v>
      </c>
      <c r="L2896">
        <v>0</v>
      </c>
      <c r="M2896">
        <v>0</v>
      </c>
      <c r="N2896">
        <v>0</v>
      </c>
      <c r="O2896">
        <v>0</v>
      </c>
      <c r="P2896">
        <v>0</v>
      </c>
      <c r="Q2896">
        <v>0</v>
      </c>
      <c r="R2896">
        <v>0</v>
      </c>
      <c r="S2896">
        <v>0</v>
      </c>
      <c r="T2896">
        <v>0</v>
      </c>
      <c r="U2896">
        <f>AVERAGE(G2896:T2896)</f>
        <v>0</v>
      </c>
      <c r="V2896" t="str">
        <f t="shared" si="269"/>
        <v>2015/16Expenditure driversHVP DPCR5BPDT</v>
      </c>
    </row>
    <row r="2897" spans="1:22">
      <c r="A2897" t="s">
        <v>138</v>
      </c>
      <c r="C2897" t="s">
        <v>1344</v>
      </c>
      <c r="D2897" t="s">
        <v>110</v>
      </c>
      <c r="E2897" t="s">
        <v>1347</v>
      </c>
      <c r="F2897" t="s">
        <v>1289</v>
      </c>
      <c r="G2897">
        <v>0</v>
      </c>
      <c r="H2897">
        <v>0</v>
      </c>
      <c r="I2897">
        <v>0</v>
      </c>
      <c r="J2897">
        <v>0</v>
      </c>
      <c r="K2897">
        <v>0</v>
      </c>
      <c r="L2897">
        <v>0</v>
      </c>
      <c r="M2897">
        <v>0</v>
      </c>
      <c r="N2897">
        <v>0</v>
      </c>
      <c r="O2897">
        <v>0</v>
      </c>
      <c r="P2897">
        <v>0</v>
      </c>
      <c r="Q2897">
        <v>0</v>
      </c>
      <c r="R2897">
        <v>0</v>
      </c>
      <c r="S2897">
        <v>0</v>
      </c>
      <c r="T2897">
        <v>0</v>
      </c>
      <c r="U2897">
        <f t="shared" ref="U2897:U2928" si="271">AVERAGE(G2897:T2897)</f>
        <v>0</v>
      </c>
      <c r="V2897" t="str">
        <f t="shared" si="269"/>
        <v>2016/17Expenditure driversHVP DPCR5BPDT</v>
      </c>
    </row>
    <row r="2898" spans="1:22">
      <c r="A2898" t="s">
        <v>139</v>
      </c>
      <c r="C2898" t="s">
        <v>1344</v>
      </c>
      <c r="D2898" t="s">
        <v>110</v>
      </c>
      <c r="E2898" t="s">
        <v>1347</v>
      </c>
      <c r="F2898" t="s">
        <v>1289</v>
      </c>
      <c r="G2898">
        <v>0</v>
      </c>
      <c r="H2898">
        <v>0</v>
      </c>
      <c r="I2898">
        <v>0</v>
      </c>
      <c r="J2898">
        <v>0</v>
      </c>
      <c r="K2898">
        <v>0</v>
      </c>
      <c r="L2898">
        <v>0</v>
      </c>
      <c r="M2898">
        <v>0</v>
      </c>
      <c r="N2898">
        <v>0</v>
      </c>
      <c r="O2898">
        <v>0</v>
      </c>
      <c r="P2898">
        <v>0</v>
      </c>
      <c r="Q2898">
        <v>0</v>
      </c>
      <c r="R2898">
        <v>0</v>
      </c>
      <c r="S2898">
        <v>0</v>
      </c>
      <c r="T2898">
        <v>0</v>
      </c>
      <c r="U2898">
        <f t="shared" si="271"/>
        <v>0</v>
      </c>
      <c r="V2898" t="str">
        <f t="shared" si="269"/>
        <v>2017/18Expenditure driversHVP DPCR5BPDT</v>
      </c>
    </row>
    <row r="2899" spans="1:22">
      <c r="A2899" t="s">
        <v>140</v>
      </c>
      <c r="C2899" t="s">
        <v>1344</v>
      </c>
      <c r="D2899" t="s">
        <v>110</v>
      </c>
      <c r="E2899" t="s">
        <v>1347</v>
      </c>
      <c r="F2899" t="s">
        <v>1289</v>
      </c>
      <c r="G2899">
        <v>0</v>
      </c>
      <c r="H2899">
        <v>0</v>
      </c>
      <c r="I2899">
        <v>0</v>
      </c>
      <c r="J2899">
        <v>0</v>
      </c>
      <c r="K2899">
        <v>0</v>
      </c>
      <c r="L2899">
        <v>0</v>
      </c>
      <c r="M2899">
        <v>0</v>
      </c>
      <c r="N2899">
        <v>0</v>
      </c>
      <c r="O2899">
        <v>0</v>
      </c>
      <c r="P2899">
        <v>0</v>
      </c>
      <c r="Q2899">
        <v>0</v>
      </c>
      <c r="R2899">
        <v>0</v>
      </c>
      <c r="S2899">
        <v>0</v>
      </c>
      <c r="T2899">
        <v>0</v>
      </c>
      <c r="U2899">
        <f t="shared" si="271"/>
        <v>0</v>
      </c>
      <c r="V2899" t="str">
        <f t="shared" si="269"/>
        <v>2018/19Expenditure driversHVP DPCR5BPDT</v>
      </c>
    </row>
    <row r="2900" spans="1:22">
      <c r="A2900" t="s">
        <v>141</v>
      </c>
      <c r="C2900" t="s">
        <v>1344</v>
      </c>
      <c r="D2900" t="s">
        <v>110</v>
      </c>
      <c r="E2900" t="s">
        <v>1347</v>
      </c>
      <c r="F2900" t="s">
        <v>1289</v>
      </c>
      <c r="G2900">
        <v>0</v>
      </c>
      <c r="H2900">
        <v>0</v>
      </c>
      <c r="I2900">
        <v>0</v>
      </c>
      <c r="J2900">
        <v>0</v>
      </c>
      <c r="K2900">
        <v>0</v>
      </c>
      <c r="L2900">
        <v>0</v>
      </c>
      <c r="M2900">
        <v>0</v>
      </c>
      <c r="N2900">
        <v>0</v>
      </c>
      <c r="O2900">
        <v>0</v>
      </c>
      <c r="P2900">
        <v>0</v>
      </c>
      <c r="Q2900">
        <v>0</v>
      </c>
      <c r="R2900">
        <v>0</v>
      </c>
      <c r="S2900">
        <v>0</v>
      </c>
      <c r="T2900">
        <v>0</v>
      </c>
      <c r="U2900">
        <f t="shared" si="271"/>
        <v>0</v>
      </c>
      <c r="V2900" t="str">
        <f t="shared" si="269"/>
        <v>2019/20Expenditure driversHVP DPCR5BPDT</v>
      </c>
    </row>
    <row r="2901" spans="1:22">
      <c r="A2901" t="s">
        <v>126</v>
      </c>
      <c r="C2901" t="s">
        <v>1344</v>
      </c>
      <c r="D2901" t="s">
        <v>110</v>
      </c>
      <c r="E2901" t="s">
        <v>1347</v>
      </c>
      <c r="F2901" t="s">
        <v>1289</v>
      </c>
      <c r="G2901">
        <v>0</v>
      </c>
      <c r="H2901">
        <v>0</v>
      </c>
      <c r="I2901">
        <v>0</v>
      </c>
      <c r="J2901">
        <v>0</v>
      </c>
      <c r="K2901">
        <v>0</v>
      </c>
      <c r="L2901">
        <v>0</v>
      </c>
      <c r="M2901">
        <v>0</v>
      </c>
      <c r="N2901">
        <v>0</v>
      </c>
      <c r="O2901">
        <v>0</v>
      </c>
      <c r="P2901">
        <v>0</v>
      </c>
      <c r="Q2901">
        <v>0</v>
      </c>
      <c r="R2901">
        <v>0</v>
      </c>
      <c r="S2901">
        <v>0</v>
      </c>
      <c r="T2901">
        <v>0</v>
      </c>
      <c r="U2901">
        <f t="shared" si="271"/>
        <v>0</v>
      </c>
      <c r="V2901" t="str">
        <f t="shared" si="269"/>
        <v>2020/21Expenditure driversHVP DPCR5BPDT</v>
      </c>
    </row>
    <row r="2902" spans="1:22">
      <c r="A2902" t="s">
        <v>142</v>
      </c>
      <c r="C2902" t="s">
        <v>1344</v>
      </c>
      <c r="D2902" t="s">
        <v>110</v>
      </c>
      <c r="E2902" t="s">
        <v>1347</v>
      </c>
      <c r="F2902" t="s">
        <v>1289</v>
      </c>
      <c r="G2902">
        <v>0</v>
      </c>
      <c r="H2902">
        <v>0</v>
      </c>
      <c r="I2902">
        <v>0</v>
      </c>
      <c r="J2902">
        <v>0</v>
      </c>
      <c r="K2902">
        <v>0</v>
      </c>
      <c r="L2902">
        <v>0</v>
      </c>
      <c r="M2902">
        <v>0</v>
      </c>
      <c r="N2902">
        <v>0</v>
      </c>
      <c r="O2902">
        <v>0</v>
      </c>
      <c r="P2902">
        <v>0</v>
      </c>
      <c r="Q2902">
        <v>0</v>
      </c>
      <c r="R2902">
        <v>0</v>
      </c>
      <c r="S2902">
        <v>0</v>
      </c>
      <c r="T2902">
        <v>0</v>
      </c>
      <c r="U2902">
        <f t="shared" si="271"/>
        <v>0</v>
      </c>
      <c r="V2902" t="str">
        <f t="shared" si="269"/>
        <v>2021/22Expenditure driversHVP DPCR5BPDT</v>
      </c>
    </row>
    <row r="2903" spans="1:22">
      <c r="A2903" t="s">
        <v>143</v>
      </c>
      <c r="C2903" t="s">
        <v>1344</v>
      </c>
      <c r="D2903" t="s">
        <v>110</v>
      </c>
      <c r="E2903" t="s">
        <v>1347</v>
      </c>
      <c r="F2903" t="s">
        <v>1289</v>
      </c>
      <c r="G2903">
        <v>0</v>
      </c>
      <c r="H2903">
        <v>0</v>
      </c>
      <c r="I2903">
        <v>0</v>
      </c>
      <c r="J2903">
        <v>0</v>
      </c>
      <c r="K2903">
        <v>0</v>
      </c>
      <c r="L2903">
        <v>0</v>
      </c>
      <c r="M2903">
        <v>0</v>
      </c>
      <c r="N2903">
        <v>0</v>
      </c>
      <c r="O2903">
        <v>0</v>
      </c>
      <c r="P2903">
        <v>0</v>
      </c>
      <c r="Q2903">
        <v>0</v>
      </c>
      <c r="R2903">
        <v>0</v>
      </c>
      <c r="S2903">
        <v>0</v>
      </c>
      <c r="T2903">
        <v>0</v>
      </c>
      <c r="U2903">
        <f t="shared" si="271"/>
        <v>0</v>
      </c>
      <c r="V2903" t="str">
        <f t="shared" si="269"/>
        <v>2022/23Expenditure driversHVP DPCR5BPDT</v>
      </c>
    </row>
    <row r="2904" spans="1:22">
      <c r="A2904" t="s">
        <v>137</v>
      </c>
      <c r="C2904" t="s">
        <v>1344</v>
      </c>
      <c r="D2904" t="s">
        <v>110</v>
      </c>
      <c r="E2904" t="s">
        <v>1348</v>
      </c>
      <c r="F2904" t="s">
        <v>1289</v>
      </c>
      <c r="G2904">
        <f t="array" ref="G2904:T2911">TRANSPOSE('Ch4 expenditure drivers'!N874:U887)</f>
        <v>0</v>
      </c>
      <c r="H2904">
        <v>0</v>
      </c>
      <c r="I2904">
        <v>0</v>
      </c>
      <c r="J2904">
        <v>0</v>
      </c>
      <c r="K2904">
        <v>0</v>
      </c>
      <c r="L2904">
        <v>0</v>
      </c>
      <c r="M2904">
        <v>0</v>
      </c>
      <c r="N2904">
        <v>0</v>
      </c>
      <c r="O2904">
        <v>0</v>
      </c>
      <c r="P2904">
        <v>0</v>
      </c>
      <c r="Q2904">
        <v>0</v>
      </c>
      <c r="R2904">
        <v>0</v>
      </c>
      <c r="S2904">
        <v>0</v>
      </c>
      <c r="T2904">
        <v>0</v>
      </c>
      <c r="U2904">
        <f t="shared" si="271"/>
        <v>0</v>
      </c>
      <c r="V2904" t="str">
        <f t="shared" si="269"/>
        <v>2015/16Expenditure driversHVP DPCR5DNO Baseline</v>
      </c>
    </row>
    <row r="2905" spans="1:22">
      <c r="A2905" t="s">
        <v>138</v>
      </c>
      <c r="C2905" t="s">
        <v>1344</v>
      </c>
      <c r="D2905" t="s">
        <v>110</v>
      </c>
      <c r="E2905" t="s">
        <v>1348</v>
      </c>
      <c r="F2905" t="s">
        <v>1289</v>
      </c>
      <c r="G2905">
        <v>0</v>
      </c>
      <c r="H2905">
        <v>0</v>
      </c>
      <c r="I2905">
        <v>0</v>
      </c>
      <c r="J2905">
        <v>0</v>
      </c>
      <c r="K2905">
        <v>0</v>
      </c>
      <c r="L2905">
        <v>0</v>
      </c>
      <c r="M2905">
        <v>0</v>
      </c>
      <c r="N2905">
        <v>0</v>
      </c>
      <c r="O2905">
        <v>0</v>
      </c>
      <c r="P2905">
        <v>0</v>
      </c>
      <c r="Q2905">
        <v>0</v>
      </c>
      <c r="R2905">
        <v>0</v>
      </c>
      <c r="S2905">
        <v>0</v>
      </c>
      <c r="T2905">
        <v>0</v>
      </c>
      <c r="U2905">
        <f t="shared" si="271"/>
        <v>0</v>
      </c>
      <c r="V2905" t="str">
        <f t="shared" si="269"/>
        <v>2016/17Expenditure driversHVP DPCR5DNO Baseline</v>
      </c>
    </row>
    <row r="2906" spans="1:22">
      <c r="A2906" t="s">
        <v>139</v>
      </c>
      <c r="C2906" t="s">
        <v>1344</v>
      </c>
      <c r="D2906" t="s">
        <v>110</v>
      </c>
      <c r="E2906" t="s">
        <v>1348</v>
      </c>
      <c r="F2906" t="s">
        <v>1289</v>
      </c>
      <c r="G2906">
        <v>0</v>
      </c>
      <c r="H2906">
        <v>0</v>
      </c>
      <c r="I2906">
        <v>0</v>
      </c>
      <c r="J2906">
        <v>0</v>
      </c>
      <c r="K2906">
        <v>0</v>
      </c>
      <c r="L2906">
        <v>0</v>
      </c>
      <c r="M2906">
        <v>0</v>
      </c>
      <c r="N2906">
        <v>0</v>
      </c>
      <c r="O2906">
        <v>0</v>
      </c>
      <c r="P2906">
        <v>0</v>
      </c>
      <c r="Q2906">
        <v>0</v>
      </c>
      <c r="R2906">
        <v>0</v>
      </c>
      <c r="S2906">
        <v>0</v>
      </c>
      <c r="T2906">
        <v>0</v>
      </c>
      <c r="U2906">
        <f t="shared" si="271"/>
        <v>0</v>
      </c>
      <c r="V2906" t="str">
        <f t="shared" si="269"/>
        <v>2017/18Expenditure driversHVP DPCR5DNO Baseline</v>
      </c>
    </row>
    <row r="2907" spans="1:22">
      <c r="A2907" t="s">
        <v>140</v>
      </c>
      <c r="C2907" t="s">
        <v>1344</v>
      </c>
      <c r="D2907" t="s">
        <v>110</v>
      </c>
      <c r="E2907" t="s">
        <v>1348</v>
      </c>
      <c r="F2907" t="s">
        <v>1289</v>
      </c>
      <c r="G2907">
        <v>0</v>
      </c>
      <c r="H2907">
        <v>0</v>
      </c>
      <c r="I2907">
        <v>0</v>
      </c>
      <c r="J2907">
        <v>0</v>
      </c>
      <c r="K2907">
        <v>0</v>
      </c>
      <c r="L2907">
        <v>0</v>
      </c>
      <c r="M2907">
        <v>0</v>
      </c>
      <c r="N2907">
        <v>0</v>
      </c>
      <c r="O2907">
        <v>0</v>
      </c>
      <c r="P2907">
        <v>0</v>
      </c>
      <c r="Q2907">
        <v>0</v>
      </c>
      <c r="R2907">
        <v>0</v>
      </c>
      <c r="S2907">
        <v>0</v>
      </c>
      <c r="T2907">
        <v>0</v>
      </c>
      <c r="U2907">
        <f t="shared" si="271"/>
        <v>0</v>
      </c>
      <c r="V2907" t="str">
        <f t="shared" si="269"/>
        <v>2018/19Expenditure driversHVP DPCR5DNO Baseline</v>
      </c>
    </row>
    <row r="2908" spans="1:22">
      <c r="A2908" t="s">
        <v>141</v>
      </c>
      <c r="C2908" t="s">
        <v>1344</v>
      </c>
      <c r="D2908" t="s">
        <v>110</v>
      </c>
      <c r="E2908" t="s">
        <v>1348</v>
      </c>
      <c r="F2908" t="s">
        <v>1289</v>
      </c>
      <c r="G2908">
        <v>0</v>
      </c>
      <c r="H2908">
        <v>0</v>
      </c>
      <c r="I2908">
        <v>0</v>
      </c>
      <c r="J2908">
        <v>0</v>
      </c>
      <c r="K2908">
        <v>0</v>
      </c>
      <c r="L2908">
        <v>0</v>
      </c>
      <c r="M2908">
        <v>0</v>
      </c>
      <c r="N2908">
        <v>0</v>
      </c>
      <c r="O2908">
        <v>0</v>
      </c>
      <c r="P2908">
        <v>0</v>
      </c>
      <c r="Q2908">
        <v>0</v>
      </c>
      <c r="R2908">
        <v>0</v>
      </c>
      <c r="S2908">
        <v>0</v>
      </c>
      <c r="T2908">
        <v>0</v>
      </c>
      <c r="U2908">
        <f t="shared" si="271"/>
        <v>0</v>
      </c>
      <c r="V2908" t="str">
        <f t="shared" si="269"/>
        <v>2019/20Expenditure driversHVP DPCR5DNO Baseline</v>
      </c>
    </row>
    <row r="2909" spans="1:22">
      <c r="A2909" t="s">
        <v>126</v>
      </c>
      <c r="C2909" t="s">
        <v>1344</v>
      </c>
      <c r="D2909" t="s">
        <v>110</v>
      </c>
      <c r="E2909" t="s">
        <v>1348</v>
      </c>
      <c r="F2909" t="s">
        <v>1289</v>
      </c>
      <c r="G2909">
        <v>0</v>
      </c>
      <c r="H2909">
        <v>0</v>
      </c>
      <c r="I2909">
        <v>0</v>
      </c>
      <c r="J2909">
        <v>0</v>
      </c>
      <c r="K2909">
        <v>0</v>
      </c>
      <c r="L2909">
        <v>0</v>
      </c>
      <c r="M2909">
        <v>0</v>
      </c>
      <c r="N2909">
        <v>0</v>
      </c>
      <c r="O2909">
        <v>0</v>
      </c>
      <c r="P2909">
        <v>0</v>
      </c>
      <c r="Q2909">
        <v>0</v>
      </c>
      <c r="R2909">
        <v>0</v>
      </c>
      <c r="S2909">
        <v>0</v>
      </c>
      <c r="T2909">
        <v>0</v>
      </c>
      <c r="U2909">
        <f t="shared" si="271"/>
        <v>0</v>
      </c>
      <c r="V2909" t="str">
        <f t="shared" si="269"/>
        <v>2020/21Expenditure driversHVP DPCR5DNO Baseline</v>
      </c>
    </row>
    <row r="2910" spans="1:22">
      <c r="A2910" t="s">
        <v>142</v>
      </c>
      <c r="C2910" t="s">
        <v>1344</v>
      </c>
      <c r="D2910" t="s">
        <v>110</v>
      </c>
      <c r="E2910" t="s">
        <v>1348</v>
      </c>
      <c r="F2910" t="s">
        <v>1289</v>
      </c>
      <c r="G2910">
        <v>0</v>
      </c>
      <c r="H2910">
        <v>0</v>
      </c>
      <c r="I2910">
        <v>0</v>
      </c>
      <c r="J2910">
        <v>0</v>
      </c>
      <c r="K2910">
        <v>0</v>
      </c>
      <c r="L2910">
        <v>0</v>
      </c>
      <c r="M2910">
        <v>0</v>
      </c>
      <c r="N2910">
        <v>0</v>
      </c>
      <c r="O2910">
        <v>0</v>
      </c>
      <c r="P2910">
        <v>0</v>
      </c>
      <c r="Q2910">
        <v>0</v>
      </c>
      <c r="R2910">
        <v>0</v>
      </c>
      <c r="S2910">
        <v>0</v>
      </c>
      <c r="T2910">
        <v>0</v>
      </c>
      <c r="U2910">
        <f t="shared" si="271"/>
        <v>0</v>
      </c>
      <c r="V2910" t="str">
        <f t="shared" si="269"/>
        <v>2021/22Expenditure driversHVP DPCR5DNO Baseline</v>
      </c>
    </row>
    <row r="2911" spans="1:22">
      <c r="A2911" t="s">
        <v>143</v>
      </c>
      <c r="C2911" t="s">
        <v>1344</v>
      </c>
      <c r="D2911" t="s">
        <v>110</v>
      </c>
      <c r="E2911" t="s">
        <v>1348</v>
      </c>
      <c r="F2911" t="s">
        <v>1289</v>
      </c>
      <c r="G2911">
        <v>0</v>
      </c>
      <c r="H2911">
        <v>0</v>
      </c>
      <c r="I2911">
        <v>0</v>
      </c>
      <c r="J2911">
        <v>0</v>
      </c>
      <c r="K2911">
        <v>0</v>
      </c>
      <c r="L2911">
        <v>0</v>
      </c>
      <c r="M2911">
        <v>0</v>
      </c>
      <c r="N2911">
        <v>0</v>
      </c>
      <c r="O2911">
        <v>0</v>
      </c>
      <c r="P2911">
        <v>0</v>
      </c>
      <c r="Q2911">
        <v>0</v>
      </c>
      <c r="R2911">
        <v>0</v>
      </c>
      <c r="S2911">
        <v>0</v>
      </c>
      <c r="T2911">
        <v>0</v>
      </c>
      <c r="U2911">
        <f t="shared" si="271"/>
        <v>0</v>
      </c>
      <c r="V2911" t="str">
        <f t="shared" si="269"/>
        <v>2022/23Expenditure driversHVP DPCR5DNO Baseline</v>
      </c>
    </row>
    <row r="2912" spans="1:22">
      <c r="A2912" t="s">
        <v>137</v>
      </c>
      <c r="C2912" t="s">
        <v>1344</v>
      </c>
      <c r="D2912" t="s">
        <v>110</v>
      </c>
      <c r="E2912" t="s">
        <v>1349</v>
      </c>
      <c r="F2912" t="s">
        <v>1289</v>
      </c>
      <c r="G2912" cm="1">
        <f t="array" ref="G2912:T2918">TRANSPOSE('Ch4 expenditure drivers'!W874:AC887)</f>
        <v>0</v>
      </c>
      <c r="H2912">
        <v>0</v>
      </c>
      <c r="I2912">
        <v>25.953473641654352</v>
      </c>
      <c r="J2912">
        <v>0</v>
      </c>
      <c r="K2912">
        <v>0.19909787883576879</v>
      </c>
      <c r="L2912">
        <v>0</v>
      </c>
      <c r="M2912">
        <v>0</v>
      </c>
      <c r="N2912">
        <v>15.063003738089044</v>
      </c>
      <c r="O2912">
        <v>-0.40389466639846028</v>
      </c>
      <c r="P2912">
        <v>0.43930380607208136</v>
      </c>
      <c r="Q2912">
        <v>0</v>
      </c>
      <c r="R2912">
        <v>1.5247964557696716</v>
      </c>
      <c r="S2912">
        <v>0</v>
      </c>
      <c r="T2912">
        <v>7.1433310414807156</v>
      </c>
      <c r="U2912">
        <f t="shared" si="271"/>
        <v>3.5656508496787986</v>
      </c>
      <c r="V2912" t="str">
        <f t="shared" si="269"/>
        <v>2015/16Expenditure driversHVP DPCR5DNO Actual</v>
      </c>
    </row>
    <row r="2913" spans="1:22">
      <c r="A2913" t="s">
        <v>138</v>
      </c>
      <c r="C2913" t="s">
        <v>1344</v>
      </c>
      <c r="D2913" t="s">
        <v>110</v>
      </c>
      <c r="E2913" t="s">
        <v>1349</v>
      </c>
      <c r="F2913" t="s">
        <v>1289</v>
      </c>
      <c r="G2913">
        <v>0</v>
      </c>
      <c r="H2913">
        <v>0</v>
      </c>
      <c r="I2913">
        <v>1.2634691049686122</v>
      </c>
      <c r="J2913">
        <v>0</v>
      </c>
      <c r="K2913">
        <v>0</v>
      </c>
      <c r="L2913">
        <v>0</v>
      </c>
      <c r="M2913">
        <v>0</v>
      </c>
      <c r="N2913">
        <v>16.220973331018673</v>
      </c>
      <c r="O2913">
        <v>0.30783003182305868</v>
      </c>
      <c r="P2913">
        <v>-6.6532897290818738E-2</v>
      </c>
      <c r="Q2913">
        <v>0</v>
      </c>
      <c r="R2913">
        <v>0.70743599842229221</v>
      </c>
      <c r="S2913">
        <v>0</v>
      </c>
      <c r="T2913">
        <v>3.919390156979834</v>
      </c>
      <c r="U2913">
        <f t="shared" si="271"/>
        <v>1.5966118375658318</v>
      </c>
      <c r="V2913" t="str">
        <f t="shared" si="269"/>
        <v>2016/17Expenditure driversHVP DPCR5DNO Actual</v>
      </c>
    </row>
    <row r="2914" spans="1:22">
      <c r="A2914" t="s">
        <v>139</v>
      </c>
      <c r="C2914" t="s">
        <v>1344</v>
      </c>
      <c r="D2914" t="s">
        <v>110</v>
      </c>
      <c r="E2914" t="s">
        <v>1349</v>
      </c>
      <c r="F2914" t="s">
        <v>1289</v>
      </c>
      <c r="G2914">
        <v>0</v>
      </c>
      <c r="H2914">
        <v>0</v>
      </c>
      <c r="I2914">
        <v>3.7066127252427483</v>
      </c>
      <c r="J2914">
        <v>0</v>
      </c>
      <c r="K2914">
        <v>0</v>
      </c>
      <c r="L2914">
        <v>0</v>
      </c>
      <c r="M2914">
        <v>0</v>
      </c>
      <c r="N2914">
        <v>9.5490464653000942</v>
      </c>
      <c r="O2914">
        <v>0.18724545196456174</v>
      </c>
      <c r="P2914">
        <v>-0.43496503010953413</v>
      </c>
      <c r="Q2914">
        <v>0</v>
      </c>
      <c r="R2914">
        <v>-0.1333857463847396</v>
      </c>
      <c r="S2914">
        <v>0</v>
      </c>
      <c r="T2914">
        <v>9.3472086861058956E-2</v>
      </c>
      <c r="U2914">
        <f t="shared" si="271"/>
        <v>0.92628756806244217</v>
      </c>
      <c r="V2914" t="str">
        <f t="shared" si="269"/>
        <v>2017/18Expenditure driversHVP DPCR5DNO Actual</v>
      </c>
    </row>
    <row r="2915" spans="1:22">
      <c r="A2915" t="s">
        <v>140</v>
      </c>
      <c r="C2915" t="s">
        <v>1344</v>
      </c>
      <c r="D2915" t="s">
        <v>110</v>
      </c>
      <c r="E2915" t="s">
        <v>1349</v>
      </c>
      <c r="F2915" t="s">
        <v>1289</v>
      </c>
      <c r="G2915">
        <v>0</v>
      </c>
      <c r="H2915">
        <v>0</v>
      </c>
      <c r="I2915">
        <v>0.48841221284907549</v>
      </c>
      <c r="J2915">
        <v>0</v>
      </c>
      <c r="K2915">
        <v>0</v>
      </c>
      <c r="L2915">
        <v>0</v>
      </c>
      <c r="M2915">
        <v>0</v>
      </c>
      <c r="N2915">
        <v>8.6046736015300418</v>
      </c>
      <c r="O2915">
        <v>-0.87001512515559343</v>
      </c>
      <c r="P2915">
        <v>-9.4324746703535687E-5</v>
      </c>
      <c r="Q2915">
        <v>0</v>
      </c>
      <c r="R2915">
        <v>0</v>
      </c>
      <c r="S2915">
        <v>0</v>
      </c>
      <c r="T2915">
        <v>0</v>
      </c>
      <c r="U2915">
        <f>AVERAGE(G2915:T2915)</f>
        <v>0.58735545460548721</v>
      </c>
      <c r="V2915" t="str">
        <f t="shared" si="269"/>
        <v>2018/19Expenditure driversHVP DPCR5DNO Actual</v>
      </c>
    </row>
    <row r="2916" spans="1:22">
      <c r="A2916" t="s">
        <v>141</v>
      </c>
      <c r="C2916" t="s">
        <v>1344</v>
      </c>
      <c r="D2916" t="s">
        <v>110</v>
      </c>
      <c r="E2916" t="s">
        <v>1349</v>
      </c>
      <c r="F2916" t="s">
        <v>1289</v>
      </c>
      <c r="G2916">
        <v>0</v>
      </c>
      <c r="H2916">
        <v>0</v>
      </c>
      <c r="I2916">
        <v>3.1365087105920779E-2</v>
      </c>
      <c r="J2916">
        <v>0</v>
      </c>
      <c r="K2916">
        <v>0</v>
      </c>
      <c r="L2916">
        <v>0</v>
      </c>
      <c r="M2916">
        <v>0</v>
      </c>
      <c r="N2916">
        <v>5.7547686163232239</v>
      </c>
      <c r="O2916">
        <v>-0.15107483095895002</v>
      </c>
      <c r="P2916">
        <v>0</v>
      </c>
      <c r="Q2916">
        <v>0</v>
      </c>
      <c r="R2916">
        <v>0</v>
      </c>
      <c r="S2916">
        <v>0</v>
      </c>
      <c r="T2916">
        <v>0</v>
      </c>
      <c r="U2916">
        <f>AVERAGE(G2916:T2916)</f>
        <v>0.40250420517644248</v>
      </c>
      <c r="V2916" t="str">
        <f t="shared" si="269"/>
        <v>2019/20Expenditure driversHVP DPCR5DNO Actual</v>
      </c>
    </row>
    <row r="2917" spans="1:22">
      <c r="A2917" t="s">
        <v>126</v>
      </c>
      <c r="C2917" t="s">
        <v>1344</v>
      </c>
      <c r="D2917" t="s">
        <v>110</v>
      </c>
      <c r="E2917" t="s">
        <v>1349</v>
      </c>
      <c r="F2917" t="s">
        <v>1289</v>
      </c>
      <c r="G2917">
        <v>0</v>
      </c>
      <c r="H2917">
        <v>0</v>
      </c>
      <c r="I2917">
        <v>6.7638138839502746E-3</v>
      </c>
      <c r="J2917">
        <v>0</v>
      </c>
      <c r="K2917">
        <v>0</v>
      </c>
      <c r="L2917">
        <v>0</v>
      </c>
      <c r="M2917">
        <v>0</v>
      </c>
      <c r="N2917">
        <v>4.9610350892844295</v>
      </c>
      <c r="O2917">
        <v>3.2537326223956067E-2</v>
      </c>
      <c r="P2917">
        <v>0</v>
      </c>
      <c r="Q2917">
        <v>0</v>
      </c>
      <c r="R2917">
        <v>0</v>
      </c>
      <c r="S2917">
        <v>0</v>
      </c>
      <c r="T2917">
        <v>0</v>
      </c>
      <c r="U2917">
        <f>AVERAGE(G2917:T2917)</f>
        <v>0.35716687352802395</v>
      </c>
      <c r="V2917" t="str">
        <f t="shared" si="269"/>
        <v>2020/21Expenditure driversHVP DPCR5DNO Actual</v>
      </c>
    </row>
    <row r="2918" spans="1:22">
      <c r="A2918" t="s">
        <v>142</v>
      </c>
      <c r="C2918" t="s">
        <v>1344</v>
      </c>
      <c r="D2918" t="s">
        <v>110</v>
      </c>
      <c r="E2918" t="s">
        <v>1349</v>
      </c>
      <c r="F2918" t="s">
        <v>1289</v>
      </c>
      <c r="G2918">
        <v>0</v>
      </c>
      <c r="H2918">
        <v>0</v>
      </c>
      <c r="I2918">
        <v>0</v>
      </c>
      <c r="J2918">
        <v>0</v>
      </c>
      <c r="K2918">
        <v>0</v>
      </c>
      <c r="L2918">
        <v>0</v>
      </c>
      <c r="M2918">
        <v>0</v>
      </c>
      <c r="N2918">
        <v>1.619978568385082</v>
      </c>
      <c r="O2918">
        <v>2.9528162591935529E-2</v>
      </c>
      <c r="P2918">
        <v>0</v>
      </c>
      <c r="Q2918">
        <v>0</v>
      </c>
      <c r="R2918">
        <v>0</v>
      </c>
      <c r="S2918">
        <v>0</v>
      </c>
      <c r="T2918">
        <v>0</v>
      </c>
      <c r="U2918">
        <f>AVERAGE(G2918:T2918)</f>
        <v>0.11782190935550126</v>
      </c>
      <c r="V2918" t="str">
        <f t="shared" ref="V2918" si="272">CONCATENATE(A2918,B2918,C2918,D2918,E2918)</f>
        <v>2021/22Expenditure driversHVP DPCR5DNO Actual</v>
      </c>
    </row>
    <row r="2919" spans="1:22">
      <c r="A2919" t="s">
        <v>137</v>
      </c>
      <c r="C2919" t="s">
        <v>1344</v>
      </c>
      <c r="D2919" t="s">
        <v>110</v>
      </c>
      <c r="E2919" t="s">
        <v>297</v>
      </c>
      <c r="F2919" t="s">
        <v>1289</v>
      </c>
      <c r="G2919">
        <f t="array" ref="G2919:T2922">TRANSPOSE('Ch4 expenditure drivers'!AF874:AI887)</f>
        <v>0</v>
      </c>
      <c r="H2919">
        <v>0</v>
      </c>
      <c r="I2919">
        <v>0</v>
      </c>
      <c r="J2919">
        <v>0</v>
      </c>
      <c r="K2919">
        <v>0</v>
      </c>
      <c r="L2919">
        <v>0</v>
      </c>
      <c r="M2919">
        <v>0</v>
      </c>
      <c r="N2919">
        <v>0</v>
      </c>
      <c r="O2919">
        <v>0</v>
      </c>
      <c r="P2919">
        <v>0</v>
      </c>
      <c r="Q2919">
        <v>0</v>
      </c>
      <c r="R2919">
        <v>0</v>
      </c>
      <c r="S2919">
        <v>0</v>
      </c>
      <c r="T2919">
        <v>0</v>
      </c>
      <c r="U2919">
        <f t="shared" si="271"/>
        <v>0</v>
      </c>
      <c r="V2919" t="str">
        <f t="shared" si="269"/>
        <v>2015/16Expenditure driversHVP DPCR5Allowance</v>
      </c>
    </row>
    <row r="2920" spans="1:22">
      <c r="A2920" t="s">
        <v>137</v>
      </c>
      <c r="C2920" t="s">
        <v>1344</v>
      </c>
      <c r="D2920" t="s">
        <v>110</v>
      </c>
      <c r="E2920" t="s">
        <v>298</v>
      </c>
      <c r="F2920" t="s">
        <v>1289</v>
      </c>
      <c r="G2920">
        <v>0</v>
      </c>
      <c r="H2920">
        <v>0</v>
      </c>
      <c r="I2920">
        <v>25.953473641654352</v>
      </c>
      <c r="J2920">
        <v>0</v>
      </c>
      <c r="K2920">
        <v>0.19909787883576879</v>
      </c>
      <c r="L2920">
        <v>0</v>
      </c>
      <c r="M2920">
        <v>0</v>
      </c>
      <c r="N2920">
        <v>15.063003738089044</v>
      </c>
      <c r="O2920">
        <v>-0.40389466639846028</v>
      </c>
      <c r="P2920">
        <v>0.43930380607208136</v>
      </c>
      <c r="Q2920">
        <v>0</v>
      </c>
      <c r="R2920">
        <v>1.5247964557696716</v>
      </c>
      <c r="S2920">
        <v>0</v>
      </c>
      <c r="T2920">
        <v>7.1433310414807156</v>
      </c>
      <c r="U2920">
        <f t="shared" si="271"/>
        <v>3.5656508496787986</v>
      </c>
      <c r="V2920" t="str">
        <f t="shared" si="269"/>
        <v>2015/16Expenditure driversHVP DPCR5Actual</v>
      </c>
    </row>
    <row r="2921" spans="1:22">
      <c r="A2921" t="s">
        <v>137</v>
      </c>
      <c r="C2921" t="s">
        <v>1344</v>
      </c>
      <c r="D2921" t="s">
        <v>110</v>
      </c>
      <c r="E2921" t="s">
        <v>602</v>
      </c>
      <c r="F2921" t="s">
        <v>1289</v>
      </c>
      <c r="G2921">
        <v>0</v>
      </c>
      <c r="H2921">
        <v>0</v>
      </c>
      <c r="I2921">
        <v>25.953473641654352</v>
      </c>
      <c r="J2921">
        <v>0</v>
      </c>
      <c r="K2921">
        <v>0.19909787883576879</v>
      </c>
      <c r="L2921">
        <v>0</v>
      </c>
      <c r="M2921">
        <v>0</v>
      </c>
      <c r="N2921">
        <v>15.063003738089044</v>
      </c>
      <c r="O2921">
        <v>-0.40389466639846028</v>
      </c>
      <c r="P2921">
        <v>0.43930380607208136</v>
      </c>
      <c r="Q2921">
        <v>0</v>
      </c>
      <c r="R2921">
        <v>1.5247964557696716</v>
      </c>
      <c r="S2921">
        <v>0</v>
      </c>
      <c r="T2921">
        <v>7.1433310414807156</v>
      </c>
      <c r="U2921">
        <f>U2920-U2919</f>
        <v>3.5656508496787986</v>
      </c>
      <c r="V2921" t="str">
        <f t="shared" si="269"/>
        <v>2015/16Expenditure driversHVP DPCR5Difference</v>
      </c>
    </row>
    <row r="2922" spans="1:22">
      <c r="A2922" t="s">
        <v>137</v>
      </c>
      <c r="C2922" t="s">
        <v>1344</v>
      </c>
      <c r="D2922" t="s">
        <v>110</v>
      </c>
      <c r="E2922" t="s">
        <v>1346</v>
      </c>
      <c r="F2922" t="s">
        <v>606</v>
      </c>
      <c r="G2922" s="829" t="e">
        <v>#DIV/0!</v>
      </c>
      <c r="H2922" s="829" t="e">
        <v>#DIV/0!</v>
      </c>
      <c r="I2922" s="829" t="e">
        <v>#DIV/0!</v>
      </c>
      <c r="J2922" s="829" t="e">
        <v>#DIV/0!</v>
      </c>
      <c r="K2922" s="829" t="e">
        <v>#DIV/0!</v>
      </c>
      <c r="L2922" s="829" t="e">
        <v>#DIV/0!</v>
      </c>
      <c r="M2922" s="829" t="e">
        <v>#DIV/0!</v>
      </c>
      <c r="N2922" s="829" t="e">
        <v>#DIV/0!</v>
      </c>
      <c r="O2922" s="829" t="e">
        <v>#DIV/0!</v>
      </c>
      <c r="P2922" s="829" t="e">
        <v>#DIV/0!</v>
      </c>
      <c r="Q2922" s="829" t="e">
        <v>#DIV/0!</v>
      </c>
      <c r="R2922" s="829" t="e">
        <v>#DIV/0!</v>
      </c>
      <c r="S2922" s="829" t="e">
        <v>#DIV/0!</v>
      </c>
      <c r="T2922" s="829" t="e">
        <v>#DIV/0!</v>
      </c>
      <c r="U2922" s="829" t="e">
        <f>U2921/U2919</f>
        <v>#DIV/0!</v>
      </c>
      <c r="V2922" t="str">
        <f t="shared" si="269"/>
        <v>2015/16Expenditure driversHVP DPCR5Difference %</v>
      </c>
    </row>
    <row r="2923" spans="1:22">
      <c r="A2923" t="s">
        <v>138</v>
      </c>
      <c r="C2923" t="s">
        <v>1344</v>
      </c>
      <c r="D2923" t="s">
        <v>110</v>
      </c>
      <c r="E2923" t="s">
        <v>297</v>
      </c>
      <c r="F2923" t="s">
        <v>1289</v>
      </c>
      <c r="G2923">
        <f t="array" ref="G2923:T2926">TRANSPOSE('Ch4 expenditure drivers'!AK874:AN887)</f>
        <v>0</v>
      </c>
      <c r="H2923">
        <v>0</v>
      </c>
      <c r="I2923">
        <v>0</v>
      </c>
      <c r="J2923">
        <v>0</v>
      </c>
      <c r="K2923">
        <v>0</v>
      </c>
      <c r="L2923">
        <v>0</v>
      </c>
      <c r="M2923">
        <v>0</v>
      </c>
      <c r="N2923">
        <v>0</v>
      </c>
      <c r="O2923">
        <v>0</v>
      </c>
      <c r="P2923">
        <v>0</v>
      </c>
      <c r="Q2923">
        <v>0</v>
      </c>
      <c r="R2923">
        <v>0</v>
      </c>
      <c r="S2923">
        <v>0</v>
      </c>
      <c r="T2923">
        <v>0</v>
      </c>
      <c r="U2923">
        <f t="shared" si="271"/>
        <v>0</v>
      </c>
      <c r="V2923" t="str">
        <f t="shared" si="269"/>
        <v>2016/17Expenditure driversHVP DPCR5Allowance</v>
      </c>
    </row>
    <row r="2924" spans="1:22">
      <c r="A2924" t="s">
        <v>138</v>
      </c>
      <c r="C2924" t="s">
        <v>1344</v>
      </c>
      <c r="D2924" t="s">
        <v>110</v>
      </c>
      <c r="E2924" t="s">
        <v>298</v>
      </c>
      <c r="F2924" t="s">
        <v>1289</v>
      </c>
      <c r="G2924">
        <v>0</v>
      </c>
      <c r="H2924">
        <v>0</v>
      </c>
      <c r="I2924">
        <v>1.2634691049686122</v>
      </c>
      <c r="J2924">
        <v>0</v>
      </c>
      <c r="K2924">
        <v>0</v>
      </c>
      <c r="L2924">
        <v>0</v>
      </c>
      <c r="M2924">
        <v>0</v>
      </c>
      <c r="N2924">
        <v>16.220973331018673</v>
      </c>
      <c r="O2924">
        <v>0.30783003182305868</v>
      </c>
      <c r="P2924">
        <v>-6.6532897290818738E-2</v>
      </c>
      <c r="Q2924">
        <v>0</v>
      </c>
      <c r="R2924">
        <v>0.70743599842229221</v>
      </c>
      <c r="S2924">
        <v>0</v>
      </c>
      <c r="T2924">
        <v>3.919390156979834</v>
      </c>
      <c r="U2924">
        <f t="shared" si="271"/>
        <v>1.5966118375658318</v>
      </c>
      <c r="V2924" t="str">
        <f t="shared" si="269"/>
        <v>2016/17Expenditure driversHVP DPCR5Actual</v>
      </c>
    </row>
    <row r="2925" spans="1:22">
      <c r="A2925" t="s">
        <v>138</v>
      </c>
      <c r="C2925" t="s">
        <v>1344</v>
      </c>
      <c r="D2925" t="s">
        <v>110</v>
      </c>
      <c r="E2925" t="s">
        <v>602</v>
      </c>
      <c r="F2925" t="s">
        <v>1289</v>
      </c>
      <c r="G2925">
        <v>0</v>
      </c>
      <c r="H2925">
        <v>0</v>
      </c>
      <c r="I2925">
        <v>1.2634691049686122</v>
      </c>
      <c r="J2925">
        <v>0</v>
      </c>
      <c r="K2925">
        <v>0</v>
      </c>
      <c r="L2925">
        <v>0</v>
      </c>
      <c r="M2925">
        <v>0</v>
      </c>
      <c r="N2925">
        <v>16.220973331018673</v>
      </c>
      <c r="O2925">
        <v>0.30783003182305868</v>
      </c>
      <c r="P2925">
        <v>-6.6532897290818738E-2</v>
      </c>
      <c r="Q2925">
        <v>0</v>
      </c>
      <c r="R2925">
        <v>0.70743599842229221</v>
      </c>
      <c r="S2925">
        <v>0</v>
      </c>
      <c r="T2925">
        <v>3.919390156979834</v>
      </c>
      <c r="U2925">
        <f>U2924-U2923</f>
        <v>1.5966118375658318</v>
      </c>
      <c r="V2925" t="str">
        <f t="shared" si="269"/>
        <v>2016/17Expenditure driversHVP DPCR5Difference</v>
      </c>
    </row>
    <row r="2926" spans="1:22">
      <c r="A2926" t="s">
        <v>138</v>
      </c>
      <c r="C2926" t="s">
        <v>1344</v>
      </c>
      <c r="D2926" t="s">
        <v>110</v>
      </c>
      <c r="E2926" t="s">
        <v>1346</v>
      </c>
      <c r="F2926" t="s">
        <v>606</v>
      </c>
      <c r="G2926" s="829" t="e">
        <v>#DIV/0!</v>
      </c>
      <c r="H2926" s="829" t="e">
        <v>#DIV/0!</v>
      </c>
      <c r="I2926" s="829" t="e">
        <v>#DIV/0!</v>
      </c>
      <c r="J2926" s="829" t="e">
        <v>#DIV/0!</v>
      </c>
      <c r="K2926" s="829" t="e">
        <v>#DIV/0!</v>
      </c>
      <c r="L2926" s="829" t="e">
        <v>#DIV/0!</v>
      </c>
      <c r="M2926" s="829" t="e">
        <v>#DIV/0!</v>
      </c>
      <c r="N2926" s="829" t="e">
        <v>#DIV/0!</v>
      </c>
      <c r="O2926" s="829" t="e">
        <v>#DIV/0!</v>
      </c>
      <c r="P2926" s="829" t="e">
        <v>#DIV/0!</v>
      </c>
      <c r="Q2926" s="829" t="e">
        <v>#DIV/0!</v>
      </c>
      <c r="R2926" s="829" t="e">
        <v>#DIV/0!</v>
      </c>
      <c r="S2926" s="829" t="e">
        <v>#DIV/0!</v>
      </c>
      <c r="T2926" s="829" t="e">
        <v>#DIV/0!</v>
      </c>
      <c r="U2926" s="829" t="e">
        <f>U2925/U2923</f>
        <v>#DIV/0!</v>
      </c>
      <c r="V2926" t="str">
        <f t="shared" si="269"/>
        <v>2016/17Expenditure driversHVP DPCR5Difference %</v>
      </c>
    </row>
    <row r="2927" spans="1:22">
      <c r="A2927" t="s">
        <v>139</v>
      </c>
      <c r="C2927" t="s">
        <v>1344</v>
      </c>
      <c r="D2927" t="s">
        <v>110</v>
      </c>
      <c r="E2927" t="s">
        <v>297</v>
      </c>
      <c r="F2927" t="s">
        <v>1289</v>
      </c>
      <c r="G2927">
        <f t="array" ref="G2927:T2930">TRANSPOSE('Ch4 expenditure drivers'!AP874:AS887)</f>
        <v>0</v>
      </c>
      <c r="H2927">
        <v>0</v>
      </c>
      <c r="I2927">
        <v>0</v>
      </c>
      <c r="J2927">
        <v>0</v>
      </c>
      <c r="K2927">
        <v>0</v>
      </c>
      <c r="L2927">
        <v>0</v>
      </c>
      <c r="M2927">
        <v>0</v>
      </c>
      <c r="N2927">
        <v>0</v>
      </c>
      <c r="O2927">
        <v>0</v>
      </c>
      <c r="P2927">
        <v>0</v>
      </c>
      <c r="Q2927">
        <v>0</v>
      </c>
      <c r="R2927">
        <v>0</v>
      </c>
      <c r="S2927">
        <v>0</v>
      </c>
      <c r="T2927">
        <v>0</v>
      </c>
      <c r="U2927">
        <f t="shared" si="271"/>
        <v>0</v>
      </c>
      <c r="V2927" t="str">
        <f t="shared" si="269"/>
        <v>2017/18Expenditure driversHVP DPCR5Allowance</v>
      </c>
    </row>
    <row r="2928" spans="1:22">
      <c r="A2928" t="s">
        <v>139</v>
      </c>
      <c r="C2928" t="s">
        <v>1344</v>
      </c>
      <c r="D2928" t="s">
        <v>110</v>
      </c>
      <c r="E2928" t="s">
        <v>298</v>
      </c>
      <c r="F2928" t="s">
        <v>1289</v>
      </c>
      <c r="G2928">
        <v>0</v>
      </c>
      <c r="H2928">
        <v>0</v>
      </c>
      <c r="I2928">
        <v>3.7066127252427483</v>
      </c>
      <c r="J2928">
        <v>0</v>
      </c>
      <c r="K2928">
        <v>0</v>
      </c>
      <c r="L2928">
        <v>0</v>
      </c>
      <c r="M2928">
        <v>0</v>
      </c>
      <c r="N2928">
        <v>9.5490464653000942</v>
      </c>
      <c r="O2928">
        <v>0.18724545196456174</v>
      </c>
      <c r="P2928">
        <v>-0.43496503010953413</v>
      </c>
      <c r="Q2928">
        <v>0</v>
      </c>
      <c r="R2928">
        <v>-0.1333857463847396</v>
      </c>
      <c r="S2928">
        <v>0</v>
      </c>
      <c r="T2928">
        <v>9.3472086861058956E-2</v>
      </c>
      <c r="U2928">
        <f t="shared" si="271"/>
        <v>0.92628756806244217</v>
      </c>
      <c r="V2928" t="str">
        <f t="shared" si="269"/>
        <v>2017/18Expenditure driversHVP DPCR5Actual</v>
      </c>
    </row>
    <row r="2929" spans="1:22">
      <c r="A2929" t="s">
        <v>139</v>
      </c>
      <c r="C2929" t="s">
        <v>1344</v>
      </c>
      <c r="D2929" t="s">
        <v>110</v>
      </c>
      <c r="E2929" t="s">
        <v>602</v>
      </c>
      <c r="F2929" t="s">
        <v>1289</v>
      </c>
      <c r="G2929">
        <v>0</v>
      </c>
      <c r="H2929">
        <v>0</v>
      </c>
      <c r="I2929">
        <v>3.7066127252427483</v>
      </c>
      <c r="J2929">
        <v>0</v>
      </c>
      <c r="K2929">
        <v>0</v>
      </c>
      <c r="L2929">
        <v>0</v>
      </c>
      <c r="M2929">
        <v>0</v>
      </c>
      <c r="N2929">
        <v>9.5490464653000942</v>
      </c>
      <c r="O2929">
        <v>0.18724545196456174</v>
      </c>
      <c r="P2929">
        <v>-0.43496503010953413</v>
      </c>
      <c r="Q2929">
        <v>0</v>
      </c>
      <c r="R2929">
        <v>-0.1333857463847396</v>
      </c>
      <c r="S2929">
        <v>0</v>
      </c>
      <c r="T2929">
        <v>9.3472086861058956E-2</v>
      </c>
      <c r="U2929">
        <f>U2928-U2927</f>
        <v>0.92628756806244217</v>
      </c>
      <c r="V2929" t="str">
        <f t="shared" si="269"/>
        <v>2017/18Expenditure driversHVP DPCR5Difference</v>
      </c>
    </row>
    <row r="2930" spans="1:22">
      <c r="A2930" t="s">
        <v>139</v>
      </c>
      <c r="C2930" t="s">
        <v>1344</v>
      </c>
      <c r="D2930" t="s">
        <v>110</v>
      </c>
      <c r="E2930" t="s">
        <v>1346</v>
      </c>
      <c r="F2930" t="s">
        <v>606</v>
      </c>
      <c r="G2930" s="829" t="e">
        <v>#DIV/0!</v>
      </c>
      <c r="H2930" s="829" t="e">
        <v>#DIV/0!</v>
      </c>
      <c r="I2930" s="829" t="e">
        <v>#DIV/0!</v>
      </c>
      <c r="J2930" s="829" t="e">
        <v>#DIV/0!</v>
      </c>
      <c r="K2930" s="829" t="e">
        <v>#DIV/0!</v>
      </c>
      <c r="L2930" s="829" t="e">
        <v>#DIV/0!</v>
      </c>
      <c r="M2930" s="829" t="e">
        <v>#DIV/0!</v>
      </c>
      <c r="N2930" s="829" t="e">
        <v>#DIV/0!</v>
      </c>
      <c r="O2930" s="829" t="e">
        <v>#DIV/0!</v>
      </c>
      <c r="P2930" s="829" t="e">
        <v>#DIV/0!</v>
      </c>
      <c r="Q2930" s="829" t="e">
        <v>#DIV/0!</v>
      </c>
      <c r="R2930" s="829" t="e">
        <v>#DIV/0!</v>
      </c>
      <c r="S2930" s="829" t="e">
        <v>#DIV/0!</v>
      </c>
      <c r="T2930" s="829" t="e">
        <v>#DIV/0!</v>
      </c>
      <c r="U2930" s="829" t="e">
        <f>U2929/U2927</f>
        <v>#DIV/0!</v>
      </c>
      <c r="V2930" t="str">
        <f t="shared" si="269"/>
        <v>2017/18Expenditure driversHVP DPCR5Difference %</v>
      </c>
    </row>
    <row r="2931" spans="1:22">
      <c r="A2931" t="s">
        <v>140</v>
      </c>
      <c r="C2931" t="s">
        <v>1344</v>
      </c>
      <c r="D2931" t="s">
        <v>110</v>
      </c>
      <c r="E2931" t="s">
        <v>297</v>
      </c>
      <c r="F2931" t="s">
        <v>1289</v>
      </c>
      <c r="G2931">
        <f t="array" ref="G2931:T2934">TRANSPOSE('Ch4 expenditure drivers'!AU874:AX887)</f>
        <v>0</v>
      </c>
      <c r="H2931">
        <v>0</v>
      </c>
      <c r="I2931">
        <v>0</v>
      </c>
      <c r="J2931">
        <v>0</v>
      </c>
      <c r="K2931">
        <v>0</v>
      </c>
      <c r="L2931">
        <v>0</v>
      </c>
      <c r="M2931">
        <v>0</v>
      </c>
      <c r="N2931">
        <v>0</v>
      </c>
      <c r="O2931">
        <v>0</v>
      </c>
      <c r="P2931">
        <v>0</v>
      </c>
      <c r="Q2931">
        <v>0</v>
      </c>
      <c r="R2931">
        <v>0</v>
      </c>
      <c r="S2931">
        <v>0</v>
      </c>
      <c r="T2931">
        <v>0</v>
      </c>
      <c r="U2931">
        <f>AVERAGE(G2931:T2931)</f>
        <v>0</v>
      </c>
      <c r="V2931" t="str">
        <f t="shared" si="269"/>
        <v>2018/19Expenditure driversHVP DPCR5Allowance</v>
      </c>
    </row>
    <row r="2932" spans="1:22">
      <c r="A2932" t="s">
        <v>140</v>
      </c>
      <c r="C2932" t="s">
        <v>1344</v>
      </c>
      <c r="D2932" t="s">
        <v>110</v>
      </c>
      <c r="E2932" t="s">
        <v>298</v>
      </c>
      <c r="F2932" t="s">
        <v>1289</v>
      </c>
      <c r="G2932">
        <v>0</v>
      </c>
      <c r="H2932">
        <v>0</v>
      </c>
      <c r="I2932">
        <v>0.48841221284907549</v>
      </c>
      <c r="J2932">
        <v>0</v>
      </c>
      <c r="K2932">
        <v>0</v>
      </c>
      <c r="L2932">
        <v>0</v>
      </c>
      <c r="M2932">
        <v>0</v>
      </c>
      <c r="N2932">
        <v>8.6046736015300418</v>
      </c>
      <c r="O2932">
        <v>-0.87001512515559343</v>
      </c>
      <c r="P2932">
        <v>-9.4324746703535687E-5</v>
      </c>
      <c r="Q2932">
        <v>0</v>
      </c>
      <c r="R2932">
        <v>0</v>
      </c>
      <c r="S2932">
        <v>0</v>
      </c>
      <c r="T2932">
        <v>0</v>
      </c>
      <c r="U2932">
        <f>AVERAGE(G2932:T2932)</f>
        <v>0.58735545460548721</v>
      </c>
      <c r="V2932" t="str">
        <f t="shared" si="269"/>
        <v>2018/19Expenditure driversHVP DPCR5Actual</v>
      </c>
    </row>
    <row r="2933" spans="1:22">
      <c r="A2933" t="s">
        <v>140</v>
      </c>
      <c r="C2933" t="s">
        <v>1344</v>
      </c>
      <c r="D2933" t="s">
        <v>110</v>
      </c>
      <c r="E2933" t="s">
        <v>602</v>
      </c>
      <c r="F2933" t="s">
        <v>1289</v>
      </c>
      <c r="G2933">
        <v>0</v>
      </c>
      <c r="H2933">
        <v>0</v>
      </c>
      <c r="I2933">
        <v>0.48841221284907549</v>
      </c>
      <c r="J2933">
        <v>0</v>
      </c>
      <c r="K2933">
        <v>0</v>
      </c>
      <c r="L2933">
        <v>0</v>
      </c>
      <c r="M2933">
        <v>0</v>
      </c>
      <c r="N2933">
        <v>8.6046736015300418</v>
      </c>
      <c r="O2933">
        <v>-0.87001512515559343</v>
      </c>
      <c r="P2933">
        <v>-9.4324746703535687E-5</v>
      </c>
      <c r="Q2933">
        <v>0</v>
      </c>
      <c r="R2933">
        <v>0</v>
      </c>
      <c r="S2933">
        <v>0</v>
      </c>
      <c r="T2933">
        <v>0</v>
      </c>
      <c r="U2933">
        <f>U2932-U2931</f>
        <v>0.58735545460548721</v>
      </c>
      <c r="V2933" t="str">
        <f t="shared" si="269"/>
        <v>2018/19Expenditure driversHVP DPCR5Difference</v>
      </c>
    </row>
    <row r="2934" spans="1:22">
      <c r="A2934" t="s">
        <v>140</v>
      </c>
      <c r="C2934" t="s">
        <v>1344</v>
      </c>
      <c r="D2934" t="s">
        <v>110</v>
      </c>
      <c r="E2934" t="s">
        <v>1346</v>
      </c>
      <c r="F2934" t="s">
        <v>606</v>
      </c>
      <c r="G2934" s="829" t="e">
        <v>#DIV/0!</v>
      </c>
      <c r="H2934" s="829" t="e">
        <v>#DIV/0!</v>
      </c>
      <c r="I2934" s="829" t="e">
        <v>#DIV/0!</v>
      </c>
      <c r="J2934" s="829" t="e">
        <v>#DIV/0!</v>
      </c>
      <c r="K2934" s="829" t="e">
        <v>#DIV/0!</v>
      </c>
      <c r="L2934" s="829" t="e">
        <v>#DIV/0!</v>
      </c>
      <c r="M2934" s="829" t="e">
        <v>#DIV/0!</v>
      </c>
      <c r="N2934" s="829" t="e">
        <v>#DIV/0!</v>
      </c>
      <c r="O2934" s="829" t="e">
        <v>#DIV/0!</v>
      </c>
      <c r="P2934" s="829" t="e">
        <v>#DIV/0!</v>
      </c>
      <c r="Q2934" s="829" t="e">
        <v>#DIV/0!</v>
      </c>
      <c r="R2934" s="829" t="e">
        <v>#DIV/0!</v>
      </c>
      <c r="S2934" s="829" t="e">
        <v>#DIV/0!</v>
      </c>
      <c r="T2934" s="829" t="e">
        <v>#DIV/0!</v>
      </c>
      <c r="U2934" s="829" t="e">
        <f>U2933/U2931</f>
        <v>#DIV/0!</v>
      </c>
      <c r="V2934" t="str">
        <f t="shared" si="269"/>
        <v>2018/19Expenditure driversHVP DPCR5Difference %</v>
      </c>
    </row>
    <row r="2935" spans="1:22">
      <c r="A2935" t="s">
        <v>141</v>
      </c>
      <c r="C2935" t="s">
        <v>1344</v>
      </c>
      <c r="D2935" t="s">
        <v>110</v>
      </c>
      <c r="E2935" t="s">
        <v>297</v>
      </c>
      <c r="F2935" t="s">
        <v>1289</v>
      </c>
      <c r="G2935">
        <f t="array" ref="G2935:T2938">TRANSPOSE('Ch4 expenditure drivers'!AZ874:BC887)</f>
        <v>0</v>
      </c>
      <c r="H2935">
        <v>0</v>
      </c>
      <c r="I2935">
        <v>0</v>
      </c>
      <c r="J2935">
        <v>0</v>
      </c>
      <c r="K2935">
        <v>0</v>
      </c>
      <c r="L2935">
        <v>0</v>
      </c>
      <c r="M2935">
        <v>0</v>
      </c>
      <c r="N2935">
        <v>0</v>
      </c>
      <c r="O2935">
        <v>0</v>
      </c>
      <c r="P2935">
        <v>0</v>
      </c>
      <c r="Q2935">
        <v>0</v>
      </c>
      <c r="R2935">
        <v>0</v>
      </c>
      <c r="S2935">
        <v>0</v>
      </c>
      <c r="T2935">
        <v>0</v>
      </c>
      <c r="U2935">
        <f>AVERAGE(G2935:T2935)</f>
        <v>0</v>
      </c>
      <c r="V2935" t="str">
        <f t="shared" si="269"/>
        <v>2019/20Expenditure driversHVP DPCR5Allowance</v>
      </c>
    </row>
    <row r="2936" spans="1:22">
      <c r="A2936" t="s">
        <v>141</v>
      </c>
      <c r="C2936" t="s">
        <v>1344</v>
      </c>
      <c r="D2936" t="s">
        <v>110</v>
      </c>
      <c r="E2936" t="s">
        <v>298</v>
      </c>
      <c r="F2936" t="s">
        <v>1289</v>
      </c>
      <c r="G2936">
        <v>0</v>
      </c>
      <c r="H2936">
        <v>0</v>
      </c>
      <c r="I2936">
        <v>3.1365087105920779E-2</v>
      </c>
      <c r="J2936">
        <v>0</v>
      </c>
      <c r="K2936">
        <v>0</v>
      </c>
      <c r="L2936">
        <v>0</v>
      </c>
      <c r="M2936">
        <v>0</v>
      </c>
      <c r="N2936">
        <v>5.7547686163232239</v>
      </c>
      <c r="O2936">
        <v>-0.15107483095895002</v>
      </c>
      <c r="P2936">
        <v>0</v>
      </c>
      <c r="Q2936">
        <v>0</v>
      </c>
      <c r="R2936">
        <v>0</v>
      </c>
      <c r="S2936">
        <v>0</v>
      </c>
      <c r="T2936">
        <v>0</v>
      </c>
      <c r="U2936">
        <f>AVERAGE(G2936:T2936)</f>
        <v>0.40250420517644248</v>
      </c>
      <c r="V2936" t="str">
        <f t="shared" si="269"/>
        <v>2019/20Expenditure driversHVP DPCR5Actual</v>
      </c>
    </row>
    <row r="2937" spans="1:22">
      <c r="A2937" t="s">
        <v>141</v>
      </c>
      <c r="C2937" t="s">
        <v>1344</v>
      </c>
      <c r="D2937" t="s">
        <v>110</v>
      </c>
      <c r="E2937" t="s">
        <v>602</v>
      </c>
      <c r="F2937" t="s">
        <v>1289</v>
      </c>
      <c r="G2937">
        <v>0</v>
      </c>
      <c r="H2937">
        <v>0</v>
      </c>
      <c r="I2937">
        <v>3.1365087105920779E-2</v>
      </c>
      <c r="J2937">
        <v>0</v>
      </c>
      <c r="K2937">
        <v>0</v>
      </c>
      <c r="L2937">
        <v>0</v>
      </c>
      <c r="M2937">
        <v>0</v>
      </c>
      <c r="N2937">
        <v>5.7547686163232239</v>
      </c>
      <c r="O2937">
        <v>-0.15107483095895002</v>
      </c>
      <c r="P2937">
        <v>0</v>
      </c>
      <c r="Q2937">
        <v>0</v>
      </c>
      <c r="R2937">
        <v>0</v>
      </c>
      <c r="S2937">
        <v>0</v>
      </c>
      <c r="T2937">
        <v>0</v>
      </c>
      <c r="U2937">
        <f>U2936-U2935</f>
        <v>0.40250420517644248</v>
      </c>
      <c r="V2937" t="str">
        <f t="shared" ref="V2937:V3009" si="273">CONCATENATE(A2937,B2937,C2937,D2937,E2937)</f>
        <v>2019/20Expenditure driversHVP DPCR5Difference</v>
      </c>
    </row>
    <row r="2938" spans="1:22">
      <c r="A2938" t="s">
        <v>141</v>
      </c>
      <c r="C2938" t="s">
        <v>1344</v>
      </c>
      <c r="D2938" t="s">
        <v>110</v>
      </c>
      <c r="E2938" t="s">
        <v>1346</v>
      </c>
      <c r="F2938" t="s">
        <v>606</v>
      </c>
      <c r="G2938" s="829" t="e">
        <v>#DIV/0!</v>
      </c>
      <c r="H2938" s="829" t="e">
        <v>#DIV/0!</v>
      </c>
      <c r="I2938" s="829" t="e">
        <v>#DIV/0!</v>
      </c>
      <c r="J2938" s="829" t="e">
        <v>#DIV/0!</v>
      </c>
      <c r="K2938" s="829" t="e">
        <v>#DIV/0!</v>
      </c>
      <c r="L2938" s="829" t="e">
        <v>#DIV/0!</v>
      </c>
      <c r="M2938" s="829" t="e">
        <v>#DIV/0!</v>
      </c>
      <c r="N2938" s="829" t="e">
        <v>#DIV/0!</v>
      </c>
      <c r="O2938" s="829" t="e">
        <v>#DIV/0!</v>
      </c>
      <c r="P2938" s="829" t="e">
        <v>#DIV/0!</v>
      </c>
      <c r="Q2938" s="829" t="e">
        <v>#DIV/0!</v>
      </c>
      <c r="R2938" s="829" t="e">
        <v>#DIV/0!</v>
      </c>
      <c r="S2938" s="829" t="e">
        <v>#DIV/0!</v>
      </c>
      <c r="T2938" s="829" t="e">
        <v>#DIV/0!</v>
      </c>
      <c r="U2938" s="829" t="e">
        <f>U2937/U2935</f>
        <v>#DIV/0!</v>
      </c>
      <c r="V2938" t="str">
        <f t="shared" si="273"/>
        <v>2019/20Expenditure driversHVP DPCR5Difference %</v>
      </c>
    </row>
    <row r="2939" spans="1:22">
      <c r="A2939" t="s">
        <v>126</v>
      </c>
      <c r="C2939" t="s">
        <v>1344</v>
      </c>
      <c r="D2939" t="s">
        <v>110</v>
      </c>
      <c r="E2939" t="s">
        <v>297</v>
      </c>
      <c r="F2939" t="s">
        <v>1289</v>
      </c>
      <c r="G2939" cm="1">
        <f t="array" ref="G2939:T2942">TRANSPOSE('Ch4 expenditure drivers'!BE874:BH887)</f>
        <v>0</v>
      </c>
      <c r="H2939">
        <v>0</v>
      </c>
      <c r="I2939">
        <v>0</v>
      </c>
      <c r="J2939">
        <v>0</v>
      </c>
      <c r="K2939">
        <v>0</v>
      </c>
      <c r="L2939">
        <v>0</v>
      </c>
      <c r="M2939">
        <v>0</v>
      </c>
      <c r="N2939">
        <v>0</v>
      </c>
      <c r="O2939">
        <v>0</v>
      </c>
      <c r="P2939">
        <v>0</v>
      </c>
      <c r="Q2939">
        <v>0</v>
      </c>
      <c r="R2939">
        <v>0</v>
      </c>
      <c r="S2939">
        <v>0</v>
      </c>
      <c r="T2939">
        <v>0</v>
      </c>
      <c r="U2939">
        <f>AVERAGE(G2939:T2939)</f>
        <v>0</v>
      </c>
      <c r="V2939" t="str">
        <f t="shared" si="273"/>
        <v>2020/21Expenditure driversHVP DPCR5Allowance</v>
      </c>
    </row>
    <row r="2940" spans="1:22">
      <c r="A2940" t="s">
        <v>126</v>
      </c>
      <c r="C2940" t="s">
        <v>1344</v>
      </c>
      <c r="D2940" t="s">
        <v>110</v>
      </c>
      <c r="E2940" t="s">
        <v>298</v>
      </c>
      <c r="F2940" t="s">
        <v>1289</v>
      </c>
      <c r="G2940">
        <v>0</v>
      </c>
      <c r="H2940">
        <v>0</v>
      </c>
      <c r="I2940">
        <v>6.7638138839502746E-3</v>
      </c>
      <c r="J2940">
        <v>0</v>
      </c>
      <c r="K2940">
        <v>0</v>
      </c>
      <c r="L2940">
        <v>0</v>
      </c>
      <c r="M2940">
        <v>0</v>
      </c>
      <c r="N2940">
        <v>4.9610350892844295</v>
      </c>
      <c r="O2940">
        <v>3.2537326223956067E-2</v>
      </c>
      <c r="P2940">
        <v>0</v>
      </c>
      <c r="Q2940">
        <v>0</v>
      </c>
      <c r="R2940">
        <v>0</v>
      </c>
      <c r="S2940">
        <v>0</v>
      </c>
      <c r="T2940">
        <v>0</v>
      </c>
      <c r="U2940">
        <f>AVERAGE(G2940:T2940)</f>
        <v>0.35716687352802395</v>
      </c>
      <c r="V2940" t="str">
        <f t="shared" si="273"/>
        <v>2020/21Expenditure driversHVP DPCR5Actual</v>
      </c>
    </row>
    <row r="2941" spans="1:22">
      <c r="A2941" t="s">
        <v>126</v>
      </c>
      <c r="C2941" t="s">
        <v>1344</v>
      </c>
      <c r="D2941" t="s">
        <v>110</v>
      </c>
      <c r="E2941" t="s">
        <v>602</v>
      </c>
      <c r="F2941" t="s">
        <v>1289</v>
      </c>
      <c r="G2941">
        <v>0</v>
      </c>
      <c r="H2941">
        <v>0</v>
      </c>
      <c r="I2941">
        <v>6.7638138839502746E-3</v>
      </c>
      <c r="J2941">
        <v>0</v>
      </c>
      <c r="K2941">
        <v>0</v>
      </c>
      <c r="L2941">
        <v>0</v>
      </c>
      <c r="M2941">
        <v>0</v>
      </c>
      <c r="N2941">
        <v>4.9610350892844295</v>
      </c>
      <c r="O2941">
        <v>3.2537326223956067E-2</v>
      </c>
      <c r="P2941">
        <v>0</v>
      </c>
      <c r="Q2941">
        <v>0</v>
      </c>
      <c r="R2941">
        <v>0</v>
      </c>
      <c r="S2941">
        <v>0</v>
      </c>
      <c r="T2941">
        <v>0</v>
      </c>
      <c r="U2941">
        <f>U2940-U2939</f>
        <v>0.35716687352802395</v>
      </c>
      <c r="V2941" t="str">
        <f t="shared" si="273"/>
        <v>2020/21Expenditure driversHVP DPCR5Difference</v>
      </c>
    </row>
    <row r="2942" spans="1:22">
      <c r="A2942" t="s">
        <v>126</v>
      </c>
      <c r="C2942" t="s">
        <v>1344</v>
      </c>
      <c r="D2942" t="s">
        <v>110</v>
      </c>
      <c r="E2942" t="s">
        <v>1346</v>
      </c>
      <c r="F2942" t="s">
        <v>606</v>
      </c>
      <c r="G2942" s="829" t="e">
        <v>#DIV/0!</v>
      </c>
      <c r="H2942" s="829" t="e">
        <v>#DIV/0!</v>
      </c>
      <c r="I2942" s="829" t="e">
        <v>#DIV/0!</v>
      </c>
      <c r="J2942" s="829" t="e">
        <v>#DIV/0!</v>
      </c>
      <c r="K2942" s="829" t="e">
        <v>#DIV/0!</v>
      </c>
      <c r="L2942" s="829" t="e">
        <v>#DIV/0!</v>
      </c>
      <c r="M2942" s="829" t="e">
        <v>#DIV/0!</v>
      </c>
      <c r="N2942" s="829" t="e">
        <v>#DIV/0!</v>
      </c>
      <c r="O2942" s="829" t="e">
        <v>#DIV/0!</v>
      </c>
      <c r="P2942" s="829" t="e">
        <v>#DIV/0!</v>
      </c>
      <c r="Q2942" s="829" t="e">
        <v>#DIV/0!</v>
      </c>
      <c r="R2942" s="829" t="e">
        <v>#DIV/0!</v>
      </c>
      <c r="S2942" s="829" t="e">
        <v>#DIV/0!</v>
      </c>
      <c r="T2942" s="829" t="e">
        <v>#DIV/0!</v>
      </c>
      <c r="U2942" s="829" t="e">
        <f>U2941/U2939</f>
        <v>#DIV/0!</v>
      </c>
      <c r="V2942" t="str">
        <f t="shared" si="273"/>
        <v>2020/21Expenditure driversHVP DPCR5Difference %</v>
      </c>
    </row>
    <row r="2943" spans="1:22">
      <c r="A2943" t="s">
        <v>142</v>
      </c>
      <c r="C2943" t="s">
        <v>1344</v>
      </c>
      <c r="D2943" t="s">
        <v>110</v>
      </c>
      <c r="E2943" t="s">
        <v>297</v>
      </c>
      <c r="F2943" t="s">
        <v>1289</v>
      </c>
      <c r="G2943" s="229" cm="1">
        <f t="array" ref="G2943:T2946">TRANSPOSE('Ch4 expenditure drivers'!BJ874:BM887)</f>
        <v>0</v>
      </c>
      <c r="H2943" s="229">
        <v>0</v>
      </c>
      <c r="I2943" s="229">
        <v>0</v>
      </c>
      <c r="J2943" s="229">
        <v>0</v>
      </c>
      <c r="K2943" s="229">
        <v>0</v>
      </c>
      <c r="L2943" s="229">
        <v>0</v>
      </c>
      <c r="M2943" s="229">
        <v>0</v>
      </c>
      <c r="N2943" s="229">
        <v>0</v>
      </c>
      <c r="O2943" s="229">
        <v>0</v>
      </c>
      <c r="P2943" s="229">
        <v>0</v>
      </c>
      <c r="Q2943" s="229">
        <v>0</v>
      </c>
      <c r="R2943" s="229">
        <v>0</v>
      </c>
      <c r="S2943" s="229">
        <v>0</v>
      </c>
      <c r="T2943" s="229">
        <v>0</v>
      </c>
      <c r="U2943">
        <f>AVERAGE(G2943:T2943)</f>
        <v>0</v>
      </c>
      <c r="V2943" t="str">
        <f t="shared" ref="V2943:V2946" si="274">CONCATENATE(A2943,B2943,C2943,D2943,E2943)</f>
        <v>2021/22Expenditure driversHVP DPCR5Allowance</v>
      </c>
    </row>
    <row r="2944" spans="1:22">
      <c r="A2944" t="s">
        <v>142</v>
      </c>
      <c r="C2944" t="s">
        <v>1344</v>
      </c>
      <c r="D2944" t="s">
        <v>110</v>
      </c>
      <c r="E2944" t="s">
        <v>298</v>
      </c>
      <c r="F2944" t="s">
        <v>1289</v>
      </c>
      <c r="G2944" s="229">
        <v>0</v>
      </c>
      <c r="H2944" s="229">
        <v>0</v>
      </c>
      <c r="I2944" s="229">
        <v>0</v>
      </c>
      <c r="J2944" s="229">
        <v>0</v>
      </c>
      <c r="K2944" s="229">
        <v>0</v>
      </c>
      <c r="L2944" s="229">
        <v>0</v>
      </c>
      <c r="M2944" s="229">
        <v>0</v>
      </c>
      <c r="N2944" s="229">
        <v>1.619978568385082</v>
      </c>
      <c r="O2944" s="229">
        <v>2.9528162591935529E-2</v>
      </c>
      <c r="P2944" s="229">
        <v>0</v>
      </c>
      <c r="Q2944" s="229">
        <v>0</v>
      </c>
      <c r="R2944" s="229">
        <v>0</v>
      </c>
      <c r="S2944" s="229">
        <v>0</v>
      </c>
      <c r="T2944" s="229">
        <v>0</v>
      </c>
      <c r="U2944">
        <f>AVERAGE(G2944:T2944)</f>
        <v>0.11782190935550126</v>
      </c>
      <c r="V2944" t="str">
        <f t="shared" si="274"/>
        <v>2021/22Expenditure driversHVP DPCR5Actual</v>
      </c>
    </row>
    <row r="2945" spans="1:22">
      <c r="A2945" t="s">
        <v>142</v>
      </c>
      <c r="C2945" t="s">
        <v>1344</v>
      </c>
      <c r="D2945" t="s">
        <v>110</v>
      </c>
      <c r="E2945" t="s">
        <v>602</v>
      </c>
      <c r="F2945" t="s">
        <v>1289</v>
      </c>
      <c r="G2945" s="229">
        <v>0</v>
      </c>
      <c r="H2945" s="229">
        <v>0</v>
      </c>
      <c r="I2945" s="229">
        <v>0</v>
      </c>
      <c r="J2945" s="229">
        <v>0</v>
      </c>
      <c r="K2945" s="229">
        <v>0</v>
      </c>
      <c r="L2945" s="229">
        <v>0</v>
      </c>
      <c r="M2945" s="229">
        <v>0</v>
      </c>
      <c r="N2945" s="229">
        <v>1.619978568385082</v>
      </c>
      <c r="O2945" s="229">
        <v>2.9528162591935529E-2</v>
      </c>
      <c r="P2945" s="229">
        <v>0</v>
      </c>
      <c r="Q2945" s="229">
        <v>0</v>
      </c>
      <c r="R2945" s="229">
        <v>0</v>
      </c>
      <c r="S2945" s="229">
        <v>0</v>
      </c>
      <c r="T2945" s="229">
        <v>0</v>
      </c>
      <c r="U2945">
        <f>U2944-U2943</f>
        <v>0.11782190935550126</v>
      </c>
      <c r="V2945" t="str">
        <f t="shared" si="274"/>
        <v>2021/22Expenditure driversHVP DPCR5Difference</v>
      </c>
    </row>
    <row r="2946" spans="1:22">
      <c r="A2946" t="s">
        <v>142</v>
      </c>
      <c r="C2946" t="s">
        <v>1344</v>
      </c>
      <c r="D2946" t="s">
        <v>110</v>
      </c>
      <c r="E2946" t="s">
        <v>1346</v>
      </c>
      <c r="F2946" t="s">
        <v>606</v>
      </c>
      <c r="G2946" s="829" t="e">
        <v>#DIV/0!</v>
      </c>
      <c r="H2946" s="829" t="e">
        <v>#DIV/0!</v>
      </c>
      <c r="I2946" s="829" t="e">
        <v>#DIV/0!</v>
      </c>
      <c r="J2946" s="829" t="e">
        <v>#DIV/0!</v>
      </c>
      <c r="K2946" s="829" t="e">
        <v>#DIV/0!</v>
      </c>
      <c r="L2946" s="829" t="e">
        <v>#DIV/0!</v>
      </c>
      <c r="M2946" s="829" t="e">
        <v>#DIV/0!</v>
      </c>
      <c r="N2946" s="829" t="e">
        <v>#DIV/0!</v>
      </c>
      <c r="O2946" s="829" t="e">
        <v>#DIV/0!</v>
      </c>
      <c r="P2946" s="829" t="e">
        <v>#DIV/0!</v>
      </c>
      <c r="Q2946" s="829" t="e">
        <v>#DIV/0!</v>
      </c>
      <c r="R2946" s="829" t="e">
        <v>#DIV/0!</v>
      </c>
      <c r="S2946" s="829" t="e">
        <v>#DIV/0!</v>
      </c>
      <c r="T2946" s="829" t="e">
        <v>#DIV/0!</v>
      </c>
      <c r="U2946" s="829" t="e">
        <f>U2945/U2943</f>
        <v>#DIV/0!</v>
      </c>
      <c r="V2946" t="str">
        <f t="shared" si="274"/>
        <v>2021/22Expenditure driversHVP DPCR5Difference %</v>
      </c>
    </row>
    <row r="2947" spans="1:22">
      <c r="A2947" t="s">
        <v>137</v>
      </c>
      <c r="C2947" t="s">
        <v>1344</v>
      </c>
      <c r="D2947" t="s">
        <v>111</v>
      </c>
      <c r="E2947" t="s">
        <v>1347</v>
      </c>
      <c r="F2947" t="s">
        <v>1289</v>
      </c>
      <c r="G2947">
        <f t="array" ref="G2947:T2954">TRANSPOSE('Ch4 expenditure drivers'!E894:L907)</f>
        <v>303.18911369629933</v>
      </c>
      <c r="H2947">
        <v>242.94242778283504</v>
      </c>
      <c r="I2947">
        <v>315.16137625787155</v>
      </c>
      <c r="J2947">
        <v>331.05059075768975</v>
      </c>
      <c r="K2947">
        <v>362.60575026086485</v>
      </c>
      <c r="L2947">
        <v>187.03799080948903</v>
      </c>
      <c r="M2947">
        <v>273.52672512230441</v>
      </c>
      <c r="N2947">
        <v>338.28754201436396</v>
      </c>
      <c r="O2947">
        <v>298.07710173001834</v>
      </c>
      <c r="P2947">
        <v>443.94367677747078</v>
      </c>
      <c r="Q2947">
        <v>256.17546907986673</v>
      </c>
      <c r="R2947">
        <v>328.2432860939324</v>
      </c>
      <c r="S2947">
        <v>185.19806680404105</v>
      </c>
      <c r="T2947">
        <v>394.86819003646633</v>
      </c>
      <c r="U2947">
        <f>AVERAGE(G2947:T2947)</f>
        <v>304.30766480167955</v>
      </c>
      <c r="V2947" t="str">
        <f t="shared" si="273"/>
        <v>2015/16Expenditure driversTotal of the disaggregated areasBPDT</v>
      </c>
    </row>
    <row r="2948" spans="1:22">
      <c r="A2948" t="s">
        <v>138</v>
      </c>
      <c r="C2948" t="s">
        <v>1344</v>
      </c>
      <c r="D2948" t="s">
        <v>111</v>
      </c>
      <c r="E2948" t="s">
        <v>1347</v>
      </c>
      <c r="F2948" t="s">
        <v>1289</v>
      </c>
      <c r="G2948">
        <v>289.64614932396722</v>
      </c>
      <c r="H2948">
        <v>237.71525092968341</v>
      </c>
      <c r="I2948">
        <v>299.55545005242482</v>
      </c>
      <c r="J2948">
        <v>331.49239253619163</v>
      </c>
      <c r="K2948">
        <v>354.43543520062462</v>
      </c>
      <c r="L2948">
        <v>186.9734810611715</v>
      </c>
      <c r="M2948">
        <v>273.61213304714221</v>
      </c>
      <c r="N2948">
        <v>335.68768658728976</v>
      </c>
      <c r="O2948">
        <v>328.75440374306129</v>
      </c>
      <c r="P2948">
        <v>462.64582305071195</v>
      </c>
      <c r="Q2948">
        <v>254.55493015950907</v>
      </c>
      <c r="R2948">
        <v>346.3625050532857</v>
      </c>
      <c r="S2948">
        <v>186.3371555022772</v>
      </c>
      <c r="T2948">
        <v>408.97912024879179</v>
      </c>
      <c r="U2948">
        <f t="shared" ref="U2948:U2979" si="275">AVERAGE(G2948:T2948)</f>
        <v>306.91085117829516</v>
      </c>
      <c r="V2948" t="str">
        <f t="shared" si="273"/>
        <v>2016/17Expenditure driversTotal of the disaggregated areasBPDT</v>
      </c>
    </row>
    <row r="2949" spans="1:22">
      <c r="A2949" t="s">
        <v>139</v>
      </c>
      <c r="C2949" t="s">
        <v>1344</v>
      </c>
      <c r="D2949" t="s">
        <v>111</v>
      </c>
      <c r="E2949" t="s">
        <v>1347</v>
      </c>
      <c r="F2949" t="s">
        <v>1289</v>
      </c>
      <c r="G2949">
        <v>290.88407449889979</v>
      </c>
      <c r="H2949">
        <v>223.49308334451885</v>
      </c>
      <c r="I2949">
        <v>316.13156068692581</v>
      </c>
      <c r="J2949">
        <v>321.95882596040809</v>
      </c>
      <c r="K2949">
        <v>315.57136498180546</v>
      </c>
      <c r="L2949">
        <v>178.08147704723294</v>
      </c>
      <c r="M2949">
        <v>267.73392851853879</v>
      </c>
      <c r="N2949">
        <v>321.95852163678018</v>
      </c>
      <c r="O2949">
        <v>313.8267404774694</v>
      </c>
      <c r="P2949">
        <v>446.34948565366051</v>
      </c>
      <c r="Q2949">
        <v>262.22916135570102</v>
      </c>
      <c r="R2949">
        <v>319.78221664381522</v>
      </c>
      <c r="S2949">
        <v>188.16430421111627</v>
      </c>
      <c r="T2949">
        <v>402.5588174575467</v>
      </c>
      <c r="U2949">
        <f t="shared" si="275"/>
        <v>297.76596874817278</v>
      </c>
      <c r="V2949" t="str">
        <f t="shared" si="273"/>
        <v>2017/18Expenditure driversTotal of the disaggregated areasBPDT</v>
      </c>
    </row>
    <row r="2950" spans="1:22">
      <c r="A2950" t="s">
        <v>140</v>
      </c>
      <c r="C2950" t="s">
        <v>1344</v>
      </c>
      <c r="D2950" t="s">
        <v>111</v>
      </c>
      <c r="E2950" t="s">
        <v>1347</v>
      </c>
      <c r="F2950" t="s">
        <v>1289</v>
      </c>
      <c r="G2950">
        <v>293.97471972802686</v>
      </c>
      <c r="H2950">
        <v>223.83275377767328</v>
      </c>
      <c r="I2950">
        <v>312.48347864020667</v>
      </c>
      <c r="J2950">
        <v>327.6235327593655</v>
      </c>
      <c r="K2950">
        <v>320.91740626136919</v>
      </c>
      <c r="L2950">
        <v>189.52003621670295</v>
      </c>
      <c r="M2950">
        <v>272.76998682881236</v>
      </c>
      <c r="N2950">
        <v>312.09581238647593</v>
      </c>
      <c r="O2950">
        <v>300.28206551795006</v>
      </c>
      <c r="P2950">
        <v>448.14779366669967</v>
      </c>
      <c r="Q2950">
        <v>252.68741705117355</v>
      </c>
      <c r="R2950">
        <v>295.87778041098761</v>
      </c>
      <c r="S2950">
        <v>190.25959181037243</v>
      </c>
      <c r="T2950">
        <v>405.58001493096867</v>
      </c>
      <c r="U2950">
        <f t="shared" si="275"/>
        <v>296.14659928477039</v>
      </c>
      <c r="V2950" t="str">
        <f t="shared" si="273"/>
        <v>2018/19Expenditure driversTotal of the disaggregated areasBPDT</v>
      </c>
    </row>
    <row r="2951" spans="1:22">
      <c r="A2951" t="s">
        <v>141</v>
      </c>
      <c r="C2951" t="s">
        <v>1344</v>
      </c>
      <c r="D2951" t="s">
        <v>111</v>
      </c>
      <c r="E2951" t="s">
        <v>1347</v>
      </c>
      <c r="F2951" t="s">
        <v>1289</v>
      </c>
      <c r="G2951">
        <v>296.35536214326561</v>
      </c>
      <c r="H2951">
        <v>236.37284116118229</v>
      </c>
      <c r="I2951">
        <v>290.54778619440071</v>
      </c>
      <c r="J2951">
        <v>337.58757385366272</v>
      </c>
      <c r="K2951">
        <v>317.30197829061785</v>
      </c>
      <c r="L2951">
        <v>173.61861320332775</v>
      </c>
      <c r="M2951">
        <v>267.96476156051602</v>
      </c>
      <c r="N2951">
        <v>321.3152613230385</v>
      </c>
      <c r="O2951">
        <v>290.37198544066513</v>
      </c>
      <c r="P2951">
        <v>447.93621073343922</v>
      </c>
      <c r="Q2951">
        <v>249.83283524180908</v>
      </c>
      <c r="R2951">
        <v>298.86620370935674</v>
      </c>
      <c r="S2951">
        <v>194.012061565739</v>
      </c>
      <c r="T2951">
        <v>366.47584113592779</v>
      </c>
      <c r="U2951">
        <f t="shared" si="275"/>
        <v>292.03995111121054</v>
      </c>
      <c r="V2951" t="str">
        <f t="shared" si="273"/>
        <v>2019/20Expenditure driversTotal of the disaggregated areasBPDT</v>
      </c>
    </row>
    <row r="2952" spans="1:22">
      <c r="A2952" t="s">
        <v>126</v>
      </c>
      <c r="C2952" t="s">
        <v>1344</v>
      </c>
      <c r="D2952" t="s">
        <v>111</v>
      </c>
      <c r="E2952" t="s">
        <v>1347</v>
      </c>
      <c r="F2952" t="s">
        <v>1289</v>
      </c>
      <c r="G2952">
        <v>298.09634394690625</v>
      </c>
      <c r="H2952">
        <v>220.584977291809</v>
      </c>
      <c r="I2952">
        <v>280.22346016109009</v>
      </c>
      <c r="J2952">
        <v>344.02076217542447</v>
      </c>
      <c r="K2952">
        <v>329.96024272055183</v>
      </c>
      <c r="L2952">
        <v>174.01214949669165</v>
      </c>
      <c r="M2952">
        <v>271.02700804228726</v>
      </c>
      <c r="N2952">
        <v>308.57565142642187</v>
      </c>
      <c r="O2952">
        <v>283.93973689655354</v>
      </c>
      <c r="P2952">
        <v>432.6755835983268</v>
      </c>
      <c r="Q2952">
        <v>243.98339606208495</v>
      </c>
      <c r="R2952">
        <v>306.80340488371507</v>
      </c>
      <c r="S2952">
        <v>193.05583525305144</v>
      </c>
      <c r="T2952">
        <v>371.00403012732681</v>
      </c>
      <c r="U2952">
        <f t="shared" si="275"/>
        <v>289.85447014873142</v>
      </c>
      <c r="V2952" t="str">
        <f t="shared" si="273"/>
        <v>2020/21Expenditure driversTotal of the disaggregated areasBPDT</v>
      </c>
    </row>
    <row r="2953" spans="1:22">
      <c r="A2953" t="s">
        <v>142</v>
      </c>
      <c r="C2953" t="s">
        <v>1344</v>
      </c>
      <c r="D2953" t="s">
        <v>111</v>
      </c>
      <c r="E2953" t="s">
        <v>1347</v>
      </c>
      <c r="F2953" t="s">
        <v>1289</v>
      </c>
      <c r="G2953">
        <v>311.38539107478732</v>
      </c>
      <c r="H2953">
        <v>204.13084436803956</v>
      </c>
      <c r="I2953">
        <v>257.08522933298644</v>
      </c>
      <c r="J2953">
        <v>340.9481767641816</v>
      </c>
      <c r="K2953">
        <v>346.68357237886443</v>
      </c>
      <c r="L2953">
        <v>168.14753365437397</v>
      </c>
      <c r="M2953">
        <v>270.75090945280738</v>
      </c>
      <c r="N2953">
        <v>289.2425661735723</v>
      </c>
      <c r="O2953">
        <v>286.1026983828603</v>
      </c>
      <c r="P2953">
        <v>431.60573636678646</v>
      </c>
      <c r="Q2953">
        <v>235.92788161821198</v>
      </c>
      <c r="R2953">
        <v>288.54140168792622</v>
      </c>
      <c r="S2953">
        <v>197.96065690683713</v>
      </c>
      <c r="T2953">
        <v>383.90044614358925</v>
      </c>
      <c r="U2953">
        <f t="shared" si="275"/>
        <v>286.60093173613029</v>
      </c>
      <c r="V2953" t="str">
        <f t="shared" si="273"/>
        <v>2021/22Expenditure driversTotal of the disaggregated areasBPDT</v>
      </c>
    </row>
    <row r="2954" spans="1:22">
      <c r="A2954" t="s">
        <v>143</v>
      </c>
      <c r="C2954" t="s">
        <v>1344</v>
      </c>
      <c r="D2954" t="s">
        <v>111</v>
      </c>
      <c r="E2954" t="s">
        <v>1347</v>
      </c>
      <c r="F2954" t="s">
        <v>1289</v>
      </c>
      <c r="G2954">
        <v>303.35285023045861</v>
      </c>
      <c r="H2954">
        <v>190.68565634547204</v>
      </c>
      <c r="I2954">
        <v>266.13267796123654</v>
      </c>
      <c r="J2954">
        <v>344.43963692539518</v>
      </c>
      <c r="K2954">
        <v>337.11281177730365</v>
      </c>
      <c r="L2954">
        <v>171.09487696259291</v>
      </c>
      <c r="M2954">
        <v>283.34701608720638</v>
      </c>
      <c r="N2954">
        <v>278.21948586600195</v>
      </c>
      <c r="O2954">
        <v>278.75723339005418</v>
      </c>
      <c r="P2954">
        <v>416.0522539869354</v>
      </c>
      <c r="Q2954">
        <v>233.12605904734596</v>
      </c>
      <c r="R2954">
        <v>265.38411953952397</v>
      </c>
      <c r="S2954">
        <v>193.72387559462214</v>
      </c>
      <c r="T2954">
        <v>377.74657260724018</v>
      </c>
      <c r="U2954">
        <f t="shared" si="275"/>
        <v>281.36965188009924</v>
      </c>
      <c r="V2954" t="str">
        <f t="shared" si="273"/>
        <v>2022/23Expenditure driversTotal of the disaggregated areasBPDT</v>
      </c>
    </row>
    <row r="2955" spans="1:22">
      <c r="A2955" t="s">
        <v>137</v>
      </c>
      <c r="C2955" t="s">
        <v>1344</v>
      </c>
      <c r="D2955" t="s">
        <v>111</v>
      </c>
      <c r="E2955" t="s">
        <v>1348</v>
      </c>
      <c r="F2955" t="s">
        <v>1289</v>
      </c>
      <c r="G2955">
        <f t="array" ref="G2955:T2962">TRANSPOSE('Ch4 expenditure drivers'!N894:U907)</f>
        <v>300.96121306905945</v>
      </c>
      <c r="H2955">
        <v>232.0609884790583</v>
      </c>
      <c r="I2955">
        <v>306.04655190210258</v>
      </c>
      <c r="J2955">
        <v>330.04112907680457</v>
      </c>
      <c r="K2955">
        <v>361.20831891454981</v>
      </c>
      <c r="L2955">
        <v>185.66449801681443</v>
      </c>
      <c r="M2955">
        <v>271.88102109338109</v>
      </c>
      <c r="N2955">
        <v>314.34898083945967</v>
      </c>
      <c r="O2955">
        <v>282.98805323261496</v>
      </c>
      <c r="P2955">
        <v>422.7082763777384</v>
      </c>
      <c r="Q2955">
        <v>261.6519212009145</v>
      </c>
      <c r="R2955">
        <v>298.9060932525428</v>
      </c>
      <c r="S2955">
        <v>176.34560610815166</v>
      </c>
      <c r="T2955">
        <v>390.74034777678992</v>
      </c>
      <c r="U2955">
        <f t="shared" si="275"/>
        <v>295.39664280999875</v>
      </c>
      <c r="V2955" t="str">
        <f t="shared" si="273"/>
        <v>2015/16Expenditure driversTotal of the disaggregated areasDNO Baseline</v>
      </c>
    </row>
    <row r="2956" spans="1:22">
      <c r="A2956" t="s">
        <v>138</v>
      </c>
      <c r="C2956" t="s">
        <v>1344</v>
      </c>
      <c r="D2956" t="s">
        <v>111</v>
      </c>
      <c r="E2956" t="s">
        <v>1348</v>
      </c>
      <c r="F2956" t="s">
        <v>1289</v>
      </c>
      <c r="G2956">
        <v>287.36191766087927</v>
      </c>
      <c r="H2956">
        <v>226.13261369013378</v>
      </c>
      <c r="I2956">
        <v>288.26987722252613</v>
      </c>
      <c r="J2956">
        <v>331.50850301053373</v>
      </c>
      <c r="K2956">
        <v>353.55440078647831</v>
      </c>
      <c r="L2956">
        <v>186.21126515263742</v>
      </c>
      <c r="M2956">
        <v>272.49465284124557</v>
      </c>
      <c r="N2956">
        <v>308.47367718390723</v>
      </c>
      <c r="O2956">
        <v>309.55481675659462</v>
      </c>
      <c r="P2956">
        <v>436.5453487413925</v>
      </c>
      <c r="Q2956">
        <v>259.94357291041854</v>
      </c>
      <c r="R2956">
        <v>311.5159452941636</v>
      </c>
      <c r="S2956">
        <v>176.90514610765536</v>
      </c>
      <c r="T2956">
        <v>399.65145504666856</v>
      </c>
      <c r="U2956">
        <f t="shared" si="275"/>
        <v>296.29451374323105</v>
      </c>
      <c r="V2956" t="str">
        <f t="shared" si="273"/>
        <v>2016/17Expenditure driversTotal of the disaggregated areasDNO Baseline</v>
      </c>
    </row>
    <row r="2957" spans="1:22">
      <c r="A2957" t="s">
        <v>139</v>
      </c>
      <c r="C2957" t="s">
        <v>1344</v>
      </c>
      <c r="D2957" t="s">
        <v>111</v>
      </c>
      <c r="E2957" t="s">
        <v>1348</v>
      </c>
      <c r="F2957" t="s">
        <v>1289</v>
      </c>
      <c r="G2957">
        <v>289.01807578214385</v>
      </c>
      <c r="H2957">
        <v>211.72416947587408</v>
      </c>
      <c r="I2957">
        <v>283.38624897146042</v>
      </c>
      <c r="J2957">
        <v>321.44359260806658</v>
      </c>
      <c r="K2957">
        <v>314.29456433446603</v>
      </c>
      <c r="L2957">
        <v>177.73649189114582</v>
      </c>
      <c r="M2957">
        <v>266.86682000438145</v>
      </c>
      <c r="N2957">
        <v>292.25439042250798</v>
      </c>
      <c r="O2957">
        <v>291.72766486984591</v>
      </c>
      <c r="P2957">
        <v>415.14887240846826</v>
      </c>
      <c r="Q2957">
        <v>265.97788768541733</v>
      </c>
      <c r="R2957">
        <v>283.61094914107184</v>
      </c>
      <c r="S2957">
        <v>176.73022190986032</v>
      </c>
      <c r="T2957">
        <v>386.78299420199852</v>
      </c>
      <c r="U2957">
        <f t="shared" si="275"/>
        <v>284.05021026476487</v>
      </c>
      <c r="V2957" t="str">
        <f t="shared" si="273"/>
        <v>2017/18Expenditure driversTotal of the disaggregated areasDNO Baseline</v>
      </c>
    </row>
    <row r="2958" spans="1:22">
      <c r="A2958" t="s">
        <v>140</v>
      </c>
      <c r="C2958" t="s">
        <v>1344</v>
      </c>
      <c r="D2958" t="s">
        <v>111</v>
      </c>
      <c r="E2958" t="s">
        <v>1348</v>
      </c>
      <c r="F2958" t="s">
        <v>1289</v>
      </c>
      <c r="G2958">
        <v>292.40290600710722</v>
      </c>
      <c r="H2958">
        <v>209.29653426778097</v>
      </c>
      <c r="I2958">
        <v>285.36167471693307</v>
      </c>
      <c r="J2958">
        <v>327.30652304094292</v>
      </c>
      <c r="K2958">
        <v>320.14849090960763</v>
      </c>
      <c r="L2958">
        <v>189.07751184865833</v>
      </c>
      <c r="M2958">
        <v>272.08740093367908</v>
      </c>
      <c r="N2958">
        <v>280.57570855823076</v>
      </c>
      <c r="O2958">
        <v>276.50708754521082</v>
      </c>
      <c r="P2958">
        <v>412.47196552412112</v>
      </c>
      <c r="Q2958">
        <v>248.76435575592586</v>
      </c>
      <c r="R2958">
        <v>258.18876777409349</v>
      </c>
      <c r="S2958">
        <v>177.1599752968776</v>
      </c>
      <c r="T2958">
        <v>390.31130131987436</v>
      </c>
      <c r="U2958">
        <f t="shared" si="275"/>
        <v>281.40430024993168</v>
      </c>
      <c r="V2958" t="str">
        <f t="shared" si="273"/>
        <v>2018/19Expenditure driversTotal of the disaggregated areasDNO Baseline</v>
      </c>
    </row>
    <row r="2959" spans="1:22">
      <c r="A2959" t="s">
        <v>141</v>
      </c>
      <c r="C2959" t="s">
        <v>1344</v>
      </c>
      <c r="D2959" t="s">
        <v>111</v>
      </c>
      <c r="E2959" t="s">
        <v>1348</v>
      </c>
      <c r="F2959" t="s">
        <v>1289</v>
      </c>
      <c r="G2959">
        <v>293.02770465886545</v>
      </c>
      <c r="H2959">
        <v>206.41064352775035</v>
      </c>
      <c r="I2959">
        <v>271.2391343893014</v>
      </c>
      <c r="J2959">
        <v>335.883019662327</v>
      </c>
      <c r="K2959">
        <v>315.70332707254886</v>
      </c>
      <c r="L2959">
        <v>173.20083723217897</v>
      </c>
      <c r="M2959">
        <v>266.76467096444514</v>
      </c>
      <c r="N2959">
        <v>285.22661195040257</v>
      </c>
      <c r="O2959">
        <v>264.35938499997826</v>
      </c>
      <c r="P2959">
        <v>406.74529037321901</v>
      </c>
      <c r="Q2959">
        <v>240.2262875779453</v>
      </c>
      <c r="R2959">
        <v>255.57046009550479</v>
      </c>
      <c r="S2959">
        <v>178.57576524987712</v>
      </c>
      <c r="T2959">
        <v>348.10256146591519</v>
      </c>
      <c r="U2959">
        <f t="shared" si="275"/>
        <v>274.35969280144707</v>
      </c>
      <c r="V2959" t="str">
        <f t="shared" si="273"/>
        <v>2019/20Expenditure driversTotal of the disaggregated areasDNO Baseline</v>
      </c>
    </row>
    <row r="2960" spans="1:22">
      <c r="A2960" t="s">
        <v>126</v>
      </c>
      <c r="C2960" t="s">
        <v>1344</v>
      </c>
      <c r="D2960" t="s">
        <v>111</v>
      </c>
      <c r="E2960" t="s">
        <v>1348</v>
      </c>
      <c r="F2960" t="s">
        <v>1289</v>
      </c>
      <c r="G2960">
        <v>292.89576315042558</v>
      </c>
      <c r="H2960">
        <v>189.54303955786645</v>
      </c>
      <c r="I2960">
        <v>257.16320669522031</v>
      </c>
      <c r="J2960">
        <v>334.61594980481254</v>
      </c>
      <c r="K2960">
        <v>324.73255454726859</v>
      </c>
      <c r="L2960">
        <v>158.49374399918483</v>
      </c>
      <c r="M2960">
        <v>266.50783225722165</v>
      </c>
      <c r="N2960">
        <v>271.10363105100754</v>
      </c>
      <c r="O2960">
        <v>255.69356862383333</v>
      </c>
      <c r="P2960">
        <v>388.02086893496266</v>
      </c>
      <c r="Q2960">
        <v>230.28497419613541</v>
      </c>
      <c r="R2960">
        <v>258.98677350817172</v>
      </c>
      <c r="S2960">
        <v>176.76129845853339</v>
      </c>
      <c r="T2960">
        <v>354.39218122020509</v>
      </c>
      <c r="U2960">
        <f t="shared" si="275"/>
        <v>268.51395614320353</v>
      </c>
      <c r="V2960" t="str">
        <f t="shared" si="273"/>
        <v>2020/21Expenditure driversTotal of the disaggregated areasDNO Baseline</v>
      </c>
    </row>
    <row r="2961" spans="1:22">
      <c r="A2961" t="s">
        <v>142</v>
      </c>
      <c r="C2961" t="s">
        <v>1344</v>
      </c>
      <c r="D2961" t="s">
        <v>111</v>
      </c>
      <c r="E2961" t="s">
        <v>1348</v>
      </c>
      <c r="F2961" t="s">
        <v>1289</v>
      </c>
      <c r="G2961">
        <v>295.9503803639787</v>
      </c>
      <c r="H2961">
        <v>177.58966628708043</v>
      </c>
      <c r="I2961">
        <v>240.0438971979161</v>
      </c>
      <c r="J2961">
        <v>332.5309037568511</v>
      </c>
      <c r="K2961">
        <v>342.35808749096338</v>
      </c>
      <c r="L2961">
        <v>152.75088862752727</v>
      </c>
      <c r="M2961">
        <v>266.80002292735384</v>
      </c>
      <c r="N2961">
        <v>253.14031996946576</v>
      </c>
      <c r="O2961">
        <v>255.91831560207606</v>
      </c>
      <c r="P2961">
        <v>383.30175730402692</v>
      </c>
      <c r="Q2961">
        <v>218.87696418030436</v>
      </c>
      <c r="R2961">
        <v>239.62405710724602</v>
      </c>
      <c r="S2961">
        <v>180.73646787291582</v>
      </c>
      <c r="T2961">
        <v>358.81343009228692</v>
      </c>
      <c r="U2961">
        <f t="shared" si="275"/>
        <v>264.17393991285661</v>
      </c>
      <c r="V2961" t="str">
        <f t="shared" si="273"/>
        <v>2021/22Expenditure driversTotal of the disaggregated areasDNO Baseline</v>
      </c>
    </row>
    <row r="2962" spans="1:22">
      <c r="A2962" t="s">
        <v>143</v>
      </c>
      <c r="C2962" t="s">
        <v>1344</v>
      </c>
      <c r="D2962" t="s">
        <v>111</v>
      </c>
      <c r="E2962" t="s">
        <v>1348</v>
      </c>
      <c r="F2962" t="s">
        <v>1289</v>
      </c>
      <c r="G2962">
        <v>285.80920724566801</v>
      </c>
      <c r="H2962">
        <v>174.11776369450868</v>
      </c>
      <c r="I2962">
        <v>245.80865453427518</v>
      </c>
      <c r="J2962">
        <v>336.01372895514709</v>
      </c>
      <c r="K2962">
        <v>332.78777966905614</v>
      </c>
      <c r="L2962">
        <v>155.69809694946906</v>
      </c>
      <c r="M2962">
        <v>279.02259968941109</v>
      </c>
      <c r="N2962">
        <v>240.54102666252024</v>
      </c>
      <c r="O2962">
        <v>246.57037447030339</v>
      </c>
      <c r="P2962">
        <v>364.2477164940741</v>
      </c>
      <c r="Q2962">
        <v>212.2258872060076</v>
      </c>
      <c r="R2962">
        <v>215.85923471020749</v>
      </c>
      <c r="S2962">
        <v>175.34825323786558</v>
      </c>
      <c r="T2962">
        <v>349.671928855462</v>
      </c>
      <c r="U2962">
        <f t="shared" si="275"/>
        <v>258.12301802671254</v>
      </c>
      <c r="V2962" t="str">
        <f t="shared" si="273"/>
        <v>2022/23Expenditure driversTotal of the disaggregated areasDNO Baseline</v>
      </c>
    </row>
    <row r="2963" spans="1:22">
      <c r="A2963" t="s">
        <v>137</v>
      </c>
      <c r="C2963" t="s">
        <v>1344</v>
      </c>
      <c r="D2963" t="s">
        <v>111</v>
      </c>
      <c r="E2963" t="s">
        <v>1349</v>
      </c>
      <c r="F2963" t="s">
        <v>1289</v>
      </c>
      <c r="G2963" cm="1">
        <f t="array" ref="G2963:T2969">TRANSPOSE('Ch4 expenditure drivers'!W894:AC907)</f>
        <v>293.19351909588397</v>
      </c>
      <c r="H2963">
        <v>229.00012520972115</v>
      </c>
      <c r="I2963">
        <v>300.44603820716861</v>
      </c>
      <c r="J2963">
        <v>377.01063941210253</v>
      </c>
      <c r="K2963">
        <v>373.61856236870409</v>
      </c>
      <c r="L2963">
        <v>173.38123440425852</v>
      </c>
      <c r="M2963">
        <v>273.3054187493496</v>
      </c>
      <c r="N2963">
        <v>214.67766794538883</v>
      </c>
      <c r="O2963">
        <v>195.74321327735257</v>
      </c>
      <c r="P2963">
        <v>322.3057290343051</v>
      </c>
      <c r="Q2963">
        <v>239.91108949989243</v>
      </c>
      <c r="R2963">
        <v>298.21193135094131</v>
      </c>
      <c r="S2963">
        <v>157.67139131879779</v>
      </c>
      <c r="T2963">
        <v>336.04380629790688</v>
      </c>
      <c r="U2963">
        <f t="shared" si="275"/>
        <v>270.32288329798382</v>
      </c>
      <c r="V2963" t="str">
        <f t="shared" si="273"/>
        <v>2015/16Expenditure driversTotal of the disaggregated areasDNO Actual</v>
      </c>
    </row>
    <row r="2964" spans="1:22">
      <c r="A2964" t="s">
        <v>138</v>
      </c>
      <c r="C2964" t="s">
        <v>1344</v>
      </c>
      <c r="D2964" t="s">
        <v>111</v>
      </c>
      <c r="E2964" t="s">
        <v>1349</v>
      </c>
      <c r="F2964" t="s">
        <v>1289</v>
      </c>
      <c r="G2964">
        <v>248.46950431715328</v>
      </c>
      <c r="H2964">
        <v>222.57547233438126</v>
      </c>
      <c r="I2964">
        <v>259.24427073064589</v>
      </c>
      <c r="J2964">
        <v>357.77028847285953</v>
      </c>
      <c r="K2964">
        <v>360.83217562718875</v>
      </c>
      <c r="L2964">
        <v>165.20687142706194</v>
      </c>
      <c r="M2964">
        <v>290.25776682541368</v>
      </c>
      <c r="N2964">
        <v>237.92192007983738</v>
      </c>
      <c r="O2964">
        <v>236.0415181431581</v>
      </c>
      <c r="P2964">
        <v>355.83268255694173</v>
      </c>
      <c r="Q2964">
        <v>249.83102908403941</v>
      </c>
      <c r="R2964">
        <v>303.13178560796968</v>
      </c>
      <c r="S2964">
        <v>176.38706777717275</v>
      </c>
      <c r="T2964">
        <v>360.03243676510283</v>
      </c>
      <c r="U2964">
        <f t="shared" si="275"/>
        <v>273.109627839209</v>
      </c>
      <c r="V2964" t="str">
        <f t="shared" si="273"/>
        <v>2016/17Expenditure driversTotal of the disaggregated areasDNO Actual</v>
      </c>
    </row>
    <row r="2965" spans="1:22">
      <c r="A2965" t="s">
        <v>139</v>
      </c>
      <c r="C2965" t="s">
        <v>1344</v>
      </c>
      <c r="D2965" t="s">
        <v>111</v>
      </c>
      <c r="E2965" t="s">
        <v>1349</v>
      </c>
      <c r="F2965" t="s">
        <v>1289</v>
      </c>
      <c r="G2965">
        <v>280.32691586934573</v>
      </c>
      <c r="H2965">
        <v>201.88375432249953</v>
      </c>
      <c r="I2965">
        <v>250.86162410760423</v>
      </c>
      <c r="J2965">
        <v>329.7070724889781</v>
      </c>
      <c r="K2965">
        <v>339.97295032519963</v>
      </c>
      <c r="L2965">
        <v>165.83819984867662</v>
      </c>
      <c r="M2965">
        <v>281.37553378439338</v>
      </c>
      <c r="N2965">
        <v>269.00106223539615</v>
      </c>
      <c r="O2965">
        <v>242.90880932517118</v>
      </c>
      <c r="P2965">
        <v>391.97545584261343</v>
      </c>
      <c r="Q2965">
        <v>262.67877717524146</v>
      </c>
      <c r="R2965">
        <v>316.06814468694455</v>
      </c>
      <c r="S2965">
        <v>173.47833622102198</v>
      </c>
      <c r="T2965">
        <v>403.76980002840077</v>
      </c>
      <c r="U2965">
        <f t="shared" si="275"/>
        <v>279.27474544724907</v>
      </c>
      <c r="V2965" t="str">
        <f t="shared" si="273"/>
        <v>2017/18Expenditure driversTotal of the disaggregated areasDNO Actual</v>
      </c>
    </row>
    <row r="2966" spans="1:22">
      <c r="A2966" t="s">
        <v>140</v>
      </c>
      <c r="C2966" t="s">
        <v>1344</v>
      </c>
      <c r="D2966" t="s">
        <v>111</v>
      </c>
      <c r="E2966" t="s">
        <v>1349</v>
      </c>
      <c r="F2966" t="s">
        <v>1289</v>
      </c>
      <c r="G2966">
        <v>289.66489303160569</v>
      </c>
      <c r="H2966">
        <v>208.11899967261161</v>
      </c>
      <c r="I2966">
        <v>263.60792244434816</v>
      </c>
      <c r="J2966">
        <v>286.85376479944085</v>
      </c>
      <c r="K2966">
        <v>296.70027002202551</v>
      </c>
      <c r="L2966">
        <v>163.31006399325119</v>
      </c>
      <c r="M2966">
        <v>242.53943910443755</v>
      </c>
      <c r="N2966">
        <v>251.44904967605484</v>
      </c>
      <c r="O2966">
        <v>250.20778229317912</v>
      </c>
      <c r="P2966">
        <v>375.52445450092131</v>
      </c>
      <c r="Q2966">
        <v>282.10539566485062</v>
      </c>
      <c r="R2966">
        <v>320.23952179073655</v>
      </c>
      <c r="S2966">
        <v>188.847224852979</v>
      </c>
      <c r="T2966">
        <v>382.77068916870371</v>
      </c>
      <c r="U2966">
        <f>AVERAGE(G2966:T2966)</f>
        <v>271.5671050725104</v>
      </c>
      <c r="V2966" t="str">
        <f t="shared" si="273"/>
        <v>2018/19Expenditure driversTotal of the disaggregated areasDNO Actual</v>
      </c>
    </row>
    <row r="2967" spans="1:22">
      <c r="A2967" t="s">
        <v>141</v>
      </c>
      <c r="C2967" t="s">
        <v>1344</v>
      </c>
      <c r="D2967" t="s">
        <v>111</v>
      </c>
      <c r="E2967" t="s">
        <v>1349</v>
      </c>
      <c r="F2967" t="s">
        <v>1289</v>
      </c>
      <c r="G2967">
        <v>268.81052364282954</v>
      </c>
      <c r="H2967">
        <v>233.4875393352541</v>
      </c>
      <c r="I2967">
        <v>290.21318499728466</v>
      </c>
      <c r="J2967">
        <v>285.40702632861047</v>
      </c>
      <c r="K2967">
        <v>313.9044878895686</v>
      </c>
      <c r="L2967">
        <v>152.61775204547172</v>
      </c>
      <c r="M2967">
        <v>258.31621107548119</v>
      </c>
      <c r="N2967">
        <v>251.33149724202579</v>
      </c>
      <c r="O2967">
        <v>242.62911640068566</v>
      </c>
      <c r="P2967">
        <v>389.1104015172391</v>
      </c>
      <c r="Q2967">
        <v>272.06671011244248</v>
      </c>
      <c r="R2967">
        <v>292.45524320066448</v>
      </c>
      <c r="S2967">
        <v>187.44047829485896</v>
      </c>
      <c r="T2967">
        <v>411.69564676795153</v>
      </c>
      <c r="U2967">
        <f>AVERAGE(G2967:T2967)</f>
        <v>274.96327277502627</v>
      </c>
      <c r="V2967" t="str">
        <f t="shared" si="273"/>
        <v>2019/20Expenditure driversTotal of the disaggregated areasDNO Actual</v>
      </c>
    </row>
    <row r="2968" spans="1:22">
      <c r="A2968" t="s">
        <v>126</v>
      </c>
      <c r="C2968" t="s">
        <v>1344</v>
      </c>
      <c r="D2968" t="s">
        <v>111</v>
      </c>
      <c r="E2968" t="s">
        <v>1349</v>
      </c>
      <c r="F2968" t="s">
        <v>1289</v>
      </c>
      <c r="G2968">
        <v>256.1404433339959</v>
      </c>
      <c r="H2968">
        <v>228.23408893000109</v>
      </c>
      <c r="I2968">
        <v>283.08916557824716</v>
      </c>
      <c r="J2968">
        <v>327.22694182875034</v>
      </c>
      <c r="K2968">
        <v>319.60516325148643</v>
      </c>
      <c r="L2968">
        <v>174.1386633871237</v>
      </c>
      <c r="M2968">
        <v>244.7648559811264</v>
      </c>
      <c r="N2968">
        <v>247.51079026403517</v>
      </c>
      <c r="O2968">
        <v>233.62369618119752</v>
      </c>
      <c r="P2968">
        <v>381.63423511150023</v>
      </c>
      <c r="Q2968">
        <v>265.61115867625284</v>
      </c>
      <c r="R2968">
        <v>266.06688459925937</v>
      </c>
      <c r="S2968">
        <v>207.75069304336645</v>
      </c>
      <c r="T2968">
        <v>400.39438744194683</v>
      </c>
      <c r="U2968">
        <f>AVERAGE(G2968:T2968)</f>
        <v>273.98508340059209</v>
      </c>
      <c r="V2968" t="str">
        <f t="shared" si="273"/>
        <v>2020/21Expenditure driversTotal of the disaggregated areasDNO Actual</v>
      </c>
    </row>
    <row r="2969" spans="1:22">
      <c r="A2969" t="s">
        <v>142</v>
      </c>
      <c r="C2969" t="s">
        <v>1344</v>
      </c>
      <c r="D2969" t="s">
        <v>111</v>
      </c>
      <c r="E2969" t="s">
        <v>1349</v>
      </c>
      <c r="F2969" t="s">
        <v>1289</v>
      </c>
      <c r="G2969">
        <v>270.72835515288955</v>
      </c>
      <c r="H2969">
        <v>208.67023956314461</v>
      </c>
      <c r="I2969">
        <v>278.90189632159894</v>
      </c>
      <c r="J2969">
        <v>356.92390000000006</v>
      </c>
      <c r="K2969">
        <v>328.67520000000007</v>
      </c>
      <c r="L2969">
        <v>172.60070000000002</v>
      </c>
      <c r="M2969">
        <v>247.1833</v>
      </c>
      <c r="N2969">
        <v>254.62468870058277</v>
      </c>
      <c r="O2969">
        <v>239.35364193090712</v>
      </c>
      <c r="P2969">
        <v>381.2735274306628</v>
      </c>
      <c r="Q2969">
        <v>245.37024437610518</v>
      </c>
      <c r="R2969">
        <v>269.27085163377984</v>
      </c>
      <c r="S2969">
        <v>245.12888583065967</v>
      </c>
      <c r="T2969">
        <v>366.51058059147425</v>
      </c>
      <c r="U2969">
        <f>AVERAGE(G2969:T2969)</f>
        <v>276.08685796655749</v>
      </c>
      <c r="V2969" t="str">
        <f t="shared" ref="V2969" si="276">CONCATENATE(A2969,B2969,C2969,D2969,E2969)</f>
        <v>2021/22Expenditure driversTotal of the disaggregated areasDNO Actual</v>
      </c>
    </row>
    <row r="2970" spans="1:22">
      <c r="A2970" t="s">
        <v>137</v>
      </c>
      <c r="C2970" t="s">
        <v>1344</v>
      </c>
      <c r="D2970" t="s">
        <v>111</v>
      </c>
      <c r="E2970" t="s">
        <v>297</v>
      </c>
      <c r="F2970" t="s">
        <v>1289</v>
      </c>
      <c r="G2970">
        <f t="array" ref="G2970:T2973">TRANSPOSE('Ch4 expenditure drivers'!AF894:AI907)</f>
        <v>300.96121306905945</v>
      </c>
      <c r="H2970">
        <v>232.0609884790583</v>
      </c>
      <c r="I2970">
        <v>306.04655190210258</v>
      </c>
      <c r="J2970">
        <v>330.04112907680457</v>
      </c>
      <c r="K2970">
        <v>361.20831891454981</v>
      </c>
      <c r="L2970">
        <v>185.66449801681443</v>
      </c>
      <c r="M2970">
        <v>271.88102109338109</v>
      </c>
      <c r="N2970">
        <v>314.34898083945967</v>
      </c>
      <c r="O2970">
        <v>282.98805323261496</v>
      </c>
      <c r="P2970">
        <v>422.7082763777384</v>
      </c>
      <c r="Q2970">
        <v>261.6519212009145</v>
      </c>
      <c r="R2970">
        <v>298.9060932525428</v>
      </c>
      <c r="S2970">
        <v>176.34560610815166</v>
      </c>
      <c r="T2970">
        <v>390.74034777678992</v>
      </c>
      <c r="U2970">
        <f t="shared" si="275"/>
        <v>295.39664280999875</v>
      </c>
      <c r="V2970" t="str">
        <f t="shared" si="273"/>
        <v>2015/16Expenditure driversTotal of the disaggregated areasAllowance</v>
      </c>
    </row>
    <row r="2971" spans="1:22">
      <c r="A2971" t="s">
        <v>137</v>
      </c>
      <c r="C2971" t="s">
        <v>1344</v>
      </c>
      <c r="D2971" t="s">
        <v>111</v>
      </c>
      <c r="E2971" t="s">
        <v>298</v>
      </c>
      <c r="F2971" t="s">
        <v>1289</v>
      </c>
      <c r="G2971">
        <v>293.19351909588397</v>
      </c>
      <c r="H2971">
        <v>229.00012520972115</v>
      </c>
      <c r="I2971">
        <v>300.44603820716861</v>
      </c>
      <c r="J2971">
        <v>377.01063941210253</v>
      </c>
      <c r="K2971">
        <v>373.61856236870409</v>
      </c>
      <c r="L2971">
        <v>173.38123440425852</v>
      </c>
      <c r="M2971">
        <v>273.3054187493496</v>
      </c>
      <c r="N2971">
        <v>214.67766794538883</v>
      </c>
      <c r="O2971">
        <v>195.74321327735257</v>
      </c>
      <c r="P2971">
        <v>322.3057290343051</v>
      </c>
      <c r="Q2971">
        <v>239.91108949989243</v>
      </c>
      <c r="R2971">
        <v>298.21193135094131</v>
      </c>
      <c r="S2971">
        <v>157.67139131879779</v>
      </c>
      <c r="T2971">
        <v>336.04380629790688</v>
      </c>
      <c r="U2971">
        <f t="shared" si="275"/>
        <v>270.32288329798382</v>
      </c>
      <c r="V2971" t="str">
        <f t="shared" si="273"/>
        <v>2015/16Expenditure driversTotal of the disaggregated areasActual</v>
      </c>
    </row>
    <row r="2972" spans="1:22">
      <c r="A2972" t="s">
        <v>137</v>
      </c>
      <c r="C2972" t="s">
        <v>1344</v>
      </c>
      <c r="D2972" t="s">
        <v>111</v>
      </c>
      <c r="E2972" t="s">
        <v>602</v>
      </c>
      <c r="F2972" t="s">
        <v>1289</v>
      </c>
      <c r="G2972">
        <v>-7.7676939731754828</v>
      </c>
      <c r="H2972">
        <v>-3.0608632693371476</v>
      </c>
      <c r="I2972">
        <v>-5.6005136949339658</v>
      </c>
      <c r="J2972">
        <v>46.969510335297969</v>
      </c>
      <c r="K2972">
        <v>12.410243454154283</v>
      </c>
      <c r="L2972">
        <v>-12.283263612555913</v>
      </c>
      <c r="M2972">
        <v>1.4243976559685052</v>
      </c>
      <c r="N2972">
        <v>-99.671312894070837</v>
      </c>
      <c r="O2972">
        <v>-87.244839955262393</v>
      </c>
      <c r="P2972">
        <v>-100.4025473434333</v>
      </c>
      <c r="Q2972">
        <v>-21.740831701022074</v>
      </c>
      <c r="R2972">
        <v>-0.69416190160148972</v>
      </c>
      <c r="S2972">
        <v>-18.674214789353869</v>
      </c>
      <c r="T2972">
        <v>-54.696541478883034</v>
      </c>
      <c r="U2972">
        <f>U2971-U2970</f>
        <v>-25.073759512014931</v>
      </c>
      <c r="V2972" t="str">
        <f t="shared" si="273"/>
        <v>2015/16Expenditure driversTotal of the disaggregated areasDifference</v>
      </c>
    </row>
    <row r="2973" spans="1:22">
      <c r="A2973" t="s">
        <v>137</v>
      </c>
      <c r="C2973" t="s">
        <v>1344</v>
      </c>
      <c r="D2973" t="s">
        <v>111</v>
      </c>
      <c r="E2973" t="s">
        <v>1346</v>
      </c>
      <c r="F2973" t="s">
        <v>606</v>
      </c>
      <c r="G2973" s="829">
        <v>-2.5809618103157649E-2</v>
      </c>
      <c r="H2973" s="829">
        <v>-1.3189908779576567E-2</v>
      </c>
      <c r="I2973" s="829">
        <v>-1.8299548418782528E-2</v>
      </c>
      <c r="J2973" s="829">
        <v>0.14231411238557359</v>
      </c>
      <c r="K2973" s="829">
        <v>3.4357579281251674E-2</v>
      </c>
      <c r="L2973" s="829">
        <v>-6.6158386464619093E-2</v>
      </c>
      <c r="M2973" s="829">
        <v>5.2390477652328564E-3</v>
      </c>
      <c r="N2973" s="829">
        <v>-0.31707216809770322</v>
      </c>
      <c r="O2973" s="829">
        <v>-0.30829866829589275</v>
      </c>
      <c r="P2973" s="829">
        <v>-0.23752207599009037</v>
      </c>
      <c r="Q2973" s="829">
        <v>-8.3090663356253189E-2</v>
      </c>
      <c r="R2973" s="829">
        <v>-2.3223410872892417E-3</v>
      </c>
      <c r="S2973" s="829">
        <v>-0.10589554909523002</v>
      </c>
      <c r="T2973" s="829">
        <v>-0.13998181091379994</v>
      </c>
      <c r="U2973" s="829">
        <f>U2972/U2970</f>
        <v>-8.48816671492863E-2</v>
      </c>
      <c r="V2973" t="str">
        <f t="shared" si="273"/>
        <v>2015/16Expenditure driversTotal of the disaggregated areasDifference %</v>
      </c>
    </row>
    <row r="2974" spans="1:22">
      <c r="A2974" t="s">
        <v>138</v>
      </c>
      <c r="C2974" t="s">
        <v>1344</v>
      </c>
      <c r="D2974" t="s">
        <v>111</v>
      </c>
      <c r="E2974" t="s">
        <v>297</v>
      </c>
      <c r="F2974" t="s">
        <v>1289</v>
      </c>
      <c r="G2974">
        <f t="array" ref="G2974:T2977">TRANSPOSE('Ch4 expenditure drivers'!AK894:AN907)</f>
        <v>287.36191766087927</v>
      </c>
      <c r="H2974">
        <v>226.13261369013378</v>
      </c>
      <c r="I2974">
        <v>288.26987722252613</v>
      </c>
      <c r="J2974">
        <v>331.50850301053373</v>
      </c>
      <c r="K2974">
        <v>353.55440078647831</v>
      </c>
      <c r="L2974">
        <v>186.21126515263742</v>
      </c>
      <c r="M2974">
        <v>272.49465284124557</v>
      </c>
      <c r="N2974">
        <v>308.47367718390723</v>
      </c>
      <c r="O2974">
        <v>309.55481675659462</v>
      </c>
      <c r="P2974">
        <v>436.5453487413925</v>
      </c>
      <c r="Q2974">
        <v>259.94357291041854</v>
      </c>
      <c r="R2974">
        <v>311.5159452941636</v>
      </c>
      <c r="S2974">
        <v>176.90514610765536</v>
      </c>
      <c r="T2974">
        <v>399.65145504666856</v>
      </c>
      <c r="U2974">
        <f t="shared" si="275"/>
        <v>296.29451374323105</v>
      </c>
      <c r="V2974" t="str">
        <f t="shared" si="273"/>
        <v>2016/17Expenditure driversTotal of the disaggregated areasAllowance</v>
      </c>
    </row>
    <row r="2975" spans="1:22">
      <c r="A2975" t="s">
        <v>138</v>
      </c>
      <c r="C2975" t="s">
        <v>1344</v>
      </c>
      <c r="D2975" t="s">
        <v>111</v>
      </c>
      <c r="E2975" t="s">
        <v>298</v>
      </c>
      <c r="F2975" t="s">
        <v>1289</v>
      </c>
      <c r="G2975">
        <v>248.46950431715328</v>
      </c>
      <c r="H2975">
        <v>222.57547233438126</v>
      </c>
      <c r="I2975">
        <v>259.24427073064589</v>
      </c>
      <c r="J2975">
        <v>357.77028847285953</v>
      </c>
      <c r="K2975">
        <v>360.83217562718875</v>
      </c>
      <c r="L2975">
        <v>165.20687142706194</v>
      </c>
      <c r="M2975">
        <v>290.25776682541368</v>
      </c>
      <c r="N2975">
        <v>237.92192007983738</v>
      </c>
      <c r="O2975">
        <v>236.0415181431581</v>
      </c>
      <c r="P2975">
        <v>355.83268255694173</v>
      </c>
      <c r="Q2975">
        <v>249.83102908403941</v>
      </c>
      <c r="R2975">
        <v>303.13178560796968</v>
      </c>
      <c r="S2975">
        <v>176.38706777717275</v>
      </c>
      <c r="T2975">
        <v>360.03243676510283</v>
      </c>
      <c r="U2975">
        <f t="shared" si="275"/>
        <v>273.109627839209</v>
      </c>
      <c r="V2975" t="str">
        <f t="shared" si="273"/>
        <v>2016/17Expenditure driversTotal of the disaggregated areasActual</v>
      </c>
    </row>
    <row r="2976" spans="1:22">
      <c r="A2976" t="s">
        <v>138</v>
      </c>
      <c r="C2976" t="s">
        <v>1344</v>
      </c>
      <c r="D2976" t="s">
        <v>111</v>
      </c>
      <c r="E2976" t="s">
        <v>602</v>
      </c>
      <c r="F2976" t="s">
        <v>1289</v>
      </c>
      <c r="G2976">
        <v>-38.892413343725991</v>
      </c>
      <c r="H2976">
        <v>-3.5571413557525204</v>
      </c>
      <c r="I2976">
        <v>-29.025606491880239</v>
      </c>
      <c r="J2976">
        <v>26.261785462325804</v>
      </c>
      <c r="K2976">
        <v>7.2777748407104355</v>
      </c>
      <c r="L2976">
        <v>-21.004393725575483</v>
      </c>
      <c r="M2976">
        <v>17.763113984168115</v>
      </c>
      <c r="N2976">
        <v>-70.55175710406985</v>
      </c>
      <c r="O2976">
        <v>-73.513298613436518</v>
      </c>
      <c r="P2976">
        <v>-80.712666184450768</v>
      </c>
      <c r="Q2976">
        <v>-10.112543826379124</v>
      </c>
      <c r="R2976">
        <v>-8.3841596861939252</v>
      </c>
      <c r="S2976">
        <v>-0.51807833048260932</v>
      </c>
      <c r="T2976">
        <v>-39.619018281565729</v>
      </c>
      <c r="U2976">
        <f>U2975-U2974</f>
        <v>-23.184885904022053</v>
      </c>
      <c r="V2976" t="str">
        <f t="shared" si="273"/>
        <v>2016/17Expenditure driversTotal of the disaggregated areasDifference</v>
      </c>
    </row>
    <row r="2977" spans="1:22">
      <c r="A2977" t="s">
        <v>138</v>
      </c>
      <c r="C2977" t="s">
        <v>1344</v>
      </c>
      <c r="D2977" t="s">
        <v>111</v>
      </c>
      <c r="E2977" t="s">
        <v>1346</v>
      </c>
      <c r="F2977" t="s">
        <v>606</v>
      </c>
      <c r="G2977" s="829">
        <v>-0.13534296284041225</v>
      </c>
      <c r="H2977" s="829">
        <v>-1.5730333177976792E-2</v>
      </c>
      <c r="I2977" s="829">
        <v>-0.10068900285920025</v>
      </c>
      <c r="J2977" s="829">
        <v>7.9219040307666952E-2</v>
      </c>
      <c r="K2977" s="829">
        <v>2.0584596951759324E-2</v>
      </c>
      <c r="L2977" s="829">
        <v>-0.11279872733992853</v>
      </c>
      <c r="M2977" s="829">
        <v>6.5187018530293295E-2</v>
      </c>
      <c r="N2977" s="829">
        <v>-0.22871240667322154</v>
      </c>
      <c r="O2977" s="829">
        <v>-0.23748071305652013</v>
      </c>
      <c r="P2977" s="829">
        <v>-0.18488953419651388</v>
      </c>
      <c r="Q2977" s="829">
        <v>-3.8902842309796584E-2</v>
      </c>
      <c r="R2977" s="829">
        <v>-2.6914062708015756E-2</v>
      </c>
      <c r="S2977" s="829">
        <v>-2.9285656289915587E-3</v>
      </c>
      <c r="T2977" s="829">
        <v>-9.9133927279056927E-2</v>
      </c>
      <c r="U2977" s="829">
        <f>U2976/U2974</f>
        <v>-7.8249460683953415E-2</v>
      </c>
      <c r="V2977" t="str">
        <f t="shared" si="273"/>
        <v>2016/17Expenditure driversTotal of the disaggregated areasDifference %</v>
      </c>
    </row>
    <row r="2978" spans="1:22">
      <c r="A2978" t="s">
        <v>139</v>
      </c>
      <c r="C2978" t="s">
        <v>1344</v>
      </c>
      <c r="D2978" t="s">
        <v>111</v>
      </c>
      <c r="E2978" t="s">
        <v>297</v>
      </c>
      <c r="F2978" t="s">
        <v>1289</v>
      </c>
      <c r="G2978">
        <f t="array" ref="G2978:T2981">TRANSPOSE('Ch4 expenditure drivers'!AP894:AS907)</f>
        <v>289.01807578214385</v>
      </c>
      <c r="H2978">
        <v>211.72416947587408</v>
      </c>
      <c r="I2978">
        <v>283.38624897146042</v>
      </c>
      <c r="J2978">
        <v>321.44359260806658</v>
      </c>
      <c r="K2978">
        <v>314.29456433446603</v>
      </c>
      <c r="L2978">
        <v>177.73649189114582</v>
      </c>
      <c r="M2978">
        <v>266.86682000438145</v>
      </c>
      <c r="N2978">
        <v>292.25439042250798</v>
      </c>
      <c r="O2978">
        <v>291.72766486984591</v>
      </c>
      <c r="P2978">
        <v>415.14887240846826</v>
      </c>
      <c r="Q2978">
        <v>265.97788768541733</v>
      </c>
      <c r="R2978">
        <v>283.61094914107184</v>
      </c>
      <c r="S2978">
        <v>176.73022190986032</v>
      </c>
      <c r="T2978">
        <v>386.78299420199852</v>
      </c>
      <c r="U2978">
        <f t="shared" si="275"/>
        <v>284.05021026476487</v>
      </c>
      <c r="V2978" t="str">
        <f t="shared" si="273"/>
        <v>2017/18Expenditure driversTotal of the disaggregated areasAllowance</v>
      </c>
    </row>
    <row r="2979" spans="1:22">
      <c r="A2979" t="s">
        <v>139</v>
      </c>
      <c r="C2979" t="s">
        <v>1344</v>
      </c>
      <c r="D2979" t="s">
        <v>111</v>
      </c>
      <c r="E2979" t="s">
        <v>298</v>
      </c>
      <c r="F2979" t="s">
        <v>1289</v>
      </c>
      <c r="G2979">
        <v>280.32691586934573</v>
      </c>
      <c r="H2979">
        <v>201.88375432249953</v>
      </c>
      <c r="I2979">
        <v>250.86162410760423</v>
      </c>
      <c r="J2979">
        <v>329.7070724889781</v>
      </c>
      <c r="K2979">
        <v>339.97295032519963</v>
      </c>
      <c r="L2979">
        <v>165.83819984867662</v>
      </c>
      <c r="M2979">
        <v>281.37553378439338</v>
      </c>
      <c r="N2979">
        <v>269.00106223539615</v>
      </c>
      <c r="O2979">
        <v>242.90880932517118</v>
      </c>
      <c r="P2979">
        <v>391.97545584261343</v>
      </c>
      <c r="Q2979">
        <v>262.67877717524146</v>
      </c>
      <c r="R2979">
        <v>316.06814468694455</v>
      </c>
      <c r="S2979">
        <v>173.47833622102198</v>
      </c>
      <c r="T2979">
        <v>403.76980002840077</v>
      </c>
      <c r="U2979">
        <f t="shared" si="275"/>
        <v>279.27474544724907</v>
      </c>
      <c r="V2979" t="str">
        <f t="shared" si="273"/>
        <v>2017/18Expenditure driversTotal of the disaggregated areasActual</v>
      </c>
    </row>
    <row r="2980" spans="1:22">
      <c r="A2980" t="s">
        <v>139</v>
      </c>
      <c r="C2980" t="s">
        <v>1344</v>
      </c>
      <c r="D2980" t="s">
        <v>111</v>
      </c>
      <c r="E2980" t="s">
        <v>602</v>
      </c>
      <c r="F2980" t="s">
        <v>1289</v>
      </c>
      <c r="G2980">
        <v>-8.6911599127981276</v>
      </c>
      <c r="H2980">
        <v>-9.8404151533745505</v>
      </c>
      <c r="I2980">
        <v>-32.524624863856189</v>
      </c>
      <c r="J2980">
        <v>8.2634798809115182</v>
      </c>
      <c r="K2980">
        <v>25.678385990733602</v>
      </c>
      <c r="L2980">
        <v>-11.898292042469194</v>
      </c>
      <c r="M2980">
        <v>14.508713780011931</v>
      </c>
      <c r="N2980">
        <v>-23.253328187111833</v>
      </c>
      <c r="O2980">
        <v>-48.818855544674733</v>
      </c>
      <c r="P2980">
        <v>-23.173416565854836</v>
      </c>
      <c r="Q2980">
        <v>-3.2991105101758649</v>
      </c>
      <c r="R2980">
        <v>32.457195545872707</v>
      </c>
      <c r="S2980">
        <v>-3.2518856888383425</v>
      </c>
      <c r="T2980">
        <v>16.986805826402247</v>
      </c>
      <c r="U2980">
        <f>U2979-U2978</f>
        <v>-4.7754648175157968</v>
      </c>
      <c r="V2980" t="str">
        <f t="shared" si="273"/>
        <v>2017/18Expenditure driversTotal of the disaggregated areasDifference</v>
      </c>
    </row>
    <row r="2981" spans="1:22">
      <c r="A2981" t="s">
        <v>139</v>
      </c>
      <c r="C2981" t="s">
        <v>1344</v>
      </c>
      <c r="D2981" t="s">
        <v>111</v>
      </c>
      <c r="E2981" t="s">
        <v>1346</v>
      </c>
      <c r="F2981" t="s">
        <v>606</v>
      </c>
      <c r="G2981" s="829">
        <v>-3.0071336850742005E-2</v>
      </c>
      <c r="H2981" s="829">
        <v>-4.6477523930001124E-2</v>
      </c>
      <c r="I2981" s="829">
        <v>-0.11477135881470281</v>
      </c>
      <c r="J2981" s="829">
        <v>2.5707402701248144E-2</v>
      </c>
      <c r="K2981" s="829">
        <v>8.170165476806393E-2</v>
      </c>
      <c r="L2981" s="829">
        <v>-6.6943439222128157E-2</v>
      </c>
      <c r="M2981" s="829">
        <v>5.4366870260505691E-2</v>
      </c>
      <c r="N2981" s="829">
        <v>-7.9565368217376753E-2</v>
      </c>
      <c r="O2981" s="829">
        <v>-0.16734393553815072</v>
      </c>
      <c r="P2981" s="829">
        <v>-5.5819533921446687E-2</v>
      </c>
      <c r="Q2981" s="829">
        <v>-1.2403702198273921E-2</v>
      </c>
      <c r="R2981" s="829">
        <v>0.11444267453062282</v>
      </c>
      <c r="S2981" s="829">
        <v>-1.840028068598781E-2</v>
      </c>
      <c r="T2981" s="829">
        <v>4.3918181722154101E-2</v>
      </c>
      <c r="U2981" s="829">
        <f>U2980/U2978</f>
        <v>-1.6812044648953289E-2</v>
      </c>
      <c r="V2981" t="str">
        <f t="shared" si="273"/>
        <v>2017/18Expenditure driversTotal of the disaggregated areasDifference %</v>
      </c>
    </row>
    <row r="2982" spans="1:22">
      <c r="A2982" t="s">
        <v>140</v>
      </c>
      <c r="C2982" t="s">
        <v>1344</v>
      </c>
      <c r="D2982" t="s">
        <v>111</v>
      </c>
      <c r="E2982" t="s">
        <v>297</v>
      </c>
      <c r="F2982" t="s">
        <v>1289</v>
      </c>
      <c r="G2982">
        <f t="array" ref="G2982:T2985">TRANSPOSE('Ch4 expenditure drivers'!AU894:AX907)</f>
        <v>292.40290600710722</v>
      </c>
      <c r="H2982">
        <v>209.29653426778097</v>
      </c>
      <c r="I2982">
        <v>285.36167471693307</v>
      </c>
      <c r="J2982">
        <v>327.30652304094292</v>
      </c>
      <c r="K2982">
        <v>320.14849090960763</v>
      </c>
      <c r="L2982">
        <v>189.07751184865833</v>
      </c>
      <c r="M2982">
        <v>272.08740093367908</v>
      </c>
      <c r="N2982">
        <v>280.57570855823076</v>
      </c>
      <c r="O2982">
        <v>276.50708754521082</v>
      </c>
      <c r="P2982">
        <v>412.47196552412112</v>
      </c>
      <c r="Q2982">
        <v>248.76435575592586</v>
      </c>
      <c r="R2982">
        <v>258.18876777409349</v>
      </c>
      <c r="S2982">
        <v>177.1599752968776</v>
      </c>
      <c r="T2982">
        <v>390.31130131987436</v>
      </c>
      <c r="U2982">
        <f>AVERAGE(G2982:T2982)</f>
        <v>281.40430024993168</v>
      </c>
      <c r="V2982" t="str">
        <f t="shared" si="273"/>
        <v>2018/19Expenditure driversTotal of the disaggregated areasAllowance</v>
      </c>
    </row>
    <row r="2983" spans="1:22">
      <c r="A2983" t="s">
        <v>140</v>
      </c>
      <c r="C2983" t="s">
        <v>1344</v>
      </c>
      <c r="D2983" t="s">
        <v>111</v>
      </c>
      <c r="E2983" t="s">
        <v>298</v>
      </c>
      <c r="F2983" t="s">
        <v>1289</v>
      </c>
      <c r="G2983">
        <v>289.66489303160569</v>
      </c>
      <c r="H2983">
        <v>208.11899967261161</v>
      </c>
      <c r="I2983">
        <v>263.60792244434816</v>
      </c>
      <c r="J2983">
        <v>286.85376479944085</v>
      </c>
      <c r="K2983">
        <v>296.70027002202551</v>
      </c>
      <c r="L2983">
        <v>163.31006399325119</v>
      </c>
      <c r="M2983">
        <v>242.53943910443755</v>
      </c>
      <c r="N2983">
        <v>251.44904967605484</v>
      </c>
      <c r="O2983">
        <v>250.20778229317912</v>
      </c>
      <c r="P2983">
        <v>375.52445450092131</v>
      </c>
      <c r="Q2983">
        <v>282.10539566485062</v>
      </c>
      <c r="R2983">
        <v>320.23952179073655</v>
      </c>
      <c r="S2983">
        <v>188.847224852979</v>
      </c>
      <c r="T2983">
        <v>382.77068916870371</v>
      </c>
      <c r="U2983">
        <f>AVERAGE(G2983:T2983)</f>
        <v>271.5671050725104</v>
      </c>
      <c r="V2983" t="str">
        <f t="shared" si="273"/>
        <v>2018/19Expenditure driversTotal of the disaggregated areasActual</v>
      </c>
    </row>
    <row r="2984" spans="1:22">
      <c r="A2984" t="s">
        <v>140</v>
      </c>
      <c r="C2984" t="s">
        <v>1344</v>
      </c>
      <c r="D2984" t="s">
        <v>111</v>
      </c>
      <c r="E2984" t="s">
        <v>602</v>
      </c>
      <c r="F2984" t="s">
        <v>1289</v>
      </c>
      <c r="G2984">
        <v>-2.7380129755015332</v>
      </c>
      <c r="H2984">
        <v>-1.1775345951693623</v>
      </c>
      <c r="I2984">
        <v>-21.753752272584904</v>
      </c>
      <c r="J2984">
        <v>-40.452758241502067</v>
      </c>
      <c r="K2984">
        <v>-23.448220887582124</v>
      </c>
      <c r="L2984">
        <v>-25.767447855407141</v>
      </c>
      <c r="M2984">
        <v>-29.54796182924153</v>
      </c>
      <c r="N2984">
        <v>-29.126658882175917</v>
      </c>
      <c r="O2984">
        <v>-26.299305252031701</v>
      </c>
      <c r="P2984">
        <v>-36.947511023199809</v>
      </c>
      <c r="Q2984">
        <v>33.341039908924756</v>
      </c>
      <c r="R2984">
        <v>62.050754016643054</v>
      </c>
      <c r="S2984">
        <v>11.687249556101392</v>
      </c>
      <c r="T2984">
        <v>-7.5406121511706488</v>
      </c>
      <c r="U2984">
        <f>U2983-U2982</f>
        <v>-9.8371951774212789</v>
      </c>
      <c r="V2984" t="str">
        <f t="shared" si="273"/>
        <v>2018/19Expenditure driversTotal of the disaggregated areasDifference</v>
      </c>
    </row>
    <row r="2985" spans="1:22">
      <c r="A2985" t="s">
        <v>140</v>
      </c>
      <c r="C2985" t="s">
        <v>1344</v>
      </c>
      <c r="D2985" t="s">
        <v>111</v>
      </c>
      <c r="E2985" t="s">
        <v>1346</v>
      </c>
      <c r="F2985" t="s">
        <v>606</v>
      </c>
      <c r="G2985" s="829">
        <v>-9.3638364026210549E-3</v>
      </c>
      <c r="H2985" s="829">
        <v>-5.6261542948570055E-3</v>
      </c>
      <c r="I2985" s="829">
        <v>-7.6232214063657017E-2</v>
      </c>
      <c r="J2985" s="829">
        <v>-0.12359288738172143</v>
      </c>
      <c r="K2985" s="829">
        <v>-7.3241703626217042E-2</v>
      </c>
      <c r="L2985" s="829">
        <v>-0.13627981246142035</v>
      </c>
      <c r="M2985" s="829">
        <v>-0.10859731736143051</v>
      </c>
      <c r="N2985" s="829">
        <v>-0.10381033708101983</v>
      </c>
      <c r="O2985" s="829">
        <v>-9.5112590008137071E-2</v>
      </c>
      <c r="P2985" s="829">
        <v>-8.9575811476669043E-2</v>
      </c>
      <c r="Q2985" s="829">
        <v>0.13402659640530326</v>
      </c>
      <c r="R2985" s="829">
        <v>0.24033095843633051</v>
      </c>
      <c r="S2985" s="829">
        <v>6.5970033787351612E-2</v>
      </c>
      <c r="T2985" s="829">
        <v>-1.9319481976748713E-2</v>
      </c>
      <c r="U2985" s="829">
        <f>U2984/U2982</f>
        <v>-3.4957515463282858E-2</v>
      </c>
      <c r="V2985" t="str">
        <f t="shared" si="273"/>
        <v>2018/19Expenditure driversTotal of the disaggregated areasDifference %</v>
      </c>
    </row>
    <row r="2986" spans="1:22">
      <c r="A2986" t="s">
        <v>141</v>
      </c>
      <c r="C2986" t="s">
        <v>1344</v>
      </c>
      <c r="D2986" t="s">
        <v>111</v>
      </c>
      <c r="E2986" t="s">
        <v>297</v>
      </c>
      <c r="F2986" t="s">
        <v>1289</v>
      </c>
      <c r="G2986" s="229">
        <f t="array" ref="G2986:T2989">TRANSPOSE('Ch4 expenditure drivers'!AZ894:BC907)</f>
        <v>293.02770465886545</v>
      </c>
      <c r="H2986" s="229">
        <v>206.41064352775035</v>
      </c>
      <c r="I2986" s="229">
        <v>271.2391343893014</v>
      </c>
      <c r="J2986" s="229">
        <v>335.883019662327</v>
      </c>
      <c r="K2986" s="229">
        <v>315.70332707254886</v>
      </c>
      <c r="L2986" s="229">
        <v>173.20083723217897</v>
      </c>
      <c r="M2986" s="229">
        <v>266.76467096444514</v>
      </c>
      <c r="N2986" s="229">
        <v>285.22661195040257</v>
      </c>
      <c r="O2986" s="229">
        <v>264.35938499997826</v>
      </c>
      <c r="P2986" s="229">
        <v>406.74529037321901</v>
      </c>
      <c r="Q2986" s="229">
        <v>240.2262875779453</v>
      </c>
      <c r="R2986" s="229">
        <v>255.57046009550479</v>
      </c>
      <c r="S2986" s="229">
        <v>178.57576524987712</v>
      </c>
      <c r="T2986" s="229">
        <v>348.10256146591519</v>
      </c>
      <c r="U2986" s="229">
        <f>AVERAGE(G2986:T2986)</f>
        <v>274.35969280144707</v>
      </c>
      <c r="V2986" t="str">
        <f t="shared" si="273"/>
        <v>2019/20Expenditure driversTotal of the disaggregated areasAllowance</v>
      </c>
    </row>
    <row r="2987" spans="1:22">
      <c r="A2987" t="s">
        <v>141</v>
      </c>
      <c r="C2987" t="s">
        <v>1344</v>
      </c>
      <c r="D2987" t="s">
        <v>111</v>
      </c>
      <c r="E2987" t="s">
        <v>298</v>
      </c>
      <c r="F2987" t="s">
        <v>1289</v>
      </c>
      <c r="G2987" s="229">
        <v>268.81052364282954</v>
      </c>
      <c r="H2987" s="229">
        <v>233.4875393352541</v>
      </c>
      <c r="I2987" s="229">
        <v>290.21318499728466</v>
      </c>
      <c r="J2987" s="229">
        <v>285.40702632861047</v>
      </c>
      <c r="K2987" s="229">
        <v>313.9044878895686</v>
      </c>
      <c r="L2987" s="229">
        <v>152.61775204547172</v>
      </c>
      <c r="M2987" s="229">
        <v>258.31621107548119</v>
      </c>
      <c r="N2987" s="229">
        <v>251.33149724202579</v>
      </c>
      <c r="O2987" s="229">
        <v>242.62911640068566</v>
      </c>
      <c r="P2987" s="229">
        <v>389.1104015172391</v>
      </c>
      <c r="Q2987" s="229">
        <v>272.06671011244248</v>
      </c>
      <c r="R2987" s="229">
        <v>292.45524320066448</v>
      </c>
      <c r="S2987" s="229">
        <v>187.44047829485896</v>
      </c>
      <c r="T2987" s="229">
        <v>411.69564676795153</v>
      </c>
      <c r="U2987" s="229">
        <f>AVERAGE(G2987:T2987)</f>
        <v>274.96327277502627</v>
      </c>
      <c r="V2987" t="str">
        <f t="shared" si="273"/>
        <v>2019/20Expenditure driversTotal of the disaggregated areasActual</v>
      </c>
    </row>
    <row r="2988" spans="1:22">
      <c r="A2988" t="s">
        <v>141</v>
      </c>
      <c r="C2988" t="s">
        <v>1344</v>
      </c>
      <c r="D2988" t="s">
        <v>111</v>
      </c>
      <c r="E2988" t="s">
        <v>602</v>
      </c>
      <c r="F2988" t="s">
        <v>1289</v>
      </c>
      <c r="G2988" s="229">
        <v>-24.217181016035909</v>
      </c>
      <c r="H2988" s="229">
        <v>27.076895807503746</v>
      </c>
      <c r="I2988" s="229">
        <v>18.974050607983258</v>
      </c>
      <c r="J2988" s="229">
        <v>-50.475993333716531</v>
      </c>
      <c r="K2988" s="229">
        <v>-1.7988391829802595</v>
      </c>
      <c r="L2988" s="229">
        <v>-20.583085186707251</v>
      </c>
      <c r="M2988" s="229">
        <v>-8.4484598889639528</v>
      </c>
      <c r="N2988" s="229">
        <v>-33.895114708376781</v>
      </c>
      <c r="O2988" s="229">
        <v>-21.7302685992926</v>
      </c>
      <c r="P2988" s="229">
        <v>-17.634888855979909</v>
      </c>
      <c r="Q2988" s="229">
        <v>31.840422534497179</v>
      </c>
      <c r="R2988" s="229">
        <v>36.884783105159698</v>
      </c>
      <c r="S2988" s="229">
        <v>8.8647130449818405</v>
      </c>
      <c r="T2988" s="229">
        <v>63.593085302036343</v>
      </c>
      <c r="U2988" s="229">
        <f>U2987-U2986</f>
        <v>0.60357997357920112</v>
      </c>
      <c r="V2988" t="str">
        <f t="shared" si="273"/>
        <v>2019/20Expenditure driversTotal of the disaggregated areasDifference</v>
      </c>
    </row>
    <row r="2989" spans="1:22">
      <c r="A2989" t="s">
        <v>141</v>
      </c>
      <c r="C2989" t="s">
        <v>1344</v>
      </c>
      <c r="D2989" t="s">
        <v>111</v>
      </c>
      <c r="E2989" t="s">
        <v>1346</v>
      </c>
      <c r="F2989" t="s">
        <v>606</v>
      </c>
      <c r="G2989" s="829">
        <v>-8.2644680455142852E-2</v>
      </c>
      <c r="H2989" s="829">
        <v>0.13117974608641469</v>
      </c>
      <c r="I2989" s="829">
        <v>6.9953219142597514E-2</v>
      </c>
      <c r="J2989" s="829">
        <v>-0.15027849095932722</v>
      </c>
      <c r="K2989" s="829">
        <v>-5.6978784470234139E-3</v>
      </c>
      <c r="L2989" s="829">
        <v>-0.11883940929867007</v>
      </c>
      <c r="M2989" s="829">
        <v>-3.1670085316844593E-2</v>
      </c>
      <c r="N2989" s="829">
        <v>-0.11883573722872229</v>
      </c>
      <c r="O2989" s="829">
        <v>-8.2199724436847157E-2</v>
      </c>
      <c r="P2989" s="829">
        <v>-4.3356098456108952E-2</v>
      </c>
      <c r="Q2989" s="829">
        <v>0.13254345665299447</v>
      </c>
      <c r="R2989" s="829">
        <v>0.14432334273443076</v>
      </c>
      <c r="S2989" s="829">
        <v>4.9641187495837652E-2</v>
      </c>
      <c r="T2989" s="829">
        <v>0.18268491054543165</v>
      </c>
      <c r="U2989" s="829">
        <f>U2988/U2986</f>
        <v>2.199958628820923E-3</v>
      </c>
      <c r="V2989" t="str">
        <f t="shared" si="273"/>
        <v>2019/20Expenditure driversTotal of the disaggregated areasDifference %</v>
      </c>
    </row>
    <row r="2990" spans="1:22">
      <c r="A2990" t="s">
        <v>126</v>
      </c>
      <c r="C2990" t="s">
        <v>1344</v>
      </c>
      <c r="D2990" t="s">
        <v>111</v>
      </c>
      <c r="E2990" t="s">
        <v>297</v>
      </c>
      <c r="F2990" t="s">
        <v>1289</v>
      </c>
      <c r="G2990" s="229" cm="1">
        <f t="array" ref="G2990:T2993">TRANSPOSE('Ch4 expenditure drivers'!BE894:BH907)</f>
        <v>292.89576315042558</v>
      </c>
      <c r="H2990" s="229">
        <v>189.54303955786645</v>
      </c>
      <c r="I2990" s="229">
        <v>257.16320669522031</v>
      </c>
      <c r="J2990" s="229">
        <v>334.61594980481254</v>
      </c>
      <c r="K2990" s="229">
        <v>324.73255454726859</v>
      </c>
      <c r="L2990" s="229">
        <v>158.49374399918483</v>
      </c>
      <c r="M2990" s="229">
        <v>266.50783225722165</v>
      </c>
      <c r="N2990" s="229">
        <v>271.10363105100754</v>
      </c>
      <c r="O2990" s="229">
        <v>255.69356862383333</v>
      </c>
      <c r="P2990" s="229">
        <v>388.02086893496266</v>
      </c>
      <c r="Q2990" s="229">
        <v>230.28497419613541</v>
      </c>
      <c r="R2990" s="229">
        <v>258.98677350817172</v>
      </c>
      <c r="S2990" s="229">
        <v>176.76129845853339</v>
      </c>
      <c r="T2990" s="229">
        <v>354.39218122020509</v>
      </c>
      <c r="U2990" s="229">
        <f>AVERAGE(G2990:T2990)</f>
        <v>268.51395614320353</v>
      </c>
      <c r="V2990" t="str">
        <f t="shared" si="273"/>
        <v>2020/21Expenditure driversTotal of the disaggregated areasAllowance</v>
      </c>
    </row>
    <row r="2991" spans="1:22">
      <c r="A2991" t="s">
        <v>126</v>
      </c>
      <c r="C2991" t="s">
        <v>1344</v>
      </c>
      <c r="D2991" t="s">
        <v>111</v>
      </c>
      <c r="E2991" t="s">
        <v>298</v>
      </c>
      <c r="F2991" t="s">
        <v>1289</v>
      </c>
      <c r="G2991" s="229">
        <v>256.1404433339959</v>
      </c>
      <c r="H2991" s="229">
        <v>228.23408893000109</v>
      </c>
      <c r="I2991" s="229">
        <v>283.08916557824716</v>
      </c>
      <c r="J2991" s="229">
        <v>327.22694182875034</v>
      </c>
      <c r="K2991" s="229">
        <v>319.60516325148643</v>
      </c>
      <c r="L2991" s="229">
        <v>174.1386633871237</v>
      </c>
      <c r="M2991" s="229">
        <v>244.7648559811264</v>
      </c>
      <c r="N2991" s="229">
        <v>247.51079026403517</v>
      </c>
      <c r="O2991" s="229">
        <v>233.62369618119752</v>
      </c>
      <c r="P2991" s="229">
        <v>381.63423511150023</v>
      </c>
      <c r="Q2991" s="229">
        <v>265.61115867625284</v>
      </c>
      <c r="R2991" s="229">
        <v>266.06688459925937</v>
      </c>
      <c r="S2991" s="229">
        <v>207.75069304336645</v>
      </c>
      <c r="T2991" s="229">
        <v>400.39438744194683</v>
      </c>
      <c r="U2991" s="229">
        <f>AVERAGE(G2991:T2991)</f>
        <v>273.98508340059209</v>
      </c>
      <c r="V2991" t="str">
        <f t="shared" si="273"/>
        <v>2020/21Expenditure driversTotal of the disaggregated areasActual</v>
      </c>
    </row>
    <row r="2992" spans="1:22">
      <c r="A2992" t="s">
        <v>126</v>
      </c>
      <c r="C2992" t="s">
        <v>1344</v>
      </c>
      <c r="D2992" t="s">
        <v>111</v>
      </c>
      <c r="E2992" t="s">
        <v>602</v>
      </c>
      <c r="F2992" t="s">
        <v>1289</v>
      </c>
      <c r="G2992" s="229">
        <v>-36.755319816429676</v>
      </c>
      <c r="H2992" s="229">
        <v>38.691049372134643</v>
      </c>
      <c r="I2992" s="229">
        <v>25.925958883026851</v>
      </c>
      <c r="J2992" s="229">
        <v>-7.3890079760622029</v>
      </c>
      <c r="K2992" s="229">
        <v>-5.1273912957821608</v>
      </c>
      <c r="L2992" s="229">
        <v>15.64491938793887</v>
      </c>
      <c r="M2992" s="229">
        <v>-21.742976276095249</v>
      </c>
      <c r="N2992" s="229">
        <v>-23.592840786972374</v>
      </c>
      <c r="O2992" s="229">
        <v>-22.069872442635813</v>
      </c>
      <c r="P2992" s="229">
        <v>-6.3866338234624322</v>
      </c>
      <c r="Q2992" s="229">
        <v>35.326184480117433</v>
      </c>
      <c r="R2992" s="229">
        <v>7.0801110910876446</v>
      </c>
      <c r="S2992" s="229">
        <v>30.989394584833065</v>
      </c>
      <c r="T2992" s="229">
        <v>46.002206221741744</v>
      </c>
      <c r="U2992" s="229">
        <f>U2991-U2990</f>
        <v>5.4711272573885594</v>
      </c>
      <c r="V2992" t="str">
        <f t="shared" si="273"/>
        <v>2020/21Expenditure driversTotal of the disaggregated areasDifference</v>
      </c>
    </row>
    <row r="2993" spans="1:22">
      <c r="A2993" t="s">
        <v>126</v>
      </c>
      <c r="C2993" t="s">
        <v>1344</v>
      </c>
      <c r="D2993" t="s">
        <v>111</v>
      </c>
      <c r="E2993" t="s">
        <v>1346</v>
      </c>
      <c r="F2993" t="s">
        <v>606</v>
      </c>
      <c r="G2993" s="829">
        <v>-0.12548942129133106</v>
      </c>
      <c r="H2993" s="829">
        <v>0.20412804111607843</v>
      </c>
      <c r="I2993" s="829">
        <v>0.10081519520696161</v>
      </c>
      <c r="J2993" s="829">
        <v>-2.2082055503846554E-2</v>
      </c>
      <c r="K2993" s="829">
        <v>-1.5789581992882114E-2</v>
      </c>
      <c r="L2993" s="829">
        <v>9.871001210003176E-2</v>
      </c>
      <c r="M2993" s="829">
        <v>-8.1584755284452137E-2</v>
      </c>
      <c r="N2993" s="829">
        <v>-8.7025174452692713E-2</v>
      </c>
      <c r="O2993" s="829">
        <v>-8.6313756585345208E-2</v>
      </c>
      <c r="P2993" s="829">
        <v>-1.6459511162356874E-2</v>
      </c>
      <c r="Q2993" s="829">
        <v>0.15340203851090112</v>
      </c>
      <c r="R2993" s="829">
        <v>2.7337732329656011E-2</v>
      </c>
      <c r="S2993" s="829">
        <v>0.17531775821449341</v>
      </c>
      <c r="T2993" s="829">
        <v>0.1298059287407298</v>
      </c>
      <c r="U2993" s="829">
        <f>U2992/U2990</f>
        <v>2.0375578744483227E-2</v>
      </c>
      <c r="V2993" t="str">
        <f t="shared" si="273"/>
        <v>2020/21Expenditure driversTotal of the disaggregated areasDifference %</v>
      </c>
    </row>
    <row r="2994" spans="1:22">
      <c r="A2994" t="s">
        <v>142</v>
      </c>
      <c r="C2994" t="s">
        <v>1344</v>
      </c>
      <c r="D2994" t="s">
        <v>111</v>
      </c>
      <c r="E2994" t="s">
        <v>297</v>
      </c>
      <c r="F2994" t="s">
        <v>1289</v>
      </c>
      <c r="G2994" s="229" cm="1">
        <f t="array" ref="G2994:T2997">TRANSPOSE('Ch4 expenditure drivers'!BJ894:BM907)</f>
        <v>295.9503803639787</v>
      </c>
      <c r="H2994" s="229">
        <v>177.58966628708043</v>
      </c>
      <c r="I2994" s="229">
        <v>240.0438971979161</v>
      </c>
      <c r="J2994" s="229">
        <v>332.5309037568511</v>
      </c>
      <c r="K2994" s="229">
        <v>342.35808749096338</v>
      </c>
      <c r="L2994" s="229">
        <v>152.75088862752727</v>
      </c>
      <c r="M2994" s="229">
        <v>266.80002292735384</v>
      </c>
      <c r="N2994" s="229">
        <v>253.14031996946576</v>
      </c>
      <c r="O2994" s="229">
        <v>255.91831560207606</v>
      </c>
      <c r="P2994" s="229">
        <v>383.30175730402692</v>
      </c>
      <c r="Q2994" s="229">
        <v>218.87696418030436</v>
      </c>
      <c r="R2994" s="229">
        <v>239.62405710724602</v>
      </c>
      <c r="S2994" s="229">
        <v>180.73646787291582</v>
      </c>
      <c r="T2994" s="229">
        <v>358.81343009228692</v>
      </c>
      <c r="U2994" s="229">
        <f>AVERAGE(G2994:T2994)</f>
        <v>264.17393991285661</v>
      </c>
      <c r="V2994" t="str">
        <f t="shared" ref="V2994:V2997" si="277">CONCATENATE(A2994,B2994,C2994,D2994,E2994)</f>
        <v>2021/22Expenditure driversTotal of the disaggregated areasAllowance</v>
      </c>
    </row>
    <row r="2995" spans="1:22">
      <c r="A2995" t="s">
        <v>142</v>
      </c>
      <c r="C2995" t="s">
        <v>1344</v>
      </c>
      <c r="D2995" t="s">
        <v>111</v>
      </c>
      <c r="E2995" t="s">
        <v>298</v>
      </c>
      <c r="F2995" t="s">
        <v>1289</v>
      </c>
      <c r="G2995" s="229">
        <v>270.72835515288955</v>
      </c>
      <c r="H2995" s="229">
        <v>208.67023956314461</v>
      </c>
      <c r="I2995" s="229">
        <v>278.90189632159894</v>
      </c>
      <c r="J2995" s="229">
        <v>356.92390000000006</v>
      </c>
      <c r="K2995" s="229">
        <v>328.67520000000007</v>
      </c>
      <c r="L2995" s="229">
        <v>172.60070000000002</v>
      </c>
      <c r="M2995" s="229">
        <v>247.1833</v>
      </c>
      <c r="N2995" s="229">
        <v>254.62468870058277</v>
      </c>
      <c r="O2995" s="229">
        <v>239.35364193090712</v>
      </c>
      <c r="P2995" s="229">
        <v>381.2735274306628</v>
      </c>
      <c r="Q2995" s="229">
        <v>245.37024437610518</v>
      </c>
      <c r="R2995" s="229">
        <v>269.27085163377984</v>
      </c>
      <c r="S2995" s="229">
        <v>245.12888583065967</v>
      </c>
      <c r="T2995" s="229">
        <v>366.51058059147425</v>
      </c>
      <c r="U2995" s="229">
        <f>AVERAGE(G2995:T2995)</f>
        <v>276.08685796655749</v>
      </c>
      <c r="V2995" t="str">
        <f t="shared" si="277"/>
        <v>2021/22Expenditure driversTotal of the disaggregated areasActual</v>
      </c>
    </row>
    <row r="2996" spans="1:22">
      <c r="A2996" t="s">
        <v>142</v>
      </c>
      <c r="C2996" t="s">
        <v>1344</v>
      </c>
      <c r="D2996" t="s">
        <v>111</v>
      </c>
      <c r="E2996" t="s">
        <v>602</v>
      </c>
      <c r="F2996" t="s">
        <v>1289</v>
      </c>
      <c r="G2996" s="229">
        <v>-25.222025211089147</v>
      </c>
      <c r="H2996" s="229">
        <v>31.080573276064172</v>
      </c>
      <c r="I2996" s="229">
        <v>38.857999123682845</v>
      </c>
      <c r="J2996" s="229">
        <v>24.392996243148957</v>
      </c>
      <c r="K2996" s="229">
        <v>-13.68288749096331</v>
      </c>
      <c r="L2996" s="229">
        <v>19.849811372472743</v>
      </c>
      <c r="M2996" s="229">
        <v>-19.616722927353834</v>
      </c>
      <c r="N2996" s="229">
        <v>1.4843687311170015</v>
      </c>
      <c r="O2996" s="229">
        <v>-16.564673671168947</v>
      </c>
      <c r="P2996" s="229">
        <v>-2.0282298733641255</v>
      </c>
      <c r="Q2996" s="229">
        <v>26.493280195800821</v>
      </c>
      <c r="R2996" s="229">
        <v>29.646794526533824</v>
      </c>
      <c r="S2996" s="229">
        <v>64.392417957743845</v>
      </c>
      <c r="T2996" s="229">
        <v>7.6971504991873303</v>
      </c>
      <c r="U2996" s="229">
        <f>U2995-U2994</f>
        <v>11.912918053700878</v>
      </c>
      <c r="V2996" t="str">
        <f t="shared" si="277"/>
        <v>2021/22Expenditure driversTotal of the disaggregated areasDifference</v>
      </c>
    </row>
    <row r="2997" spans="1:22">
      <c r="A2997" t="s">
        <v>142</v>
      </c>
      <c r="C2997" t="s">
        <v>1344</v>
      </c>
      <c r="D2997" t="s">
        <v>111</v>
      </c>
      <c r="E2997" t="s">
        <v>1346</v>
      </c>
      <c r="F2997" t="s">
        <v>606</v>
      </c>
      <c r="G2997" s="829">
        <v>-8.5223831035694184E-2</v>
      </c>
      <c r="H2997" s="829">
        <v>0.17501341111718316</v>
      </c>
      <c r="I2997" s="829">
        <v>0.16187872125590613</v>
      </c>
      <c r="J2997" s="829">
        <v>7.3355576782677873E-2</v>
      </c>
      <c r="K2997" s="829">
        <v>-3.9966596353078622E-2</v>
      </c>
      <c r="L2997" s="829">
        <v>0.12994890930471226</v>
      </c>
      <c r="M2997" s="829">
        <v>-7.3525941685152002E-2</v>
      </c>
      <c r="N2997" s="829">
        <v>5.8638178670867161E-3</v>
      </c>
      <c r="O2997" s="829">
        <v>-6.4726409409966323E-2</v>
      </c>
      <c r="P2997" s="829">
        <v>-5.2914703225724483E-3</v>
      </c>
      <c r="Q2997" s="829">
        <v>0.12104188439847166</v>
      </c>
      <c r="R2997" s="829">
        <v>0.12372211239735884</v>
      </c>
      <c r="S2997" s="829">
        <v>0.35627794830549159</v>
      </c>
      <c r="T2997" s="829">
        <v>2.1451678932997632E-2</v>
      </c>
      <c r="U2997" s="829">
        <f>U2996/U2994</f>
        <v>4.5094978170937702E-2</v>
      </c>
      <c r="V2997" t="str">
        <f t="shared" si="277"/>
        <v>2021/22Expenditure driversTotal of the disaggregated areasDifference %</v>
      </c>
    </row>
    <row r="2998" spans="1:22">
      <c r="A2998" t="s">
        <v>137</v>
      </c>
      <c r="C2998" t="s">
        <v>1344</v>
      </c>
      <c r="D2998" t="s">
        <v>113</v>
      </c>
      <c r="E2998" t="s">
        <v>1347</v>
      </c>
      <c r="F2998" t="s">
        <v>1289</v>
      </c>
      <c r="G2998">
        <f t="array" ref="G2998:T3005">TRANSPOSE('Ch4 expenditure drivers'!E914:L927)</f>
        <v>0</v>
      </c>
      <c r="H2998">
        <v>0</v>
      </c>
      <c r="I2998">
        <v>0</v>
      </c>
      <c r="J2998">
        <v>0</v>
      </c>
      <c r="K2998">
        <v>0</v>
      </c>
      <c r="L2998">
        <v>0</v>
      </c>
      <c r="M2998">
        <v>0</v>
      </c>
      <c r="N2998">
        <v>0</v>
      </c>
      <c r="O2998">
        <v>0</v>
      </c>
      <c r="P2998">
        <v>0</v>
      </c>
      <c r="Q2998">
        <v>0</v>
      </c>
      <c r="R2998">
        <v>0</v>
      </c>
      <c r="S2998">
        <v>0</v>
      </c>
      <c r="T2998">
        <v>0</v>
      </c>
      <c r="U2998">
        <f>AVERAGE(G2998:T2998)</f>
        <v>0</v>
      </c>
      <c r="V2998" t="str">
        <f t="shared" si="273"/>
        <v>2015/16Expenditure driversPolicy Adjustments (Forecast DRS 8, Disposals, Shetland Competitive Process, Shetland Uncertain Energy, WSC, Atypicals)BPDT</v>
      </c>
    </row>
    <row r="2999" spans="1:22">
      <c r="A2999" t="s">
        <v>138</v>
      </c>
      <c r="C2999" t="s">
        <v>1344</v>
      </c>
      <c r="D2999" t="s">
        <v>113</v>
      </c>
      <c r="E2999" t="s">
        <v>1347</v>
      </c>
      <c r="F2999" t="s">
        <v>1289</v>
      </c>
      <c r="G2999">
        <v>0</v>
      </c>
      <c r="H2999">
        <v>0</v>
      </c>
      <c r="I2999">
        <v>0</v>
      </c>
      <c r="J2999">
        <v>0</v>
      </c>
      <c r="K2999">
        <v>0</v>
      </c>
      <c r="L2999">
        <v>0</v>
      </c>
      <c r="M2999">
        <v>0</v>
      </c>
      <c r="N2999">
        <v>0</v>
      </c>
      <c r="O2999">
        <v>0</v>
      </c>
      <c r="P2999">
        <v>0</v>
      </c>
      <c r="Q2999">
        <v>0</v>
      </c>
      <c r="R2999">
        <v>0</v>
      </c>
      <c r="S2999">
        <v>0</v>
      </c>
      <c r="T2999">
        <v>0</v>
      </c>
      <c r="U2999">
        <f t="shared" ref="U2999:U3031" si="278">AVERAGE(G2999:T2999)</f>
        <v>0</v>
      </c>
      <c r="V2999" t="str">
        <f t="shared" si="273"/>
        <v>2016/17Expenditure driversPolicy Adjustments (Forecast DRS 8, Disposals, Shetland Competitive Process, Shetland Uncertain Energy, WSC, Atypicals)BPDT</v>
      </c>
    </row>
    <row r="3000" spans="1:22">
      <c r="A3000" t="s">
        <v>139</v>
      </c>
      <c r="C3000" t="s">
        <v>1344</v>
      </c>
      <c r="D3000" t="s">
        <v>113</v>
      </c>
      <c r="E3000" t="s">
        <v>1347</v>
      </c>
      <c r="F3000" t="s">
        <v>1289</v>
      </c>
      <c r="G3000">
        <v>0</v>
      </c>
      <c r="H3000">
        <v>0</v>
      </c>
      <c r="I3000">
        <v>0</v>
      </c>
      <c r="J3000">
        <v>0</v>
      </c>
      <c r="K3000">
        <v>0</v>
      </c>
      <c r="L3000">
        <v>0</v>
      </c>
      <c r="M3000">
        <v>0</v>
      </c>
      <c r="N3000">
        <v>0</v>
      </c>
      <c r="O3000">
        <v>0</v>
      </c>
      <c r="P3000">
        <v>0</v>
      </c>
      <c r="Q3000">
        <v>0</v>
      </c>
      <c r="R3000">
        <v>0</v>
      </c>
      <c r="S3000">
        <v>0</v>
      </c>
      <c r="T3000">
        <v>0</v>
      </c>
      <c r="U3000">
        <f t="shared" si="278"/>
        <v>0</v>
      </c>
      <c r="V3000" t="str">
        <f t="shared" si="273"/>
        <v>2017/18Expenditure driversPolicy Adjustments (Forecast DRS 8, Disposals, Shetland Competitive Process, Shetland Uncertain Energy, WSC, Atypicals)BPDT</v>
      </c>
    </row>
    <row r="3001" spans="1:22">
      <c r="A3001" t="s">
        <v>140</v>
      </c>
      <c r="C3001" t="s">
        <v>1344</v>
      </c>
      <c r="D3001" t="s">
        <v>113</v>
      </c>
      <c r="E3001" t="s">
        <v>1347</v>
      </c>
      <c r="F3001" t="s">
        <v>1289</v>
      </c>
      <c r="G3001">
        <v>0</v>
      </c>
      <c r="H3001">
        <v>0</v>
      </c>
      <c r="I3001">
        <v>0</v>
      </c>
      <c r="J3001">
        <v>0</v>
      </c>
      <c r="K3001">
        <v>0</v>
      </c>
      <c r="L3001">
        <v>0</v>
      </c>
      <c r="M3001">
        <v>0</v>
      </c>
      <c r="N3001">
        <v>0</v>
      </c>
      <c r="O3001">
        <v>0</v>
      </c>
      <c r="P3001">
        <v>0</v>
      </c>
      <c r="Q3001">
        <v>0</v>
      </c>
      <c r="R3001">
        <v>0</v>
      </c>
      <c r="S3001">
        <v>0</v>
      </c>
      <c r="T3001">
        <v>0</v>
      </c>
      <c r="U3001">
        <f t="shared" si="278"/>
        <v>0</v>
      </c>
      <c r="V3001" t="str">
        <f t="shared" si="273"/>
        <v>2018/19Expenditure driversPolicy Adjustments (Forecast DRS 8, Disposals, Shetland Competitive Process, Shetland Uncertain Energy, WSC, Atypicals)BPDT</v>
      </c>
    </row>
    <row r="3002" spans="1:22">
      <c r="A3002" t="s">
        <v>141</v>
      </c>
      <c r="C3002" t="s">
        <v>1344</v>
      </c>
      <c r="D3002" t="s">
        <v>113</v>
      </c>
      <c r="E3002" t="s">
        <v>1347</v>
      </c>
      <c r="F3002" t="s">
        <v>1289</v>
      </c>
      <c r="G3002">
        <v>0</v>
      </c>
      <c r="H3002">
        <v>0</v>
      </c>
      <c r="I3002">
        <v>0</v>
      </c>
      <c r="J3002">
        <v>0</v>
      </c>
      <c r="K3002">
        <v>0</v>
      </c>
      <c r="L3002">
        <v>0</v>
      </c>
      <c r="M3002">
        <v>0</v>
      </c>
      <c r="N3002">
        <v>0</v>
      </c>
      <c r="O3002">
        <v>0</v>
      </c>
      <c r="P3002">
        <v>0</v>
      </c>
      <c r="Q3002">
        <v>0</v>
      </c>
      <c r="R3002">
        <v>0</v>
      </c>
      <c r="S3002">
        <v>0</v>
      </c>
      <c r="T3002">
        <v>0</v>
      </c>
      <c r="U3002">
        <f t="shared" si="278"/>
        <v>0</v>
      </c>
      <c r="V3002" t="str">
        <f t="shared" si="273"/>
        <v>2019/20Expenditure driversPolicy Adjustments (Forecast DRS 8, Disposals, Shetland Competitive Process, Shetland Uncertain Energy, WSC, Atypicals)BPDT</v>
      </c>
    </row>
    <row r="3003" spans="1:22">
      <c r="A3003" t="s">
        <v>126</v>
      </c>
      <c r="C3003" t="s">
        <v>1344</v>
      </c>
      <c r="D3003" t="s">
        <v>113</v>
      </c>
      <c r="E3003" t="s">
        <v>1347</v>
      </c>
      <c r="F3003" t="s">
        <v>1289</v>
      </c>
      <c r="G3003">
        <v>0</v>
      </c>
      <c r="H3003">
        <v>0</v>
      </c>
      <c r="I3003">
        <v>0</v>
      </c>
      <c r="J3003">
        <v>0</v>
      </c>
      <c r="K3003">
        <v>0</v>
      </c>
      <c r="L3003">
        <v>0</v>
      </c>
      <c r="M3003">
        <v>0</v>
      </c>
      <c r="N3003">
        <v>0</v>
      </c>
      <c r="O3003">
        <v>0</v>
      </c>
      <c r="P3003">
        <v>0</v>
      </c>
      <c r="Q3003">
        <v>0</v>
      </c>
      <c r="R3003">
        <v>0</v>
      </c>
      <c r="S3003">
        <v>0</v>
      </c>
      <c r="T3003">
        <v>0</v>
      </c>
      <c r="U3003">
        <f t="shared" si="278"/>
        <v>0</v>
      </c>
      <c r="V3003" t="str">
        <f t="shared" si="273"/>
        <v>2020/21Expenditure driversPolicy Adjustments (Forecast DRS 8, Disposals, Shetland Competitive Process, Shetland Uncertain Energy, WSC, Atypicals)BPDT</v>
      </c>
    </row>
    <row r="3004" spans="1:22">
      <c r="A3004" t="s">
        <v>142</v>
      </c>
      <c r="C3004" t="s">
        <v>1344</v>
      </c>
      <c r="D3004" t="s">
        <v>113</v>
      </c>
      <c r="E3004" t="s">
        <v>1347</v>
      </c>
      <c r="F3004" t="s">
        <v>1289</v>
      </c>
      <c r="G3004">
        <v>0</v>
      </c>
      <c r="H3004">
        <v>0</v>
      </c>
      <c r="I3004">
        <v>0</v>
      </c>
      <c r="J3004">
        <v>0</v>
      </c>
      <c r="K3004">
        <v>0</v>
      </c>
      <c r="L3004">
        <v>0</v>
      </c>
      <c r="M3004">
        <v>0</v>
      </c>
      <c r="N3004">
        <v>0</v>
      </c>
      <c r="O3004">
        <v>0</v>
      </c>
      <c r="P3004">
        <v>0</v>
      </c>
      <c r="Q3004">
        <v>0</v>
      </c>
      <c r="R3004">
        <v>0</v>
      </c>
      <c r="S3004">
        <v>0</v>
      </c>
      <c r="T3004">
        <v>0</v>
      </c>
      <c r="U3004">
        <f t="shared" si="278"/>
        <v>0</v>
      </c>
      <c r="V3004" t="str">
        <f t="shared" si="273"/>
        <v>2021/22Expenditure driversPolicy Adjustments (Forecast DRS 8, Disposals, Shetland Competitive Process, Shetland Uncertain Energy, WSC, Atypicals)BPDT</v>
      </c>
    </row>
    <row r="3005" spans="1:22">
      <c r="A3005" t="s">
        <v>143</v>
      </c>
      <c r="C3005" t="s">
        <v>1344</v>
      </c>
      <c r="D3005" t="s">
        <v>113</v>
      </c>
      <c r="E3005" t="s">
        <v>1347</v>
      </c>
      <c r="F3005" t="s">
        <v>1289</v>
      </c>
      <c r="G3005">
        <v>0</v>
      </c>
      <c r="H3005">
        <v>0</v>
      </c>
      <c r="I3005">
        <v>0</v>
      </c>
      <c r="J3005">
        <v>0</v>
      </c>
      <c r="K3005">
        <v>0</v>
      </c>
      <c r="L3005">
        <v>0</v>
      </c>
      <c r="M3005">
        <v>0</v>
      </c>
      <c r="N3005">
        <v>0</v>
      </c>
      <c r="O3005">
        <v>0</v>
      </c>
      <c r="P3005">
        <v>0</v>
      </c>
      <c r="Q3005">
        <v>0</v>
      </c>
      <c r="R3005">
        <v>0</v>
      </c>
      <c r="S3005">
        <v>0</v>
      </c>
      <c r="T3005">
        <v>0</v>
      </c>
      <c r="U3005">
        <f t="shared" si="278"/>
        <v>0</v>
      </c>
      <c r="V3005" t="str">
        <f t="shared" si="273"/>
        <v>2022/23Expenditure driversPolicy Adjustments (Forecast DRS 8, Disposals, Shetland Competitive Process, Shetland Uncertain Energy, WSC, Atypicals)BPDT</v>
      </c>
    </row>
    <row r="3006" spans="1:22">
      <c r="A3006" t="s">
        <v>137</v>
      </c>
      <c r="C3006" t="s">
        <v>1344</v>
      </c>
      <c r="D3006" t="s">
        <v>113</v>
      </c>
      <c r="E3006" t="s">
        <v>1348</v>
      </c>
      <c r="F3006" t="s">
        <v>1289</v>
      </c>
      <c r="G3006">
        <f t="array" ref="G3006:T3013">TRANSPOSE('Ch4 expenditure drivers'!N914:U927)</f>
        <v>0.93913681703103902</v>
      </c>
      <c r="H3006">
        <v>0.78050105487187738</v>
      </c>
      <c r="I3006">
        <v>1.260606623678445</v>
      </c>
      <c r="J3006">
        <v>0.89630027020463887</v>
      </c>
      <c r="K3006">
        <v>0.82139275617427587</v>
      </c>
      <c r="L3006">
        <v>9.5351092574961577E-2</v>
      </c>
      <c r="M3006">
        <v>0.12449614351296867</v>
      </c>
      <c r="N3006">
        <v>0</v>
      </c>
      <c r="O3006">
        <v>0.43696821372085182</v>
      </c>
      <c r="P3006">
        <v>1.976968748856367</v>
      </c>
      <c r="Q3006">
        <v>-0.89020946153060176</v>
      </c>
      <c r="R3006">
        <v>1.5279515865325446</v>
      </c>
      <c r="S3006">
        <v>28.175889212868494</v>
      </c>
      <c r="T3006">
        <v>0.30153612632769111</v>
      </c>
      <c r="U3006">
        <f t="shared" si="278"/>
        <v>2.6033492274873966</v>
      </c>
      <c r="V3006" t="str">
        <f t="shared" si="273"/>
        <v>2015/16Expenditure driversPolicy Adjustments (Forecast DRS 8, Disposals, Shetland Competitive Process, Shetland Uncertain Energy, WSC, Atypicals)DNO Baseline</v>
      </c>
    </row>
    <row r="3007" spans="1:22">
      <c r="A3007" t="s">
        <v>138</v>
      </c>
      <c r="C3007" t="s">
        <v>1344</v>
      </c>
      <c r="D3007" t="s">
        <v>113</v>
      </c>
      <c r="E3007" t="s">
        <v>1348</v>
      </c>
      <c r="F3007" t="s">
        <v>1289</v>
      </c>
      <c r="G3007">
        <v>1.1374932249884229</v>
      </c>
      <c r="H3007">
        <v>2.4253366169756605</v>
      </c>
      <c r="I3007">
        <v>1.5280658258976432</v>
      </c>
      <c r="J3007">
        <v>0.61199149847132439</v>
      </c>
      <c r="K3007">
        <v>0.9790903626215528</v>
      </c>
      <c r="L3007">
        <v>1.2396730550962867</v>
      </c>
      <c r="M3007">
        <v>0.34917823127958431</v>
      </c>
      <c r="N3007">
        <v>0</v>
      </c>
      <c r="O3007">
        <v>0.92483637925231554</v>
      </c>
      <c r="P3007">
        <v>2.0530536263159957</v>
      </c>
      <c r="Q3007">
        <v>-0.72041763903935685</v>
      </c>
      <c r="R3007">
        <v>0.87924693009243426</v>
      </c>
      <c r="S3007">
        <v>34.760145012261916</v>
      </c>
      <c r="T3007">
        <v>-0.12622047993166896</v>
      </c>
      <c r="U3007">
        <f t="shared" si="278"/>
        <v>3.2886766174487221</v>
      </c>
      <c r="V3007" t="str">
        <f t="shared" si="273"/>
        <v>2016/17Expenditure driversPolicy Adjustments (Forecast DRS 8, Disposals, Shetland Competitive Process, Shetland Uncertain Energy, WSC, Atypicals)DNO Baseline</v>
      </c>
    </row>
    <row r="3008" spans="1:22">
      <c r="A3008" t="s">
        <v>139</v>
      </c>
      <c r="C3008" t="s">
        <v>1344</v>
      </c>
      <c r="D3008" t="s">
        <v>113</v>
      </c>
      <c r="E3008" t="s">
        <v>1348</v>
      </c>
      <c r="F3008" t="s">
        <v>1289</v>
      </c>
      <c r="G3008">
        <v>2.1234613575664323</v>
      </c>
      <c r="H3008">
        <v>1.7953379675143819</v>
      </c>
      <c r="I3008">
        <v>1.5506187155928195</v>
      </c>
      <c r="J3008">
        <v>9.0096817844515245E-2</v>
      </c>
      <c r="K3008">
        <v>1.1837834581168594</v>
      </c>
      <c r="L3008">
        <v>0.24889811864332798</v>
      </c>
      <c r="M3008">
        <v>1.3328896067047886</v>
      </c>
      <c r="N3008">
        <v>0</v>
      </c>
      <c r="O3008">
        <v>9.4277284413771437E-2</v>
      </c>
      <c r="P3008">
        <v>1.9046728382450608</v>
      </c>
      <c r="Q3008">
        <v>-0.86738468263593671</v>
      </c>
      <c r="R3008">
        <v>2.746760588948034</v>
      </c>
      <c r="S3008">
        <v>33.304493899194355</v>
      </c>
      <c r="T3008">
        <v>-7.7638401004840887E-2</v>
      </c>
      <c r="U3008">
        <f t="shared" si="278"/>
        <v>3.2450191120816831</v>
      </c>
      <c r="V3008" t="str">
        <f t="shared" si="273"/>
        <v>2017/18Expenditure driversPolicy Adjustments (Forecast DRS 8, Disposals, Shetland Competitive Process, Shetland Uncertain Energy, WSC, Atypicals)DNO Baseline</v>
      </c>
    </row>
    <row r="3009" spans="1:22">
      <c r="A3009" t="s">
        <v>140</v>
      </c>
      <c r="C3009" t="s">
        <v>1344</v>
      </c>
      <c r="D3009" t="s">
        <v>113</v>
      </c>
      <c r="E3009" t="s">
        <v>1348</v>
      </c>
      <c r="F3009" t="s">
        <v>1289</v>
      </c>
      <c r="G3009">
        <v>1.6721396595235156</v>
      </c>
      <c r="H3009">
        <v>0.85580175312873907</v>
      </c>
      <c r="I3009">
        <v>2.2346891089456027</v>
      </c>
      <c r="J3009">
        <v>1.9000762421110599E-2</v>
      </c>
      <c r="K3009">
        <v>1.5824039283972764</v>
      </c>
      <c r="L3009">
        <v>0.39275564403405483</v>
      </c>
      <c r="M3009">
        <v>0.26634016688550977</v>
      </c>
      <c r="N3009">
        <v>0</v>
      </c>
      <c r="O3009">
        <v>0.14274013836949381</v>
      </c>
      <c r="P3009">
        <v>2.8011671643583416</v>
      </c>
      <c r="Q3009">
        <v>3.1955982770066558</v>
      </c>
      <c r="R3009">
        <v>5.5586746127788205</v>
      </c>
      <c r="S3009">
        <v>37.767699494000411</v>
      </c>
      <c r="T3009">
        <v>-0.16183843034638787</v>
      </c>
      <c r="U3009">
        <f t="shared" si="278"/>
        <v>4.0233694485359388</v>
      </c>
      <c r="V3009" t="str">
        <f t="shared" si="273"/>
        <v>2018/19Expenditure driversPolicy Adjustments (Forecast DRS 8, Disposals, Shetland Competitive Process, Shetland Uncertain Energy, WSC, Atypicals)DNO Baseline</v>
      </c>
    </row>
    <row r="3010" spans="1:22">
      <c r="A3010" t="s">
        <v>141</v>
      </c>
      <c r="C3010" t="s">
        <v>1344</v>
      </c>
      <c r="D3010" t="s">
        <v>113</v>
      </c>
      <c r="E3010" t="s">
        <v>1348</v>
      </c>
      <c r="F3010" t="s">
        <v>1289</v>
      </c>
      <c r="G3010">
        <v>1.3289378354589327</v>
      </c>
      <c r="H3010">
        <v>1.7284505860428447</v>
      </c>
      <c r="I3010">
        <v>1.9326357255781106</v>
      </c>
      <c r="J3010">
        <v>0.57940625236545318</v>
      </c>
      <c r="K3010">
        <v>1.8316623414185902</v>
      </c>
      <c r="L3010">
        <v>0.13543032321550225</v>
      </c>
      <c r="M3010">
        <v>0.29484198429683262</v>
      </c>
      <c r="N3010">
        <v>0</v>
      </c>
      <c r="O3010">
        <v>0.34403677838624613</v>
      </c>
      <c r="P3010">
        <v>3.2626153578782757</v>
      </c>
      <c r="Q3010">
        <v>3.0645736155191328</v>
      </c>
      <c r="R3010">
        <v>7.1047994864609088</v>
      </c>
      <c r="S3010">
        <v>42.371621044769796</v>
      </c>
      <c r="T3010">
        <v>1.1468662505803797</v>
      </c>
      <c r="U3010">
        <f t="shared" si="278"/>
        <v>4.6518483987122137</v>
      </c>
      <c r="V3010" t="str">
        <f t="shared" ref="V3010:V3044" si="279">CONCATENATE(A3010,B3010,C3010,D3010,E3010)</f>
        <v>2019/20Expenditure driversPolicy Adjustments (Forecast DRS 8, Disposals, Shetland Competitive Process, Shetland Uncertain Energy, WSC, Atypicals)DNO Baseline</v>
      </c>
    </row>
    <row r="3011" spans="1:22">
      <c r="A3011" t="s">
        <v>126</v>
      </c>
      <c r="C3011" t="s">
        <v>1344</v>
      </c>
      <c r="D3011" t="s">
        <v>113</v>
      </c>
      <c r="E3011" t="s">
        <v>1348</v>
      </c>
      <c r="F3011" t="s">
        <v>1289</v>
      </c>
      <c r="G3011">
        <v>2.0258192239745521</v>
      </c>
      <c r="H3011">
        <v>1.3675357488599793</v>
      </c>
      <c r="I3011">
        <v>2.8879443376338392</v>
      </c>
      <c r="J3011">
        <v>0.16543468166041742</v>
      </c>
      <c r="K3011">
        <v>1.9139913734879226</v>
      </c>
      <c r="L3011">
        <v>0</v>
      </c>
      <c r="M3011">
        <v>0.18976331131636115</v>
      </c>
      <c r="N3011">
        <v>0</v>
      </c>
      <c r="O3011">
        <v>0.39294103777062456</v>
      </c>
      <c r="P3011">
        <v>2.4227217962771439</v>
      </c>
      <c r="Q3011">
        <v>1.1965813170296336</v>
      </c>
      <c r="R3011">
        <v>7.717032636047505</v>
      </c>
      <c r="S3011">
        <v>28.424551128779346</v>
      </c>
      <c r="T3011">
        <v>-0.53031648934457409</v>
      </c>
      <c r="U3011">
        <f t="shared" si="278"/>
        <v>3.4410000073923395</v>
      </c>
      <c r="V3011" t="str">
        <f t="shared" si="279"/>
        <v>2020/21Expenditure driversPolicy Adjustments (Forecast DRS 8, Disposals, Shetland Competitive Process, Shetland Uncertain Energy, WSC, Atypicals)DNO Baseline</v>
      </c>
    </row>
    <row r="3012" spans="1:22">
      <c r="A3012" t="s">
        <v>142</v>
      </c>
      <c r="C3012" t="s">
        <v>1344</v>
      </c>
      <c r="D3012" t="s">
        <v>113</v>
      </c>
      <c r="E3012" t="s">
        <v>1348</v>
      </c>
      <c r="F3012" t="s">
        <v>1289</v>
      </c>
      <c r="G3012">
        <v>2.4355948243953081</v>
      </c>
      <c r="H3012">
        <v>1.6441560790227587</v>
      </c>
      <c r="I3012">
        <v>3.4721075793143292</v>
      </c>
      <c r="J3012">
        <v>0.1988982282619802</v>
      </c>
      <c r="K3012">
        <v>2.3011468289151797</v>
      </c>
      <c r="L3012">
        <v>0</v>
      </c>
      <c r="M3012">
        <v>0.22814796771227139</v>
      </c>
      <c r="N3012">
        <v>0</v>
      </c>
      <c r="O3012">
        <v>0.47242377136148483</v>
      </c>
      <c r="P3012">
        <v>2.912781455585812</v>
      </c>
      <c r="Q3012">
        <v>1.4386215849051032</v>
      </c>
      <c r="R3012">
        <v>9.2780069048663982</v>
      </c>
      <c r="S3012">
        <v>34.174169538774422</v>
      </c>
      <c r="T3012">
        <v>-0.63758704698487934</v>
      </c>
      <c r="U3012">
        <f t="shared" si="278"/>
        <v>4.1370334082950118</v>
      </c>
      <c r="V3012" t="str">
        <f t="shared" si="279"/>
        <v>2021/22Expenditure driversPolicy Adjustments (Forecast DRS 8, Disposals, Shetland Competitive Process, Shetland Uncertain Energy, WSC, Atypicals)DNO Baseline</v>
      </c>
    </row>
    <row r="3013" spans="1:22">
      <c r="A3013" t="s">
        <v>143</v>
      </c>
      <c r="C3013" t="s">
        <v>1344</v>
      </c>
      <c r="D3013" t="s">
        <v>113</v>
      </c>
      <c r="E3013" t="s">
        <v>1348</v>
      </c>
      <c r="F3013" t="s">
        <v>1289</v>
      </c>
      <c r="G3013">
        <v>0</v>
      </c>
      <c r="H3013">
        <v>0</v>
      </c>
      <c r="I3013">
        <v>0</v>
      </c>
      <c r="J3013">
        <v>0</v>
      </c>
      <c r="K3013">
        <v>0</v>
      </c>
      <c r="L3013">
        <v>0</v>
      </c>
      <c r="M3013">
        <v>0</v>
      </c>
      <c r="N3013">
        <v>0</v>
      </c>
      <c r="O3013">
        <v>0</v>
      </c>
      <c r="P3013">
        <v>0</v>
      </c>
      <c r="Q3013">
        <v>0</v>
      </c>
      <c r="R3013">
        <v>0</v>
      </c>
      <c r="S3013">
        <v>0</v>
      </c>
      <c r="T3013">
        <v>0</v>
      </c>
      <c r="U3013">
        <f t="shared" si="278"/>
        <v>0</v>
      </c>
      <c r="V3013" t="str">
        <f t="shared" si="279"/>
        <v>2022/23Expenditure driversPolicy Adjustments (Forecast DRS 8, Disposals, Shetland Competitive Process, Shetland Uncertain Energy, WSC, Atypicals)DNO Baseline</v>
      </c>
    </row>
    <row r="3014" spans="1:22">
      <c r="A3014" t="s">
        <v>137</v>
      </c>
      <c r="C3014" t="s">
        <v>1344</v>
      </c>
      <c r="D3014" t="s">
        <v>113</v>
      </c>
      <c r="E3014" t="s">
        <v>1349</v>
      </c>
      <c r="F3014" t="s">
        <v>1289</v>
      </c>
      <c r="G3014" cm="1">
        <f t="array" ref="G3014:T3020">TRANSPOSE('Ch4 expenditure drivers'!W914:AC927)</f>
        <v>-13.099827539853203</v>
      </c>
      <c r="H3014">
        <v>-0.48556977274090179</v>
      </c>
      <c r="I3014">
        <v>-2.1482810194516144</v>
      </c>
      <c r="J3014">
        <v>-3.5648115390100727</v>
      </c>
      <c r="K3014">
        <v>-4.5745736124548548</v>
      </c>
      <c r="L3014">
        <v>-3.1109643260495012</v>
      </c>
      <c r="M3014">
        <v>-6.6078906846854482</v>
      </c>
      <c r="N3014">
        <v>3.242103763661575</v>
      </c>
      <c r="O3014">
        <v>8.9344637548673891</v>
      </c>
      <c r="P3014">
        <v>13.139698076454151</v>
      </c>
      <c r="Q3014">
        <v>-7.4016994757388899</v>
      </c>
      <c r="R3014">
        <v>-5.2371547672451095</v>
      </c>
      <c r="S3014">
        <v>22.422290307624518</v>
      </c>
      <c r="T3014">
        <v>-10.229999565046427</v>
      </c>
      <c r="U3014">
        <f t="shared" si="278"/>
        <v>-0.62301545711917072</v>
      </c>
      <c r="V3014" t="str">
        <f t="shared" si="279"/>
        <v>2015/16Expenditure driversPolicy Adjustments (Forecast DRS 8, Disposals, Shetland Competitive Process, Shetland Uncertain Energy, WSC, Atypicals)DNO Actual</v>
      </c>
    </row>
    <row r="3015" spans="1:22">
      <c r="A3015" t="s">
        <v>138</v>
      </c>
      <c r="C3015" t="s">
        <v>1344</v>
      </c>
      <c r="D3015" t="s">
        <v>113</v>
      </c>
      <c r="E3015" t="s">
        <v>1349</v>
      </c>
      <c r="F3015" t="s">
        <v>1289</v>
      </c>
      <c r="G3015">
        <v>-9.6649571801582326</v>
      </c>
      <c r="H3015">
        <v>-1.8228745339338397</v>
      </c>
      <c r="I3015">
        <v>-2.0623341284290828</v>
      </c>
      <c r="J3015">
        <v>18.512920900113642</v>
      </c>
      <c r="K3015">
        <v>11.559024841635274</v>
      </c>
      <c r="L3015">
        <v>11.707528884706239</v>
      </c>
      <c r="M3015">
        <v>15.729518120785682</v>
      </c>
      <c r="N3015">
        <v>2.8969615096640116</v>
      </c>
      <c r="O3015">
        <v>3.1229133499234458</v>
      </c>
      <c r="P3015">
        <v>6.6535939503512243</v>
      </c>
      <c r="Q3015">
        <v>2.7994499051393342</v>
      </c>
      <c r="R3015">
        <v>3.5505837979262562</v>
      </c>
      <c r="S3015">
        <v>26.586072151907718</v>
      </c>
      <c r="T3015">
        <v>-5.7945245995807895</v>
      </c>
      <c r="U3015">
        <f t="shared" si="278"/>
        <v>5.9838483550036345</v>
      </c>
      <c r="V3015" t="str">
        <f t="shared" si="279"/>
        <v>2016/17Expenditure driversPolicy Adjustments (Forecast DRS 8, Disposals, Shetland Competitive Process, Shetland Uncertain Energy, WSC, Atypicals)DNO Actual</v>
      </c>
    </row>
    <row r="3016" spans="1:22">
      <c r="A3016" t="s">
        <v>139</v>
      </c>
      <c r="C3016" t="s">
        <v>1344</v>
      </c>
      <c r="D3016" t="s">
        <v>113</v>
      </c>
      <c r="E3016" t="s">
        <v>1349</v>
      </c>
      <c r="F3016" t="s">
        <v>1289</v>
      </c>
      <c r="G3016">
        <v>1.0904169622052027</v>
      </c>
      <c r="H3016">
        <v>-3.8560036162975848</v>
      </c>
      <c r="I3016">
        <v>-3.3191711863296276</v>
      </c>
      <c r="J3016">
        <v>-11.795325985420577</v>
      </c>
      <c r="K3016">
        <v>-17.298715787389408</v>
      </c>
      <c r="L3016">
        <v>-10.430064908987731</v>
      </c>
      <c r="M3016">
        <v>-17.765032476319352</v>
      </c>
      <c r="N3016">
        <v>-6.5411876408525904</v>
      </c>
      <c r="O3016">
        <v>-3.5489495180920421</v>
      </c>
      <c r="P3016">
        <v>-4.2107195369477122</v>
      </c>
      <c r="Q3016">
        <v>-6.8938025355369117</v>
      </c>
      <c r="R3016">
        <v>-6.3204809352487503</v>
      </c>
      <c r="S3016">
        <v>19.263591124120126</v>
      </c>
      <c r="T3016">
        <v>-0.94682670666465396</v>
      </c>
      <c r="U3016">
        <f t="shared" si="278"/>
        <v>-5.183733767697257</v>
      </c>
      <c r="V3016" t="str">
        <f t="shared" si="279"/>
        <v>2017/18Expenditure driversPolicy Adjustments (Forecast DRS 8, Disposals, Shetland Competitive Process, Shetland Uncertain Energy, WSC, Atypicals)DNO Actual</v>
      </c>
    </row>
    <row r="3017" spans="1:22">
      <c r="A3017" t="s">
        <v>140</v>
      </c>
      <c r="C3017" t="s">
        <v>1344</v>
      </c>
      <c r="D3017" t="s">
        <v>113</v>
      </c>
      <c r="E3017" t="s">
        <v>1349</v>
      </c>
      <c r="F3017" t="s">
        <v>1289</v>
      </c>
      <c r="G3017">
        <v>1.074847996718755</v>
      </c>
      <c r="H3017">
        <v>-4.7560236346722942</v>
      </c>
      <c r="I3017">
        <v>-3.0820289028423073</v>
      </c>
      <c r="J3017">
        <v>0.61435271672243652</v>
      </c>
      <c r="K3017">
        <v>-4.602095521801008</v>
      </c>
      <c r="L3017">
        <v>-0.93421940423567307</v>
      </c>
      <c r="M3017">
        <v>1.0435173251641325</v>
      </c>
      <c r="N3017">
        <v>-4.9635754624492217</v>
      </c>
      <c r="O3017">
        <v>-2.1378116125259541</v>
      </c>
      <c r="P3017">
        <v>-5.8570182863544584</v>
      </c>
      <c r="Q3017">
        <v>-4.213103726650794</v>
      </c>
      <c r="R3017">
        <v>-2.6147436496492342</v>
      </c>
      <c r="S3017">
        <v>18.934189869810496</v>
      </c>
      <c r="T3017">
        <v>-6.4547969375598591</v>
      </c>
      <c r="U3017">
        <f>AVERAGE(G3017:T3017)</f>
        <v>-1.2820363735946416</v>
      </c>
      <c r="V3017" t="str">
        <f t="shared" si="279"/>
        <v>2018/19Expenditure driversPolicy Adjustments (Forecast DRS 8, Disposals, Shetland Competitive Process, Shetland Uncertain Energy, WSC, Atypicals)DNO Actual</v>
      </c>
    </row>
    <row r="3018" spans="1:22">
      <c r="A3018" t="s">
        <v>141</v>
      </c>
      <c r="C3018" t="s">
        <v>1344</v>
      </c>
      <c r="D3018" t="s">
        <v>113</v>
      </c>
      <c r="E3018" t="s">
        <v>1349</v>
      </c>
      <c r="F3018" t="s">
        <v>1289</v>
      </c>
      <c r="G3018">
        <v>-3.8744817977129813</v>
      </c>
      <c r="H3018">
        <v>-3.9917816921279687</v>
      </c>
      <c r="I3018">
        <v>-4.1676205417874437</v>
      </c>
      <c r="J3018">
        <v>2.1403439095575512</v>
      </c>
      <c r="K3018">
        <v>-1.3538118545167879</v>
      </c>
      <c r="L3018">
        <v>0.88373192849489091</v>
      </c>
      <c r="M3018">
        <v>1.1531887167196662</v>
      </c>
      <c r="N3018">
        <v>-4.6020456732500925</v>
      </c>
      <c r="O3018">
        <v>-1.5283887300119776</v>
      </c>
      <c r="P3018">
        <v>-4.8901793205667232</v>
      </c>
      <c r="Q3018">
        <v>-4.9086570641034442</v>
      </c>
      <c r="R3018">
        <v>-2.8037426081421999</v>
      </c>
      <c r="S3018">
        <v>27.819889009648705</v>
      </c>
      <c r="T3018">
        <v>-1.2584277861022295</v>
      </c>
      <c r="U3018">
        <f>AVERAGE(G3018:T3018)</f>
        <v>-9.8713107421502716E-2</v>
      </c>
      <c r="V3018" t="str">
        <f t="shared" si="279"/>
        <v>2019/20Expenditure driversPolicy Adjustments (Forecast DRS 8, Disposals, Shetland Competitive Process, Shetland Uncertain Energy, WSC, Atypicals)DNO Actual</v>
      </c>
    </row>
    <row r="3019" spans="1:22">
      <c r="A3019" t="s">
        <v>126</v>
      </c>
      <c r="C3019" t="s">
        <v>1344</v>
      </c>
      <c r="D3019" t="s">
        <v>113</v>
      </c>
      <c r="E3019" t="s">
        <v>1349</v>
      </c>
      <c r="F3019" t="s">
        <v>1289</v>
      </c>
      <c r="G3019">
        <v>-5.0726485182072425</v>
      </c>
      <c r="H3019">
        <v>-4.5490958087658573</v>
      </c>
      <c r="I3019">
        <v>-4.0712182410683573</v>
      </c>
      <c r="J3019">
        <v>7.0156617361670186</v>
      </c>
      <c r="K3019">
        <v>3.5253033608679072</v>
      </c>
      <c r="L3019">
        <v>3.2426276732868087</v>
      </c>
      <c r="M3019">
        <v>4.7357389649958099</v>
      </c>
      <c r="N3019">
        <v>-4.4790356673564533</v>
      </c>
      <c r="O3019">
        <v>-1.9328079954258142</v>
      </c>
      <c r="P3019">
        <v>-5.8453454990038001</v>
      </c>
      <c r="Q3019">
        <v>-3.9200256304392496</v>
      </c>
      <c r="R3019">
        <v>-3.7938370635003018</v>
      </c>
      <c r="S3019">
        <v>30.977217258850256</v>
      </c>
      <c r="T3019">
        <v>-2.221988297282103</v>
      </c>
      <c r="U3019">
        <f>AVERAGE(G3019:T3019)</f>
        <v>0.97218187665133005</v>
      </c>
      <c r="V3019" t="str">
        <f t="shared" si="279"/>
        <v>2020/21Expenditure driversPolicy Adjustments (Forecast DRS 8, Disposals, Shetland Competitive Process, Shetland Uncertain Energy, WSC, Atypicals)DNO Actual</v>
      </c>
    </row>
    <row r="3020" spans="1:22">
      <c r="A3020" t="s">
        <v>142</v>
      </c>
      <c r="C3020" t="s">
        <v>1344</v>
      </c>
      <c r="D3020" t="s">
        <v>113</v>
      </c>
      <c r="E3020" t="s">
        <v>1349</v>
      </c>
      <c r="F3020" t="s">
        <v>1289</v>
      </c>
      <c r="G3020">
        <v>-11.887413223776079</v>
      </c>
      <c r="H3020">
        <v>-6.2830735121425834</v>
      </c>
      <c r="I3020">
        <v>-2.5372236631649492</v>
      </c>
      <c r="J3020">
        <v>-4.0681469467060261</v>
      </c>
      <c r="K3020">
        <v>-7.388364294256764</v>
      </c>
      <c r="L3020">
        <v>-2.1584428544905561</v>
      </c>
      <c r="M3020">
        <v>-5.4069811732528734</v>
      </c>
      <c r="N3020">
        <v>-5.5742263150873059</v>
      </c>
      <c r="O3020">
        <v>-2.7202412848137421</v>
      </c>
      <c r="P3020">
        <v>-4.7096519461338904</v>
      </c>
      <c r="Q3020">
        <v>-4.7995580845849375</v>
      </c>
      <c r="R3020">
        <v>-5.1043837047102913</v>
      </c>
      <c r="S3020">
        <v>28.762594489266053</v>
      </c>
      <c r="T3020">
        <v>-5.8127540989923459</v>
      </c>
      <c r="U3020">
        <f>AVERAGE(G3020:T3020)</f>
        <v>-2.8348476152033064</v>
      </c>
      <c r="V3020" t="str">
        <f t="shared" ref="V3020" si="280">CONCATENATE(A3020,B3020,C3020,D3020,E3020)</f>
        <v>2021/22Expenditure driversPolicy Adjustments (Forecast DRS 8, Disposals, Shetland Competitive Process, Shetland Uncertain Energy, WSC, Atypicals)DNO Actual</v>
      </c>
    </row>
    <row r="3021" spans="1:22">
      <c r="A3021" t="s">
        <v>137</v>
      </c>
      <c r="C3021" t="s">
        <v>1344</v>
      </c>
      <c r="D3021" t="s">
        <v>113</v>
      </c>
      <c r="E3021" t="s">
        <v>297</v>
      </c>
      <c r="F3021" t="s">
        <v>1289</v>
      </c>
      <c r="G3021">
        <f t="array" ref="G3021:T3024">TRANSPOSE('Ch4 expenditure drivers'!AF914:AI927)</f>
        <v>0.93913681703103902</v>
      </c>
      <c r="H3021">
        <v>0.78050105487187738</v>
      </c>
      <c r="I3021">
        <v>1.260606623678445</v>
      </c>
      <c r="J3021">
        <v>0.89630027020463887</v>
      </c>
      <c r="K3021">
        <v>0.82139275617427587</v>
      </c>
      <c r="L3021">
        <v>9.5351092574961577E-2</v>
      </c>
      <c r="M3021">
        <v>0.12449614351296867</v>
      </c>
      <c r="N3021">
        <v>0</v>
      </c>
      <c r="O3021">
        <v>0.43696821372085182</v>
      </c>
      <c r="P3021">
        <v>1.976968748856367</v>
      </c>
      <c r="Q3021">
        <v>-0.89020946153060176</v>
      </c>
      <c r="R3021">
        <v>1.5279515865325446</v>
      </c>
      <c r="S3021">
        <v>28.175889212868494</v>
      </c>
      <c r="T3021">
        <v>0.30153612632769111</v>
      </c>
      <c r="U3021">
        <f t="shared" si="278"/>
        <v>2.6033492274873966</v>
      </c>
      <c r="V3021" t="str">
        <f t="shared" si="279"/>
        <v>2015/16Expenditure driversPolicy Adjustments (Forecast DRS 8, Disposals, Shetland Competitive Process, Shetland Uncertain Energy, WSC, Atypicals)Allowance</v>
      </c>
    </row>
    <row r="3022" spans="1:22">
      <c r="A3022" t="s">
        <v>137</v>
      </c>
      <c r="C3022" t="s">
        <v>1344</v>
      </c>
      <c r="D3022" t="s">
        <v>113</v>
      </c>
      <c r="E3022" t="s">
        <v>298</v>
      </c>
      <c r="F3022" t="s">
        <v>1289</v>
      </c>
      <c r="G3022">
        <v>-13.099827539853203</v>
      </c>
      <c r="H3022">
        <v>-0.48556977274090179</v>
      </c>
      <c r="I3022">
        <v>-2.1482810194516144</v>
      </c>
      <c r="J3022">
        <v>-3.5648115390100727</v>
      </c>
      <c r="K3022">
        <v>-4.5745736124548548</v>
      </c>
      <c r="L3022">
        <v>-3.1109643260495012</v>
      </c>
      <c r="M3022">
        <v>-6.6078906846854482</v>
      </c>
      <c r="N3022">
        <v>3.242103763661575</v>
      </c>
      <c r="O3022">
        <v>8.9344637548673891</v>
      </c>
      <c r="P3022">
        <v>13.139698076454151</v>
      </c>
      <c r="Q3022">
        <v>-7.4016994757388899</v>
      </c>
      <c r="R3022">
        <v>-5.2371547672451095</v>
      </c>
      <c r="S3022">
        <v>22.422290307624518</v>
      </c>
      <c r="T3022">
        <v>-10.229999565046427</v>
      </c>
      <c r="U3022">
        <f t="shared" si="278"/>
        <v>-0.62301545711917072</v>
      </c>
      <c r="V3022" t="str">
        <f t="shared" si="279"/>
        <v>2015/16Expenditure driversPolicy Adjustments (Forecast DRS 8, Disposals, Shetland Competitive Process, Shetland Uncertain Energy, WSC, Atypicals)Actual</v>
      </c>
    </row>
    <row r="3023" spans="1:22">
      <c r="A3023" t="s">
        <v>137</v>
      </c>
      <c r="C3023" t="s">
        <v>1344</v>
      </c>
      <c r="D3023" t="s">
        <v>113</v>
      </c>
      <c r="E3023" t="s">
        <v>602</v>
      </c>
      <c r="F3023" t="s">
        <v>1289</v>
      </c>
      <c r="G3023">
        <v>-14.038964356884243</v>
      </c>
      <c r="H3023">
        <v>-1.2660708276127792</v>
      </c>
      <c r="I3023">
        <v>-3.4088876431300594</v>
      </c>
      <c r="J3023">
        <v>-4.461111809214712</v>
      </c>
      <c r="K3023">
        <v>-5.3959663686291304</v>
      </c>
      <c r="L3023">
        <v>-3.2063154186244627</v>
      </c>
      <c r="M3023">
        <v>-6.7323868281984165</v>
      </c>
      <c r="N3023">
        <v>3.242103763661575</v>
      </c>
      <c r="O3023">
        <v>8.497495541146538</v>
      </c>
      <c r="P3023">
        <v>11.162729327597784</v>
      </c>
      <c r="Q3023">
        <v>-6.5114900142082881</v>
      </c>
      <c r="R3023">
        <v>-6.7651063537776537</v>
      </c>
      <c r="S3023">
        <v>-5.753598905243976</v>
      </c>
      <c r="T3023">
        <v>-10.531535691374119</v>
      </c>
      <c r="U3023">
        <f t="shared" si="278"/>
        <v>-3.2263646846065677</v>
      </c>
      <c r="V3023" t="str">
        <f t="shared" si="279"/>
        <v>2015/16Expenditure driversPolicy Adjustments (Forecast DRS 8, Disposals, Shetland Competitive Process, Shetland Uncertain Energy, WSC, Atypicals)Difference</v>
      </c>
    </row>
    <row r="3024" spans="1:22">
      <c r="A3024" t="s">
        <v>137</v>
      </c>
      <c r="C3024" t="s">
        <v>1344</v>
      </c>
      <c r="D3024" t="s">
        <v>113</v>
      </c>
      <c r="E3024" t="s">
        <v>1346</v>
      </c>
      <c r="F3024" t="s">
        <v>606</v>
      </c>
      <c r="G3024" s="829">
        <v>-14.948795641157625</v>
      </c>
      <c r="H3024" s="829">
        <v>-1.6221257097732049</v>
      </c>
      <c r="I3024" s="829">
        <v>-2.7041644705807899</v>
      </c>
      <c r="J3024" s="829">
        <v>-4.9772514385119768</v>
      </c>
      <c r="K3024" s="829">
        <v>-6.5692889644673977</v>
      </c>
      <c r="L3024" s="829">
        <v>-33.62641509433962</v>
      </c>
      <c r="M3024" s="829">
        <v>-54.077071290944112</v>
      </c>
      <c r="N3024" s="829" t="e">
        <v>#DIV/0!</v>
      </c>
      <c r="O3024" s="829">
        <v>19.446484376492862</v>
      </c>
      <c r="P3024" s="829">
        <v>5.6463863346626892</v>
      </c>
      <c r="Q3024" s="829">
        <v>7.3145594330267061</v>
      </c>
      <c r="R3024" s="829">
        <v>-4.4275659081123377</v>
      </c>
      <c r="S3024" s="829">
        <v>-0.2042029219300093</v>
      </c>
      <c r="T3024" s="829">
        <v>-34.926281701745701</v>
      </c>
      <c r="U3024" s="829">
        <f>U3023/U3021</f>
        <v>-1.2393130550988236</v>
      </c>
      <c r="V3024" t="str">
        <f t="shared" si="279"/>
        <v>2015/16Expenditure driversPolicy Adjustments (Forecast DRS 8, Disposals, Shetland Competitive Process, Shetland Uncertain Energy, WSC, Atypicals)Difference %</v>
      </c>
    </row>
    <row r="3025" spans="1:22">
      <c r="A3025" t="s">
        <v>138</v>
      </c>
      <c r="C3025" t="s">
        <v>1344</v>
      </c>
      <c r="D3025" t="s">
        <v>113</v>
      </c>
      <c r="E3025" t="s">
        <v>297</v>
      </c>
      <c r="F3025" t="s">
        <v>1289</v>
      </c>
      <c r="G3025">
        <f t="array" ref="G3025:T3028">TRANSPOSE('Ch4 expenditure drivers'!AK914:AN927)</f>
        <v>1.1374932249884229</v>
      </c>
      <c r="H3025">
        <v>2.4253366169756605</v>
      </c>
      <c r="I3025">
        <v>1.5280658258976432</v>
      </c>
      <c r="J3025">
        <v>0.61199149847132439</v>
      </c>
      <c r="K3025">
        <v>0.9790903626215528</v>
      </c>
      <c r="L3025">
        <v>1.2396730550962867</v>
      </c>
      <c r="M3025">
        <v>0.34917823127958431</v>
      </c>
      <c r="N3025">
        <v>0</v>
      </c>
      <c r="O3025">
        <v>0.92483637925231554</v>
      </c>
      <c r="P3025">
        <v>2.0530536263159957</v>
      </c>
      <c r="Q3025">
        <v>-0.72041763903935685</v>
      </c>
      <c r="R3025">
        <v>0.87924693009243426</v>
      </c>
      <c r="S3025">
        <v>34.760145012261916</v>
      </c>
      <c r="T3025">
        <v>-0.12622047993166896</v>
      </c>
      <c r="U3025">
        <f t="shared" si="278"/>
        <v>3.2886766174487221</v>
      </c>
      <c r="V3025" t="str">
        <f t="shared" si="279"/>
        <v>2016/17Expenditure driversPolicy Adjustments (Forecast DRS 8, Disposals, Shetland Competitive Process, Shetland Uncertain Energy, WSC, Atypicals)Allowance</v>
      </c>
    </row>
    <row r="3026" spans="1:22">
      <c r="A3026" t="s">
        <v>138</v>
      </c>
      <c r="C3026" t="s">
        <v>1344</v>
      </c>
      <c r="D3026" t="s">
        <v>113</v>
      </c>
      <c r="E3026" t="s">
        <v>298</v>
      </c>
      <c r="F3026" t="s">
        <v>1289</v>
      </c>
      <c r="G3026">
        <v>-9.6649571801582326</v>
      </c>
      <c r="H3026">
        <v>-1.8228745339338397</v>
      </c>
      <c r="I3026">
        <v>-2.0623341284290828</v>
      </c>
      <c r="J3026">
        <v>18.512920900113642</v>
      </c>
      <c r="K3026">
        <v>11.559024841635274</v>
      </c>
      <c r="L3026">
        <v>11.707528884706239</v>
      </c>
      <c r="M3026">
        <v>15.729518120785682</v>
      </c>
      <c r="N3026">
        <v>2.8969615096640116</v>
      </c>
      <c r="O3026">
        <v>3.1229133499234458</v>
      </c>
      <c r="P3026">
        <v>6.6535939503512243</v>
      </c>
      <c r="Q3026">
        <v>2.7994499051393342</v>
      </c>
      <c r="R3026">
        <v>3.5505837979262562</v>
      </c>
      <c r="S3026">
        <v>26.586072151907718</v>
      </c>
      <c r="T3026">
        <v>-5.7945245995807895</v>
      </c>
      <c r="U3026">
        <f t="shared" si="278"/>
        <v>5.9838483550036345</v>
      </c>
      <c r="V3026" t="str">
        <f t="shared" si="279"/>
        <v>2016/17Expenditure driversPolicy Adjustments (Forecast DRS 8, Disposals, Shetland Competitive Process, Shetland Uncertain Energy, WSC, Atypicals)Actual</v>
      </c>
    </row>
    <row r="3027" spans="1:22">
      <c r="A3027" t="s">
        <v>138</v>
      </c>
      <c r="C3027" t="s">
        <v>1344</v>
      </c>
      <c r="D3027" t="s">
        <v>113</v>
      </c>
      <c r="E3027" t="s">
        <v>602</v>
      </c>
      <c r="F3027" t="s">
        <v>1289</v>
      </c>
      <c r="G3027">
        <v>-10.802450405146656</v>
      </c>
      <c r="H3027">
        <v>-4.2482111509095004</v>
      </c>
      <c r="I3027">
        <v>-3.5903999543267258</v>
      </c>
      <c r="J3027">
        <v>17.900929401642315</v>
      </c>
      <c r="K3027">
        <v>10.579934479013721</v>
      </c>
      <c r="L3027">
        <v>10.467855829609952</v>
      </c>
      <c r="M3027">
        <v>15.380339889506098</v>
      </c>
      <c r="N3027">
        <v>2.8969615096640116</v>
      </c>
      <c r="O3027">
        <v>2.1980769706711305</v>
      </c>
      <c r="P3027">
        <v>4.6005403240352285</v>
      </c>
      <c r="Q3027">
        <v>3.5198675441786911</v>
      </c>
      <c r="R3027">
        <v>2.6713368678338218</v>
      </c>
      <c r="S3027">
        <v>-8.1740728603541974</v>
      </c>
      <c r="T3027">
        <v>-5.6683041196491208</v>
      </c>
      <c r="U3027">
        <f t="shared" si="278"/>
        <v>2.695171737554912</v>
      </c>
      <c r="V3027" t="str">
        <f t="shared" si="279"/>
        <v>2016/17Expenditure driversPolicy Adjustments (Forecast DRS 8, Disposals, Shetland Competitive Process, Shetland Uncertain Energy, WSC, Atypicals)Difference</v>
      </c>
    </row>
    <row r="3028" spans="1:22">
      <c r="A3028" t="s">
        <v>138</v>
      </c>
      <c r="C3028" t="s">
        <v>1344</v>
      </c>
      <c r="D3028" t="s">
        <v>113</v>
      </c>
      <c r="E3028" t="s">
        <v>1346</v>
      </c>
      <c r="F3028" t="s">
        <v>606</v>
      </c>
      <c r="G3028" s="829">
        <v>-9.4967162597883608</v>
      </c>
      <c r="H3028" s="829">
        <v>-1.7515965087794383</v>
      </c>
      <c r="I3028" s="829">
        <v>-2.349636968170262</v>
      </c>
      <c r="J3028" s="829">
        <v>29.250290970310083</v>
      </c>
      <c r="K3028" s="829">
        <v>10.80588154364581</v>
      </c>
      <c r="L3028" s="829">
        <v>8.4440456187836581</v>
      </c>
      <c r="M3028" s="829">
        <v>44.047247255775176</v>
      </c>
      <c r="N3028" s="829" t="e">
        <v>#DIV/0!</v>
      </c>
      <c r="O3028" s="829">
        <v>2.3767198392954296</v>
      </c>
      <c r="P3028" s="829">
        <v>2.2408281328191357</v>
      </c>
      <c r="Q3028" s="829">
        <v>-4.8858708524575682</v>
      </c>
      <c r="R3028" s="829">
        <v>3.038210059548331</v>
      </c>
      <c r="S3028" s="829">
        <v>-0.23515646604669596</v>
      </c>
      <c r="T3028" s="829">
        <v>44.907958856738055</v>
      </c>
      <c r="U3028" s="829">
        <f>U3027/U3025</f>
        <v>0.81953078732495221</v>
      </c>
      <c r="V3028" t="str">
        <f t="shared" si="279"/>
        <v>2016/17Expenditure driversPolicy Adjustments (Forecast DRS 8, Disposals, Shetland Competitive Process, Shetland Uncertain Energy, WSC, Atypicals)Difference %</v>
      </c>
    </row>
    <row r="3029" spans="1:22">
      <c r="A3029" t="s">
        <v>139</v>
      </c>
      <c r="C3029" t="s">
        <v>1344</v>
      </c>
      <c r="D3029" t="s">
        <v>113</v>
      </c>
      <c r="E3029" t="s">
        <v>297</v>
      </c>
      <c r="F3029" t="s">
        <v>1289</v>
      </c>
      <c r="G3029">
        <f t="array" ref="G3029:T3032">TRANSPOSE('Ch4 expenditure drivers'!AP914:AS927)</f>
        <v>2.1234613575664323</v>
      </c>
      <c r="H3029">
        <v>1.7953379675143819</v>
      </c>
      <c r="I3029">
        <v>1.5506187155928195</v>
      </c>
      <c r="J3029">
        <v>9.0096817844515245E-2</v>
      </c>
      <c r="K3029">
        <v>1.1837834581168594</v>
      </c>
      <c r="L3029">
        <v>0.24889811864332798</v>
      </c>
      <c r="M3029">
        <v>1.3328896067047886</v>
      </c>
      <c r="N3029">
        <v>0</v>
      </c>
      <c r="O3029">
        <v>9.4277284413771437E-2</v>
      </c>
      <c r="P3029">
        <v>1.9046728382450608</v>
      </c>
      <c r="Q3029">
        <v>-0.86738468263593671</v>
      </c>
      <c r="R3029">
        <v>2.746760588948034</v>
      </c>
      <c r="S3029">
        <v>33.304493899194355</v>
      </c>
      <c r="T3029">
        <v>-7.7638401004840887E-2</v>
      </c>
      <c r="U3029">
        <f t="shared" si="278"/>
        <v>3.2450191120816831</v>
      </c>
      <c r="V3029" t="str">
        <f t="shared" si="279"/>
        <v>2017/18Expenditure driversPolicy Adjustments (Forecast DRS 8, Disposals, Shetland Competitive Process, Shetland Uncertain Energy, WSC, Atypicals)Allowance</v>
      </c>
    </row>
    <row r="3030" spans="1:22">
      <c r="A3030" t="s">
        <v>139</v>
      </c>
      <c r="C3030" t="s">
        <v>1344</v>
      </c>
      <c r="D3030" t="s">
        <v>113</v>
      </c>
      <c r="E3030" t="s">
        <v>298</v>
      </c>
      <c r="F3030" t="s">
        <v>1289</v>
      </c>
      <c r="G3030">
        <v>1.0904169622052027</v>
      </c>
      <c r="H3030">
        <v>-3.8560036162975848</v>
      </c>
      <c r="I3030">
        <v>-3.3191711863296276</v>
      </c>
      <c r="J3030">
        <v>-11.795325985420577</v>
      </c>
      <c r="K3030">
        <v>-17.298715787389408</v>
      </c>
      <c r="L3030">
        <v>-10.430064908987731</v>
      </c>
      <c r="M3030">
        <v>-17.765032476319352</v>
      </c>
      <c r="N3030">
        <v>-6.5411876408525904</v>
      </c>
      <c r="O3030">
        <v>-3.5489495180920421</v>
      </c>
      <c r="P3030">
        <v>-4.2107195369477122</v>
      </c>
      <c r="Q3030">
        <v>-6.8938025355369117</v>
      </c>
      <c r="R3030">
        <v>-6.3204809352487503</v>
      </c>
      <c r="S3030">
        <v>19.263591124120126</v>
      </c>
      <c r="T3030">
        <v>-0.94682670666465396</v>
      </c>
      <c r="U3030">
        <f t="shared" si="278"/>
        <v>-5.183733767697257</v>
      </c>
      <c r="V3030" t="str">
        <f t="shared" si="279"/>
        <v>2017/18Expenditure driversPolicy Adjustments (Forecast DRS 8, Disposals, Shetland Competitive Process, Shetland Uncertain Energy, WSC, Atypicals)Actual</v>
      </c>
    </row>
    <row r="3031" spans="1:22">
      <c r="A3031" t="s">
        <v>139</v>
      </c>
      <c r="C3031" t="s">
        <v>1344</v>
      </c>
      <c r="D3031" t="s">
        <v>113</v>
      </c>
      <c r="E3031" t="s">
        <v>602</v>
      </c>
      <c r="F3031" t="s">
        <v>1289</v>
      </c>
      <c r="G3031">
        <v>-1.0330443953612296</v>
      </c>
      <c r="H3031">
        <v>-5.6513415838119663</v>
      </c>
      <c r="I3031">
        <v>-4.8697899019224469</v>
      </c>
      <c r="J3031">
        <v>-11.885422803265092</v>
      </c>
      <c r="K3031">
        <v>-18.482499245506268</v>
      </c>
      <c r="L3031">
        <v>-10.67896302763106</v>
      </c>
      <c r="M3031">
        <v>-19.097922083024141</v>
      </c>
      <c r="N3031">
        <v>-6.5411876408525904</v>
      </c>
      <c r="O3031">
        <v>-3.6432268025058137</v>
      </c>
      <c r="P3031">
        <v>-6.1153923751927728</v>
      </c>
      <c r="Q3031">
        <v>-6.0264178529009751</v>
      </c>
      <c r="R3031">
        <v>-9.0672415241967848</v>
      </c>
      <c r="S3031">
        <v>-14.04090277507423</v>
      </c>
      <c r="T3031">
        <v>-0.86918830565981309</v>
      </c>
      <c r="U3031">
        <f t="shared" si="278"/>
        <v>-8.4287528797789424</v>
      </c>
      <c r="V3031" t="str">
        <f t="shared" si="279"/>
        <v>2017/18Expenditure driversPolicy Adjustments (Forecast DRS 8, Disposals, Shetland Competitive Process, Shetland Uncertain Energy, WSC, Atypicals)Difference</v>
      </c>
    </row>
    <row r="3032" spans="1:22">
      <c r="A3032" t="s">
        <v>139</v>
      </c>
      <c r="C3032" t="s">
        <v>1344</v>
      </c>
      <c r="D3032" t="s">
        <v>113</v>
      </c>
      <c r="E3032" t="s">
        <v>1346</v>
      </c>
      <c r="F3032" t="s">
        <v>606</v>
      </c>
      <c r="G3032" s="829">
        <v>-0.48649079093444764</v>
      </c>
      <c r="H3032" s="829">
        <v>-3.1477870384683966</v>
      </c>
      <c r="I3032" s="829">
        <v>-3.1405463206089768</v>
      </c>
      <c r="J3032" s="829">
        <v>-131.91834170854273</v>
      </c>
      <c r="K3032" s="829">
        <v>-15.613074434160351</v>
      </c>
      <c r="L3032" s="829">
        <v>-42.904956798544781</v>
      </c>
      <c r="M3032" s="829">
        <v>-14.328209918478262</v>
      </c>
      <c r="N3032" s="829" t="e">
        <v>#DIV/0!</v>
      </c>
      <c r="O3032" s="829">
        <v>-38.643739318117589</v>
      </c>
      <c r="P3032" s="829">
        <v>-3.2107311305113222</v>
      </c>
      <c r="Q3032" s="829">
        <v>6.9478029455016506</v>
      </c>
      <c r="R3032" s="829">
        <v>-3.3010672865629673</v>
      </c>
      <c r="S3032" s="829">
        <v>-0.42159183735303307</v>
      </c>
      <c r="T3032" s="829">
        <v>11.195340120485193</v>
      </c>
      <c r="U3032" s="829">
        <f>U3031/U3029</f>
        <v>-2.5974432164043213</v>
      </c>
      <c r="V3032" t="str">
        <f t="shared" si="279"/>
        <v>2017/18Expenditure driversPolicy Adjustments (Forecast DRS 8, Disposals, Shetland Competitive Process, Shetland Uncertain Energy, WSC, Atypicals)Difference %</v>
      </c>
    </row>
    <row r="3033" spans="1:22">
      <c r="A3033" t="s">
        <v>140</v>
      </c>
      <c r="C3033" t="s">
        <v>1344</v>
      </c>
      <c r="D3033" t="s">
        <v>113</v>
      </c>
      <c r="E3033" t="s">
        <v>297</v>
      </c>
      <c r="F3033" t="s">
        <v>1289</v>
      </c>
      <c r="G3033">
        <f t="array" ref="G3033:T3036">TRANSPOSE('Ch4 expenditure drivers'!AU914:AX927)</f>
        <v>1.6721396595235156</v>
      </c>
      <c r="H3033">
        <v>0.85580175312873907</v>
      </c>
      <c r="I3033">
        <v>2.2346891089456027</v>
      </c>
      <c r="J3033">
        <v>1.9000762421110599E-2</v>
      </c>
      <c r="K3033">
        <v>1.5824039283972764</v>
      </c>
      <c r="L3033">
        <v>0.39275564403405483</v>
      </c>
      <c r="M3033">
        <v>0.26634016688550977</v>
      </c>
      <c r="N3033">
        <v>0</v>
      </c>
      <c r="O3033">
        <v>0.14274013836949381</v>
      </c>
      <c r="P3033">
        <v>2.8011671643583416</v>
      </c>
      <c r="Q3033">
        <v>3.1955982770066558</v>
      </c>
      <c r="R3033">
        <v>5.5586746127788205</v>
      </c>
      <c r="S3033">
        <v>37.767699494000411</v>
      </c>
      <c r="T3033">
        <v>-0.16183843034638787</v>
      </c>
      <c r="U3033">
        <f>AVERAGE(G3033:T3033)</f>
        <v>4.0233694485359388</v>
      </c>
      <c r="V3033" t="str">
        <f t="shared" si="279"/>
        <v>2018/19Expenditure driversPolicy Adjustments (Forecast DRS 8, Disposals, Shetland Competitive Process, Shetland Uncertain Energy, WSC, Atypicals)Allowance</v>
      </c>
    </row>
    <row r="3034" spans="1:22">
      <c r="A3034" t="s">
        <v>140</v>
      </c>
      <c r="C3034" t="s">
        <v>1344</v>
      </c>
      <c r="D3034" t="s">
        <v>113</v>
      </c>
      <c r="E3034" t="s">
        <v>298</v>
      </c>
      <c r="F3034" t="s">
        <v>1289</v>
      </c>
      <c r="G3034">
        <v>1.074847996718755</v>
      </c>
      <c r="H3034">
        <v>-4.7560236346722942</v>
      </c>
      <c r="I3034">
        <v>-3.0820289028423073</v>
      </c>
      <c r="J3034">
        <v>0.61435271672243652</v>
      </c>
      <c r="K3034">
        <v>-4.602095521801008</v>
      </c>
      <c r="L3034">
        <v>-0.93421940423567307</v>
      </c>
      <c r="M3034">
        <v>1.0435173251641325</v>
      </c>
      <c r="N3034">
        <v>-4.9635754624492217</v>
      </c>
      <c r="O3034">
        <v>-2.1378116125259541</v>
      </c>
      <c r="P3034">
        <v>-5.8570182863544584</v>
      </c>
      <c r="Q3034">
        <v>-4.213103726650794</v>
      </c>
      <c r="R3034">
        <v>-2.6147436496492342</v>
      </c>
      <c r="S3034">
        <v>18.934189869810496</v>
      </c>
      <c r="T3034">
        <v>-6.4547969375598591</v>
      </c>
      <c r="U3034">
        <f>AVERAGE(G3034:T3034)</f>
        <v>-1.2820363735946416</v>
      </c>
      <c r="V3034" t="str">
        <f t="shared" si="279"/>
        <v>2018/19Expenditure driversPolicy Adjustments (Forecast DRS 8, Disposals, Shetland Competitive Process, Shetland Uncertain Energy, WSC, Atypicals)Actual</v>
      </c>
    </row>
    <row r="3035" spans="1:22">
      <c r="A3035" t="s">
        <v>140</v>
      </c>
      <c r="C3035" t="s">
        <v>1344</v>
      </c>
      <c r="D3035" t="s">
        <v>113</v>
      </c>
      <c r="E3035" t="s">
        <v>602</v>
      </c>
      <c r="F3035" t="s">
        <v>1289</v>
      </c>
      <c r="G3035">
        <v>-0.59729166280476065</v>
      </c>
      <c r="H3035">
        <v>-5.6118253878010336</v>
      </c>
      <c r="I3035">
        <v>-5.31671801178791</v>
      </c>
      <c r="J3035">
        <v>0.59535195430132593</v>
      </c>
      <c r="K3035">
        <v>-6.1844994501982846</v>
      </c>
      <c r="L3035">
        <v>-1.3269750482697278</v>
      </c>
      <c r="M3035">
        <v>0.77717715827862277</v>
      </c>
      <c r="N3035">
        <v>-4.9635754624492217</v>
      </c>
      <c r="O3035">
        <v>-2.280551750895448</v>
      </c>
      <c r="P3035">
        <v>-8.6581854507128</v>
      </c>
      <c r="Q3035">
        <v>-7.4087020036574494</v>
      </c>
      <c r="R3035">
        <v>-8.1734182624280542</v>
      </c>
      <c r="S3035">
        <v>-18.833509624189915</v>
      </c>
      <c r="T3035">
        <v>-6.2929585072134708</v>
      </c>
      <c r="U3035">
        <f>AVERAGE(G3035:T3035)</f>
        <v>-5.3054058221305809</v>
      </c>
      <c r="V3035" t="str">
        <f t="shared" si="279"/>
        <v>2018/19Expenditure driversPolicy Adjustments (Forecast DRS 8, Disposals, Shetland Competitive Process, Shetland Uncertain Energy, WSC, Atypicals)Difference</v>
      </c>
    </row>
    <row r="3036" spans="1:22">
      <c r="A3036" t="s">
        <v>140</v>
      </c>
      <c r="C3036" t="s">
        <v>1344</v>
      </c>
      <c r="D3036" t="s">
        <v>113</v>
      </c>
      <c r="E3036" t="s">
        <v>1346</v>
      </c>
      <c r="F3036" t="s">
        <v>606</v>
      </c>
      <c r="G3036" s="829">
        <v>-0.3572020192230605</v>
      </c>
      <c r="H3036" s="829">
        <v>-6.5573894506346511</v>
      </c>
      <c r="I3036" s="829">
        <v>-2.3791756940617601</v>
      </c>
      <c r="J3036" s="829">
        <v>31.333056069364162</v>
      </c>
      <c r="K3036" s="829">
        <v>-3.9082937922570751</v>
      </c>
      <c r="L3036" s="829">
        <v>-3.3786275727069355</v>
      </c>
      <c r="M3036" s="829">
        <v>2.9179870515463926</v>
      </c>
      <c r="N3036" s="829" t="e">
        <v>#DIV/0!</v>
      </c>
      <c r="O3036" s="829">
        <v>-15.976947878473149</v>
      </c>
      <c r="P3036" s="829">
        <v>-3.0909206565314409</v>
      </c>
      <c r="Q3036" s="829">
        <v>-2.3184084360557495</v>
      </c>
      <c r="R3036" s="829">
        <v>-1.4703897658694047</v>
      </c>
      <c r="S3036" s="829">
        <v>-0.49866711175198036</v>
      </c>
      <c r="T3036" s="829">
        <v>38.884203793527</v>
      </c>
      <c r="U3036" s="829">
        <f>U3035/U3033</f>
        <v>-1.3186474396630818</v>
      </c>
      <c r="V3036" t="str">
        <f t="shared" si="279"/>
        <v>2018/19Expenditure driversPolicy Adjustments (Forecast DRS 8, Disposals, Shetland Competitive Process, Shetland Uncertain Energy, WSC, Atypicals)Difference %</v>
      </c>
    </row>
    <row r="3037" spans="1:22">
      <c r="A3037" t="s">
        <v>141</v>
      </c>
      <c r="C3037" t="s">
        <v>1344</v>
      </c>
      <c r="D3037" t="s">
        <v>113</v>
      </c>
      <c r="E3037" t="s">
        <v>297</v>
      </c>
      <c r="F3037" t="s">
        <v>1289</v>
      </c>
      <c r="G3037">
        <f t="array" ref="G3037:T3040">TRANSPOSE('Ch4 expenditure drivers'!AZ914:BC927)</f>
        <v>1.3289378354589327</v>
      </c>
      <c r="H3037">
        <v>1.7284505860428447</v>
      </c>
      <c r="I3037">
        <v>1.9326357255781106</v>
      </c>
      <c r="J3037">
        <v>0.57940625236545318</v>
      </c>
      <c r="K3037">
        <v>1.8316623414185902</v>
      </c>
      <c r="L3037">
        <v>0.13543032321550225</v>
      </c>
      <c r="M3037">
        <v>0.29484198429683262</v>
      </c>
      <c r="N3037">
        <v>0</v>
      </c>
      <c r="O3037">
        <v>0.34403677838624613</v>
      </c>
      <c r="P3037">
        <v>3.2626153578782757</v>
      </c>
      <c r="Q3037">
        <v>3.0645736155191328</v>
      </c>
      <c r="R3037">
        <v>7.1047994864609088</v>
      </c>
      <c r="S3037">
        <v>42.371621044769796</v>
      </c>
      <c r="T3037">
        <v>1.1468662505803797</v>
      </c>
      <c r="U3037">
        <f>AVERAGE(G3037:T3037)</f>
        <v>4.6518483987122137</v>
      </c>
      <c r="V3037" t="str">
        <f t="shared" si="279"/>
        <v>2019/20Expenditure driversPolicy Adjustments (Forecast DRS 8, Disposals, Shetland Competitive Process, Shetland Uncertain Energy, WSC, Atypicals)Allowance</v>
      </c>
    </row>
    <row r="3038" spans="1:22">
      <c r="A3038" t="s">
        <v>141</v>
      </c>
      <c r="C3038" t="s">
        <v>1344</v>
      </c>
      <c r="D3038" t="s">
        <v>113</v>
      </c>
      <c r="E3038" t="s">
        <v>298</v>
      </c>
      <c r="F3038" t="s">
        <v>1289</v>
      </c>
      <c r="G3038">
        <v>-3.8744817977129813</v>
      </c>
      <c r="H3038">
        <v>-3.9917816921279687</v>
      </c>
      <c r="I3038">
        <v>-4.1676205417874437</v>
      </c>
      <c r="J3038">
        <v>2.1403439095575512</v>
      </c>
      <c r="K3038">
        <v>-1.3538118545167879</v>
      </c>
      <c r="L3038">
        <v>0.88373192849489091</v>
      </c>
      <c r="M3038">
        <v>1.1531887167196662</v>
      </c>
      <c r="N3038">
        <v>-4.6020456732500925</v>
      </c>
      <c r="O3038">
        <v>-1.5283887300119776</v>
      </c>
      <c r="P3038">
        <v>-4.8901793205667232</v>
      </c>
      <c r="Q3038">
        <v>-4.9086570641034442</v>
      </c>
      <c r="R3038">
        <v>-2.8037426081421999</v>
      </c>
      <c r="S3038">
        <v>27.819889009648705</v>
      </c>
      <c r="T3038">
        <v>-1.2584277861022295</v>
      </c>
      <c r="U3038">
        <f>AVERAGE(G3038:T3038)</f>
        <v>-9.8713107421502716E-2</v>
      </c>
      <c r="V3038" t="str">
        <f t="shared" si="279"/>
        <v>2019/20Expenditure driversPolicy Adjustments (Forecast DRS 8, Disposals, Shetland Competitive Process, Shetland Uncertain Energy, WSC, Atypicals)Actual</v>
      </c>
    </row>
    <row r="3039" spans="1:22">
      <c r="A3039" t="s">
        <v>141</v>
      </c>
      <c r="C3039" t="s">
        <v>1344</v>
      </c>
      <c r="D3039" t="s">
        <v>113</v>
      </c>
      <c r="E3039" t="s">
        <v>602</v>
      </c>
      <c r="F3039" t="s">
        <v>1289</v>
      </c>
      <c r="G3039">
        <v>-5.2034196331719142</v>
      </c>
      <c r="H3039">
        <v>-5.7202322781708137</v>
      </c>
      <c r="I3039">
        <v>-6.1002562673655545</v>
      </c>
      <c r="J3039">
        <v>1.5609376571920981</v>
      </c>
      <c r="K3039">
        <v>-3.1854741959353783</v>
      </c>
      <c r="L3039">
        <v>0.74830160527938872</v>
      </c>
      <c r="M3039">
        <v>0.85834673242283355</v>
      </c>
      <c r="N3039">
        <v>-4.6020456732500925</v>
      </c>
      <c r="O3039">
        <v>-1.8724255083982237</v>
      </c>
      <c r="P3039">
        <v>-8.1527946784449981</v>
      </c>
      <c r="Q3039">
        <v>-7.9732306796225769</v>
      </c>
      <c r="R3039">
        <v>-9.9085420946031082</v>
      </c>
      <c r="S3039">
        <v>-14.551732035121091</v>
      </c>
      <c r="T3039">
        <v>-2.4052940366826094</v>
      </c>
      <c r="U3039">
        <f>AVERAGE(G3039:T3039)</f>
        <v>-4.7505615061337156</v>
      </c>
      <c r="V3039" t="str">
        <f t="shared" si="279"/>
        <v>2019/20Expenditure driversPolicy Adjustments (Forecast DRS 8, Disposals, Shetland Competitive Process, Shetland Uncertain Energy, WSC, Atypicals)Difference</v>
      </c>
    </row>
    <row r="3040" spans="1:22">
      <c r="A3040" t="s">
        <v>141</v>
      </c>
      <c r="C3040" t="s">
        <v>1344</v>
      </c>
      <c r="D3040" t="s">
        <v>113</v>
      </c>
      <c r="E3040" t="s">
        <v>1346</v>
      </c>
      <c r="F3040" t="s">
        <v>606</v>
      </c>
      <c r="G3040" s="829">
        <v>-3.9154725633761309</v>
      </c>
      <c r="H3040" s="829">
        <v>-3.3094566453686407</v>
      </c>
      <c r="I3040" s="829">
        <v>-3.1564439105774995</v>
      </c>
      <c r="J3040" s="829">
        <v>2.6940297085499112</v>
      </c>
      <c r="K3040" s="829">
        <v>-1.7391164975681515</v>
      </c>
      <c r="L3040" s="829">
        <v>5.5253623229463962</v>
      </c>
      <c r="M3040" s="829">
        <v>2.9112093193576247</v>
      </c>
      <c r="N3040" s="829" t="e">
        <v>#DIV/0!</v>
      </c>
      <c r="O3040" s="829">
        <v>-5.4425155275000083</v>
      </c>
      <c r="P3040" s="829">
        <v>-2.4988525413387603</v>
      </c>
      <c r="Q3040" s="829">
        <v>-2.6017422584485468</v>
      </c>
      <c r="R3040" s="829">
        <v>-1.3946265638439317</v>
      </c>
      <c r="S3040" s="829">
        <v>-0.34343109081773743</v>
      </c>
      <c r="T3040" s="829">
        <v>-2.0972751055019656</v>
      </c>
      <c r="U3040" s="829">
        <f>U3039/U3037</f>
        <v>-1.0212201901181537</v>
      </c>
      <c r="V3040" t="str">
        <f t="shared" si="279"/>
        <v>2019/20Expenditure driversPolicy Adjustments (Forecast DRS 8, Disposals, Shetland Competitive Process, Shetland Uncertain Energy, WSC, Atypicals)Difference %</v>
      </c>
    </row>
    <row r="3041" spans="1:22">
      <c r="A3041" t="s">
        <v>126</v>
      </c>
      <c r="C3041" t="s">
        <v>1344</v>
      </c>
      <c r="D3041" t="s">
        <v>113</v>
      </c>
      <c r="E3041" t="s">
        <v>297</v>
      </c>
      <c r="F3041" t="s">
        <v>1289</v>
      </c>
      <c r="G3041" cm="1">
        <f t="array" ref="G3041:T3044">TRANSPOSE('Ch4 expenditure drivers'!BE914:BH927)</f>
        <v>2.0258192239745521</v>
      </c>
      <c r="H3041">
        <v>1.3675357488599793</v>
      </c>
      <c r="I3041">
        <v>2.8879443376338392</v>
      </c>
      <c r="J3041">
        <v>0.16543468166041742</v>
      </c>
      <c r="K3041">
        <v>1.9139913734879226</v>
      </c>
      <c r="L3041">
        <v>0</v>
      </c>
      <c r="M3041">
        <v>0.18976331131636115</v>
      </c>
      <c r="N3041">
        <v>0</v>
      </c>
      <c r="O3041">
        <v>0.39294103777062456</v>
      </c>
      <c r="P3041">
        <v>2.4227217962771439</v>
      </c>
      <c r="Q3041">
        <v>1.1965813170296336</v>
      </c>
      <c r="R3041">
        <v>7.717032636047505</v>
      </c>
      <c r="S3041">
        <v>28.424551128779346</v>
      </c>
      <c r="T3041">
        <v>-0.53031648934457409</v>
      </c>
      <c r="U3041">
        <f>AVERAGE(G3041:T3041)</f>
        <v>3.4410000073923395</v>
      </c>
      <c r="V3041" t="str">
        <f t="shared" si="279"/>
        <v>2020/21Expenditure driversPolicy Adjustments (Forecast DRS 8, Disposals, Shetland Competitive Process, Shetland Uncertain Energy, WSC, Atypicals)Allowance</v>
      </c>
    </row>
    <row r="3042" spans="1:22">
      <c r="A3042" t="s">
        <v>126</v>
      </c>
      <c r="C3042" t="s">
        <v>1344</v>
      </c>
      <c r="D3042" t="s">
        <v>113</v>
      </c>
      <c r="E3042" t="s">
        <v>298</v>
      </c>
      <c r="F3042" t="s">
        <v>1289</v>
      </c>
      <c r="G3042">
        <v>-5.0726485182072425</v>
      </c>
      <c r="H3042">
        <v>-4.5490958087658573</v>
      </c>
      <c r="I3042">
        <v>-4.0712182410683573</v>
      </c>
      <c r="J3042">
        <v>7.0156617361670186</v>
      </c>
      <c r="K3042">
        <v>3.5253033608679072</v>
      </c>
      <c r="L3042">
        <v>3.2426276732868087</v>
      </c>
      <c r="M3042">
        <v>4.7357389649958099</v>
      </c>
      <c r="N3042">
        <v>-4.4790356673564533</v>
      </c>
      <c r="O3042">
        <v>-1.9328079954258142</v>
      </c>
      <c r="P3042">
        <v>-5.8453454990038001</v>
      </c>
      <c r="Q3042">
        <v>-3.9200256304392496</v>
      </c>
      <c r="R3042">
        <v>-3.7938370635003018</v>
      </c>
      <c r="S3042">
        <v>30.977217258850256</v>
      </c>
      <c r="T3042">
        <v>-2.221988297282103</v>
      </c>
      <c r="U3042">
        <f>AVERAGE(G3042:T3042)</f>
        <v>0.97218187665133005</v>
      </c>
      <c r="V3042" t="str">
        <f t="shared" si="279"/>
        <v>2020/21Expenditure driversPolicy Adjustments (Forecast DRS 8, Disposals, Shetland Competitive Process, Shetland Uncertain Energy, WSC, Atypicals)Actual</v>
      </c>
    </row>
    <row r="3043" spans="1:22">
      <c r="A3043" t="s">
        <v>126</v>
      </c>
      <c r="C3043" t="s">
        <v>1344</v>
      </c>
      <c r="D3043" t="s">
        <v>113</v>
      </c>
      <c r="E3043" t="s">
        <v>602</v>
      </c>
      <c r="F3043" t="s">
        <v>1289</v>
      </c>
      <c r="G3043">
        <v>-7.0984677421817945</v>
      </c>
      <c r="H3043">
        <v>-5.9166315576258368</v>
      </c>
      <c r="I3043">
        <v>-6.9591625787021965</v>
      </c>
      <c r="J3043">
        <v>6.8502270545066013</v>
      </c>
      <c r="K3043">
        <v>1.6113119873799846</v>
      </c>
      <c r="L3043">
        <v>3.2426276732868087</v>
      </c>
      <c r="M3043">
        <v>4.5459756536794487</v>
      </c>
      <c r="N3043">
        <v>-4.4790356673564533</v>
      </c>
      <c r="O3043">
        <v>-2.3257490331964386</v>
      </c>
      <c r="P3043">
        <v>-8.2680672952809431</v>
      </c>
      <c r="Q3043">
        <v>-5.1166069474688829</v>
      </c>
      <c r="R3043">
        <v>-11.510869699547808</v>
      </c>
      <c r="S3043">
        <v>2.5526661300709108</v>
      </c>
      <c r="T3043">
        <v>-1.6916718079375288</v>
      </c>
      <c r="U3043">
        <f>AVERAGE(G3043:T3043)</f>
        <v>-2.4688181307410093</v>
      </c>
      <c r="V3043" t="str">
        <f t="shared" si="279"/>
        <v>2020/21Expenditure driversPolicy Adjustments (Forecast DRS 8, Disposals, Shetland Competitive Process, Shetland Uncertain Energy, WSC, Atypicals)Difference</v>
      </c>
    </row>
    <row r="3044" spans="1:22">
      <c r="A3044" t="s">
        <v>126</v>
      </c>
      <c r="C3044" t="s">
        <v>1344</v>
      </c>
      <c r="D3044" t="s">
        <v>113</v>
      </c>
      <c r="E3044" t="s">
        <v>1346</v>
      </c>
      <c r="F3044" t="s">
        <v>606</v>
      </c>
      <c r="G3044" s="829">
        <v>-3.50399860864928</v>
      </c>
      <c r="H3044" s="829">
        <v>-4.3264913276001202</v>
      </c>
      <c r="I3044" s="829">
        <v>-2.4097287776688945</v>
      </c>
      <c r="J3044" s="829">
        <v>41.4074424162634</v>
      </c>
      <c r="K3044" s="829">
        <v>0.84185958709084641</v>
      </c>
      <c r="L3044" s="829" t="e">
        <v>#DIV/0!</v>
      </c>
      <c r="M3044" s="829">
        <v>23.956030394625078</v>
      </c>
      <c r="N3044" s="829" t="e">
        <v>#DIV/0!</v>
      </c>
      <c r="O3044" s="829">
        <v>-5.9188244790916231</v>
      </c>
      <c r="P3044" s="829">
        <v>-3.4127184177671586</v>
      </c>
      <c r="Q3044" s="829">
        <v>-4.2760210899583759</v>
      </c>
      <c r="R3044" s="829">
        <v>-1.4916186366478066</v>
      </c>
      <c r="S3044" s="829">
        <v>8.9804975934567433E-2</v>
      </c>
      <c r="T3044" s="829">
        <v>3.189928734873567</v>
      </c>
      <c r="U3044" s="829">
        <f>U3043/U3041</f>
        <v>-0.71747112044092387</v>
      </c>
      <c r="V3044" t="str">
        <f t="shared" si="279"/>
        <v>2020/21Expenditure driversPolicy Adjustments (Forecast DRS 8, Disposals, Shetland Competitive Process, Shetland Uncertain Energy, WSC, Atypicals)Difference %</v>
      </c>
    </row>
    <row r="3045" spans="1:22">
      <c r="A3045" t="s">
        <v>142</v>
      </c>
      <c r="C3045" t="s">
        <v>1344</v>
      </c>
      <c r="D3045" t="s">
        <v>113</v>
      </c>
      <c r="E3045" t="s">
        <v>297</v>
      </c>
      <c r="F3045" t="s">
        <v>1289</v>
      </c>
      <c r="G3045" s="229" cm="1">
        <f t="array" ref="G3045:T3048">TRANSPOSE('Ch4 expenditure drivers'!BJ914:BM927)</f>
        <v>2.4355948243953081</v>
      </c>
      <c r="H3045" s="229">
        <v>1.6441560790227587</v>
      </c>
      <c r="I3045" s="229">
        <v>3.4721075793143292</v>
      </c>
      <c r="J3045" s="229">
        <v>0.1988982282619802</v>
      </c>
      <c r="K3045" s="229">
        <v>2.3011468289151797</v>
      </c>
      <c r="L3045" s="229">
        <v>0</v>
      </c>
      <c r="M3045" s="229">
        <v>0.22814796771227139</v>
      </c>
      <c r="N3045" s="229">
        <v>0</v>
      </c>
      <c r="O3045" s="229">
        <v>0.47242377136148483</v>
      </c>
      <c r="P3045" s="229">
        <v>2.912781455585812</v>
      </c>
      <c r="Q3045" s="229">
        <v>1.4386215849051032</v>
      </c>
      <c r="R3045" s="229">
        <v>9.2780069048663982</v>
      </c>
      <c r="S3045" s="229">
        <v>34.174169538774422</v>
      </c>
      <c r="T3045" s="229">
        <v>-0.63758704698487934</v>
      </c>
      <c r="U3045">
        <f>AVERAGE(G3045:T3045)</f>
        <v>4.1370334082950118</v>
      </c>
      <c r="V3045" t="str">
        <f t="shared" ref="V3045:V3048" si="281">CONCATENATE(A3045,B3045,C3045,D3045,E3045)</f>
        <v>2021/22Expenditure driversPolicy Adjustments (Forecast DRS 8, Disposals, Shetland Competitive Process, Shetland Uncertain Energy, WSC, Atypicals)Allowance</v>
      </c>
    </row>
    <row r="3046" spans="1:22">
      <c r="A3046" t="s">
        <v>142</v>
      </c>
      <c r="C3046" t="s">
        <v>1344</v>
      </c>
      <c r="D3046" t="s">
        <v>113</v>
      </c>
      <c r="E3046" t="s">
        <v>298</v>
      </c>
      <c r="F3046" t="s">
        <v>1289</v>
      </c>
      <c r="G3046" s="229">
        <v>-11.887413223776079</v>
      </c>
      <c r="H3046" s="229">
        <v>-6.2830735121425834</v>
      </c>
      <c r="I3046" s="229">
        <v>-2.5372236631649492</v>
      </c>
      <c r="J3046" s="229">
        <v>-4.0681469467060261</v>
      </c>
      <c r="K3046" s="229">
        <v>-7.388364294256764</v>
      </c>
      <c r="L3046" s="229">
        <v>-2.1584428544905561</v>
      </c>
      <c r="M3046" s="229">
        <v>-5.4069811732528734</v>
      </c>
      <c r="N3046" s="229">
        <v>-5.5742263150873059</v>
      </c>
      <c r="O3046" s="229">
        <v>-2.7202412848137421</v>
      </c>
      <c r="P3046" s="229">
        <v>-4.7096519461338904</v>
      </c>
      <c r="Q3046" s="229">
        <v>-4.7995580845849375</v>
      </c>
      <c r="R3046" s="229">
        <v>-5.1043837047102913</v>
      </c>
      <c r="S3046" s="229">
        <v>28.762594489266053</v>
      </c>
      <c r="T3046" s="229">
        <v>-5.8127540989923459</v>
      </c>
      <c r="U3046">
        <f>AVERAGE(G3046:T3046)</f>
        <v>-2.8348476152033064</v>
      </c>
      <c r="V3046" t="str">
        <f t="shared" si="281"/>
        <v>2021/22Expenditure driversPolicy Adjustments (Forecast DRS 8, Disposals, Shetland Competitive Process, Shetland Uncertain Energy, WSC, Atypicals)Actual</v>
      </c>
    </row>
    <row r="3047" spans="1:22">
      <c r="A3047" t="s">
        <v>142</v>
      </c>
      <c r="C3047" t="s">
        <v>1344</v>
      </c>
      <c r="D3047" t="s">
        <v>113</v>
      </c>
      <c r="E3047" t="s">
        <v>602</v>
      </c>
      <c r="F3047" t="s">
        <v>1289</v>
      </c>
      <c r="G3047" s="229">
        <v>-14.323008048171387</v>
      </c>
      <c r="H3047" s="229">
        <v>-7.9272295911653421</v>
      </c>
      <c r="I3047" s="229">
        <v>-6.0093312424792789</v>
      </c>
      <c r="J3047" s="229">
        <v>-4.2670451749680058</v>
      </c>
      <c r="K3047" s="229">
        <v>-9.6895111231719433</v>
      </c>
      <c r="L3047" s="229">
        <v>-2.1584428544905561</v>
      </c>
      <c r="M3047" s="229">
        <v>-5.6351291409651445</v>
      </c>
      <c r="N3047" s="229">
        <v>-5.5742263150873059</v>
      </c>
      <c r="O3047" s="229">
        <v>-3.192665056175227</v>
      </c>
      <c r="P3047" s="229">
        <v>-7.622433401719702</v>
      </c>
      <c r="Q3047" s="229">
        <v>-6.2381796694900409</v>
      </c>
      <c r="R3047" s="229">
        <v>-14.382390609576689</v>
      </c>
      <c r="S3047" s="229">
        <v>-5.4115750495083681</v>
      </c>
      <c r="T3047" s="229">
        <v>-5.1751670520074669</v>
      </c>
      <c r="U3047">
        <f>AVERAGE(G3047:T3047)</f>
        <v>-6.9718810234983186</v>
      </c>
      <c r="V3047" t="str">
        <f t="shared" si="281"/>
        <v>2021/22Expenditure driversPolicy Adjustments (Forecast DRS 8, Disposals, Shetland Competitive Process, Shetland Uncertain Energy, WSC, Atypicals)Difference</v>
      </c>
    </row>
    <row r="3048" spans="1:22">
      <c r="A3048" t="s">
        <v>142</v>
      </c>
      <c r="C3048" t="s">
        <v>1344</v>
      </c>
      <c r="D3048" t="s">
        <v>113</v>
      </c>
      <c r="E3048" t="s">
        <v>1346</v>
      </c>
      <c r="F3048" t="s">
        <v>606</v>
      </c>
      <c r="G3048" s="829">
        <v>-5.8807022845958787</v>
      </c>
      <c r="H3048" s="829">
        <v>-4.8214580673369341</v>
      </c>
      <c r="I3048" s="829">
        <v>-1.7307445420991245</v>
      </c>
      <c r="J3048" s="829">
        <v>-21.453409677172374</v>
      </c>
      <c r="K3048" s="829">
        <v>-4.2107313629090894</v>
      </c>
      <c r="L3048" s="829" t="e">
        <v>#DIV/0!</v>
      </c>
      <c r="M3048" s="829">
        <v>-24.699449210399642</v>
      </c>
      <c r="N3048" s="829" t="e">
        <v>#DIV/0!</v>
      </c>
      <c r="O3048" s="829">
        <v>-6.7580533616550236</v>
      </c>
      <c r="P3048" s="829">
        <v>-2.6168916267652822</v>
      </c>
      <c r="Q3048" s="829">
        <v>-4.3362199865098887</v>
      </c>
      <c r="R3048" s="829">
        <v>-1.5501595069985339</v>
      </c>
      <c r="S3048" s="829">
        <v>-0.15835278874497097</v>
      </c>
      <c r="T3048" s="829">
        <v>8.1168007983860413</v>
      </c>
      <c r="U3048" s="829">
        <f>U3047/U3045</f>
        <v>-1.6852368195816982</v>
      </c>
      <c r="V3048" t="str">
        <f t="shared" si="281"/>
        <v>2021/22Expenditure driversPolicy Adjustments (Forecast DRS 8, Disposals, Shetland Competitive Process, Shetland Uncertain Energy, WSC, Atypicals)Difference %</v>
      </c>
    </row>
  </sheetData>
  <phoneticPr fontId="254"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16"/>
  <sheetViews>
    <sheetView workbookViewId="0"/>
  </sheetViews>
  <sheetFormatPr defaultRowHeight="14.5"/>
  <sheetData>
    <row r="1" spans="1:1">
      <c r="A1" s="2" t="s">
        <v>161</v>
      </c>
    </row>
    <row r="2" spans="1:1">
      <c r="A2" s="2" t="s">
        <v>162</v>
      </c>
    </row>
    <row r="3" spans="1:1">
      <c r="A3" s="2" t="s">
        <v>163</v>
      </c>
    </row>
    <row r="4" spans="1:1">
      <c r="A4" s="2" t="s">
        <v>164</v>
      </c>
    </row>
    <row r="5" spans="1:1">
      <c r="A5" s="2" t="s">
        <v>165</v>
      </c>
    </row>
    <row r="6" spans="1:1">
      <c r="A6" s="2" t="s">
        <v>166</v>
      </c>
    </row>
    <row r="7" spans="1:1">
      <c r="A7" s="2" t="s">
        <v>167</v>
      </c>
    </row>
    <row r="8" spans="1:1">
      <c r="A8" s="2" t="s">
        <v>168</v>
      </c>
    </row>
    <row r="9" spans="1:1">
      <c r="A9" s="2" t="s">
        <v>169</v>
      </c>
    </row>
    <row r="10" spans="1:1">
      <c r="A10" s="2" t="s">
        <v>170</v>
      </c>
    </row>
    <row r="11" spans="1:1">
      <c r="A11" s="2" t="s">
        <v>171</v>
      </c>
    </row>
    <row r="12" spans="1:1">
      <c r="A12" s="2" t="s">
        <v>172</v>
      </c>
    </row>
    <row r="13" spans="1:1">
      <c r="A13" s="2" t="s">
        <v>28</v>
      </c>
    </row>
    <row r="14" spans="1:1">
      <c r="A14" s="2" t="s">
        <v>173</v>
      </c>
    </row>
    <row r="15" spans="1:1">
      <c r="A15" s="2" t="s">
        <v>350</v>
      </c>
    </row>
    <row r="16" spans="1:1">
      <c r="A16" s="2" t="s">
        <v>161</v>
      </c>
    </row>
  </sheetData>
  <dataValidations count="2">
    <dataValidation type="list" allowBlank="1" showInputMessage="1" showErrorMessage="1" sqref="A2:A14" xr:uid="{00000000-0002-0000-1100-000000000000}">
      <formula1>$A$2:$A$15</formula1>
    </dataValidation>
    <dataValidation type="list" allowBlank="1" showInputMessage="1" showErrorMessage="1" sqref="A1" xr:uid="{00000000-0002-0000-1100-000001000000}">
      <formula1>$A$2:$A$16</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pageSetUpPr autoPageBreaks="0"/>
  </sheetPr>
  <dimension ref="A8:B44"/>
  <sheetViews>
    <sheetView topLeftCell="A17" workbookViewId="0">
      <selection activeCell="B31" sqref="B31"/>
    </sheetView>
  </sheetViews>
  <sheetFormatPr defaultRowHeight="14.5"/>
  <cols>
    <col min="1" max="1" width="58.54296875" customWidth="1"/>
    <col min="2" max="2" width="87.1796875" customWidth="1"/>
  </cols>
  <sheetData>
    <row r="8" spans="1:2" ht="24.5">
      <c r="A8" s="888" t="s">
        <v>0</v>
      </c>
      <c r="B8" s="884"/>
    </row>
    <row r="10" spans="1:2">
      <c r="B10" s="880"/>
    </row>
    <row r="11" spans="1:2" ht="19.5">
      <c r="A11" s="885" t="s">
        <v>1</v>
      </c>
      <c r="B11" s="885" t="s">
        <v>2</v>
      </c>
    </row>
    <row r="12" spans="1:2" ht="17.5">
      <c r="A12" s="881" t="s">
        <v>3</v>
      </c>
      <c r="B12" s="887"/>
    </row>
    <row r="13" spans="1:2" ht="17.5">
      <c r="B13" s="887"/>
    </row>
    <row r="14" spans="1:2" ht="18.5">
      <c r="A14" s="959" t="s">
        <v>4</v>
      </c>
      <c r="B14" s="887"/>
    </row>
    <row r="15" spans="1:2" ht="17.5">
      <c r="B15" s="887"/>
    </row>
    <row r="16" spans="1:2" ht="17.5">
      <c r="A16" s="881" t="s">
        <v>5</v>
      </c>
      <c r="B16" s="887"/>
    </row>
    <row r="17" spans="1:2" ht="17.5">
      <c r="A17" s="890"/>
      <c r="B17" s="887"/>
    </row>
    <row r="18" spans="1:2" ht="18.5">
      <c r="A18" s="891" t="s">
        <v>6</v>
      </c>
      <c r="B18" s="892"/>
    </row>
    <row r="19" spans="1:2" ht="27">
      <c r="A19" s="881" t="s">
        <v>7</v>
      </c>
      <c r="B19" s="1076" t="s">
        <v>1351</v>
      </c>
    </row>
    <row r="20" spans="1:2" ht="15.5">
      <c r="A20" s="881"/>
      <c r="B20" s="1064"/>
    </row>
    <row r="21" spans="1:2" ht="27">
      <c r="A21" s="881" t="s">
        <v>8</v>
      </c>
      <c r="B21" s="1064" t="s">
        <v>9</v>
      </c>
    </row>
    <row r="22" spans="1:2" ht="15.5">
      <c r="A22" s="881"/>
      <c r="B22" s="1064"/>
    </row>
    <row r="23" spans="1:2" ht="15.5">
      <c r="A23" s="881" t="s">
        <v>10</v>
      </c>
      <c r="B23" s="1064" t="s">
        <v>11</v>
      </c>
    </row>
    <row r="24" spans="1:2" ht="15.5">
      <c r="A24" s="881"/>
      <c r="B24" s="1064"/>
    </row>
    <row r="25" spans="1:2" ht="40.5">
      <c r="A25" s="881" t="s">
        <v>12</v>
      </c>
      <c r="B25" s="1064" t="s">
        <v>13</v>
      </c>
    </row>
    <row r="26" spans="1:2" ht="15.5">
      <c r="A26" s="881"/>
      <c r="B26" s="1064"/>
    </row>
    <row r="27" spans="1:2" ht="54">
      <c r="A27" s="881" t="s">
        <v>14</v>
      </c>
      <c r="B27" s="1064" t="s">
        <v>15</v>
      </c>
    </row>
    <row r="28" spans="1:2" ht="15.5">
      <c r="A28" s="881"/>
      <c r="B28" s="1064"/>
    </row>
    <row r="29" spans="1:2" ht="27">
      <c r="A29" s="881" t="s">
        <v>16</v>
      </c>
      <c r="B29" s="1064" t="s">
        <v>17</v>
      </c>
    </row>
    <row r="30" spans="1:2" ht="15.5">
      <c r="A30" s="881"/>
      <c r="B30" s="1064"/>
    </row>
    <row r="31" spans="1:2" ht="27">
      <c r="A31" s="881" t="s">
        <v>18</v>
      </c>
      <c r="B31" s="1064" t="s">
        <v>19</v>
      </c>
    </row>
    <row r="32" spans="1:2">
      <c r="A32" s="883"/>
      <c r="B32" s="883"/>
    </row>
    <row r="33" spans="1:2" ht="15.5">
      <c r="A33" s="891" t="s">
        <v>20</v>
      </c>
      <c r="B33" s="841"/>
    </row>
    <row r="34" spans="1:2" ht="24.75" customHeight="1">
      <c r="A34" s="886" t="s">
        <v>21</v>
      </c>
      <c r="B34" s="1077" t="s">
        <v>1352</v>
      </c>
    </row>
    <row r="35" spans="1:2" ht="15.5">
      <c r="A35" s="881"/>
      <c r="B35" s="882"/>
    </row>
    <row r="36" spans="1:2" ht="15.5">
      <c r="A36" s="891" t="s">
        <v>22</v>
      </c>
      <c r="B36" s="841"/>
    </row>
    <row r="37" spans="1:2" ht="40.5">
      <c r="A37" s="886" t="s">
        <v>23</v>
      </c>
      <c r="B37" s="1065" t="s">
        <v>24</v>
      </c>
    </row>
    <row r="38" spans="1:2" ht="15.5">
      <c r="A38" s="881"/>
      <c r="B38" s="882"/>
    </row>
    <row r="39" spans="1:2" ht="27">
      <c r="A39" s="881" t="s">
        <v>25</v>
      </c>
      <c r="B39" s="1064" t="s">
        <v>26</v>
      </c>
    </row>
    <row r="40" spans="1:2">
      <c r="A40" s="882"/>
      <c r="B40" s="882"/>
    </row>
    <row r="41" spans="1:2" ht="15.5">
      <c r="A41" s="891"/>
      <c r="B41" s="841"/>
    </row>
    <row r="42" spans="1:2" ht="21.75" customHeight="1">
      <c r="A42" s="881"/>
      <c r="B42" s="882"/>
    </row>
    <row r="43" spans="1:2" ht="15.5">
      <c r="A43" s="881"/>
      <c r="B43" s="882"/>
    </row>
    <row r="44" spans="1:2" ht="15.5">
      <c r="A44" s="881"/>
      <c r="B44" s="882"/>
    </row>
  </sheetData>
  <hyperlinks>
    <hyperlink ref="A19" location="'Ch2 - Incentive payments'!A1" display="Incentive Payments " xr:uid="{00000000-0004-0000-0100-000000000000}"/>
    <hyperlink ref="A21" location="'Ch2 outputs - reliability'!A1" display="Reliability" xr:uid="{00000000-0004-0000-0100-000001000000}"/>
    <hyperlink ref="A23" location="'Ch2 - Network Asset SDs'!A1" display="Network Asset Secondary Deliverables" xr:uid="{00000000-0004-0000-0100-000002000000}"/>
    <hyperlink ref="A25" location="'Ch2 outputs - connections'!A1" display="Connections " xr:uid="{00000000-0004-0000-0100-000003000000}"/>
    <hyperlink ref="A27" location="'Ch2 outputs - environment'!A1" display="Environment" xr:uid="{00000000-0004-0000-0100-000004000000}"/>
    <hyperlink ref="A29" location="'Ch2 outputs - cust sat'!A1" display="Customer Satisfaction" xr:uid="{00000000-0004-0000-0100-000005000000}"/>
    <hyperlink ref="A31" location="'Ch2 - innovation'!A1" display="Innovation" xr:uid="{00000000-0004-0000-0100-000006000000}"/>
    <hyperlink ref="A34" location="'Ch3 financial performance '!A1" display="Financial Performance" xr:uid="{00000000-0004-0000-0100-000007000000}"/>
    <hyperlink ref="A37" location="'Ch4 expenditure drivers'!A1" display="Expenditure Drivers" xr:uid="{00000000-0004-0000-0100-000008000000}"/>
    <hyperlink ref="A39" location="'Ch4 expenditure drivers 2'!A1" display="Expenditure Drivers 2" xr:uid="{00000000-0004-0000-0100-000009000000}"/>
    <hyperlink ref="A12" location="'One-pager'!A1" display="One-pager" xr:uid="{00000000-0004-0000-0100-00000A000000}"/>
    <hyperlink ref="A14" location="'Guide &amp; drivers'!A1" display="Cover, Guide &amp; Drivers" xr:uid="{00000000-0004-0000-0100-00000B000000}"/>
    <hyperlink ref="A16" location="'RAG and Ranking'!A1" display="RAG and Ranking" xr:uid="{00000000-0004-0000-0100-00000C000000}"/>
  </hyperlink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tabColor rgb="FF7030A0"/>
  </sheetPr>
  <dimension ref="A1:J938"/>
  <sheetViews>
    <sheetView workbookViewId="0"/>
  </sheetViews>
  <sheetFormatPr defaultColWidth="9.1796875" defaultRowHeight="11.5"/>
  <cols>
    <col min="1" max="1" width="55.6328125" style="2" customWidth="1"/>
    <col min="2" max="2" width="18.81640625" style="2" bestFit="1" customWidth="1"/>
    <col min="3" max="3" width="23.453125" style="2" customWidth="1"/>
    <col min="4" max="4" width="10.54296875" style="2" bestFit="1" customWidth="1"/>
    <col min="5" max="5" width="8.1796875" style="2" bestFit="1" customWidth="1"/>
    <col min="6" max="6" width="7.81640625" style="2" customWidth="1"/>
    <col min="7" max="7" width="53.453125" style="2" bestFit="1" customWidth="1"/>
    <col min="8" max="8" width="15.1796875" style="2" bestFit="1" customWidth="1"/>
    <col min="9" max="9" width="18.81640625" style="2" customWidth="1"/>
    <col min="10" max="11" width="13.54296875" style="2" customWidth="1"/>
    <col min="12" max="16384" width="9.1796875" style="2"/>
  </cols>
  <sheetData>
    <row r="1" spans="1:10" ht="29.25" customHeight="1">
      <c r="A1" s="885" t="s">
        <v>27</v>
      </c>
      <c r="B1" s="889"/>
      <c r="C1" s="889"/>
      <c r="D1" s="889"/>
      <c r="E1" s="107"/>
    </row>
    <row r="2" spans="1:10" ht="30" customHeight="1">
      <c r="A2" s="858" t="s">
        <v>164</v>
      </c>
      <c r="F2" s="16"/>
    </row>
    <row r="3" spans="1:10" ht="15" customHeight="1">
      <c r="A3" s="1" t="s">
        <v>29</v>
      </c>
    </row>
    <row r="4" spans="1:10" ht="15" customHeight="1">
      <c r="A4" s="894" t="s">
        <v>30</v>
      </c>
      <c r="B4" s="895"/>
      <c r="C4" s="895"/>
      <c r="G4" s="894" t="s">
        <v>21</v>
      </c>
      <c r="H4" s="894"/>
      <c r="I4" s="896"/>
    </row>
    <row r="5" spans="1:10" ht="15" customHeight="1">
      <c r="A5" s="5"/>
      <c r="B5" s="4">
        <v>2022</v>
      </c>
      <c r="C5" s="859" t="s">
        <v>31</v>
      </c>
      <c r="G5" s="4"/>
      <c r="H5" s="4">
        <v>2022</v>
      </c>
      <c r="I5" s="859" t="s">
        <v>32</v>
      </c>
    </row>
    <row r="6" spans="1:10" ht="15" customHeight="1">
      <c r="A6" s="5" t="s">
        <v>33</v>
      </c>
      <c r="B6" s="3" t="str">
        <f>TEXT(Calculations!N7,"#,##0")</f>
        <v>2,515,482</v>
      </c>
      <c r="C6" s="5"/>
      <c r="G6" s="5" t="s">
        <v>34</v>
      </c>
      <c r="H6" s="3" t="str">
        <f>"£"&amp;TEXT(Calculations!L234,"#,##0.00")&amp;"m"</f>
        <v>£333.72m</v>
      </c>
      <c r="I6" s="5"/>
    </row>
    <row r="7" spans="1:10" ht="15" customHeight="1">
      <c r="A7" s="5" t="s">
        <v>35</v>
      </c>
      <c r="B7" s="860" t="str">
        <f>TEXT(Calculations!N8,"#,##0.00")&amp;"km"</f>
        <v>65,765.19km</v>
      </c>
      <c r="C7" s="5"/>
      <c r="G7" s="5" t="s">
        <v>36</v>
      </c>
      <c r="H7" s="3" t="str">
        <f>"£"&amp;TEXT(Calculations!L235,"#,##0.00")&amp;"m"</f>
        <v>£349.47m</v>
      </c>
      <c r="I7" s="5"/>
    </row>
    <row r="8" spans="1:10" ht="15" customHeight="1">
      <c r="A8" s="5" t="s">
        <v>37</v>
      </c>
      <c r="B8" s="3" t="str">
        <f>TEXT(Calculations!N9,"#,##0.00")&amp;" GWh"</f>
        <v>22,019.05 GWh</v>
      </c>
      <c r="C8" s="5"/>
      <c r="G8" s="5" t="s">
        <v>38</v>
      </c>
      <c r="H8" s="3" t="str">
        <f>TEXT(Calculations!L236,"+£0.00;-£0.00")&amp;"m"</f>
        <v>+£15.76m</v>
      </c>
      <c r="I8" s="5"/>
    </row>
    <row r="9" spans="1:10" ht="15" customHeight="1">
      <c r="A9" s="5" t="s">
        <v>39</v>
      </c>
      <c r="B9" s="3" t="str">
        <f>TEXT(Calculations!N10,"#,##0")&amp;" MVA"</f>
        <v>4,220 MVA</v>
      </c>
      <c r="C9" s="5"/>
      <c r="G9" s="5" t="s">
        <v>40</v>
      </c>
      <c r="H9" s="3" t="str">
        <f>"£"&amp;TEXT(Calculations!L238,"#,##0.00")&amp;"m"</f>
        <v>£338.45m</v>
      </c>
      <c r="I9" s="5"/>
    </row>
    <row r="10" spans="1:10" ht="15" customHeight="1">
      <c r="G10" s="5"/>
      <c r="H10" s="3"/>
      <c r="I10" s="5"/>
    </row>
    <row r="11" spans="1:10" ht="15" customHeight="1">
      <c r="A11" s="894" t="s">
        <v>41</v>
      </c>
      <c r="B11" s="895"/>
      <c r="G11" s="5" t="s">
        <v>42</v>
      </c>
      <c r="H11" s="3" t="str">
        <f>"£"&amp;TEXT(Calculations!L241,"#,##0.00")</f>
        <v>£83.75</v>
      </c>
      <c r="I11" s="5"/>
    </row>
    <row r="12" spans="1:10" ht="15" customHeight="1">
      <c r="A12" s="5"/>
      <c r="B12" s="4">
        <v>2022</v>
      </c>
      <c r="C12" s="1"/>
      <c r="G12" s="5" t="s">
        <v>43</v>
      </c>
      <c r="H12" s="3" t="str">
        <f>"£"&amp;TEXT(Calculations!L244,"#,##0.00")&amp;"m"</f>
        <v>£2,728.48m</v>
      </c>
      <c r="I12" s="5"/>
    </row>
    <row r="13" spans="1:10" ht="15" customHeight="1">
      <c r="A13" s="5" t="s">
        <v>44</v>
      </c>
      <c r="B13" s="861" t="str">
        <f>"£"&amp;TEXT(Calculations!C19,"#,##0.00")&amp;"m"</f>
        <v>£29.69m</v>
      </c>
      <c r="G13" s="5" t="s">
        <v>45</v>
      </c>
      <c r="H13" s="3" t="str">
        <f>"£"&amp;TEXT(Calculations!L247,"#,##0.00")&amp;"m"</f>
        <v>£2,789.45m</v>
      </c>
      <c r="I13" s="5"/>
    </row>
    <row r="14" spans="1:10" ht="15" customHeight="1">
      <c r="G14" s="1"/>
    </row>
    <row r="15" spans="1:10" ht="15" customHeight="1">
      <c r="A15" s="894" t="s">
        <v>8</v>
      </c>
      <c r="B15" s="895"/>
      <c r="C15" s="895"/>
      <c r="D15" s="895"/>
      <c r="G15" s="894" t="s">
        <v>46</v>
      </c>
      <c r="H15" s="895"/>
      <c r="I15" s="895"/>
    </row>
    <row r="16" spans="1:10" ht="15" customHeight="1">
      <c r="A16" s="5"/>
      <c r="B16" s="4">
        <v>2022</v>
      </c>
      <c r="C16" s="859" t="s">
        <v>32</v>
      </c>
      <c r="D16" s="4" t="s">
        <v>47</v>
      </c>
      <c r="G16" s="5"/>
      <c r="H16" s="4" t="s">
        <v>1353</v>
      </c>
      <c r="I16" s="4" t="s">
        <v>1354</v>
      </c>
      <c r="J16" s="4" t="s">
        <v>32</v>
      </c>
    </row>
    <row r="17" spans="1:10">
      <c r="A17" s="5" t="s">
        <v>48</v>
      </c>
      <c r="B17" s="165">
        <f>Calculations!$J$24</f>
        <v>46.759905258713836</v>
      </c>
      <c r="C17" s="4"/>
      <c r="D17" s="5" t="str">
        <f>IF(B17&lt;=(Calculations!J29+Calculations!J35),"Green",IF(B17&lt;=(Calculations!J29+Calculations!J35)*1.05,"Amber","Red"))</f>
        <v>Green</v>
      </c>
      <c r="G17" s="5" t="s">
        <v>49</v>
      </c>
      <c r="H17" s="5" t="str">
        <f>TEXT(Calculations!S269,"+£0.00;-£0.00")&amp;"m"</f>
        <v>+£25.13m</v>
      </c>
      <c r="I17" s="863" t="str">
        <f>IFERROR(TEXT(Calculations!S270,"+0.00%;-0.00%"),"")</f>
        <v>+63.54%</v>
      </c>
      <c r="J17" s="5"/>
    </row>
    <row r="18" spans="1:10">
      <c r="A18" s="5" t="s">
        <v>50</v>
      </c>
      <c r="B18" s="165">
        <f>Calculations!$J$26</f>
        <v>29.520587586832292</v>
      </c>
      <c r="C18" s="4"/>
      <c r="D18" s="5" t="str">
        <f>IF(B18&lt;=(Calculations!J32+Calculations!J38),"Green",IF(B18&lt;=(Calculations!J32+Calculations!J38)*1.05,"Amber","Red"))</f>
        <v>Green</v>
      </c>
      <c r="G18" s="5" t="s">
        <v>51</v>
      </c>
      <c r="H18" s="5" t="str">
        <f>TEXT(Calculations!S276,"+£0.00;-£0.00")&amp;"m"</f>
        <v>-£9.48m</v>
      </c>
      <c r="I18" s="863" t="str">
        <f>IFERROR(TEXT(Calculations!S277,"+0.00%;-0.00%"),"")</f>
        <v>-10.68%</v>
      </c>
      <c r="J18" s="5"/>
    </row>
    <row r="19" spans="1:10">
      <c r="A19" s="5" t="s">
        <v>52</v>
      </c>
      <c r="B19" s="861" t="str">
        <f>"£"&amp;TEXT(Calculations!$J$40,"#,##0.00")&amp;"m"</f>
        <v>£22.51m</v>
      </c>
      <c r="C19" s="5"/>
      <c r="D19" s="5"/>
      <c r="G19" s="5" t="s">
        <v>53</v>
      </c>
      <c r="H19" s="5" t="str">
        <f>TEXT(Calculations!S283,"+£0.00;-£0.00")&amp;"m"</f>
        <v>+£4.60m</v>
      </c>
      <c r="I19" s="863" t="str">
        <f>IFERROR(TEXT(Calculations!S284,"+0.00%;-0.00%"),"")</f>
        <v>+12.28%</v>
      </c>
      <c r="J19" s="5"/>
    </row>
    <row r="20" spans="1:10">
      <c r="A20" s="5" t="s">
        <v>54</v>
      </c>
      <c r="B20" s="1107">
        <f>Calculations!$J$70</f>
        <v>1</v>
      </c>
      <c r="C20" s="5"/>
      <c r="D20" s="5"/>
      <c r="G20" s="5" t="s">
        <v>55</v>
      </c>
      <c r="H20" s="5" t="str">
        <f>TEXT(Calculations!S290,"+£0.00;-£0.00")&amp;"m"</f>
        <v>+£0.52m</v>
      </c>
      <c r="I20" s="863" t="str">
        <f>IFERROR(TEXT(Calculations!S291,"+0.00%;-0.00%"),"")</f>
        <v>+0.75%</v>
      </c>
      <c r="J20" s="5"/>
    </row>
    <row r="21" spans="1:10">
      <c r="A21" s="5" t="s">
        <v>56</v>
      </c>
      <c r="B21" s="3" t="str">
        <f>"£"&amp;TEXT(Calculations!$J$75,"#,##0.00")&amp;"m"</f>
        <v>£0.11m</v>
      </c>
      <c r="C21" s="5"/>
      <c r="D21" s="5"/>
      <c r="G21" s="5" t="s">
        <v>57</v>
      </c>
      <c r="H21" s="5" t="str">
        <f>TEXT(Calculations!S297,"+£0.00;-£0.00")&amp;"m"</f>
        <v>+£0.13m</v>
      </c>
      <c r="I21" s="863" t="str">
        <f>IFERROR(TEXT(Calculations!S298,"+0.00%;-0.00%"),"")</f>
        <v>+0.35%</v>
      </c>
      <c r="J21" s="5"/>
    </row>
    <row r="22" spans="1:10">
      <c r="A22" s="5" t="s">
        <v>58</v>
      </c>
      <c r="B22" s="3" t="str">
        <f>"£"&amp;TEXT(Calculations!$J$88,"#,##0.00")&amp;"m"</f>
        <v>£11.32m</v>
      </c>
      <c r="C22" s="5"/>
      <c r="D22" s="5"/>
      <c r="G22" s="5" t="s">
        <v>59</v>
      </c>
      <c r="H22" s="5" t="str">
        <f>TEXT(Calculations!S304,"+£0.00;-£0.00")&amp;"m"</f>
        <v>+£2.75m</v>
      </c>
      <c r="I22" s="863" t="str">
        <f>IFERROR(TEXT(Calculations!S305,"+0.00%;-0.00%"),"")</f>
        <v>+24.30%</v>
      </c>
      <c r="J22" s="5"/>
    </row>
    <row r="23" spans="1:10">
      <c r="A23" s="5" t="s">
        <v>60</v>
      </c>
      <c r="B23" s="3" t="str">
        <f>"£"&amp;TEXT(Calculations!$J$89,"#,##0.00")&amp;"m"</f>
        <v>£14.07m</v>
      </c>
      <c r="C23" s="5"/>
      <c r="D23" s="5"/>
      <c r="G23" s="5"/>
      <c r="H23" s="5"/>
      <c r="I23" s="863"/>
      <c r="J23" s="5"/>
    </row>
    <row r="24" spans="1:10" ht="15" customHeight="1">
      <c r="C24"/>
      <c r="G24" s="5" t="s">
        <v>61</v>
      </c>
      <c r="H24" s="5" t="str">
        <f>TEXT(Calculations!S311,"+£0.00;-£0.00")&amp;"m"</f>
        <v>+£4.79m</v>
      </c>
      <c r="I24" s="863" t="str">
        <f>IFERROR(TEXT(Calculations!S312,"+0.00%;-0.00%"),"")</f>
        <v>+139.36%</v>
      </c>
      <c r="J24" s="5"/>
    </row>
    <row r="25" spans="1:10" ht="15" customHeight="1">
      <c r="A25" s="894" t="s">
        <v>61</v>
      </c>
      <c r="B25" s="894"/>
      <c r="C25" s="896"/>
      <c r="D25" s="894"/>
      <c r="E25" s="894"/>
      <c r="G25" s="5" t="s">
        <v>62</v>
      </c>
      <c r="H25" s="5" t="str">
        <f>TEXT(Calculations!S318,"+£0.00;-£0.00")&amp;"m"</f>
        <v>+£20.87m</v>
      </c>
      <c r="I25" s="863" t="str">
        <f>IFERROR(TEXT(Calculations!S319,"+0.00%;-0.00%"),"")</f>
        <v>+58.64%</v>
      </c>
      <c r="J25" s="5"/>
    </row>
    <row r="26" spans="1:10" ht="15" customHeight="1">
      <c r="A26" s="4"/>
      <c r="B26" s="4">
        <v>2022</v>
      </c>
      <c r="C26" s="859" t="s">
        <v>32</v>
      </c>
      <c r="D26" s="4" t="s">
        <v>47</v>
      </c>
      <c r="E26" s="4" t="s">
        <v>63</v>
      </c>
      <c r="G26" s="5" t="s">
        <v>64</v>
      </c>
      <c r="H26" s="5" t="str">
        <f>TEXT(Calculations!S325,"+£0.00;-£0.00")&amp;"m"</f>
        <v>-£0.53m</v>
      </c>
      <c r="I26" s="863" t="str">
        <f>IFERROR(TEXT(Calculations!S326,"+0.00%;-0.00%"),"")</f>
        <v>-100.00%</v>
      </c>
      <c r="J26" s="5"/>
    </row>
    <row r="27" spans="1:10" ht="15" customHeight="1">
      <c r="A27" s="5" t="s">
        <v>65</v>
      </c>
      <c r="B27" s="3" t="str">
        <f>TEXT(Calculations!I106,"#,##0.00")&amp;" MW"</f>
        <v>112.18 MW</v>
      </c>
      <c r="C27" s="859"/>
      <c r="D27" s="4"/>
      <c r="E27" s="904"/>
      <c r="G27" s="5" t="s">
        <v>66</v>
      </c>
      <c r="H27" s="5" t="str">
        <f>TEXT(Calculations!S332,"+£0.00;-£0.00")&amp;"m"</f>
        <v>-£2.48m</v>
      </c>
      <c r="I27" s="863" t="str">
        <f>IFERROR(TEXT(Calculations!S333,"+0.00%;-0.00%"),"")</f>
        <v>-21.28%</v>
      </c>
      <c r="J27" s="5"/>
    </row>
    <row r="28" spans="1:10" ht="15" customHeight="1">
      <c r="A28" s="5" t="s">
        <v>67</v>
      </c>
      <c r="B28" s="3" t="str">
        <f>"£"&amp;TEXT(Calculations!I118,"#,##0.00")&amp;"m"</f>
        <v>£2.03m</v>
      </c>
      <c r="C28" s="5"/>
      <c r="D28" s="5" t="str">
        <f>Calculations!I119</f>
        <v>Green</v>
      </c>
      <c r="E28" s="52">
        <f>Calculations!I121</f>
        <v>1</v>
      </c>
      <c r="G28" s="5" t="s">
        <v>68</v>
      </c>
      <c r="H28" s="5" t="str">
        <f>TEXT(Calculations!S339,"+£0.00;-£0.00")&amp;"m"</f>
        <v>+£0.82m</v>
      </c>
      <c r="I28" s="863" t="str">
        <f>IFERROR(TEXT(Calculations!S340,"+0.00%;-0.00%"),"")</f>
        <v>-100.00%</v>
      </c>
      <c r="J28" s="5"/>
    </row>
    <row r="29" spans="1:10" ht="15" customHeight="1">
      <c r="A29" s="5" t="s">
        <v>69</v>
      </c>
      <c r="B29" s="3" t="str">
        <f>"£"&amp;TEXT(Calculations!C15,"#,##0.00")&amp;"m"</f>
        <v>£0.00m</v>
      </c>
      <c r="C29" s="5"/>
      <c r="D29" s="5"/>
      <c r="E29" s="877"/>
      <c r="G29" s="5" t="s">
        <v>70</v>
      </c>
      <c r="H29" s="5" t="str">
        <f>TEXT(Calculations!S346,"+£0.00;-£0.00")&amp;"m"</f>
        <v>-£8.33m</v>
      </c>
      <c r="I29" s="863" t="str">
        <f>IFERROR(TEXT(Calculations!S347,"+0.00%;-0.00%"),"")</f>
        <v>-11.13%</v>
      </c>
      <c r="J29" s="5"/>
    </row>
    <row r="30" spans="1:10" ht="15" customHeight="1">
      <c r="A30" s="5" t="s">
        <v>71</v>
      </c>
      <c r="B30" s="3" t="str">
        <f>"£"&amp;TEXT(Calculations!I127,"#,##0")</f>
        <v>£1,040</v>
      </c>
      <c r="C30" s="5"/>
      <c r="D30" s="5" t="str">
        <f>Calculations!I129</f>
        <v>Green</v>
      </c>
      <c r="E30" s="52">
        <f>Calculations!I130</f>
        <v>3</v>
      </c>
      <c r="G30" s="5" t="s">
        <v>72</v>
      </c>
      <c r="H30" s="5" t="str">
        <f>TEXT(Calculations!S353,"+£0.00;-£0.00")&amp;"m"</f>
        <v>+£2.11m</v>
      </c>
      <c r="I30" s="863" t="str">
        <f>IFERROR(TEXT(Calculations!S354,"+0.00%;-0.00%"),"")</f>
        <v>+41.46%</v>
      </c>
      <c r="J30" s="5"/>
    </row>
    <row r="31" spans="1:10" ht="15" customHeight="1">
      <c r="E31" s="44"/>
      <c r="G31" s="5" t="s">
        <v>73</v>
      </c>
      <c r="H31" s="5" t="str">
        <f>TEXT(Calculations!S360,"+£0.00;-£0.00")&amp;"m"</f>
        <v>-£3.26m</v>
      </c>
      <c r="I31" s="863" t="str">
        <f>IFERROR(TEXT(Calculations!S361,"+0.00%;-0.00%"),"")</f>
        <v>-36.90%</v>
      </c>
      <c r="J31" s="5"/>
    </row>
    <row r="32" spans="1:10" ht="15" customHeight="1">
      <c r="A32" s="894" t="s">
        <v>14</v>
      </c>
      <c r="B32" s="894"/>
      <c r="C32" s="896"/>
      <c r="D32" s="894"/>
      <c r="E32" s="905"/>
      <c r="G32" s="5" t="s">
        <v>74</v>
      </c>
      <c r="H32" s="5" t="str">
        <f>TEXT(Calculations!S367,"+£0.00;-£0.00")&amp;"m"</f>
        <v>+£1.95m</v>
      </c>
      <c r="I32" s="863" t="str">
        <f>IFERROR(TEXT(Calculations!S368,"+0.00%;-0.00%"),"")</f>
        <v>+184.30%</v>
      </c>
      <c r="J32" s="5"/>
    </row>
    <row r="33" spans="1:10" ht="15" customHeight="1">
      <c r="A33" s="4"/>
      <c r="B33" s="4">
        <v>2022</v>
      </c>
      <c r="C33" s="859" t="s">
        <v>32</v>
      </c>
      <c r="D33" s="4"/>
      <c r="E33" s="904" t="s">
        <v>63</v>
      </c>
      <c r="G33" s="5" t="s">
        <v>75</v>
      </c>
      <c r="H33" s="5" t="str">
        <f>TEXT(Calculations!S374,"+£0.00;-£0.00")&amp;"m"</f>
        <v>-£0.31m</v>
      </c>
      <c r="I33" s="863" t="str">
        <f>IFERROR(TEXT(Calculations!S375,"+0.00%;-0.00%"),"")</f>
        <v>-77.79%</v>
      </c>
      <c r="J33" s="5"/>
    </row>
    <row r="34" spans="1:10" ht="15" customHeight="1">
      <c r="A34" s="5" t="s">
        <v>76</v>
      </c>
      <c r="B34" s="862">
        <f>Calculations!N136</f>
        <v>6.0469927380106606E-2</v>
      </c>
      <c r="C34" s="5"/>
      <c r="D34" s="5"/>
      <c r="E34" s="877"/>
      <c r="G34" s="5" t="s">
        <v>77</v>
      </c>
      <c r="H34" s="5" t="str">
        <f>TEXT(Calculations!S381,"+£0.00;-£0.00")&amp;"m"</f>
        <v>+£0.00m</v>
      </c>
      <c r="I34" s="863" t="str">
        <f>IFERROR(TEXT(Calculations!S382,"+0.00%;-0.00%"),"")</f>
        <v/>
      </c>
      <c r="J34" s="5"/>
    </row>
    <row r="35" spans="1:10" ht="15" customHeight="1">
      <c r="A35" s="5" t="s">
        <v>1355</v>
      </c>
      <c r="B35" s="861" t="str">
        <f>"£"&amp;TEXT(Calculations!N135,"#,##0.00")</f>
        <v>£</v>
      </c>
      <c r="C35" s="5"/>
      <c r="D35" s="5"/>
      <c r="E35" s="877" t="str">
        <f>Calculations!L137</f>
        <v/>
      </c>
      <c r="G35" s="5" t="s">
        <v>78</v>
      </c>
      <c r="H35" s="5" t="str">
        <f>TEXT(Calculations!S388,"+£0.00;-£0.00")&amp;"m"</f>
        <v>-£0.30m</v>
      </c>
      <c r="I35" s="863" t="str">
        <f>IFERROR(TEXT(Calculations!S389,"+0.00%;-0.00%"),"")</f>
        <v>-17.88%</v>
      </c>
      <c r="J35" s="5"/>
    </row>
    <row r="36" spans="1:10" ht="15" customHeight="1">
      <c r="A36" s="5" t="s">
        <v>79</v>
      </c>
      <c r="B36" s="862">
        <f>Calculations!N141</f>
        <v>0.10956030289578472</v>
      </c>
      <c r="C36" s="5"/>
      <c r="D36" s="5"/>
      <c r="E36" s="52">
        <f>Calculations!N142</f>
        <v>8</v>
      </c>
      <c r="G36" s="5" t="s">
        <v>80</v>
      </c>
      <c r="H36" s="5" t="str">
        <f>TEXT(Calculations!S395,"+£0.00;-£0.00")&amp;"m"</f>
        <v>+£0.76m</v>
      </c>
      <c r="I36" s="863" t="str">
        <f>IFERROR(TEXT(Calculations!S396,"+0.00%;-0.00%"),"")</f>
        <v/>
      </c>
      <c r="J36" s="5"/>
    </row>
    <row r="37" spans="1:10" ht="15" customHeight="1">
      <c r="A37" s="5" t="s">
        <v>81</v>
      </c>
      <c r="B37" s="862">
        <f>Calculations!N147</f>
        <v>4.747740982335243E-3</v>
      </c>
      <c r="C37" s="5"/>
      <c r="D37" s="5"/>
      <c r="E37" s="52">
        <f>Calculations!N148</f>
        <v>11</v>
      </c>
      <c r="G37" s="5" t="s">
        <v>82</v>
      </c>
      <c r="H37" s="5" t="str">
        <f>TEXT(Calculations!S402,"+£0.00;-£0.00")&amp;"m"</f>
        <v>-£0.12m</v>
      </c>
      <c r="I37" s="863" t="str">
        <f>IFERROR(TEXT(Calculations!S403,"+0.00%;-0.00%"),"")</f>
        <v>-62.82%</v>
      </c>
      <c r="J37" s="5"/>
    </row>
    <row r="38" spans="1:10" ht="15" customHeight="1">
      <c r="A38" s="5" t="s">
        <v>83</v>
      </c>
      <c r="B38" s="862">
        <f>Calculations!N153</f>
        <v>1.8958729610205064E-2</v>
      </c>
      <c r="C38" s="5"/>
      <c r="D38" s="5"/>
      <c r="E38" s="52">
        <f>Calculations!N154</f>
        <v>7</v>
      </c>
      <c r="G38" s="5" t="s">
        <v>84</v>
      </c>
      <c r="H38" s="5" t="str">
        <f>TEXT(Calculations!S409,"+£0.00;-£0.00")&amp;"m"</f>
        <v>+£0.00m</v>
      </c>
      <c r="I38" s="863" t="str">
        <f>IFERROR(TEXT(Calculations!S410,"+0.00%;-0.00%"),"")</f>
        <v/>
      </c>
      <c r="J38" s="5"/>
    </row>
    <row r="39" spans="1:10" ht="15" customHeight="1">
      <c r="A39" s="5" t="s">
        <v>85</v>
      </c>
      <c r="B39" s="3" t="str">
        <f>"£"&amp;TEXT(Calculations!N159,"#,##0.00")&amp;"m"</f>
        <v>£0.01m</v>
      </c>
      <c r="C39" s="5"/>
      <c r="D39" s="5"/>
      <c r="E39" s="877"/>
      <c r="G39" s="5" t="s">
        <v>86</v>
      </c>
      <c r="H39" s="5" t="str">
        <f>TEXT(Calculations!S416,"+£0.00;-£0.00")&amp;"m"</f>
        <v>+£0.00m</v>
      </c>
      <c r="I39" s="863" t="str">
        <f>IFERROR(TEXT(Calculations!S417,"+0.00%;-0.00%"),"")</f>
        <v/>
      </c>
      <c r="J39" s="5"/>
    </row>
    <row r="40" spans="1:10" ht="15" customHeight="1">
      <c r="A40" s="5" t="s">
        <v>87</v>
      </c>
      <c r="B40" s="3" t="str">
        <f>TEXT(Calculations!N162,"#,##0.00")&amp;" MW"</f>
        <v>0.16 MW</v>
      </c>
      <c r="C40" s="5"/>
      <c r="D40" s="5"/>
      <c r="E40" s="877"/>
      <c r="G40" s="5" t="s">
        <v>88</v>
      </c>
      <c r="H40" s="5" t="str">
        <f>TEXT(Calculations!S423,"+£0.00;-£0.00")&amp;"m"</f>
        <v>-£0.87m</v>
      </c>
      <c r="I40" s="863" t="str">
        <f>IFERROR(TEXT(Calculations!S424,"+0.00%;-0.00%"),"")</f>
        <v>-36.46%</v>
      </c>
      <c r="J40" s="5"/>
    </row>
    <row r="41" spans="1:10" ht="15" customHeight="1">
      <c r="A41" s="5" t="s">
        <v>89</v>
      </c>
      <c r="B41" s="3" t="str">
        <f>TEXT(Calculations!N163,"#,##0.00")&amp;" MW"</f>
        <v>62.15 MW</v>
      </c>
      <c r="C41" s="5"/>
      <c r="D41" s="5"/>
      <c r="E41" s="877"/>
      <c r="G41" s="5" t="s">
        <v>90</v>
      </c>
      <c r="H41" s="5" t="str">
        <f>TEXT(Calculations!S430,"+£0.00;-£0.00")&amp;"m"</f>
        <v>+£0.99m</v>
      </c>
      <c r="I41" s="863" t="str">
        <f>IFERROR(TEXT(Calculations!S431,"+0.00%;-0.00%"),"")</f>
        <v>+138.38%</v>
      </c>
      <c r="J41" s="5"/>
    </row>
    <row r="42" spans="1:10" ht="15" customHeight="1">
      <c r="A42" s="5" t="s">
        <v>91</v>
      </c>
      <c r="B42" s="877">
        <f>Calculations!N166</f>
        <v>6</v>
      </c>
      <c r="C42" s="5"/>
      <c r="D42" s="5"/>
      <c r="E42" s="877"/>
      <c r="G42" s="5" t="s">
        <v>92</v>
      </c>
      <c r="H42" s="5" t="str">
        <f>TEXT(Calculations!S437,"+£0.00;-£0.00")&amp;"m"</f>
        <v>+£2.75m</v>
      </c>
      <c r="I42" s="863" t="str">
        <f>IFERROR(TEXT(Calculations!S438,"+0.00%;-0.00%"),"")</f>
        <v>+9.16%</v>
      </c>
      <c r="J42" s="5"/>
    </row>
    <row r="43" spans="1:10" ht="15" customHeight="1">
      <c r="E43" s="44"/>
      <c r="G43" s="5" t="s">
        <v>93</v>
      </c>
      <c r="H43" s="5" t="str">
        <f>TEXT(Calculations!S444,"+£0.00;-£0.00")&amp;"m"</f>
        <v>-£2.24m</v>
      </c>
      <c r="I43" s="863" t="str">
        <f>IFERROR(TEXT(Calculations!S445,"+0.00%;-0.00%"),"")</f>
        <v>-100.00%</v>
      </c>
      <c r="J43" s="5"/>
    </row>
    <row r="44" spans="1:10" ht="15" customHeight="1">
      <c r="A44" s="894" t="s">
        <v>16</v>
      </c>
      <c r="B44" s="894"/>
      <c r="C44" s="896"/>
      <c r="D44" s="894"/>
      <c r="E44" s="906"/>
      <c r="G44" s="5" t="s">
        <v>94</v>
      </c>
      <c r="H44" s="5" t="str">
        <f>TEXT(Calculations!S451,"+£0.00;-£0.00")&amp;"m"</f>
        <v>+£4.10m</v>
      </c>
      <c r="I44" s="863" t="str">
        <f>IFERROR(TEXT(Calculations!S452,"+0.00%;-0.00%"),"")</f>
        <v>+78.47%</v>
      </c>
      <c r="J44" s="5"/>
    </row>
    <row r="45" spans="1:10" ht="15" customHeight="1">
      <c r="A45" s="4"/>
      <c r="B45" s="4">
        <v>2022</v>
      </c>
      <c r="C45" s="859" t="s">
        <v>32</v>
      </c>
      <c r="D45" s="4" t="s">
        <v>47</v>
      </c>
      <c r="E45" s="904" t="s">
        <v>63</v>
      </c>
      <c r="G45" s="5" t="s">
        <v>95</v>
      </c>
      <c r="H45" s="5" t="str">
        <f>TEXT(Calculations!S458,"+£0.00;-£0.00")&amp;"m"</f>
        <v>+£3.18m</v>
      </c>
      <c r="I45" s="863" t="str">
        <f>IFERROR(TEXT(Calculations!S459,"+0.00%;-0.00%"),"")</f>
        <v>+29.61%</v>
      </c>
      <c r="J45" s="5"/>
    </row>
    <row r="46" spans="1:10" ht="15" customHeight="1">
      <c r="A46" s="5" t="s">
        <v>96</v>
      </c>
      <c r="B46" s="3" t="str">
        <f>TEXT(Calculations!I174,"#,##0.00")</f>
        <v>8.96</v>
      </c>
      <c r="C46" s="5"/>
      <c r="D46" s="5" t="str">
        <f>Calculations!I175</f>
        <v>Green</v>
      </c>
      <c r="E46" s="52">
        <f>Calculations!I176</f>
        <v>9</v>
      </c>
      <c r="G46" s="5" t="s">
        <v>97</v>
      </c>
      <c r="H46" s="5" t="str">
        <f>TEXT(Calculations!S465,"+£0.00;-£0.00")&amp;"m"</f>
        <v>+£0.59m</v>
      </c>
      <c r="I46" s="863" t="str">
        <f>IFERROR(TEXT(Calculations!S466,"+0.00%;-0.00%"),"")</f>
        <v>+4.81%</v>
      </c>
      <c r="J46" s="5"/>
    </row>
    <row r="47" spans="1:10" ht="15" customHeight="1">
      <c r="A47" s="5" t="s">
        <v>98</v>
      </c>
      <c r="B47" s="3" t="str">
        <f>TEXT(Calculations!I183,"#,##0.00")</f>
        <v>1.43</v>
      </c>
      <c r="C47" s="5"/>
      <c r="D47" s="862" t="str">
        <f>Calculations!I184</f>
        <v>Green</v>
      </c>
      <c r="E47" s="52">
        <f>Calculations!I185</f>
        <v>2</v>
      </c>
      <c r="G47" s="5" t="s">
        <v>99</v>
      </c>
      <c r="H47" s="5" t="str">
        <f>TEXT(Calculations!S472,"+£0.00;-£0.00")&amp;"m"</f>
        <v>-£0.82m</v>
      </c>
      <c r="I47" s="863" t="str">
        <f>IFERROR(TEXT(Calculations!S473,"+0.00%;-0.00%"),"")</f>
        <v>-24.20%</v>
      </c>
      <c r="J47" s="5"/>
    </row>
    <row r="48" spans="1:10" ht="15" customHeight="1">
      <c r="A48" s="5" t="s">
        <v>100</v>
      </c>
      <c r="B48" s="3" t="str">
        <f>"£"&amp;TEXT(Calculations!I193,"#,##0.00")&amp;"m"</f>
        <v>£4.46m</v>
      </c>
      <c r="C48" s="5"/>
      <c r="D48" s="5"/>
      <c r="E48" s="877"/>
      <c r="G48" s="5" t="s">
        <v>101</v>
      </c>
      <c r="H48" s="5" t="str">
        <f>TEXT(Calculations!S479,"+£0.00;-£0.00")&amp;"m"</f>
        <v>-£2.08m</v>
      </c>
      <c r="I48" s="863" t="str">
        <f>IFERROR(TEXT(Calculations!S480,"+0.00%;-0.00%"),"")</f>
        <v>-11.38%</v>
      </c>
      <c r="J48" s="5"/>
    </row>
    <row r="49" spans="1:10" ht="15" customHeight="1">
      <c r="A49" s="5" t="s">
        <v>102</v>
      </c>
      <c r="B49" s="3" t="str">
        <f>"£"&amp;TEXT(Calculations!I194,"#,##0.00")&amp;"m"</f>
        <v>£0.00m</v>
      </c>
      <c r="C49" s="5"/>
      <c r="D49" s="5"/>
      <c r="E49" s="877"/>
      <c r="G49" s="5" t="s">
        <v>103</v>
      </c>
      <c r="H49" s="5" t="str">
        <f>TEXT(Calculations!S486,"+£0.00;-£0.00")&amp;"m"</f>
        <v>+£2.20m</v>
      </c>
      <c r="I49" s="863" t="str">
        <f>IFERROR(TEXT(Calculations!S487,"+0.00%;-0.00%"),"")</f>
        <v/>
      </c>
      <c r="J49" s="5"/>
    </row>
    <row r="50" spans="1:10" ht="15" customHeight="1">
      <c r="A50" s="5" t="s">
        <v>104</v>
      </c>
      <c r="B50" s="3" t="str">
        <f>TEXT(Calculations!I188,"#,##0.00")</f>
        <v>5.35</v>
      </c>
      <c r="C50" s="5"/>
      <c r="D50" s="5" t="str">
        <f>Calculations!I189</f>
        <v>Green</v>
      </c>
      <c r="E50" s="52">
        <f>Calculations!I190</f>
        <v>3</v>
      </c>
      <c r="G50" s="5" t="s">
        <v>105</v>
      </c>
      <c r="H50" s="5" t="str">
        <f>TEXT(Calculations!S493,"+£0.00;-£0.00")&amp;"m"</f>
        <v>+£0.52m</v>
      </c>
      <c r="I50" s="863" t="str">
        <f>IFERROR(TEXT(Calculations!S494,"+0.00%;-0.00%"),"")</f>
        <v>+0.75%</v>
      </c>
      <c r="J50" s="5"/>
    </row>
    <row r="51" spans="1:10" ht="15" customHeight="1">
      <c r="A51" s="5" t="s">
        <v>106</v>
      </c>
      <c r="B51" s="3" t="str">
        <f>"£"&amp;TEXT(Calculations!I195,"#,##0.00")&amp;"m"</f>
        <v>£0.69m</v>
      </c>
      <c r="C51" s="5"/>
      <c r="D51" s="5"/>
      <c r="E51" s="877"/>
      <c r="G51" s="5" t="s">
        <v>107</v>
      </c>
      <c r="H51" s="5" t="str">
        <f>TEXT(Calculations!S500,"+£0.00;-£0.00")&amp;"m"</f>
        <v>+£0.13m</v>
      </c>
      <c r="I51" s="863" t="str">
        <f>IFERROR(TEXT(Calculations!S501,"+0.00%;-0.00%"),"")</f>
        <v>+0.35%</v>
      </c>
      <c r="J51" s="5"/>
    </row>
    <row r="52" spans="1:10" ht="15" customHeight="1">
      <c r="A52" s="5" t="s">
        <v>108</v>
      </c>
      <c r="B52" s="3" t="str">
        <f>"£"&amp;TEXT(Calculations!I196,"#,##0.00")&amp;"m"</f>
        <v>£5.14m</v>
      </c>
      <c r="C52" s="5"/>
      <c r="D52" s="5"/>
      <c r="E52" s="877"/>
      <c r="G52" s="5" t="s">
        <v>109</v>
      </c>
      <c r="H52" s="5" t="str">
        <f>TEXT(Calculations!S507,"+£0.00;-£0.00")&amp;"m"</f>
        <v>+£0.00m</v>
      </c>
      <c r="I52" s="863" t="str">
        <f>IFERROR(TEXT(Calculations!S508,"+0.00%;-0.00%"),"")</f>
        <v/>
      </c>
      <c r="J52" s="5"/>
    </row>
    <row r="53" spans="1:10" ht="15.75" customHeight="1">
      <c r="B53" s="109"/>
      <c r="G53" s="5" t="s">
        <v>110</v>
      </c>
      <c r="H53" s="5" t="str">
        <f>TEXT(Calculations!S514,"+£0.00;-£0.00")&amp;"m"</f>
        <v>+£0.00m</v>
      </c>
      <c r="I53" s="863" t="str">
        <f>IFERROR(TEXT(Calculations!S515,"+0.00%;-0.00%"),"")</f>
        <v/>
      </c>
      <c r="J53" s="5"/>
    </row>
    <row r="54" spans="1:10" ht="22.5" customHeight="1">
      <c r="A54" s="894" t="s">
        <v>18</v>
      </c>
      <c r="B54" s="896">
        <v>2022</v>
      </c>
      <c r="C54" s="896" t="s">
        <v>32</v>
      </c>
      <c r="G54" s="864" t="s">
        <v>111</v>
      </c>
      <c r="H54" s="5" t="str">
        <f>TEXT(Calculations!S521,"+£0.00;-£0.00")&amp;"m"</f>
        <v>+£24.39m</v>
      </c>
      <c r="I54" s="863" t="str">
        <f>IFERROR(TEXT(Calculations!S522,"+0.00%;-0.00%"),"")</f>
        <v>+7.34%</v>
      </c>
      <c r="J54" s="5"/>
    </row>
    <row r="55" spans="1:10" ht="34.5">
      <c r="A55" s="5" t="s">
        <v>112</v>
      </c>
      <c r="B55" s="3" t="str">
        <f>"£"&amp;TEXT(Calculations!I204,"#,##0.00")&amp;"m"</f>
        <v>£5.63m</v>
      </c>
      <c r="C55" s="5"/>
      <c r="G55" s="864" t="s">
        <v>113</v>
      </c>
      <c r="H55" s="5" t="str">
        <f>TEXT(Calculations!S528,"+£0.00;-£0.00")&amp;"m"</f>
        <v>-£4.27m</v>
      </c>
      <c r="I55" s="863" t="str">
        <f>IFERROR(TEXT(Calculations!S529,"+0.00%;-0.00%"),"")</f>
        <v>-2145.34%</v>
      </c>
      <c r="J55" s="5"/>
    </row>
    <row r="56" spans="1:10">
      <c r="A56" s="5" t="s">
        <v>114</v>
      </c>
      <c r="B56" s="863">
        <f>Calculations!I205</f>
        <v>0.72</v>
      </c>
      <c r="C56" s="5"/>
    </row>
    <row r="57" spans="1:10">
      <c r="A57" s="5" t="s">
        <v>115</v>
      </c>
      <c r="B57" s="3" t="str">
        <f>"£"&amp;TEXT(Calculations!I207,"#,##0.00")&amp;"m"</f>
        <v>£6.98m</v>
      </c>
      <c r="C57" s="5"/>
    </row>
    <row r="58" spans="1:10">
      <c r="A58" s="1"/>
      <c r="B58" s="1"/>
      <c r="C58" s="233"/>
    </row>
    <row r="59" spans="1:10">
      <c r="A59" s="1"/>
      <c r="B59" s="1"/>
      <c r="C59" s="233"/>
    </row>
    <row r="60" spans="1:10">
      <c r="B60" s="109"/>
    </row>
    <row r="61" spans="1:10">
      <c r="B61" s="109"/>
    </row>
    <row r="62" spans="1:10">
      <c r="B62" s="109"/>
    </row>
    <row r="63" spans="1:10">
      <c r="B63" s="109"/>
    </row>
    <row r="64" spans="1:10">
      <c r="B64" s="109"/>
    </row>
    <row r="65" spans="2:2">
      <c r="B65" s="109"/>
    </row>
    <row r="66" spans="2:2">
      <c r="B66" s="109"/>
    </row>
    <row r="67" spans="2:2">
      <c r="B67" s="109"/>
    </row>
    <row r="81" ht="11.25" customHeight="1"/>
    <row r="82" ht="14.25" customHeight="1"/>
    <row r="102" ht="14.25" customHeight="1"/>
    <row r="157" spans="1:3">
      <c r="A157" s="1"/>
      <c r="B157" s="1"/>
      <c r="C157" s="1"/>
    </row>
    <row r="158" spans="1:3">
      <c r="A158" s="1"/>
      <c r="B158" s="1"/>
      <c r="C158" s="1"/>
    </row>
    <row r="159" spans="1:3">
      <c r="A159" s="1"/>
      <c r="B159" s="1"/>
      <c r="C159" s="1"/>
    </row>
    <row r="160" spans="1:3">
      <c r="A160" s="1"/>
      <c r="B160" s="1"/>
      <c r="C160" s="1"/>
    </row>
    <row r="161" spans="1:3">
      <c r="A161" s="1"/>
      <c r="B161" s="1"/>
      <c r="C161" s="1"/>
    </row>
    <row r="162" spans="1:3">
      <c r="A162" s="1"/>
      <c r="B162" s="1"/>
      <c r="C162" s="1"/>
    </row>
    <row r="163" spans="1:3">
      <c r="A163" s="1"/>
      <c r="B163" s="1"/>
      <c r="C163" s="1"/>
    </row>
    <row r="164" spans="1:3">
      <c r="A164" s="1"/>
      <c r="B164" s="1"/>
      <c r="C164" s="1"/>
    </row>
    <row r="165" spans="1:3">
      <c r="A165" s="1"/>
      <c r="B165" s="1"/>
      <c r="C165" s="1"/>
    </row>
    <row r="166" spans="1:3">
      <c r="A166" s="1"/>
      <c r="B166" s="1"/>
      <c r="C166" s="1"/>
    </row>
    <row r="167" spans="1:3">
      <c r="A167" s="1"/>
      <c r="B167" s="1"/>
      <c r="C167" s="1"/>
    </row>
    <row r="168" spans="1:3">
      <c r="A168" s="1"/>
      <c r="B168" s="1"/>
      <c r="C168" s="1"/>
    </row>
    <row r="169" spans="1:3">
      <c r="A169" s="1"/>
      <c r="B169" s="1"/>
      <c r="C169" s="1"/>
    </row>
    <row r="170" spans="1:3">
      <c r="A170" s="1"/>
      <c r="B170" s="1"/>
      <c r="C170" s="1"/>
    </row>
    <row r="171" spans="1:3">
      <c r="A171" s="1"/>
      <c r="B171" s="1"/>
      <c r="C171" s="1"/>
    </row>
    <row r="172" spans="1:3">
      <c r="A172" s="1"/>
      <c r="B172" s="1"/>
      <c r="C172" s="1"/>
    </row>
    <row r="173" spans="1:3">
      <c r="A173" s="1"/>
      <c r="B173" s="1"/>
      <c r="C173" s="1"/>
    </row>
    <row r="174" spans="1:3">
      <c r="A174" s="1"/>
      <c r="B174" s="1"/>
      <c r="C174" s="1"/>
    </row>
    <row r="175" spans="1:3">
      <c r="A175" s="1"/>
      <c r="B175" s="1"/>
      <c r="C175" s="1"/>
    </row>
    <row r="176" spans="1:3">
      <c r="A176" s="1"/>
      <c r="B176" s="1"/>
      <c r="C176" s="1"/>
    </row>
    <row r="177" spans="1:3">
      <c r="A177" s="1"/>
      <c r="B177" s="1"/>
      <c r="C177" s="1"/>
    </row>
    <row r="178" spans="1:3">
      <c r="A178" s="1"/>
      <c r="B178" s="1"/>
      <c r="C178" s="1"/>
    </row>
    <row r="179" spans="1:3">
      <c r="A179" s="1"/>
      <c r="B179" s="1"/>
      <c r="C179" s="1"/>
    </row>
    <row r="180" spans="1:3">
      <c r="A180" s="1"/>
      <c r="B180" s="1"/>
      <c r="C180" s="1"/>
    </row>
    <row r="181" spans="1:3">
      <c r="A181" s="1"/>
      <c r="B181" s="1"/>
      <c r="C181" s="1"/>
    </row>
    <row r="182" spans="1:3">
      <c r="A182" s="1"/>
      <c r="B182" s="1"/>
      <c r="C182" s="1"/>
    </row>
    <row r="183" spans="1:3">
      <c r="A183" s="1"/>
      <c r="B183" s="1"/>
      <c r="C183" s="1"/>
    </row>
    <row r="184" spans="1:3">
      <c r="A184" s="1"/>
      <c r="B184" s="1"/>
      <c r="C184" s="1"/>
    </row>
    <row r="185" spans="1:3">
      <c r="A185" s="1"/>
      <c r="B185" s="1"/>
      <c r="C185" s="1"/>
    </row>
    <row r="186" spans="1:3">
      <c r="A186" s="1"/>
      <c r="B186" s="1"/>
      <c r="C186" s="1"/>
    </row>
    <row r="187" spans="1:3">
      <c r="A187" s="1"/>
      <c r="B187" s="1"/>
      <c r="C187" s="1"/>
    </row>
    <row r="188" spans="1:3">
      <c r="A188" s="1"/>
      <c r="B188" s="1"/>
      <c r="C188" s="1"/>
    </row>
    <row r="189" spans="1:3">
      <c r="A189" s="1"/>
      <c r="B189" s="1"/>
      <c r="C189" s="1"/>
    </row>
    <row r="190" spans="1:3">
      <c r="A190" s="1"/>
      <c r="B190" s="1"/>
      <c r="C190" s="1"/>
    </row>
    <row r="191" spans="1:3">
      <c r="A191" s="1"/>
      <c r="B191" s="1"/>
      <c r="C191" s="1"/>
    </row>
    <row r="192" spans="1:3">
      <c r="A192" s="1"/>
      <c r="B192" s="1"/>
      <c r="C192" s="1"/>
    </row>
    <row r="193" spans="1:3">
      <c r="A193" s="1"/>
      <c r="B193" s="1"/>
      <c r="C193" s="1"/>
    </row>
    <row r="194" spans="1:3">
      <c r="A194" s="1"/>
      <c r="B194" s="1"/>
      <c r="C194" s="1"/>
    </row>
    <row r="195" spans="1:3">
      <c r="A195" s="1"/>
      <c r="B195" s="1"/>
      <c r="C195" s="1"/>
    </row>
    <row r="196" spans="1:3">
      <c r="A196" s="1"/>
      <c r="B196" s="1"/>
      <c r="C196" s="1"/>
    </row>
    <row r="199" spans="1:3">
      <c r="A199" s="1"/>
      <c r="B199" s="1"/>
      <c r="C199" s="1"/>
    </row>
    <row r="217" spans="1:3">
      <c r="A217" s="1"/>
      <c r="B217" s="1"/>
      <c r="C217" s="1"/>
    </row>
    <row r="218" spans="1:3">
      <c r="A218" s="1"/>
      <c r="B218" s="1"/>
      <c r="C218" s="1"/>
    </row>
    <row r="219" spans="1:3">
      <c r="A219" s="1"/>
      <c r="B219" s="1"/>
      <c r="C219" s="1"/>
    </row>
    <row r="220" spans="1:3">
      <c r="A220" s="1"/>
      <c r="B220" s="1"/>
      <c r="C220" s="1"/>
    </row>
    <row r="221" spans="1:3">
      <c r="A221" s="1"/>
      <c r="B221" s="1"/>
      <c r="C221" s="1"/>
    </row>
    <row r="222" spans="1:3">
      <c r="A222" s="1"/>
      <c r="B222" s="1"/>
      <c r="C222" s="1"/>
    </row>
    <row r="223" spans="1:3">
      <c r="A223" s="1"/>
      <c r="B223" s="1"/>
      <c r="C223" s="1"/>
    </row>
    <row r="224" spans="1:3">
      <c r="A224" s="1"/>
      <c r="B224" s="1"/>
      <c r="C224" s="1"/>
    </row>
    <row r="225" spans="1:3">
      <c r="A225" s="1"/>
      <c r="B225" s="1"/>
      <c r="C225" s="1"/>
    </row>
    <row r="226" spans="1:3">
      <c r="A226" s="1"/>
      <c r="B226" s="1"/>
      <c r="C226" s="1"/>
    </row>
    <row r="227" spans="1:3">
      <c r="A227" s="1"/>
      <c r="B227" s="1"/>
      <c r="C227" s="1"/>
    </row>
    <row r="228" spans="1:3">
      <c r="A228" s="1"/>
      <c r="B228" s="1"/>
      <c r="C228" s="1"/>
    </row>
    <row r="229" spans="1:3">
      <c r="A229" s="1"/>
      <c r="B229" s="1"/>
      <c r="C229" s="1"/>
    </row>
    <row r="230" spans="1:3">
      <c r="A230" s="1"/>
      <c r="B230" s="1"/>
      <c r="C230" s="1"/>
    </row>
    <row r="231" spans="1:3">
      <c r="A231" s="1"/>
      <c r="B231" s="1"/>
      <c r="C231" s="1"/>
    </row>
    <row r="232" spans="1:3">
      <c r="A232" s="1"/>
      <c r="B232" s="1"/>
      <c r="C232" s="1"/>
    </row>
    <row r="233" spans="1:3">
      <c r="A233" s="1"/>
      <c r="B233" s="1"/>
      <c r="C233" s="1"/>
    </row>
    <row r="234" spans="1:3">
      <c r="A234" s="1"/>
      <c r="B234" s="1"/>
      <c r="C234" s="1"/>
    </row>
    <row r="235" spans="1:3">
      <c r="A235" s="1"/>
      <c r="B235" s="1"/>
      <c r="C235" s="1"/>
    </row>
    <row r="236" spans="1:3">
      <c r="A236" s="1"/>
      <c r="B236" s="1"/>
      <c r="C236" s="1"/>
    </row>
    <row r="239" spans="1:3">
      <c r="A239" s="1"/>
      <c r="B239" s="1"/>
      <c r="C239" s="1"/>
    </row>
    <row r="254" spans="1:3">
      <c r="A254" s="1"/>
      <c r="B254" s="1"/>
      <c r="C254" s="1"/>
    </row>
    <row r="255" spans="1:3">
      <c r="A255" s="1"/>
      <c r="B255" s="1"/>
      <c r="C255" s="1"/>
    </row>
    <row r="259" spans="1:3">
      <c r="A259" s="1"/>
      <c r="B259" s="1"/>
      <c r="C259" s="1"/>
    </row>
    <row r="274" spans="1:3">
      <c r="A274" s="1"/>
      <c r="B274" s="1"/>
      <c r="C274" s="1"/>
    </row>
    <row r="275" spans="1:3">
      <c r="A275" s="1"/>
      <c r="B275" s="1"/>
      <c r="C275" s="1"/>
    </row>
    <row r="277" spans="1:3">
      <c r="A277" s="1"/>
      <c r="B277" s="1"/>
      <c r="C277" s="1"/>
    </row>
    <row r="278" spans="1:3">
      <c r="A278" s="1"/>
      <c r="B278" s="1"/>
      <c r="C278" s="1"/>
    </row>
    <row r="279" spans="1:3">
      <c r="A279" s="1"/>
      <c r="B279" s="1"/>
      <c r="C279" s="1"/>
    </row>
    <row r="280" spans="1:3">
      <c r="A280" s="1"/>
      <c r="B280" s="1"/>
      <c r="C280" s="1"/>
    </row>
    <row r="281" spans="1:3">
      <c r="A281" s="1"/>
      <c r="B281" s="1"/>
      <c r="C281" s="1"/>
    </row>
    <row r="282" spans="1:3">
      <c r="A282" s="1"/>
      <c r="B282" s="1"/>
      <c r="C282" s="1"/>
    </row>
    <row r="283" spans="1:3">
      <c r="A283" s="1"/>
      <c r="B283" s="1"/>
      <c r="C283" s="1"/>
    </row>
    <row r="284" spans="1:3">
      <c r="A284" s="1"/>
      <c r="B284" s="1"/>
      <c r="C284" s="1"/>
    </row>
    <row r="285" spans="1:3">
      <c r="A285" s="1"/>
      <c r="B285" s="1"/>
      <c r="C285" s="1"/>
    </row>
    <row r="286" spans="1:3">
      <c r="A286" s="1"/>
      <c r="B286" s="1"/>
      <c r="C286" s="1"/>
    </row>
    <row r="287" spans="1:3">
      <c r="A287" s="1"/>
      <c r="B287" s="1"/>
      <c r="C287" s="1"/>
    </row>
    <row r="288" spans="1:3">
      <c r="A288" s="1"/>
      <c r="B288" s="1"/>
      <c r="C288" s="1"/>
    </row>
    <row r="289" spans="1:3">
      <c r="A289" s="1"/>
      <c r="B289" s="1"/>
      <c r="C289" s="1"/>
    </row>
    <row r="290" spans="1:3">
      <c r="A290" s="1"/>
      <c r="B290" s="1"/>
      <c r="C290" s="1"/>
    </row>
    <row r="291" spans="1:3">
      <c r="A291" s="1"/>
      <c r="B291" s="1"/>
      <c r="C291" s="1"/>
    </row>
    <row r="292" spans="1:3">
      <c r="A292" s="1"/>
      <c r="B292" s="1"/>
      <c r="C292" s="1"/>
    </row>
    <row r="293" spans="1:3">
      <c r="A293" s="1"/>
      <c r="B293" s="1"/>
      <c r="C293" s="1"/>
    </row>
    <row r="294" spans="1:3">
      <c r="A294" s="1"/>
      <c r="B294" s="1"/>
      <c r="C294" s="1"/>
    </row>
    <row r="295" spans="1:3">
      <c r="A295" s="1"/>
      <c r="B295" s="1"/>
      <c r="C295" s="1"/>
    </row>
    <row r="296" spans="1:3">
      <c r="A296" s="1"/>
      <c r="B296" s="1"/>
      <c r="C296" s="1"/>
    </row>
    <row r="297" spans="1:3">
      <c r="A297" s="1"/>
      <c r="B297" s="1"/>
      <c r="C297" s="1"/>
    </row>
    <row r="298" spans="1:3">
      <c r="A298" s="1"/>
      <c r="B298" s="1"/>
      <c r="C298" s="1"/>
    </row>
    <row r="299" spans="1:3">
      <c r="A299" s="1"/>
      <c r="B299" s="1"/>
      <c r="C299" s="1"/>
    </row>
    <row r="300" spans="1:3">
      <c r="A300" s="1"/>
      <c r="B300" s="1"/>
      <c r="C300" s="1"/>
    </row>
    <row r="301" spans="1:3">
      <c r="A301" s="1"/>
      <c r="B301" s="1"/>
      <c r="C301" s="1"/>
    </row>
    <row r="302" spans="1:3">
      <c r="A302" s="1"/>
      <c r="B302" s="1"/>
      <c r="C302" s="1"/>
    </row>
    <row r="303" spans="1:3">
      <c r="A303" s="1"/>
      <c r="B303" s="1"/>
      <c r="C303" s="1"/>
    </row>
    <row r="304" spans="1:3">
      <c r="A304" s="1"/>
      <c r="B304" s="1"/>
      <c r="C304" s="1"/>
    </row>
    <row r="305" spans="1:3">
      <c r="A305" s="1"/>
      <c r="B305" s="1"/>
      <c r="C305" s="1"/>
    </row>
    <row r="306" spans="1:3">
      <c r="A306" s="1"/>
      <c r="B306" s="1"/>
      <c r="C306" s="1"/>
    </row>
    <row r="307" spans="1:3">
      <c r="A307" s="1"/>
      <c r="B307" s="1"/>
      <c r="C307" s="1"/>
    </row>
    <row r="308" spans="1:3">
      <c r="A308" s="1"/>
      <c r="B308" s="1"/>
      <c r="C308" s="1"/>
    </row>
    <row r="309" spans="1:3">
      <c r="A309" s="1"/>
      <c r="B309" s="1"/>
      <c r="C309" s="1"/>
    </row>
    <row r="310" spans="1:3">
      <c r="A310" s="1"/>
      <c r="B310" s="1"/>
      <c r="C310" s="1"/>
    </row>
    <row r="311" spans="1:3">
      <c r="A311" s="1"/>
      <c r="B311" s="1"/>
      <c r="C311" s="1"/>
    </row>
    <row r="312" spans="1:3">
      <c r="A312" s="1"/>
      <c r="B312" s="1"/>
      <c r="C312" s="1"/>
    </row>
    <row r="313" spans="1:3">
      <c r="A313" s="1"/>
      <c r="B313" s="1"/>
      <c r="C313" s="1"/>
    </row>
    <row r="314" spans="1:3">
      <c r="A314" s="1"/>
      <c r="B314" s="1"/>
      <c r="C314" s="1"/>
    </row>
    <row r="315" spans="1:3">
      <c r="A315" s="1"/>
      <c r="B315" s="1"/>
      <c r="C315" s="1"/>
    </row>
    <row r="316" spans="1:3">
      <c r="A316" s="1"/>
      <c r="B316" s="1"/>
      <c r="C316" s="1"/>
    </row>
    <row r="317" spans="1:3">
      <c r="A317" s="1"/>
      <c r="B317" s="1"/>
      <c r="C317" s="1"/>
    </row>
    <row r="318" spans="1:3">
      <c r="A318" s="1"/>
      <c r="B318" s="1"/>
      <c r="C318" s="1"/>
    </row>
    <row r="319" spans="1:3">
      <c r="A319" s="1"/>
      <c r="B319" s="1"/>
      <c r="C319" s="1"/>
    </row>
    <row r="320" spans="1:3">
      <c r="A320" s="1"/>
      <c r="B320" s="1"/>
      <c r="C320" s="1"/>
    </row>
    <row r="321" spans="1:3">
      <c r="A321" s="1"/>
      <c r="B321" s="1"/>
      <c r="C321" s="1"/>
    </row>
    <row r="322" spans="1:3">
      <c r="A322" s="1"/>
      <c r="B322" s="1"/>
      <c r="C322" s="1"/>
    </row>
    <row r="323" spans="1:3">
      <c r="A323" s="1"/>
      <c r="B323" s="1"/>
      <c r="C323" s="1"/>
    </row>
    <row r="324" spans="1:3">
      <c r="A324" s="1"/>
      <c r="B324" s="1"/>
      <c r="C324" s="1"/>
    </row>
    <row r="325" spans="1:3">
      <c r="A325" s="1"/>
      <c r="B325" s="1"/>
      <c r="C325" s="1"/>
    </row>
    <row r="326" spans="1:3">
      <c r="A326" s="1"/>
      <c r="B326" s="1"/>
      <c r="C326" s="1"/>
    </row>
    <row r="327" spans="1:3">
      <c r="A327" s="1"/>
      <c r="B327" s="1"/>
      <c r="C327" s="1"/>
    </row>
    <row r="328" spans="1:3">
      <c r="A328" s="1"/>
      <c r="B328" s="1"/>
      <c r="C328" s="1"/>
    </row>
    <row r="329" spans="1:3">
      <c r="A329" s="1"/>
      <c r="B329" s="1"/>
      <c r="C329" s="1"/>
    </row>
    <row r="330" spans="1:3">
      <c r="A330" s="1"/>
      <c r="B330" s="1"/>
      <c r="C330" s="1"/>
    </row>
    <row r="331" spans="1:3">
      <c r="A331" s="1"/>
      <c r="B331" s="1"/>
      <c r="C331" s="1"/>
    </row>
    <row r="332" spans="1:3">
      <c r="A332" s="1"/>
      <c r="B332" s="1"/>
      <c r="C332" s="1"/>
    </row>
    <row r="333" spans="1:3">
      <c r="A333" s="1"/>
      <c r="B333" s="1"/>
      <c r="C333" s="1"/>
    </row>
    <row r="334" spans="1:3">
      <c r="A334" s="1"/>
      <c r="B334" s="1"/>
      <c r="C334" s="1"/>
    </row>
    <row r="335" spans="1:3">
      <c r="A335" s="1"/>
      <c r="B335" s="1"/>
      <c r="C335" s="1"/>
    </row>
    <row r="336" spans="1:3">
      <c r="A336" s="1"/>
      <c r="B336" s="1"/>
      <c r="C336" s="1"/>
    </row>
    <row r="337" spans="1:3">
      <c r="A337" s="1"/>
      <c r="B337" s="1"/>
      <c r="C337" s="1"/>
    </row>
    <row r="338" spans="1:3">
      <c r="A338" s="1"/>
      <c r="B338" s="1"/>
      <c r="C338" s="1"/>
    </row>
    <row r="339" spans="1:3">
      <c r="A339" s="1"/>
      <c r="B339" s="1"/>
      <c r="C339" s="1"/>
    </row>
    <row r="340" spans="1:3">
      <c r="A340" s="1"/>
      <c r="B340" s="1"/>
      <c r="C340" s="1"/>
    </row>
    <row r="341" spans="1:3">
      <c r="A341" s="1"/>
      <c r="B341" s="1"/>
      <c r="C341" s="1"/>
    </row>
    <row r="342" spans="1:3">
      <c r="A342" s="1"/>
      <c r="B342" s="1"/>
      <c r="C342" s="1"/>
    </row>
    <row r="343" spans="1:3">
      <c r="A343" s="1"/>
      <c r="B343" s="1"/>
      <c r="C343" s="1"/>
    </row>
    <row r="344" spans="1:3">
      <c r="A344" s="1"/>
      <c r="B344" s="1"/>
      <c r="C344" s="1"/>
    </row>
    <row r="345" spans="1:3">
      <c r="A345" s="1"/>
      <c r="B345" s="1"/>
      <c r="C345" s="1"/>
    </row>
    <row r="346" spans="1:3">
      <c r="A346" s="1"/>
      <c r="B346" s="1"/>
      <c r="C346" s="1"/>
    </row>
    <row r="347" spans="1:3">
      <c r="A347" s="1"/>
      <c r="B347" s="1"/>
      <c r="C347" s="1"/>
    </row>
    <row r="348" spans="1:3">
      <c r="A348" s="1"/>
      <c r="B348" s="1"/>
      <c r="C348" s="1"/>
    </row>
    <row r="349" spans="1:3">
      <c r="A349" s="1"/>
      <c r="B349" s="1"/>
      <c r="C349" s="1"/>
    </row>
    <row r="350" spans="1:3">
      <c r="A350" s="1"/>
      <c r="B350" s="1"/>
      <c r="C350" s="1"/>
    </row>
    <row r="351" spans="1:3">
      <c r="A351" s="1"/>
      <c r="B351" s="1"/>
      <c r="C351" s="1"/>
    </row>
    <row r="352" spans="1:3">
      <c r="A352" s="1"/>
      <c r="B352" s="1"/>
      <c r="C352" s="1"/>
    </row>
    <row r="353" spans="1:3">
      <c r="A353" s="1"/>
      <c r="B353" s="1"/>
      <c r="C353" s="1"/>
    </row>
    <row r="354" spans="1:3">
      <c r="A354" s="1"/>
      <c r="B354" s="1"/>
      <c r="C354" s="1"/>
    </row>
    <row r="355" spans="1:3">
      <c r="A355" s="1"/>
      <c r="B355" s="1"/>
      <c r="C355" s="1"/>
    </row>
    <row r="356" spans="1:3">
      <c r="A356" s="1"/>
      <c r="B356" s="1"/>
      <c r="C356" s="1"/>
    </row>
    <row r="357" spans="1:3">
      <c r="A357" s="1"/>
      <c r="B357" s="1"/>
      <c r="C357" s="1"/>
    </row>
    <row r="358" spans="1:3">
      <c r="A358" s="1"/>
      <c r="B358" s="1"/>
      <c r="C358" s="1"/>
    </row>
    <row r="359" spans="1:3">
      <c r="A359" s="1"/>
      <c r="B359" s="1"/>
      <c r="C359" s="1"/>
    </row>
    <row r="360" spans="1:3">
      <c r="A360" s="1"/>
      <c r="B360" s="1"/>
      <c r="C360" s="1"/>
    </row>
    <row r="362" spans="1:3">
      <c r="A362" s="1"/>
      <c r="B362" s="1"/>
      <c r="C362" s="1"/>
    </row>
    <row r="377" spans="1:3">
      <c r="A377" s="1"/>
      <c r="B377" s="1"/>
      <c r="C377" s="1"/>
    </row>
    <row r="378" spans="1:3">
      <c r="A378" s="1"/>
      <c r="B378" s="1"/>
      <c r="C378" s="1"/>
    </row>
    <row r="382" spans="1:3">
      <c r="A382" s="1"/>
      <c r="B382" s="1"/>
      <c r="C382" s="1"/>
    </row>
    <row r="397" spans="1:3">
      <c r="A397" s="1"/>
      <c r="B397" s="1"/>
      <c r="C397" s="1"/>
    </row>
    <row r="398" spans="1:3">
      <c r="A398" s="1"/>
      <c r="B398" s="1"/>
      <c r="C398" s="1"/>
    </row>
    <row r="402" spans="1:3">
      <c r="A402" s="1"/>
      <c r="B402" s="1"/>
      <c r="C402" s="1"/>
    </row>
    <row r="422" spans="1:3">
      <c r="A422" s="1"/>
      <c r="B422" s="1"/>
      <c r="C422" s="1"/>
    </row>
    <row r="442" spans="1:3">
      <c r="A442" s="1"/>
      <c r="B442" s="1"/>
      <c r="C442" s="1"/>
    </row>
    <row r="457" spans="1:3">
      <c r="A457" s="1"/>
      <c r="B457" s="1"/>
      <c r="C457" s="1"/>
    </row>
    <row r="458" spans="1:3">
      <c r="A458" s="1"/>
      <c r="B458" s="1"/>
      <c r="C458" s="1"/>
    </row>
    <row r="462" spans="1:3">
      <c r="A462" s="1"/>
      <c r="B462" s="1"/>
      <c r="C462" s="1"/>
    </row>
    <row r="477" spans="1:3">
      <c r="A477" s="1"/>
      <c r="B477" s="1"/>
      <c r="C477" s="1"/>
    </row>
    <row r="478" spans="1:3">
      <c r="A478" s="1"/>
      <c r="B478" s="1"/>
      <c r="C478" s="1"/>
    </row>
    <row r="482" spans="1:3">
      <c r="A482" s="1"/>
      <c r="B482" s="1"/>
      <c r="C482" s="1"/>
    </row>
    <row r="497" spans="1:3">
      <c r="A497" s="1"/>
      <c r="B497" s="1"/>
      <c r="C497" s="1"/>
    </row>
    <row r="498" spans="1:3">
      <c r="A498" s="1"/>
      <c r="B498" s="1"/>
      <c r="C498" s="1"/>
    </row>
    <row r="502" spans="1:3">
      <c r="A502" s="1"/>
      <c r="B502" s="1"/>
      <c r="C502" s="1"/>
    </row>
    <row r="517" spans="1:3">
      <c r="A517" s="1"/>
      <c r="B517" s="1"/>
      <c r="C517" s="1"/>
    </row>
    <row r="518" spans="1:3">
      <c r="A518" s="1"/>
      <c r="B518" s="1"/>
      <c r="C518" s="1"/>
    </row>
    <row r="522" spans="1:3">
      <c r="A522" s="1"/>
      <c r="B522" s="1"/>
      <c r="C522" s="1"/>
    </row>
    <row r="537" spans="1:3">
      <c r="A537" s="1"/>
      <c r="B537" s="1"/>
      <c r="C537" s="1"/>
    </row>
    <row r="538" spans="1:3">
      <c r="A538" s="1"/>
      <c r="B538" s="1"/>
      <c r="C538" s="1"/>
    </row>
    <row r="542" spans="1:3">
      <c r="A542" s="1"/>
      <c r="B542" s="1"/>
      <c r="C542" s="1"/>
    </row>
    <row r="557" spans="1:3">
      <c r="A557" s="1"/>
      <c r="B557" s="1"/>
      <c r="C557" s="1"/>
    </row>
    <row r="558" spans="1:3">
      <c r="A558" s="1"/>
      <c r="B558" s="1"/>
      <c r="C558" s="1"/>
    </row>
    <row r="562" spans="1:3">
      <c r="A562" s="1"/>
      <c r="B562" s="1"/>
      <c r="C562" s="1"/>
    </row>
    <row r="577" spans="1:3">
      <c r="A577" s="1"/>
      <c r="B577" s="1"/>
      <c r="C577" s="1"/>
    </row>
    <row r="578" spans="1:3">
      <c r="A578" s="1"/>
      <c r="B578" s="1"/>
      <c r="C578" s="1"/>
    </row>
    <row r="582" spans="1:3">
      <c r="A582" s="1"/>
      <c r="B582" s="1"/>
      <c r="C582" s="1"/>
    </row>
    <row r="597" spans="1:3">
      <c r="A597" s="1"/>
      <c r="B597" s="1"/>
      <c r="C597" s="1"/>
    </row>
    <row r="598" spans="1:3">
      <c r="A598" s="1"/>
      <c r="B598" s="1"/>
      <c r="C598" s="1"/>
    </row>
    <row r="602" spans="1:3">
      <c r="A602" s="1"/>
      <c r="B602" s="1"/>
      <c r="C602" s="1"/>
    </row>
    <row r="617" spans="1:3">
      <c r="A617" s="1"/>
      <c r="B617" s="1"/>
      <c r="C617" s="1"/>
    </row>
    <row r="618" spans="1:3">
      <c r="A618" s="1"/>
      <c r="B618" s="1"/>
      <c r="C618" s="1"/>
    </row>
    <row r="622" spans="1:3">
      <c r="A622" s="1"/>
      <c r="B622" s="1"/>
      <c r="C622" s="1"/>
    </row>
    <row r="637" spans="1:3">
      <c r="A637" s="1"/>
      <c r="B637" s="1"/>
      <c r="C637" s="1"/>
    </row>
    <row r="638" spans="1:3">
      <c r="A638" s="1"/>
      <c r="B638" s="1"/>
      <c r="C638" s="1"/>
    </row>
    <row r="642" spans="1:3">
      <c r="A642" s="1"/>
      <c r="B642" s="1"/>
      <c r="C642" s="1"/>
    </row>
    <row r="657" spans="1:3">
      <c r="A657" s="1"/>
      <c r="B657" s="1"/>
      <c r="C657" s="1"/>
    </row>
    <row r="658" spans="1:3">
      <c r="A658" s="1"/>
      <c r="B658" s="1"/>
      <c r="C658" s="1"/>
    </row>
    <row r="662" spans="1:3">
      <c r="A662" s="1"/>
      <c r="B662" s="1"/>
      <c r="C662" s="1"/>
    </row>
    <row r="677" spans="1:3">
      <c r="A677" s="1"/>
      <c r="B677" s="1"/>
      <c r="C677" s="1"/>
    </row>
    <row r="678" spans="1:3">
      <c r="A678" s="1"/>
      <c r="B678" s="1"/>
      <c r="C678" s="1"/>
    </row>
    <row r="682" spans="1:3">
      <c r="A682" s="1"/>
      <c r="B682" s="1"/>
      <c r="C682" s="1"/>
    </row>
    <row r="697" spans="1:3">
      <c r="A697" s="1"/>
      <c r="B697" s="1"/>
      <c r="C697" s="1"/>
    </row>
    <row r="698" spans="1:3">
      <c r="A698" s="1"/>
      <c r="B698" s="1"/>
      <c r="C698" s="1"/>
    </row>
    <row r="702" spans="1:3">
      <c r="A702" s="1"/>
      <c r="B702" s="1"/>
      <c r="C702" s="1"/>
    </row>
    <row r="717" spans="1:3">
      <c r="A717" s="1"/>
      <c r="B717" s="1"/>
      <c r="C717" s="1"/>
    </row>
    <row r="718" spans="1:3">
      <c r="A718" s="1"/>
      <c r="B718" s="1"/>
      <c r="C718" s="1"/>
    </row>
    <row r="722" spans="1:3">
      <c r="A722" s="1"/>
      <c r="B722" s="1"/>
      <c r="C722" s="1"/>
    </row>
    <row r="737" spans="1:3">
      <c r="A737" s="1"/>
      <c r="B737" s="1"/>
      <c r="C737" s="1"/>
    </row>
    <row r="738" spans="1:3">
      <c r="A738" s="1"/>
      <c r="B738" s="1"/>
      <c r="C738" s="1"/>
    </row>
    <row r="742" spans="1:3">
      <c r="A742" s="1"/>
      <c r="B742" s="1"/>
      <c r="C742" s="1"/>
    </row>
    <row r="757" spans="1:3">
      <c r="A757" s="1"/>
      <c r="B757" s="1"/>
      <c r="C757" s="1"/>
    </row>
    <row r="758" spans="1:3">
      <c r="A758" s="1"/>
      <c r="B758" s="1"/>
      <c r="C758" s="1"/>
    </row>
    <row r="762" spans="1:3">
      <c r="A762" s="1"/>
      <c r="B762" s="1"/>
      <c r="C762" s="1"/>
    </row>
    <row r="777" spans="1:3">
      <c r="A777" s="1"/>
      <c r="B777" s="1"/>
      <c r="C777" s="1"/>
    </row>
    <row r="778" spans="1:3" ht="12" customHeight="1">
      <c r="A778" s="1"/>
      <c r="B778" s="1"/>
      <c r="C778" s="1"/>
    </row>
    <row r="782" spans="1:3">
      <c r="A782" s="1"/>
      <c r="B782" s="1"/>
      <c r="C782" s="1"/>
    </row>
    <row r="797" spans="1:3">
      <c r="A797" s="1"/>
      <c r="B797" s="1"/>
      <c r="C797" s="1"/>
    </row>
    <row r="798" spans="1:3">
      <c r="A798" s="1"/>
      <c r="B798" s="1"/>
      <c r="C798" s="1"/>
    </row>
    <row r="802" spans="1:3">
      <c r="A802" s="1"/>
      <c r="B802" s="1"/>
      <c r="C802" s="1"/>
    </row>
    <row r="817" spans="1:3">
      <c r="A817" s="1"/>
      <c r="B817" s="1"/>
      <c r="C817" s="1"/>
    </row>
    <row r="818" spans="1:3">
      <c r="A818" s="1"/>
      <c r="B818" s="1"/>
      <c r="C818" s="1"/>
    </row>
    <row r="822" spans="1:3">
      <c r="A822" s="1"/>
      <c r="B822" s="1"/>
      <c r="C822" s="1"/>
    </row>
    <row r="837" spans="1:3">
      <c r="A837" s="1"/>
      <c r="B837" s="1"/>
      <c r="C837" s="1"/>
    </row>
    <row r="838" spans="1:3">
      <c r="A838" s="1"/>
      <c r="B838" s="1"/>
      <c r="C838" s="1"/>
    </row>
    <row r="842" spans="1:3">
      <c r="A842" s="1"/>
      <c r="B842" s="1"/>
      <c r="C842" s="1"/>
    </row>
    <row r="857" spans="1:3">
      <c r="A857" s="1"/>
      <c r="B857" s="1"/>
      <c r="C857" s="1"/>
    </row>
    <row r="858" spans="1:3">
      <c r="A858" s="1"/>
      <c r="B858" s="1"/>
      <c r="C858" s="1"/>
    </row>
    <row r="862" spans="1:3">
      <c r="A862" s="1"/>
      <c r="B862" s="1"/>
      <c r="C862" s="1"/>
    </row>
    <row r="877" spans="1:3">
      <c r="A877" s="1"/>
      <c r="B877" s="1"/>
      <c r="C877" s="1"/>
    </row>
    <row r="878" spans="1:3">
      <c r="A878" s="1"/>
      <c r="B878" s="1"/>
      <c r="C878" s="1"/>
    </row>
    <row r="882" spans="1:3">
      <c r="A882" s="1"/>
      <c r="B882" s="1"/>
      <c r="C882" s="1"/>
    </row>
    <row r="902" spans="1:3">
      <c r="A902" s="1"/>
      <c r="B902" s="1"/>
      <c r="C902" s="1"/>
    </row>
    <row r="917" spans="1:3">
      <c r="A917" s="1"/>
      <c r="B917" s="1"/>
      <c r="C917" s="1"/>
    </row>
    <row r="918" spans="1:3">
      <c r="A918" s="1"/>
      <c r="B918" s="1"/>
      <c r="C918" s="1"/>
    </row>
    <row r="922" spans="1:3">
      <c r="A922" s="1"/>
      <c r="B922" s="1"/>
      <c r="C922" s="1"/>
    </row>
    <row r="937" spans="1:3">
      <c r="A937" s="1"/>
      <c r="B937" s="1"/>
      <c r="C937" s="1"/>
    </row>
    <row r="938" spans="1:3">
      <c r="A938" s="1"/>
      <c r="B938" s="1"/>
      <c r="C938" s="1"/>
    </row>
  </sheetData>
  <conditionalFormatting sqref="D1:D5 D7:D1048576">
    <cfRule type="containsText" dxfId="318" priority="22" operator="containsText" text="Red">
      <formula>NOT(ISERROR(SEARCH("Red",D1)))</formula>
    </cfRule>
    <cfRule type="containsText" dxfId="317" priority="23" operator="containsText" text="Amber">
      <formula>NOT(ISERROR(SEARCH("Amber",D1)))</formula>
    </cfRule>
    <cfRule type="containsText" dxfId="316" priority="24" operator="containsText" text="Green">
      <formula>NOT(ISERROR(SEARCH("Green",D1)))</formula>
    </cfRule>
  </conditionalFormatting>
  <conditionalFormatting sqref="D6">
    <cfRule type="colorScale" priority="17">
      <colorScale>
        <cfvo type="num" val="1"/>
        <cfvo type="percentile" val="50"/>
        <cfvo type="num" val="14"/>
        <color rgb="FF00B050"/>
        <color rgb="FFFFEB84"/>
        <color rgb="FFFF0000"/>
      </colorScale>
    </cfRule>
  </conditionalFormatting>
  <conditionalFormatting sqref="E1:E27 E39:E45 E29 E31:E35 E48:E49 E51:E1048576">
    <cfRule type="colorScale" priority="14">
      <colorScale>
        <cfvo type="min"/>
        <cfvo type="percentile" val="50"/>
        <cfvo type="max"/>
        <color rgb="FF00B050"/>
        <color rgb="FFFFEB84"/>
        <color rgb="FFFF0000"/>
      </colorScale>
    </cfRule>
  </conditionalFormatting>
  <conditionalFormatting sqref="E1:E1048576">
    <cfRule type="colorScale" priority="11">
      <colorScale>
        <cfvo type="num" val="1"/>
        <cfvo type="num" val="7"/>
        <cfvo type="num" val="14"/>
        <color rgb="FF63BE7B"/>
        <color rgb="FFFFEB84"/>
        <color rgb="FFF8696B"/>
      </colorScale>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controls>
    <mc:AlternateContent xmlns:mc="http://schemas.openxmlformats.org/markup-compatibility/2006">
      <mc:Choice Requires="x14">
        <control shapeId="11267" r:id="rId4" name="CommandButton1">
          <controlPr autoLine="0" r:id="rId5">
            <anchor moveWithCells="1">
              <from>
                <xdr:col>1</xdr:col>
                <xdr:colOff>603250</xdr:colOff>
                <xdr:row>962</xdr:row>
                <xdr:rowOff>0</xdr:rowOff>
              </from>
              <to>
                <xdr:col>2</xdr:col>
                <xdr:colOff>203200</xdr:colOff>
                <xdr:row>964</xdr:row>
                <xdr:rowOff>31750</xdr:rowOff>
              </to>
            </anchor>
          </controlPr>
        </control>
      </mc:Choice>
      <mc:Fallback>
        <control shapeId="11267" r:id="rId4"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Sheet2!$A$1:$A$15</xm:f>
          </x14:formula1>
          <xm:sqref>A2</xm:sqref>
        </x14:dataValidation>
      </x14:dataValidations>
    </ext>
    <ext xmlns:x14="http://schemas.microsoft.com/office/spreadsheetml/2009/9/main" uri="{05C60535-1F16-4fd2-B633-F4F36F0B64E0}">
      <x14:sparklineGroups xmlns:xm="http://schemas.microsoft.com/office/excel/2006/main">
        <x14:sparklineGroup manualMax="0" manualMin="0" lineWeight="3" displayEmptyCellsAs="gap" markers="1" high="1" first="1" last="1" negative="1" xr2:uid="{00000000-0003-0000-0200-000000000000}">
          <x14:colorSeries theme="9"/>
          <x14:colorNegative theme="4"/>
          <x14:colorAxis rgb="FF000000"/>
          <x14:colorMarkers theme="1"/>
          <x14:colorFirst rgb="FFD00000"/>
          <x14:colorLast rgb="FF00B050"/>
          <x14:colorHigh rgb="FFD00000"/>
          <x14:colorLow rgb="FFD00000"/>
          <x14:sparklines>
            <x14:sparkline>
              <xm:f>Calculations!C204:I204</xm:f>
              <xm:sqref>C55</xm:sqref>
            </x14:sparkline>
          </x14:sparklines>
        </x14:sparklineGroup>
        <x14:sparklineGroup manualMax="0" manualMin="0" lineWeight="3" displayEmptyCellsAs="gap" markers="1" high="1" first="1" last="1" negative="1" xr2:uid="{00000000-0003-0000-0200-000001000000}">
          <x14:colorSeries theme="9"/>
          <x14:colorNegative theme="4"/>
          <x14:colorAxis rgb="FF000000"/>
          <x14:colorMarkers theme="1"/>
          <x14:colorFirst rgb="FFD00000"/>
          <x14:colorLast rgb="FF00B050"/>
          <x14:colorHigh rgb="FFD00000"/>
          <x14:colorLow rgb="FFD00000"/>
          <x14:sparklines>
            <x14:sparkline>
              <xm:f>Calculations!D75:J75</xm:f>
              <xm:sqref>C21</xm:sqref>
            </x14:sparkline>
          </x14:sparklines>
        </x14:sparklineGroup>
        <x14:sparklineGroup manualMax="0" manualMin="0" lineWeight="3" displayEmptyCellsAs="gap" markers="1" high="1" first="1" last="1" xr2:uid="{00000000-0003-0000-0200-000002000000}">
          <x14:colorSeries theme="9"/>
          <x14:colorNegative theme="4"/>
          <x14:colorAxis rgb="FF000000"/>
          <x14:colorMarkers theme="1"/>
          <x14:colorFirst rgb="FFFF0000"/>
          <x14:colorLast rgb="FF00B050"/>
          <x14:colorHigh theme="9" tint="-0.249977111117893"/>
          <x14:colorLow theme="9" tint="-0.249977111117893"/>
          <x14:sparklines>
            <x14:sparkline>
              <xm:f>Calculations!C207:I207</xm:f>
              <xm:sqref>C57</xm:sqref>
            </x14:sparkline>
          </x14:sparklines>
        </x14:sparklineGroup>
        <x14:sparklineGroup manualMax="0" manualMin="0" lineWeight="3" displayEmptyCellsAs="gap" markers="1" high="1" first="1" last="1" xr2:uid="{00000000-0003-0000-0200-000003000000}">
          <x14:colorSeries theme="9"/>
          <x14:colorNegative theme="4"/>
          <x14:colorAxis rgb="FF000000"/>
          <x14:colorMarkers theme="1"/>
          <x14:colorFirst rgb="FFFF0000"/>
          <x14:colorLast rgb="FF00B050"/>
          <x14:colorHigh theme="9" tint="-0.249977111117893"/>
          <x14:colorLow theme="9" tint="-0.249977111117893"/>
          <x14:sparklines>
            <x14:sparkline>
              <xm:f>Calculations!C205:I205</xm:f>
              <xm:sqref>C56</xm:sqref>
            </x14:sparkline>
          </x14:sparklines>
        </x14:sparklineGroup>
        <x14:sparklineGroup manualMax="0" manualMin="0" lineWeight="3" displayEmptyCellsAs="gap" markers="1" high="1" first="1" last="1" xr2:uid="{00000000-0003-0000-0200-000004000000}">
          <x14:colorSeries theme="9"/>
          <x14:colorNegative theme="4"/>
          <x14:colorAxis rgb="FF000000"/>
          <x14:colorMarkers theme="1"/>
          <x14:colorFirst rgb="FFFF0000"/>
          <x14:colorLast rgb="FF00B050"/>
          <x14:colorHigh theme="9" tint="-0.249977111117893"/>
          <x14:colorLow theme="9" tint="-0.249977111117893"/>
          <x14:sparklines>
            <x14:sparkline>
              <xm:f>Calculations!D70:J70</xm:f>
              <xm:sqref>C20</xm:sqref>
            </x14:sparkline>
          </x14:sparklines>
        </x14:sparklineGroup>
        <x14:sparklineGroup manualMax="0" manualMin="0" lineWeight="3" displayEmptyCellsAs="gap" markers="1" high="1" first="1" last="1" xr2:uid="{00000000-0003-0000-0200-000005000000}">
          <x14:colorSeries theme="9"/>
          <x14:colorNegative theme="4"/>
          <x14:colorAxis rgb="FF000000"/>
          <x14:colorMarkers theme="1"/>
          <x14:colorFirst rgb="FFFF0000"/>
          <x14:colorLast rgb="FF00B050"/>
          <x14:colorHigh theme="9" tint="-0.249977111117893"/>
          <x14:colorLow theme="9" tint="-0.249977111117893"/>
          <x14:sparklines>
            <x14:sparkline>
              <xm:f>Calculations!F238:L238</xm:f>
              <xm:sqref>I9</xm:sqref>
            </x14:sparkline>
          </x14:sparklines>
        </x14:sparklineGroup>
        <x14:sparklineGroup manualMax="0" manualMin="0" lineWeight="3" displayEmptyCellsAs="gap" markers="1" high="1" first="1" last="1" xr2:uid="{00000000-0003-0000-0200-000006000000}">
          <x14:colorSeries theme="9"/>
          <x14:colorNegative theme="4"/>
          <x14:colorAxis rgb="FF000000"/>
          <x14:colorMarkers theme="1"/>
          <x14:colorFirst rgb="FFFF0000"/>
          <x14:colorLast rgb="FF00B050"/>
          <x14:colorHigh theme="9" tint="-0.249977111117893"/>
          <x14:colorLow theme="9" tint="-0.249977111117893"/>
          <x14:sparklines>
            <x14:sparkline>
              <xm:f>Calculations!M403:S403</xm:f>
              <xm:sqref>J37</xm:sqref>
            </x14:sparkline>
          </x14:sparklines>
        </x14:sparklineGroup>
        <x14:sparklineGroup manualMax="0" manualMin="0" lineWeight="3" displayEmptyCellsAs="gap" markers="1" high="1" first="1" last="1" xr2:uid="{00000000-0003-0000-0200-000007000000}">
          <x14:colorSeries theme="9"/>
          <x14:colorNegative theme="4"/>
          <x14:colorAxis rgb="FF000000"/>
          <x14:colorMarkers theme="1"/>
          <x14:colorFirst rgb="FFFF0000"/>
          <x14:colorLast rgb="FF00B050"/>
          <x14:colorHigh theme="9" tint="-0.249977111117893"/>
          <x14:colorLow theme="9" tint="-0.249977111117893"/>
          <x14:sparklines>
            <x14:sparkline>
              <xm:f>Calculations!M459:S459</xm:f>
              <xm:sqref>J45</xm:sqref>
            </x14:sparkline>
          </x14:sparklines>
        </x14:sparklineGroup>
        <x14:sparklineGroup manualMax="0" manualMin="0" lineWeight="3" displayEmptyCellsAs="gap" markers="1" high="1" first="1" last="1" xr2:uid="{00000000-0003-0000-0200-000008000000}">
          <x14:colorSeries theme="9"/>
          <x14:colorNegative theme="4"/>
          <x14:colorAxis rgb="FF000000"/>
          <x14:colorMarkers theme="1"/>
          <x14:colorFirst rgb="FFFF0000"/>
          <x14:colorLast rgb="FF00B050"/>
          <x14:colorHigh theme="9" tint="-0.249977111117893"/>
          <x14:colorLow theme="9" tint="-0.249977111117893"/>
          <x14:sparklines>
            <x14:sparkline>
              <xm:f>Calculations!M305:S305</xm:f>
              <xm:sqref>J22</xm:sqref>
            </x14:sparkline>
          </x14:sparklines>
        </x14:sparklineGroup>
        <x14:sparklineGroup manualMax="0" manualMin="0" lineWeight="3" displayEmptyCellsAs="gap" markers="1" high="1" first="1" last="1" xr2:uid="{00000000-0003-0000-0200-000009000000}">
          <x14:colorSeries theme="9"/>
          <x14:colorNegative theme="4"/>
          <x14:colorAxis rgb="FF000000"/>
          <x14:colorMarkers theme="1"/>
          <x14:colorFirst rgb="FFFF0000"/>
          <x14:colorLast rgb="FF00B050"/>
          <x14:colorHigh theme="9" tint="-0.249977111117893"/>
          <x14:colorLow theme="9" tint="-0.249977111117893"/>
          <x14:sparklines>
            <x14:sparkline>
              <xm:f>Calculations!M298:S298</xm:f>
              <xm:sqref>J21</xm:sqref>
            </x14:sparkline>
          </x14:sparklines>
        </x14:sparklineGroup>
        <x14:sparklineGroup manualMax="0" manualMin="0" lineWeight="3" displayEmptyCellsAs="gap" markers="1" high="1" first="1" last="1" xr2:uid="{00000000-0003-0000-0200-00000A000000}">
          <x14:colorSeries theme="9"/>
          <x14:colorNegative theme="4"/>
          <x14:colorAxis rgb="FF000000"/>
          <x14:colorMarkers theme="1"/>
          <x14:colorFirst rgb="FFFF0000"/>
          <x14:colorLast rgb="FF00B050"/>
          <x14:colorHigh theme="9" tint="-0.249977111117893"/>
          <x14:colorLow theme="9" tint="-0.249977111117893"/>
          <x14:sparklines>
            <x14:sparkline>
              <xm:f>Calculations!M291:S291</xm:f>
              <xm:sqref>J20</xm:sqref>
            </x14:sparkline>
          </x14:sparklines>
        </x14:sparklineGroup>
        <x14:sparklineGroup manualMax="0" manualMin="0" lineWeight="3" displayEmptyCellsAs="gap" markers="1" high="1" first="1" last="1" xr2:uid="{00000000-0003-0000-0200-00000B000000}">
          <x14:colorSeries theme="9"/>
          <x14:colorNegative theme="4"/>
          <x14:colorAxis rgb="FF000000"/>
          <x14:colorMarkers theme="1"/>
          <x14:colorFirst rgb="FFFF0000"/>
          <x14:colorLast rgb="FF00B050"/>
          <x14:colorHigh theme="9" tint="-0.249977111117893"/>
          <x14:colorLow theme="9" tint="-0.249977111117893"/>
          <x14:sparklines>
            <x14:sparkline>
              <xm:f>Calculations!M284:S284</xm:f>
              <xm:sqref>J19</xm:sqref>
            </x14:sparkline>
          </x14:sparklines>
        </x14:sparklineGroup>
        <x14:sparklineGroup manualMax="0" manualMin="0" lineWeight="3" displayEmptyCellsAs="gap" markers="1" high="1" first="1" last="1" xr2:uid="{00000000-0003-0000-0200-00000C000000}">
          <x14:colorSeries theme="9"/>
          <x14:colorNegative theme="4"/>
          <x14:colorAxis rgb="FF000000"/>
          <x14:colorMarkers theme="1"/>
          <x14:colorFirst rgb="FFFF0000"/>
          <x14:colorLast rgb="FF00B050"/>
          <x14:colorHigh theme="9" tint="-0.249977111117893"/>
          <x14:colorLow theme="9" tint="-0.249977111117893"/>
          <x14:sparklines>
            <x14:sparkline>
              <xm:f>Calculations!M270:S270</xm:f>
              <xm:sqref>J17</xm:sqref>
            </x14:sparkline>
          </x14:sparklines>
        </x14:sparklineGroup>
        <x14:sparklineGroup manualMax="0" manualMin="0" lineWeight="3" displayEmptyCellsAs="gap" markers="1" high="1" first="1" last="1" xr2:uid="{00000000-0003-0000-0200-00000D000000}">
          <x14:colorSeries theme="9"/>
          <x14:colorNegative theme="4"/>
          <x14:colorAxis rgb="FF000000"/>
          <x14:colorMarkers theme="1"/>
          <x14:colorFirst rgb="FFFF0000"/>
          <x14:colorLast rgb="FF00B050"/>
          <x14:colorHigh theme="9" tint="-0.249977111117893"/>
          <x14:colorLow theme="9" tint="-0.249977111117893"/>
          <x14:sparklines>
            <x14:sparkline>
              <xm:f>Calculations!M522:S522</xm:f>
              <xm:sqref>J54</xm:sqref>
            </x14:sparkline>
            <x14:sparkline>
              <xm:f>Calculations!M529:S529</xm:f>
              <xm:sqref>J55</xm:sqref>
            </x14:sparkline>
          </x14:sparklines>
        </x14:sparklineGroup>
        <x14:sparklineGroup manualMax="0" manualMin="0" lineWeight="3" displayEmptyCellsAs="gap" markers="1" high="1" first="1" last="1" xr2:uid="{00000000-0003-0000-0200-00000E000000}">
          <x14:colorSeries theme="9"/>
          <x14:colorNegative theme="4"/>
          <x14:colorAxis rgb="FF000000"/>
          <x14:colorMarkers theme="1"/>
          <x14:colorFirst rgb="FFFF0000"/>
          <x14:colorLast rgb="FF00B050"/>
          <x14:colorHigh theme="9" tint="-0.249977111117893"/>
          <x14:colorLow theme="9" tint="-0.249977111117893"/>
          <x14:sparklines>
            <x14:sparkline>
              <xm:f>Calculations!M508:S508</xm:f>
              <xm:sqref>J52</xm:sqref>
            </x14:sparkline>
          </x14:sparklines>
        </x14:sparklineGroup>
        <x14:sparklineGroup manualMax="0" manualMin="0" lineWeight="3" displayEmptyCellsAs="gap" markers="1" high="1" first="1" last="1" xr2:uid="{00000000-0003-0000-0200-00000F000000}">
          <x14:colorSeries theme="9"/>
          <x14:colorNegative theme="4"/>
          <x14:colorAxis rgb="FF000000"/>
          <x14:colorMarkers theme="1"/>
          <x14:colorFirst rgb="FFFF0000"/>
          <x14:colorLast rgb="FF00B050"/>
          <x14:colorHigh theme="9" tint="-0.249977111117893"/>
          <x14:colorLow theme="9" tint="-0.249977111117893"/>
          <x14:sparklines>
            <x14:sparkline>
              <xm:f>Calculations!C195:I195</xm:f>
              <xm:sqref>C51</xm:sqref>
            </x14:sparkline>
          </x14:sparklines>
        </x14:sparklineGroup>
        <x14:sparklineGroup manualMax="0" manualMin="0" lineWeight="3" displayEmptyCellsAs="gap" markers="1" high="1" first="1" last="1" xr2:uid="{00000000-0003-0000-0200-000010000000}">
          <x14:colorSeries theme="9"/>
          <x14:colorNegative theme="4"/>
          <x14:colorAxis rgb="FF000000"/>
          <x14:colorMarkers theme="1"/>
          <x14:colorFirst rgb="FFFF0000"/>
          <x14:colorLast rgb="FF00B050"/>
          <x14:colorHigh theme="9" tint="-0.249977111117893"/>
          <x14:colorLow theme="9" tint="-0.249977111117893"/>
          <x14:sparklines>
            <x14:sparkline>
              <xm:f>Calculations!C194:I194</xm:f>
              <xm:sqref>C49</xm:sqref>
            </x14:sparkline>
          </x14:sparklines>
        </x14:sparklineGroup>
        <x14:sparklineGroup manualMax="0" manualMin="0" lineWeight="3" displayEmptyCellsAs="gap" markers="1" high="1" first="1" last="1" xr2:uid="{00000000-0003-0000-0200-000011000000}">
          <x14:colorSeries theme="9"/>
          <x14:colorNegative theme="4"/>
          <x14:colorAxis rgb="FF000000"/>
          <x14:colorMarkers theme="1"/>
          <x14:colorFirst rgb="FFFF0000"/>
          <x14:colorLast rgb="FF00B050"/>
          <x14:colorHigh theme="9" tint="-0.249977111117893"/>
          <x14:colorLow theme="9" tint="-0.249977111117893"/>
          <x14:sparklines>
            <x14:sparkline>
              <xm:f>Calculations!M340:S340</xm:f>
              <xm:sqref>J28</xm:sqref>
            </x14:sparkline>
          </x14:sparklines>
        </x14:sparklineGroup>
        <x14:sparklineGroup manualMax="0" manualMin="0" lineWeight="3" displayEmptyCellsAs="gap" markers="1" high="1" first="1" last="1" xr2:uid="{00000000-0003-0000-0200-000012000000}">
          <x14:colorSeries theme="9"/>
          <x14:colorNegative theme="4"/>
          <x14:colorAxis rgb="FF000000"/>
          <x14:colorMarkers theme="1"/>
          <x14:colorFirst rgb="FFFF0000"/>
          <x14:colorLast rgb="FF00B050"/>
          <x14:colorHigh theme="9" tint="-0.249977111117893"/>
          <x14:colorLow theme="9" tint="-0.249977111117893"/>
          <x14:sparklines>
            <x14:sparkline>
              <xm:f>Calculations!M333:S333</xm:f>
              <xm:sqref>J27</xm:sqref>
            </x14:sparkline>
          </x14:sparklines>
        </x14:sparklineGroup>
        <x14:sparklineGroup manualMax="0" manualMin="0" lineWeight="3" displayEmptyCellsAs="gap" markers="1" high="1" first="1" last="1" xr2:uid="{00000000-0003-0000-0200-000013000000}">
          <x14:colorSeries theme="9"/>
          <x14:colorNegative theme="4"/>
          <x14:colorAxis rgb="FF000000"/>
          <x14:colorMarkers theme="1"/>
          <x14:colorFirst rgb="FFFF0000"/>
          <x14:colorLast rgb="FF00B050"/>
          <x14:colorHigh theme="9" tint="-0.249977111117893"/>
          <x14:colorLow theme="9" tint="-0.249977111117893"/>
          <x14:sparklines>
            <x14:sparkline>
              <xm:f>Calculations!M326:S326</xm:f>
              <xm:sqref>J26</xm:sqref>
            </x14:sparkline>
          </x14:sparklines>
        </x14:sparklineGroup>
        <x14:sparklineGroup manualMax="0" manualMin="0" lineWeight="3" displayEmptyCellsAs="gap" markers="1" high="1" first="1" last="1" xr2:uid="{00000000-0003-0000-0200-000014000000}">
          <x14:colorSeries theme="9"/>
          <x14:colorNegative theme="4"/>
          <x14:colorAxis rgb="FF000000"/>
          <x14:colorMarkers theme="1"/>
          <x14:colorFirst rgb="FFFF0000"/>
          <x14:colorLast rgb="FF00B050"/>
          <x14:colorHigh theme="9" tint="-0.249977111117893"/>
          <x14:colorLow theme="9" tint="-0.249977111117893"/>
          <x14:sparklines>
            <x14:sparkline>
              <xm:f>Calculations!C193:I193</xm:f>
              <xm:sqref>C48</xm:sqref>
            </x14:sparkline>
          </x14:sparklines>
        </x14:sparklineGroup>
        <x14:sparklineGroup manualMax="0" manualMin="0" lineWeight="3" displayEmptyCellsAs="gap" markers="1" high="1" first="1" last="1" xr2:uid="{00000000-0003-0000-0200-000015000000}">
          <x14:colorSeries theme="9"/>
          <x14:colorNegative theme="4"/>
          <x14:colorAxis rgb="FF000000"/>
          <x14:colorMarkers theme="1"/>
          <x14:colorFirst rgb="FFFF0000"/>
          <x14:colorLast rgb="FF00B050"/>
          <x14:colorHigh theme="9" tint="-0.249977111117893"/>
          <x14:colorLow theme="9" tint="-0.249977111117893"/>
          <x14:sparklines>
            <x14:sparkline>
              <xm:f>Calculations!C183:I183</xm:f>
              <xm:sqref>C47</xm:sqref>
            </x14:sparkline>
          </x14:sparklines>
        </x14:sparklineGroup>
        <x14:sparklineGroup manualMax="0" manualMin="0" lineWeight="3" displayEmptyCellsAs="gap" markers="1" high="1" first="1" last="1" xr2:uid="{00000000-0003-0000-0200-000016000000}">
          <x14:colorSeries theme="9"/>
          <x14:colorNegative theme="4"/>
          <x14:colorAxis rgb="FF000000"/>
          <x14:colorMarkers theme="1"/>
          <x14:colorFirst rgb="FFFF0000"/>
          <x14:colorLast rgb="FF00B050"/>
          <x14:colorHigh theme="9" tint="-0.249977111117893"/>
          <x14:colorLow theme="9" tint="-0.249977111117893"/>
          <x14:sparklines>
            <x14:sparkline>
              <xm:f>Calculations!C174:I174</xm:f>
              <xm:sqref>C46</xm:sqref>
            </x14:sparkline>
          </x14:sparklines>
        </x14:sparklineGroup>
        <x14:sparklineGroup manualMax="0" manualMin="0" lineWeight="3" displayEmptyCellsAs="gap" markers="1" high="1" first="1" last="1" xr2:uid="{00000000-0003-0000-0200-000017000000}">
          <x14:colorSeries theme="9"/>
          <x14:colorNegative theme="4"/>
          <x14:colorAxis rgb="FF000000"/>
          <x14:colorMarkers theme="1"/>
          <x14:colorFirst rgb="FFFF0000"/>
          <x14:colorLast rgb="FF00B050"/>
          <x14:colorHigh theme="9" tint="-0.249977111117893"/>
          <x14:colorLow theme="9" tint="-0.249977111117893"/>
          <x14:sparklines>
            <x14:sparkline>
              <xm:f>Calculations!H166:N166</xm:f>
              <xm:sqref>C42</xm:sqref>
            </x14:sparkline>
          </x14:sparklines>
        </x14:sparklineGroup>
        <x14:sparklineGroup manualMax="0" manualMin="0" lineWeight="3" displayEmptyCellsAs="gap" markers="1" high="1" first="1" last="1" xr2:uid="{00000000-0003-0000-0200-000018000000}">
          <x14:colorSeries theme="9"/>
          <x14:colorNegative theme="4"/>
          <x14:colorAxis rgb="FF000000"/>
          <x14:colorMarkers theme="1"/>
          <x14:colorFirst rgb="FFFF0000"/>
          <x14:colorLast rgb="FF00B050"/>
          <x14:colorHigh theme="9" tint="-0.249977111117893"/>
          <x14:colorLow theme="9" tint="-0.249977111117893"/>
          <x14:sparklines>
            <x14:sparkline>
              <xm:f>Calculations!H163:N163</xm:f>
              <xm:sqref>C41</xm:sqref>
            </x14:sparkline>
          </x14:sparklines>
        </x14:sparklineGroup>
        <x14:sparklineGroup manualMax="0" manualMin="0" lineWeight="3" displayEmptyCellsAs="gap" markers="1" high="1" first="1" last="1" xr2:uid="{00000000-0003-0000-0200-000019000000}">
          <x14:colorSeries theme="9"/>
          <x14:colorNegative theme="4"/>
          <x14:colorAxis rgb="FF000000"/>
          <x14:colorMarkers theme="1"/>
          <x14:colorFirst rgb="FFFF0000"/>
          <x14:colorLast rgb="FF00B050"/>
          <x14:colorHigh theme="9" tint="-0.249977111117893"/>
          <x14:colorLow theme="9" tint="-0.249977111117893"/>
          <x14:sparklines>
            <x14:sparkline>
              <xm:f>Calculations!H162:N162</xm:f>
              <xm:sqref>C40</xm:sqref>
            </x14:sparkline>
          </x14:sparklines>
        </x14:sparklineGroup>
        <x14:sparklineGroup manualMax="0" manualMin="0" lineWeight="3" displayEmptyCellsAs="gap" markers="1" high="1" first="1" last="1" xr2:uid="{00000000-0003-0000-0200-00001A000000}">
          <x14:colorSeries theme="9"/>
          <x14:colorNegative theme="4"/>
          <x14:colorAxis rgb="FF000000"/>
          <x14:colorMarkers theme="1"/>
          <x14:colorFirst rgb="FFFF0000"/>
          <x14:colorLast rgb="FF00B050"/>
          <x14:colorHigh theme="9" tint="-0.249977111117893"/>
          <x14:colorLow theme="9" tint="-0.249977111117893"/>
          <x14:sparklines>
            <x14:sparkline>
              <xm:f>Calculations!H159:N159</xm:f>
              <xm:sqref>C39</xm:sqref>
            </x14:sparkline>
          </x14:sparklines>
        </x14:sparklineGroup>
        <x14:sparklineGroup manualMax="0" manualMin="0" lineWeight="3" displayEmptyCellsAs="gap" markers="1" high="1" first="1" last="1" xr2:uid="{00000000-0003-0000-0200-00001B000000}">
          <x14:colorSeries theme="9"/>
          <x14:colorNegative theme="4"/>
          <x14:colorAxis rgb="FF000000"/>
          <x14:colorMarkers theme="1"/>
          <x14:colorFirst rgb="FFFF0000"/>
          <x14:colorLast rgb="FF00B050"/>
          <x14:colorHigh theme="9" tint="-0.249977111117893"/>
          <x14:colorLow theme="9" tint="-0.249977111117893"/>
          <x14:sparklines>
            <x14:sparkline>
              <xm:f>Calculations!H153:N153</xm:f>
              <xm:sqref>C38</xm:sqref>
            </x14:sparkline>
          </x14:sparklines>
        </x14:sparklineGroup>
        <x14:sparklineGroup manualMax="0" manualMin="0" lineWeight="3" displayEmptyCellsAs="gap" markers="1" high="1" first="1" last="1" xr2:uid="{00000000-0003-0000-0200-00001C000000}">
          <x14:colorSeries theme="9"/>
          <x14:colorNegative theme="4"/>
          <x14:colorAxis rgb="FF000000"/>
          <x14:colorMarkers theme="1"/>
          <x14:colorFirst rgb="FFFF0000"/>
          <x14:colorLast rgb="FF00B050"/>
          <x14:colorHigh theme="9" tint="-0.249977111117893"/>
          <x14:colorLow theme="9" tint="-0.249977111117893"/>
          <x14:sparklines>
            <x14:sparkline>
              <xm:f>Calculations!H147:N147</xm:f>
              <xm:sqref>C37</xm:sqref>
            </x14:sparkline>
          </x14:sparklines>
        </x14:sparklineGroup>
        <x14:sparklineGroup manualMax="0" manualMin="0" lineWeight="3" displayEmptyCellsAs="gap" markers="1" high="1" first="1" last="1" xr2:uid="{00000000-0003-0000-0200-00001D000000}">
          <x14:colorSeries theme="9"/>
          <x14:colorNegative theme="4"/>
          <x14:colorAxis rgb="FF000000"/>
          <x14:colorMarkers theme="1"/>
          <x14:colorFirst rgb="FFFF0000"/>
          <x14:colorLast rgb="FF00B050"/>
          <x14:colorHigh theme="9" tint="-0.249977111117893"/>
          <x14:colorLow theme="9" tint="-0.249977111117893"/>
          <x14:sparklines>
            <x14:sparkline>
              <xm:f>Calculations!H141:N141</xm:f>
              <xm:sqref>C36</xm:sqref>
            </x14:sparkline>
          </x14:sparklines>
        </x14:sparklineGroup>
        <x14:sparklineGroup manualMax="0" manualMin="0" lineWeight="3" displayEmptyCellsAs="gap" markers="1" high="1" first="1" last="1" xr2:uid="{00000000-0003-0000-0200-00001E000000}">
          <x14:colorSeries theme="9"/>
          <x14:colorNegative theme="4"/>
          <x14:colorAxis rgb="FF000000"/>
          <x14:colorMarkers theme="1"/>
          <x14:colorFirst rgb="FFFF0000"/>
          <x14:colorLast rgb="FF00B050"/>
          <x14:colorHigh theme="9" tint="-0.249977111117893"/>
          <x14:colorLow theme="9" tint="-0.249977111117893"/>
          <x14:sparklines>
            <x14:sparkline>
              <xm:f>Calculations!H136:N136</xm:f>
              <xm:sqref>C34</xm:sqref>
            </x14:sparkline>
          </x14:sparklines>
        </x14:sparklineGroup>
        <x14:sparklineGroup manualMax="0" manualMin="0" lineWeight="3" displayEmptyCellsAs="gap" markers="1" high="1" first="1" last="1" xr2:uid="{00000000-0003-0000-0200-00001F000000}">
          <x14:colorSeries theme="9"/>
          <x14:colorNegative theme="4"/>
          <x14:colorAxis rgb="FF000000"/>
          <x14:colorMarkers theme="1"/>
          <x14:colorFirst rgb="FFFF0000"/>
          <x14:colorLast rgb="FF00B050"/>
          <x14:colorHigh theme="9" tint="-0.249977111117893"/>
          <x14:colorLow theme="9" tint="-0.249977111117893"/>
          <x14:sparklines>
            <x14:sparkline>
              <xm:f>Calculations!C127:I127</xm:f>
              <xm:sqref>C30</xm:sqref>
            </x14:sparkline>
          </x14:sparklines>
        </x14:sparklineGroup>
        <x14:sparklineGroup manualMax="0" manualMin="0" lineWeight="3" displayEmptyCellsAs="gap" markers="1" high="1" first="1" last="1" xr2:uid="{00000000-0003-0000-0200-000020000000}">
          <x14:colorSeries theme="9"/>
          <x14:colorNegative theme="4"/>
          <x14:colorAxis rgb="FF000000"/>
          <x14:colorMarkers theme="1"/>
          <x14:colorFirst rgb="FFFF0000"/>
          <x14:colorLast rgb="FF00B050"/>
          <x14:colorHigh theme="9" tint="-0.249977111117893"/>
          <x14:colorLow theme="9" tint="-0.249977111117893"/>
          <x14:sparklines>
            <x14:sparkline>
              <xm:f>Calculations!M438:S438</xm:f>
              <xm:sqref>J42</xm:sqref>
            </x14:sparkline>
          </x14:sparklines>
        </x14:sparklineGroup>
        <x14:sparklineGroup manualMax="0" manualMin="0" lineWeight="3" displayEmptyCellsAs="gap" markers="1" high="1" first="1" last="1" xr2:uid="{00000000-0003-0000-0200-000021000000}">
          <x14:colorSeries theme="9"/>
          <x14:colorNegative theme="4"/>
          <x14:colorAxis rgb="FF000000"/>
          <x14:colorMarkers theme="1"/>
          <x14:colorFirst rgb="FFFF0000"/>
          <x14:colorLast rgb="FF00B050"/>
          <x14:colorHigh theme="9" tint="-0.249977111117893"/>
          <x14:colorLow theme="9" tint="-0.249977111117893"/>
          <x14:sparklines>
            <x14:sparkline>
              <xm:f>Calculations!M252:T252</xm:f>
              <xm:sqref>I6</xm:sqref>
            </x14:sparkline>
          </x14:sparklines>
        </x14:sparklineGroup>
        <x14:sparklineGroup manualMax="0" manualMin="0" lineWeight="3" displayEmptyCellsAs="gap" markers="1" high="1" first="1" last="1" xr2:uid="{00000000-0003-0000-0200-000022000000}">
          <x14:colorSeries theme="9"/>
          <x14:colorNegative theme="4"/>
          <x14:colorAxis rgb="FF000000"/>
          <x14:colorMarkers theme="1"/>
          <x14:colorFirst rgb="FFFF0000"/>
          <x14:colorLast rgb="FF00B050"/>
          <x14:colorHigh theme="9" tint="-0.249977111117893"/>
          <x14:colorLow theme="9" tint="-0.249977111117893"/>
          <x14:sparklines>
            <x14:sparkline>
              <xm:f>Calculations!M254:T254</xm:f>
              <xm:sqref>I7</xm:sqref>
            </x14:sparkline>
          </x14:sparklines>
        </x14:sparklineGroup>
        <x14:sparklineGroup manualMax="0" manualMin="0" lineWeight="3" displayEmptyCellsAs="gap" markers="1" high="1" first="1" last="1" xr2:uid="{00000000-0003-0000-0200-000023000000}">
          <x14:colorSeries theme="9"/>
          <x14:colorNegative theme="4"/>
          <x14:colorAxis rgb="FF000000"/>
          <x14:colorMarkers theme="1"/>
          <x14:colorFirst rgb="FFFF0000"/>
          <x14:colorLast rgb="FF00B050"/>
          <x14:colorHigh theme="9" tint="-0.249977111117893"/>
          <x14:colorLow theme="9" tint="-0.249977111117893"/>
          <x14:sparklines>
            <x14:sparkline>
              <xm:f>Calculations!M445:S445</xm:f>
              <xm:sqref>J43</xm:sqref>
            </x14:sparkline>
          </x14:sparklines>
        </x14:sparklineGroup>
        <x14:sparklineGroup manualMax="0" manualMin="0" lineWeight="3" displayEmptyCellsAs="gap" markers="1" high="1" first="1" last="1" xr2:uid="{00000000-0003-0000-0200-000024000000}">
          <x14:colorSeries theme="9"/>
          <x14:colorNegative theme="4"/>
          <x14:colorAxis rgb="FF000000"/>
          <x14:colorMarkers theme="1"/>
          <x14:colorFirst rgb="FFFF0000"/>
          <x14:colorLast rgb="FF00B050"/>
          <x14:colorHigh theme="9" tint="-0.249977111117893"/>
          <x14:colorLow theme="9" tint="-0.249977111117893"/>
          <x14:sparklines>
            <x14:sparkline>
              <xm:f>Calculations!M452:S452</xm:f>
              <xm:sqref>J44</xm:sqref>
            </x14:sparkline>
          </x14:sparklines>
        </x14:sparklineGroup>
        <x14:sparklineGroup manualMax="0" manualMin="0" lineWeight="3" displayEmptyCellsAs="gap" markers="1" high="1" first="1" last="1" xr2:uid="{00000000-0003-0000-0200-000025000000}">
          <x14:colorSeries theme="9"/>
          <x14:colorNegative theme="4"/>
          <x14:colorAxis rgb="FF000000"/>
          <x14:colorMarkers theme="1"/>
          <x14:colorFirst rgb="FFFF0000"/>
          <x14:colorLast rgb="FF00B050"/>
          <x14:colorHigh theme="9" tint="-0.249977111117893"/>
          <x14:colorLow theme="9" tint="-0.249977111117893"/>
          <x14:sparklines>
            <x14:sparkline>
              <xm:f>Calculations!M515:S515</xm:f>
              <xm:sqref>J53</xm:sqref>
            </x14:sparkline>
          </x14:sparklines>
        </x14:sparklineGroup>
        <x14:sparklineGroup manualMax="0" manualMin="0" lineWeight="3" displayEmptyCellsAs="gap" markers="1" high="1" first="1" last="1" xr2:uid="{00000000-0003-0000-0200-000026000000}">
          <x14:colorSeries theme="9"/>
          <x14:colorNegative theme="4"/>
          <x14:colorAxis rgb="FF000000"/>
          <x14:colorMarkers theme="1"/>
          <x14:colorFirst rgb="FFFF0000"/>
          <x14:colorLast rgb="FF00B050"/>
          <x14:colorHigh theme="9" tint="-0.249977111117893"/>
          <x14:colorLow theme="9" tint="-0.249977111117893"/>
          <x14:sparklines>
            <x14:sparkline>
              <xm:f>Calculations!M494:S494</xm:f>
              <xm:sqref>J50</xm:sqref>
            </x14:sparkline>
          </x14:sparklines>
        </x14:sparklineGroup>
        <x14:sparklineGroup manualMax="0" manualMin="0" lineWeight="3" displayEmptyCellsAs="gap" markers="1" high="1" first="1" last="1" xr2:uid="{00000000-0003-0000-0200-000027000000}">
          <x14:colorSeries theme="9"/>
          <x14:colorNegative theme="4"/>
          <x14:colorAxis rgb="FF000000"/>
          <x14:colorMarkers theme="1"/>
          <x14:colorFirst rgb="FFFF0000"/>
          <x14:colorLast rgb="FF00B050"/>
          <x14:colorHigh theme="9" tint="-0.249977111117893"/>
          <x14:colorLow theme="9" tint="-0.249977111117893"/>
          <x14:sparklines>
            <x14:sparkline>
              <xm:f>Calculations!M501:S501</xm:f>
              <xm:sqref>J51</xm:sqref>
            </x14:sparkline>
          </x14:sparklines>
        </x14:sparklineGroup>
        <x14:sparklineGroup manualMax="0" manualMin="0" lineWeight="3" displayEmptyCellsAs="gap" markers="1" high="1" first="1" last="1" xr2:uid="{00000000-0003-0000-0200-000028000000}">
          <x14:colorSeries theme="9"/>
          <x14:colorNegative theme="4"/>
          <x14:colorAxis rgb="FF000000"/>
          <x14:colorMarkers theme="1"/>
          <x14:colorFirst rgb="FFFF0000"/>
          <x14:colorLast rgb="FF00B050"/>
          <x14:colorHigh theme="9" tint="-0.249977111117893"/>
          <x14:colorLow theme="9" tint="-0.249977111117893"/>
          <x14:sparklines>
            <x14:sparkline>
              <xm:f>Calculations!M487:S487</xm:f>
              <xm:sqref>J49</xm:sqref>
            </x14:sparkline>
          </x14:sparklines>
        </x14:sparklineGroup>
        <x14:sparklineGroup manualMax="0" manualMin="0" lineWeight="3" displayEmptyCellsAs="gap" markers="1" high="1" first="1" last="1" xr2:uid="{00000000-0003-0000-0200-000029000000}">
          <x14:colorSeries theme="9"/>
          <x14:colorNegative theme="4"/>
          <x14:colorAxis rgb="FF000000"/>
          <x14:colorMarkers theme="1"/>
          <x14:colorFirst rgb="FFFF0000"/>
          <x14:colorLast rgb="FF00B050"/>
          <x14:colorHigh theme="9" tint="-0.249977111117893"/>
          <x14:colorLow theme="9" tint="-0.249977111117893"/>
          <x14:sparklines>
            <x14:sparkline>
              <xm:f>Calculations!M480:S480</xm:f>
              <xm:sqref>J48</xm:sqref>
            </x14:sparkline>
          </x14:sparklines>
        </x14:sparklineGroup>
        <x14:sparklineGroup manualMax="0" manualMin="0" lineWeight="3" displayEmptyCellsAs="gap" markers="1" high="1" first="1" last="1" xr2:uid="{00000000-0003-0000-0200-00002A000000}">
          <x14:colorSeries theme="9"/>
          <x14:colorNegative theme="4"/>
          <x14:colorAxis rgb="FF000000"/>
          <x14:colorMarkers theme="1"/>
          <x14:colorFirst rgb="FFFF0000"/>
          <x14:colorLast rgb="FF00B050"/>
          <x14:colorHigh theme="9" tint="-0.249977111117893"/>
          <x14:colorLow theme="9" tint="-0.249977111117893"/>
          <x14:sparklines>
            <x14:sparkline>
              <xm:f>Calculations!M473:S473</xm:f>
              <xm:sqref>J47</xm:sqref>
            </x14:sparkline>
          </x14:sparklines>
        </x14:sparklineGroup>
        <x14:sparklineGroup manualMax="0" manualMin="0" lineWeight="3" displayEmptyCellsAs="gap" markers="1" high="1" first="1" last="1" xr2:uid="{00000000-0003-0000-0200-00002B000000}">
          <x14:colorSeries theme="9"/>
          <x14:colorNegative theme="4"/>
          <x14:colorAxis rgb="FF000000"/>
          <x14:colorMarkers theme="1"/>
          <x14:colorFirst rgb="FFFF0000"/>
          <x14:colorLast rgb="FF00B050"/>
          <x14:colorHigh theme="9" tint="-0.249977111117893"/>
          <x14:colorLow theme="9" tint="-0.249977111117893"/>
          <x14:sparklines>
            <x14:sparkline>
              <xm:f>Calculations!M410:S410</xm:f>
              <xm:sqref>J38</xm:sqref>
            </x14:sparkline>
          </x14:sparklines>
        </x14:sparklineGroup>
        <x14:sparklineGroup manualMax="0" manualMin="0" lineWeight="3" displayEmptyCellsAs="gap" markers="1" high="1" first="1" last="1" xr2:uid="{00000000-0003-0000-0200-00002C000000}">
          <x14:colorSeries theme="9"/>
          <x14:colorNegative theme="4"/>
          <x14:colorAxis rgb="FF000000"/>
          <x14:colorMarkers theme="1"/>
          <x14:colorFirst rgb="FFFF0000"/>
          <x14:colorLast rgb="FF00B050"/>
          <x14:colorHigh theme="9" tint="-0.249977111117893"/>
          <x14:colorLow theme="9" tint="-0.249977111117893"/>
          <x14:sparklines>
            <x14:sparkline>
              <xm:f>Calculations!M277:S277</xm:f>
              <xm:sqref>J18</xm:sqref>
            </x14:sparkline>
          </x14:sparklines>
        </x14:sparklineGroup>
        <x14:sparklineGroup manualMax="0" manualMin="0" lineWeight="3" displayEmptyCellsAs="gap" markers="1" high="1" first="1" last="1" xr2:uid="{00000000-0003-0000-0200-00002D000000}">
          <x14:colorSeries theme="9"/>
          <x14:colorNegative theme="4"/>
          <x14:colorAxis rgb="FF000000"/>
          <x14:colorMarkers theme="1"/>
          <x14:colorFirst rgb="FFFF0000"/>
          <x14:colorLast rgb="FF00B050"/>
          <x14:colorHigh theme="9" tint="-0.249977111117893"/>
          <x14:colorLow theme="9" tint="-0.249977111117893"/>
          <x14:sparklines>
            <x14:sparkline>
              <xm:f>Calculations!M319:S319</xm:f>
              <xm:sqref>J25</xm:sqref>
            </x14:sparkline>
          </x14:sparklines>
        </x14:sparklineGroup>
        <x14:sparklineGroup manualMax="0" manualMin="0" lineWeight="3" displayEmptyCellsAs="gap" markers="1" high="1" first="1" last="1" xr2:uid="{00000000-0003-0000-0200-00002E000000}">
          <x14:colorSeries theme="9"/>
          <x14:colorNegative theme="4"/>
          <x14:colorAxis rgb="FF000000"/>
          <x14:colorMarkers theme="1"/>
          <x14:colorFirst rgb="FFFF0000"/>
          <x14:colorLast rgb="FF00B050"/>
          <x14:colorHigh theme="9" tint="-0.249977111117893"/>
          <x14:colorLow theme="9" tint="-0.249977111117893"/>
          <x14:sparklines>
            <x14:sparkline>
              <xm:f>Calculations!M431:S431</xm:f>
              <xm:sqref>J41</xm:sqref>
            </x14:sparkline>
          </x14:sparklines>
        </x14:sparklineGroup>
        <x14:sparklineGroup manualMax="0" manualMin="0" lineWeight="3" displayEmptyCellsAs="gap" markers="1" high="1" first="1" last="1" xr2:uid="{00000000-0003-0000-0200-00002F000000}">
          <x14:colorSeries theme="9"/>
          <x14:colorNegative theme="4"/>
          <x14:colorAxis rgb="FF000000"/>
          <x14:colorMarkers theme="1"/>
          <x14:colorFirst rgb="FFFF0000"/>
          <x14:colorLast rgb="FF00B050"/>
          <x14:colorHigh theme="9" tint="-0.249977111117893"/>
          <x14:colorLow theme="9" tint="-0.249977111117893"/>
          <x14:sparklines>
            <x14:sparkline>
              <xm:f>Calculations!M431:S431</xm:f>
              <xm:sqref>J40</xm:sqref>
            </x14:sparkline>
          </x14:sparklines>
        </x14:sparklineGroup>
        <x14:sparklineGroup manualMax="0" manualMin="0" lineWeight="3" displayEmptyCellsAs="gap" markers="1" high="1" first="1" last="1" xr2:uid="{00000000-0003-0000-0200-000030000000}">
          <x14:colorSeries theme="9"/>
          <x14:colorNegative theme="4"/>
          <x14:colorAxis rgb="FF000000"/>
          <x14:colorMarkers theme="1"/>
          <x14:colorFirst rgb="FFFF0000"/>
          <x14:colorLast rgb="FF00B050"/>
          <x14:colorHigh theme="9" tint="-0.249977111117893"/>
          <x14:colorLow theme="9" tint="-0.249977111117893"/>
          <x14:sparklines>
            <x14:sparkline>
              <xm:f>Calculations!C117:I117</xm:f>
              <xm:sqref>C28</xm:sqref>
            </x14:sparkline>
          </x14:sparklines>
        </x14:sparklineGroup>
        <x14:sparklineGroup manualMax="0" manualMin="0" lineWeight="3" displayEmptyCellsAs="gap" markers="1" high="1" first="1" last="1" xr2:uid="{00000000-0003-0000-0200-000031000000}">
          <x14:colorSeries theme="9"/>
          <x14:colorNegative theme="4"/>
          <x14:colorAxis rgb="FF000000"/>
          <x14:colorMarkers theme="1"/>
          <x14:colorFirst rgb="FFFF0000"/>
          <x14:colorLast rgb="FF00B050"/>
          <x14:colorHigh theme="9" tint="-0.249977111117893"/>
          <x14:colorLow theme="9" tint="-0.249977111117893"/>
          <x14:sparklines>
            <x14:sparkline>
              <xm:f>Calculations!D88:K88</xm:f>
              <xm:sqref>C22</xm:sqref>
            </x14:sparkline>
          </x14:sparklines>
        </x14:sparklineGroup>
        <x14:sparklineGroup manualMax="0" manualMin="0" lineWeight="3" displayEmptyCellsAs="gap" markers="1" high="1" first="1" last="1" xr2:uid="{00000000-0003-0000-0200-000032000000}">
          <x14:colorSeries theme="9"/>
          <x14:colorNegative theme="4"/>
          <x14:colorAxis rgb="FF000000"/>
          <x14:colorMarkers theme="1"/>
          <x14:colorFirst rgb="FFFF0000"/>
          <x14:colorLast rgb="FF00B050"/>
          <x14:colorHigh theme="9" tint="-0.249977111117893"/>
          <x14:colorLow theme="9" tint="-0.249977111117893"/>
          <x14:sparklines>
            <x14:sparkline>
              <xm:f>Calculations!C106:I106</xm:f>
              <xm:sqref>C27</xm:sqref>
            </x14:sparkline>
          </x14:sparklines>
        </x14:sparklineGroup>
        <x14:sparklineGroup manualMax="0" manualMin="0" lineWeight="3" displayEmptyCellsAs="gap" markers="1" high="1" low="1" last="1" xr2:uid="{00000000-0003-0000-0200-000033000000}">
          <x14:colorSeries theme="9"/>
          <x14:colorNegative theme="4"/>
          <x14:colorAxis rgb="FF000000"/>
          <x14:colorMarkers theme="1"/>
          <x14:colorFirst theme="9" tint="-0.249977111117893"/>
          <x14:colorLast theme="1"/>
          <x14:colorHigh rgb="FF00B050"/>
          <x14:colorLow rgb="FFFF0000"/>
          <x14:sparklines>
            <x14:sparkline>
              <xm:f>Calculations!C7:N7</xm:f>
              <xm:sqref>C6</xm:sqref>
            </x14:sparkline>
          </x14:sparklines>
        </x14:sparklineGroup>
        <x14:sparklineGroup manualMax="0" manualMin="0" lineWeight="3" displayEmptyCellsAs="gap" markers="1" high="1" first="1" last="1" xr2:uid="{00000000-0003-0000-0200-000034000000}">
          <x14:colorSeries theme="9"/>
          <x14:colorNegative theme="4"/>
          <x14:colorAxis rgb="FF000000"/>
          <x14:colorMarkers theme="1"/>
          <x14:colorFirst rgb="FFFF0000"/>
          <x14:colorLast rgb="FF00B050"/>
          <x14:colorHigh theme="9" tint="-0.249977111117893"/>
          <x14:colorLow theme="9" tint="-0.249977111117893"/>
          <x14:sparklines>
            <x14:sparkline>
              <xm:f>Calculations!C8:N8</xm:f>
              <xm:sqref>C7</xm:sqref>
            </x14:sparkline>
          </x14:sparklines>
        </x14:sparklineGroup>
        <x14:sparklineGroup manualMax="0" manualMin="0" lineWeight="3" displayEmptyCellsAs="gap" markers="1" high="1" first="1" last="1" xr2:uid="{00000000-0003-0000-0200-000035000000}">
          <x14:colorSeries theme="9"/>
          <x14:colorNegative theme="4"/>
          <x14:colorAxis rgb="FF000000"/>
          <x14:colorMarkers theme="1"/>
          <x14:colorFirst rgb="FFFF0000"/>
          <x14:colorLast rgb="FF00B050"/>
          <x14:colorHigh theme="9" tint="-0.249977111117893"/>
          <x14:colorLow theme="9" tint="-0.249977111117893"/>
          <x14:sparklines>
            <x14:sparkline>
              <xm:f>Calculations!C9:N9</xm:f>
              <xm:sqref>C8</xm:sqref>
            </x14:sparkline>
          </x14:sparklines>
        </x14:sparklineGroup>
        <x14:sparklineGroup manualMax="0" manualMin="0" lineWeight="3" displayEmptyCellsAs="gap" markers="1" high="1" first="1" last="1" xr2:uid="{00000000-0003-0000-0200-000036000000}">
          <x14:colorSeries theme="9"/>
          <x14:colorNegative theme="4"/>
          <x14:colorAxis rgb="FF000000"/>
          <x14:colorMarkers theme="1"/>
          <x14:colorFirst rgb="FFFF0000"/>
          <x14:colorLast rgb="FF00B050"/>
          <x14:colorHigh theme="9" tint="-0.249977111117893"/>
          <x14:colorLow theme="9" tint="-0.249977111117893"/>
          <x14:sparklines>
            <x14:sparkline>
              <xm:f>Calculations!C10:N10</xm:f>
              <xm:sqref>C9</xm:sqref>
            </x14:sparkline>
          </x14:sparklines>
        </x14:sparklineGroup>
        <x14:sparklineGroup manualMax="0" manualMin="0" lineWeight="3" displayEmptyCellsAs="gap" markers="1" high="1" first="1" last="1" xr2:uid="{00000000-0003-0000-0200-000037000000}">
          <x14:colorSeries theme="9"/>
          <x14:colorNegative theme="4"/>
          <x14:colorAxis rgb="FF000000"/>
          <x14:colorMarkers theme="1"/>
          <x14:colorFirst rgb="FFFF0000"/>
          <x14:colorLast rgb="FF00B050"/>
          <x14:colorHigh theme="9" tint="-0.249977111117893"/>
          <x14:colorLow theme="9" tint="-0.249977111117893"/>
          <x14:sparklines>
            <x14:sparkline>
              <xm:f>Calculations!D40:J40</xm:f>
              <xm:sqref>C19</xm:sqref>
            </x14:sparkline>
          </x14:sparklines>
        </x14:sparklineGroup>
        <x14:sparklineGroup manualMax="0" manualMin="0" lineWeight="3" displayEmptyCellsAs="gap" markers="1" high="1" first="1" last="1" xr2:uid="{00000000-0003-0000-0200-000038000000}">
          <x14:colorSeries theme="9"/>
          <x14:colorNegative theme="4"/>
          <x14:colorAxis rgb="FF000000"/>
          <x14:colorMarkers theme="1"/>
          <x14:colorFirst rgb="FFFF0000"/>
          <x14:colorLast rgb="FF00B050"/>
          <x14:colorHigh theme="9" tint="-0.249977111117893"/>
          <x14:colorLow theme="9" tint="-0.249977111117893"/>
          <x14:sparklines>
            <x14:sparkline>
              <xm:f>Calculations!D24:J24</xm:f>
              <xm:sqref>C17</xm:sqref>
            </x14:sparkline>
          </x14:sparklines>
        </x14:sparklineGroup>
        <x14:sparklineGroup manualMax="0" manualMin="0" lineWeight="3" displayEmptyCellsAs="gap" markers="1" high="1" first="1" last="1" xr2:uid="{00000000-0003-0000-0200-000039000000}">
          <x14:colorSeries theme="9"/>
          <x14:colorNegative theme="4"/>
          <x14:colorAxis rgb="FF000000"/>
          <x14:colorMarkers theme="1"/>
          <x14:colorFirst rgb="FFFF0000"/>
          <x14:colorLast rgb="FF00B050"/>
          <x14:colorHigh theme="9" tint="-0.249977111117893"/>
          <x14:colorLow theme="9" tint="-0.249977111117893"/>
          <x14:sparklines>
            <x14:sparkline>
              <xm:f>Calculations!D26:J26</xm:f>
              <xm:sqref>C18</xm:sqref>
            </x14:sparkline>
          </x14:sparklines>
        </x14:sparklineGroup>
        <x14:sparklineGroup manualMax="0" manualMin="0" lineWeight="3" displayEmptyCellsAs="gap" markers="1" high="1" first="1" last="1" xr2:uid="{00000000-0003-0000-0200-00003A000000}">
          <x14:colorSeries theme="9"/>
          <x14:colorNegative theme="4"/>
          <x14:colorAxis rgb="FF000000"/>
          <x14:colorMarkers theme="1"/>
          <x14:colorFirst rgb="FFFF0000"/>
          <x14:colorLast rgb="FF00B050"/>
          <x14:colorHigh theme="9" tint="-0.249977111117893"/>
          <x14:colorLow theme="9" tint="-0.249977111117893"/>
          <x14:sparklines>
            <x14:sparkline>
              <xm:f>Calculations!D89:J89</xm:f>
              <xm:sqref>C23</xm:sqref>
            </x14:sparkline>
          </x14:sparklines>
        </x14:sparklineGroup>
        <x14:sparklineGroup manualMax="0" manualMin="0" lineWeight="3" displayEmptyCellsAs="gap" markers="1" high="1" first="1" last="1" xr2:uid="{00000000-0003-0000-0200-00003B000000}">
          <x14:colorSeries theme="9"/>
          <x14:colorNegative theme="4"/>
          <x14:colorAxis rgb="FF000000"/>
          <x14:colorMarkers theme="1"/>
          <x14:colorFirst rgb="FFFF0000"/>
          <x14:colorLast rgb="FF00B050"/>
          <x14:colorHigh theme="9" tint="-0.249977111117893"/>
          <x14:colorLow theme="9" tint="-0.249977111117893"/>
          <x14:sparklines>
            <x14:sparkline>
              <xm:f>Calculations!C196:I196</xm:f>
              <xm:sqref>C52</xm:sqref>
            </x14:sparkline>
          </x14:sparklines>
        </x14:sparklineGroup>
        <x14:sparklineGroup manualMax="0" manualMin="0" lineWeight="3" displayEmptyCellsAs="gap" markers="1" high="1" first="1" last="1" xr2:uid="{00000000-0003-0000-0200-00003C000000}">
          <x14:colorSeries theme="9"/>
          <x14:colorNegative theme="4"/>
          <x14:colorAxis rgb="FF000000"/>
          <x14:colorMarkers theme="1"/>
          <x14:colorFirst rgb="FFFF0000"/>
          <x14:colorLast rgb="FF00B050"/>
          <x14:colorHigh theme="9" tint="-0.249977111117893"/>
          <x14:colorLow theme="9" tint="-0.249977111117893"/>
          <x14:sparklines>
            <x14:sparkline>
              <xm:f>Calculations!M417:S417</xm:f>
              <xm:sqref>J39</xm:sqref>
            </x14:sparkline>
          </x14:sparklines>
        </x14:sparklineGroup>
        <x14:sparklineGroup manualMax="0" manualMin="0" lineWeight="3" displayEmptyCellsAs="gap" markers="1" high="1" first="1" last="1" xr2:uid="{00000000-0003-0000-0200-00003D000000}">
          <x14:colorSeries theme="9"/>
          <x14:colorNegative theme="4"/>
          <x14:colorAxis rgb="FF000000"/>
          <x14:colorMarkers theme="1"/>
          <x14:colorFirst rgb="FFFF0000"/>
          <x14:colorLast rgb="FF00B050"/>
          <x14:colorHigh theme="9" tint="-0.249977111117893"/>
          <x14:colorLow theme="9" tint="-0.249977111117893"/>
          <x14:sparklines>
            <x14:sparkline>
              <xm:f>Calculations!M347:S347</xm:f>
              <xm:sqref>J29</xm:sqref>
            </x14:sparkline>
          </x14:sparklines>
        </x14:sparklineGroup>
        <x14:sparklineGroup manualMax="0" manualMin="0" lineWeight="3" displayEmptyCellsAs="gap" markers="1" high="1" first="1" last="1" xr2:uid="{00000000-0003-0000-0200-00003E000000}">
          <x14:colorSeries theme="9"/>
          <x14:colorNegative theme="4"/>
          <x14:colorAxis rgb="FF000000"/>
          <x14:colorMarkers theme="1"/>
          <x14:colorFirst rgb="FFFF0000"/>
          <x14:colorLast rgb="FF00B050"/>
          <x14:colorHigh theme="9" tint="-0.249977111117893"/>
          <x14:colorLow theme="9" tint="-0.249977111117893"/>
          <x14:sparklines>
            <x14:sparkline>
              <xm:f>Calculations!F236:L236</xm:f>
              <xm:sqref>I8</xm:sqref>
            </x14:sparkline>
          </x14:sparklines>
        </x14:sparklineGroup>
        <x14:sparklineGroup manualMax="0" manualMin="0" lineWeight="3" displayEmptyCellsAs="gap" markers="1" high="1" first="1" last="1" xr2:uid="{00000000-0003-0000-0200-00003F000000}">
          <x14:colorSeries theme="9"/>
          <x14:colorNegative theme="4"/>
          <x14:colorAxis rgb="FF000000"/>
          <x14:colorMarkers theme="1"/>
          <x14:colorFirst rgb="FFFF0000"/>
          <x14:colorLast rgb="FF00B050"/>
          <x14:colorHigh theme="9" tint="-0.249977111117893"/>
          <x14:colorLow theme="9" tint="-0.249977111117893"/>
          <x14:sparklines>
            <x14:sparkline>
              <xm:f>Calculations!F241:L241</xm:f>
              <xm:sqref>I11</xm:sqref>
            </x14:sparkline>
          </x14:sparklines>
        </x14:sparklineGroup>
        <x14:sparklineGroup manualMax="0" manualMin="0" lineWeight="3" displayEmptyCellsAs="gap" markers="1" high="1" first="1" last="1" xr2:uid="{00000000-0003-0000-0200-000040000000}">
          <x14:colorSeries theme="9"/>
          <x14:colorNegative theme="4"/>
          <x14:colorAxis rgb="FF000000"/>
          <x14:colorMarkers theme="1"/>
          <x14:colorFirst rgb="FFFF0000"/>
          <x14:colorLast rgb="FF00B050"/>
          <x14:colorHigh theme="9" tint="-0.249977111117893"/>
          <x14:colorLow theme="9" tint="-0.249977111117893"/>
          <x14:sparklines>
            <x14:sparkline>
              <xm:f>Calculations!F244:L244</xm:f>
              <xm:sqref>I12</xm:sqref>
            </x14:sparkline>
          </x14:sparklines>
        </x14:sparklineGroup>
        <x14:sparklineGroup manualMax="0" manualMin="0" lineWeight="3" displayEmptyCellsAs="gap" markers="1" high="1" first="1" last="1" xr2:uid="{00000000-0003-0000-0200-000041000000}">
          <x14:colorSeries theme="9"/>
          <x14:colorNegative theme="4"/>
          <x14:colorAxis rgb="FF000000"/>
          <x14:colorMarkers theme="1"/>
          <x14:colorFirst rgb="FFFF0000"/>
          <x14:colorLast rgb="FF00B050"/>
          <x14:colorHigh theme="9" tint="-0.249977111117893"/>
          <x14:colorLow theme="9" tint="-0.249977111117893"/>
          <x14:sparklines>
            <x14:sparkline>
              <xm:f>Calculations!M354:S354</xm:f>
              <xm:sqref>J30</xm:sqref>
            </x14:sparkline>
          </x14:sparklines>
        </x14:sparklineGroup>
        <x14:sparklineGroup manualMax="0" manualMin="0" lineWeight="3" displayEmptyCellsAs="gap" markers="1" high="1" first="1" last="1" xr2:uid="{00000000-0003-0000-0200-000042000000}">
          <x14:colorSeries theme="9"/>
          <x14:colorNegative theme="4"/>
          <x14:colorAxis rgb="FF000000"/>
          <x14:colorMarkers theme="1"/>
          <x14:colorFirst rgb="FFFF0000"/>
          <x14:colorLast rgb="FF00B050"/>
          <x14:colorHigh theme="9" tint="-0.249977111117893"/>
          <x14:colorLow theme="9" tint="-0.249977111117893"/>
          <x14:sparklines>
            <x14:sparkline>
              <xm:f>Calculations!M361:S361</xm:f>
              <xm:sqref>J31</xm:sqref>
            </x14:sparkline>
          </x14:sparklines>
        </x14:sparklineGroup>
        <x14:sparklineGroup manualMax="0" manualMin="0" lineWeight="3" displayEmptyCellsAs="gap" markers="1" high="1" first="1" last="1" xr2:uid="{00000000-0003-0000-0200-000043000000}">
          <x14:colorSeries theme="9"/>
          <x14:colorNegative theme="4"/>
          <x14:colorAxis rgb="FF000000"/>
          <x14:colorMarkers theme="1"/>
          <x14:colorFirst rgb="FFFF0000"/>
          <x14:colorLast rgb="FF00B050"/>
          <x14:colorHigh theme="9" tint="-0.249977111117893"/>
          <x14:colorLow theme="9" tint="-0.249977111117893"/>
          <x14:sparklines>
            <x14:sparkline>
              <xm:f>Calculations!M368:S368</xm:f>
              <xm:sqref>J32</xm:sqref>
            </x14:sparkline>
          </x14:sparklines>
        </x14:sparklineGroup>
        <x14:sparklineGroup manualMax="0" manualMin="0" lineWeight="3" displayEmptyCellsAs="gap" markers="1" high="1" first="1" last="1" xr2:uid="{00000000-0003-0000-0200-000044000000}">
          <x14:colorSeries theme="9"/>
          <x14:colorNegative theme="4"/>
          <x14:colorAxis rgb="FF000000"/>
          <x14:colorMarkers theme="1"/>
          <x14:colorFirst rgb="FFFF0000"/>
          <x14:colorLast rgb="FF00B050"/>
          <x14:colorHigh theme="9" tint="-0.249977111117893"/>
          <x14:colorLow theme="9" tint="-0.249977111117893"/>
          <x14:sparklines>
            <x14:sparkline>
              <xm:f>Calculations!M375:S375</xm:f>
              <xm:sqref>J33</xm:sqref>
            </x14:sparkline>
          </x14:sparklines>
        </x14:sparklineGroup>
        <x14:sparklineGroup manualMax="0" manualMin="0" lineWeight="3" displayEmptyCellsAs="gap" markers="1" high="1" first="1" last="1" xr2:uid="{00000000-0003-0000-0200-000045000000}">
          <x14:colorSeries theme="9"/>
          <x14:colorNegative theme="4"/>
          <x14:colorAxis rgb="FF000000"/>
          <x14:colorMarkers theme="1"/>
          <x14:colorFirst rgb="FFFF0000"/>
          <x14:colorLast rgb="FF00B050"/>
          <x14:colorHigh theme="9" tint="-0.249977111117893"/>
          <x14:colorLow theme="9" tint="-0.249977111117893"/>
          <x14:sparklines>
            <x14:sparkline>
              <xm:f>Calculations!M382:S382</xm:f>
              <xm:sqref>J34</xm:sqref>
            </x14:sparkline>
          </x14:sparklines>
        </x14:sparklineGroup>
        <x14:sparklineGroup manualMax="0" manualMin="0" lineWeight="3" displayEmptyCellsAs="gap" markers="1" high="1" first="1" last="1" xr2:uid="{00000000-0003-0000-0200-000046000000}">
          <x14:colorSeries theme="9"/>
          <x14:colorNegative theme="4"/>
          <x14:colorAxis rgb="FF000000"/>
          <x14:colorMarkers theme="1"/>
          <x14:colorFirst rgb="FFFF0000"/>
          <x14:colorLast rgb="FF00B050"/>
          <x14:colorHigh theme="9" tint="-0.249977111117893"/>
          <x14:colorLow theme="9" tint="-0.249977111117893"/>
          <x14:sparklines>
            <x14:sparkline>
              <xm:f>Calculations!M389:S389</xm:f>
              <xm:sqref>J35</xm:sqref>
            </x14:sparkline>
          </x14:sparklines>
        </x14:sparklineGroup>
        <x14:sparklineGroup manualMax="0" manualMin="0" lineWeight="3" displayEmptyCellsAs="gap" markers="1" high="1" first="1" last="1" xr2:uid="{00000000-0003-0000-0200-000047000000}">
          <x14:colorSeries theme="9"/>
          <x14:colorNegative theme="4"/>
          <x14:colorAxis rgb="FF000000"/>
          <x14:colorMarkers theme="1"/>
          <x14:colorFirst rgb="FFFF0000"/>
          <x14:colorLast rgb="FF00B050"/>
          <x14:colorHigh theme="9" tint="-0.249977111117893"/>
          <x14:colorLow theme="9" tint="-0.249977111117893"/>
          <x14:sparklines>
            <x14:sparkline>
              <xm:f>Calculations!M396:S396</xm:f>
              <xm:sqref>J36</xm:sqref>
            </x14:sparkline>
          </x14:sparklines>
        </x14:sparklineGroup>
        <x14:sparklineGroup manualMax="0" manualMin="0" lineWeight="3" displayEmptyCellsAs="gap" markers="1" high="1" first="1" last="1" xr2:uid="{00000000-0003-0000-0200-000048000000}">
          <x14:colorSeries theme="9"/>
          <x14:colorNegative theme="4"/>
          <x14:colorAxis rgb="FF000000"/>
          <x14:colorMarkers theme="1"/>
          <x14:colorFirst rgb="FFFF0000"/>
          <x14:colorLast rgb="FF00B050"/>
          <x14:colorHigh theme="9" tint="-0.249977111117893"/>
          <x14:colorLow theme="9" tint="-0.249977111117893"/>
          <x14:sparklines>
            <x14:sparkline>
              <xm:f>Calculations!F247:L247</xm:f>
              <xm:sqref>I13</xm:sqref>
            </x14:sparkline>
          </x14:sparklines>
        </x14:sparklineGroup>
        <x14:sparklineGroup manualMax="0" manualMin="0" lineWeight="3" displayEmptyCellsAs="gap" markers="1" high="1" first="1" last="1" xr2:uid="{00000000-0003-0000-0200-000049000000}">
          <x14:colorSeries theme="9"/>
          <x14:colorNegative theme="4"/>
          <x14:colorAxis rgb="FF000000"/>
          <x14:colorMarkers theme="1"/>
          <x14:colorFirst rgb="FFFF0000"/>
          <x14:colorLast rgb="FF00B050"/>
          <x14:colorHigh theme="9" tint="-0.249977111117893"/>
          <x14:colorLow theme="9" tint="-0.249977111117893"/>
          <x14:sparklines>
            <x14:sparkline>
              <xm:f>Calculations!M466:S466</xm:f>
              <xm:sqref>J46</xm:sqref>
            </x14:sparkline>
          </x14:sparklines>
        </x14:sparklineGroup>
        <x14:sparklineGroup manualMax="0" manualMin="0" lineWeight="3" displayEmptyCellsAs="gap" markers="1" high="1" first="1" last="1" xr2:uid="{00000000-0003-0000-0200-00004A000000}">
          <x14:colorSeries theme="9"/>
          <x14:colorNegative theme="4"/>
          <x14:colorAxis rgb="FF000000"/>
          <x14:colorMarkers theme="1"/>
          <x14:colorFirst rgb="FFFF0000"/>
          <x14:colorLast rgb="FF00B050"/>
          <x14:colorHigh theme="9" tint="-0.249977111117893"/>
          <x14:colorLow theme="9" tint="-0.249977111117893"/>
          <x14:sparklines>
            <x14:sparkline>
              <xm:f>Calculations!M312:S312</xm:f>
              <xm:sqref>J24</xm:sqref>
            </x14:sparkline>
          </x14:sparklines>
        </x14:sparklineGroup>
        <x14:sparklineGroup manualMax="0" manualMin="0" lineWeight="3" displayEmptyCellsAs="gap" markers="1" high="1" first="1" last="1" xr2:uid="{00000000-0003-0000-0200-00004B000000}">
          <x14:colorSeries theme="9"/>
          <x14:colorNegative theme="4"/>
          <x14:colorAxis rgb="FF000000"/>
          <x14:colorMarkers theme="1"/>
          <x14:colorFirst rgb="FFFF0000"/>
          <x14:colorLast rgb="FF00B050"/>
          <x14:colorHigh theme="9" tint="-0.249977111117893"/>
          <x14:colorLow theme="9" tint="-0.249977111117893"/>
          <x14:sparklines>
            <x14:sparkline>
              <xm:f>Calculations!C188:I188</xm:f>
              <xm:sqref>C50</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7030A0"/>
  </sheetPr>
  <dimension ref="A1:Q113"/>
  <sheetViews>
    <sheetView tabSelected="1" topLeftCell="A19" workbookViewId="0">
      <selection activeCell="G28" sqref="G28"/>
    </sheetView>
  </sheetViews>
  <sheetFormatPr defaultColWidth="9.1796875" defaultRowHeight="11.5"/>
  <cols>
    <col min="1" max="1" width="12.81640625" style="2" customWidth="1"/>
    <col min="2" max="2" width="40.453125" style="2" customWidth="1"/>
    <col min="3" max="7" width="14.81640625" style="2" bestFit="1" customWidth="1"/>
    <col min="8" max="15" width="15.90625" style="2" customWidth="1"/>
    <col min="16" max="16384" width="9.1796875" style="2"/>
  </cols>
  <sheetData>
    <row r="1" spans="1:4" ht="27.75" customHeight="1">
      <c r="A1" s="885" t="s">
        <v>116</v>
      </c>
      <c r="B1" s="889"/>
      <c r="C1" s="889"/>
      <c r="D1" s="889"/>
    </row>
    <row r="2" spans="1:4">
      <c r="A2" s="1" t="s">
        <v>117</v>
      </c>
    </row>
    <row r="3" spans="1:4">
      <c r="A3" s="1"/>
    </row>
    <row r="4" spans="1:4">
      <c r="A4" s="1" t="s">
        <v>118</v>
      </c>
    </row>
    <row r="5" spans="1:4">
      <c r="A5" s="26"/>
      <c r="B5" s="2" t="s">
        <v>119</v>
      </c>
    </row>
    <row r="6" spans="1:4">
      <c r="A6" s="20"/>
      <c r="B6" s="2" t="s">
        <v>120</v>
      </c>
    </row>
    <row r="7" spans="1:4">
      <c r="A7" s="19"/>
      <c r="B7" s="2" t="s">
        <v>121</v>
      </c>
    </row>
    <row r="8" spans="1:4">
      <c r="A8" s="21"/>
      <c r="B8" s="2" t="s">
        <v>122</v>
      </c>
    </row>
    <row r="9" spans="1:4">
      <c r="A9" s="22"/>
      <c r="B9" s="2" t="s">
        <v>123</v>
      </c>
    </row>
    <row r="10" spans="1:4">
      <c r="A10" s="24"/>
      <c r="B10" s="2" t="s">
        <v>124</v>
      </c>
    </row>
    <row r="11" spans="1:4">
      <c r="A11" s="182"/>
      <c r="B11" s="2" t="s">
        <v>63</v>
      </c>
    </row>
    <row r="13" spans="1:4">
      <c r="A13" s="1" t="s">
        <v>125</v>
      </c>
      <c r="B13" s="1" t="s">
        <v>1365</v>
      </c>
    </row>
    <row r="15" spans="1:4">
      <c r="A15" s="1" t="s">
        <v>127</v>
      </c>
    </row>
    <row r="17" spans="2:10">
      <c r="B17" s="1" t="s">
        <v>128</v>
      </c>
    </row>
    <row r="18" spans="2:10" ht="34.5">
      <c r="C18" s="172" t="s">
        <v>129</v>
      </c>
      <c r="D18" s="172" t="s">
        <v>130</v>
      </c>
      <c r="I18" s="173" t="s">
        <v>1356</v>
      </c>
      <c r="J18" s="99"/>
    </row>
    <row r="19" spans="2:10">
      <c r="B19" s="3" t="s">
        <v>131</v>
      </c>
      <c r="C19" s="817">
        <v>215.767</v>
      </c>
      <c r="D19" s="256">
        <f t="shared" ref="D19:D24" si="0">C19/$C$22</f>
        <v>0.88185143557780721</v>
      </c>
      <c r="I19" s="3" t="s">
        <v>131</v>
      </c>
      <c r="J19" s="165">
        <f>$C$31/C19</f>
        <v>1.4421111662117008</v>
      </c>
    </row>
    <row r="20" spans="2:10">
      <c r="B20" s="3" t="s">
        <v>132</v>
      </c>
      <c r="C20" s="25">
        <v>226.47499999999999</v>
      </c>
      <c r="D20" s="256">
        <f t="shared" si="0"/>
        <v>0.92561561254725655</v>
      </c>
      <c r="I20" s="3" t="s">
        <v>132</v>
      </c>
      <c r="J20" s="165">
        <f t="shared" ref="J20:J31" si="1">$C$31/C20</f>
        <v>1.3739264819516503</v>
      </c>
    </row>
    <row r="21" spans="2:10">
      <c r="B21" s="3" t="s">
        <v>133</v>
      </c>
      <c r="C21" s="25">
        <v>237.34200000000001</v>
      </c>
      <c r="D21" s="256">
        <f t="shared" si="0"/>
        <v>0.97002963114335339</v>
      </c>
      <c r="I21" s="3" t="s">
        <v>133</v>
      </c>
      <c r="J21" s="165">
        <f t="shared" si="1"/>
        <v>1.3110195414212402</v>
      </c>
    </row>
    <row r="22" spans="2:10">
      <c r="B22" s="3" t="s">
        <v>134</v>
      </c>
      <c r="C22" s="25">
        <v>244.67500000000001</v>
      </c>
      <c r="D22" s="256">
        <f t="shared" si="0"/>
        <v>1</v>
      </c>
      <c r="I22" s="3" t="s">
        <v>134</v>
      </c>
      <c r="J22" s="165">
        <f t="shared" si="1"/>
        <v>1.2717278021865741</v>
      </c>
    </row>
    <row r="23" spans="2:10">
      <c r="B23" s="3" t="s">
        <v>135</v>
      </c>
      <c r="C23" s="25">
        <v>251.733</v>
      </c>
      <c r="D23" s="256">
        <f t="shared" si="0"/>
        <v>1.0288464289363441</v>
      </c>
      <c r="I23" s="3" t="s">
        <v>135</v>
      </c>
      <c r="J23" s="165">
        <f t="shared" si="1"/>
        <v>1.2360715520015255</v>
      </c>
    </row>
    <row r="24" spans="2:10">
      <c r="B24" s="3" t="s">
        <v>136</v>
      </c>
      <c r="C24" s="25">
        <v>256.66699999999997</v>
      </c>
      <c r="D24" s="256">
        <f t="shared" si="0"/>
        <v>1.0490119546336976</v>
      </c>
      <c r="I24" s="3" t="s">
        <v>136</v>
      </c>
      <c r="J24" s="165">
        <f t="shared" si="1"/>
        <v>1.2123101138829693</v>
      </c>
    </row>
    <row r="25" spans="2:10">
      <c r="B25" s="3" t="s">
        <v>137</v>
      </c>
      <c r="C25" s="25">
        <v>259.43299999999999</v>
      </c>
      <c r="D25" s="256">
        <f t="shared" ref="D25:D30" si="2">C25/$C$22</f>
        <v>1.0603167467048125</v>
      </c>
      <c r="I25" s="3" t="s">
        <v>137</v>
      </c>
      <c r="J25" s="165">
        <f t="shared" si="1"/>
        <v>1.1993848122636674</v>
      </c>
    </row>
    <row r="26" spans="2:10">
      <c r="B26" s="3" t="s">
        <v>138</v>
      </c>
      <c r="C26" s="25">
        <v>264.99200000000002</v>
      </c>
      <c r="D26" s="256">
        <f t="shared" si="2"/>
        <v>1.0830366813119445</v>
      </c>
      <c r="I26" s="3" t="s">
        <v>138</v>
      </c>
      <c r="J26" s="165">
        <f t="shared" si="1"/>
        <v>1.1742241275208309</v>
      </c>
    </row>
    <row r="27" spans="2:10">
      <c r="B27" s="3" t="s">
        <v>139</v>
      </c>
      <c r="C27" s="25">
        <v>274.90800000000002</v>
      </c>
      <c r="D27" s="256">
        <f t="shared" si="2"/>
        <v>1.1235639113109226</v>
      </c>
      <c r="I27" s="3" t="s">
        <v>139</v>
      </c>
      <c r="J27" s="165">
        <f t="shared" si="1"/>
        <v>1.1318695709109956</v>
      </c>
    </row>
    <row r="28" spans="2:10" ht="14.5">
      <c r="B28" s="3" t="s">
        <v>140</v>
      </c>
      <c r="C28" s="25">
        <v>283.30799999999999</v>
      </c>
      <c r="D28" s="256">
        <f t="shared" si="2"/>
        <v>1.1578951670583426</v>
      </c>
      <c r="F28"/>
      <c r="I28" s="3" t="s">
        <v>140</v>
      </c>
      <c r="J28" s="165">
        <f t="shared" si="1"/>
        <v>1.0983099665381848</v>
      </c>
    </row>
    <row r="29" spans="2:10">
      <c r="B29" s="3" t="s">
        <v>141</v>
      </c>
      <c r="C29" s="25">
        <v>290.642</v>
      </c>
      <c r="D29" s="256">
        <f t="shared" si="2"/>
        <v>1.1878696229692449</v>
      </c>
      <c r="I29" s="3" t="s">
        <v>141</v>
      </c>
      <c r="J29" s="165">
        <f t="shared" si="1"/>
        <v>1.070595440438753</v>
      </c>
    </row>
    <row r="30" spans="2:10">
      <c r="B30" s="3" t="s">
        <v>126</v>
      </c>
      <c r="C30" s="25">
        <v>294.16699999999997</v>
      </c>
      <c r="D30" s="256">
        <f t="shared" si="2"/>
        <v>1.2022764892203943</v>
      </c>
      <c r="I30" s="3" t="s">
        <v>126</v>
      </c>
      <c r="J30" s="165">
        <f t="shared" si="1"/>
        <v>1.0577665067801625</v>
      </c>
    </row>
    <row r="31" spans="2:10" ht="14.5">
      <c r="B31" s="3" t="s">
        <v>142</v>
      </c>
      <c r="C31" s="25">
        <v>311.16000000000003</v>
      </c>
      <c r="D31" s="1118">
        <f>C31/$C$22</f>
        <v>1.2717278021865741</v>
      </c>
      <c r="G31"/>
      <c r="I31" s="3" t="s">
        <v>142</v>
      </c>
      <c r="J31" s="165">
        <f t="shared" si="1"/>
        <v>1</v>
      </c>
    </row>
    <row r="32" spans="2:10">
      <c r="B32" s="3" t="s">
        <v>143</v>
      </c>
      <c r="C32" s="27"/>
      <c r="D32" s="27"/>
    </row>
    <row r="35" spans="1:15">
      <c r="B35" s="4" t="s">
        <v>1357</v>
      </c>
      <c r="C35" s="1141">
        <f>C31/C22</f>
        <v>1.2717278021865741</v>
      </c>
    </row>
    <row r="36" spans="1:15" customFormat="1" ht="14.5"/>
    <row r="38" spans="1:15">
      <c r="A38" s="1" t="s">
        <v>144</v>
      </c>
    </row>
    <row r="39" spans="1:15">
      <c r="B39" s="1" t="s">
        <v>33</v>
      </c>
    </row>
    <row r="40" spans="1:15">
      <c r="C40" s="1143" t="s">
        <v>145</v>
      </c>
      <c r="D40" s="1143"/>
      <c r="E40" s="1143"/>
      <c r="F40" s="1143"/>
      <c r="G40" s="1143"/>
      <c r="H40" s="1143" t="s">
        <v>146</v>
      </c>
      <c r="I40" s="1143"/>
      <c r="J40" s="1143"/>
      <c r="K40" s="1143"/>
      <c r="L40" s="1143"/>
      <c r="M40" s="1143"/>
      <c r="N40" s="1143"/>
      <c r="O40" s="1143"/>
    </row>
    <row r="41" spans="1:15">
      <c r="B41" s="846" t="s">
        <v>147</v>
      </c>
      <c r="C41" s="832" t="s">
        <v>148</v>
      </c>
      <c r="D41" s="832" t="s">
        <v>149</v>
      </c>
      <c r="E41" s="832" t="s">
        <v>150</v>
      </c>
      <c r="F41" s="832" t="s">
        <v>151</v>
      </c>
      <c r="G41" s="832" t="s">
        <v>152</v>
      </c>
      <c r="H41" s="832" t="s">
        <v>153</v>
      </c>
      <c r="I41" s="832" t="s">
        <v>154</v>
      </c>
      <c r="J41" s="832" t="s">
        <v>155</v>
      </c>
      <c r="K41" s="832" t="s">
        <v>156</v>
      </c>
      <c r="L41" s="832" t="s">
        <v>157</v>
      </c>
      <c r="M41" s="832" t="s">
        <v>158</v>
      </c>
      <c r="N41" s="832" t="s">
        <v>159</v>
      </c>
      <c r="O41" s="833" t="s">
        <v>160</v>
      </c>
    </row>
    <row r="42" spans="1:15">
      <c r="B42" s="5" t="s">
        <v>161</v>
      </c>
      <c r="C42" s="52">
        <v>2359391</v>
      </c>
      <c r="D42" s="52">
        <v>2364446</v>
      </c>
      <c r="E42" s="52">
        <v>2368572</v>
      </c>
      <c r="F42" s="52">
        <v>2371790</v>
      </c>
      <c r="G42" s="52">
        <v>2375305</v>
      </c>
      <c r="H42" s="52">
        <v>2381080</v>
      </c>
      <c r="I42" s="52">
        <v>2383214</v>
      </c>
      <c r="J42" s="52">
        <v>2383887</v>
      </c>
      <c r="K42" s="52">
        <v>2393226</v>
      </c>
      <c r="L42" s="52">
        <v>2399715</v>
      </c>
      <c r="M42" s="52">
        <v>2405770</v>
      </c>
      <c r="N42" s="52">
        <v>2412196</v>
      </c>
      <c r="O42" s="550"/>
    </row>
    <row r="43" spans="1:15">
      <c r="B43" s="5" t="s">
        <v>162</v>
      </c>
      <c r="C43" s="52">
        <v>1575686</v>
      </c>
      <c r="D43" s="52">
        <v>1581420</v>
      </c>
      <c r="E43" s="52">
        <v>1583627</v>
      </c>
      <c r="F43" s="52">
        <v>1586437</v>
      </c>
      <c r="G43" s="52">
        <v>1590615</v>
      </c>
      <c r="H43" s="52">
        <v>1596374</v>
      </c>
      <c r="I43" s="52">
        <v>1600885</v>
      </c>
      <c r="J43" s="52">
        <v>1602128</v>
      </c>
      <c r="K43" s="52">
        <v>1606300</v>
      </c>
      <c r="L43" s="52">
        <v>1610820</v>
      </c>
      <c r="M43" s="52">
        <v>1614053</v>
      </c>
      <c r="N43" s="52">
        <v>1616140</v>
      </c>
      <c r="O43" s="550"/>
    </row>
    <row r="44" spans="1:15">
      <c r="B44" s="5" t="s">
        <v>163</v>
      </c>
      <c r="C44" s="52">
        <v>2258404</v>
      </c>
      <c r="D44" s="52">
        <v>2266464</v>
      </c>
      <c r="E44" s="52">
        <v>2272386</v>
      </c>
      <c r="F44" s="52">
        <v>2277373</v>
      </c>
      <c r="G44" s="52">
        <v>2284044</v>
      </c>
      <c r="H44" s="52">
        <v>2291522</v>
      </c>
      <c r="I44" s="52">
        <v>2298672</v>
      </c>
      <c r="J44" s="52">
        <v>2298786</v>
      </c>
      <c r="K44" s="52">
        <v>2306293</v>
      </c>
      <c r="L44" s="52">
        <v>2312147</v>
      </c>
      <c r="M44" s="52">
        <v>2318718</v>
      </c>
      <c r="N44" s="52">
        <v>2322737</v>
      </c>
      <c r="O44" s="550"/>
    </row>
    <row r="45" spans="1:15">
      <c r="B45" s="5" t="s">
        <v>164</v>
      </c>
      <c r="C45" s="52">
        <v>2446951</v>
      </c>
      <c r="D45" s="52">
        <v>2462123</v>
      </c>
      <c r="E45" s="52">
        <v>2469953</v>
      </c>
      <c r="F45" s="52">
        <v>2448930</v>
      </c>
      <c r="G45" s="52">
        <v>2455914</v>
      </c>
      <c r="H45" s="52">
        <v>2463217</v>
      </c>
      <c r="I45" s="52">
        <v>2470151</v>
      </c>
      <c r="J45" s="52">
        <v>2481944</v>
      </c>
      <c r="K45" s="52">
        <v>2491212</v>
      </c>
      <c r="L45" s="52">
        <v>2498337</v>
      </c>
      <c r="M45" s="52">
        <v>2505140</v>
      </c>
      <c r="N45" s="52">
        <v>2515482</v>
      </c>
      <c r="O45" s="550"/>
    </row>
    <row r="46" spans="1:15">
      <c r="B46" s="5" t="s">
        <v>165</v>
      </c>
      <c r="C46" s="52">
        <v>2614165</v>
      </c>
      <c r="D46" s="52">
        <v>2623103</v>
      </c>
      <c r="E46" s="52">
        <v>2619183</v>
      </c>
      <c r="F46" s="52">
        <v>2604846</v>
      </c>
      <c r="G46" s="52">
        <v>2613507</v>
      </c>
      <c r="H46" s="52">
        <v>2622449</v>
      </c>
      <c r="I46" s="52">
        <v>2631017</v>
      </c>
      <c r="J46" s="52">
        <v>2647059</v>
      </c>
      <c r="K46" s="52">
        <v>2658397</v>
      </c>
      <c r="L46" s="52">
        <v>2665558</v>
      </c>
      <c r="M46" s="52">
        <v>2674911</v>
      </c>
      <c r="N46" s="52">
        <v>2686722</v>
      </c>
      <c r="O46" s="550"/>
    </row>
    <row r="47" spans="1:15">
      <c r="B47" s="5" t="s">
        <v>166</v>
      </c>
      <c r="C47" s="52">
        <v>1099333</v>
      </c>
      <c r="D47" s="52">
        <v>1103465</v>
      </c>
      <c r="E47" s="52">
        <v>1108168</v>
      </c>
      <c r="F47" s="52">
        <v>1113015</v>
      </c>
      <c r="G47" s="52">
        <v>1117685</v>
      </c>
      <c r="H47" s="52">
        <v>1122920</v>
      </c>
      <c r="I47" s="52">
        <v>1128284</v>
      </c>
      <c r="J47" s="52">
        <v>1133101</v>
      </c>
      <c r="K47" s="52">
        <v>1137812</v>
      </c>
      <c r="L47" s="52">
        <v>1142731</v>
      </c>
      <c r="M47" s="52">
        <v>1147345</v>
      </c>
      <c r="N47" s="52">
        <v>1151120</v>
      </c>
      <c r="O47" s="550"/>
    </row>
    <row r="48" spans="1:15">
      <c r="B48" s="5" t="s">
        <v>167</v>
      </c>
      <c r="C48" s="52">
        <v>1541188</v>
      </c>
      <c r="D48" s="52">
        <v>1551046</v>
      </c>
      <c r="E48" s="52">
        <v>1561137</v>
      </c>
      <c r="F48" s="52">
        <v>1570645</v>
      </c>
      <c r="G48" s="52">
        <v>1579687</v>
      </c>
      <c r="H48" s="52">
        <v>1590050</v>
      </c>
      <c r="I48" s="52">
        <v>1600520</v>
      </c>
      <c r="J48" s="52">
        <v>1613218</v>
      </c>
      <c r="K48" s="52">
        <v>1624131</v>
      </c>
      <c r="L48" s="52">
        <v>1628987</v>
      </c>
      <c r="M48" s="52">
        <v>1636981</v>
      </c>
      <c r="N48" s="52">
        <v>1646359</v>
      </c>
      <c r="O48" s="550"/>
    </row>
    <row r="49" spans="2:15">
      <c r="B49" s="5" t="s">
        <v>168</v>
      </c>
      <c r="C49" s="52">
        <v>2251892</v>
      </c>
      <c r="D49" s="52">
        <v>2267440</v>
      </c>
      <c r="E49" s="52">
        <v>2279053</v>
      </c>
      <c r="F49" s="52">
        <v>2286322</v>
      </c>
      <c r="G49" s="52">
        <v>2298560</v>
      </c>
      <c r="H49" s="52">
        <v>2311906</v>
      </c>
      <c r="I49" s="52">
        <v>2330356</v>
      </c>
      <c r="J49" s="52">
        <v>2345807</v>
      </c>
      <c r="K49" s="52">
        <v>2357951</v>
      </c>
      <c r="L49" s="52">
        <v>2369157</v>
      </c>
      <c r="M49" s="52">
        <v>2375701</v>
      </c>
      <c r="N49" s="52">
        <v>2384532</v>
      </c>
      <c r="O49" s="550"/>
    </row>
    <row r="50" spans="2:15">
      <c r="B50" s="5" t="s">
        <v>169</v>
      </c>
      <c r="C50" s="52">
        <v>2233288</v>
      </c>
      <c r="D50" s="52">
        <v>2247823</v>
      </c>
      <c r="E50" s="52">
        <v>2257968</v>
      </c>
      <c r="F50" s="52">
        <v>2262882</v>
      </c>
      <c r="G50" s="52">
        <v>2271189</v>
      </c>
      <c r="H50" s="52">
        <v>2281009</v>
      </c>
      <c r="I50" s="52">
        <v>2288599</v>
      </c>
      <c r="J50" s="52">
        <v>2296864</v>
      </c>
      <c r="K50" s="52">
        <v>2304887</v>
      </c>
      <c r="L50" s="52">
        <v>2311511</v>
      </c>
      <c r="M50" s="52">
        <v>2319494</v>
      </c>
      <c r="N50" s="52">
        <v>2327062</v>
      </c>
      <c r="O50" s="550"/>
    </row>
    <row r="51" spans="2:15">
      <c r="B51" s="5" t="s">
        <v>170</v>
      </c>
      <c r="C51" s="52">
        <v>3516859</v>
      </c>
      <c r="D51" s="52">
        <v>3537357</v>
      </c>
      <c r="E51" s="52">
        <v>3556281</v>
      </c>
      <c r="F51" s="52">
        <v>3565115</v>
      </c>
      <c r="G51" s="52">
        <v>3581606</v>
      </c>
      <c r="H51" s="52">
        <v>3599594</v>
      </c>
      <c r="I51" s="52">
        <v>3614431</v>
      </c>
      <c r="J51" s="52">
        <v>3627858</v>
      </c>
      <c r="K51" s="52">
        <v>3638189</v>
      </c>
      <c r="L51" s="52">
        <v>3653242</v>
      </c>
      <c r="M51" s="52">
        <v>3664189</v>
      </c>
      <c r="N51" s="52">
        <v>3678637</v>
      </c>
      <c r="O51" s="550"/>
    </row>
    <row r="52" spans="2:15">
      <c r="B52" s="5" t="s">
        <v>171</v>
      </c>
      <c r="C52" s="52">
        <v>1992998</v>
      </c>
      <c r="D52" s="52">
        <v>1994241</v>
      </c>
      <c r="E52" s="52">
        <v>1996169</v>
      </c>
      <c r="F52" s="52">
        <v>1996758</v>
      </c>
      <c r="G52" s="52">
        <v>1998881</v>
      </c>
      <c r="H52" s="52">
        <v>2002257</v>
      </c>
      <c r="I52" s="52">
        <v>2004462</v>
      </c>
      <c r="J52" s="52">
        <v>2007341</v>
      </c>
      <c r="K52" s="52">
        <v>2002889</v>
      </c>
      <c r="L52" s="52">
        <v>2008433</v>
      </c>
      <c r="M52" s="52">
        <v>2010896</v>
      </c>
      <c r="N52" s="52">
        <v>2016358</v>
      </c>
      <c r="O52" s="550"/>
    </row>
    <row r="53" spans="2:15">
      <c r="B53" s="5" t="s">
        <v>172</v>
      </c>
      <c r="C53" s="52">
        <v>1485153</v>
      </c>
      <c r="D53" s="52">
        <v>1487412</v>
      </c>
      <c r="E53" s="52">
        <v>1490883</v>
      </c>
      <c r="F53" s="52">
        <v>1494271</v>
      </c>
      <c r="G53" s="52">
        <v>1499500</v>
      </c>
      <c r="H53" s="52">
        <v>1503914</v>
      </c>
      <c r="I53" s="52">
        <v>1508672</v>
      </c>
      <c r="J53" s="52">
        <v>1512961</v>
      </c>
      <c r="K53" s="52">
        <v>1512275</v>
      </c>
      <c r="L53" s="52">
        <v>1519557</v>
      </c>
      <c r="M53" s="52">
        <v>1523255</v>
      </c>
      <c r="N53" s="52">
        <v>1527950</v>
      </c>
      <c r="O53" s="550"/>
    </row>
    <row r="54" spans="2:15">
      <c r="B54" s="5" t="s">
        <v>28</v>
      </c>
      <c r="C54" s="52">
        <v>740768</v>
      </c>
      <c r="D54" s="52">
        <v>745907</v>
      </c>
      <c r="E54" s="52">
        <v>750446</v>
      </c>
      <c r="F54" s="52">
        <v>754258</v>
      </c>
      <c r="G54" s="52">
        <v>757906</v>
      </c>
      <c r="H54" s="52">
        <v>758000</v>
      </c>
      <c r="I54" s="52">
        <v>767082</v>
      </c>
      <c r="J54" s="52">
        <v>772984</v>
      </c>
      <c r="K54" s="52">
        <v>778304</v>
      </c>
      <c r="L54" s="52">
        <v>782536</v>
      </c>
      <c r="M54" s="52">
        <v>785183</v>
      </c>
      <c r="N54" s="52">
        <v>788261</v>
      </c>
      <c r="O54" s="550"/>
    </row>
    <row r="55" spans="2:15">
      <c r="B55" s="5" t="s">
        <v>173</v>
      </c>
      <c r="C55" s="52">
        <v>3026488</v>
      </c>
      <c r="D55" s="52">
        <v>3040102</v>
      </c>
      <c r="E55" s="52">
        <v>3054120</v>
      </c>
      <c r="F55" s="52">
        <v>3067274</v>
      </c>
      <c r="G55" s="52">
        <v>3082913</v>
      </c>
      <c r="H55" s="52">
        <v>3098577</v>
      </c>
      <c r="I55" s="52">
        <v>3032766</v>
      </c>
      <c r="J55" s="52">
        <v>3049924</v>
      </c>
      <c r="K55" s="52">
        <v>3067988</v>
      </c>
      <c r="L55" s="52">
        <v>3092275</v>
      </c>
      <c r="M55" s="52">
        <v>3110203</v>
      </c>
      <c r="N55" s="52">
        <v>3127424</v>
      </c>
      <c r="O55" s="550"/>
    </row>
    <row r="56" spans="2:15">
      <c r="B56" s="4" t="s">
        <v>174</v>
      </c>
      <c r="C56" s="59">
        <f>SUM(C42:C55)</f>
        <v>29142564</v>
      </c>
      <c r="D56" s="59">
        <f t="shared" ref="D56:M56" si="3">SUM(D42:D55)</f>
        <v>29272349</v>
      </c>
      <c r="E56" s="59">
        <f t="shared" si="3"/>
        <v>29367946</v>
      </c>
      <c r="F56" s="59">
        <f t="shared" si="3"/>
        <v>29399916</v>
      </c>
      <c r="G56" s="59">
        <f t="shared" si="3"/>
        <v>29507312</v>
      </c>
      <c r="H56" s="59">
        <f t="shared" si="3"/>
        <v>29622869</v>
      </c>
      <c r="I56" s="59">
        <f t="shared" si="3"/>
        <v>29659111</v>
      </c>
      <c r="J56" s="59">
        <f t="shared" si="3"/>
        <v>29773862</v>
      </c>
      <c r="K56" s="59">
        <f t="shared" si="3"/>
        <v>29879854</v>
      </c>
      <c r="L56" s="59">
        <f t="shared" si="3"/>
        <v>29995006</v>
      </c>
      <c r="M56" s="59">
        <f t="shared" si="3"/>
        <v>30091839</v>
      </c>
      <c r="N56" s="59">
        <f>SUM(N42:N55)</f>
        <v>30200980</v>
      </c>
      <c r="O56" s="834"/>
    </row>
    <row r="58" spans="2:15">
      <c r="B58" s="1" t="s">
        <v>175</v>
      </c>
    </row>
    <row r="59" spans="2:15">
      <c r="C59" s="1143" t="s">
        <v>145</v>
      </c>
      <c r="D59" s="1143"/>
      <c r="E59" s="1143"/>
      <c r="F59" s="1143"/>
      <c r="G59" s="1143"/>
      <c r="H59" s="1143" t="s">
        <v>146</v>
      </c>
      <c r="I59" s="1143"/>
      <c r="J59" s="1143"/>
      <c r="K59" s="1143"/>
      <c r="L59" s="1143"/>
      <c r="M59" s="1143"/>
      <c r="N59" s="1143"/>
      <c r="O59" s="1143"/>
    </row>
    <row r="60" spans="2:15">
      <c r="B60" s="5"/>
      <c r="C60" s="166">
        <v>2011</v>
      </c>
      <c r="D60" s="166">
        <v>2012</v>
      </c>
      <c r="E60" s="166">
        <v>2013</v>
      </c>
      <c r="F60" s="166">
        <v>2014</v>
      </c>
      <c r="G60" s="166">
        <v>2015</v>
      </c>
      <c r="H60" s="166">
        <v>2016</v>
      </c>
      <c r="I60" s="166">
        <v>2017</v>
      </c>
      <c r="J60" s="166">
        <v>2018</v>
      </c>
      <c r="K60" s="166">
        <v>2019</v>
      </c>
      <c r="L60" s="166">
        <v>2020</v>
      </c>
      <c r="M60" s="166">
        <v>2021</v>
      </c>
      <c r="N60" s="166">
        <v>2022</v>
      </c>
      <c r="O60" s="166">
        <v>2023</v>
      </c>
    </row>
    <row r="61" spans="2:15">
      <c r="B61" s="5" t="s">
        <v>161</v>
      </c>
      <c r="C61" s="52">
        <v>56952.256500000003</v>
      </c>
      <c r="D61" s="52">
        <v>57115.771616693863</v>
      </c>
      <c r="E61" s="52">
        <v>57296.447430266184</v>
      </c>
      <c r="F61" s="52">
        <v>57547.744975918351</v>
      </c>
      <c r="G61" s="52">
        <v>57722.148822761133</v>
      </c>
      <c r="H61" s="52">
        <v>57946.367779226537</v>
      </c>
      <c r="I61" s="52">
        <v>57090.455839754562</v>
      </c>
      <c r="J61" s="52">
        <v>57324.150313118742</v>
      </c>
      <c r="K61" s="52">
        <v>57348.877268724129</v>
      </c>
      <c r="L61" s="52">
        <v>57432.086819622629</v>
      </c>
      <c r="M61" s="52">
        <v>57415.293031994966</v>
      </c>
      <c r="N61" s="52">
        <v>57694.514275629117</v>
      </c>
      <c r="O61" s="27"/>
    </row>
    <row r="62" spans="2:15">
      <c r="B62" s="5" t="s">
        <v>162</v>
      </c>
      <c r="C62" s="52">
        <v>40159.667000000016</v>
      </c>
      <c r="D62" s="52">
        <v>40351.758999999991</v>
      </c>
      <c r="E62" s="52">
        <v>40668.071000000011</v>
      </c>
      <c r="F62" s="52">
        <v>40787.159999000003</v>
      </c>
      <c r="G62" s="52">
        <v>41012.91717905632</v>
      </c>
      <c r="H62" s="52">
        <v>41243.508564524876</v>
      </c>
      <c r="I62" s="52">
        <v>41503.335225747483</v>
      </c>
      <c r="J62" s="52">
        <v>41704.939999999995</v>
      </c>
      <c r="K62" s="52">
        <v>41839.145999999986</v>
      </c>
      <c r="L62" s="52">
        <v>41922.931551430702</v>
      </c>
      <c r="M62" s="52">
        <v>42001.703496105823</v>
      </c>
      <c r="N62" s="52">
        <v>42100.80948048248</v>
      </c>
      <c r="O62" s="27"/>
    </row>
    <row r="63" spans="2:15">
      <c r="B63" s="5" t="s">
        <v>163</v>
      </c>
      <c r="C63" s="52">
        <v>52782.961926666656</v>
      </c>
      <c r="D63" s="52">
        <v>52946.188226666665</v>
      </c>
      <c r="E63" s="52">
        <v>53163.735402583865</v>
      </c>
      <c r="F63" s="52">
        <v>53299.514327041921</v>
      </c>
      <c r="G63" s="52">
        <v>53567.082693163422</v>
      </c>
      <c r="H63" s="52">
        <v>53873.210402267505</v>
      </c>
      <c r="I63" s="52">
        <v>54094.265093800197</v>
      </c>
      <c r="J63" s="52">
        <v>54318.595839984468</v>
      </c>
      <c r="K63" s="52">
        <v>54653.815429421331</v>
      </c>
      <c r="L63" s="52">
        <v>54890.935429421334</v>
      </c>
      <c r="M63" s="52">
        <v>55119.956429421327</v>
      </c>
      <c r="N63" s="52">
        <v>55091.783255567432</v>
      </c>
      <c r="O63" s="27"/>
    </row>
    <row r="64" spans="2:15">
      <c r="B64" s="5" t="s">
        <v>164</v>
      </c>
      <c r="C64" s="52">
        <v>63459.140749999999</v>
      </c>
      <c r="D64" s="52">
        <v>64111.492048000007</v>
      </c>
      <c r="E64" s="52">
        <v>64147.940481999991</v>
      </c>
      <c r="F64" s="52">
        <v>64280.343775000001</v>
      </c>
      <c r="G64" s="52">
        <v>64590.589907000001</v>
      </c>
      <c r="H64" s="52">
        <v>64268.963857000002</v>
      </c>
      <c r="I64" s="52">
        <v>64575.202520999999</v>
      </c>
      <c r="J64" s="52">
        <v>64878.788410999994</v>
      </c>
      <c r="K64" s="52">
        <v>65153.472103457003</v>
      </c>
      <c r="L64" s="52">
        <v>65363.597202456986</v>
      </c>
      <c r="M64" s="52">
        <v>65570.050743457003</v>
      </c>
      <c r="N64" s="52">
        <v>65765.192433456978</v>
      </c>
      <c r="O64" s="27"/>
    </row>
    <row r="65" spans="2:17">
      <c r="B65" s="5" t="s">
        <v>165</v>
      </c>
      <c r="C65" s="52">
        <v>71700.131859999994</v>
      </c>
      <c r="D65" s="52">
        <v>71919.771657000005</v>
      </c>
      <c r="E65" s="52">
        <v>72058.562583000021</v>
      </c>
      <c r="F65" s="52">
        <v>72381.28257700002</v>
      </c>
      <c r="G65" s="52">
        <v>72761.459731000024</v>
      </c>
      <c r="H65" s="52">
        <v>72976.368962000022</v>
      </c>
      <c r="I65" s="52">
        <v>73379.486562999999</v>
      </c>
      <c r="J65" s="52">
        <v>73745.456160000002</v>
      </c>
      <c r="K65" s="52">
        <v>74111.285952555991</v>
      </c>
      <c r="L65" s="52">
        <v>74399.808828556008</v>
      </c>
      <c r="M65" s="52">
        <v>74750.619726556004</v>
      </c>
      <c r="N65" s="52">
        <v>75070.712237556014</v>
      </c>
      <c r="O65" s="27"/>
    </row>
    <row r="66" spans="2:17">
      <c r="B66" s="5" t="s">
        <v>166</v>
      </c>
      <c r="C66" s="52">
        <v>35162.267790000005</v>
      </c>
      <c r="D66" s="52">
        <v>35298.91906800001</v>
      </c>
      <c r="E66" s="52">
        <v>35362.008417000012</v>
      </c>
      <c r="F66" s="52">
        <v>35458.700528000008</v>
      </c>
      <c r="G66" s="52">
        <v>35632.419608000011</v>
      </c>
      <c r="H66" s="52">
        <v>35612.300174999989</v>
      </c>
      <c r="I66" s="52">
        <v>35789.687909999986</v>
      </c>
      <c r="J66" s="52">
        <v>35678.696512000002</v>
      </c>
      <c r="K66" s="52">
        <v>35758.722171539986</v>
      </c>
      <c r="L66" s="52">
        <v>35832.16687453998</v>
      </c>
      <c r="M66" s="52">
        <v>35927.355572539986</v>
      </c>
      <c r="N66" s="52">
        <v>36052.248051539988</v>
      </c>
      <c r="O66" s="27"/>
    </row>
    <row r="67" spans="2:17">
      <c r="B67" s="5" t="s">
        <v>167</v>
      </c>
      <c r="C67" s="52">
        <v>50183.206113000007</v>
      </c>
      <c r="D67" s="52">
        <v>50440.857657000008</v>
      </c>
      <c r="E67" s="52">
        <v>50584.057823000003</v>
      </c>
      <c r="F67" s="52">
        <v>50761.223685000012</v>
      </c>
      <c r="G67" s="52">
        <v>51050.234705000003</v>
      </c>
      <c r="H67" s="52">
        <v>50247.791925000012</v>
      </c>
      <c r="I67" s="52">
        <v>50450.120552000008</v>
      </c>
      <c r="J67" s="52">
        <v>50609.999136000013</v>
      </c>
      <c r="K67" s="52">
        <v>50798.960359924014</v>
      </c>
      <c r="L67" s="52">
        <v>50935.804368924022</v>
      </c>
      <c r="M67" s="52">
        <v>51090.624071924016</v>
      </c>
      <c r="N67" s="52">
        <v>51234.261611924005</v>
      </c>
      <c r="O67" s="27"/>
    </row>
    <row r="68" spans="2:17">
      <c r="B68" s="5" t="s">
        <v>168</v>
      </c>
      <c r="C68" s="52">
        <v>36627.93</v>
      </c>
      <c r="D68" s="52">
        <v>36703.93</v>
      </c>
      <c r="E68" s="52">
        <v>36732.209999999992</v>
      </c>
      <c r="F68" s="52">
        <v>36822.660885999983</v>
      </c>
      <c r="G68" s="52">
        <v>36845.690535999987</v>
      </c>
      <c r="H68" s="52">
        <v>36932.862785999983</v>
      </c>
      <c r="I68" s="52">
        <v>37041.845405999986</v>
      </c>
      <c r="J68" s="52">
        <v>37159.641665999996</v>
      </c>
      <c r="K68" s="52">
        <v>37270.953296</v>
      </c>
      <c r="L68" s="52">
        <v>37456.535815999996</v>
      </c>
      <c r="M68" s="52">
        <v>37511.147456000006</v>
      </c>
      <c r="N68" s="52">
        <v>37580.334276000001</v>
      </c>
      <c r="O68" s="27"/>
    </row>
    <row r="69" spans="2:17">
      <c r="B69" s="5" t="s">
        <v>169</v>
      </c>
      <c r="C69" s="52">
        <v>52200</v>
      </c>
      <c r="D69" s="52">
        <v>52315.753337957998</v>
      </c>
      <c r="E69" s="52">
        <v>52449.362337958002</v>
      </c>
      <c r="F69" s="52">
        <v>52686.697737957998</v>
      </c>
      <c r="G69" s="52">
        <v>52805.846732958002</v>
      </c>
      <c r="H69" s="52">
        <v>52841.054692958009</v>
      </c>
      <c r="I69" s="52">
        <v>52924.032794999999</v>
      </c>
      <c r="J69" s="52">
        <v>53014.554055000015</v>
      </c>
      <c r="K69" s="52">
        <v>53134.233155000002</v>
      </c>
      <c r="L69" s="52">
        <v>53252.597175000003</v>
      </c>
      <c r="M69" s="52">
        <v>53396.968755000009</v>
      </c>
      <c r="N69" s="52">
        <v>53449.035165000008</v>
      </c>
      <c r="O69" s="27"/>
    </row>
    <row r="70" spans="2:17">
      <c r="B70" s="5" t="s">
        <v>170</v>
      </c>
      <c r="C70" s="52">
        <v>96266</v>
      </c>
      <c r="D70" s="52">
        <v>96408.800000005009</v>
      </c>
      <c r="E70" s="52">
        <v>96541.527000005008</v>
      </c>
      <c r="F70" s="52">
        <v>96767.731470005019</v>
      </c>
      <c r="G70" s="52">
        <v>96913.083139004986</v>
      </c>
      <c r="H70" s="52">
        <v>97261.385480004988</v>
      </c>
      <c r="I70" s="52">
        <v>97631.965539001991</v>
      </c>
      <c r="J70" s="52">
        <v>97817.459049001991</v>
      </c>
      <c r="K70" s="52">
        <v>98070.964289002004</v>
      </c>
      <c r="L70" s="52">
        <v>98393.938522182012</v>
      </c>
      <c r="M70" s="52">
        <v>98594.66180996201</v>
      </c>
      <c r="N70" s="52">
        <v>98792.588760002007</v>
      </c>
      <c r="O70" s="27"/>
    </row>
    <row r="71" spans="2:17">
      <c r="B71" s="5" t="s">
        <v>171</v>
      </c>
      <c r="C71" s="52">
        <v>63848.455602927686</v>
      </c>
      <c r="D71" s="52">
        <v>63943.000602927699</v>
      </c>
      <c r="E71" s="52">
        <v>57811.997736846046</v>
      </c>
      <c r="F71" s="52">
        <v>57324</v>
      </c>
      <c r="G71" s="52">
        <v>57628.899999999994</v>
      </c>
      <c r="H71" s="52">
        <v>57984.400000000009</v>
      </c>
      <c r="I71" s="52">
        <v>58303.899999999987</v>
      </c>
      <c r="J71" s="52">
        <v>58515.3</v>
      </c>
      <c r="K71" s="52">
        <v>58578.599999999991</v>
      </c>
      <c r="L71" s="52">
        <v>58696.800000000003</v>
      </c>
      <c r="M71" s="52">
        <v>58816.80000000001</v>
      </c>
      <c r="N71" s="52">
        <v>58997.3</v>
      </c>
      <c r="O71" s="27"/>
    </row>
    <row r="72" spans="2:17">
      <c r="B72" s="5" t="s">
        <v>172</v>
      </c>
      <c r="C72" s="52">
        <v>49669.097599999994</v>
      </c>
      <c r="D72" s="52">
        <v>49619.097599999986</v>
      </c>
      <c r="E72" s="52">
        <v>48454.395167842078</v>
      </c>
      <c r="F72" s="52">
        <v>46437.905000000006</v>
      </c>
      <c r="G72" s="52">
        <v>46589.903712130515</v>
      </c>
      <c r="H72" s="52">
        <v>46844.009730224265</v>
      </c>
      <c r="I72" s="52">
        <v>46947.000000000007</v>
      </c>
      <c r="J72" s="52">
        <v>47051.391123952562</v>
      </c>
      <c r="K72" s="52">
        <v>47151.000000000007</v>
      </c>
      <c r="L72" s="52">
        <v>47253.2</v>
      </c>
      <c r="M72" s="52">
        <v>47374.299999999996</v>
      </c>
      <c r="N72" s="52">
        <v>47500.9</v>
      </c>
      <c r="O72" s="27"/>
    </row>
    <row r="73" spans="2:17">
      <c r="B73" s="5" t="s">
        <v>28</v>
      </c>
      <c r="C73" s="52">
        <v>47024.219469999996</v>
      </c>
      <c r="D73" s="52">
        <v>47477.557989999994</v>
      </c>
      <c r="E73" s="52">
        <v>47676.322899523802</v>
      </c>
      <c r="F73" s="52">
        <v>48053.172696063913</v>
      </c>
      <c r="G73" s="52">
        <v>48407.807730349625</v>
      </c>
      <c r="H73" s="52">
        <v>48346.868000000009</v>
      </c>
      <c r="I73" s="52">
        <v>49026.469458</v>
      </c>
      <c r="J73" s="52">
        <v>49153.939138000002</v>
      </c>
      <c r="K73" s="52">
        <v>49356.677138000014</v>
      </c>
      <c r="L73" s="52">
        <v>49390.110138000011</v>
      </c>
      <c r="M73" s="52">
        <v>49348.797138000009</v>
      </c>
      <c r="N73" s="52">
        <v>49471.432138000004</v>
      </c>
      <c r="O73" s="27"/>
    </row>
    <row r="74" spans="2:17">
      <c r="B74" s="5" t="s">
        <v>173</v>
      </c>
      <c r="C74" s="52">
        <v>76219.639999999985</v>
      </c>
      <c r="D74" s="52">
        <v>76727.234299999996</v>
      </c>
      <c r="E74" s="52">
        <v>76965.986551000038</v>
      </c>
      <c r="F74" s="52">
        <v>76667.084951000012</v>
      </c>
      <c r="G74" s="52">
        <v>77077.071101000009</v>
      </c>
      <c r="H74" s="52">
        <v>77958.945150999978</v>
      </c>
      <c r="I74" s="52">
        <v>77378.554823170562</v>
      </c>
      <c r="J74" s="52">
        <v>77486.957672170567</v>
      </c>
      <c r="K74" s="52">
        <v>77710.035672170532</v>
      </c>
      <c r="L74" s="52">
        <v>77998.048672170553</v>
      </c>
      <c r="M74" s="52">
        <v>78149.136672170556</v>
      </c>
      <c r="N74" s="52">
        <v>78702.575672170569</v>
      </c>
      <c r="O74" s="27"/>
    </row>
    <row r="75" spans="2:17">
      <c r="B75" s="4" t="s">
        <v>174</v>
      </c>
      <c r="C75" s="59">
        <f t="shared" ref="C75" si="4">SUM(C61:C74)</f>
        <v>792254.97461259447</v>
      </c>
      <c r="D75" s="59">
        <f t="shared" ref="D75:N75" si="5">SUM(D61:D74)</f>
        <v>795380.13310425123</v>
      </c>
      <c r="E75" s="59">
        <f t="shared" si="5"/>
        <v>789912.62483102514</v>
      </c>
      <c r="F75" s="59">
        <f t="shared" si="5"/>
        <v>789275.22260798735</v>
      </c>
      <c r="G75" s="59">
        <f t="shared" si="5"/>
        <v>792605.15559742413</v>
      </c>
      <c r="H75" s="59">
        <f t="shared" si="5"/>
        <v>794338.03750520607</v>
      </c>
      <c r="I75" s="59">
        <f t="shared" si="5"/>
        <v>796136.32172647479</v>
      </c>
      <c r="J75" s="59">
        <f t="shared" si="5"/>
        <v>798459.86907622847</v>
      </c>
      <c r="K75" s="59">
        <f t="shared" si="5"/>
        <v>800936.74283579504</v>
      </c>
      <c r="L75" s="59">
        <f t="shared" si="5"/>
        <v>803218.5613983043</v>
      </c>
      <c r="M75" s="59">
        <f t="shared" si="5"/>
        <v>805067.4149031319</v>
      </c>
      <c r="N75" s="59">
        <f t="shared" si="5"/>
        <v>807503.68735732872</v>
      </c>
      <c r="O75" s="27"/>
    </row>
    <row r="77" spans="2:17">
      <c r="B77" s="1" t="s">
        <v>176</v>
      </c>
      <c r="C77" s="1"/>
      <c r="D77" s="1"/>
      <c r="E77" s="1"/>
      <c r="F77" s="1"/>
      <c r="G77" s="1"/>
      <c r="H77" s="1"/>
      <c r="I77" s="1"/>
      <c r="J77" s="1"/>
      <c r="K77" s="1"/>
      <c r="L77" s="1"/>
      <c r="M77" s="1"/>
      <c r="N77" s="1"/>
      <c r="O77" s="1"/>
    </row>
    <row r="78" spans="2:17">
      <c r="C78" s="1143" t="s">
        <v>145</v>
      </c>
      <c r="D78" s="1143"/>
      <c r="E78" s="1143"/>
      <c r="F78" s="1143"/>
      <c r="G78" s="1143"/>
      <c r="H78" s="1143" t="s">
        <v>146</v>
      </c>
      <c r="I78" s="1143"/>
      <c r="J78" s="1143"/>
      <c r="K78" s="1143"/>
      <c r="L78" s="1143"/>
      <c r="M78" s="1143"/>
      <c r="N78" s="1143"/>
      <c r="O78" s="1143"/>
    </row>
    <row r="79" spans="2:17">
      <c r="B79" s="5"/>
      <c r="C79" s="166">
        <v>2011</v>
      </c>
      <c r="D79" s="166">
        <v>2012</v>
      </c>
      <c r="E79" s="166">
        <v>2013</v>
      </c>
      <c r="F79" s="166">
        <v>2014</v>
      </c>
      <c r="G79" s="166">
        <v>2015</v>
      </c>
      <c r="H79" s="166">
        <v>2016</v>
      </c>
      <c r="I79" s="166">
        <v>2017</v>
      </c>
      <c r="J79" s="166">
        <v>2018</v>
      </c>
      <c r="K79" s="166">
        <v>2019</v>
      </c>
      <c r="L79" s="166">
        <v>2020</v>
      </c>
      <c r="M79" s="166">
        <v>2021</v>
      </c>
      <c r="N79" s="166">
        <v>2022</v>
      </c>
      <c r="O79" s="166">
        <v>2023</v>
      </c>
    </row>
    <row r="80" spans="2:17" ht="14.5">
      <c r="B80" s="5" t="s">
        <v>161</v>
      </c>
      <c r="C80" s="52">
        <v>23835.240000000005</v>
      </c>
      <c r="D80" s="52">
        <v>23367.42</v>
      </c>
      <c r="E80" s="52">
        <v>23484.006879054108</v>
      </c>
      <c r="F80" s="52">
        <v>22820</v>
      </c>
      <c r="G80" s="52">
        <v>22393</v>
      </c>
      <c r="H80" s="52">
        <v>22223.982317900001</v>
      </c>
      <c r="I80" s="52">
        <v>22059.599999999999</v>
      </c>
      <c r="J80" s="52">
        <v>21855.5</v>
      </c>
      <c r="K80" s="52">
        <v>21712.400000000001</v>
      </c>
      <c r="L80" s="52">
        <v>21372.053551450004</v>
      </c>
      <c r="M80" s="52">
        <v>20115</v>
      </c>
      <c r="N80" s="52">
        <v>20962.4528937</v>
      </c>
      <c r="O80" s="27"/>
      <c r="Q80"/>
    </row>
    <row r="81" spans="2:17" ht="14.5">
      <c r="B81" s="5" t="s">
        <v>162</v>
      </c>
      <c r="C81" s="52">
        <v>15795.568039</v>
      </c>
      <c r="D81" s="52">
        <v>15271.776647000001</v>
      </c>
      <c r="E81" s="52">
        <v>15489.97147</v>
      </c>
      <c r="F81" s="52">
        <v>15131.456553</v>
      </c>
      <c r="G81" s="52">
        <v>14984.0183284</v>
      </c>
      <c r="H81" s="52">
        <v>14861.889987800001</v>
      </c>
      <c r="I81" s="52">
        <v>14494.548007900001</v>
      </c>
      <c r="J81" s="52">
        <v>14414.141211400001</v>
      </c>
      <c r="K81" s="52">
        <v>14092.211493300001</v>
      </c>
      <c r="L81" s="52">
        <v>13849.7709323</v>
      </c>
      <c r="M81" s="52">
        <v>13156.822790499999</v>
      </c>
      <c r="N81" s="52">
        <v>13524.249918900001</v>
      </c>
      <c r="O81" s="27"/>
      <c r="Q81"/>
    </row>
    <row r="82" spans="2:17" ht="14.5">
      <c r="B82" s="5" t="s">
        <v>163</v>
      </c>
      <c r="C82" s="52">
        <v>23063.327530999999</v>
      </c>
      <c r="D82" s="52">
        <v>22570.844872999998</v>
      </c>
      <c r="E82" s="52">
        <v>22692.940408999999</v>
      </c>
      <c r="F82" s="52">
        <v>22438.351294</v>
      </c>
      <c r="G82" s="52">
        <v>22263.328870499998</v>
      </c>
      <c r="H82" s="52">
        <v>22012.4342435</v>
      </c>
      <c r="I82" s="52">
        <v>21674.853999999999</v>
      </c>
      <c r="J82" s="52">
        <v>21614.843346000001</v>
      </c>
      <c r="K82" s="52">
        <v>21387.845752199999</v>
      </c>
      <c r="L82" s="52">
        <v>21059.512806399998</v>
      </c>
      <c r="M82" s="52">
        <v>19987.069329400001</v>
      </c>
      <c r="N82" s="52">
        <v>20458.413751200002</v>
      </c>
      <c r="O82" s="27"/>
      <c r="Q82"/>
    </row>
    <row r="83" spans="2:17" ht="14.5">
      <c r="B83" s="5" t="s">
        <v>164</v>
      </c>
      <c r="C83" s="52">
        <v>24932.160369199999</v>
      </c>
      <c r="D83" s="52">
        <v>24247.7224594</v>
      </c>
      <c r="E83" s="52">
        <v>24682.022656299996</v>
      </c>
      <c r="F83" s="52">
        <v>24427.327903599999</v>
      </c>
      <c r="G83" s="52">
        <v>24212.9227039</v>
      </c>
      <c r="H83" s="52">
        <v>23941.294863080002</v>
      </c>
      <c r="I83" s="52">
        <v>23896.440088999996</v>
      </c>
      <c r="J83" s="52">
        <v>23772.670099600004</v>
      </c>
      <c r="K83" s="52">
        <v>23198.030306199998</v>
      </c>
      <c r="L83" s="52">
        <v>22877.671561799998</v>
      </c>
      <c r="M83" s="52">
        <v>21453.790872399997</v>
      </c>
      <c r="N83" s="52">
        <v>22019.0479977</v>
      </c>
      <c r="O83" s="27"/>
      <c r="Q83"/>
    </row>
    <row r="84" spans="2:17" ht="14.5">
      <c r="B84" s="5" t="s">
        <v>165</v>
      </c>
      <c r="C84" s="52">
        <v>27882.570168300001</v>
      </c>
      <c r="D84" s="52">
        <v>27073.079007699998</v>
      </c>
      <c r="E84" s="52">
        <v>27597.265513400002</v>
      </c>
      <c r="F84" s="52">
        <v>26794.973706999997</v>
      </c>
      <c r="G84" s="52">
        <v>26626.623978</v>
      </c>
      <c r="H84" s="52">
        <v>26424.308137400003</v>
      </c>
      <c r="I84" s="52">
        <v>26354.810654299996</v>
      </c>
      <c r="J84" s="52">
        <v>26187.577036800001</v>
      </c>
      <c r="K84" s="52">
        <v>25592.137966899998</v>
      </c>
      <c r="L84" s="52">
        <v>25292.019644300002</v>
      </c>
      <c r="M84" s="52">
        <v>24074.744432099997</v>
      </c>
      <c r="N84" s="52">
        <v>24926.202297800006</v>
      </c>
      <c r="O84" s="27"/>
      <c r="Q84"/>
    </row>
    <row r="85" spans="2:17" ht="14.5">
      <c r="B85" s="5" t="s">
        <v>166</v>
      </c>
      <c r="C85" s="52">
        <v>12110.703833149997</v>
      </c>
      <c r="D85" s="52">
        <v>11776.006430799998</v>
      </c>
      <c r="E85" s="52">
        <v>11769.627844999999</v>
      </c>
      <c r="F85" s="52">
        <v>11640.559190899998</v>
      </c>
      <c r="G85" s="52">
        <v>11490.9520601</v>
      </c>
      <c r="H85" s="52">
        <v>11333.0047997</v>
      </c>
      <c r="I85" s="52">
        <v>11177.171309700001</v>
      </c>
      <c r="J85" s="52">
        <v>11072.482304000001</v>
      </c>
      <c r="K85" s="52">
        <v>10939.202383600001</v>
      </c>
      <c r="L85" s="52">
        <v>10741.003705099998</v>
      </c>
      <c r="M85" s="52">
        <v>9986.8112594999984</v>
      </c>
      <c r="N85" s="52">
        <v>10433.2947196</v>
      </c>
      <c r="O85" s="27"/>
      <c r="Q85"/>
    </row>
    <row r="86" spans="2:17" ht="14.5">
      <c r="B86" s="5" t="s">
        <v>167</v>
      </c>
      <c r="C86" s="52">
        <v>14625.006989700001</v>
      </c>
      <c r="D86" s="52">
        <v>14078.274136499997</v>
      </c>
      <c r="E86" s="52">
        <v>14412.4513085</v>
      </c>
      <c r="F86" s="52">
        <v>13932.8079879</v>
      </c>
      <c r="G86" s="52">
        <v>13767.548067000002</v>
      </c>
      <c r="H86" s="52">
        <v>13561.178091400001</v>
      </c>
      <c r="I86" s="52">
        <v>13531.176227000004</v>
      </c>
      <c r="J86" s="52">
        <v>13505.562269199996</v>
      </c>
      <c r="K86" s="52">
        <v>13189.6522002</v>
      </c>
      <c r="L86" s="52">
        <v>13023.926612399999</v>
      </c>
      <c r="M86" s="52">
        <v>12410.774084000001</v>
      </c>
      <c r="N86" s="52">
        <v>12789.628254399999</v>
      </c>
      <c r="O86" s="27"/>
      <c r="Q86"/>
    </row>
    <row r="87" spans="2:17" ht="14.5">
      <c r="B87" s="5" t="s">
        <v>168</v>
      </c>
      <c r="C87" s="52">
        <v>29355</v>
      </c>
      <c r="D87" s="52">
        <v>28492.363018</v>
      </c>
      <c r="E87" s="52">
        <v>28722.3</v>
      </c>
      <c r="F87" s="52">
        <v>28006</v>
      </c>
      <c r="G87" s="52">
        <v>27632</v>
      </c>
      <c r="H87" s="52">
        <v>27442.399999999998</v>
      </c>
      <c r="I87" s="52">
        <v>27266</v>
      </c>
      <c r="J87" s="52">
        <v>27012</v>
      </c>
      <c r="K87" s="52">
        <v>26864</v>
      </c>
      <c r="L87" s="52">
        <v>25779</v>
      </c>
      <c r="M87" s="52">
        <v>22309.190724456006</v>
      </c>
      <c r="N87" s="52">
        <v>23801.839473113774</v>
      </c>
      <c r="O87" s="27"/>
      <c r="Q87"/>
    </row>
    <row r="88" spans="2:17" ht="14.5">
      <c r="B88" s="5" t="s">
        <v>169</v>
      </c>
      <c r="C88" s="52">
        <v>21694</v>
      </c>
      <c r="D88" s="52">
        <v>20813</v>
      </c>
      <c r="E88" s="52">
        <v>20994</v>
      </c>
      <c r="F88" s="52">
        <v>20508.407999999999</v>
      </c>
      <c r="G88" s="52">
        <v>19713</v>
      </c>
      <c r="H88" s="52">
        <v>19413.399999999998</v>
      </c>
      <c r="I88" s="52">
        <v>19468</v>
      </c>
      <c r="J88" s="52">
        <v>19373</v>
      </c>
      <c r="K88" s="52">
        <v>19379</v>
      </c>
      <c r="L88" s="52">
        <v>18763</v>
      </c>
      <c r="M88" s="52">
        <v>17921.516003710152</v>
      </c>
      <c r="N88" s="52">
        <v>18377.682340366831</v>
      </c>
      <c r="O88" s="27"/>
      <c r="Q88"/>
    </row>
    <row r="89" spans="2:17" ht="14.5">
      <c r="B89" s="5" t="s">
        <v>170</v>
      </c>
      <c r="C89" s="52">
        <v>34525</v>
      </c>
      <c r="D89" s="52">
        <v>34093</v>
      </c>
      <c r="E89" s="52">
        <v>35108</v>
      </c>
      <c r="F89" s="52">
        <v>33794</v>
      </c>
      <c r="G89" s="52">
        <v>32882</v>
      </c>
      <c r="H89" s="52">
        <v>32721</v>
      </c>
      <c r="I89" s="52">
        <v>33295</v>
      </c>
      <c r="J89" s="52">
        <v>33106</v>
      </c>
      <c r="K89" s="52">
        <v>32994</v>
      </c>
      <c r="L89" s="52">
        <v>31973</v>
      </c>
      <c r="M89" s="52">
        <v>30657.391503724553</v>
      </c>
      <c r="N89" s="52">
        <v>31566.647740828295</v>
      </c>
      <c r="O89" s="27"/>
      <c r="Q89"/>
    </row>
    <row r="90" spans="2:17" ht="14.5">
      <c r="B90" s="5" t="s">
        <v>171</v>
      </c>
      <c r="C90" s="52">
        <v>20023</v>
      </c>
      <c r="D90" s="52">
        <v>19341</v>
      </c>
      <c r="E90" s="52">
        <v>19537</v>
      </c>
      <c r="F90" s="52">
        <v>18943</v>
      </c>
      <c r="G90" s="52">
        <v>18589</v>
      </c>
      <c r="H90" s="52">
        <v>18348</v>
      </c>
      <c r="I90" s="52">
        <v>17961</v>
      </c>
      <c r="J90" s="52">
        <v>17833</v>
      </c>
      <c r="K90" s="52">
        <v>17266</v>
      </c>
      <c r="L90" s="52">
        <v>16920.727711282107</v>
      </c>
      <c r="M90" s="52">
        <v>15782.066436617952</v>
      </c>
      <c r="N90" s="52">
        <v>16169.728876640684</v>
      </c>
      <c r="O90" s="27"/>
      <c r="Q90"/>
    </row>
    <row r="91" spans="2:17" ht="14.5">
      <c r="B91" s="5" t="s">
        <v>172</v>
      </c>
      <c r="C91" s="52">
        <v>16195</v>
      </c>
      <c r="D91" s="52">
        <v>15787</v>
      </c>
      <c r="E91" s="52">
        <v>16065</v>
      </c>
      <c r="F91" s="52">
        <v>15997</v>
      </c>
      <c r="G91" s="52">
        <v>15742</v>
      </c>
      <c r="H91" s="52">
        <v>15449</v>
      </c>
      <c r="I91" s="52">
        <v>15211</v>
      </c>
      <c r="J91" s="52">
        <v>15118</v>
      </c>
      <c r="K91" s="52">
        <v>14655</v>
      </c>
      <c r="L91" s="52">
        <v>14377.938880265283</v>
      </c>
      <c r="M91" s="52">
        <v>13476.788615507783</v>
      </c>
      <c r="N91" s="52">
        <v>13607.93520661356</v>
      </c>
      <c r="O91" s="27"/>
      <c r="Q91"/>
    </row>
    <row r="92" spans="2:17" ht="14.5">
      <c r="B92" s="5" t="s">
        <v>28</v>
      </c>
      <c r="C92" s="52">
        <v>8521</v>
      </c>
      <c r="D92" s="52">
        <v>8117.4</v>
      </c>
      <c r="E92" s="52">
        <v>8333.7999999999993</v>
      </c>
      <c r="F92" s="52">
        <v>8075.6</v>
      </c>
      <c r="G92" s="52">
        <v>7818.5</v>
      </c>
      <c r="H92" s="52">
        <v>7859.7</v>
      </c>
      <c r="I92" s="52">
        <v>7427.8</v>
      </c>
      <c r="J92" s="52">
        <v>7662.7</v>
      </c>
      <c r="K92" s="52">
        <v>7461.9</v>
      </c>
      <c r="L92" s="52">
        <v>6996.6839146713137</v>
      </c>
      <c r="M92" s="52">
        <v>6868.6</v>
      </c>
      <c r="N92" s="52">
        <v>7178.2</v>
      </c>
      <c r="O92" s="27"/>
      <c r="Q92"/>
    </row>
    <row r="93" spans="2:17" ht="14.5">
      <c r="B93" s="5" t="s">
        <v>173</v>
      </c>
      <c r="C93" s="52">
        <v>33646.1</v>
      </c>
      <c r="D93" s="52">
        <v>32536.799999999999</v>
      </c>
      <c r="E93" s="52">
        <v>33207.300000000003</v>
      </c>
      <c r="F93" s="52">
        <v>32359.1</v>
      </c>
      <c r="G93" s="52">
        <v>31840.1</v>
      </c>
      <c r="H93" s="52">
        <v>31425.5</v>
      </c>
      <c r="I93" s="52">
        <v>30984.1</v>
      </c>
      <c r="J93" s="52">
        <v>31527.7</v>
      </c>
      <c r="K93" s="52">
        <v>30870.799999999999</v>
      </c>
      <c r="L93" s="52">
        <v>30641.734107094002</v>
      </c>
      <c r="M93" s="52">
        <v>29279.9</v>
      </c>
      <c r="N93" s="52">
        <v>30452.3</v>
      </c>
      <c r="O93" s="27"/>
      <c r="Q93"/>
    </row>
    <row r="94" spans="2:17">
      <c r="B94" s="4" t="s">
        <v>174</v>
      </c>
      <c r="C94" s="868">
        <f>SUM(C80:C93)</f>
        <v>306203.67693035002</v>
      </c>
      <c r="D94" s="868">
        <f t="shared" ref="D94:M94" si="6">SUM(D80:D93)</f>
        <v>297565.68657239998</v>
      </c>
      <c r="E94" s="868">
        <f t="shared" si="6"/>
        <v>302095.6860812541</v>
      </c>
      <c r="F94" s="868">
        <f t="shared" si="6"/>
        <v>294868.58463639993</v>
      </c>
      <c r="G94" s="868">
        <f t="shared" si="6"/>
        <v>289954.99400790001</v>
      </c>
      <c r="H94" s="868">
        <f t="shared" si="6"/>
        <v>287017.09244078002</v>
      </c>
      <c r="I94" s="868">
        <f t="shared" si="6"/>
        <v>284801.50028789998</v>
      </c>
      <c r="J94" s="868">
        <f t="shared" si="6"/>
        <v>284055.17626700003</v>
      </c>
      <c r="K94" s="868">
        <f t="shared" si="6"/>
        <v>279602.18010240002</v>
      </c>
      <c r="L94" s="868">
        <f t="shared" si="6"/>
        <v>273668.04342706269</v>
      </c>
      <c r="M94" s="868">
        <f t="shared" si="6"/>
        <v>257480.46605191645</v>
      </c>
      <c r="N94" s="868">
        <f>SUM(N80:N93)</f>
        <v>266267.62347086315</v>
      </c>
      <c r="O94" s="27"/>
    </row>
    <row r="95" spans="2:17" ht="14.5">
      <c r="B95"/>
      <c r="C95" s="177"/>
      <c r="D95"/>
      <c r="E95"/>
      <c r="F95"/>
      <c r="G95"/>
      <c r="H95"/>
      <c r="I95" s="177"/>
      <c r="J95"/>
      <c r="K95"/>
      <c r="L95"/>
      <c r="M95"/>
      <c r="N95"/>
      <c r="O95"/>
    </row>
    <row r="96" spans="2:17">
      <c r="B96" s="1" t="s">
        <v>177</v>
      </c>
      <c r="C96" s="1"/>
      <c r="D96" s="1"/>
      <c r="E96" s="1"/>
      <c r="F96" s="1"/>
      <c r="G96" s="1"/>
      <c r="H96" s="1"/>
      <c r="I96" s="1"/>
      <c r="J96" s="1"/>
      <c r="K96" s="1"/>
      <c r="L96" s="1"/>
      <c r="M96" s="1"/>
      <c r="N96" s="1"/>
      <c r="O96" s="1"/>
    </row>
    <row r="97" spans="2:15">
      <c r="C97" s="1143" t="s">
        <v>145</v>
      </c>
      <c r="D97" s="1143"/>
      <c r="E97" s="1143"/>
      <c r="F97" s="1143"/>
      <c r="G97" s="1143"/>
      <c r="H97" s="1143" t="s">
        <v>146</v>
      </c>
      <c r="I97" s="1143"/>
      <c r="J97" s="1143"/>
      <c r="K97" s="1143"/>
      <c r="L97" s="1143"/>
      <c r="M97" s="1143"/>
      <c r="N97" s="1143"/>
      <c r="O97" s="1143"/>
    </row>
    <row r="98" spans="2:15">
      <c r="B98" s="5"/>
      <c r="C98" s="166">
        <v>2011</v>
      </c>
      <c r="D98" s="166">
        <v>2012</v>
      </c>
      <c r="E98" s="166">
        <v>2013</v>
      </c>
      <c r="F98" s="166">
        <v>2014</v>
      </c>
      <c r="G98" s="166">
        <v>2015</v>
      </c>
      <c r="H98" s="166">
        <v>2016</v>
      </c>
      <c r="I98" s="166">
        <v>2017</v>
      </c>
      <c r="J98" s="166">
        <v>2018</v>
      </c>
      <c r="K98" s="166">
        <v>2019</v>
      </c>
      <c r="L98" s="166">
        <v>2020</v>
      </c>
      <c r="M98" s="166">
        <v>2021</v>
      </c>
      <c r="N98" s="166">
        <v>2022</v>
      </c>
      <c r="O98" s="166">
        <v>2023</v>
      </c>
    </row>
    <row r="99" spans="2:15">
      <c r="B99" s="5" t="s">
        <v>161</v>
      </c>
      <c r="C99" s="52">
        <v>4388.66</v>
      </c>
      <c r="D99" s="52">
        <v>4280.41</v>
      </c>
      <c r="E99" s="52">
        <v>4250.3999999999996</v>
      </c>
      <c r="F99" s="52">
        <v>4062.3505154639179</v>
      </c>
      <c r="G99" s="52">
        <v>4267</v>
      </c>
      <c r="H99" s="52">
        <v>4233</v>
      </c>
      <c r="I99" s="52">
        <v>4262</v>
      </c>
      <c r="J99" s="52">
        <v>4305</v>
      </c>
      <c r="K99" s="52">
        <v>4160</v>
      </c>
      <c r="L99" s="52">
        <v>4140</v>
      </c>
      <c r="M99" s="52">
        <v>4049</v>
      </c>
      <c r="N99" s="52">
        <v>4223</v>
      </c>
      <c r="O99" s="27"/>
    </row>
    <row r="100" spans="2:15">
      <c r="B100" s="5" t="s">
        <v>162</v>
      </c>
      <c r="C100" s="52">
        <v>2997</v>
      </c>
      <c r="D100" s="52">
        <v>2852</v>
      </c>
      <c r="E100" s="52">
        <v>2777</v>
      </c>
      <c r="F100" s="52">
        <v>2604</v>
      </c>
      <c r="G100" s="52">
        <v>2593</v>
      </c>
      <c r="H100" s="52">
        <v>2775</v>
      </c>
      <c r="I100" s="52">
        <v>2781.3392000000003</v>
      </c>
      <c r="J100" s="52">
        <v>2723.6719999999996</v>
      </c>
      <c r="K100" s="52">
        <v>2459.0740000000001</v>
      </c>
      <c r="L100" s="52">
        <v>2410.7035999999998</v>
      </c>
      <c r="M100" s="52">
        <v>2531.6999999999998</v>
      </c>
      <c r="N100" s="52">
        <v>2305.6896000000002</v>
      </c>
      <c r="O100" s="27"/>
    </row>
    <row r="101" spans="2:15">
      <c r="B101" s="5" t="s">
        <v>163</v>
      </c>
      <c r="C101" s="52">
        <v>4285</v>
      </c>
      <c r="D101" s="52">
        <v>4195</v>
      </c>
      <c r="E101" s="52">
        <v>4041</v>
      </c>
      <c r="F101" s="52">
        <v>4086</v>
      </c>
      <c r="G101" s="52">
        <v>3763</v>
      </c>
      <c r="H101" s="52">
        <v>4059.8029999999999</v>
      </c>
      <c r="I101" s="52">
        <v>3961.26</v>
      </c>
      <c r="J101" s="52">
        <v>3786.4519999999998</v>
      </c>
      <c r="K101" s="52">
        <v>3994.02</v>
      </c>
      <c r="L101" s="52">
        <v>3696.7076000000002</v>
      </c>
      <c r="M101" s="52">
        <v>3474.7</v>
      </c>
      <c r="N101" s="52">
        <v>3704.4480000000003</v>
      </c>
      <c r="O101" s="27"/>
    </row>
    <row r="102" spans="2:15">
      <c r="B102" s="5" t="s">
        <v>164</v>
      </c>
      <c r="C102" s="52">
        <v>4662.2315439340582</v>
      </c>
      <c r="D102" s="52">
        <v>4792.1384571428571</v>
      </c>
      <c r="E102" s="52">
        <v>4782.4592000000002</v>
      </c>
      <c r="F102" s="52">
        <v>4492</v>
      </c>
      <c r="G102" s="52">
        <v>4597.6000000000004</v>
      </c>
      <c r="H102" s="52">
        <v>4487.2</v>
      </c>
      <c r="I102" s="52">
        <v>4469.6000000000004</v>
      </c>
      <c r="J102" s="52">
        <v>4440</v>
      </c>
      <c r="K102" s="52">
        <v>4323.8</v>
      </c>
      <c r="L102" s="52">
        <v>4251</v>
      </c>
      <c r="M102" s="52">
        <v>4162</v>
      </c>
      <c r="N102" s="52">
        <v>4220.2</v>
      </c>
      <c r="O102" s="27"/>
    </row>
    <row r="103" spans="2:15">
      <c r="B103" s="5" t="s">
        <v>165</v>
      </c>
      <c r="C103" s="52">
        <v>5042.4508478319822</v>
      </c>
      <c r="D103" s="52">
        <v>5292.3975</v>
      </c>
      <c r="E103" s="52">
        <v>5293.0717999999997</v>
      </c>
      <c r="F103" s="52">
        <v>5056</v>
      </c>
      <c r="G103" s="52">
        <v>5012.2</v>
      </c>
      <c r="H103" s="52">
        <v>4968.3999999999996</v>
      </c>
      <c r="I103" s="52">
        <v>4961.6000000000004</v>
      </c>
      <c r="J103" s="52">
        <v>4801.8</v>
      </c>
      <c r="K103" s="52">
        <v>4769</v>
      </c>
      <c r="L103" s="52">
        <v>4699</v>
      </c>
      <c r="M103" s="52">
        <v>4692.3999999999996</v>
      </c>
      <c r="N103" s="52">
        <v>4769.2</v>
      </c>
      <c r="O103" s="27"/>
    </row>
    <row r="104" spans="2:15">
      <c r="B104" s="5" t="s">
        <v>166</v>
      </c>
      <c r="C104" s="52">
        <v>2152.6526031715616</v>
      </c>
      <c r="D104" s="52">
        <v>2117.6</v>
      </c>
      <c r="E104" s="52">
        <v>1999.5121999999999</v>
      </c>
      <c r="F104" s="52">
        <v>1992</v>
      </c>
      <c r="G104" s="52">
        <v>2012</v>
      </c>
      <c r="H104" s="52">
        <v>1970.4</v>
      </c>
      <c r="I104" s="52">
        <v>1946.4</v>
      </c>
      <c r="J104" s="52">
        <v>1914</v>
      </c>
      <c r="K104" s="52">
        <v>1897.6</v>
      </c>
      <c r="L104" s="52">
        <v>1824.2</v>
      </c>
      <c r="M104" s="52">
        <v>1761.4</v>
      </c>
      <c r="N104" s="52">
        <v>1801.4</v>
      </c>
      <c r="O104" s="27"/>
    </row>
    <row r="105" spans="2:15">
      <c r="B105" s="5" t="s">
        <v>167</v>
      </c>
      <c r="C105" s="52">
        <v>2903.6347285714287</v>
      </c>
      <c r="D105" s="52">
        <v>2854.9</v>
      </c>
      <c r="E105" s="52">
        <v>2754.5462000000002</v>
      </c>
      <c r="F105" s="52">
        <v>2594</v>
      </c>
      <c r="G105" s="52">
        <v>2583.8000000000002</v>
      </c>
      <c r="H105" s="52">
        <v>2536.8000000000002</v>
      </c>
      <c r="I105" s="52">
        <v>2590.8000000000002</v>
      </c>
      <c r="J105" s="52">
        <v>2565.8000000000002</v>
      </c>
      <c r="K105" s="52">
        <v>2486.8000000000002</v>
      </c>
      <c r="L105" s="52">
        <v>2462.6</v>
      </c>
      <c r="M105" s="52">
        <v>2446.4</v>
      </c>
      <c r="N105" s="52">
        <v>2459.8000000000002</v>
      </c>
      <c r="O105" s="27"/>
    </row>
    <row r="106" spans="2:15">
      <c r="B106" s="5" t="s">
        <v>168</v>
      </c>
      <c r="C106" s="52">
        <v>5203</v>
      </c>
      <c r="D106" s="52">
        <v>5125</v>
      </c>
      <c r="E106" s="52">
        <v>5167</v>
      </c>
      <c r="F106" s="52">
        <v>4820</v>
      </c>
      <c r="G106" s="52">
        <v>4952</v>
      </c>
      <c r="H106" s="52">
        <v>4833</v>
      </c>
      <c r="I106" s="52">
        <v>4915</v>
      </c>
      <c r="J106" s="52">
        <v>5189</v>
      </c>
      <c r="K106" s="52">
        <v>4780</v>
      </c>
      <c r="L106" s="52">
        <v>4389</v>
      </c>
      <c r="M106" s="52">
        <v>4448</v>
      </c>
      <c r="N106" s="52">
        <v>4313</v>
      </c>
      <c r="O106" s="27"/>
    </row>
    <row r="107" spans="2:15">
      <c r="B107" s="5" t="s">
        <v>169</v>
      </c>
      <c r="C107" s="52">
        <v>3976</v>
      </c>
      <c r="D107" s="52">
        <v>4108</v>
      </c>
      <c r="E107" s="52">
        <v>4107</v>
      </c>
      <c r="F107" s="52">
        <v>3672</v>
      </c>
      <c r="G107" s="52">
        <v>3795</v>
      </c>
      <c r="H107" s="52">
        <v>3809</v>
      </c>
      <c r="I107" s="52">
        <v>3923</v>
      </c>
      <c r="J107" s="52">
        <v>4022</v>
      </c>
      <c r="K107" s="52">
        <v>3672</v>
      </c>
      <c r="L107" s="52">
        <v>3526</v>
      </c>
      <c r="M107" s="52">
        <v>3592</v>
      </c>
      <c r="N107" s="52">
        <v>3567</v>
      </c>
      <c r="O107" s="27"/>
    </row>
    <row r="108" spans="2:15">
      <c r="B108" s="5" t="s">
        <v>170</v>
      </c>
      <c r="C108" s="52">
        <v>6966</v>
      </c>
      <c r="D108" s="52">
        <v>6407</v>
      </c>
      <c r="E108" s="52">
        <v>6408</v>
      </c>
      <c r="F108" s="52">
        <v>6096</v>
      </c>
      <c r="G108" s="52">
        <v>6267</v>
      </c>
      <c r="H108" s="52">
        <v>6236</v>
      </c>
      <c r="I108" s="52">
        <v>6441</v>
      </c>
      <c r="J108" s="52">
        <v>6573</v>
      </c>
      <c r="K108" s="52">
        <v>5926</v>
      </c>
      <c r="L108" s="52">
        <v>5401</v>
      </c>
      <c r="M108" s="52">
        <v>6129</v>
      </c>
      <c r="N108" s="52">
        <v>5270</v>
      </c>
      <c r="O108" s="27"/>
    </row>
    <row r="109" spans="2:15">
      <c r="B109" s="5" t="s">
        <v>171</v>
      </c>
      <c r="C109" s="52">
        <v>4024</v>
      </c>
      <c r="D109" s="52">
        <v>3611</v>
      </c>
      <c r="E109" s="52">
        <v>3673</v>
      </c>
      <c r="F109" s="52">
        <v>3426</v>
      </c>
      <c r="G109" s="52">
        <v>3414</v>
      </c>
      <c r="H109" s="52">
        <v>3626</v>
      </c>
      <c r="I109" s="52">
        <v>3563</v>
      </c>
      <c r="J109" s="52">
        <v>3575</v>
      </c>
      <c r="K109" s="52">
        <v>3437</v>
      </c>
      <c r="L109" s="52">
        <v>3384</v>
      </c>
      <c r="M109" s="52">
        <v>3132</v>
      </c>
      <c r="N109" s="52">
        <v>3203</v>
      </c>
      <c r="O109" s="27"/>
    </row>
    <row r="110" spans="2:15">
      <c r="B110" s="5" t="s">
        <v>172</v>
      </c>
      <c r="C110" s="52">
        <v>3320</v>
      </c>
      <c r="D110" s="52">
        <v>3197</v>
      </c>
      <c r="E110" s="52">
        <v>3245</v>
      </c>
      <c r="F110" s="52">
        <v>3023</v>
      </c>
      <c r="G110" s="52">
        <v>3127</v>
      </c>
      <c r="H110" s="52">
        <v>3014</v>
      </c>
      <c r="I110" s="52">
        <v>3022</v>
      </c>
      <c r="J110" s="52">
        <v>3039</v>
      </c>
      <c r="K110" s="52">
        <v>2967</v>
      </c>
      <c r="L110" s="52">
        <v>2929</v>
      </c>
      <c r="M110" s="52">
        <v>2674</v>
      </c>
      <c r="N110" s="52">
        <v>2690</v>
      </c>
      <c r="O110" s="27"/>
    </row>
    <row r="111" spans="2:15">
      <c r="B111" s="5" t="s">
        <v>28</v>
      </c>
      <c r="C111" s="52">
        <v>1633</v>
      </c>
      <c r="D111" s="52">
        <v>1559</v>
      </c>
      <c r="E111" s="52">
        <v>1518</v>
      </c>
      <c r="F111" s="52">
        <v>1518</v>
      </c>
      <c r="G111" s="52">
        <v>1514</v>
      </c>
      <c r="H111" s="52">
        <v>1417</v>
      </c>
      <c r="I111" s="52">
        <v>1497.2</v>
      </c>
      <c r="J111" s="52">
        <v>1564.5</v>
      </c>
      <c r="K111" s="52">
        <v>1429.5</v>
      </c>
      <c r="L111" s="52">
        <v>1416.0001999999999</v>
      </c>
      <c r="M111" s="52">
        <v>1400</v>
      </c>
      <c r="N111" s="52">
        <v>1377.1</v>
      </c>
      <c r="O111" s="27"/>
    </row>
    <row r="112" spans="2:15">
      <c r="B112" s="5" t="s">
        <v>173</v>
      </c>
      <c r="C112" s="52">
        <v>6692.8</v>
      </c>
      <c r="D112" s="52">
        <v>6395.7</v>
      </c>
      <c r="E112" s="52">
        <v>6387.1</v>
      </c>
      <c r="F112" s="52">
        <v>5916.3</v>
      </c>
      <c r="G112" s="52">
        <v>6005.4</v>
      </c>
      <c r="H112" s="52">
        <v>5971.2</v>
      </c>
      <c r="I112" s="52">
        <v>6079.3</v>
      </c>
      <c r="J112" s="52">
        <v>6293</v>
      </c>
      <c r="K112" s="52">
        <v>5883.7</v>
      </c>
      <c r="L112" s="52">
        <v>5584.9832000000006</v>
      </c>
      <c r="M112" s="52">
        <v>5699</v>
      </c>
      <c r="N112" s="52">
        <v>5709.5</v>
      </c>
      <c r="O112" s="27"/>
    </row>
    <row r="113" spans="2:15">
      <c r="B113" s="4" t="s">
        <v>174</v>
      </c>
      <c r="C113" s="868">
        <f>SUM(C99:C112)</f>
        <v>58246.429723509034</v>
      </c>
      <c r="D113" s="868">
        <f t="shared" ref="D113:N113" si="7">SUM(D99:D112)</f>
        <v>56787.145957142857</v>
      </c>
      <c r="E113" s="868">
        <f t="shared" si="7"/>
        <v>56403.089399999997</v>
      </c>
      <c r="F113" s="868">
        <f t="shared" si="7"/>
        <v>53357.650515463916</v>
      </c>
      <c r="G113" s="868">
        <f t="shared" si="7"/>
        <v>53903</v>
      </c>
      <c r="H113" s="868">
        <f t="shared" si="7"/>
        <v>53936.803</v>
      </c>
      <c r="I113" s="868">
        <f t="shared" si="7"/>
        <v>54413.499200000006</v>
      </c>
      <c r="J113" s="868">
        <f t="shared" si="7"/>
        <v>54792.224000000002</v>
      </c>
      <c r="K113" s="868">
        <f t="shared" si="7"/>
        <v>52185.493999999992</v>
      </c>
      <c r="L113" s="868">
        <f t="shared" si="7"/>
        <v>50114.19460000001</v>
      </c>
      <c r="M113" s="868">
        <f t="shared" si="7"/>
        <v>50191.600000000006</v>
      </c>
      <c r="N113" s="868">
        <f t="shared" si="7"/>
        <v>49613.337599999999</v>
      </c>
      <c r="O113" s="27"/>
    </row>
  </sheetData>
  <mergeCells count="8">
    <mergeCell ref="C78:G78"/>
    <mergeCell ref="H78:O78"/>
    <mergeCell ref="C97:G97"/>
    <mergeCell ref="H97:O97"/>
    <mergeCell ref="C40:G40"/>
    <mergeCell ref="H40:O40"/>
    <mergeCell ref="C59:G59"/>
    <mergeCell ref="H59:O59"/>
  </mergeCells>
  <phoneticPr fontId="254" type="noConversion"/>
  <conditionalFormatting sqref="D1">
    <cfRule type="containsText" dxfId="315" priority="1" operator="containsText" text="Red">
      <formula>NOT(ISERROR(SEARCH("Red",D1)))</formula>
    </cfRule>
    <cfRule type="containsText" dxfId="314" priority="2" operator="containsText" text="Amber">
      <formula>NOT(ISERROR(SEARCH("Amber",D1)))</formula>
    </cfRule>
    <cfRule type="containsText" dxfId="313" priority="3" operator="containsText" text="Green">
      <formula>NOT(ISERROR(SEARCH("Green",D1)))</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0000"/>
  </sheetPr>
  <dimension ref="A1:Z178"/>
  <sheetViews>
    <sheetView workbookViewId="0">
      <selection activeCell="A7" sqref="A7"/>
    </sheetView>
  </sheetViews>
  <sheetFormatPr defaultColWidth="9" defaultRowHeight="11.5"/>
  <cols>
    <col min="1" max="1" width="10.54296875" style="56" customWidth="1"/>
    <col min="2" max="2" width="2.81640625" style="267" customWidth="1"/>
    <col min="3" max="3" width="13.81640625" style="267" customWidth="1"/>
    <col min="4" max="4" width="10.54296875" style="267" customWidth="1"/>
    <col min="5" max="5" width="2.81640625" style="267" customWidth="1"/>
    <col min="6" max="8" width="10.54296875" style="56" customWidth="1"/>
    <col min="9" max="9" width="2.81640625" style="56" customWidth="1"/>
    <col min="10" max="13" width="10.54296875" style="56" customWidth="1"/>
    <col min="14" max="14" width="2.81640625" style="56" customWidth="1"/>
    <col min="15" max="18" width="13" style="56" customWidth="1"/>
    <col min="19" max="19" width="2.81640625" style="56" customWidth="1"/>
    <col min="20" max="21" width="10.54296875" style="56" customWidth="1"/>
    <col min="22" max="16384" width="9" style="56"/>
  </cols>
  <sheetData>
    <row r="1" spans="1:24" s="2" customFormat="1" ht="20.25" customHeight="1">
      <c r="A1" s="885" t="s">
        <v>191</v>
      </c>
      <c r="B1" s="885"/>
      <c r="C1" s="885"/>
      <c r="D1" s="885"/>
      <c r="E1" s="885"/>
      <c r="F1" s="885"/>
      <c r="G1" s="885"/>
      <c r="H1" s="885"/>
      <c r="I1" s="885"/>
      <c r="J1" s="56"/>
      <c r="K1" s="56"/>
      <c r="L1" s="56"/>
      <c r="M1" s="264"/>
      <c r="N1" s="56"/>
      <c r="O1" s="56"/>
      <c r="P1" s="56"/>
      <c r="Q1" s="56"/>
      <c r="R1" s="264"/>
      <c r="S1" s="264"/>
      <c r="T1" s="265"/>
      <c r="U1" s="264"/>
      <c r="V1" s="266"/>
    </row>
    <row r="2" spans="1:24" s="2" customFormat="1" ht="12" thickBot="1">
      <c r="A2" s="56"/>
      <c r="B2" s="267"/>
      <c r="C2" s="267"/>
      <c r="D2" s="267"/>
      <c r="E2" s="267"/>
      <c r="F2" s="56"/>
      <c r="G2" s="56"/>
      <c r="H2" s="56"/>
      <c r="I2" s="56"/>
      <c r="J2" s="264"/>
      <c r="K2" s="265"/>
      <c r="L2" s="264"/>
      <c r="M2" s="265"/>
      <c r="N2" s="56"/>
      <c r="O2" s="264"/>
      <c r="P2" s="265"/>
      <c r="Q2" s="264"/>
      <c r="R2" s="265"/>
      <c r="S2" s="265"/>
      <c r="T2" s="265"/>
      <c r="U2" s="264"/>
      <c r="V2" s="266"/>
    </row>
    <row r="3" spans="1:24" s="2" customFormat="1" ht="46.5" customHeight="1">
      <c r="A3" s="56"/>
      <c r="B3" s="269"/>
      <c r="C3" s="1148" t="s">
        <v>192</v>
      </c>
      <c r="D3" s="1149"/>
      <c r="E3" s="285"/>
      <c r="F3" s="1154" t="s">
        <v>14</v>
      </c>
      <c r="G3" s="1155"/>
      <c r="H3" s="1156"/>
      <c r="I3" s="286"/>
      <c r="J3" s="1148" t="s">
        <v>61</v>
      </c>
      <c r="K3" s="1157"/>
      <c r="L3" s="1157"/>
      <c r="M3" s="1149"/>
      <c r="N3" s="286"/>
      <c r="O3" s="1148" t="s">
        <v>193</v>
      </c>
      <c r="P3" s="1157"/>
      <c r="Q3" s="1157"/>
      <c r="R3" s="1149"/>
      <c r="S3" s="285"/>
      <c r="T3" s="1154" t="s">
        <v>194</v>
      </c>
      <c r="U3" s="1156"/>
      <c r="V3" s="266"/>
    </row>
    <row r="4" spans="1:24" ht="58" thickBot="1">
      <c r="A4" s="283"/>
      <c r="B4" s="284"/>
      <c r="C4" s="287" t="s">
        <v>195</v>
      </c>
      <c r="D4" s="288" t="s">
        <v>196</v>
      </c>
      <c r="E4" s="289"/>
      <c r="F4" s="287" t="s">
        <v>197</v>
      </c>
      <c r="G4" s="290" t="s">
        <v>198</v>
      </c>
      <c r="H4" s="288" t="s">
        <v>199</v>
      </c>
      <c r="I4" s="291"/>
      <c r="J4" s="292" t="s">
        <v>200</v>
      </c>
      <c r="K4" s="293" t="s">
        <v>201</v>
      </c>
      <c r="L4" s="293" t="s">
        <v>202</v>
      </c>
      <c r="M4" s="294" t="s">
        <v>203</v>
      </c>
      <c r="N4" s="291"/>
      <c r="O4" s="292" t="s">
        <v>204</v>
      </c>
      <c r="P4" s="293" t="s">
        <v>205</v>
      </c>
      <c r="Q4" s="293" t="s">
        <v>206</v>
      </c>
      <c r="R4" s="294" t="s">
        <v>207</v>
      </c>
      <c r="S4" s="291"/>
      <c r="T4" s="287" t="s">
        <v>208</v>
      </c>
      <c r="U4" s="288" t="s">
        <v>209</v>
      </c>
      <c r="V4" s="266"/>
      <c r="W4" s="2"/>
      <c r="X4" s="2"/>
    </row>
    <row r="5" spans="1:24" s="2" customFormat="1">
      <c r="A5" s="273" t="s">
        <v>161</v>
      </c>
      <c r="B5" s="280"/>
      <c r="C5" s="295">
        <v>1</v>
      </c>
      <c r="D5" s="296">
        <v>1</v>
      </c>
      <c r="E5" s="270"/>
      <c r="F5" s="295">
        <f>'Ch2 outputs - environment'!W76</f>
        <v>5</v>
      </c>
      <c r="G5" s="297">
        <f>'Ch2 outputs - environment'!W116</f>
        <v>6</v>
      </c>
      <c r="H5" s="296">
        <f>'Ch2 outputs - environment'!W155</f>
        <v>5</v>
      </c>
      <c r="I5" s="270"/>
      <c r="J5" s="295">
        <v>1</v>
      </c>
      <c r="K5" s="298">
        <f>'Ch2 outputs - connections'!DD42</f>
        <v>4</v>
      </c>
      <c r="L5" s="297">
        <v>1</v>
      </c>
      <c r="M5" s="299">
        <f>'Ch2 outputs - connections'!AZ85</f>
        <v>9</v>
      </c>
      <c r="N5" s="270"/>
      <c r="O5" s="295">
        <v>1</v>
      </c>
      <c r="P5" s="298">
        <f>'Ch2 outputs - cust sat'!BA43</f>
        <v>11</v>
      </c>
      <c r="Q5" s="297">
        <v>1</v>
      </c>
      <c r="R5" s="299">
        <f>'Ch2 outputs - cust sat'!AT23</f>
        <v>12</v>
      </c>
      <c r="S5" s="300"/>
      <c r="T5" s="295">
        <v>1</v>
      </c>
      <c r="U5" s="296">
        <f>'Ch2 outputs - cust sat'!K89</f>
        <v>5</v>
      </c>
      <c r="V5" s="266"/>
    </row>
    <row r="6" spans="1:24" s="2" customFormat="1">
      <c r="A6" s="271" t="s">
        <v>162</v>
      </c>
      <c r="B6" s="280"/>
      <c r="C6" s="301">
        <v>1</v>
      </c>
      <c r="D6" s="302">
        <v>1</v>
      </c>
      <c r="E6" s="270"/>
      <c r="F6" s="1084">
        <f>'Ch2 outputs - environment'!W77</f>
        <v>2</v>
      </c>
      <c r="G6" s="297">
        <f>'Ch2 outputs - environment'!W117</f>
        <v>3</v>
      </c>
      <c r="H6" s="1114">
        <f>'Ch2 outputs - environment'!W156</f>
        <v>3</v>
      </c>
      <c r="I6" s="270"/>
      <c r="J6" s="301">
        <v>0</v>
      </c>
      <c r="K6" s="298">
        <f>'Ch2 outputs - connections'!DD43</f>
        <v>14</v>
      </c>
      <c r="L6" s="268">
        <v>0.5</v>
      </c>
      <c r="M6" s="299">
        <f>'Ch2 outputs - connections'!AZ86</f>
        <v>14</v>
      </c>
      <c r="N6" s="270"/>
      <c r="O6" s="301">
        <v>1</v>
      </c>
      <c r="P6" s="298">
        <f>'Ch2 outputs - cust sat'!BA44</f>
        <v>14</v>
      </c>
      <c r="Q6" s="268">
        <v>1</v>
      </c>
      <c r="R6" s="299">
        <f>'Ch2 outputs - cust sat'!AT24</f>
        <v>11</v>
      </c>
      <c r="S6" s="300"/>
      <c r="T6" s="1144">
        <v>0</v>
      </c>
      <c r="U6" s="1146">
        <f>'Ch2 outputs - cust sat'!K90</f>
        <v>6</v>
      </c>
      <c r="V6" s="266"/>
    </row>
    <row r="7" spans="1:24" s="2" customFormat="1">
      <c r="A7" s="271" t="s">
        <v>163</v>
      </c>
      <c r="B7" s="280"/>
      <c r="C7" s="301">
        <v>1</v>
      </c>
      <c r="D7" s="302">
        <v>1</v>
      </c>
      <c r="E7" s="270"/>
      <c r="F7" s="1084">
        <f>'Ch2 outputs - environment'!W78</f>
        <v>4</v>
      </c>
      <c r="G7" s="297">
        <f>'Ch2 outputs - environment'!W118</f>
        <v>10</v>
      </c>
      <c r="H7" s="1114">
        <f>'Ch2 outputs - environment'!W157</f>
        <v>8</v>
      </c>
      <c r="I7" s="270"/>
      <c r="J7" s="301">
        <v>0</v>
      </c>
      <c r="K7" s="298">
        <f>'Ch2 outputs - connections'!DD44</f>
        <v>13</v>
      </c>
      <c r="L7" s="268">
        <v>0.5</v>
      </c>
      <c r="M7" s="299">
        <f>'Ch2 outputs - connections'!AZ87</f>
        <v>13</v>
      </c>
      <c r="N7" s="270"/>
      <c r="O7" s="301">
        <v>1</v>
      </c>
      <c r="P7" s="298">
        <f>'Ch2 outputs - cust sat'!BA45</f>
        <v>13</v>
      </c>
      <c r="Q7" s="268">
        <v>1</v>
      </c>
      <c r="R7" s="299">
        <f>'Ch2 outputs - cust sat'!AT25</f>
        <v>13</v>
      </c>
      <c r="S7" s="300"/>
      <c r="T7" s="1151"/>
      <c r="U7" s="1153"/>
      <c r="V7" s="266"/>
    </row>
    <row r="8" spans="1:24" s="2" customFormat="1">
      <c r="A8" s="271" t="s">
        <v>164</v>
      </c>
      <c r="B8" s="280"/>
      <c r="C8" s="301">
        <v>1</v>
      </c>
      <c r="D8" s="302">
        <v>1</v>
      </c>
      <c r="E8" s="270"/>
      <c r="F8" s="1084">
        <f>'Ch2 outputs - environment'!W79</f>
        <v>8</v>
      </c>
      <c r="G8" s="297">
        <f>'Ch2 outputs - environment'!W119</f>
        <v>11</v>
      </c>
      <c r="H8" s="1114">
        <f>'Ch2 outputs - environment'!W158</f>
        <v>7</v>
      </c>
      <c r="I8" s="270"/>
      <c r="J8" s="301">
        <v>1</v>
      </c>
      <c r="K8" s="298">
        <f>'Ch2 outputs - connections'!DD45</f>
        <v>1</v>
      </c>
      <c r="L8" s="268">
        <v>1</v>
      </c>
      <c r="M8" s="299">
        <f>'Ch2 outputs - connections'!AZ88</f>
        <v>3</v>
      </c>
      <c r="N8" s="270"/>
      <c r="O8" s="301">
        <v>1</v>
      </c>
      <c r="P8" s="298">
        <f>'Ch2 outputs - cust sat'!BA46</f>
        <v>2</v>
      </c>
      <c r="Q8" s="268">
        <v>1</v>
      </c>
      <c r="R8" s="299">
        <f>'Ch2 outputs - cust sat'!AT26</f>
        <v>9</v>
      </c>
      <c r="S8" s="300"/>
      <c r="T8" s="1144">
        <v>1</v>
      </c>
      <c r="U8" s="1146">
        <f>'Ch2 outputs - cust sat'!K91</f>
        <v>3</v>
      </c>
      <c r="V8" s="266"/>
    </row>
    <row r="9" spans="1:24" s="2" customFormat="1">
      <c r="A9" s="271" t="s">
        <v>165</v>
      </c>
      <c r="B9" s="280"/>
      <c r="C9" s="301">
        <v>1</v>
      </c>
      <c r="D9" s="302">
        <v>1</v>
      </c>
      <c r="E9" s="270"/>
      <c r="F9" s="1084">
        <f>'Ch2 outputs - environment'!W80</f>
        <v>6</v>
      </c>
      <c r="G9" s="297">
        <f>'Ch2 outputs - environment'!W120</f>
        <v>7</v>
      </c>
      <c r="H9" s="1114">
        <f>'Ch2 outputs - environment'!W159</f>
        <v>6</v>
      </c>
      <c r="I9" s="270"/>
      <c r="J9" s="301">
        <v>1</v>
      </c>
      <c r="K9" s="298">
        <f>'Ch2 outputs - connections'!DD46</f>
        <v>2</v>
      </c>
      <c r="L9" s="268">
        <v>1</v>
      </c>
      <c r="M9" s="299">
        <f>'Ch2 outputs - connections'!AZ89</f>
        <v>2</v>
      </c>
      <c r="N9" s="270"/>
      <c r="O9" s="301">
        <v>1</v>
      </c>
      <c r="P9" s="298">
        <f>'Ch2 outputs - cust sat'!BA47</f>
        <v>1</v>
      </c>
      <c r="Q9" s="268">
        <v>1</v>
      </c>
      <c r="R9" s="299">
        <f>'Ch2 outputs - cust sat'!AT27</f>
        <v>6</v>
      </c>
      <c r="S9" s="300"/>
      <c r="T9" s="1150"/>
      <c r="U9" s="1152"/>
      <c r="V9" s="266"/>
    </row>
    <row r="10" spans="1:24" s="2" customFormat="1">
      <c r="A10" s="271" t="s">
        <v>166</v>
      </c>
      <c r="B10" s="280"/>
      <c r="C10" s="301">
        <v>1</v>
      </c>
      <c r="D10" s="302">
        <v>1</v>
      </c>
      <c r="E10" s="270"/>
      <c r="F10" s="1084">
        <f>'Ch2 outputs - environment'!W81</f>
        <v>11</v>
      </c>
      <c r="G10" s="297">
        <f>'Ch2 outputs - environment'!W121</f>
        <v>12</v>
      </c>
      <c r="H10" s="1114">
        <f>'Ch2 outputs - environment'!W160</f>
        <v>2</v>
      </c>
      <c r="I10" s="270"/>
      <c r="J10" s="301">
        <v>1</v>
      </c>
      <c r="K10" s="298">
        <f>'Ch2 outputs - connections'!DD47</f>
        <v>3</v>
      </c>
      <c r="L10" s="268">
        <v>1</v>
      </c>
      <c r="M10" s="299">
        <f>'Ch2 outputs - connections'!AZ90</f>
        <v>1</v>
      </c>
      <c r="N10" s="270"/>
      <c r="O10" s="301">
        <v>1</v>
      </c>
      <c r="P10" s="298">
        <f>'Ch2 outputs - cust sat'!BA48</f>
        <v>12</v>
      </c>
      <c r="Q10" s="268">
        <v>1</v>
      </c>
      <c r="R10" s="299">
        <f>'Ch2 outputs - cust sat'!AT28</f>
        <v>4</v>
      </c>
      <c r="S10" s="300"/>
      <c r="T10" s="1150"/>
      <c r="U10" s="1152"/>
      <c r="V10" s="266"/>
    </row>
    <row r="11" spans="1:24" s="2" customFormat="1" ht="13">
      <c r="A11" s="271" t="s">
        <v>167</v>
      </c>
      <c r="B11" s="280"/>
      <c r="C11" s="301">
        <v>1</v>
      </c>
      <c r="D11" s="302">
        <v>1</v>
      </c>
      <c r="E11" s="270"/>
      <c r="F11" s="1084">
        <f>'Ch2 outputs - environment'!W82</f>
        <v>9</v>
      </c>
      <c r="G11" s="297">
        <f>'Ch2 outputs - environment'!W122</f>
        <v>8</v>
      </c>
      <c r="H11" s="1114">
        <f>'Ch2 outputs - environment'!W161</f>
        <v>13</v>
      </c>
      <c r="I11" s="303"/>
      <c r="J11" s="301">
        <v>0.5</v>
      </c>
      <c r="K11" s="298">
        <f>'Ch2 outputs - connections'!DD48</f>
        <v>9</v>
      </c>
      <c r="L11" s="268">
        <v>1</v>
      </c>
      <c r="M11" s="299">
        <f>'Ch2 outputs - connections'!AZ91</f>
        <v>4</v>
      </c>
      <c r="N11" s="303"/>
      <c r="O11" s="301">
        <v>1</v>
      </c>
      <c r="P11" s="298">
        <f>'Ch2 outputs - cust sat'!BA49</f>
        <v>9</v>
      </c>
      <c r="Q11" s="268">
        <v>1</v>
      </c>
      <c r="R11" s="299">
        <f>'Ch2 outputs - cust sat'!AT29</f>
        <v>10</v>
      </c>
      <c r="S11" s="300"/>
      <c r="T11" s="1151"/>
      <c r="U11" s="1153"/>
      <c r="V11" s="266"/>
    </row>
    <row r="12" spans="1:24" s="2" customFormat="1">
      <c r="A12" s="271" t="s">
        <v>168</v>
      </c>
      <c r="B12" s="280"/>
      <c r="C12" s="301">
        <v>1</v>
      </c>
      <c r="D12" s="302">
        <v>1</v>
      </c>
      <c r="E12" s="270"/>
      <c r="F12" s="1084">
        <f>'Ch2 outputs - environment'!W83</f>
        <v>12</v>
      </c>
      <c r="G12" s="297">
        <f>'Ch2 outputs - environment'!W123</f>
        <v>5</v>
      </c>
      <c r="H12" s="1114">
        <f>'Ch2 outputs - environment'!W162</f>
        <v>12</v>
      </c>
      <c r="I12" s="270"/>
      <c r="J12" s="301">
        <v>1</v>
      </c>
      <c r="K12" s="298">
        <f>'Ch2 outputs - connections'!DD49</f>
        <v>7</v>
      </c>
      <c r="L12" s="268">
        <v>1</v>
      </c>
      <c r="M12" s="299">
        <f>'Ch2 outputs - connections'!AZ92</f>
        <v>5</v>
      </c>
      <c r="N12" s="270"/>
      <c r="O12" s="301">
        <v>1</v>
      </c>
      <c r="P12" s="298">
        <f>'Ch2 outputs - cust sat'!BA50</f>
        <v>4</v>
      </c>
      <c r="Q12" s="268">
        <v>1</v>
      </c>
      <c r="R12" s="299">
        <f>'Ch2 outputs - cust sat'!AT30</f>
        <v>1</v>
      </c>
      <c r="S12" s="300"/>
      <c r="T12" s="1144">
        <v>1</v>
      </c>
      <c r="U12" s="1146">
        <f>'Ch2 outputs - cust sat'!K92</f>
        <v>1</v>
      </c>
      <c r="V12" s="266"/>
    </row>
    <row r="13" spans="1:24" s="2" customFormat="1">
      <c r="A13" s="271" t="s">
        <v>169</v>
      </c>
      <c r="B13" s="280"/>
      <c r="C13" s="301">
        <v>1</v>
      </c>
      <c r="D13" s="302">
        <v>1</v>
      </c>
      <c r="E13" s="270"/>
      <c r="F13" s="1084">
        <f>'Ch2 outputs - environment'!W84</f>
        <v>10</v>
      </c>
      <c r="G13" s="297">
        <f>'Ch2 outputs - environment'!W124</f>
        <v>2</v>
      </c>
      <c r="H13" s="1114">
        <f>'Ch2 outputs - environment'!W163</f>
        <v>9</v>
      </c>
      <c r="I13" s="270"/>
      <c r="J13" s="301">
        <v>1</v>
      </c>
      <c r="K13" s="298">
        <f>'Ch2 outputs - connections'!DD50</f>
        <v>11</v>
      </c>
      <c r="L13" s="268">
        <v>1</v>
      </c>
      <c r="M13" s="299">
        <f>'Ch2 outputs - connections'!AZ93</f>
        <v>7</v>
      </c>
      <c r="N13" s="270"/>
      <c r="O13" s="301">
        <v>1</v>
      </c>
      <c r="P13" s="298">
        <f>'Ch2 outputs - cust sat'!BA51</f>
        <v>7</v>
      </c>
      <c r="Q13" s="268">
        <v>1</v>
      </c>
      <c r="R13" s="299">
        <f>'Ch2 outputs - cust sat'!AT31</f>
        <v>3</v>
      </c>
      <c r="S13" s="300"/>
      <c r="T13" s="1150"/>
      <c r="U13" s="1152"/>
      <c r="V13" s="266"/>
    </row>
    <row r="14" spans="1:24" s="2" customFormat="1">
      <c r="A14" s="271" t="s">
        <v>170</v>
      </c>
      <c r="B14" s="280"/>
      <c r="C14" s="301">
        <v>1</v>
      </c>
      <c r="D14" s="302">
        <v>1</v>
      </c>
      <c r="E14" s="270"/>
      <c r="F14" s="1084">
        <f>'Ch2 outputs - environment'!W85</f>
        <v>7</v>
      </c>
      <c r="G14" s="297">
        <f>'Ch2 outputs - environment'!W125</f>
        <v>4</v>
      </c>
      <c r="H14" s="1114">
        <f>'Ch2 outputs - environment'!W164</f>
        <v>10</v>
      </c>
      <c r="I14" s="270"/>
      <c r="J14" s="301">
        <v>1</v>
      </c>
      <c r="K14" s="298">
        <f>'Ch2 outputs - connections'!DD51</f>
        <v>6</v>
      </c>
      <c r="L14" s="268">
        <v>1</v>
      </c>
      <c r="M14" s="299">
        <f>'Ch2 outputs - connections'!AZ94</f>
        <v>6</v>
      </c>
      <c r="N14" s="270"/>
      <c r="O14" s="301">
        <v>1</v>
      </c>
      <c r="P14" s="298">
        <f>'Ch2 outputs - cust sat'!BA52</f>
        <v>5</v>
      </c>
      <c r="Q14" s="268">
        <v>1</v>
      </c>
      <c r="R14" s="299">
        <f>'Ch2 outputs - cust sat'!AT32</f>
        <v>2</v>
      </c>
      <c r="S14" s="300"/>
      <c r="T14" s="1151"/>
      <c r="U14" s="1153"/>
      <c r="V14" s="266"/>
    </row>
    <row r="15" spans="1:24" s="2" customFormat="1">
      <c r="A15" s="271" t="s">
        <v>171</v>
      </c>
      <c r="B15" s="280"/>
      <c r="C15" s="301">
        <v>1</v>
      </c>
      <c r="D15" s="302">
        <v>1</v>
      </c>
      <c r="E15" s="270"/>
      <c r="F15" s="1084">
        <f>'Ch2 outputs - environment'!W86</f>
        <v>1</v>
      </c>
      <c r="G15" s="297">
        <f>'Ch2 outputs - environment'!W126</f>
        <v>13</v>
      </c>
      <c r="H15" s="1114" t="s">
        <v>1408</v>
      </c>
      <c r="I15" s="270"/>
      <c r="J15" s="301">
        <v>1</v>
      </c>
      <c r="K15" s="298">
        <f>'Ch2 outputs - connections'!DD52</f>
        <v>8</v>
      </c>
      <c r="L15" s="268">
        <v>1</v>
      </c>
      <c r="M15" s="299">
        <f>'Ch2 outputs - connections'!AZ95</f>
        <v>11</v>
      </c>
      <c r="N15" s="270"/>
      <c r="O15" s="301">
        <v>1</v>
      </c>
      <c r="P15" s="298">
        <f>'Ch2 outputs - cust sat'!BA53</f>
        <v>6</v>
      </c>
      <c r="Q15" s="268">
        <v>1</v>
      </c>
      <c r="R15" s="299">
        <f>'Ch2 outputs - cust sat'!AT33</f>
        <v>5</v>
      </c>
      <c r="S15" s="300"/>
      <c r="T15" s="1144">
        <v>1</v>
      </c>
      <c r="U15" s="1146">
        <f>'Ch2 outputs - cust sat'!K93</f>
        <v>4</v>
      </c>
      <c r="V15" s="266"/>
    </row>
    <row r="16" spans="1:24" s="2" customFormat="1">
      <c r="A16" s="271" t="s">
        <v>172</v>
      </c>
      <c r="B16" s="280"/>
      <c r="C16" s="301">
        <v>1</v>
      </c>
      <c r="D16" s="302">
        <v>1</v>
      </c>
      <c r="E16" s="270"/>
      <c r="F16" s="1084">
        <f>'Ch2 outputs - environment'!W87</f>
        <v>3</v>
      </c>
      <c r="G16" s="297">
        <f>'Ch2 outputs - environment'!W127</f>
        <v>9</v>
      </c>
      <c r="H16" s="1114">
        <f>'Ch2 outputs - environment'!W165</f>
        <v>1</v>
      </c>
      <c r="I16" s="270"/>
      <c r="J16" s="301">
        <v>0.5</v>
      </c>
      <c r="K16" s="298">
        <f>'Ch2 outputs - connections'!DD53</f>
        <v>10</v>
      </c>
      <c r="L16" s="268">
        <v>1</v>
      </c>
      <c r="M16" s="299">
        <f>'Ch2 outputs - connections'!AZ96</f>
        <v>10</v>
      </c>
      <c r="N16" s="270"/>
      <c r="O16" s="301">
        <v>1</v>
      </c>
      <c r="P16" s="298">
        <f>'Ch2 outputs - cust sat'!BA54</f>
        <v>3</v>
      </c>
      <c r="Q16" s="268">
        <v>1</v>
      </c>
      <c r="R16" s="299">
        <f>'Ch2 outputs - cust sat'!AT34</f>
        <v>8</v>
      </c>
      <c r="S16" s="300"/>
      <c r="T16" s="1151"/>
      <c r="U16" s="1153"/>
      <c r="V16" s="266"/>
    </row>
    <row r="17" spans="1:26" s="2" customFormat="1">
      <c r="A17" s="271" t="s">
        <v>28</v>
      </c>
      <c r="B17" s="280"/>
      <c r="C17" s="301">
        <v>1</v>
      </c>
      <c r="D17" s="302">
        <v>0.5</v>
      </c>
      <c r="E17" s="270"/>
      <c r="F17" s="1084">
        <f>'Ch2 outputs - environment'!W88</f>
        <v>14</v>
      </c>
      <c r="G17" s="297">
        <f>'Ch2 outputs - environment'!W128</f>
        <v>1</v>
      </c>
      <c r="H17" s="1114">
        <f>'Ch2 outputs - environment'!W166</f>
        <v>4</v>
      </c>
      <c r="I17" s="270"/>
      <c r="J17" s="301">
        <v>1</v>
      </c>
      <c r="K17" s="298">
        <f>'Ch2 outputs - connections'!DD54</f>
        <v>4</v>
      </c>
      <c r="L17" s="268">
        <v>1</v>
      </c>
      <c r="M17" s="299">
        <f>'Ch2 outputs - connections'!AZ97</f>
        <v>8</v>
      </c>
      <c r="N17" s="270"/>
      <c r="O17" s="301">
        <v>1</v>
      </c>
      <c r="P17" s="298">
        <f>'Ch2 outputs - cust sat'!BA55</f>
        <v>8</v>
      </c>
      <c r="Q17" s="268">
        <v>1</v>
      </c>
      <c r="R17" s="299">
        <f>'Ch2 outputs - cust sat'!AT35</f>
        <v>7</v>
      </c>
      <c r="S17" s="300"/>
      <c r="T17" s="1144">
        <v>1</v>
      </c>
      <c r="U17" s="1146">
        <f>'Ch2 outputs - cust sat'!K94</f>
        <v>2</v>
      </c>
      <c r="V17" s="266"/>
    </row>
    <row r="18" spans="1:26" s="2" customFormat="1" ht="12" thickBot="1">
      <c r="A18" s="279" t="s">
        <v>173</v>
      </c>
      <c r="B18" s="281"/>
      <c r="C18" s="304">
        <v>1</v>
      </c>
      <c r="D18" s="305">
        <v>1</v>
      </c>
      <c r="E18" s="306"/>
      <c r="F18" s="1084">
        <f>'Ch2 outputs - environment'!W89</f>
        <v>13</v>
      </c>
      <c r="G18" s="297">
        <f>'Ch2 outputs - environment'!W129</f>
        <v>14</v>
      </c>
      <c r="H18" s="1114">
        <f>'Ch2 outputs - environment'!W167</f>
        <v>11</v>
      </c>
      <c r="I18" s="306"/>
      <c r="J18" s="301">
        <v>0</v>
      </c>
      <c r="K18" s="298">
        <f>'Ch2 outputs - connections'!DD55</f>
        <v>12</v>
      </c>
      <c r="L18" s="272">
        <v>1</v>
      </c>
      <c r="M18" s="299">
        <f>'Ch2 outputs - connections'!AZ98</f>
        <v>12</v>
      </c>
      <c r="N18" s="306"/>
      <c r="O18" s="304">
        <v>1</v>
      </c>
      <c r="P18" s="298">
        <f>'Ch2 outputs - cust sat'!BA56</f>
        <v>10</v>
      </c>
      <c r="Q18" s="272">
        <v>1</v>
      </c>
      <c r="R18" s="299">
        <f>'Ch2 outputs - cust sat'!AT36</f>
        <v>14</v>
      </c>
      <c r="S18" s="307"/>
      <c r="T18" s="1145"/>
      <c r="U18" s="1147"/>
      <c r="V18" s="266"/>
    </row>
    <row r="19" spans="1:26" s="2" customFormat="1" ht="12" thickBot="1">
      <c r="A19" s="278"/>
      <c r="B19" s="277"/>
      <c r="C19" s="277"/>
      <c r="D19" s="277"/>
      <c r="E19" s="277"/>
      <c r="F19" s="277"/>
      <c r="G19" s="277"/>
      <c r="H19" s="277"/>
      <c r="I19" s="277"/>
      <c r="J19" s="277"/>
      <c r="K19" s="277"/>
      <c r="L19" s="277"/>
      <c r="M19" s="277"/>
      <c r="N19" s="277"/>
      <c r="O19" s="277"/>
      <c r="P19" s="277"/>
      <c r="Q19" s="277"/>
      <c r="R19" s="277"/>
      <c r="S19" s="277"/>
      <c r="T19" s="277"/>
      <c r="U19" s="277"/>
      <c r="V19" s="266"/>
    </row>
    <row r="20" spans="1:26" s="2" customFormat="1" ht="12" thickBot="1">
      <c r="A20" s="274" t="s">
        <v>211</v>
      </c>
      <c r="B20" s="275"/>
      <c r="C20" s="276">
        <f>AVERAGE(C5:C18)</f>
        <v>1</v>
      </c>
      <c r="D20" s="276">
        <f>AVERAGE(D5:D18)</f>
        <v>0.9642857142857143</v>
      </c>
      <c r="E20" s="275"/>
      <c r="F20" s="308"/>
      <c r="G20" s="309"/>
      <c r="H20" s="310"/>
      <c r="I20" s="275"/>
      <c r="J20" s="276">
        <f>AVERAGE(J5:J18)</f>
        <v>0.7142857142857143</v>
      </c>
      <c r="K20" s="275"/>
      <c r="L20" s="276">
        <f>AVERAGE(L5:L18)</f>
        <v>0.9285714285714286</v>
      </c>
      <c r="M20" s="275"/>
      <c r="N20" s="275"/>
      <c r="O20" s="276">
        <f>AVERAGE(O5:O18)</f>
        <v>1</v>
      </c>
      <c r="P20" s="275"/>
      <c r="Q20" s="276">
        <f>AVERAGE(Q5:Q18)</f>
        <v>1</v>
      </c>
      <c r="R20" s="275"/>
      <c r="S20" s="275"/>
      <c r="T20" s="276">
        <f>AVERAGE(T5:T18)</f>
        <v>0.83333333333333337</v>
      </c>
      <c r="U20" s="311"/>
      <c r="V20" s="266"/>
    </row>
    <row r="21" spans="1:26" s="1094" customFormat="1">
      <c r="A21" s="1090"/>
      <c r="B21" s="1091"/>
      <c r="C21" s="1091"/>
      <c r="D21" s="1091"/>
      <c r="E21" s="1091"/>
      <c r="F21" s="1092"/>
      <c r="G21" s="1093"/>
      <c r="H21" s="1092"/>
      <c r="I21" s="1093"/>
      <c r="J21" s="1092">
        <f>SUM(J5:J18)</f>
        <v>10</v>
      </c>
      <c r="K21" s="1093"/>
      <c r="L21" s="1092"/>
      <c r="M21" s="1093"/>
      <c r="N21" s="1093"/>
      <c r="O21" s="1092"/>
      <c r="P21" s="1093"/>
      <c r="Q21" s="1092"/>
      <c r="R21" s="1093"/>
      <c r="S21" s="1093"/>
      <c r="T21" s="1092"/>
      <c r="U21" s="1092"/>
      <c r="V21" s="1092"/>
      <c r="W21" s="1092"/>
      <c r="X21" s="1092"/>
      <c r="Y21" s="1092"/>
      <c r="Z21" s="1092"/>
    </row>
    <row r="22" spans="1:26" s="282" customFormat="1">
      <c r="B22" s="313"/>
      <c r="C22" s="313"/>
      <c r="D22" s="313"/>
      <c r="E22" s="313"/>
    </row>
    <row r="23" spans="1:26" s="282" customFormat="1" ht="14.25" customHeight="1">
      <c r="B23" s="313"/>
      <c r="C23" s="313"/>
      <c r="D23" s="313"/>
      <c r="E23" s="313"/>
    </row>
    <row r="24" spans="1:26" s="282" customFormat="1"/>
    <row r="25" spans="1:26" s="282" customFormat="1" ht="91.5" customHeight="1">
      <c r="O25" s="314"/>
    </row>
    <row r="26" spans="1:26" s="282" customFormat="1" ht="293.25" customHeight="1">
      <c r="O26" s="315"/>
    </row>
    <row r="27" spans="1:26" s="282" customFormat="1" ht="78.75" customHeight="1">
      <c r="O27" s="315"/>
    </row>
    <row r="28" spans="1:26" s="282" customFormat="1" ht="186" customHeight="1">
      <c r="O28" s="315"/>
    </row>
    <row r="29" spans="1:26" s="282" customFormat="1" ht="35.25" customHeight="1">
      <c r="O29" s="315"/>
    </row>
    <row r="30" spans="1:26" s="282" customFormat="1">
      <c r="O30" s="315"/>
    </row>
    <row r="31" spans="1:26" s="282" customFormat="1" ht="46.5" customHeight="1">
      <c r="O31" s="315"/>
    </row>
    <row r="32" spans="1:26" s="282" customFormat="1" ht="80.25" customHeight="1">
      <c r="O32" s="315"/>
    </row>
    <row r="33" spans="2:15" s="282" customFormat="1">
      <c r="O33" s="315"/>
    </row>
    <row r="34" spans="2:15" s="282" customFormat="1">
      <c r="O34" s="315"/>
    </row>
    <row r="35" spans="2:15" s="282" customFormat="1" ht="15.75" customHeight="1">
      <c r="O35" s="315"/>
    </row>
    <row r="36" spans="2:15" s="282" customFormat="1">
      <c r="O36" s="315"/>
    </row>
    <row r="37" spans="2:15" s="282" customFormat="1">
      <c r="B37" s="313"/>
      <c r="C37" s="313"/>
      <c r="D37" s="313"/>
      <c r="E37" s="313"/>
    </row>
    <row r="38" spans="2:15" s="282" customFormat="1">
      <c r="B38" s="313"/>
      <c r="C38" s="313"/>
      <c r="D38" s="313"/>
      <c r="E38" s="313"/>
    </row>
    <row r="39" spans="2:15" s="282" customFormat="1">
      <c r="B39" s="313"/>
      <c r="C39" s="313"/>
      <c r="D39" s="313"/>
      <c r="E39" s="313"/>
    </row>
    <row r="40" spans="2:15" s="282" customFormat="1">
      <c r="B40" s="313"/>
      <c r="C40" s="313"/>
      <c r="D40" s="313"/>
      <c r="E40" s="313"/>
    </row>
    <row r="41" spans="2:15" s="282" customFormat="1">
      <c r="B41" s="313"/>
      <c r="C41" s="313"/>
      <c r="D41" s="313"/>
      <c r="E41" s="313"/>
    </row>
    <row r="42" spans="2:15" s="282" customFormat="1">
      <c r="B42" s="313"/>
      <c r="C42" s="313"/>
      <c r="D42" s="313"/>
      <c r="E42" s="313"/>
    </row>
    <row r="43" spans="2:15" s="282" customFormat="1">
      <c r="B43" s="313"/>
      <c r="C43" s="313"/>
      <c r="D43" s="313"/>
      <c r="E43" s="313"/>
    </row>
    <row r="44" spans="2:15" s="282" customFormat="1">
      <c r="B44" s="313"/>
      <c r="C44" s="313"/>
      <c r="D44" s="313"/>
      <c r="E44" s="313"/>
    </row>
    <row r="45" spans="2:15" s="282" customFormat="1">
      <c r="B45" s="313"/>
      <c r="C45" s="313"/>
      <c r="D45" s="313"/>
      <c r="E45" s="313"/>
    </row>
    <row r="46" spans="2:15" s="282" customFormat="1">
      <c r="B46" s="313"/>
      <c r="C46" s="313"/>
      <c r="D46" s="313"/>
      <c r="E46" s="313"/>
    </row>
    <row r="47" spans="2:15" s="282" customFormat="1">
      <c r="B47" s="313"/>
      <c r="C47" s="313"/>
      <c r="D47" s="313"/>
      <c r="E47" s="313"/>
    </row>
    <row r="48" spans="2:15" s="282" customFormat="1">
      <c r="B48" s="313"/>
      <c r="C48" s="313"/>
      <c r="D48" s="313"/>
      <c r="E48" s="313"/>
    </row>
    <row r="49" spans="2:5" s="282" customFormat="1">
      <c r="B49" s="313"/>
      <c r="C49" s="313"/>
      <c r="D49" s="313"/>
      <c r="E49" s="313"/>
    </row>
    <row r="50" spans="2:5" s="282" customFormat="1">
      <c r="B50" s="313"/>
      <c r="C50" s="313"/>
      <c r="D50" s="313"/>
      <c r="E50" s="313"/>
    </row>
    <row r="51" spans="2:5" s="282" customFormat="1">
      <c r="B51" s="313"/>
      <c r="C51" s="313"/>
      <c r="D51" s="313"/>
      <c r="E51" s="313"/>
    </row>
    <row r="52" spans="2:5" s="282" customFormat="1">
      <c r="B52" s="313"/>
      <c r="C52" s="313"/>
      <c r="D52" s="313"/>
      <c r="E52" s="313"/>
    </row>
    <row r="53" spans="2:5" s="282" customFormat="1">
      <c r="B53" s="313"/>
      <c r="C53" s="313"/>
      <c r="D53" s="313"/>
      <c r="E53" s="313"/>
    </row>
    <row r="54" spans="2:5" s="282" customFormat="1">
      <c r="B54" s="313"/>
      <c r="C54" s="313"/>
      <c r="D54" s="313"/>
      <c r="E54" s="313"/>
    </row>
    <row r="55" spans="2:5" s="282" customFormat="1">
      <c r="B55" s="313"/>
      <c r="C55" s="313"/>
      <c r="D55" s="313"/>
      <c r="E55" s="313"/>
    </row>
    <row r="56" spans="2:5" s="282" customFormat="1">
      <c r="B56" s="313"/>
      <c r="C56" s="313"/>
      <c r="D56" s="313"/>
      <c r="E56" s="313"/>
    </row>
    <row r="57" spans="2:5" s="282" customFormat="1">
      <c r="B57" s="313"/>
      <c r="C57" s="313"/>
      <c r="D57" s="313"/>
      <c r="E57" s="313"/>
    </row>
    <row r="58" spans="2:5" s="282" customFormat="1">
      <c r="B58" s="313"/>
      <c r="C58" s="313"/>
      <c r="D58" s="313"/>
      <c r="E58" s="313"/>
    </row>
    <row r="59" spans="2:5" s="282" customFormat="1">
      <c r="B59" s="313"/>
      <c r="C59" s="313"/>
      <c r="D59" s="313"/>
      <c r="E59" s="313"/>
    </row>
    <row r="60" spans="2:5" s="282" customFormat="1">
      <c r="B60" s="313"/>
      <c r="C60" s="313"/>
      <c r="D60" s="313"/>
      <c r="E60" s="313"/>
    </row>
    <row r="61" spans="2:5" s="282" customFormat="1">
      <c r="B61" s="313"/>
      <c r="C61" s="313"/>
      <c r="D61" s="313"/>
      <c r="E61" s="313"/>
    </row>
    <row r="62" spans="2:5" s="282" customFormat="1">
      <c r="B62" s="313"/>
      <c r="C62" s="313"/>
      <c r="D62" s="313"/>
      <c r="E62" s="313"/>
    </row>
    <row r="63" spans="2:5" s="282" customFormat="1">
      <c r="B63" s="313"/>
      <c r="C63" s="313"/>
      <c r="D63" s="313"/>
      <c r="E63" s="313"/>
    </row>
    <row r="64" spans="2:5" s="282" customFormat="1">
      <c r="B64" s="313"/>
      <c r="C64" s="313"/>
      <c r="D64" s="313"/>
      <c r="E64" s="313"/>
    </row>
    <row r="65" spans="2:5" s="282" customFormat="1">
      <c r="B65" s="313"/>
      <c r="C65" s="313"/>
      <c r="D65" s="313"/>
      <c r="E65" s="313"/>
    </row>
    <row r="66" spans="2:5" s="282" customFormat="1">
      <c r="B66" s="313"/>
      <c r="C66" s="313"/>
      <c r="D66" s="313"/>
      <c r="E66" s="313"/>
    </row>
    <row r="67" spans="2:5" s="282" customFormat="1">
      <c r="B67" s="313"/>
      <c r="C67" s="313"/>
      <c r="D67" s="313"/>
      <c r="E67" s="313"/>
    </row>
    <row r="68" spans="2:5" s="282" customFormat="1">
      <c r="B68" s="313"/>
      <c r="C68" s="313"/>
      <c r="D68" s="313"/>
      <c r="E68" s="313"/>
    </row>
    <row r="69" spans="2:5" s="282" customFormat="1">
      <c r="B69" s="313"/>
      <c r="C69" s="313"/>
      <c r="D69" s="313"/>
      <c r="E69" s="313"/>
    </row>
    <row r="70" spans="2:5" s="282" customFormat="1">
      <c r="B70" s="313"/>
      <c r="C70" s="313"/>
      <c r="D70" s="313"/>
      <c r="E70" s="313"/>
    </row>
    <row r="71" spans="2:5" s="282" customFormat="1">
      <c r="B71" s="313"/>
      <c r="C71" s="313"/>
      <c r="D71" s="313"/>
      <c r="E71" s="313"/>
    </row>
    <row r="72" spans="2:5" s="282" customFormat="1">
      <c r="B72" s="313"/>
      <c r="C72" s="313"/>
      <c r="D72" s="313"/>
      <c r="E72" s="313"/>
    </row>
    <row r="73" spans="2:5" s="282" customFormat="1">
      <c r="B73" s="313"/>
      <c r="C73" s="313"/>
      <c r="D73" s="313"/>
      <c r="E73" s="313"/>
    </row>
    <row r="74" spans="2:5" s="282" customFormat="1">
      <c r="B74" s="313"/>
      <c r="C74" s="313"/>
      <c r="D74" s="313"/>
      <c r="E74" s="313"/>
    </row>
    <row r="75" spans="2:5" s="282" customFormat="1">
      <c r="B75" s="313"/>
      <c r="C75" s="313"/>
      <c r="D75" s="313"/>
      <c r="E75" s="313"/>
    </row>
    <row r="76" spans="2:5" s="282" customFormat="1">
      <c r="B76" s="313"/>
      <c r="C76" s="313"/>
      <c r="D76" s="313"/>
      <c r="E76" s="313"/>
    </row>
    <row r="77" spans="2:5" s="282" customFormat="1">
      <c r="B77" s="313"/>
      <c r="C77" s="313"/>
      <c r="D77" s="313"/>
      <c r="E77" s="313"/>
    </row>
    <row r="78" spans="2:5" s="282" customFormat="1">
      <c r="B78" s="313"/>
      <c r="C78" s="313"/>
      <c r="D78" s="313"/>
      <c r="E78" s="313"/>
    </row>
    <row r="79" spans="2:5" s="282" customFormat="1">
      <c r="B79" s="313"/>
      <c r="C79" s="313"/>
      <c r="D79" s="313"/>
      <c r="E79" s="313"/>
    </row>
    <row r="80" spans="2:5" s="282" customFormat="1">
      <c r="B80" s="313"/>
      <c r="C80" s="313"/>
      <c r="D80" s="313"/>
      <c r="E80" s="313"/>
    </row>
    <row r="81" spans="2:5" s="282" customFormat="1">
      <c r="B81" s="313"/>
      <c r="C81" s="313"/>
      <c r="D81" s="313"/>
      <c r="E81" s="313"/>
    </row>
    <row r="82" spans="2:5" s="282" customFormat="1">
      <c r="B82" s="313"/>
      <c r="C82" s="313"/>
      <c r="D82" s="313"/>
      <c r="E82" s="313"/>
    </row>
    <row r="83" spans="2:5" s="282" customFormat="1">
      <c r="B83" s="313"/>
      <c r="C83" s="313"/>
      <c r="D83" s="313"/>
      <c r="E83" s="313"/>
    </row>
    <row r="84" spans="2:5" s="282" customFormat="1">
      <c r="B84" s="313"/>
      <c r="C84" s="313"/>
      <c r="D84" s="313"/>
      <c r="E84" s="313"/>
    </row>
    <row r="85" spans="2:5" s="282" customFormat="1">
      <c r="B85" s="313"/>
      <c r="C85" s="313"/>
      <c r="D85" s="313"/>
      <c r="E85" s="313"/>
    </row>
    <row r="86" spans="2:5" s="282" customFormat="1">
      <c r="B86" s="313"/>
      <c r="C86" s="313"/>
      <c r="D86" s="313"/>
      <c r="E86" s="313"/>
    </row>
    <row r="87" spans="2:5" s="282" customFormat="1">
      <c r="B87" s="313"/>
      <c r="C87" s="313"/>
      <c r="D87" s="313"/>
      <c r="E87" s="313"/>
    </row>
    <row r="88" spans="2:5" s="282" customFormat="1">
      <c r="B88" s="313"/>
      <c r="C88" s="313"/>
      <c r="D88" s="313"/>
      <c r="E88" s="313"/>
    </row>
    <row r="89" spans="2:5" s="282" customFormat="1">
      <c r="B89" s="313"/>
      <c r="C89" s="313"/>
      <c r="D89" s="313"/>
      <c r="E89" s="313"/>
    </row>
    <row r="90" spans="2:5" s="282" customFormat="1">
      <c r="B90" s="313"/>
      <c r="C90" s="313"/>
      <c r="D90" s="313"/>
      <c r="E90" s="313"/>
    </row>
    <row r="91" spans="2:5" s="282" customFormat="1">
      <c r="B91" s="313"/>
      <c r="C91" s="313"/>
      <c r="D91" s="313"/>
      <c r="E91" s="313"/>
    </row>
    <row r="92" spans="2:5" s="282" customFormat="1">
      <c r="B92" s="313"/>
      <c r="C92" s="313"/>
      <c r="D92" s="313"/>
      <c r="E92" s="313"/>
    </row>
    <row r="93" spans="2:5" s="282" customFormat="1">
      <c r="B93" s="313"/>
      <c r="C93" s="313"/>
      <c r="D93" s="313"/>
      <c r="E93" s="313"/>
    </row>
    <row r="94" spans="2:5" s="282" customFormat="1">
      <c r="B94" s="313"/>
      <c r="C94" s="313"/>
      <c r="D94" s="313"/>
      <c r="E94" s="313"/>
    </row>
    <row r="95" spans="2:5" s="282" customFormat="1">
      <c r="B95" s="313"/>
      <c r="C95" s="313"/>
      <c r="D95" s="313"/>
      <c r="E95" s="313"/>
    </row>
    <row r="96" spans="2:5" s="282" customFormat="1">
      <c r="B96" s="313"/>
      <c r="C96" s="313"/>
      <c r="D96" s="313"/>
      <c r="E96" s="313"/>
    </row>
    <row r="97" spans="2:5" s="282" customFormat="1">
      <c r="B97" s="313"/>
      <c r="C97" s="313"/>
      <c r="D97" s="313"/>
      <c r="E97" s="313"/>
    </row>
    <row r="98" spans="2:5" s="282" customFormat="1">
      <c r="B98" s="313"/>
      <c r="C98" s="313"/>
      <c r="D98" s="313"/>
      <c r="E98" s="313"/>
    </row>
    <row r="99" spans="2:5" s="282" customFormat="1">
      <c r="B99" s="313"/>
      <c r="C99" s="313"/>
      <c r="D99" s="313"/>
      <c r="E99" s="313"/>
    </row>
    <row r="100" spans="2:5" s="282" customFormat="1">
      <c r="B100" s="313"/>
      <c r="C100" s="313"/>
      <c r="D100" s="313"/>
      <c r="E100" s="313"/>
    </row>
    <row r="101" spans="2:5" s="282" customFormat="1">
      <c r="B101" s="313"/>
      <c r="C101" s="313"/>
      <c r="D101" s="313"/>
      <c r="E101" s="313"/>
    </row>
    <row r="102" spans="2:5" s="282" customFormat="1">
      <c r="B102" s="313"/>
      <c r="C102" s="313"/>
      <c r="D102" s="313"/>
      <c r="E102" s="313"/>
    </row>
    <row r="103" spans="2:5" s="282" customFormat="1">
      <c r="B103" s="313"/>
      <c r="C103" s="313"/>
      <c r="D103" s="313"/>
      <c r="E103" s="313"/>
    </row>
    <row r="104" spans="2:5" s="282" customFormat="1">
      <c r="B104" s="313"/>
      <c r="C104" s="313"/>
      <c r="D104" s="313"/>
      <c r="E104" s="313"/>
    </row>
    <row r="105" spans="2:5" s="282" customFormat="1">
      <c r="B105" s="313"/>
      <c r="C105" s="313"/>
      <c r="D105" s="313"/>
      <c r="E105" s="313"/>
    </row>
    <row r="106" spans="2:5" s="282" customFormat="1">
      <c r="B106" s="313"/>
      <c r="C106" s="313"/>
      <c r="D106" s="313"/>
      <c r="E106" s="313"/>
    </row>
    <row r="107" spans="2:5" s="282" customFormat="1">
      <c r="B107" s="313"/>
      <c r="C107" s="313"/>
      <c r="D107" s="313"/>
      <c r="E107" s="313"/>
    </row>
    <row r="108" spans="2:5" s="282" customFormat="1">
      <c r="B108" s="313"/>
      <c r="C108" s="313"/>
      <c r="D108" s="313"/>
      <c r="E108" s="313"/>
    </row>
    <row r="109" spans="2:5" s="282" customFormat="1">
      <c r="B109" s="313"/>
      <c r="C109" s="313"/>
      <c r="D109" s="313"/>
      <c r="E109" s="313"/>
    </row>
    <row r="110" spans="2:5" s="282" customFormat="1">
      <c r="B110" s="313"/>
      <c r="C110" s="313"/>
      <c r="D110" s="313"/>
      <c r="E110" s="313"/>
    </row>
    <row r="111" spans="2:5" s="282" customFormat="1">
      <c r="B111" s="313"/>
      <c r="C111" s="313"/>
      <c r="D111" s="313"/>
      <c r="E111" s="313"/>
    </row>
    <row r="112" spans="2:5" s="282" customFormat="1">
      <c r="B112" s="313"/>
      <c r="C112" s="313"/>
      <c r="D112" s="313"/>
      <c r="E112" s="313"/>
    </row>
    <row r="113" spans="2:5" s="282" customFormat="1">
      <c r="B113" s="313"/>
      <c r="C113" s="313"/>
      <c r="D113" s="313"/>
      <c r="E113" s="313"/>
    </row>
    <row r="114" spans="2:5" s="282" customFormat="1">
      <c r="B114" s="313"/>
      <c r="C114" s="313"/>
      <c r="D114" s="313"/>
      <c r="E114" s="313"/>
    </row>
    <row r="115" spans="2:5" s="282" customFormat="1">
      <c r="B115" s="313"/>
      <c r="C115" s="313"/>
      <c r="D115" s="313"/>
      <c r="E115" s="313"/>
    </row>
    <row r="116" spans="2:5" s="282" customFormat="1">
      <c r="B116" s="313"/>
      <c r="C116" s="313"/>
      <c r="D116" s="313"/>
      <c r="E116" s="313"/>
    </row>
    <row r="117" spans="2:5" s="282" customFormat="1">
      <c r="B117" s="313"/>
      <c r="C117" s="313"/>
      <c r="D117" s="313"/>
      <c r="E117" s="313"/>
    </row>
    <row r="118" spans="2:5" s="282" customFormat="1">
      <c r="B118" s="313"/>
      <c r="C118" s="313"/>
      <c r="D118" s="313"/>
      <c r="E118" s="313"/>
    </row>
    <row r="119" spans="2:5" s="282" customFormat="1">
      <c r="B119" s="313"/>
      <c r="C119" s="313"/>
      <c r="D119" s="313"/>
      <c r="E119" s="313"/>
    </row>
    <row r="120" spans="2:5" s="282" customFormat="1">
      <c r="B120" s="313"/>
      <c r="C120" s="313"/>
      <c r="D120" s="313"/>
      <c r="E120" s="313"/>
    </row>
    <row r="121" spans="2:5" s="282" customFormat="1">
      <c r="B121" s="313"/>
      <c r="C121" s="313"/>
      <c r="D121" s="313"/>
      <c r="E121" s="313"/>
    </row>
    <row r="122" spans="2:5" s="282" customFormat="1">
      <c r="B122" s="313"/>
      <c r="C122" s="313"/>
      <c r="D122" s="313"/>
      <c r="E122" s="313"/>
    </row>
    <row r="123" spans="2:5" s="282" customFormat="1">
      <c r="B123" s="313"/>
      <c r="C123" s="313"/>
      <c r="D123" s="313"/>
      <c r="E123" s="313"/>
    </row>
    <row r="124" spans="2:5" s="282" customFormat="1">
      <c r="B124" s="313"/>
      <c r="C124" s="313"/>
      <c r="D124" s="313"/>
      <c r="E124" s="313"/>
    </row>
    <row r="125" spans="2:5" s="282" customFormat="1">
      <c r="B125" s="313"/>
      <c r="C125" s="313"/>
      <c r="D125" s="313"/>
      <c r="E125" s="313"/>
    </row>
    <row r="126" spans="2:5" s="282" customFormat="1">
      <c r="B126" s="313"/>
      <c r="C126" s="313"/>
      <c r="D126" s="313"/>
      <c r="E126" s="313"/>
    </row>
    <row r="127" spans="2:5" s="282" customFormat="1">
      <c r="B127" s="313"/>
      <c r="C127" s="313"/>
      <c r="D127" s="313"/>
      <c r="E127" s="313"/>
    </row>
    <row r="128" spans="2:5" s="282" customFormat="1">
      <c r="B128" s="313"/>
      <c r="C128" s="313"/>
      <c r="D128" s="313"/>
      <c r="E128" s="313"/>
    </row>
    <row r="129" spans="2:5" s="282" customFormat="1">
      <c r="B129" s="313"/>
      <c r="C129" s="313"/>
      <c r="D129" s="313"/>
      <c r="E129" s="313"/>
    </row>
    <row r="130" spans="2:5" s="282" customFormat="1">
      <c r="B130" s="313"/>
      <c r="C130" s="313"/>
      <c r="D130" s="313"/>
      <c r="E130" s="313"/>
    </row>
    <row r="131" spans="2:5" s="282" customFormat="1">
      <c r="B131" s="313"/>
      <c r="C131" s="313"/>
      <c r="D131" s="313"/>
      <c r="E131" s="313"/>
    </row>
    <row r="132" spans="2:5" s="282" customFormat="1">
      <c r="B132" s="313"/>
      <c r="C132" s="313"/>
      <c r="D132" s="313"/>
      <c r="E132" s="313"/>
    </row>
    <row r="133" spans="2:5" s="282" customFormat="1">
      <c r="B133" s="313"/>
      <c r="C133" s="313"/>
      <c r="D133" s="313"/>
      <c r="E133" s="313"/>
    </row>
    <row r="134" spans="2:5" s="282" customFormat="1">
      <c r="B134" s="313"/>
      <c r="C134" s="313"/>
      <c r="D134" s="313"/>
      <c r="E134" s="313"/>
    </row>
    <row r="135" spans="2:5" s="282" customFormat="1">
      <c r="B135" s="313"/>
      <c r="C135" s="313"/>
      <c r="D135" s="313"/>
      <c r="E135" s="313"/>
    </row>
    <row r="136" spans="2:5" s="282" customFormat="1">
      <c r="B136" s="313"/>
      <c r="C136" s="313"/>
      <c r="D136" s="313"/>
      <c r="E136" s="313"/>
    </row>
    <row r="137" spans="2:5" s="282" customFormat="1">
      <c r="B137" s="313"/>
      <c r="C137" s="313"/>
      <c r="D137" s="313"/>
      <c r="E137" s="313"/>
    </row>
    <row r="138" spans="2:5" s="282" customFormat="1">
      <c r="B138" s="313"/>
      <c r="C138" s="313"/>
      <c r="D138" s="313"/>
      <c r="E138" s="313"/>
    </row>
    <row r="139" spans="2:5" s="282" customFormat="1">
      <c r="B139" s="313"/>
      <c r="C139" s="313"/>
      <c r="D139" s="313"/>
      <c r="E139" s="313"/>
    </row>
    <row r="140" spans="2:5" s="282" customFormat="1">
      <c r="B140" s="313"/>
      <c r="C140" s="313"/>
      <c r="D140" s="313"/>
      <c r="E140" s="313"/>
    </row>
    <row r="141" spans="2:5" s="282" customFormat="1">
      <c r="B141" s="313"/>
      <c r="C141" s="313"/>
      <c r="D141" s="313"/>
      <c r="E141" s="313"/>
    </row>
    <row r="142" spans="2:5" s="282" customFormat="1">
      <c r="B142" s="313"/>
      <c r="C142" s="313"/>
      <c r="D142" s="313"/>
      <c r="E142" s="313"/>
    </row>
    <row r="143" spans="2:5" s="282" customFormat="1">
      <c r="B143" s="313"/>
      <c r="C143" s="313"/>
      <c r="D143" s="313"/>
      <c r="E143" s="313"/>
    </row>
    <row r="144" spans="2:5" s="282" customFormat="1">
      <c r="B144" s="313"/>
      <c r="C144" s="313"/>
      <c r="D144" s="313"/>
      <c r="E144" s="313"/>
    </row>
    <row r="145" spans="2:5" s="282" customFormat="1">
      <c r="B145" s="313"/>
      <c r="C145" s="313"/>
      <c r="D145" s="313"/>
      <c r="E145" s="313"/>
    </row>
    <row r="146" spans="2:5" s="282" customFormat="1">
      <c r="B146" s="313"/>
      <c r="C146" s="313"/>
      <c r="D146" s="313"/>
      <c r="E146" s="313"/>
    </row>
    <row r="147" spans="2:5" s="282" customFormat="1">
      <c r="B147" s="313"/>
      <c r="C147" s="313"/>
      <c r="D147" s="313"/>
      <c r="E147" s="313"/>
    </row>
    <row r="148" spans="2:5" s="282" customFormat="1">
      <c r="B148" s="313"/>
      <c r="C148" s="313"/>
      <c r="D148" s="313"/>
      <c r="E148" s="313"/>
    </row>
    <row r="149" spans="2:5" s="282" customFormat="1">
      <c r="B149" s="313"/>
      <c r="C149" s="313"/>
      <c r="D149" s="313"/>
      <c r="E149" s="313"/>
    </row>
    <row r="150" spans="2:5" s="282" customFormat="1">
      <c r="B150" s="313"/>
      <c r="C150" s="313"/>
      <c r="D150" s="313"/>
      <c r="E150" s="313"/>
    </row>
    <row r="151" spans="2:5" s="282" customFormat="1">
      <c r="B151" s="313"/>
      <c r="C151" s="313"/>
      <c r="D151" s="313"/>
      <c r="E151" s="313"/>
    </row>
    <row r="152" spans="2:5" s="282" customFormat="1">
      <c r="B152" s="313"/>
      <c r="C152" s="313"/>
      <c r="D152" s="313"/>
      <c r="E152" s="313"/>
    </row>
    <row r="153" spans="2:5" s="282" customFormat="1">
      <c r="B153" s="313"/>
      <c r="C153" s="313"/>
      <c r="D153" s="313"/>
      <c r="E153" s="313"/>
    </row>
    <row r="154" spans="2:5" s="282" customFormat="1">
      <c r="B154" s="313"/>
      <c r="C154" s="313"/>
      <c r="D154" s="313"/>
      <c r="E154" s="313"/>
    </row>
    <row r="155" spans="2:5" s="282" customFormat="1">
      <c r="B155" s="313"/>
      <c r="C155" s="313"/>
      <c r="D155" s="313"/>
      <c r="E155" s="313"/>
    </row>
    <row r="156" spans="2:5" s="282" customFormat="1">
      <c r="B156" s="313"/>
      <c r="C156" s="313"/>
      <c r="D156" s="313"/>
      <c r="E156" s="313"/>
    </row>
    <row r="157" spans="2:5" s="282" customFormat="1">
      <c r="B157" s="313"/>
      <c r="C157" s="313"/>
      <c r="D157" s="313"/>
      <c r="E157" s="313"/>
    </row>
    <row r="158" spans="2:5" s="282" customFormat="1">
      <c r="B158" s="313"/>
      <c r="C158" s="313"/>
      <c r="D158" s="313"/>
      <c r="E158" s="313"/>
    </row>
    <row r="159" spans="2:5" s="282" customFormat="1">
      <c r="B159" s="313"/>
      <c r="C159" s="313"/>
      <c r="D159" s="313"/>
      <c r="E159" s="313"/>
    </row>
    <row r="160" spans="2:5" s="282" customFormat="1">
      <c r="B160" s="313"/>
      <c r="C160" s="313"/>
      <c r="D160" s="313"/>
      <c r="E160" s="313"/>
    </row>
    <row r="161" spans="2:5" s="282" customFormat="1">
      <c r="B161" s="313"/>
      <c r="C161" s="313"/>
      <c r="D161" s="313"/>
      <c r="E161" s="313"/>
    </row>
    <row r="162" spans="2:5" s="282" customFormat="1">
      <c r="B162" s="313"/>
      <c r="C162" s="313"/>
      <c r="D162" s="313"/>
      <c r="E162" s="313"/>
    </row>
    <row r="163" spans="2:5" s="282" customFormat="1">
      <c r="B163" s="313"/>
      <c r="C163" s="313"/>
      <c r="D163" s="313"/>
      <c r="E163" s="313"/>
    </row>
    <row r="164" spans="2:5" s="282" customFormat="1">
      <c r="B164" s="313"/>
      <c r="C164" s="313"/>
      <c r="D164" s="313"/>
      <c r="E164" s="313"/>
    </row>
    <row r="165" spans="2:5" s="282" customFormat="1">
      <c r="B165" s="313"/>
      <c r="C165" s="313"/>
      <c r="D165" s="313"/>
      <c r="E165" s="313"/>
    </row>
    <row r="166" spans="2:5" s="282" customFormat="1">
      <c r="B166" s="313"/>
      <c r="C166" s="313"/>
      <c r="D166" s="313"/>
      <c r="E166" s="313"/>
    </row>
    <row r="167" spans="2:5" s="282" customFormat="1">
      <c r="B167" s="313"/>
      <c r="C167" s="313"/>
      <c r="D167" s="313"/>
      <c r="E167" s="313"/>
    </row>
    <row r="168" spans="2:5" s="282" customFormat="1">
      <c r="B168" s="313"/>
      <c r="C168" s="313"/>
      <c r="D168" s="313"/>
      <c r="E168" s="313"/>
    </row>
    <row r="169" spans="2:5" s="282" customFormat="1">
      <c r="B169" s="313"/>
      <c r="C169" s="313"/>
      <c r="D169" s="313"/>
      <c r="E169" s="313"/>
    </row>
    <row r="170" spans="2:5" s="282" customFormat="1">
      <c r="B170" s="313"/>
      <c r="C170" s="313"/>
      <c r="D170" s="313"/>
      <c r="E170" s="313"/>
    </row>
    <row r="171" spans="2:5" s="282" customFormat="1">
      <c r="B171" s="313"/>
      <c r="C171" s="313"/>
      <c r="D171" s="313"/>
      <c r="E171" s="313"/>
    </row>
    <row r="172" spans="2:5" s="282" customFormat="1">
      <c r="B172" s="313"/>
      <c r="C172" s="313"/>
      <c r="D172" s="313"/>
      <c r="E172" s="313"/>
    </row>
    <row r="173" spans="2:5" s="282" customFormat="1">
      <c r="B173" s="313"/>
      <c r="C173" s="313"/>
      <c r="D173" s="313"/>
      <c r="E173" s="313"/>
    </row>
    <row r="174" spans="2:5" s="282" customFormat="1">
      <c r="B174" s="313"/>
      <c r="C174" s="313"/>
      <c r="D174" s="313"/>
      <c r="E174" s="313"/>
    </row>
    <row r="175" spans="2:5" s="282" customFormat="1">
      <c r="B175" s="313"/>
      <c r="C175" s="313"/>
      <c r="D175" s="313"/>
      <c r="E175" s="313"/>
    </row>
    <row r="176" spans="2:5" s="282" customFormat="1">
      <c r="B176" s="313"/>
      <c r="C176" s="313"/>
      <c r="D176" s="313"/>
      <c r="E176" s="313"/>
    </row>
    <row r="177" spans="2:5" s="282" customFormat="1">
      <c r="B177" s="313"/>
      <c r="C177" s="313"/>
      <c r="D177" s="313"/>
      <c r="E177" s="313"/>
    </row>
    <row r="178" spans="2:5" s="282" customFormat="1">
      <c r="B178" s="313"/>
      <c r="C178" s="313"/>
      <c r="D178" s="313"/>
      <c r="E178" s="313"/>
    </row>
  </sheetData>
  <mergeCells count="15">
    <mergeCell ref="T17:T18"/>
    <mergeCell ref="U17:U18"/>
    <mergeCell ref="C3:D3"/>
    <mergeCell ref="T8:T11"/>
    <mergeCell ref="U8:U11"/>
    <mergeCell ref="T12:T14"/>
    <mergeCell ref="U12:U14"/>
    <mergeCell ref="T15:T16"/>
    <mergeCell ref="U15:U16"/>
    <mergeCell ref="F3:H3"/>
    <mergeCell ref="J3:M3"/>
    <mergeCell ref="O3:R3"/>
    <mergeCell ref="T3:U3"/>
    <mergeCell ref="T6:T7"/>
    <mergeCell ref="U6:U7"/>
  </mergeCells>
  <conditionalFormatting sqref="C3 O24:S36 J24:M36 T1:XFD2 C37:S1048576 E3 T3 A2:A1048576 T8:U8 T12:U12 T15:U15 T17:U17 T24:XFD1048576 T4:U6 V3:XFD20 C21:XFD23 C5:E18 U20 C20:E20 C19:U19">
    <cfRule type="containsText" dxfId="293" priority="153" operator="containsText" text="Red">
      <formula>NOT(ISERROR(SEARCH("Red",A1)))</formula>
    </cfRule>
    <cfRule type="containsText" dxfId="292" priority="154" operator="containsText" text="Amber">
      <formula>NOT(ISERROR(SEARCH("Amber",A1)))</formula>
    </cfRule>
    <cfRule type="containsText" dxfId="291" priority="155" operator="containsText" text="Green">
      <formula>NOT(ISERROR(SEARCH("Green",A1)))</formula>
    </cfRule>
  </conditionalFormatting>
  <conditionalFormatting sqref="T17">
    <cfRule type="iconSet" priority="99">
      <iconSet iconSet="3Symbols2" showValue="0">
        <cfvo type="percent" val="0"/>
        <cfvo type="num" val="0" gte="0"/>
        <cfvo type="num" val="1"/>
      </iconSet>
    </cfRule>
  </conditionalFormatting>
  <conditionalFormatting sqref="C5:E18">
    <cfRule type="iconSet" priority="88">
      <iconSet iconSet="3Symbols2">
        <cfvo type="percent" val="0"/>
        <cfvo type="num" val="0"/>
        <cfvo type="num" val="1"/>
      </iconSet>
    </cfRule>
    <cfRule type="iconSet" priority="89">
      <iconSet iconSet="3Symbols2">
        <cfvo type="percent" val="0"/>
        <cfvo type="percent" val="33"/>
        <cfvo type="percent" val="67"/>
      </iconSet>
    </cfRule>
    <cfRule type="cellIs" dxfId="290" priority="90" operator="equal">
      <formula>"Green"</formula>
    </cfRule>
  </conditionalFormatting>
  <conditionalFormatting sqref="C5:E18">
    <cfRule type="iconSet" priority="87">
      <iconSet iconSet="3Symbols2" showValue="0">
        <cfvo type="percent" val="0"/>
        <cfvo type="num" val="0" gte="0"/>
        <cfvo type="num" val="1"/>
      </iconSet>
    </cfRule>
  </conditionalFormatting>
  <conditionalFormatting sqref="C16">
    <cfRule type="iconSet" priority="86">
      <iconSet iconSet="3Symbols2" showValue="0">
        <cfvo type="percent" val="0"/>
        <cfvo type="num" val="0" gte="0"/>
        <cfvo type="num" val="1"/>
      </iconSet>
    </cfRule>
  </conditionalFormatting>
  <conditionalFormatting sqref="O5:O18">
    <cfRule type="containsText" dxfId="289" priority="83" operator="containsText" text="Red">
      <formula>NOT(ISERROR(SEARCH("Red",O5)))</formula>
    </cfRule>
    <cfRule type="containsText" dxfId="288" priority="84" operator="containsText" text="Amber">
      <formula>NOT(ISERROR(SEARCH("Amber",O5)))</formula>
    </cfRule>
    <cfRule type="containsText" dxfId="287" priority="85" operator="containsText" text="Green">
      <formula>NOT(ISERROR(SEARCH("Green",O5)))</formula>
    </cfRule>
  </conditionalFormatting>
  <conditionalFormatting sqref="O5:O18">
    <cfRule type="iconSet" priority="80">
      <iconSet iconSet="3Symbols2">
        <cfvo type="percent" val="0"/>
        <cfvo type="num" val="0"/>
        <cfvo type="num" val="1"/>
      </iconSet>
    </cfRule>
    <cfRule type="iconSet" priority="81">
      <iconSet iconSet="3Symbols2">
        <cfvo type="percent" val="0"/>
        <cfvo type="percent" val="33"/>
        <cfvo type="percent" val="67"/>
      </iconSet>
    </cfRule>
    <cfRule type="cellIs" dxfId="286" priority="82" operator="equal">
      <formula>"Green"</formula>
    </cfRule>
  </conditionalFormatting>
  <conditionalFormatting sqref="O5:O18">
    <cfRule type="iconSet" priority="79">
      <iconSet iconSet="3Symbols2" showValue="0">
        <cfvo type="percent" val="0"/>
        <cfvo type="num" val="0" gte="0"/>
        <cfvo type="num" val="1"/>
      </iconSet>
    </cfRule>
  </conditionalFormatting>
  <conditionalFormatting sqref="Q5:Q18">
    <cfRule type="containsText" dxfId="285" priority="76" operator="containsText" text="Red">
      <formula>NOT(ISERROR(SEARCH("Red",Q5)))</formula>
    </cfRule>
    <cfRule type="containsText" dxfId="284" priority="77" operator="containsText" text="Amber">
      <formula>NOT(ISERROR(SEARCH("Amber",Q5)))</formula>
    </cfRule>
    <cfRule type="containsText" dxfId="283" priority="78" operator="containsText" text="Green">
      <formula>NOT(ISERROR(SEARCH("Green",Q5)))</formula>
    </cfRule>
  </conditionalFormatting>
  <conditionalFormatting sqref="Q5:Q18">
    <cfRule type="iconSet" priority="73">
      <iconSet iconSet="3Symbols2">
        <cfvo type="percent" val="0"/>
        <cfvo type="num" val="0"/>
        <cfvo type="num" val="1"/>
      </iconSet>
    </cfRule>
    <cfRule type="iconSet" priority="74">
      <iconSet iconSet="3Symbols2">
        <cfvo type="percent" val="0"/>
        <cfvo type="percent" val="33"/>
        <cfvo type="percent" val="67"/>
      </iconSet>
    </cfRule>
    <cfRule type="cellIs" dxfId="282" priority="75" operator="equal">
      <formula>"Green"</formula>
    </cfRule>
  </conditionalFormatting>
  <conditionalFormatting sqref="Q5:Q18">
    <cfRule type="iconSet" priority="72">
      <iconSet iconSet="3Symbols2" showValue="0">
        <cfvo type="percent" val="0"/>
        <cfvo type="num" val="0" gte="0"/>
        <cfvo type="num" val="1"/>
      </iconSet>
    </cfRule>
  </conditionalFormatting>
  <conditionalFormatting sqref="J5:J18">
    <cfRule type="containsText" dxfId="281" priority="55" operator="containsText" text="Red">
      <formula>NOT(ISERROR(SEARCH("Red",J5)))</formula>
    </cfRule>
    <cfRule type="containsText" dxfId="280" priority="56" operator="containsText" text="Amber">
      <formula>NOT(ISERROR(SEARCH("Amber",J5)))</formula>
    </cfRule>
    <cfRule type="containsText" dxfId="279" priority="57" operator="containsText" text="Green">
      <formula>NOT(ISERROR(SEARCH("Green",J5)))</formula>
    </cfRule>
  </conditionalFormatting>
  <conditionalFormatting sqref="J5:J18">
    <cfRule type="iconSet" priority="52">
      <iconSet iconSet="3Symbols2">
        <cfvo type="percent" val="0"/>
        <cfvo type="num" val="0"/>
        <cfvo type="num" val="1"/>
      </iconSet>
    </cfRule>
    <cfRule type="iconSet" priority="53">
      <iconSet iconSet="3Symbols2">
        <cfvo type="percent" val="0"/>
        <cfvo type="percent" val="33"/>
        <cfvo type="percent" val="67"/>
      </iconSet>
    </cfRule>
    <cfRule type="cellIs" dxfId="278" priority="54" operator="equal">
      <formula>"Green"</formula>
    </cfRule>
  </conditionalFormatting>
  <conditionalFormatting sqref="J5:J18">
    <cfRule type="iconSet" priority="51">
      <iconSet iconSet="3Symbols2" showValue="0">
        <cfvo type="percent" val="0"/>
        <cfvo type="num" val="0" gte="0"/>
        <cfvo type="num" val="1"/>
      </iconSet>
    </cfRule>
  </conditionalFormatting>
  <conditionalFormatting sqref="L5:L18">
    <cfRule type="containsText" dxfId="277" priority="48" operator="containsText" text="Red">
      <formula>NOT(ISERROR(SEARCH("Red",L5)))</formula>
    </cfRule>
    <cfRule type="containsText" dxfId="276" priority="49" operator="containsText" text="Amber">
      <formula>NOT(ISERROR(SEARCH("Amber",L5)))</formula>
    </cfRule>
    <cfRule type="containsText" dxfId="275" priority="50" operator="containsText" text="Green">
      <formula>NOT(ISERROR(SEARCH("Green",L5)))</formula>
    </cfRule>
  </conditionalFormatting>
  <conditionalFormatting sqref="L5:L18">
    <cfRule type="iconSet" priority="45">
      <iconSet iconSet="3Symbols2">
        <cfvo type="percent" val="0"/>
        <cfvo type="num" val="0"/>
        <cfvo type="num" val="1"/>
      </iconSet>
    </cfRule>
    <cfRule type="iconSet" priority="46">
      <iconSet iconSet="3Symbols2">
        <cfvo type="percent" val="0"/>
        <cfvo type="percent" val="33"/>
        <cfvo type="percent" val="67"/>
      </iconSet>
    </cfRule>
    <cfRule type="cellIs" dxfId="274" priority="47" operator="equal">
      <formula>"Green"</formula>
    </cfRule>
  </conditionalFormatting>
  <conditionalFormatting sqref="L5:L18">
    <cfRule type="iconSet" priority="44">
      <iconSet iconSet="3Symbols2" showValue="0">
        <cfvo type="percent" val="0"/>
        <cfvo type="num" val="0" gte="0"/>
        <cfvo type="num" val="1"/>
      </iconSet>
    </cfRule>
  </conditionalFormatting>
  <conditionalFormatting sqref="T4:T6 T8 T12 T15">
    <cfRule type="iconSet" priority="212">
      <iconSet iconSet="3Symbols2" showValue="0">
        <cfvo type="percent" val="0"/>
        <cfvo type="num" val="0" gte="0"/>
        <cfvo type="num" val="1"/>
      </iconSet>
    </cfRule>
  </conditionalFormatting>
  <conditionalFormatting sqref="D5:E18 C20:E20">
    <cfRule type="iconSet" priority="222">
      <iconSet iconSet="3Symbols2" showValue="0">
        <cfvo type="percent" val="0"/>
        <cfvo type="num" val="0" gte="0"/>
        <cfvo type="num" val="1"/>
      </iconSet>
    </cfRule>
  </conditionalFormatting>
  <conditionalFormatting sqref="B3 B37:B1048576 B5:B23">
    <cfRule type="containsText" dxfId="273" priority="26" operator="containsText" text="Red">
      <formula>NOT(ISERROR(SEARCH("Red",B3)))</formula>
    </cfRule>
    <cfRule type="containsText" dxfId="272" priority="27" operator="containsText" text="Amber">
      <formula>NOT(ISERROR(SEARCH("Amber",B3)))</formula>
    </cfRule>
    <cfRule type="containsText" dxfId="271" priority="28" operator="containsText" text="Green">
      <formula>NOT(ISERROR(SEARCH("Green",B3)))</formula>
    </cfRule>
  </conditionalFormatting>
  <conditionalFormatting sqref="B5:B18">
    <cfRule type="iconSet" priority="23">
      <iconSet iconSet="3Symbols2">
        <cfvo type="percent" val="0"/>
        <cfvo type="num" val="0"/>
        <cfvo type="num" val="1"/>
      </iconSet>
    </cfRule>
    <cfRule type="iconSet" priority="24">
      <iconSet iconSet="3Symbols2">
        <cfvo type="percent" val="0"/>
        <cfvo type="percent" val="33"/>
        <cfvo type="percent" val="67"/>
      </iconSet>
    </cfRule>
    <cfRule type="cellIs" dxfId="270" priority="25" operator="equal">
      <formula>"Green"</formula>
    </cfRule>
  </conditionalFormatting>
  <conditionalFormatting sqref="B5:B18">
    <cfRule type="iconSet" priority="22">
      <iconSet iconSet="3Symbols2" showValue="0">
        <cfvo type="percent" val="0"/>
        <cfvo type="num" val="0" gte="0"/>
        <cfvo type="num" val="1"/>
      </iconSet>
    </cfRule>
  </conditionalFormatting>
  <conditionalFormatting sqref="B5:B20">
    <cfRule type="iconSet" priority="29">
      <iconSet iconSet="3Symbols2" showValue="0">
        <cfvo type="percent" val="0"/>
        <cfvo type="num" val="0" gte="0"/>
        <cfvo type="num" val="1"/>
      </iconSet>
    </cfRule>
  </conditionalFormatting>
  <conditionalFormatting sqref="J20">
    <cfRule type="containsText" dxfId="269" priority="17" operator="containsText" text="Red">
      <formula>NOT(ISERROR(SEARCH("Red",J20)))</formula>
    </cfRule>
    <cfRule type="containsText" dxfId="268" priority="18" operator="containsText" text="Amber">
      <formula>NOT(ISERROR(SEARCH("Amber",J20)))</formula>
    </cfRule>
    <cfRule type="containsText" dxfId="267" priority="19" operator="containsText" text="Green">
      <formula>NOT(ISERROR(SEARCH("Green",J20)))</formula>
    </cfRule>
  </conditionalFormatting>
  <conditionalFormatting sqref="J20">
    <cfRule type="iconSet" priority="20">
      <iconSet iconSet="3Symbols2" showValue="0">
        <cfvo type="percent" val="0"/>
        <cfvo type="num" val="0" gte="0"/>
        <cfvo type="num" val="1"/>
      </iconSet>
    </cfRule>
  </conditionalFormatting>
  <conditionalFormatting sqref="L20">
    <cfRule type="containsText" dxfId="266" priority="13" operator="containsText" text="Red">
      <formula>NOT(ISERROR(SEARCH("Red",L20)))</formula>
    </cfRule>
    <cfRule type="containsText" dxfId="265" priority="14" operator="containsText" text="Amber">
      <formula>NOT(ISERROR(SEARCH("Amber",L20)))</formula>
    </cfRule>
    <cfRule type="containsText" dxfId="264" priority="15" operator="containsText" text="Green">
      <formula>NOT(ISERROR(SEARCH("Green",L20)))</formula>
    </cfRule>
  </conditionalFormatting>
  <conditionalFormatting sqref="L20">
    <cfRule type="iconSet" priority="16">
      <iconSet iconSet="3Symbols2" showValue="0">
        <cfvo type="percent" val="0"/>
        <cfvo type="num" val="0" gte="0"/>
        <cfvo type="num" val="1"/>
      </iconSet>
    </cfRule>
  </conditionalFormatting>
  <conditionalFormatting sqref="O20">
    <cfRule type="containsText" dxfId="263" priority="9" operator="containsText" text="Red">
      <formula>NOT(ISERROR(SEARCH("Red",O20)))</formula>
    </cfRule>
    <cfRule type="containsText" dxfId="262" priority="10" operator="containsText" text="Amber">
      <formula>NOT(ISERROR(SEARCH("Amber",O20)))</formula>
    </cfRule>
    <cfRule type="containsText" dxfId="261" priority="11" operator="containsText" text="Green">
      <formula>NOT(ISERROR(SEARCH("Green",O20)))</formula>
    </cfRule>
  </conditionalFormatting>
  <conditionalFormatting sqref="O20">
    <cfRule type="iconSet" priority="12">
      <iconSet iconSet="3Symbols2" showValue="0">
        <cfvo type="percent" val="0"/>
        <cfvo type="num" val="0" gte="0"/>
        <cfvo type="num" val="1"/>
      </iconSet>
    </cfRule>
  </conditionalFormatting>
  <conditionalFormatting sqref="Q20">
    <cfRule type="containsText" dxfId="260" priority="5" operator="containsText" text="Red">
      <formula>NOT(ISERROR(SEARCH("Red",Q20)))</formula>
    </cfRule>
    <cfRule type="containsText" dxfId="259" priority="6" operator="containsText" text="Amber">
      <formula>NOT(ISERROR(SEARCH("Amber",Q20)))</formula>
    </cfRule>
    <cfRule type="containsText" dxfId="258" priority="7" operator="containsText" text="Green">
      <formula>NOT(ISERROR(SEARCH("Green",Q20)))</formula>
    </cfRule>
  </conditionalFormatting>
  <conditionalFormatting sqref="Q20">
    <cfRule type="iconSet" priority="8">
      <iconSet iconSet="3Symbols2" showValue="0">
        <cfvo type="percent" val="0"/>
        <cfvo type="num" val="0" gte="0"/>
        <cfvo type="num" val="1"/>
      </iconSet>
    </cfRule>
  </conditionalFormatting>
  <conditionalFormatting sqref="T20">
    <cfRule type="containsText" dxfId="257" priority="1" operator="containsText" text="Red">
      <formula>NOT(ISERROR(SEARCH("Red",T20)))</formula>
    </cfRule>
    <cfRule type="containsText" dxfId="256" priority="2" operator="containsText" text="Amber">
      <formula>NOT(ISERROR(SEARCH("Amber",T20)))</formula>
    </cfRule>
    <cfRule type="containsText" dxfId="255" priority="3" operator="containsText" text="Green">
      <formula>NOT(ISERROR(SEARCH("Green",T20)))</formula>
    </cfRule>
  </conditionalFormatting>
  <conditionalFormatting sqref="T20">
    <cfRule type="iconSet" priority="4">
      <iconSet iconSet="3Symbols2" showValue="0">
        <cfvo type="percent" val="0"/>
        <cfvo type="num" val="0" gte="0"/>
        <cfvo type="num" val="1"/>
      </iconSet>
    </cfRule>
  </conditionalFormatting>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tint="-0.249977111117893"/>
  </sheetPr>
  <dimension ref="A1:J41"/>
  <sheetViews>
    <sheetView workbookViewId="0">
      <selection activeCell="D7" sqref="D7"/>
    </sheetView>
  </sheetViews>
  <sheetFormatPr defaultColWidth="9.1796875" defaultRowHeight="11.5"/>
  <cols>
    <col min="1" max="1" width="11" style="2" bestFit="1" customWidth="1"/>
    <col min="2" max="2" width="33.81640625" style="56" customWidth="1"/>
    <col min="3" max="3" width="11" style="2" customWidth="1"/>
    <col min="4" max="8" width="12.1796875" style="2" customWidth="1"/>
    <col min="9" max="9" width="12.36328125" style="2" customWidth="1"/>
    <col min="10" max="10" width="18.453125" style="2" hidden="1" customWidth="1"/>
    <col min="11" max="16384" width="9.1796875" style="2"/>
  </cols>
  <sheetData>
    <row r="1" spans="1:10" ht="19.5">
      <c r="A1" s="885" t="s">
        <v>178</v>
      </c>
      <c r="B1" s="885"/>
      <c r="C1" s="885"/>
      <c r="D1" s="885"/>
      <c r="E1" s="885"/>
    </row>
    <row r="2" spans="1:10">
      <c r="D2" s="1"/>
    </row>
    <row r="3" spans="1:10" ht="21.75" customHeight="1">
      <c r="B3" s="1158" t="s">
        <v>179</v>
      </c>
    </row>
    <row r="4" spans="1:10" ht="14.5">
      <c r="B4" s="1158"/>
      <c r="C4"/>
      <c r="D4"/>
      <c r="E4"/>
      <c r="F4"/>
      <c r="G4"/>
      <c r="H4"/>
      <c r="I4"/>
    </row>
    <row r="5" spans="1:10" ht="12" customHeight="1" thickBot="1">
      <c r="B5" s="1158"/>
      <c r="C5" s="262" t="s">
        <v>1358</v>
      </c>
      <c r="D5"/>
      <c r="E5"/>
      <c r="F5"/>
      <c r="G5"/>
      <c r="H5"/>
      <c r="I5"/>
    </row>
    <row r="6" spans="1:10" ht="58" thickBot="1">
      <c r="B6" s="1158"/>
      <c r="C6" s="317"/>
      <c r="D6" s="394" t="s">
        <v>180</v>
      </c>
      <c r="E6" s="394" t="s">
        <v>181</v>
      </c>
      <c r="F6" s="394" t="s">
        <v>182</v>
      </c>
      <c r="G6" s="394" t="s">
        <v>183</v>
      </c>
      <c r="H6" s="394" t="s">
        <v>184</v>
      </c>
      <c r="I6" s="395" t="s">
        <v>185</v>
      </c>
      <c r="J6" s="2" t="s">
        <v>186</v>
      </c>
    </row>
    <row r="7" spans="1:10" ht="12" thickBot="1">
      <c r="B7" s="1158"/>
      <c r="C7" s="396" t="s">
        <v>161</v>
      </c>
      <c r="D7" s="1073">
        <f>'Ch2 outputs - reliability'!E169</f>
        <v>16.70850378221057</v>
      </c>
      <c r="E7" s="1073">
        <v>0</v>
      </c>
      <c r="F7" s="1073">
        <f>'Ch2 outputs - connections'!DA42</f>
        <v>1.5161046805104819</v>
      </c>
      <c r="G7" s="1073">
        <f>'Ch2 outputs - cust sat'!AL99</f>
        <v>3.1822059995033793</v>
      </c>
      <c r="H7" s="1073">
        <f>SUM(INDEX('Ch2 outputs - environment'!$J$28:$J$34,MATCH('Ch2 - Incentive payments'!$J7,'Ch2 outputs - environment'!$D$28:$D$33,0)))</f>
        <v>0</v>
      </c>
      <c r="I7" s="1074">
        <f t="shared" ref="I7:I21" si="0">SUM(D7:H7)</f>
        <v>21.406814462224432</v>
      </c>
      <c r="J7" s="2" t="s">
        <v>161</v>
      </c>
    </row>
    <row r="8" spans="1:10" ht="12" customHeight="1" thickBot="1">
      <c r="B8" s="1158"/>
      <c r="C8" s="396" t="s">
        <v>162</v>
      </c>
      <c r="D8" s="1073">
        <f>'Ch2 outputs - reliability'!E170</f>
        <v>5.8542786035456542</v>
      </c>
      <c r="E8" s="1073">
        <v>0</v>
      </c>
      <c r="F8" s="1073">
        <f>'Ch2 outputs - connections'!DA43</f>
        <v>0</v>
      </c>
      <c r="G8" s="1073">
        <f>'Ch2 outputs - cust sat'!AL100</f>
        <v>0.87419077813426005</v>
      </c>
      <c r="H8" s="1073">
        <f>SUM(INDEX('Ch2 outputs - environment'!$J$28:$J$34,MATCH('Ch2 - Incentive payments'!$J8,'Ch2 outputs - environment'!$D$28:$D$33,0)))</f>
        <v>0</v>
      </c>
      <c r="I8" s="1074">
        <f t="shared" si="0"/>
        <v>6.7284693816799139</v>
      </c>
      <c r="J8" s="2" t="s">
        <v>187</v>
      </c>
    </row>
    <row r="9" spans="1:10" ht="12" customHeight="1" thickBot="1">
      <c r="B9" s="1158"/>
      <c r="C9" s="396" t="s">
        <v>163</v>
      </c>
      <c r="D9" s="1073">
        <f>'Ch2 outputs - reliability'!E171</f>
        <v>10.723938276286889</v>
      </c>
      <c r="E9" s="1073">
        <v>0</v>
      </c>
      <c r="F9" s="1073">
        <f>'Ch2 outputs - connections'!DA44</f>
        <v>0</v>
      </c>
      <c r="G9" s="1073">
        <f>'Ch2 outputs - cust sat'!AL101</f>
        <v>1.1961760061191802</v>
      </c>
      <c r="H9" s="1073">
        <f>SUM(INDEX('Ch2 outputs - environment'!$J$28:$J$34,MATCH('Ch2 - Incentive payments'!$J9,'Ch2 outputs - environment'!$D$28:$D$33,0)))</f>
        <v>0</v>
      </c>
      <c r="I9" s="1074">
        <f t="shared" si="0"/>
        <v>11.920114282406068</v>
      </c>
      <c r="J9" s="2" t="s">
        <v>187</v>
      </c>
    </row>
    <row r="10" spans="1:10" ht="12" customHeight="1" thickBot="1">
      <c r="B10" s="1158"/>
      <c r="C10" s="396" t="s">
        <v>164</v>
      </c>
      <c r="D10" s="1073">
        <f>'Ch2 outputs - reliability'!E172</f>
        <v>22.50958209870236</v>
      </c>
      <c r="E10" s="1073">
        <v>0</v>
      </c>
      <c r="F10" s="1073">
        <f>'Ch2 outputs - connections'!DA45</f>
        <v>2.0347535846871696</v>
      </c>
      <c r="G10" s="1073">
        <f>'Ch2 outputs - cust sat'!AL102</f>
        <v>5.1422404366287298</v>
      </c>
      <c r="H10" s="1073">
        <f>SUM(INDEX('Ch2 outputs - environment'!$J$28:$J$34,MATCH('Ch2 - Incentive payments'!$J10,'Ch2 outputs - environment'!$D$28:$D$33,0)))</f>
        <v>0</v>
      </c>
      <c r="I10" s="1074">
        <f t="shared" si="0"/>
        <v>29.686576120018259</v>
      </c>
      <c r="J10" s="2" t="s">
        <v>1410</v>
      </c>
    </row>
    <row r="11" spans="1:10" ht="12" customHeight="1" thickBot="1">
      <c r="B11" s="1158"/>
      <c r="C11" s="396" t="s">
        <v>165</v>
      </c>
      <c r="D11" s="1073">
        <f>'Ch2 outputs - reliability'!E173</f>
        <v>20.431770052321049</v>
      </c>
      <c r="E11" s="1073">
        <v>0</v>
      </c>
      <c r="F11" s="1073">
        <f>'Ch2 outputs - connections'!DA46</f>
        <v>2.0347535846871696</v>
      </c>
      <c r="G11" s="1073">
        <f>'Ch2 outputs - cust sat'!AL103</f>
        <v>5.3670052225905653</v>
      </c>
      <c r="H11" s="1073">
        <f>SUM(INDEX('Ch2 outputs - environment'!$J$28:$J$34,MATCH('Ch2 - Incentive payments'!$J11,'Ch2 outputs - environment'!$D$28:$D$33,0)))</f>
        <v>0</v>
      </c>
      <c r="I11" s="1074">
        <f t="shared" si="0"/>
        <v>27.833528859598786</v>
      </c>
      <c r="J11" s="2" t="s">
        <v>1410</v>
      </c>
    </row>
    <row r="12" spans="1:10" ht="12" customHeight="1" thickBot="1">
      <c r="B12" s="1158"/>
      <c r="C12" s="396" t="s">
        <v>166</v>
      </c>
      <c r="D12" s="1073">
        <f>'Ch2 outputs - reliability'!E174</f>
        <v>6.0322311437764906</v>
      </c>
      <c r="E12" s="1073">
        <v>0</v>
      </c>
      <c r="F12" s="1073">
        <f>'Ch2 outputs - connections'!DA47</f>
        <v>1.0173767923435848</v>
      </c>
      <c r="G12" s="1073">
        <f>'Ch2 outputs - cust sat'!AL104</f>
        <v>2.6028386983292213</v>
      </c>
      <c r="H12" s="1073">
        <f>SUM(INDEX('Ch2 outputs - environment'!$J$28:$J$34,MATCH('Ch2 - Incentive payments'!$J12,'Ch2 outputs - environment'!$D$28:$D$33,0)))</f>
        <v>0</v>
      </c>
      <c r="I12" s="1074">
        <f t="shared" si="0"/>
        <v>9.6524466344492978</v>
      </c>
      <c r="J12" s="2" t="s">
        <v>1410</v>
      </c>
    </row>
    <row r="13" spans="1:10" ht="12" customHeight="1" thickBot="1">
      <c r="B13" s="1158"/>
      <c r="C13" s="396" t="s">
        <v>167</v>
      </c>
      <c r="D13" s="1073">
        <f>'Ch2 outputs - reliability'!E175</f>
        <v>5.8244205750214784</v>
      </c>
      <c r="E13" s="1073">
        <v>0</v>
      </c>
      <c r="F13" s="1073">
        <f>'Ch2 outputs - connections'!DA48</f>
        <v>1.5260651885153773</v>
      </c>
      <c r="G13" s="1073">
        <f>'Ch2 outputs - cust sat'!AL105</f>
        <v>3.2495910283548723</v>
      </c>
      <c r="H13" s="1073">
        <f>SUM(INDEX('Ch2 outputs - environment'!$J$28:$J$34,MATCH('Ch2 - Incentive payments'!$J13,'Ch2 outputs - environment'!$D$28:$D$33,0)))</f>
        <v>0</v>
      </c>
      <c r="I13" s="1074">
        <f t="shared" si="0"/>
        <v>10.600076791891729</v>
      </c>
      <c r="J13" s="2" t="s">
        <v>1410</v>
      </c>
    </row>
    <row r="14" spans="1:10" ht="12" customHeight="1" thickBot="1">
      <c r="B14" s="1158"/>
      <c r="C14" s="396" t="s">
        <v>168</v>
      </c>
      <c r="D14" s="1073">
        <f>'Ch2 outputs - reliability'!E176</f>
        <v>16.708338988862778</v>
      </c>
      <c r="E14" s="1073">
        <v>0</v>
      </c>
      <c r="F14" s="1073">
        <f>'Ch2 outputs - connections'!DA49</f>
        <v>1.0653712731446381</v>
      </c>
      <c r="G14" s="1073">
        <f>'Ch2 outputs - cust sat'!AL106</f>
        <v>5.5463228772861957</v>
      </c>
      <c r="H14" s="1073">
        <f>SUM(INDEX('Ch2 outputs - environment'!$J$28:$J$34,MATCH('Ch2 - Incentive payments'!$J14,'Ch2 outputs - environment'!$D$28:$D$33,0)))</f>
        <v>0</v>
      </c>
      <c r="I14" s="1074">
        <f t="shared" si="0"/>
        <v>23.320033139293614</v>
      </c>
      <c r="J14" s="2" t="s">
        <v>188</v>
      </c>
    </row>
    <row r="15" spans="1:10" ht="12" customHeight="1" thickBot="1">
      <c r="B15" s="1158"/>
      <c r="C15" s="396" t="s">
        <v>169</v>
      </c>
      <c r="D15" s="1073">
        <f>'Ch2 outputs - reliability'!E177</f>
        <v>13.967149676059405</v>
      </c>
      <c r="E15" s="1073">
        <v>0</v>
      </c>
      <c r="F15" s="1073">
        <f>'Ch2 outputs - connections'!DA50</f>
        <v>0.86225049688471622</v>
      </c>
      <c r="G15" s="1073">
        <f>'Ch2 outputs - cust sat'!AL107</f>
        <v>5.7889049555532859</v>
      </c>
      <c r="H15" s="1073">
        <f>SUM(INDEX('Ch2 outputs - environment'!$J$28:$J$34,MATCH('Ch2 - Incentive payments'!$J15,'Ch2 outputs - environment'!$D$28:$D$33,0)))</f>
        <v>0</v>
      </c>
      <c r="I15" s="1074">
        <f t="shared" si="0"/>
        <v>20.618305128497408</v>
      </c>
      <c r="J15" s="2" t="s">
        <v>188</v>
      </c>
    </row>
    <row r="16" spans="1:10" ht="12" customHeight="1" thickBot="1">
      <c r="B16" s="1158"/>
      <c r="C16" s="396" t="s">
        <v>170</v>
      </c>
      <c r="D16" s="1073">
        <f>'Ch2 outputs - reliability'!E178</f>
        <v>25.643565284387456</v>
      </c>
      <c r="E16" s="1073">
        <v>0</v>
      </c>
      <c r="F16" s="1073">
        <f>'Ch2 outputs - connections'!DA51</f>
        <v>2.0423290827203804</v>
      </c>
      <c r="G16" s="1073">
        <f>'Ch2 outputs - cust sat'!AL108</f>
        <v>8.5043617451721669</v>
      </c>
      <c r="H16" s="1073">
        <f>SUM(INDEX('Ch2 outputs - environment'!$J$28:$J$34,MATCH('Ch2 - Incentive payments'!$J16,'Ch2 outputs - environment'!$D$28:$D$33,0)))</f>
        <v>0</v>
      </c>
      <c r="I16" s="1074">
        <f t="shared" si="0"/>
        <v>36.190256112280004</v>
      </c>
      <c r="J16" s="2" t="s">
        <v>188</v>
      </c>
    </row>
    <row r="17" spans="2:10" ht="12" customHeight="1" thickBot="1">
      <c r="B17" s="1158"/>
      <c r="C17" s="396" t="s">
        <v>171</v>
      </c>
      <c r="D17" s="1073">
        <f>'Ch2 outputs - reliability'!E179</f>
        <v>11.793906259653655</v>
      </c>
      <c r="E17" s="1073">
        <v>0</v>
      </c>
      <c r="F17" s="1073">
        <f>'Ch2 outputs - connections'!DA52</f>
        <v>0.71020359451225812</v>
      </c>
      <c r="G17" s="1073">
        <f>'Ch2 outputs - cust sat'!AL109</f>
        <v>4.310911241909209</v>
      </c>
      <c r="H17" s="1073">
        <f>SUM(INDEX('Ch2 outputs - environment'!$J$28:$J$34,MATCH('Ch2 - Incentive payments'!$J17,'Ch2 outputs - environment'!$D$28:$D$33,0)))</f>
        <v>0</v>
      </c>
      <c r="I17" s="1074">
        <f t="shared" si="0"/>
        <v>16.815021096075121</v>
      </c>
      <c r="J17" s="2" t="s">
        <v>189</v>
      </c>
    </row>
    <row r="18" spans="2:10" ht="12" customHeight="1" thickBot="1">
      <c r="B18" s="1158"/>
      <c r="C18" s="396" t="s">
        <v>172</v>
      </c>
      <c r="D18" s="1073">
        <f>'Ch2 outputs - reliability'!E180</f>
        <v>3.4335364797836698</v>
      </c>
      <c r="E18" s="1073">
        <v>0</v>
      </c>
      <c r="F18" s="1073">
        <f>'Ch2 outputs - connections'!DA53</f>
        <v>0.12286767961265573</v>
      </c>
      <c r="G18" s="1073">
        <f>'Ch2 outputs - cust sat'!AL110</f>
        <v>4.3434782362613875</v>
      </c>
      <c r="H18" s="1073">
        <f>SUM(INDEX('Ch2 outputs - environment'!$J$28:$J$34,MATCH('Ch2 - Incentive payments'!$J18,'Ch2 outputs - environment'!$D$28:$D$33,0)))</f>
        <v>0</v>
      </c>
      <c r="I18" s="1074">
        <f t="shared" si="0"/>
        <v>7.8998823956577127</v>
      </c>
      <c r="J18" s="2" t="s">
        <v>189</v>
      </c>
    </row>
    <row r="19" spans="2:10" ht="12" customHeight="1" thickBot="1">
      <c r="B19" s="1158"/>
      <c r="C19" s="396" t="s">
        <v>28</v>
      </c>
      <c r="D19" s="1073">
        <f>'Ch2 outputs - reliability'!E181</f>
        <v>4.2421533449555788</v>
      </c>
      <c r="E19" s="1073">
        <v>0</v>
      </c>
      <c r="F19" s="1073">
        <f>'Ch2 outputs - connections'!DA54</f>
        <v>0.92043344103941205</v>
      </c>
      <c r="G19" s="1073">
        <f>'Ch2 outputs - cust sat'!AL111</f>
        <v>2.6446139770349451</v>
      </c>
      <c r="H19" s="1073">
        <f>SUM(INDEX('Ch2 outputs - environment'!$J$28:$J$34,MATCH('Ch2 - Incentive payments'!$J19,'Ch2 outputs - environment'!$D$28:$D$33,0)))</f>
        <v>0</v>
      </c>
      <c r="I19" s="1074">
        <f t="shared" si="0"/>
        <v>7.807200763029936</v>
      </c>
      <c r="J19" s="2" t="s">
        <v>190</v>
      </c>
    </row>
    <row r="20" spans="2:10" ht="12" customHeight="1" thickBot="1">
      <c r="B20" s="1158"/>
      <c r="C20" s="396" t="s">
        <v>173</v>
      </c>
      <c r="D20" s="1073">
        <f>'Ch2 outputs - reliability'!E182</f>
        <v>10.15084437359852</v>
      </c>
      <c r="E20" s="1073">
        <v>0</v>
      </c>
      <c r="F20" s="1073">
        <f>'Ch2 outputs - connections'!DA55</f>
        <v>0.29764537824837067</v>
      </c>
      <c r="G20" s="1073">
        <f>'Ch2 outputs - cust sat'!AL112</f>
        <v>1.1444080190157193</v>
      </c>
      <c r="H20" s="1073">
        <f>SUM(INDEX('Ch2 outputs - environment'!$J$28:$J$34,MATCH('Ch2 - Incentive payments'!$J20,'Ch2 outputs - environment'!$D$28:$D$33,0)))</f>
        <v>0</v>
      </c>
      <c r="I20" s="1074">
        <f t="shared" si="0"/>
        <v>11.59289777086261</v>
      </c>
      <c r="J20" s="2" t="s">
        <v>190</v>
      </c>
    </row>
    <row r="21" spans="2:10" ht="12" thickBot="1">
      <c r="B21" s="1158"/>
      <c r="C21" s="397" t="s">
        <v>174</v>
      </c>
      <c r="D21" s="1074">
        <f>SUM(D7:D20)</f>
        <v>174.02421893916554</v>
      </c>
      <c r="E21" s="1074">
        <f>SUM(E7:E20)</f>
        <v>0</v>
      </c>
      <c r="F21" s="1074">
        <f>SUM(F7:F20)</f>
        <v>14.150154776906213</v>
      </c>
      <c r="G21" s="1074">
        <f>SUM(G7:G20)</f>
        <v>53.897249221893119</v>
      </c>
      <c r="H21" s="1074">
        <f>SUM(H7:H20)</f>
        <v>0</v>
      </c>
      <c r="I21" s="1074">
        <f t="shared" si="0"/>
        <v>242.07162293796489</v>
      </c>
    </row>
    <row r="41" spans="4:4">
      <c r="D41" s="923"/>
    </row>
  </sheetData>
  <mergeCells count="1">
    <mergeCell ref="B3:B2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tint="-0.249977111117893"/>
  </sheetPr>
  <dimension ref="A1:AH649"/>
  <sheetViews>
    <sheetView topLeftCell="A7" zoomScale="85" zoomScaleNormal="85" workbookViewId="0">
      <selection activeCell="Z338" sqref="Z325:Z338"/>
    </sheetView>
  </sheetViews>
  <sheetFormatPr defaultColWidth="9.1796875" defaultRowHeight="11.5"/>
  <cols>
    <col min="1" max="1" width="11" style="2" bestFit="1" customWidth="1"/>
    <col min="2" max="2" width="17" style="56" customWidth="1"/>
    <col min="3" max="31" width="17" style="2" customWidth="1"/>
    <col min="32" max="32" width="10" style="2" bestFit="1" customWidth="1"/>
    <col min="33" max="16384" width="9.1796875" style="2"/>
  </cols>
  <sheetData>
    <row r="1" spans="1:28" ht="19.5">
      <c r="A1" s="885" t="s">
        <v>178</v>
      </c>
      <c r="B1" s="885"/>
      <c r="C1" s="885"/>
      <c r="D1" s="885"/>
      <c r="E1" s="885"/>
      <c r="F1" s="885"/>
      <c r="G1" s="893"/>
    </row>
    <row r="2" spans="1:28">
      <c r="B2" s="107" t="s">
        <v>212</v>
      </c>
      <c r="E2" s="1"/>
      <c r="X2" s="108"/>
    </row>
    <row r="3" spans="1:28">
      <c r="E3" s="1"/>
      <c r="X3" s="108"/>
    </row>
    <row r="4" spans="1:28" ht="27" customHeight="1">
      <c r="B4" s="1191" t="s">
        <v>213</v>
      </c>
      <c r="C4" s="1191"/>
      <c r="D4" s="1191"/>
      <c r="E4" s="1191"/>
      <c r="F4" s="1191"/>
      <c r="G4" s="1191"/>
      <c r="H4" s="1191"/>
      <c r="I4" s="1191"/>
      <c r="J4" s="1191"/>
      <c r="X4" s="108"/>
    </row>
    <row r="5" spans="1:28" ht="13.5">
      <c r="B5" s="1192" t="s">
        <v>214</v>
      </c>
      <c r="C5" s="1192"/>
      <c r="D5" s="1192"/>
      <c r="E5" s="1192"/>
      <c r="F5" s="1192" t="s">
        <v>215</v>
      </c>
      <c r="G5" s="1192"/>
      <c r="H5" s="1192"/>
      <c r="I5" s="1192"/>
      <c r="J5" s="1192"/>
      <c r="X5" s="108"/>
    </row>
    <row r="6" spans="1:28" ht="44.25" customHeight="1">
      <c r="B6" s="1190" t="s">
        <v>216</v>
      </c>
      <c r="C6" s="1190"/>
      <c r="D6" s="1190"/>
      <c r="E6" s="1190"/>
      <c r="F6" s="1193" t="s">
        <v>217</v>
      </c>
      <c r="G6" s="1194"/>
      <c r="H6" s="1194"/>
      <c r="I6" s="1194"/>
      <c r="J6" s="1195"/>
      <c r="X6" s="108"/>
    </row>
    <row r="7" spans="1:28" ht="44.25" customHeight="1">
      <c r="B7" s="1190" t="s">
        <v>218</v>
      </c>
      <c r="C7" s="1190"/>
      <c r="D7" s="1190"/>
      <c r="E7" s="1190"/>
      <c r="F7" s="1190" t="s">
        <v>219</v>
      </c>
      <c r="G7" s="1196"/>
      <c r="H7" s="1196"/>
      <c r="I7" s="1196"/>
      <c r="J7" s="1196"/>
      <c r="X7" s="108"/>
    </row>
    <row r="8" spans="1:28" ht="39" customHeight="1">
      <c r="B8" s="1190" t="s">
        <v>220</v>
      </c>
      <c r="C8" s="1190"/>
      <c r="D8" s="1190"/>
      <c r="E8" s="1190"/>
      <c r="F8" s="1190" t="s">
        <v>221</v>
      </c>
      <c r="G8" s="1196"/>
      <c r="H8" s="1196"/>
      <c r="I8" s="1196"/>
      <c r="J8" s="1196"/>
      <c r="X8" s="108"/>
    </row>
    <row r="9" spans="1:28" ht="29.25" customHeight="1">
      <c r="B9" s="1190" t="s">
        <v>222</v>
      </c>
      <c r="C9" s="1190"/>
      <c r="D9" s="1190"/>
      <c r="E9" s="1190"/>
      <c r="F9" s="1196" t="s">
        <v>223</v>
      </c>
      <c r="G9" s="1196"/>
      <c r="H9" s="1196"/>
      <c r="I9" s="1196"/>
      <c r="J9" s="1196"/>
      <c r="L9" s="9"/>
      <c r="X9" s="108"/>
    </row>
    <row r="10" spans="1:28" ht="13.5" customHeight="1">
      <c r="B10" s="175"/>
      <c r="C10" s="175"/>
      <c r="D10" s="175"/>
      <c r="E10" s="175"/>
      <c r="F10" s="176"/>
      <c r="G10" s="176"/>
      <c r="H10" s="176"/>
      <c r="I10" s="176"/>
      <c r="J10" s="176"/>
      <c r="X10" s="108"/>
      <c r="Y10" s="140"/>
    </row>
    <row r="11" spans="1:28" ht="12" thickBot="1">
      <c r="B11" s="50"/>
      <c r="D11" s="1"/>
    </row>
    <row r="12" spans="1:28" ht="12.75" customHeight="1">
      <c r="B12" s="1200" t="s">
        <v>224</v>
      </c>
      <c r="D12" s="1"/>
      <c r="E12" s="1188" t="s">
        <v>225</v>
      </c>
      <c r="F12" s="1189"/>
      <c r="G12" s="1189"/>
      <c r="H12" s="1189"/>
      <c r="I12" s="1189"/>
      <c r="J12" s="1189"/>
      <c r="K12" s="1189"/>
      <c r="L12" s="1189"/>
      <c r="M12" s="1189"/>
      <c r="N12" s="1186" t="s">
        <v>1362</v>
      </c>
      <c r="Q12" s="1197" t="s">
        <v>226</v>
      </c>
      <c r="R12" s="1198"/>
      <c r="S12" s="1198"/>
      <c r="T12" s="1198"/>
      <c r="U12" s="1198"/>
      <c r="V12" s="1198"/>
      <c r="W12" s="1198"/>
      <c r="X12" s="1199"/>
    </row>
    <row r="13" spans="1:28" ht="12" thickBot="1">
      <c r="B13" s="1200"/>
      <c r="D13" s="1"/>
      <c r="E13" s="398" t="s">
        <v>136</v>
      </c>
      <c r="F13" s="77" t="s">
        <v>137</v>
      </c>
      <c r="G13" s="77" t="s">
        <v>138</v>
      </c>
      <c r="H13" s="77" t="s">
        <v>139</v>
      </c>
      <c r="I13" s="77" t="s">
        <v>140</v>
      </c>
      <c r="J13" s="77" t="s">
        <v>141</v>
      </c>
      <c r="K13" s="77" t="s">
        <v>126</v>
      </c>
      <c r="L13" s="77" t="s">
        <v>142</v>
      </c>
      <c r="M13" s="77" t="s">
        <v>143</v>
      </c>
      <c r="N13" s="1187"/>
      <c r="O13" s="109"/>
      <c r="Q13" s="196" t="s">
        <v>137</v>
      </c>
      <c r="R13" s="130" t="s">
        <v>138</v>
      </c>
      <c r="S13" s="130" t="s">
        <v>139</v>
      </c>
      <c r="T13" s="130" t="s">
        <v>140</v>
      </c>
      <c r="U13" s="130" t="s">
        <v>141</v>
      </c>
      <c r="V13" s="130" t="s">
        <v>126</v>
      </c>
      <c r="W13" s="130" t="s">
        <v>142</v>
      </c>
      <c r="X13" s="409" t="s">
        <v>143</v>
      </c>
    </row>
    <row r="14" spans="1:28">
      <c r="B14" s="1200"/>
      <c r="C14" s="60"/>
      <c r="D14" s="406" t="s">
        <v>161</v>
      </c>
      <c r="E14" s="399">
        <v>36.640073590549427</v>
      </c>
      <c r="F14" s="399">
        <v>36.657504157777147</v>
      </c>
      <c r="G14" s="399">
        <v>32.898724159894996</v>
      </c>
      <c r="H14" s="399">
        <v>33.231134789526514</v>
      </c>
      <c r="I14" s="399">
        <v>33.599835535799798</v>
      </c>
      <c r="J14" s="399">
        <v>27.953173606032383</v>
      </c>
      <c r="K14" s="399">
        <v>30.730265154191798</v>
      </c>
      <c r="L14" s="399">
        <v>25.76832479616084</v>
      </c>
      <c r="M14" s="27"/>
      <c r="N14" s="400" t="str">
        <f t="shared" ref="N14:N24" si="0">IF(L14&lt;=W14,"Green",IF(L14&lt;=W14*1.05,"Amber","Red"))</f>
        <v>Green</v>
      </c>
      <c r="O14" s="122"/>
      <c r="P14" s="406" t="s">
        <v>161</v>
      </c>
      <c r="Q14" s="410">
        <v>48.371953560352715</v>
      </c>
      <c r="R14" s="410">
        <v>48.028253341716876</v>
      </c>
      <c r="S14" s="410">
        <v>47.450890097496327</v>
      </c>
      <c r="T14" s="410">
        <v>47.170446082091154</v>
      </c>
      <c r="U14" s="410">
        <v>46.865583838734707</v>
      </c>
      <c r="V14" s="410">
        <v>46.436537840808761</v>
      </c>
      <c r="W14" s="410">
        <v>45.970667051067473</v>
      </c>
      <c r="X14" s="411"/>
      <c r="Y14" s="122"/>
      <c r="Z14" s="122"/>
      <c r="AA14" s="122"/>
      <c r="AB14" s="122"/>
    </row>
    <row r="15" spans="1:28">
      <c r="B15" s="1200"/>
      <c r="C15" s="60"/>
      <c r="D15" s="407" t="s">
        <v>162</v>
      </c>
      <c r="E15" s="399">
        <v>65.263593012765512</v>
      </c>
      <c r="F15" s="399">
        <v>59.458497820686127</v>
      </c>
      <c r="G15" s="399">
        <v>53.289053617217974</v>
      </c>
      <c r="H15" s="399">
        <v>51.815191338328248</v>
      </c>
      <c r="I15" s="399">
        <v>54.284162360704727</v>
      </c>
      <c r="J15" s="399">
        <v>46.970484349585917</v>
      </c>
      <c r="K15" s="399">
        <v>45.263786257328604</v>
      </c>
      <c r="L15" s="399">
        <v>49.834667788681678</v>
      </c>
      <c r="M15" s="27"/>
      <c r="N15" s="400" t="str">
        <f t="shared" si="0"/>
        <v>Green</v>
      </c>
      <c r="O15" s="122"/>
      <c r="P15" s="407" t="s">
        <v>162</v>
      </c>
      <c r="Q15" s="410">
        <v>63.75172953871116</v>
      </c>
      <c r="R15" s="410">
        <v>62.708684951355735</v>
      </c>
      <c r="S15" s="410">
        <v>62.164951534976645</v>
      </c>
      <c r="T15" s="410">
        <v>61.382080067979331</v>
      </c>
      <c r="U15" s="410">
        <v>60.680861909618969</v>
      </c>
      <c r="V15" s="410">
        <v>60.022671576803191</v>
      </c>
      <c r="W15" s="410">
        <v>59.207894484576968</v>
      </c>
      <c r="X15" s="411"/>
      <c r="Y15" s="122"/>
      <c r="Z15" s="122"/>
      <c r="AA15" s="122"/>
      <c r="AB15" s="122"/>
    </row>
    <row r="16" spans="1:28">
      <c r="B16" s="1200"/>
      <c r="C16" s="60"/>
      <c r="D16" s="407" t="s">
        <v>163</v>
      </c>
      <c r="E16" s="399">
        <v>60.91975461068175</v>
      </c>
      <c r="F16" s="399">
        <v>52.534647278097268</v>
      </c>
      <c r="G16" s="399">
        <v>48.536328802021337</v>
      </c>
      <c r="H16" s="399">
        <v>48.134521699714547</v>
      </c>
      <c r="I16" s="399">
        <v>49.30312410435274</v>
      </c>
      <c r="J16" s="399">
        <v>50.787731056892142</v>
      </c>
      <c r="K16" s="399">
        <v>52.42256712545467</v>
      </c>
      <c r="L16" s="399">
        <v>51.070977902362607</v>
      </c>
      <c r="M16" s="27"/>
      <c r="N16" s="400" t="str">
        <f t="shared" si="0"/>
        <v>Green</v>
      </c>
      <c r="O16" s="122"/>
      <c r="P16" s="407" t="s">
        <v>163</v>
      </c>
      <c r="Q16" s="410">
        <v>68.593570992028717</v>
      </c>
      <c r="R16" s="410">
        <v>67.553721136249379</v>
      </c>
      <c r="S16" s="410">
        <v>66.475276789191312</v>
      </c>
      <c r="T16" s="410">
        <v>65.185476496726707</v>
      </c>
      <c r="U16" s="410">
        <v>64.040582833921036</v>
      </c>
      <c r="V16" s="410">
        <v>62.978528483271063</v>
      </c>
      <c r="W16" s="410">
        <v>62.013844045026069</v>
      </c>
      <c r="X16" s="411"/>
      <c r="Y16" s="122"/>
      <c r="Z16" s="122"/>
      <c r="AA16" s="122"/>
      <c r="AB16" s="122"/>
    </row>
    <row r="17" spans="1:28">
      <c r="B17" s="1200"/>
      <c r="C17" s="60"/>
      <c r="D17" s="407" t="s">
        <v>164</v>
      </c>
      <c r="E17" s="399">
        <v>70.240264927843555</v>
      </c>
      <c r="F17" s="399">
        <v>65.226896034738303</v>
      </c>
      <c r="G17" s="399">
        <v>58.959998801692691</v>
      </c>
      <c r="H17" s="399">
        <v>55.644204704054559</v>
      </c>
      <c r="I17" s="399">
        <v>55.370759293066989</v>
      </c>
      <c r="J17" s="399">
        <v>48.484079757854929</v>
      </c>
      <c r="K17" s="399">
        <v>44.448154594154417</v>
      </c>
      <c r="L17" s="399">
        <v>46.759905258713836</v>
      </c>
      <c r="M17" s="27"/>
      <c r="N17" s="400" t="str">
        <f t="shared" si="0"/>
        <v>Green</v>
      </c>
      <c r="O17" s="122"/>
      <c r="P17" s="407" t="s">
        <v>164</v>
      </c>
      <c r="Q17" s="410">
        <v>89.076844225720762</v>
      </c>
      <c r="R17" s="410">
        <v>87.054564851484216</v>
      </c>
      <c r="S17" s="410">
        <v>85.394773299936261</v>
      </c>
      <c r="T17" s="410">
        <v>84.078876778688851</v>
      </c>
      <c r="U17" s="410">
        <v>82.44388584118613</v>
      </c>
      <c r="V17" s="410">
        <v>80.904691613411657</v>
      </c>
      <c r="W17" s="410">
        <v>79.095022532790608</v>
      </c>
      <c r="X17" s="411"/>
      <c r="Y17" s="122"/>
      <c r="Z17" s="122"/>
      <c r="AA17" s="122"/>
      <c r="AB17" s="122"/>
    </row>
    <row r="18" spans="1:28">
      <c r="B18" s="1200"/>
      <c r="C18" s="60"/>
      <c r="D18" s="407" t="s">
        <v>165</v>
      </c>
      <c r="E18" s="399">
        <v>45.955205017625758</v>
      </c>
      <c r="F18" s="399">
        <v>42.650724570811484</v>
      </c>
      <c r="G18" s="399">
        <v>44.125718742980375</v>
      </c>
      <c r="H18" s="399">
        <v>46.941721378329682</v>
      </c>
      <c r="I18" s="399">
        <v>39.771354692320223</v>
      </c>
      <c r="J18" s="399">
        <v>37.902795587265402</v>
      </c>
      <c r="K18" s="399">
        <v>39.573933487880531</v>
      </c>
      <c r="L18" s="399">
        <v>37.154737259753702</v>
      </c>
      <c r="M18" s="27"/>
      <c r="N18" s="400" t="str">
        <f t="shared" si="0"/>
        <v>Green</v>
      </c>
      <c r="O18" s="122"/>
      <c r="P18" s="407" t="s">
        <v>165</v>
      </c>
      <c r="Q18" s="410">
        <v>53.220762067037811</v>
      </c>
      <c r="R18" s="410">
        <v>52.13962622515988</v>
      </c>
      <c r="S18" s="410">
        <v>51.423306418531297</v>
      </c>
      <c r="T18" s="410">
        <v>51.051554813712322</v>
      </c>
      <c r="U18" s="410">
        <v>50.820847433817534</v>
      </c>
      <c r="V18" s="410">
        <v>50.489319420470999</v>
      </c>
      <c r="W18" s="410">
        <v>50.213558529684029</v>
      </c>
      <c r="X18" s="411"/>
      <c r="Y18" s="122"/>
      <c r="Z18" s="122"/>
      <c r="AA18" s="122"/>
      <c r="AB18" s="122"/>
    </row>
    <row r="19" spans="1:28">
      <c r="B19" s="1200"/>
      <c r="C19" s="60"/>
      <c r="D19" s="407" t="s">
        <v>166</v>
      </c>
      <c r="E19" s="399">
        <v>56.484474605993647</v>
      </c>
      <c r="F19" s="399">
        <v>52.066843586364122</v>
      </c>
      <c r="G19" s="399">
        <v>41.640402593673222</v>
      </c>
      <c r="H19" s="399">
        <v>48.466862177334583</v>
      </c>
      <c r="I19" s="399">
        <v>41.291048081756919</v>
      </c>
      <c r="J19" s="399">
        <v>45.387934693291768</v>
      </c>
      <c r="K19" s="399">
        <v>38.893053092138807</v>
      </c>
      <c r="L19" s="399">
        <v>38.78909236222114</v>
      </c>
      <c r="M19" s="27"/>
      <c r="N19" s="400" t="str">
        <f t="shared" si="0"/>
        <v>Green</v>
      </c>
      <c r="O19" s="122"/>
      <c r="P19" s="407" t="s">
        <v>166</v>
      </c>
      <c r="Q19" s="410">
        <v>55.060373370237365</v>
      </c>
      <c r="R19" s="410">
        <v>53.751807435757478</v>
      </c>
      <c r="S19" s="410">
        <v>53.313192429454851</v>
      </c>
      <c r="T19" s="410">
        <v>53.094929230782576</v>
      </c>
      <c r="U19" s="410">
        <v>52.718726894387096</v>
      </c>
      <c r="V19" s="410">
        <v>52.4556449874527</v>
      </c>
      <c r="W19" s="410">
        <v>51.900373307449989</v>
      </c>
      <c r="X19" s="411"/>
      <c r="Y19" s="122"/>
      <c r="Z19" s="122"/>
      <c r="AA19" s="122"/>
      <c r="AB19" s="122"/>
    </row>
    <row r="20" spans="1:28">
      <c r="B20" s="1200"/>
      <c r="C20" s="60"/>
      <c r="D20" s="407" t="s">
        <v>167</v>
      </c>
      <c r="E20" s="399">
        <v>51.61839022540542</v>
      </c>
      <c r="F20" s="399">
        <v>51.998805069022978</v>
      </c>
      <c r="G20" s="399">
        <v>52.45442106315447</v>
      </c>
      <c r="H20" s="399">
        <v>62.036996859692863</v>
      </c>
      <c r="I20" s="399">
        <v>51.464783321049843</v>
      </c>
      <c r="J20" s="399">
        <v>46.09622421787283</v>
      </c>
      <c r="K20" s="399">
        <v>60.230906772894741</v>
      </c>
      <c r="L20" s="399">
        <v>50.479877110642327</v>
      </c>
      <c r="M20" s="27"/>
      <c r="N20" s="400" t="str">
        <f t="shared" si="0"/>
        <v>Green</v>
      </c>
      <c r="O20" s="122"/>
      <c r="P20" s="407" t="s">
        <v>167</v>
      </c>
      <c r="Q20" s="410">
        <v>59.179624576481991</v>
      </c>
      <c r="R20" s="410">
        <v>58.860839424229198</v>
      </c>
      <c r="S20" s="410">
        <v>58.537083906202156</v>
      </c>
      <c r="T20" s="410">
        <v>58.48036798337742</v>
      </c>
      <c r="U20" s="410">
        <v>58.425498973354479</v>
      </c>
      <c r="V20" s="410">
        <v>58.107883602497942</v>
      </c>
      <c r="W20" s="410">
        <v>57.565283742533623</v>
      </c>
      <c r="X20" s="411"/>
      <c r="Y20" s="122"/>
      <c r="Z20" s="122"/>
      <c r="AA20" s="122"/>
      <c r="AB20" s="122"/>
    </row>
    <row r="21" spans="1:28">
      <c r="A21" s="115"/>
      <c r="B21" s="1200"/>
      <c r="C21" s="60"/>
      <c r="D21" s="407" t="s">
        <v>168</v>
      </c>
      <c r="E21" s="399">
        <v>20.880552693860501</v>
      </c>
      <c r="F21" s="399">
        <v>18.956803001506117</v>
      </c>
      <c r="G21" s="399">
        <v>17.221403081760897</v>
      </c>
      <c r="H21" s="399">
        <v>14.216237738228251</v>
      </c>
      <c r="I21" s="399">
        <v>14.094928181289603</v>
      </c>
      <c r="J21" s="399">
        <v>13.199990545160157</v>
      </c>
      <c r="K21" s="399">
        <v>13.020556879843046</v>
      </c>
      <c r="L21" s="399">
        <v>15.044398649294704</v>
      </c>
      <c r="M21" s="27"/>
      <c r="N21" s="400" t="str">
        <f t="shared" si="0"/>
        <v>Green</v>
      </c>
      <c r="O21" s="122"/>
      <c r="P21" s="407" t="s">
        <v>168</v>
      </c>
      <c r="Q21" s="410">
        <v>27.804423230627602</v>
      </c>
      <c r="R21" s="410">
        <v>27.683329472554966</v>
      </c>
      <c r="S21" s="410">
        <v>27.338515828173442</v>
      </c>
      <c r="T21" s="410">
        <v>27.034255338036647</v>
      </c>
      <c r="U21" s="410">
        <v>26.69761647613301</v>
      </c>
      <c r="V21" s="410">
        <v>26.442155335499162</v>
      </c>
      <c r="W21" s="410">
        <v>26.297540129818554</v>
      </c>
      <c r="X21" s="411"/>
      <c r="Y21" s="122"/>
      <c r="Z21" s="122"/>
      <c r="AA21" s="122"/>
      <c r="AB21" s="122"/>
    </row>
    <row r="22" spans="1:28">
      <c r="A22" s="115"/>
      <c r="B22" s="1200"/>
      <c r="C22" s="60"/>
      <c r="D22" s="407" t="s">
        <v>169</v>
      </c>
      <c r="E22" s="399">
        <v>50.094377878723435</v>
      </c>
      <c r="F22" s="399">
        <v>48.737098319208734</v>
      </c>
      <c r="G22" s="399">
        <v>47.72406612080141</v>
      </c>
      <c r="H22" s="399">
        <v>46.686816912102771</v>
      </c>
      <c r="I22" s="399">
        <v>44.356534615362925</v>
      </c>
      <c r="J22" s="399">
        <v>45.038202284133625</v>
      </c>
      <c r="K22" s="399">
        <v>44.295221285332062</v>
      </c>
      <c r="L22" s="399">
        <v>39.100311895428653</v>
      </c>
      <c r="M22" s="27"/>
      <c r="N22" s="400" t="str">
        <f t="shared" si="0"/>
        <v>Green</v>
      </c>
      <c r="O22" s="122"/>
      <c r="P22" s="407" t="s">
        <v>169</v>
      </c>
      <c r="Q22" s="410">
        <v>65.326009815706257</v>
      </c>
      <c r="R22" s="410">
        <v>64.669074516784704</v>
      </c>
      <c r="S22" s="410">
        <v>64.093311458192503</v>
      </c>
      <c r="T22" s="410">
        <v>63.62583162656361</v>
      </c>
      <c r="U22" s="410">
        <v>63.200815532488861</v>
      </c>
      <c r="V22" s="410">
        <v>62.916762626069605</v>
      </c>
      <c r="W22" s="410">
        <v>62.580996344468396</v>
      </c>
      <c r="X22" s="411"/>
      <c r="Y22" s="122"/>
      <c r="Z22" s="122"/>
      <c r="AA22" s="122"/>
      <c r="AB22" s="122"/>
    </row>
    <row r="23" spans="1:28">
      <c r="A23" s="115"/>
      <c r="B23" s="1200"/>
      <c r="C23" s="60"/>
      <c r="D23" s="407" t="s">
        <v>170</v>
      </c>
      <c r="E23" s="399">
        <v>52.795156547090876</v>
      </c>
      <c r="F23" s="399">
        <v>45.755706282430737</v>
      </c>
      <c r="G23" s="399">
        <v>49.371118164933847</v>
      </c>
      <c r="H23" s="399">
        <v>48.521799998787159</v>
      </c>
      <c r="I23" s="399">
        <v>41.42250443833457</v>
      </c>
      <c r="J23" s="399">
        <v>43.78245405040235</v>
      </c>
      <c r="K23" s="399">
        <v>43.914915415116411</v>
      </c>
      <c r="L23" s="399">
        <v>38.886167865978621</v>
      </c>
      <c r="M23" s="27"/>
      <c r="N23" s="400" t="str">
        <f t="shared" si="0"/>
        <v>Green</v>
      </c>
      <c r="O23" s="122"/>
      <c r="P23" s="407" t="s">
        <v>170</v>
      </c>
      <c r="Q23" s="410">
        <v>69.786260072490791</v>
      </c>
      <c r="R23" s="410">
        <v>68.699743722024195</v>
      </c>
      <c r="S23" s="410">
        <v>67.941052451030785</v>
      </c>
      <c r="T23" s="410">
        <v>67.188450914661573</v>
      </c>
      <c r="U23" s="410">
        <v>66.652249168950121</v>
      </c>
      <c r="V23" s="410">
        <v>66.516863655908082</v>
      </c>
      <c r="W23" s="410">
        <v>66.150395228695487</v>
      </c>
      <c r="X23" s="411"/>
      <c r="Y23" s="122"/>
      <c r="Z23" s="122"/>
      <c r="AA23" s="122"/>
      <c r="AB23" s="122"/>
    </row>
    <row r="24" spans="1:28">
      <c r="B24" s="1200"/>
      <c r="D24" s="407" t="s">
        <v>171</v>
      </c>
      <c r="E24" s="399">
        <v>46.588266134902469</v>
      </c>
      <c r="F24" s="399">
        <v>48.465331872981338</v>
      </c>
      <c r="G24" s="399">
        <v>42.890137104120711</v>
      </c>
      <c r="H24" s="399">
        <v>41.305014942652988</v>
      </c>
      <c r="I24" s="399">
        <v>49.334735973885728</v>
      </c>
      <c r="J24" s="399">
        <v>44.528470703279616</v>
      </c>
      <c r="K24" s="399">
        <v>40.459252989712049</v>
      </c>
      <c r="L24" s="399">
        <v>37.175045304454862</v>
      </c>
      <c r="M24" s="27"/>
      <c r="N24" s="400" t="str">
        <f t="shared" si="0"/>
        <v>Green</v>
      </c>
      <c r="O24" s="122"/>
      <c r="P24" s="407" t="s">
        <v>171</v>
      </c>
      <c r="Q24" s="410">
        <v>52.0734787553356</v>
      </c>
      <c r="R24" s="410">
        <v>51.901603415192028</v>
      </c>
      <c r="S24" s="410">
        <v>51.641972587092326</v>
      </c>
      <c r="T24" s="410">
        <v>51.095074946334968</v>
      </c>
      <c r="U24" s="410">
        <v>50.629292982719249</v>
      </c>
      <c r="V24" s="410">
        <v>50.167138718958036</v>
      </c>
      <c r="W24" s="410">
        <v>49.984366231209215</v>
      </c>
      <c r="X24" s="411"/>
      <c r="Y24" s="122"/>
      <c r="Z24" s="122"/>
      <c r="AA24" s="122"/>
      <c r="AB24" s="122"/>
    </row>
    <row r="25" spans="1:28">
      <c r="A25" s="9"/>
      <c r="B25" s="1200"/>
      <c r="C25" s="60"/>
      <c r="D25" s="407" t="s">
        <v>172</v>
      </c>
      <c r="E25" s="399">
        <v>32.777425808602871</v>
      </c>
      <c r="F25" s="399">
        <v>30.148432689635179</v>
      </c>
      <c r="G25" s="399">
        <v>38.163762567344001</v>
      </c>
      <c r="H25" s="399">
        <v>30.498968578833164</v>
      </c>
      <c r="I25" s="399">
        <v>36.143988361905073</v>
      </c>
      <c r="J25" s="399">
        <v>32.221792272353056</v>
      </c>
      <c r="K25" s="399">
        <v>31.925613242694098</v>
      </c>
      <c r="L25" s="399">
        <v>30.33201740894663</v>
      </c>
      <c r="M25" s="27"/>
      <c r="N25" s="400" t="str">
        <f t="shared" ref="N25" si="1">IF(L25&lt;=W25,"Green",IF(L25&lt;=W25*1.05,"Amber","Red"))</f>
        <v>Green</v>
      </c>
      <c r="O25" s="122"/>
      <c r="P25" s="407" t="s">
        <v>172</v>
      </c>
      <c r="Q25" s="410">
        <v>38.273663372097765</v>
      </c>
      <c r="R25" s="410">
        <v>38.064449697489302</v>
      </c>
      <c r="S25" s="410">
        <v>37.597917872875833</v>
      </c>
      <c r="T25" s="410">
        <v>37.025807491512388</v>
      </c>
      <c r="U25" s="410">
        <v>36.407159036914372</v>
      </c>
      <c r="V25" s="410">
        <v>36.122113222568537</v>
      </c>
      <c r="W25" s="410">
        <v>35.873772905029973</v>
      </c>
      <c r="X25" s="411"/>
      <c r="Y25" s="122"/>
      <c r="Z25" s="122"/>
      <c r="AA25" s="122"/>
      <c r="AB25" s="122"/>
    </row>
    <row r="26" spans="1:28">
      <c r="A26" s="9"/>
      <c r="B26" s="1200"/>
      <c r="C26" s="60"/>
      <c r="D26" s="407" t="s">
        <v>28</v>
      </c>
      <c r="E26" s="399">
        <v>73.521650442139261</v>
      </c>
      <c r="F26" s="399">
        <v>66.720400630641748</v>
      </c>
      <c r="G26" s="399">
        <v>68.106799533817764</v>
      </c>
      <c r="H26" s="399">
        <v>57.346400442958711</v>
      </c>
      <c r="I26" s="399">
        <v>69.36756074747143</v>
      </c>
      <c r="J26" s="399">
        <v>63.173131970925297</v>
      </c>
      <c r="K26" s="399">
        <v>63.991706392013072</v>
      </c>
      <c r="L26" s="399">
        <v>55.521711717311895</v>
      </c>
      <c r="M26" s="27"/>
      <c r="N26" s="400" t="str">
        <f>IF(L26&lt;=W26,"Green",IF(L26&lt;=W26*1.05,"Amber","Red"))</f>
        <v>Green</v>
      </c>
      <c r="O26" s="122"/>
      <c r="P26" s="407" t="s">
        <v>28</v>
      </c>
      <c r="Q26" s="410">
        <v>71.900539980906998</v>
      </c>
      <c r="R26" s="410">
        <v>71.188862451032008</v>
      </c>
      <c r="S26" s="410">
        <v>70.151063030472457</v>
      </c>
      <c r="T26" s="410">
        <v>70.280424523328762</v>
      </c>
      <c r="U26" s="410">
        <v>69.985568454484223</v>
      </c>
      <c r="V26" s="410">
        <v>69.186186028440545</v>
      </c>
      <c r="W26" s="410">
        <v>68.245290126969863</v>
      </c>
      <c r="X26" s="411"/>
      <c r="Y26" s="122"/>
      <c r="Z26" s="122"/>
      <c r="AA26" s="122"/>
      <c r="AB26" s="122"/>
    </row>
    <row r="27" spans="1:28" ht="12" thickBot="1">
      <c r="A27" s="9"/>
      <c r="B27" s="1200"/>
      <c r="C27" s="60"/>
      <c r="D27" s="407" t="s">
        <v>173</v>
      </c>
      <c r="E27" s="399">
        <v>59.845926312091294</v>
      </c>
      <c r="F27" s="399">
        <v>47.509987567343558</v>
      </c>
      <c r="G27" s="399">
        <v>47.816860911788119</v>
      </c>
      <c r="H27" s="399">
        <v>55.132800030426985</v>
      </c>
      <c r="I27" s="399">
        <v>52.101690071799496</v>
      </c>
      <c r="J27" s="399">
        <v>47.643223840053032</v>
      </c>
      <c r="K27" s="399">
        <v>48.417852468150798</v>
      </c>
      <c r="L27" s="399">
        <v>42.459081339786358</v>
      </c>
      <c r="M27" s="27"/>
      <c r="N27" s="400" t="str">
        <f>IF(L27&lt;=W27,"Green",IF(L27&lt;=W27*1.05,"Amber","Red"))</f>
        <v>Green</v>
      </c>
      <c r="O27" s="122"/>
      <c r="P27" s="413" t="s">
        <v>173</v>
      </c>
      <c r="Q27" s="410">
        <v>62.534359868170526</v>
      </c>
      <c r="R27" s="410">
        <v>61.577807717068254</v>
      </c>
      <c r="S27" s="410">
        <v>60.393686539594434</v>
      </c>
      <c r="T27" s="410">
        <v>59.390791671401232</v>
      </c>
      <c r="U27" s="410">
        <v>58.958278109920016</v>
      </c>
      <c r="V27" s="410">
        <v>58.710539015198606</v>
      </c>
      <c r="W27" s="410">
        <v>58.351979411628108</v>
      </c>
      <c r="X27" s="412"/>
      <c r="Y27" s="122"/>
      <c r="Z27" s="122"/>
      <c r="AA27" s="122"/>
      <c r="AB27" s="122"/>
    </row>
    <row r="28" spans="1:28" ht="12" thickBot="1">
      <c r="B28" s="1200"/>
      <c r="C28" s="60"/>
      <c r="D28" s="408" t="s">
        <v>174</v>
      </c>
      <c r="E28" s="992">
        <v>50.830620346197044</v>
      </c>
      <c r="F28" s="992">
        <v>46.454654213885689</v>
      </c>
      <c r="G28" s="992">
        <v>45.064279328871322</v>
      </c>
      <c r="H28" s="992">
        <v>45.287805763272942</v>
      </c>
      <c r="I28" s="992">
        <v>43.809931598728689</v>
      </c>
      <c r="J28" s="992">
        <v>41.332577695433699</v>
      </c>
      <c r="K28" s="992">
        <v>41.685062850429318</v>
      </c>
      <c r="L28" s="992">
        <v>38.882761483236635</v>
      </c>
      <c r="M28" s="404"/>
      <c r="N28" s="405"/>
      <c r="O28" s="122"/>
      <c r="P28" s="1"/>
      <c r="W28" s="1133"/>
      <c r="Z28" s="140"/>
    </row>
    <row r="29" spans="1:28" ht="12" thickBot="1">
      <c r="B29" s="1200"/>
      <c r="C29" s="60"/>
      <c r="D29" s="1"/>
      <c r="E29" s="158"/>
      <c r="F29" s="158"/>
      <c r="G29" s="1"/>
      <c r="H29" s="1"/>
      <c r="I29" s="1"/>
      <c r="J29" s="907"/>
      <c r="K29" s="1"/>
      <c r="L29" s="1135"/>
      <c r="M29" s="171"/>
      <c r="N29" s="122"/>
      <c r="O29" s="1"/>
      <c r="Y29" s="108"/>
    </row>
    <row r="30" spans="1:28" ht="14.25" customHeight="1">
      <c r="B30" s="1200"/>
      <c r="C30" s="60"/>
      <c r="D30" s="1"/>
      <c r="E30" s="1188" t="s">
        <v>227</v>
      </c>
      <c r="F30" s="1189"/>
      <c r="G30" s="1189"/>
      <c r="H30" s="1189"/>
      <c r="I30" s="1189"/>
      <c r="J30" s="1189"/>
      <c r="K30" s="1189"/>
      <c r="L30" s="1189"/>
      <c r="M30" s="1189"/>
      <c r="N30" s="1186" t="s">
        <v>1362</v>
      </c>
      <c r="O30" s="122"/>
      <c r="Q30" s="1197" t="s">
        <v>228</v>
      </c>
      <c r="R30" s="1198"/>
      <c r="S30" s="1198"/>
      <c r="T30" s="1198"/>
      <c r="U30" s="1198"/>
      <c r="V30" s="1198"/>
      <c r="W30" s="1198"/>
      <c r="X30" s="1199"/>
    </row>
    <row r="31" spans="1:28" ht="12" thickBot="1">
      <c r="B31" s="1200"/>
      <c r="C31" s="60"/>
      <c r="D31" s="1"/>
      <c r="E31" s="398" t="s">
        <v>136</v>
      </c>
      <c r="F31" s="77" t="s">
        <v>137</v>
      </c>
      <c r="G31" s="77" t="s">
        <v>138</v>
      </c>
      <c r="H31" s="77" t="s">
        <v>139</v>
      </c>
      <c r="I31" s="77" t="s">
        <v>140</v>
      </c>
      <c r="J31" s="77" t="s">
        <v>141</v>
      </c>
      <c r="K31" s="77" t="s">
        <v>126</v>
      </c>
      <c r="L31" s="77" t="s">
        <v>142</v>
      </c>
      <c r="M31" s="77" t="s">
        <v>143</v>
      </c>
      <c r="N31" s="1187"/>
      <c r="O31" s="122"/>
      <c r="Q31" s="196" t="s">
        <v>137</v>
      </c>
      <c r="R31" s="130" t="s">
        <v>138</v>
      </c>
      <c r="S31" s="130" t="s">
        <v>139</v>
      </c>
      <c r="T31" s="130" t="s">
        <v>140</v>
      </c>
      <c r="U31" s="130" t="s">
        <v>141</v>
      </c>
      <c r="V31" s="130" t="s">
        <v>126</v>
      </c>
      <c r="W31" s="130" t="s">
        <v>142</v>
      </c>
      <c r="X31" s="409" t="s">
        <v>143</v>
      </c>
    </row>
    <row r="32" spans="1:28">
      <c r="B32" s="1200"/>
      <c r="C32" s="60"/>
      <c r="D32" s="406" t="s">
        <v>161</v>
      </c>
      <c r="E32" s="399">
        <v>34.762432361317821</v>
      </c>
      <c r="F32" s="399">
        <v>32.496292018747788</v>
      </c>
      <c r="G32" s="399">
        <v>33.713556147286816</v>
      </c>
      <c r="H32" s="399">
        <v>34.631126341139492</v>
      </c>
      <c r="I32" s="399">
        <v>32.963004262865269</v>
      </c>
      <c r="J32" s="399">
        <v>27.146092223603635</v>
      </c>
      <c r="K32" s="399">
        <v>28.150278704946857</v>
      </c>
      <c r="L32" s="399">
        <v>27.414672356641006</v>
      </c>
      <c r="M32" s="27"/>
      <c r="N32" s="400" t="str">
        <f t="shared" ref="N32:N37" si="2">IF(L32&lt;=W32,"Green",IF(L32&lt;=W32*1.05,"Amber","Red"))</f>
        <v>Green</v>
      </c>
      <c r="O32" s="122"/>
      <c r="P32" s="406" t="s">
        <v>161</v>
      </c>
      <c r="Q32" s="410">
        <v>47.373539428722026</v>
      </c>
      <c r="R32" s="410">
        <v>45.827288219857557</v>
      </c>
      <c r="S32" s="410">
        <v>44.225574148552994</v>
      </c>
      <c r="T32" s="410">
        <v>43.002774568265657</v>
      </c>
      <c r="U32" s="410">
        <v>42.067330416347232</v>
      </c>
      <c r="V32" s="410">
        <v>40.784399671268922</v>
      </c>
      <c r="W32" s="410">
        <v>39.726932412827857</v>
      </c>
      <c r="X32" s="411"/>
      <c r="Y32" s="122"/>
      <c r="Z32" s="122"/>
      <c r="AA32" s="122"/>
      <c r="AB32" s="122"/>
    </row>
    <row r="33" spans="1:28">
      <c r="B33" s="1200"/>
      <c r="C33" s="60"/>
      <c r="D33" s="407" t="s">
        <v>162</v>
      </c>
      <c r="E33" s="399">
        <v>56.065170182602337</v>
      </c>
      <c r="F33" s="399">
        <v>50.108964075495294</v>
      </c>
      <c r="G33" s="399">
        <v>45.00430018937346</v>
      </c>
      <c r="H33" s="399">
        <v>44.625165761481163</v>
      </c>
      <c r="I33" s="399">
        <v>47.631652047266982</v>
      </c>
      <c r="J33" s="399">
        <v>44.103978913845097</v>
      </c>
      <c r="K33" s="399">
        <v>36.818875437175876</v>
      </c>
      <c r="L33" s="399">
        <v>46.328372377207671</v>
      </c>
      <c r="M33" s="27"/>
      <c r="N33" s="400" t="str">
        <f t="shared" si="2"/>
        <v>Green</v>
      </c>
      <c r="O33" s="122"/>
      <c r="P33" s="407" t="s">
        <v>162</v>
      </c>
      <c r="Q33" s="410">
        <v>65.862232456384248</v>
      </c>
      <c r="R33" s="410">
        <v>64.097604060321927</v>
      </c>
      <c r="S33" s="410">
        <v>61.871642770925455</v>
      </c>
      <c r="T33" s="410">
        <v>59.106846536959573</v>
      </c>
      <c r="U33" s="410">
        <v>57.01103882162009</v>
      </c>
      <c r="V33" s="410">
        <v>55.163132828429006</v>
      </c>
      <c r="W33" s="410">
        <v>52.768693553942185</v>
      </c>
      <c r="X33" s="411"/>
      <c r="Y33" s="122"/>
      <c r="Z33" s="122"/>
      <c r="AA33" s="122"/>
      <c r="AB33" s="122"/>
    </row>
    <row r="34" spans="1:28">
      <c r="B34" s="1200"/>
      <c r="C34" s="60"/>
      <c r="D34" s="407" t="s">
        <v>163</v>
      </c>
      <c r="E34" s="399">
        <v>50.434043754556967</v>
      </c>
      <c r="F34" s="399">
        <v>41.837670883591372</v>
      </c>
      <c r="G34" s="399">
        <v>38.005177500222928</v>
      </c>
      <c r="H34" s="399">
        <v>36.395747081287112</v>
      </c>
      <c r="I34" s="399">
        <v>38.772144906018596</v>
      </c>
      <c r="J34" s="399">
        <v>42.102470273948818</v>
      </c>
      <c r="K34" s="399">
        <v>40.004385287473504</v>
      </c>
      <c r="L34" s="399">
        <v>43.643595878052501</v>
      </c>
      <c r="M34" s="27"/>
      <c r="N34" s="400" t="str">
        <f t="shared" si="2"/>
        <v>Green</v>
      </c>
      <c r="O34" s="122"/>
      <c r="P34" s="407" t="s">
        <v>163</v>
      </c>
      <c r="Q34" s="410">
        <v>63.119667039805243</v>
      </c>
      <c r="R34" s="410">
        <v>61.616189761311148</v>
      </c>
      <c r="S34" s="410">
        <v>60.178536158284743</v>
      </c>
      <c r="T34" s="410">
        <v>57.951586269606423</v>
      </c>
      <c r="U34" s="410">
        <v>56.41385375808845</v>
      </c>
      <c r="V34" s="410">
        <v>54.878927981253511</v>
      </c>
      <c r="W34" s="410">
        <v>53.41566243020501</v>
      </c>
      <c r="X34" s="411"/>
      <c r="Y34" s="122"/>
      <c r="Z34" s="122"/>
      <c r="AA34" s="122"/>
      <c r="AB34" s="122"/>
    </row>
    <row r="35" spans="1:28">
      <c r="B35" s="1200"/>
      <c r="C35" s="60"/>
      <c r="D35" s="407" t="s">
        <v>164</v>
      </c>
      <c r="E35" s="399">
        <v>34.247486068323248</v>
      </c>
      <c r="F35" s="399">
        <v>32.151251136217397</v>
      </c>
      <c r="G35" s="399">
        <v>31.973613961251758</v>
      </c>
      <c r="H35" s="399">
        <v>31.024045063063472</v>
      </c>
      <c r="I35" s="399">
        <v>32.297354821669131</v>
      </c>
      <c r="J35" s="399">
        <v>29.002556020264681</v>
      </c>
      <c r="K35" s="399">
        <v>28.24247962932213</v>
      </c>
      <c r="L35" s="399">
        <v>29.520587586832292</v>
      </c>
      <c r="M35" s="27"/>
      <c r="N35" s="400" t="str">
        <f t="shared" si="2"/>
        <v>Green</v>
      </c>
      <c r="O35" s="122"/>
      <c r="P35" s="407" t="s">
        <v>164</v>
      </c>
      <c r="Q35" s="410">
        <v>55.656000164972816</v>
      </c>
      <c r="R35" s="410">
        <v>53.601622518286007</v>
      </c>
      <c r="S35" s="410">
        <v>52.993360725077345</v>
      </c>
      <c r="T35" s="410">
        <v>52.783374520686714</v>
      </c>
      <c r="U35" s="410">
        <v>52.264842003994183</v>
      </c>
      <c r="V35" s="410">
        <v>51.965194537782743</v>
      </c>
      <c r="W35" s="410">
        <v>51.245024599185776</v>
      </c>
      <c r="X35" s="411"/>
      <c r="Y35" s="122"/>
      <c r="Z35" s="122"/>
      <c r="AA35" s="122"/>
      <c r="AB35" s="122"/>
    </row>
    <row r="36" spans="1:28">
      <c r="B36" s="1200"/>
      <c r="C36" s="60"/>
      <c r="D36" s="407" t="s">
        <v>165</v>
      </c>
      <c r="E36" s="399">
        <v>22.852627523094448</v>
      </c>
      <c r="F36" s="399">
        <v>21.554967894513869</v>
      </c>
      <c r="G36" s="399">
        <v>21.962121681463863</v>
      </c>
      <c r="H36" s="399">
        <v>24.071771917437427</v>
      </c>
      <c r="I36" s="399">
        <v>22.917163802095772</v>
      </c>
      <c r="J36" s="399">
        <v>22.558232310082918</v>
      </c>
      <c r="K36" s="399">
        <v>23.098359364105939</v>
      </c>
      <c r="L36" s="399">
        <v>22.150576613434495</v>
      </c>
      <c r="M36" s="27"/>
      <c r="N36" s="400" t="str">
        <f t="shared" si="2"/>
        <v>Green</v>
      </c>
      <c r="O36" s="122"/>
      <c r="P36" s="407" t="s">
        <v>165</v>
      </c>
      <c r="Q36" s="410">
        <v>40.233574328464982</v>
      </c>
      <c r="R36" s="410">
        <v>39.105882664231622</v>
      </c>
      <c r="S36" s="410">
        <v>38.827081018850699</v>
      </c>
      <c r="T36" s="410">
        <v>38.011945849979831</v>
      </c>
      <c r="U36" s="410">
        <v>37.237041082476843</v>
      </c>
      <c r="V36" s="410">
        <v>36.432319657383665</v>
      </c>
      <c r="W36" s="410">
        <v>35.652902463335323</v>
      </c>
      <c r="X36" s="411"/>
      <c r="Y36" s="122"/>
      <c r="Z36" s="122"/>
      <c r="AA36" s="122"/>
      <c r="AB36" s="122"/>
    </row>
    <row r="37" spans="1:28">
      <c r="B37" s="1200"/>
      <c r="C37" s="60"/>
      <c r="D37" s="407" t="s">
        <v>166</v>
      </c>
      <c r="E37" s="399">
        <v>30.398290931702583</v>
      </c>
      <c r="F37" s="399">
        <v>26.340853400064116</v>
      </c>
      <c r="G37" s="399">
        <v>25.726091480513773</v>
      </c>
      <c r="H37" s="399">
        <v>28.414608671248192</v>
      </c>
      <c r="I37" s="399">
        <v>24.870222585101931</v>
      </c>
      <c r="J37" s="399">
        <v>23.419974604696989</v>
      </c>
      <c r="K37" s="399">
        <v>24.51110016934749</v>
      </c>
      <c r="L37" s="399">
        <v>24.636385935176182</v>
      </c>
      <c r="M37" s="27"/>
      <c r="N37" s="400" t="str">
        <f t="shared" si="2"/>
        <v>Green</v>
      </c>
      <c r="O37" s="122"/>
      <c r="P37" s="407" t="s">
        <v>166</v>
      </c>
      <c r="Q37" s="410">
        <v>35.442148914588209</v>
      </c>
      <c r="R37" s="410">
        <v>33.568207490236794</v>
      </c>
      <c r="S37" s="410">
        <v>33.356295448786931</v>
      </c>
      <c r="T37" s="410">
        <v>33.444779276998091</v>
      </c>
      <c r="U37" s="410">
        <v>33.157316530519758</v>
      </c>
      <c r="V37" s="410">
        <v>33.103179400257112</v>
      </c>
      <c r="W37" s="410">
        <v>32.39781114790523</v>
      </c>
      <c r="X37" s="411"/>
      <c r="Y37" s="122"/>
      <c r="Z37" s="122"/>
      <c r="AA37" s="122"/>
      <c r="AB37" s="122"/>
    </row>
    <row r="38" spans="1:28">
      <c r="B38" s="1200"/>
      <c r="C38" s="60"/>
      <c r="D38" s="407" t="s">
        <v>167</v>
      </c>
      <c r="E38" s="399">
        <v>38.955929244211042</v>
      </c>
      <c r="F38" s="399">
        <v>37.510456274959907</v>
      </c>
      <c r="G38" s="399">
        <v>39.698705108339787</v>
      </c>
      <c r="H38" s="399">
        <v>42.78232644317135</v>
      </c>
      <c r="I38" s="399">
        <v>40.224965350701389</v>
      </c>
      <c r="J38" s="399">
        <v>38.217138749419121</v>
      </c>
      <c r="K38" s="399">
        <v>41.540246236822583</v>
      </c>
      <c r="L38" s="399">
        <v>36.72083554315919</v>
      </c>
      <c r="M38" s="27"/>
      <c r="N38" s="400" t="str">
        <f t="shared" ref="N38" si="3">IF(L38&lt;=W38,"Green",IF(L38&lt;=W38*1.05,"Amber","Red"))</f>
        <v>Green</v>
      </c>
      <c r="O38" s="122"/>
      <c r="P38" s="407" t="s">
        <v>167</v>
      </c>
      <c r="Q38" s="410">
        <v>43.917343017957521</v>
      </c>
      <c r="R38" s="410">
        <v>43.632985626514262</v>
      </c>
      <c r="S38" s="410">
        <v>43.50199528512227</v>
      </c>
      <c r="T38" s="410">
        <v>43.827315400541117</v>
      </c>
      <c r="U38" s="410">
        <v>43.923056064916707</v>
      </c>
      <c r="V38" s="410">
        <v>43.496396604549467</v>
      </c>
      <c r="W38" s="410">
        <v>42.821059768274772</v>
      </c>
      <c r="X38" s="411"/>
      <c r="Y38" s="122"/>
      <c r="Z38" s="122"/>
      <c r="AA38" s="122"/>
      <c r="AB38" s="122"/>
    </row>
    <row r="39" spans="1:28">
      <c r="A39" s="115"/>
      <c r="B39" s="1200"/>
      <c r="C39" s="60"/>
      <c r="D39" s="407" t="s">
        <v>168</v>
      </c>
      <c r="E39" s="399">
        <v>24.030067350100875</v>
      </c>
      <c r="F39" s="399">
        <v>19.286846217790387</v>
      </c>
      <c r="G39" s="399">
        <v>19.781274012751851</v>
      </c>
      <c r="H39" s="399">
        <v>16.740641305301818</v>
      </c>
      <c r="I39" s="399">
        <v>15.916793386900578</v>
      </c>
      <c r="J39" s="399">
        <v>14.386536692165203</v>
      </c>
      <c r="K39" s="399">
        <v>11.37808417515504</v>
      </c>
      <c r="L39" s="399">
        <v>13.907960234544982</v>
      </c>
      <c r="M39" s="27"/>
      <c r="N39" s="400" t="str">
        <f t="shared" ref="N39:N45" si="4">IF(L39&lt;=W39,"Green",IF(L39&lt;=W39*1.05,"Amber","Red"))</f>
        <v>Green</v>
      </c>
      <c r="O39" s="122"/>
      <c r="P39" s="407" t="s">
        <v>168</v>
      </c>
      <c r="Q39" s="410">
        <v>40.441548249896101</v>
      </c>
      <c r="R39" s="410">
        <v>39.718823708484791</v>
      </c>
      <c r="S39" s="410">
        <v>38.850303202067437</v>
      </c>
      <c r="T39" s="410">
        <v>37.724255308069765</v>
      </c>
      <c r="U39" s="410">
        <v>36.647984934230507</v>
      </c>
      <c r="V39" s="410">
        <v>35.960217837996993</v>
      </c>
      <c r="W39" s="410">
        <v>35.248975596206549</v>
      </c>
      <c r="X39" s="411"/>
      <c r="Y39" s="122"/>
      <c r="Z39" s="122"/>
      <c r="AA39" s="122"/>
      <c r="AB39" s="122"/>
    </row>
    <row r="40" spans="1:28">
      <c r="A40" s="115"/>
      <c r="B40" s="1200"/>
      <c r="C40" s="60"/>
      <c r="D40" s="407" t="s">
        <v>169</v>
      </c>
      <c r="E40" s="399">
        <v>35.035208043811807</v>
      </c>
      <c r="F40" s="399">
        <v>36.340490049449443</v>
      </c>
      <c r="G40" s="399">
        <v>35.062635830949816</v>
      </c>
      <c r="H40" s="399">
        <v>37.569211836251647</v>
      </c>
      <c r="I40" s="399">
        <v>36.68784516693875</v>
      </c>
      <c r="J40" s="399">
        <v>32.851096721798044</v>
      </c>
      <c r="K40" s="399">
        <v>31.916474966048586</v>
      </c>
      <c r="L40" s="399">
        <v>31.692079794393209</v>
      </c>
      <c r="M40" s="27"/>
      <c r="N40" s="400" t="str">
        <f t="shared" si="4"/>
        <v>Green</v>
      </c>
      <c r="O40" s="122"/>
      <c r="P40" s="407" t="s">
        <v>169</v>
      </c>
      <c r="Q40" s="410">
        <v>50.174736472752123</v>
      </c>
      <c r="R40" s="410">
        <v>48.364905186709734</v>
      </c>
      <c r="S40" s="410">
        <v>46.541704732076163</v>
      </c>
      <c r="T40" s="410">
        <v>45.279543487156324</v>
      </c>
      <c r="U40" s="410">
        <v>44.035239226673539</v>
      </c>
      <c r="V40" s="410">
        <v>43.17999153515828</v>
      </c>
      <c r="W40" s="410">
        <v>42.185707201442362</v>
      </c>
      <c r="X40" s="411"/>
      <c r="Y40" s="122"/>
      <c r="Z40" s="122"/>
      <c r="AA40" s="122"/>
      <c r="AB40" s="122"/>
    </row>
    <row r="41" spans="1:28">
      <c r="A41" s="115"/>
      <c r="B41" s="1200"/>
      <c r="C41" s="60"/>
      <c r="D41" s="407" t="s">
        <v>170</v>
      </c>
      <c r="E41" s="399">
        <v>40.20514835393606</v>
      </c>
      <c r="F41" s="399">
        <v>34.765160246669737</v>
      </c>
      <c r="G41" s="399">
        <v>39.203816746386252</v>
      </c>
      <c r="H41" s="399">
        <v>41.791288183416661</v>
      </c>
      <c r="I41" s="399">
        <v>34.811176174018939</v>
      </c>
      <c r="J41" s="399">
        <v>33.766320403630559</v>
      </c>
      <c r="K41" s="399">
        <v>32.272961680879497</v>
      </c>
      <c r="L41" s="399">
        <v>29.644060297088313</v>
      </c>
      <c r="M41" s="27"/>
      <c r="N41" s="400" t="str">
        <f t="shared" si="4"/>
        <v>Green</v>
      </c>
      <c r="O41" s="122"/>
      <c r="P41" s="407" t="s">
        <v>170</v>
      </c>
      <c r="Q41" s="410">
        <v>55.70038459833178</v>
      </c>
      <c r="R41" s="410">
        <v>54.222685244051398</v>
      </c>
      <c r="S41" s="410">
        <v>52.004398168362961</v>
      </c>
      <c r="T41" s="410">
        <v>49.611008990742576</v>
      </c>
      <c r="U41" s="410">
        <v>48.070362106223754</v>
      </c>
      <c r="V41" s="410">
        <v>47.670672702973015</v>
      </c>
      <c r="W41" s="410">
        <v>46.784142192988156</v>
      </c>
      <c r="X41" s="411"/>
      <c r="Y41" s="122"/>
      <c r="Z41" s="122"/>
      <c r="AA41" s="122"/>
      <c r="AB41" s="122"/>
    </row>
    <row r="42" spans="1:28">
      <c r="A42" s="9"/>
      <c r="B42" s="1200"/>
      <c r="C42" s="60"/>
      <c r="D42" s="407" t="s">
        <v>171</v>
      </c>
      <c r="E42" s="399">
        <v>34.031264442455544</v>
      </c>
      <c r="F42" s="399">
        <v>34.814633286378573</v>
      </c>
      <c r="G42" s="399">
        <v>29.328367262586021</v>
      </c>
      <c r="H42" s="399">
        <v>31.192845958830656</v>
      </c>
      <c r="I42" s="399">
        <v>35.01017159039543</v>
      </c>
      <c r="J42" s="399">
        <v>33.717851076436204</v>
      </c>
      <c r="K42" s="399">
        <v>29.895215892815937</v>
      </c>
      <c r="L42" s="399">
        <v>27.122873536842182</v>
      </c>
      <c r="M42" s="27"/>
      <c r="N42" s="400" t="str">
        <f t="shared" si="4"/>
        <v>Green</v>
      </c>
      <c r="O42" s="122"/>
      <c r="P42" s="407" t="s">
        <v>171</v>
      </c>
      <c r="Q42" s="410">
        <v>46.230404026574412</v>
      </c>
      <c r="R42" s="410">
        <v>45.681575883158992</v>
      </c>
      <c r="S42" s="410">
        <v>44.750544389077632</v>
      </c>
      <c r="T42" s="410">
        <v>43.41874700620226</v>
      </c>
      <c r="U42" s="410">
        <v>42.081277725439662</v>
      </c>
      <c r="V42" s="410">
        <v>41.049614131450674</v>
      </c>
      <c r="W42" s="410">
        <v>40.549545441045595</v>
      </c>
      <c r="X42" s="411"/>
      <c r="Y42" s="122"/>
      <c r="Z42" s="122"/>
      <c r="AA42" s="122"/>
      <c r="AB42" s="122"/>
    </row>
    <row r="43" spans="1:28">
      <c r="A43" s="9"/>
      <c r="B43" s="1200"/>
      <c r="C43" s="60"/>
      <c r="D43" s="407" t="s">
        <v>172</v>
      </c>
      <c r="E43" s="399">
        <v>36.136810936978982</v>
      </c>
      <c r="F43" s="399">
        <v>33.564675240720675</v>
      </c>
      <c r="G43" s="399">
        <v>37.337440278800038</v>
      </c>
      <c r="H43" s="399">
        <v>32.987271317741815</v>
      </c>
      <c r="I43" s="399">
        <v>35.601054976676217</v>
      </c>
      <c r="J43" s="399">
        <v>33.842976371402983</v>
      </c>
      <c r="K43" s="399">
        <v>34.806486133313207</v>
      </c>
      <c r="L43" s="399">
        <v>30.870489883176816</v>
      </c>
      <c r="M43" s="27"/>
      <c r="N43" s="400" t="str">
        <f t="shared" si="4"/>
        <v>Green</v>
      </c>
      <c r="O43" s="122"/>
      <c r="P43" s="407" t="s">
        <v>172</v>
      </c>
      <c r="Q43" s="410">
        <v>45.619619441771569</v>
      </c>
      <c r="R43" s="410">
        <v>44.239794453804478</v>
      </c>
      <c r="S43" s="410">
        <v>42.418911883726921</v>
      </c>
      <c r="T43" s="410">
        <v>40.302718408019302</v>
      </c>
      <c r="U43" s="410">
        <v>38.247940851542829</v>
      </c>
      <c r="V43" s="410">
        <v>36.829154792026799</v>
      </c>
      <c r="W43" s="410">
        <v>35.893871345159965</v>
      </c>
      <c r="X43" s="411"/>
      <c r="Y43" s="122"/>
      <c r="Z43" s="122"/>
      <c r="AA43" s="122"/>
      <c r="AB43" s="122"/>
    </row>
    <row r="44" spans="1:28">
      <c r="A44" s="9"/>
      <c r="B44" s="1200"/>
      <c r="C44" s="60"/>
      <c r="D44" s="407" t="s">
        <v>28</v>
      </c>
      <c r="E44" s="399">
        <v>71.563501542407678</v>
      </c>
      <c r="F44" s="399">
        <v>55.20969992035667</v>
      </c>
      <c r="G44" s="399">
        <v>59.886095619392719</v>
      </c>
      <c r="H44" s="399">
        <v>55.240269009477565</v>
      </c>
      <c r="I44" s="399">
        <v>59.068469004505616</v>
      </c>
      <c r="J44" s="399">
        <v>55.593027413435287</v>
      </c>
      <c r="K44" s="399">
        <v>57.389803396150953</v>
      </c>
      <c r="L44" s="399">
        <v>57.06708285707407</v>
      </c>
      <c r="M44" s="27"/>
      <c r="N44" s="400" t="str">
        <f t="shared" si="4"/>
        <v>Amber</v>
      </c>
      <c r="O44" s="122"/>
      <c r="P44" s="407" t="s">
        <v>28</v>
      </c>
      <c r="Q44" s="410">
        <v>64.553818535239969</v>
      </c>
      <c r="R44" s="410">
        <v>62.23321321341578</v>
      </c>
      <c r="S44" s="410">
        <v>59.450335858446451</v>
      </c>
      <c r="T44" s="410">
        <v>59.349477843236329</v>
      </c>
      <c r="U44" s="410">
        <v>59.085134716115576</v>
      </c>
      <c r="V44" s="410">
        <v>58.81080100669918</v>
      </c>
      <c r="W44" s="410">
        <v>56.397094127304882</v>
      </c>
      <c r="X44" s="411"/>
      <c r="Y44" s="122"/>
      <c r="Z44" s="122"/>
      <c r="AA44" s="122"/>
      <c r="AB44" s="122"/>
    </row>
    <row r="45" spans="1:28" ht="12" thickBot="1">
      <c r="B45" s="1200"/>
      <c r="C45" s="60"/>
      <c r="D45" s="407" t="s">
        <v>173</v>
      </c>
      <c r="E45" s="399">
        <v>56.921646907167251</v>
      </c>
      <c r="F45" s="399">
        <v>41.195106352089248</v>
      </c>
      <c r="G45" s="399">
        <v>43.298003555401777</v>
      </c>
      <c r="H45" s="399">
        <v>47.563722287852045</v>
      </c>
      <c r="I45" s="399">
        <v>49.946476708280159</v>
      </c>
      <c r="J45" s="399">
        <v>45.912781948565382</v>
      </c>
      <c r="K45" s="399">
        <v>44.302698409074907</v>
      </c>
      <c r="L45" s="399">
        <v>42.329782754113296</v>
      </c>
      <c r="M45" s="27"/>
      <c r="N45" s="400" t="str">
        <f t="shared" si="4"/>
        <v>Green</v>
      </c>
      <c r="O45" s="122"/>
      <c r="P45" s="413" t="s">
        <v>173</v>
      </c>
      <c r="Q45" s="410">
        <v>54.122974762328894</v>
      </c>
      <c r="R45" s="410">
        <v>52.928189857741323</v>
      </c>
      <c r="S45" s="410">
        <v>50.827380411264159</v>
      </c>
      <c r="T45" s="410">
        <v>49.517909168591785</v>
      </c>
      <c r="U45" s="410">
        <v>47.889304228487802</v>
      </c>
      <c r="V45" s="410">
        <v>47.192393305997932</v>
      </c>
      <c r="W45" s="410">
        <v>46.112337973253275</v>
      </c>
      <c r="X45" s="412"/>
      <c r="Y45" s="122"/>
      <c r="Z45" s="122"/>
      <c r="AA45" s="122"/>
      <c r="AB45" s="122"/>
    </row>
    <row r="46" spans="1:28" ht="12" thickBot="1">
      <c r="C46" s="60"/>
      <c r="D46" s="408" t="s">
        <v>174</v>
      </c>
      <c r="E46" s="992">
        <v>39.161800096626017</v>
      </c>
      <c r="F46" s="992">
        <v>34.43367633415852</v>
      </c>
      <c r="G46" s="992">
        <v>34.710786384799718</v>
      </c>
      <c r="H46" s="992">
        <v>35.504779179679069</v>
      </c>
      <c r="I46" s="992">
        <v>35.198959826915448</v>
      </c>
      <c r="J46" s="992">
        <v>33.110211410404958</v>
      </c>
      <c r="K46" s="992">
        <v>32.031034744430215</v>
      </c>
      <c r="L46" s="992">
        <v>31.791995715970181</v>
      </c>
      <c r="M46" s="404"/>
      <c r="N46" s="405"/>
      <c r="P46" s="1"/>
      <c r="W46" s="1133"/>
    </row>
    <row r="47" spans="1:28" ht="12" thickBot="1">
      <c r="C47" s="60"/>
      <c r="D47" s="1"/>
      <c r="E47" s="158"/>
      <c r="F47" s="158"/>
      <c r="G47" s="158"/>
      <c r="H47" s="158"/>
      <c r="I47" s="158"/>
      <c r="J47" s="158"/>
      <c r="K47" s="158"/>
      <c r="L47" s="1135"/>
      <c r="N47" s="1"/>
    </row>
    <row r="48" spans="1:28">
      <c r="B48" s="1207"/>
      <c r="C48" s="60"/>
      <c r="D48" s="1"/>
      <c r="E48" s="158"/>
      <c r="F48" s="158"/>
      <c r="G48" s="1"/>
      <c r="H48" s="158"/>
      <c r="I48" s="1"/>
      <c r="J48" s="1"/>
      <c r="K48" s="1"/>
      <c r="L48" s="1"/>
      <c r="N48" s="1"/>
    </row>
    <row r="49" spans="1:21" ht="12" thickBot="1">
      <c r="B49" s="1208"/>
      <c r="C49" s="60"/>
      <c r="D49" s="1"/>
      <c r="E49" s="158"/>
      <c r="F49" s="158"/>
      <c r="G49" s="1"/>
      <c r="H49" s="1"/>
      <c r="I49" s="1"/>
      <c r="J49" s="1" t="s">
        <v>229</v>
      </c>
      <c r="K49" s="1"/>
      <c r="L49" s="1"/>
      <c r="N49" s="1"/>
    </row>
    <row r="50" spans="1:21" ht="14" thickBot="1">
      <c r="B50" s="1208"/>
      <c r="C50" s="60"/>
      <c r="D50" s="1"/>
      <c r="E50" s="158"/>
      <c r="F50" s="158"/>
      <c r="G50" s="1"/>
      <c r="H50" s="1"/>
      <c r="I50" s="1"/>
      <c r="J50" s="1175" t="s">
        <v>230</v>
      </c>
      <c r="K50" s="1176"/>
      <c r="L50" s="1176"/>
      <c r="M50" s="1176"/>
      <c r="N50" s="1176"/>
      <c r="O50" s="1176"/>
      <c r="P50" s="1176" t="s">
        <v>231</v>
      </c>
      <c r="Q50" s="1176"/>
      <c r="R50" s="1176"/>
      <c r="S50" s="1176"/>
      <c r="T50" s="1176"/>
      <c r="U50" s="1177"/>
    </row>
    <row r="51" spans="1:21" ht="11.25" customHeight="1" thickBot="1">
      <c r="B51" s="1208" t="s">
        <v>232</v>
      </c>
      <c r="C51" s="60"/>
      <c r="D51" s="16" t="s">
        <v>137</v>
      </c>
      <c r="E51" s="133" t="s">
        <v>233</v>
      </c>
      <c r="I51" s="1" t="s">
        <v>137</v>
      </c>
      <c r="J51" s="1178" t="s">
        <v>234</v>
      </c>
      <c r="K51" s="1159"/>
      <c r="L51" s="1159"/>
      <c r="M51" s="1160" t="s">
        <v>235</v>
      </c>
      <c r="N51" s="1160"/>
      <c r="O51" s="1160"/>
      <c r="P51" s="1159" t="s">
        <v>234</v>
      </c>
      <c r="Q51" s="1159"/>
      <c r="R51" s="1159"/>
      <c r="S51" s="1160" t="s">
        <v>235</v>
      </c>
      <c r="T51" s="1160"/>
      <c r="U51" s="1161"/>
    </row>
    <row r="52" spans="1:21" ht="46.5" thickBot="1">
      <c r="A52" s="1209"/>
      <c r="B52" s="1208"/>
      <c r="C52" s="60"/>
      <c r="D52" s="16"/>
      <c r="E52" s="414" t="s">
        <v>236</v>
      </c>
      <c r="F52" s="179" t="s">
        <v>237</v>
      </c>
      <c r="G52" s="415" t="s">
        <v>238</v>
      </c>
      <c r="I52" s="1"/>
      <c r="J52" s="1003" t="s">
        <v>239</v>
      </c>
      <c r="K52" s="1004" t="s">
        <v>240</v>
      </c>
      <c r="L52" s="1004" t="s">
        <v>241</v>
      </c>
      <c r="M52" s="1005" t="s">
        <v>239</v>
      </c>
      <c r="N52" s="1004" t="s">
        <v>240</v>
      </c>
      <c r="O52" s="1006" t="s">
        <v>241</v>
      </c>
      <c r="P52" s="1003" t="s">
        <v>239</v>
      </c>
      <c r="Q52" s="1004" t="s">
        <v>240</v>
      </c>
      <c r="R52" s="1004" t="s">
        <v>241</v>
      </c>
      <c r="S52" s="1005" t="s">
        <v>239</v>
      </c>
      <c r="T52" s="1004" t="s">
        <v>240</v>
      </c>
      <c r="U52" s="1006" t="s">
        <v>241</v>
      </c>
    </row>
    <row r="53" spans="1:21" ht="11.25" customHeight="1">
      <c r="A53" s="1209"/>
      <c r="B53" s="1208"/>
      <c r="C53" s="60"/>
      <c r="D53" s="406" t="s">
        <v>161</v>
      </c>
      <c r="E53" s="416">
        <v>16.23501790447996</v>
      </c>
      <c r="F53" s="25">
        <v>0</v>
      </c>
      <c r="G53" s="25">
        <v>0</v>
      </c>
      <c r="H53" s="122"/>
      <c r="I53" s="406" t="s">
        <v>161</v>
      </c>
      <c r="J53" s="399">
        <v>1.6241159473852202</v>
      </c>
      <c r="K53" s="153">
        <v>2.3719535603527144</v>
      </c>
      <c r="L53" s="25">
        <v>0.25560190295810326</v>
      </c>
      <c r="M53" s="25">
        <v>4.058171082030003</v>
      </c>
      <c r="N53" s="153">
        <v>6.773539428722021</v>
      </c>
      <c r="O53" s="25">
        <v>2.2324092430665639</v>
      </c>
      <c r="P53" s="25">
        <v>35.033388210391927</v>
      </c>
      <c r="Q53" s="153">
        <v>46</v>
      </c>
      <c r="R53" s="25">
        <v>3.7482560302144554</v>
      </c>
      <c r="S53" s="25">
        <v>28.438120936717787</v>
      </c>
      <c r="T53" s="153">
        <v>40.6</v>
      </c>
      <c r="U53" s="417">
        <v>9.9987507282408394</v>
      </c>
    </row>
    <row r="54" spans="1:21" ht="11.25" customHeight="1">
      <c r="A54" s="1209"/>
      <c r="B54" s="1208"/>
      <c r="C54" s="60"/>
      <c r="D54" s="407" t="s">
        <v>162</v>
      </c>
      <c r="E54" s="416">
        <v>9.4991850840579541</v>
      </c>
      <c r="F54" s="25">
        <v>0</v>
      </c>
      <c r="G54" s="25">
        <v>-4.2363796546439167E-2</v>
      </c>
      <c r="H54" s="122"/>
      <c r="I54" s="407" t="s">
        <v>162</v>
      </c>
      <c r="J54" s="399">
        <v>2.9652825716279518</v>
      </c>
      <c r="K54" s="153">
        <v>3.9517295387111617</v>
      </c>
      <c r="L54" s="25">
        <v>0.21015250543891079</v>
      </c>
      <c r="M54" s="25">
        <v>6.8021231031550951</v>
      </c>
      <c r="N54" s="153">
        <v>11.062232456384244</v>
      </c>
      <c r="O54" s="25">
        <v>2.2689325526339328</v>
      </c>
      <c r="P54" s="25">
        <v>55.381991262699088</v>
      </c>
      <c r="Q54" s="153">
        <v>59.8</v>
      </c>
      <c r="R54" s="25">
        <v>0.94121188079689888</v>
      </c>
      <c r="S54" s="25">
        <v>43.306840972340197</v>
      </c>
      <c r="T54" s="153">
        <v>54.8</v>
      </c>
      <c r="U54" s="417">
        <v>6.1212519417346511</v>
      </c>
    </row>
    <row r="55" spans="1:21" ht="11.25" customHeight="1">
      <c r="A55" s="1209"/>
      <c r="B55" s="1208"/>
      <c r="C55" s="60"/>
      <c r="D55" s="407" t="s">
        <v>163</v>
      </c>
      <c r="E55" s="416">
        <v>16.643111921038113</v>
      </c>
      <c r="F55" s="25">
        <v>-0.52521340848063769</v>
      </c>
      <c r="G55" s="25">
        <v>0</v>
      </c>
      <c r="H55" s="122"/>
      <c r="I55" s="407" t="s">
        <v>163</v>
      </c>
      <c r="J55" s="399">
        <v>1.542511920025206</v>
      </c>
      <c r="K55" s="153">
        <v>1.8935709920287138</v>
      </c>
      <c r="L55" s="25">
        <v>0.10906812150133273</v>
      </c>
      <c r="M55" s="25">
        <v>3.9894415116583026</v>
      </c>
      <c r="N55" s="153">
        <v>5.6196670398052406</v>
      </c>
      <c r="O55" s="25">
        <v>1.2445023736630854</v>
      </c>
      <c r="P55" s="25">
        <v>50.992135358072062</v>
      </c>
      <c r="Q55" s="153">
        <v>66.7</v>
      </c>
      <c r="R55" s="25">
        <v>4.8801681139155013</v>
      </c>
      <c r="S55" s="25">
        <v>37.848229371933066</v>
      </c>
      <c r="T55" s="153">
        <v>57.5</v>
      </c>
      <c r="U55" s="417">
        <v>15.002019518803312</v>
      </c>
    </row>
    <row r="56" spans="1:21" ht="11.25" customHeight="1">
      <c r="B56" s="1208"/>
      <c r="C56" s="60"/>
      <c r="D56" s="407" t="s">
        <v>164</v>
      </c>
      <c r="E56" s="416">
        <v>22.50958209870236</v>
      </c>
      <c r="F56" s="25">
        <v>0</v>
      </c>
      <c r="G56" s="25">
        <v>0</v>
      </c>
      <c r="H56" s="122"/>
      <c r="I56" s="407" t="s">
        <v>164</v>
      </c>
      <c r="J56" s="399">
        <v>2.0841647325428494</v>
      </c>
      <c r="K56" s="153">
        <v>2.3768442257207596</v>
      </c>
      <c r="L56" s="25">
        <v>0.12375937566090452</v>
      </c>
      <c r="M56" s="25">
        <v>3.7597353379746892</v>
      </c>
      <c r="N56" s="153">
        <v>4.5560001649728177</v>
      </c>
      <c r="O56" s="25">
        <v>0.82402938634539813</v>
      </c>
      <c r="P56" s="25">
        <v>63.14273130219545</v>
      </c>
      <c r="Q56" s="153">
        <v>86.7</v>
      </c>
      <c r="R56" s="25">
        <v>9.9611791542370387</v>
      </c>
      <c r="S56" s="25">
        <v>28.391515798242708</v>
      </c>
      <c r="T56" s="153">
        <v>51.1</v>
      </c>
      <c r="U56" s="417">
        <v>23.500294961103702</v>
      </c>
    </row>
    <row r="57" spans="1:21" ht="11.25" customHeight="1">
      <c r="B57" s="1208"/>
      <c r="C57" s="60"/>
      <c r="D57" s="407" t="s">
        <v>165</v>
      </c>
      <c r="E57" s="416">
        <v>21.746545417390418</v>
      </c>
      <c r="F57" s="25">
        <v>0</v>
      </c>
      <c r="G57" s="25">
        <v>0</v>
      </c>
      <c r="H57" s="122"/>
      <c r="I57" s="407" t="s">
        <v>165</v>
      </c>
      <c r="J57" s="399">
        <v>0.97479493404828843</v>
      </c>
      <c r="K57" s="153">
        <v>1.3207620670378104</v>
      </c>
      <c r="L57" s="25">
        <v>0.15399160758294422</v>
      </c>
      <c r="M57" s="25">
        <v>1.6581107964349355</v>
      </c>
      <c r="N57" s="153">
        <v>2.4335743284649838</v>
      </c>
      <c r="O57" s="25">
        <v>0.85427715444029617</v>
      </c>
      <c r="P57" s="25">
        <v>41.675929636763193</v>
      </c>
      <c r="Q57" s="153">
        <v>51.9</v>
      </c>
      <c r="R57" s="25">
        <v>4.5507820863540109</v>
      </c>
      <c r="S57" s="25">
        <v>19.896857098078932</v>
      </c>
      <c r="T57" s="153">
        <v>37.799999999999997</v>
      </c>
      <c r="U57" s="417">
        <v>19.722714663000399</v>
      </c>
    </row>
    <row r="58" spans="1:21" ht="11.25" customHeight="1">
      <c r="B58" s="1208"/>
      <c r="C58" s="60"/>
      <c r="D58" s="407" t="s">
        <v>166</v>
      </c>
      <c r="E58" s="416">
        <v>5.4886604492916655</v>
      </c>
      <c r="F58" s="25">
        <v>0</v>
      </c>
      <c r="G58" s="25">
        <v>0</v>
      </c>
      <c r="H58" s="122"/>
      <c r="I58" s="407" t="s">
        <v>166</v>
      </c>
      <c r="J58" s="399">
        <v>3.5707797527873759</v>
      </c>
      <c r="K58" s="153">
        <v>4.960373370237364</v>
      </c>
      <c r="L58" s="25">
        <v>0.26286874451150943</v>
      </c>
      <c r="M58" s="25">
        <v>5.6257137641149857</v>
      </c>
      <c r="N58" s="153">
        <v>7.9421489145882065</v>
      </c>
      <c r="O58" s="25">
        <v>1.0826090561859953</v>
      </c>
      <c r="P58" s="25">
        <v>44.960638335767463</v>
      </c>
      <c r="Q58" s="153">
        <v>50.1</v>
      </c>
      <c r="R58" s="25">
        <v>0.97221053069208652</v>
      </c>
      <c r="S58" s="25">
        <v>20.715139635949132</v>
      </c>
      <c r="T58" s="153">
        <v>27.5</v>
      </c>
      <c r="U58" s="417">
        <v>3.1709721179020738</v>
      </c>
    </row>
    <row r="59" spans="1:21">
      <c r="B59" s="1208"/>
      <c r="C59" s="60"/>
      <c r="D59" s="407" t="s">
        <v>167</v>
      </c>
      <c r="E59" s="416">
        <v>6.1240400483340052</v>
      </c>
      <c r="F59" s="25">
        <v>0</v>
      </c>
      <c r="G59" s="25">
        <v>0</v>
      </c>
      <c r="H59" s="122"/>
      <c r="I59" s="407" t="s">
        <v>167</v>
      </c>
      <c r="J59" s="399">
        <v>3.4969340586774003</v>
      </c>
      <c r="K59" s="153">
        <v>3.4796245764819855</v>
      </c>
      <c r="L59" s="25">
        <v>-4.6227194473661042E-3</v>
      </c>
      <c r="M59" s="25">
        <v>8.5231351215370594</v>
      </c>
      <c r="N59" s="153">
        <v>8.1173430179575217</v>
      </c>
      <c r="O59" s="25">
        <v>-0.26641447789042144</v>
      </c>
      <c r="P59" s="25">
        <v>48.501871010345582</v>
      </c>
      <c r="Q59" s="153">
        <v>55.7</v>
      </c>
      <c r="R59" s="25">
        <v>1.9223527595724232</v>
      </c>
      <c r="S59" s="25">
        <v>28.987321153422847</v>
      </c>
      <c r="T59" s="153">
        <v>35.799999999999997</v>
      </c>
      <c r="U59" s="417">
        <v>4.4727244860993691</v>
      </c>
    </row>
    <row r="60" spans="1:21" ht="11.25" customHeight="1">
      <c r="B60" s="1208"/>
      <c r="C60" s="60"/>
      <c r="D60" s="407" t="s">
        <v>168</v>
      </c>
      <c r="E60" s="416">
        <v>16.552002289142742</v>
      </c>
      <c r="F60" s="25">
        <v>0</v>
      </c>
      <c r="G60" s="25">
        <v>-0.23480469972003681</v>
      </c>
      <c r="H60" s="122"/>
      <c r="I60" s="407" t="s">
        <v>168</v>
      </c>
      <c r="J60" s="399">
        <v>0.28502456414750427</v>
      </c>
      <c r="K60" s="153">
        <v>0.80442323062760146</v>
      </c>
      <c r="L60" s="25">
        <v>0.15397041119991767</v>
      </c>
      <c r="M60" s="25">
        <v>0.55028223105280394</v>
      </c>
      <c r="N60" s="153">
        <v>1.641548249896104</v>
      </c>
      <c r="O60" s="25">
        <v>0.79487251098100986</v>
      </c>
      <c r="P60" s="25">
        <v>18.671778437358611</v>
      </c>
      <c r="Q60" s="153">
        <v>27</v>
      </c>
      <c r="R60" s="25">
        <v>2.468815923717917</v>
      </c>
      <c r="S60" s="25">
        <v>18.736563986737583</v>
      </c>
      <c r="T60" s="153">
        <v>38.799999999999997</v>
      </c>
      <c r="U60" s="417">
        <v>14.614102782814449</v>
      </c>
    </row>
    <row r="61" spans="1:21">
      <c r="B61" s="1208"/>
      <c r="C61" s="60"/>
      <c r="D61" s="407" t="s">
        <v>169</v>
      </c>
      <c r="E61" s="416">
        <v>14.482487805380584</v>
      </c>
      <c r="F61" s="25">
        <v>-0.10169752888525596</v>
      </c>
      <c r="G61" s="25">
        <v>-0.29304881567794011</v>
      </c>
      <c r="H61" s="122"/>
      <c r="I61" s="407" t="s">
        <v>169</v>
      </c>
      <c r="J61" s="399">
        <v>1.1215869819014304</v>
      </c>
      <c r="K61" s="153">
        <v>1.926009815706254</v>
      </c>
      <c r="L61" s="25">
        <v>0.23846290430219613</v>
      </c>
      <c r="M61" s="25">
        <v>2.4337978280638133</v>
      </c>
      <c r="N61" s="153">
        <v>4.6747364727521248</v>
      </c>
      <c r="O61" s="25">
        <v>1.6133079976312898</v>
      </c>
      <c r="P61" s="25">
        <v>47.615511337307304</v>
      </c>
      <c r="Q61" s="153">
        <v>63.4</v>
      </c>
      <c r="R61" s="25">
        <v>4.679149883932868</v>
      </c>
      <c r="S61" s="25">
        <v>33.906692221385626</v>
      </c>
      <c r="T61" s="153">
        <v>45.5</v>
      </c>
      <c r="U61" s="417">
        <v>8.3463133640774281</v>
      </c>
    </row>
    <row r="62" spans="1:21" ht="11.25" customHeight="1">
      <c r="B62" s="1208"/>
      <c r="C62" s="60"/>
      <c r="D62" s="407" t="s">
        <v>170</v>
      </c>
      <c r="E62" s="416">
        <v>25.569567570994014</v>
      </c>
      <c r="F62" s="25">
        <v>-2.33489224481455E-3</v>
      </c>
      <c r="G62" s="25">
        <v>-0.24417192114862568</v>
      </c>
      <c r="H62" s="122"/>
      <c r="I62" s="407" t="s">
        <v>170</v>
      </c>
      <c r="J62" s="399">
        <v>1.4342311938513066</v>
      </c>
      <c r="K62" s="153">
        <v>2.6862600724907897</v>
      </c>
      <c r="L62" s="25">
        <v>0.58323748786314167</v>
      </c>
      <c r="M62" s="25">
        <v>3.7664392012006913</v>
      </c>
      <c r="N62" s="153">
        <v>7.7003845983317802</v>
      </c>
      <c r="O62" s="25">
        <v>4.4647949779663136</v>
      </c>
      <c r="P62" s="25">
        <v>44.321475088579433</v>
      </c>
      <c r="Q62" s="153">
        <v>67.099999999999994</v>
      </c>
      <c r="R62" s="25">
        <v>10.611008957717795</v>
      </c>
      <c r="S62" s="25">
        <v>30.998721045469047</v>
      </c>
      <c r="T62" s="153">
        <v>48</v>
      </c>
      <c r="U62" s="417">
        <v>19.295444453944658</v>
      </c>
    </row>
    <row r="63" spans="1:21" ht="11.25" customHeight="1">
      <c r="B63" s="1208"/>
      <c r="C63" s="60"/>
      <c r="D63" s="407" t="s">
        <v>171</v>
      </c>
      <c r="E63" s="416">
        <v>8.2328306432980654</v>
      </c>
      <c r="F63" s="25">
        <v>0</v>
      </c>
      <c r="G63" s="25">
        <v>0</v>
      </c>
      <c r="H63" s="122"/>
      <c r="I63" s="407" t="s">
        <v>171</v>
      </c>
      <c r="J63" s="399">
        <v>1.5521733723493039</v>
      </c>
      <c r="K63" s="153">
        <v>1.6734787553355979</v>
      </c>
      <c r="L63" s="25">
        <v>3.1981566187682782E-2</v>
      </c>
      <c r="M63" s="25">
        <v>3.7862219984796832</v>
      </c>
      <c r="N63" s="153">
        <v>4.0304040265744101</v>
      </c>
      <c r="O63" s="25">
        <v>0.15575174488918736</v>
      </c>
      <c r="P63" s="25">
        <v>46.913158500632036</v>
      </c>
      <c r="Q63" s="153">
        <v>50.4</v>
      </c>
      <c r="R63" s="25">
        <v>0.91928857114770679</v>
      </c>
      <c r="S63" s="25">
        <v>31.028411287898891</v>
      </c>
      <c r="T63" s="153">
        <v>42.2</v>
      </c>
      <c r="U63" s="417">
        <v>7.1258087610734888</v>
      </c>
    </row>
    <row r="64" spans="1:21" ht="11.25" customHeight="1">
      <c r="B64" s="1208"/>
      <c r="C64" s="60"/>
      <c r="D64" s="407" t="s">
        <v>172</v>
      </c>
      <c r="E64" s="416">
        <v>7.3306697194221364</v>
      </c>
      <c r="F64" s="25">
        <v>0</v>
      </c>
      <c r="G64" s="25">
        <v>0</v>
      </c>
      <c r="H64" s="122"/>
      <c r="I64" s="407" t="s">
        <v>172</v>
      </c>
      <c r="J64" s="399">
        <v>2.1911824745297936</v>
      </c>
      <c r="K64" s="153">
        <v>3.073663372097764</v>
      </c>
      <c r="L64" s="25">
        <v>0.1726199991648926</v>
      </c>
      <c r="M64" s="25">
        <v>7.1722359124277197</v>
      </c>
      <c r="N64" s="153">
        <v>10.519619441771569</v>
      </c>
      <c r="O64" s="25">
        <v>1.5942317817185729</v>
      </c>
      <c r="P64" s="25">
        <v>27.957250215105386</v>
      </c>
      <c r="Q64" s="153">
        <v>35.200000000000003</v>
      </c>
      <c r="R64" s="25">
        <v>1.4167371387477976</v>
      </c>
      <c r="S64" s="25">
        <v>26.392439328292959</v>
      </c>
      <c r="T64" s="153">
        <v>35.1</v>
      </c>
      <c r="U64" s="417">
        <v>4.1470807997908743</v>
      </c>
    </row>
    <row r="65" spans="2:21" ht="11.25" customHeight="1">
      <c r="B65" s="1208"/>
      <c r="C65" s="60"/>
      <c r="D65" s="407" t="s">
        <v>28</v>
      </c>
      <c r="E65" s="416">
        <v>2.8284066008196493</v>
      </c>
      <c r="F65" s="25">
        <v>-2.9911037907428221E-3</v>
      </c>
      <c r="G65" s="25">
        <v>-7.5265938244610198E-2</v>
      </c>
      <c r="H65" s="122"/>
      <c r="I65" s="407" t="s">
        <v>28</v>
      </c>
      <c r="J65" s="399">
        <v>3.0958895485035374</v>
      </c>
      <c r="K65" s="153">
        <v>5.0005399809069893</v>
      </c>
      <c r="L65" s="25">
        <v>0.20517218912044413</v>
      </c>
      <c r="M65" s="25">
        <v>5.6338218358487593</v>
      </c>
      <c r="N65" s="153">
        <v>10.653818535239971</v>
      </c>
      <c r="O65" s="25">
        <v>1.2617793905349544</v>
      </c>
      <c r="P65" s="25">
        <v>63.624511082138206</v>
      </c>
      <c r="Q65" s="153">
        <v>66.900000000000006</v>
      </c>
      <c r="R65" s="25">
        <v>0.35284124597573696</v>
      </c>
      <c r="S65" s="25">
        <v>49.575878084507913</v>
      </c>
      <c r="T65" s="153">
        <v>53.9</v>
      </c>
      <c r="U65" s="417">
        <v>1.0868708172238672</v>
      </c>
    </row>
    <row r="66" spans="2:21" ht="11.25" customHeight="1" thickBot="1">
      <c r="B66" s="1208"/>
      <c r="C66" s="60"/>
      <c r="D66" s="407" t="s">
        <v>173</v>
      </c>
      <c r="E66" s="416">
        <v>19.171245055474675</v>
      </c>
      <c r="F66" s="25">
        <v>-1.0682513538367222E-4</v>
      </c>
      <c r="G66" s="25">
        <v>-3.0422272483907217E-2</v>
      </c>
      <c r="H66" s="122"/>
      <c r="I66" s="413" t="s">
        <v>173</v>
      </c>
      <c r="J66" s="399">
        <v>1.3035391628677995</v>
      </c>
      <c r="K66" s="153">
        <v>2.2343598681705301</v>
      </c>
      <c r="L66" s="25">
        <v>0.38436676938541858</v>
      </c>
      <c r="M66" s="25">
        <v>3.0763547451299154</v>
      </c>
      <c r="N66" s="153">
        <v>6.0229747623288956</v>
      </c>
      <c r="O66" s="25">
        <v>2.9625393258846691</v>
      </c>
      <c r="P66" s="25">
        <v>46.206448404475758</v>
      </c>
      <c r="Q66" s="153">
        <v>60.3</v>
      </c>
      <c r="R66" s="25">
        <v>5.8196953130480304</v>
      </c>
      <c r="S66" s="25">
        <v>38.118751606959329</v>
      </c>
      <c r="T66" s="153">
        <v>48.1</v>
      </c>
      <c r="U66" s="417">
        <v>10.035172744775849</v>
      </c>
    </row>
    <row r="67" spans="2:21" ht="11.25" customHeight="1" thickBot="1">
      <c r="B67" s="1208"/>
      <c r="C67" s="60"/>
      <c r="D67" s="408" t="s">
        <v>174</v>
      </c>
      <c r="E67" s="418">
        <f>SUM(E53:E66)</f>
        <v>192.41335260782637</v>
      </c>
      <c r="F67" s="419">
        <f>SUM(F53:F66)</f>
        <v>-0.63234375853683467</v>
      </c>
      <c r="G67" s="420">
        <f>SUM(G53:G66)</f>
        <v>-0.92007744382155909</v>
      </c>
      <c r="I67" s="320"/>
      <c r="J67" s="1184"/>
      <c r="K67" s="1184"/>
    </row>
    <row r="68" spans="2:21">
      <c r="B68" s="1208"/>
      <c r="C68" s="60"/>
      <c r="D68" s="1205" t="s">
        <v>242</v>
      </c>
      <c r="E68" s="1205"/>
      <c r="F68" s="1205"/>
      <c r="G68" s="1205"/>
      <c r="I68" s="320"/>
      <c r="J68" s="1184"/>
      <c r="K68" s="1184"/>
    </row>
    <row r="69" spans="2:21">
      <c r="B69" s="1208"/>
      <c r="C69" s="60"/>
      <c r="D69" s="1206"/>
      <c r="E69" s="1206"/>
      <c r="F69" s="1206"/>
      <c r="G69" s="1206"/>
      <c r="I69" s="320"/>
      <c r="J69" s="1184"/>
      <c r="K69" s="1184"/>
    </row>
    <row r="70" spans="2:21" ht="12" thickBot="1">
      <c r="B70" s="1208"/>
      <c r="C70" s="60"/>
      <c r="D70" s="1206"/>
      <c r="E70" s="1206"/>
      <c r="F70" s="1206"/>
      <c r="G70" s="1206"/>
      <c r="I70" s="324"/>
      <c r="J70" s="1184"/>
      <c r="K70" s="1184"/>
    </row>
    <row r="71" spans="2:21" ht="11.25" customHeight="1" thickBot="1">
      <c r="B71" s="1208"/>
      <c r="C71" s="60"/>
      <c r="I71" s="1"/>
      <c r="J71" s="1175" t="s">
        <v>230</v>
      </c>
      <c r="K71" s="1176"/>
      <c r="L71" s="1176"/>
      <c r="M71" s="1176"/>
      <c r="N71" s="1176"/>
      <c r="O71" s="1176"/>
      <c r="P71" s="1176" t="s">
        <v>231</v>
      </c>
      <c r="Q71" s="1176"/>
      <c r="R71" s="1176"/>
      <c r="S71" s="1176"/>
      <c r="T71" s="1176"/>
      <c r="U71" s="1177"/>
    </row>
    <row r="72" spans="2:21" ht="11.25" customHeight="1" thickBot="1">
      <c r="B72" s="1208"/>
      <c r="C72" s="60"/>
      <c r="D72" s="16" t="s">
        <v>138</v>
      </c>
      <c r="E72" s="1"/>
      <c r="F72" s="16"/>
      <c r="I72" s="1" t="s">
        <v>138</v>
      </c>
      <c r="J72" s="1178" t="s">
        <v>234</v>
      </c>
      <c r="K72" s="1159"/>
      <c r="L72" s="1159"/>
      <c r="M72" s="1160" t="s">
        <v>235</v>
      </c>
      <c r="N72" s="1160"/>
      <c r="O72" s="1160"/>
      <c r="P72" s="1159" t="s">
        <v>234</v>
      </c>
      <c r="Q72" s="1159"/>
      <c r="R72" s="1159"/>
      <c r="S72" s="1160" t="s">
        <v>235</v>
      </c>
      <c r="T72" s="1160"/>
      <c r="U72" s="1161"/>
    </row>
    <row r="73" spans="2:21" ht="58.5" customHeight="1" thickBot="1">
      <c r="B73" s="1208"/>
      <c r="C73" s="60"/>
      <c r="D73" s="16"/>
      <c r="E73" s="414" t="s">
        <v>236</v>
      </c>
      <c r="F73" s="179" t="s">
        <v>237</v>
      </c>
      <c r="G73" s="415" t="s">
        <v>238</v>
      </c>
      <c r="I73" s="1"/>
      <c r="J73" s="1003" t="s">
        <v>239</v>
      </c>
      <c r="K73" s="1004" t="s">
        <v>240</v>
      </c>
      <c r="L73" s="1004" t="s">
        <v>241</v>
      </c>
      <c r="M73" s="1005" t="s">
        <v>239</v>
      </c>
      <c r="N73" s="1004" t="s">
        <v>240</v>
      </c>
      <c r="O73" s="1006" t="s">
        <v>241</v>
      </c>
      <c r="P73" s="1003" t="s">
        <v>239</v>
      </c>
      <c r="Q73" s="1004" t="s">
        <v>240</v>
      </c>
      <c r="R73" s="1004" t="s">
        <v>241</v>
      </c>
      <c r="S73" s="1005" t="s">
        <v>239</v>
      </c>
      <c r="T73" s="1004" t="s">
        <v>240</v>
      </c>
      <c r="U73" s="1006" t="s">
        <v>241</v>
      </c>
    </row>
    <row r="74" spans="2:21" ht="11.25" customHeight="1">
      <c r="B74" s="1208"/>
      <c r="C74" s="229"/>
      <c r="D74" s="406" t="s">
        <v>161</v>
      </c>
      <c r="E74" s="416">
        <v>15.016054660151148</v>
      </c>
      <c r="F74" s="155">
        <v>0</v>
      </c>
      <c r="G74" s="155">
        <v>-0.11420370009195874</v>
      </c>
      <c r="H74" s="122"/>
      <c r="I74" s="406" t="s">
        <v>161</v>
      </c>
      <c r="J74" s="399">
        <v>1.7803688632242005</v>
      </c>
      <c r="K74" s="838">
        <v>2.2282533417168793</v>
      </c>
      <c r="L74" s="25">
        <v>0.15308152869425465</v>
      </c>
      <c r="M74" s="25">
        <v>4.37061883657951</v>
      </c>
      <c r="N74" s="838">
        <v>6.027288219857561</v>
      </c>
      <c r="O74" s="25">
        <v>1.3620119157832922</v>
      </c>
      <c r="P74" s="25">
        <v>31.118355296670796</v>
      </c>
      <c r="Q74" s="153">
        <v>45.8</v>
      </c>
      <c r="R74" s="25">
        <v>5.0180096048322396</v>
      </c>
      <c r="S74" s="25">
        <v>29.342937310707303</v>
      </c>
      <c r="T74" s="153">
        <v>39.799999999999997</v>
      </c>
      <c r="U74" s="417">
        <v>8.5971553109333207</v>
      </c>
    </row>
    <row r="75" spans="2:21" ht="11.25" customHeight="1">
      <c r="B75" s="1208"/>
      <c r="C75" s="229"/>
      <c r="D75" s="407" t="s">
        <v>162</v>
      </c>
      <c r="E75" s="416">
        <v>12.175842837917562</v>
      </c>
      <c r="F75" s="155">
        <v>0</v>
      </c>
      <c r="G75" s="155">
        <v>0</v>
      </c>
      <c r="H75" s="122"/>
      <c r="I75" s="407" t="s">
        <v>162</v>
      </c>
      <c r="J75" s="399">
        <v>2.9682644287378546</v>
      </c>
      <c r="K75" s="838">
        <v>3.8086849513557373</v>
      </c>
      <c r="L75" s="25">
        <v>0.17904305486655592</v>
      </c>
      <c r="M75" s="25">
        <v>7.3789079738214438</v>
      </c>
      <c r="N75" s="838">
        <v>10.397604060321923</v>
      </c>
      <c r="O75" s="25">
        <v>1.6077563389254106</v>
      </c>
      <c r="P75" s="25">
        <v>50.32078918848012</v>
      </c>
      <c r="Q75" s="153">
        <v>58.9</v>
      </c>
      <c r="R75" s="25">
        <v>1.8277137108146329</v>
      </c>
      <c r="S75" s="25">
        <v>37.625392215552019</v>
      </c>
      <c r="T75" s="153">
        <v>53.7</v>
      </c>
      <c r="U75" s="417">
        <v>8.5613297333109628</v>
      </c>
    </row>
    <row r="76" spans="2:21" ht="11.25" customHeight="1">
      <c r="B76" s="1208"/>
      <c r="C76" s="229"/>
      <c r="D76" s="407" t="s">
        <v>163</v>
      </c>
      <c r="E76" s="416">
        <v>17.168325329518751</v>
      </c>
      <c r="F76" s="155">
        <v>0</v>
      </c>
      <c r="G76" s="155">
        <v>0</v>
      </c>
      <c r="H76" s="122"/>
      <c r="I76" s="407" t="s">
        <v>163</v>
      </c>
      <c r="J76" s="399">
        <v>1.1784630430091809</v>
      </c>
      <c r="K76" s="838">
        <v>1.8537211362493704</v>
      </c>
      <c r="L76" s="25">
        <v>0.20979127910855797</v>
      </c>
      <c r="M76" s="25">
        <v>2.9743182694169579</v>
      </c>
      <c r="N76" s="838">
        <v>5.3161897613111515</v>
      </c>
      <c r="O76" s="25">
        <v>1.7877677536979066</v>
      </c>
      <c r="P76" s="25">
        <v>47.357865759012157</v>
      </c>
      <c r="Q76" s="153">
        <v>65.7</v>
      </c>
      <c r="R76" s="25">
        <v>5.6985911646511402</v>
      </c>
      <c r="S76" s="25">
        <v>35.030859230805973</v>
      </c>
      <c r="T76" s="153">
        <v>56.3</v>
      </c>
      <c r="U76" s="417">
        <v>16.23670818302293</v>
      </c>
    </row>
    <row r="77" spans="2:21" ht="11.25" customHeight="1">
      <c r="B77" s="1208"/>
      <c r="C77" s="229"/>
      <c r="D77" s="407" t="s">
        <v>164</v>
      </c>
      <c r="E77" s="416">
        <v>22.50958209870236</v>
      </c>
      <c r="F77" s="155">
        <v>0</v>
      </c>
      <c r="G77" s="155">
        <v>0</v>
      </c>
      <c r="H77" s="122"/>
      <c r="I77" s="407" t="s">
        <v>164</v>
      </c>
      <c r="J77" s="399">
        <v>2.881645696963465</v>
      </c>
      <c r="K77" s="838">
        <v>2.054564851484221</v>
      </c>
      <c r="L77" s="25">
        <v>-0.34973071719576754</v>
      </c>
      <c r="M77" s="25">
        <v>4.8940222682742878</v>
      </c>
      <c r="N77" s="838">
        <v>3.3016225182860128</v>
      </c>
      <c r="O77" s="25">
        <v>-1.647924339125038</v>
      </c>
      <c r="P77" s="25">
        <v>56.078353104729224</v>
      </c>
      <c r="Q77" s="153">
        <v>85</v>
      </c>
      <c r="R77" s="25">
        <v>12.229503761878169</v>
      </c>
      <c r="S77" s="25">
        <v>27.07959169297747</v>
      </c>
      <c r="T77" s="153">
        <v>50.3</v>
      </c>
      <c r="U77" s="417">
        <v>24.030069091536461</v>
      </c>
    </row>
    <row r="78" spans="2:21" ht="11.25" customHeight="1">
      <c r="B78" s="1208"/>
      <c r="C78" s="229"/>
      <c r="D78" s="407" t="s">
        <v>165</v>
      </c>
      <c r="E78" s="416">
        <v>21.746545417390418</v>
      </c>
      <c r="F78" s="155">
        <v>0</v>
      </c>
      <c r="G78" s="155">
        <v>0</v>
      </c>
      <c r="H78" s="122"/>
      <c r="I78" s="407" t="s">
        <v>165</v>
      </c>
      <c r="J78" s="399">
        <v>0.91152964804104264</v>
      </c>
      <c r="K78" s="838">
        <v>1.0396262251598796</v>
      </c>
      <c r="L78" s="25">
        <v>5.7016392470436508E-2</v>
      </c>
      <c r="M78" s="25">
        <v>1.5199592020880139</v>
      </c>
      <c r="N78" s="838">
        <v>1.5058826642316177</v>
      </c>
      <c r="O78" s="25">
        <v>-1.5507195641880116E-2</v>
      </c>
      <c r="P78" s="25">
        <v>43.214189094939336</v>
      </c>
      <c r="Q78" s="153">
        <v>51.1</v>
      </c>
      <c r="R78" s="25">
        <v>3.5100117397631014</v>
      </c>
      <c r="S78" s="25">
        <v>20.442162479375849</v>
      </c>
      <c r="T78" s="153">
        <v>37.6</v>
      </c>
      <c r="U78" s="417">
        <v>18.901660759077171</v>
      </c>
    </row>
    <row r="79" spans="2:21" ht="11.25" customHeight="1">
      <c r="B79" s="1208"/>
      <c r="C79" s="229"/>
      <c r="D79" s="407" t="s">
        <v>166</v>
      </c>
      <c r="E79" s="416">
        <v>5.9561996082507473</v>
      </c>
      <c r="F79" s="155">
        <v>0</v>
      </c>
      <c r="G79" s="155">
        <v>0</v>
      </c>
      <c r="H79" s="122"/>
      <c r="I79" s="407" t="s">
        <v>166</v>
      </c>
      <c r="J79" s="399">
        <v>3.6630848261607891</v>
      </c>
      <c r="K79" s="838">
        <v>3.851807435757479</v>
      </c>
      <c r="L79" s="25">
        <v>3.5700563691890341E-2</v>
      </c>
      <c r="M79" s="25">
        <v>6.2704509680186904</v>
      </c>
      <c r="N79" s="838">
        <v>6.0682074902367917</v>
      </c>
      <c r="O79" s="25">
        <v>-9.4520505163507629E-2</v>
      </c>
      <c r="P79" s="25">
        <v>37.977317767512432</v>
      </c>
      <c r="Q79" s="153">
        <v>49.9</v>
      </c>
      <c r="R79" s="25">
        <v>2.2554079626639365</v>
      </c>
      <c r="S79" s="25">
        <v>19.455640512495084</v>
      </c>
      <c r="T79" s="153">
        <v>27.5</v>
      </c>
      <c r="U79" s="417">
        <v>3.7596115870584277</v>
      </c>
    </row>
    <row r="80" spans="2:21" ht="11.25" customHeight="1">
      <c r="B80" s="1208"/>
      <c r="C80" s="229"/>
      <c r="D80" s="407" t="s">
        <v>167</v>
      </c>
      <c r="E80" s="416">
        <v>4.293887406291522</v>
      </c>
      <c r="F80" s="155">
        <v>0</v>
      </c>
      <c r="G80" s="155">
        <v>0</v>
      </c>
      <c r="H80" s="122"/>
      <c r="I80" s="407" t="s">
        <v>167</v>
      </c>
      <c r="J80" s="399">
        <v>4.1443093494614249</v>
      </c>
      <c r="K80" s="838">
        <v>3.4608394242291971</v>
      </c>
      <c r="L80" s="25">
        <v>-0.18252941823400268</v>
      </c>
      <c r="M80" s="25">
        <v>9.551975295528953</v>
      </c>
      <c r="N80" s="838">
        <v>8.032985626514261</v>
      </c>
      <c r="O80" s="25">
        <v>-0.99726149430153554</v>
      </c>
      <c r="P80" s="25">
        <v>48.310111713693047</v>
      </c>
      <c r="Q80" s="153">
        <v>55.4</v>
      </c>
      <c r="R80" s="25">
        <v>1.8934456900996295</v>
      </c>
      <c r="S80" s="25">
        <v>30.146729812810836</v>
      </c>
      <c r="T80" s="153">
        <v>35.6</v>
      </c>
      <c r="U80" s="417">
        <v>3.5802326287274311</v>
      </c>
    </row>
    <row r="81" spans="2:21" ht="11.25" customHeight="1">
      <c r="B81" s="1208"/>
      <c r="C81" s="229"/>
      <c r="D81" s="407" t="s">
        <v>168</v>
      </c>
      <c r="E81" s="416">
        <v>16.616486519080414</v>
      </c>
      <c r="F81" s="155">
        <v>0</v>
      </c>
      <c r="G81" s="155">
        <v>-0.17032046978236437</v>
      </c>
      <c r="H81" s="122"/>
      <c r="I81" s="407" t="s">
        <v>168</v>
      </c>
      <c r="J81" s="399">
        <v>0.18430660379787467</v>
      </c>
      <c r="K81" s="838">
        <v>0.78332947255496732</v>
      </c>
      <c r="L81" s="25">
        <v>0.17757418987177567</v>
      </c>
      <c r="M81" s="25">
        <v>0.45573312975905733</v>
      </c>
      <c r="N81" s="838">
        <v>1.6188237084847872</v>
      </c>
      <c r="O81" s="25">
        <v>0.84718914805944423</v>
      </c>
      <c r="P81" s="25">
        <v>17.037096477963022</v>
      </c>
      <c r="Q81" s="153">
        <v>26.9</v>
      </c>
      <c r="R81" s="25">
        <v>2.9237566611491115</v>
      </c>
      <c r="S81" s="25">
        <v>19.325540882992794</v>
      </c>
      <c r="T81" s="153">
        <v>38.1</v>
      </c>
      <c r="U81" s="417">
        <v>13.675218693663677</v>
      </c>
    </row>
    <row r="82" spans="2:21" ht="11.25" customHeight="1">
      <c r="B82" s="1208"/>
      <c r="C82" s="229"/>
      <c r="D82" s="407" t="s">
        <v>169</v>
      </c>
      <c r="E82" s="416">
        <v>14.323001908783148</v>
      </c>
      <c r="F82" s="155">
        <v>-6.0814023500561981E-3</v>
      </c>
      <c r="G82" s="155">
        <v>-0.27072846667620315</v>
      </c>
      <c r="H82" s="122"/>
      <c r="I82" s="407" t="s">
        <v>169</v>
      </c>
      <c r="J82" s="399">
        <v>1.1903133751260051</v>
      </c>
      <c r="K82" s="838">
        <v>1.6690745167847021</v>
      </c>
      <c r="L82" s="25">
        <v>0.14192383347321569</v>
      </c>
      <c r="M82" s="25">
        <v>2.7099206108195015</v>
      </c>
      <c r="N82" s="838">
        <v>3.8649051867097377</v>
      </c>
      <c r="O82" s="25">
        <v>0.83150239648068147</v>
      </c>
      <c r="P82" s="25">
        <v>46.533752745675407</v>
      </c>
      <c r="Q82" s="153">
        <v>63</v>
      </c>
      <c r="R82" s="25">
        <v>4.8812502308667822</v>
      </c>
      <c r="S82" s="25">
        <v>32.352715220130314</v>
      </c>
      <c r="T82" s="153">
        <v>44.5</v>
      </c>
      <c r="U82" s="417">
        <v>8.745135316988728</v>
      </c>
    </row>
    <row r="83" spans="2:21" ht="11.25" customHeight="1">
      <c r="B83" s="1208"/>
      <c r="C83" s="229"/>
      <c r="D83" s="407" t="s">
        <v>170</v>
      </c>
      <c r="E83" s="416">
        <v>25.360065350755086</v>
      </c>
      <c r="F83" s="155">
        <v>-1.527599435986513E-2</v>
      </c>
      <c r="G83" s="155">
        <v>-0.44073303927250435</v>
      </c>
      <c r="H83" s="122"/>
      <c r="I83" s="407" t="s">
        <v>170</v>
      </c>
      <c r="J83" s="399">
        <v>1.5589175723647788</v>
      </c>
      <c r="K83" s="838">
        <v>2.5997437220242046</v>
      </c>
      <c r="L83" s="25">
        <v>0.48485209821140807</v>
      </c>
      <c r="M83" s="25">
        <v>4.2451393179193362</v>
      </c>
      <c r="N83" s="838">
        <v>7.2226852440513989</v>
      </c>
      <c r="O83" s="25">
        <v>3.3793382356942501</v>
      </c>
      <c r="P83" s="25">
        <v>47.81220059256907</v>
      </c>
      <c r="Q83" s="153">
        <v>66.099999999999994</v>
      </c>
      <c r="R83" s="25">
        <v>8.5190768095744023</v>
      </c>
      <c r="S83" s="25">
        <v>34.958677428466913</v>
      </c>
      <c r="T83" s="153">
        <v>47</v>
      </c>
      <c r="U83" s="417">
        <v>13.666187788132602</v>
      </c>
    </row>
    <row r="84" spans="2:21" ht="11.25" customHeight="1">
      <c r="B84" s="1208"/>
      <c r="C84" s="229"/>
      <c r="D84" s="407" t="s">
        <v>171</v>
      </c>
      <c r="E84" s="416">
        <v>12.80673874213729</v>
      </c>
      <c r="F84" s="155">
        <v>0</v>
      </c>
      <c r="G84" s="155">
        <v>0</v>
      </c>
      <c r="H84" s="122"/>
      <c r="I84" s="407" t="s">
        <v>171</v>
      </c>
      <c r="J84" s="399">
        <v>1.1078034904128888</v>
      </c>
      <c r="K84" s="838">
        <v>1.8016034151920268</v>
      </c>
      <c r="L84" s="25">
        <v>0.18291692972801049</v>
      </c>
      <c r="M84" s="25">
        <v>2.8471619816214129</v>
      </c>
      <c r="N84" s="838">
        <v>4.3815758831589955</v>
      </c>
      <c r="O84" s="25">
        <v>0.97872740435259387</v>
      </c>
      <c r="P84" s="25">
        <v>41.78233361370782</v>
      </c>
      <c r="Q84" s="153">
        <v>50.1</v>
      </c>
      <c r="R84" s="25">
        <v>2.1929117365741608</v>
      </c>
      <c r="S84" s="25">
        <v>26.481205280964609</v>
      </c>
      <c r="T84" s="153">
        <v>41.3</v>
      </c>
      <c r="U84" s="417">
        <v>9.4521826714825234</v>
      </c>
    </row>
    <row r="85" spans="2:21" ht="11.25" customHeight="1">
      <c r="B85" s="1208"/>
      <c r="C85" s="229"/>
      <c r="D85" s="407" t="s">
        <v>172</v>
      </c>
      <c r="E85" s="416">
        <v>3.2679030761255596</v>
      </c>
      <c r="F85" s="155">
        <v>0</v>
      </c>
      <c r="G85" s="155">
        <v>0</v>
      </c>
      <c r="H85" s="122"/>
      <c r="I85" s="407" t="s">
        <v>172</v>
      </c>
      <c r="J85" s="399">
        <v>1.8298211937385993</v>
      </c>
      <c r="K85" s="838">
        <v>2.9644496974892998</v>
      </c>
      <c r="L85" s="25">
        <v>0.2219419954694529</v>
      </c>
      <c r="M85" s="25">
        <v>5.7558866340705412</v>
      </c>
      <c r="N85" s="838">
        <v>9.9397944538044793</v>
      </c>
      <c r="O85" s="25">
        <v>1.9926365651049778</v>
      </c>
      <c r="P85" s="25">
        <v>36.333941373605398</v>
      </c>
      <c r="Q85" s="153">
        <v>35.1</v>
      </c>
      <c r="R85" s="25">
        <v>-0.24136835082584224</v>
      </c>
      <c r="S85" s="25">
        <v>31.581553644729496</v>
      </c>
      <c r="T85" s="153">
        <v>34.299999999999997</v>
      </c>
      <c r="U85" s="417">
        <v>1.2946928663769712</v>
      </c>
    </row>
    <row r="86" spans="2:21" ht="11.25" customHeight="1">
      <c r="B86" s="1208"/>
      <c r="C86" s="229"/>
      <c r="D86" s="407" t="s">
        <v>28</v>
      </c>
      <c r="E86" s="416">
        <v>0.92195458053502122</v>
      </c>
      <c r="F86" s="155">
        <v>0</v>
      </c>
      <c r="G86" s="155">
        <v>0</v>
      </c>
      <c r="H86" s="122"/>
      <c r="I86" s="407" t="s">
        <v>28</v>
      </c>
      <c r="J86" s="399">
        <v>5.5210525080760595</v>
      </c>
      <c r="K86" s="838">
        <v>4.5888624510320106</v>
      </c>
      <c r="L86" s="25">
        <v>-0.10041710091583132</v>
      </c>
      <c r="M86" s="25">
        <v>11.765127457057242</v>
      </c>
      <c r="N86" s="838">
        <v>9.4332132134157849</v>
      </c>
      <c r="O86" s="25">
        <v>-0.58612814097637245</v>
      </c>
      <c r="P86" s="25">
        <v>62.585747025741703</v>
      </c>
      <c r="Q86" s="153">
        <v>66.599999999999994</v>
      </c>
      <c r="R86" s="25">
        <v>0.43242216860367472</v>
      </c>
      <c r="S86" s="25">
        <v>48.12096816233548</v>
      </c>
      <c r="T86" s="153">
        <v>52.8</v>
      </c>
      <c r="U86" s="417">
        <v>1.1760776538235502</v>
      </c>
    </row>
    <row r="87" spans="2:21" ht="11.25" customHeight="1" thickBot="1">
      <c r="B87" s="1208"/>
      <c r="C87" s="229"/>
      <c r="D87" s="407" t="s">
        <v>173</v>
      </c>
      <c r="E87" s="416">
        <v>15.358064699264849</v>
      </c>
      <c r="F87" s="155">
        <v>-3.8151834065597252E-4</v>
      </c>
      <c r="G87" s="155">
        <v>-6.1195541841218152E-3</v>
      </c>
      <c r="H87" s="122"/>
      <c r="I87" s="413" t="s">
        <v>173</v>
      </c>
      <c r="J87" s="399">
        <v>1.713139094806523</v>
      </c>
      <c r="K87" s="838">
        <v>2.1778077170682573</v>
      </c>
      <c r="L87" s="25">
        <v>0.19187709959183719</v>
      </c>
      <c r="M87" s="25">
        <v>4.1021074491056622</v>
      </c>
      <c r="N87" s="838">
        <v>5.8281898577413207</v>
      </c>
      <c r="O87" s="25">
        <v>1.7354076825154336</v>
      </c>
      <c r="P87" s="25">
        <v>46.103721816981597</v>
      </c>
      <c r="Q87" s="153">
        <v>59.4</v>
      </c>
      <c r="R87" s="25">
        <v>5.4904746541864595</v>
      </c>
      <c r="S87" s="25">
        <v>39.195896106296118</v>
      </c>
      <c r="T87" s="153">
        <v>47.1</v>
      </c>
      <c r="U87" s="417">
        <v>7.9468063354958982</v>
      </c>
    </row>
    <row r="88" spans="2:21" ht="11.25" customHeight="1" thickBot="1">
      <c r="B88" s="1208"/>
      <c r="C88" s="60"/>
      <c r="D88" s="408" t="s">
        <v>174</v>
      </c>
      <c r="E88" s="898">
        <f>SUM(E74:E87)</f>
        <v>187.52065223490385</v>
      </c>
      <c r="F88" s="419">
        <f>SUM(F74:F87)</f>
        <v>-2.17389150505773E-2</v>
      </c>
      <c r="G88" s="420">
        <f>SUM(G74:G87)</f>
        <v>-1.0021052300071525</v>
      </c>
      <c r="I88" s="320"/>
      <c r="J88" s="1184"/>
      <c r="K88" s="1184"/>
    </row>
    <row r="89" spans="2:21" ht="11.25" customHeight="1" thickBot="1">
      <c r="B89" s="1208"/>
      <c r="C89" s="60"/>
      <c r="D89" s="37"/>
      <c r="E89" s="263"/>
      <c r="I89" s="320"/>
      <c r="J89" s="1184"/>
      <c r="K89" s="1184"/>
    </row>
    <row r="90" spans="2:21" ht="11.25" customHeight="1" thickBot="1">
      <c r="B90" s="1208"/>
      <c r="C90" s="60"/>
      <c r="D90" s="37"/>
      <c r="I90" s="1"/>
      <c r="J90" s="1175" t="s">
        <v>230</v>
      </c>
      <c r="K90" s="1176"/>
      <c r="L90" s="1176"/>
      <c r="M90" s="1176"/>
      <c r="N90" s="1176"/>
      <c r="O90" s="1176"/>
      <c r="P90" s="1176" t="s">
        <v>231</v>
      </c>
      <c r="Q90" s="1176"/>
      <c r="R90" s="1176"/>
      <c r="S90" s="1176"/>
      <c r="T90" s="1176"/>
      <c r="U90" s="1177"/>
    </row>
    <row r="91" spans="2:21" ht="11.25" customHeight="1" thickBot="1">
      <c r="B91" s="1208"/>
      <c r="C91" s="60"/>
      <c r="D91" s="16" t="s">
        <v>139</v>
      </c>
      <c r="F91" s="16"/>
      <c r="I91" s="1" t="s">
        <v>139</v>
      </c>
      <c r="J91" s="1178" t="s">
        <v>234</v>
      </c>
      <c r="K91" s="1159"/>
      <c r="L91" s="1159"/>
      <c r="M91" s="1160" t="s">
        <v>235</v>
      </c>
      <c r="N91" s="1160"/>
      <c r="O91" s="1160"/>
      <c r="P91" s="1159" t="s">
        <v>234</v>
      </c>
      <c r="Q91" s="1159"/>
      <c r="R91" s="1159"/>
      <c r="S91" s="1160" t="s">
        <v>235</v>
      </c>
      <c r="T91" s="1160"/>
      <c r="U91" s="1161"/>
    </row>
    <row r="92" spans="2:21" ht="46.5" thickBot="1">
      <c r="B92" s="1208"/>
      <c r="C92" s="60"/>
      <c r="D92" s="16"/>
      <c r="E92" s="414" t="s">
        <v>236</v>
      </c>
      <c r="F92" s="179" t="s">
        <v>237</v>
      </c>
      <c r="G92" s="415" t="s">
        <v>238</v>
      </c>
      <c r="I92" s="1"/>
      <c r="J92" s="1003" t="s">
        <v>239</v>
      </c>
      <c r="K92" s="1004" t="s">
        <v>240</v>
      </c>
      <c r="L92" s="1004" t="s">
        <v>241</v>
      </c>
      <c r="M92" s="1005" t="s">
        <v>239</v>
      </c>
      <c r="N92" s="1004" t="s">
        <v>240</v>
      </c>
      <c r="O92" s="1006" t="s">
        <v>241</v>
      </c>
      <c r="P92" s="1003" t="s">
        <v>239</v>
      </c>
      <c r="Q92" s="1004" t="s">
        <v>240</v>
      </c>
      <c r="R92" s="1004" t="s">
        <v>241</v>
      </c>
      <c r="S92" s="1005" t="s">
        <v>239</v>
      </c>
      <c r="T92" s="1004" t="s">
        <v>240</v>
      </c>
      <c r="U92" s="1006" t="s">
        <v>241</v>
      </c>
    </row>
    <row r="93" spans="2:21" ht="11.25" customHeight="1">
      <c r="B93" s="1208"/>
      <c r="C93" s="60"/>
      <c r="D93" s="406" t="s">
        <v>161</v>
      </c>
      <c r="E93" s="416">
        <v>12.300821550544153</v>
      </c>
      <c r="F93" s="416">
        <v>-3.4184043322775114E-3</v>
      </c>
      <c r="G93" s="416">
        <v>-0.28648364807193216</v>
      </c>
      <c r="I93" s="406" t="s">
        <v>161</v>
      </c>
      <c r="J93" s="399">
        <v>1.8922667055946862</v>
      </c>
      <c r="K93" s="838">
        <v>1.9508900974963259</v>
      </c>
      <c r="L93" s="25">
        <v>1.9789402838317507E-2</v>
      </c>
      <c r="M93" s="25">
        <v>5.0302384299255793</v>
      </c>
      <c r="N93" s="838">
        <v>5.1255741485529898</v>
      </c>
      <c r="O93" s="25">
        <v>7.7411534000762144E-2</v>
      </c>
      <c r="P93" s="25">
        <v>31.338868083931828</v>
      </c>
      <c r="Q93" s="153">
        <v>45.5</v>
      </c>
      <c r="R93" s="25">
        <v>4.7803502158971778</v>
      </c>
      <c r="S93" s="25">
        <v>29.600887911213913</v>
      </c>
      <c r="T93" s="153">
        <v>39.1</v>
      </c>
      <c r="U93" s="417">
        <v>7.7131724502121051</v>
      </c>
    </row>
    <row r="94" spans="2:21" ht="11.25" customHeight="1">
      <c r="B94" s="1208"/>
      <c r="C94" s="60"/>
      <c r="D94" s="407" t="s">
        <v>162</v>
      </c>
      <c r="E94" s="416">
        <v>11.249756137299677</v>
      </c>
      <c r="F94" s="416">
        <v>0</v>
      </c>
      <c r="G94" s="416">
        <v>0</v>
      </c>
      <c r="I94" s="407" t="s">
        <v>162</v>
      </c>
      <c r="J94" s="399">
        <v>2.109038728491107</v>
      </c>
      <c r="K94" s="838">
        <v>3.5649515349766401</v>
      </c>
      <c r="L94" s="25">
        <v>0.30633820584530003</v>
      </c>
      <c r="M94" s="25">
        <v>4.7520853878879494</v>
      </c>
      <c r="N94" s="838">
        <v>9.1716427709254535</v>
      </c>
      <c r="O94" s="25">
        <v>2.324794577874179</v>
      </c>
      <c r="P94" s="25">
        <v>49.70615260983714</v>
      </c>
      <c r="Q94" s="153">
        <v>58.6</v>
      </c>
      <c r="R94" s="25">
        <v>1.8713519384043329</v>
      </c>
      <c r="S94" s="25">
        <v>39.873080373593211</v>
      </c>
      <c r="T94" s="153">
        <v>52.7</v>
      </c>
      <c r="U94" s="417">
        <v>6.7472714151758639</v>
      </c>
    </row>
    <row r="95" spans="2:21" ht="11.25" customHeight="1">
      <c r="B95" s="1208"/>
      <c r="C95" s="60"/>
      <c r="D95" s="407" t="s">
        <v>163</v>
      </c>
      <c r="E95" s="416">
        <v>17.097393439623993</v>
      </c>
      <c r="F95" s="416">
        <v>0</v>
      </c>
      <c r="G95" s="416">
        <v>-7.0931889894758363E-2</v>
      </c>
      <c r="I95" s="407" t="s">
        <v>163</v>
      </c>
      <c r="J95" s="399">
        <v>1.3007735387287029</v>
      </c>
      <c r="K95" s="838">
        <v>1.7752767891913142</v>
      </c>
      <c r="L95" s="25">
        <v>0.14560014004741301</v>
      </c>
      <c r="M95" s="25">
        <v>3.2778014931922392</v>
      </c>
      <c r="N95" s="838">
        <v>4.9785361582847409</v>
      </c>
      <c r="O95" s="25">
        <v>1.2822997912894134</v>
      </c>
      <c r="P95" s="25">
        <v>46.833748160985841</v>
      </c>
      <c r="Q95" s="153">
        <v>64.7</v>
      </c>
      <c r="R95" s="25">
        <v>5.4822148580577226</v>
      </c>
      <c r="S95" s="25">
        <v>33.117945588094877</v>
      </c>
      <c r="T95" s="153">
        <v>55.2</v>
      </c>
      <c r="U95" s="417">
        <v>16.649166001498145</v>
      </c>
    </row>
    <row r="96" spans="2:21" ht="11.25" customHeight="1">
      <c r="B96" s="1208"/>
      <c r="C96" s="60"/>
      <c r="D96" s="407" t="s">
        <v>164</v>
      </c>
      <c r="E96" s="416">
        <v>22.50958209870236</v>
      </c>
      <c r="F96" s="416">
        <v>0</v>
      </c>
      <c r="G96" s="416">
        <v>0</v>
      </c>
      <c r="I96" s="407" t="s">
        <v>164</v>
      </c>
      <c r="J96" s="399">
        <v>2.3658470940520817</v>
      </c>
      <c r="K96" s="838">
        <v>2.0947732999362638</v>
      </c>
      <c r="L96" s="25">
        <v>-0.11320831282970591</v>
      </c>
      <c r="M96" s="25">
        <v>4.4407684057335706</v>
      </c>
      <c r="N96" s="838">
        <v>3.4933607250773426</v>
      </c>
      <c r="O96" s="25">
        <v>-0.96833813772796473</v>
      </c>
      <c r="P96" s="25">
        <v>53.27835761000248</v>
      </c>
      <c r="Q96" s="153">
        <v>83.3</v>
      </c>
      <c r="R96" s="25">
        <v>12.537912395531249</v>
      </c>
      <c r="S96" s="25">
        <v>26.5832766573299</v>
      </c>
      <c r="T96" s="153">
        <v>49.5</v>
      </c>
      <c r="U96" s="417">
        <v>23.423007494616581</v>
      </c>
    </row>
    <row r="97" spans="2:21" ht="11.25" customHeight="1">
      <c r="B97" s="1208"/>
      <c r="C97" s="60"/>
      <c r="D97" s="407" t="s">
        <v>165</v>
      </c>
      <c r="E97" s="416">
        <v>18.02442268440052</v>
      </c>
      <c r="F97" s="416">
        <v>0</v>
      </c>
      <c r="G97" s="416">
        <v>0</v>
      </c>
      <c r="I97" s="407" t="s">
        <v>165</v>
      </c>
      <c r="J97" s="399">
        <v>0.8762177193632632</v>
      </c>
      <c r="K97" s="838">
        <v>1.0233064185312983</v>
      </c>
      <c r="L97" s="25">
        <v>6.4661605769685548E-2</v>
      </c>
      <c r="M97" s="25">
        <v>1.4330532489075611</v>
      </c>
      <c r="N97" s="838">
        <v>1.5270810188507031</v>
      </c>
      <c r="O97" s="25">
        <v>0.10230539055000945</v>
      </c>
      <c r="P97" s="25">
        <v>46.065503658966421</v>
      </c>
      <c r="Q97" s="153">
        <v>50.4</v>
      </c>
      <c r="R97" s="25">
        <v>1.9054862487693158</v>
      </c>
      <c r="S97" s="25">
        <v>22.638718668529865</v>
      </c>
      <c r="T97" s="153">
        <v>37.299999999999997</v>
      </c>
      <c r="U97" s="417">
        <v>15.951969439311508</v>
      </c>
    </row>
    <row r="98" spans="2:21" ht="11.25" customHeight="1">
      <c r="B98" s="1208"/>
      <c r="C98" s="60"/>
      <c r="D98" s="407" t="s">
        <v>166</v>
      </c>
      <c r="E98" s="416">
        <v>3.1864933260786179</v>
      </c>
      <c r="F98" s="416">
        <v>0</v>
      </c>
      <c r="G98" s="416">
        <v>0</v>
      </c>
      <c r="I98" s="407" t="s">
        <v>166</v>
      </c>
      <c r="J98" s="399">
        <v>3.6223161042131284</v>
      </c>
      <c r="K98" s="838">
        <v>3.7131924294548484</v>
      </c>
      <c r="L98" s="25">
        <v>1.6978795030966581E-2</v>
      </c>
      <c r="M98" s="25">
        <v>5.675784859425594</v>
      </c>
      <c r="N98" s="838">
        <v>5.956295448786932</v>
      </c>
      <c r="O98" s="25">
        <v>0.12948090851577176</v>
      </c>
      <c r="P98" s="25">
        <v>44.844546073121457</v>
      </c>
      <c r="Q98" s="153">
        <v>49.6</v>
      </c>
      <c r="R98" s="25">
        <v>0.88848088089953436</v>
      </c>
      <c r="S98" s="25">
        <v>22.738823811822598</v>
      </c>
      <c r="T98" s="153">
        <v>27.4</v>
      </c>
      <c r="U98" s="417">
        <v>2.1515527416323454</v>
      </c>
    </row>
    <row r="99" spans="2:21" ht="11.25" customHeight="1">
      <c r="B99" s="1208"/>
      <c r="C99" s="60"/>
      <c r="D99" s="407" t="s">
        <v>167</v>
      </c>
      <c r="E99" s="416">
        <v>-0.45650654683218617</v>
      </c>
      <c r="F99" s="416">
        <v>0</v>
      </c>
      <c r="G99" s="416">
        <v>0</v>
      </c>
      <c r="I99" s="407" t="s">
        <v>167</v>
      </c>
      <c r="J99" s="399">
        <v>3.8352535119246127</v>
      </c>
      <c r="K99" s="838">
        <v>3.4370839062021568</v>
      </c>
      <c r="L99" s="25">
        <v>-0.10502351120238208</v>
      </c>
      <c r="M99" s="25">
        <v>8.6940577776841064</v>
      </c>
      <c r="N99" s="838">
        <v>8.1019952851222712</v>
      </c>
      <c r="O99" s="25">
        <v>-0.3839076336921024</v>
      </c>
      <c r="P99" s="25">
        <v>58.20174334776825</v>
      </c>
      <c r="Q99" s="153">
        <v>55.1</v>
      </c>
      <c r="R99" s="25">
        <v>-0.81813371123641432</v>
      </c>
      <c r="S99" s="25">
        <v>34.088268665487242</v>
      </c>
      <c r="T99" s="153">
        <v>35.4</v>
      </c>
      <c r="U99" s="417">
        <v>0.85055830929871268</v>
      </c>
    </row>
    <row r="100" spans="2:21" ht="11.25" customHeight="1">
      <c r="B100" s="1208"/>
      <c r="C100" s="60"/>
      <c r="D100" s="407" t="s">
        <v>168</v>
      </c>
      <c r="E100" s="416">
        <v>16.720642552152857</v>
      </c>
      <c r="F100" s="416">
        <v>0</v>
      </c>
      <c r="G100" s="416">
        <v>-6.6164436709921337E-2</v>
      </c>
      <c r="I100" s="407" t="s">
        <v>168</v>
      </c>
      <c r="J100" s="399">
        <v>0.12351826045365198</v>
      </c>
      <c r="K100" s="838">
        <v>0.6385158281734431</v>
      </c>
      <c r="L100" s="25">
        <v>0.15078098822780428</v>
      </c>
      <c r="M100" s="25">
        <v>0.33793944187966191</v>
      </c>
      <c r="N100" s="838">
        <v>1.3503032020674393</v>
      </c>
      <c r="O100" s="25">
        <v>0.72829680474783598</v>
      </c>
      <c r="P100" s="25">
        <v>14.092719477774599</v>
      </c>
      <c r="Q100" s="153">
        <v>26.7</v>
      </c>
      <c r="R100" s="25">
        <v>3.6911595998849265</v>
      </c>
      <c r="S100" s="25">
        <v>16.402701863422156</v>
      </c>
      <c r="T100" s="153">
        <v>37.5</v>
      </c>
      <c r="U100" s="417">
        <v>15.177444537161362</v>
      </c>
    </row>
    <row r="101" spans="2:21" ht="11.25" customHeight="1">
      <c r="B101" s="1208"/>
      <c r="C101" s="60"/>
      <c r="D101" s="407" t="s">
        <v>169</v>
      </c>
      <c r="E101" s="416">
        <v>11.069393391772048</v>
      </c>
      <c r="F101" s="416">
        <v>-2.6706283845918054E-3</v>
      </c>
      <c r="G101" s="416">
        <v>-0.40398519270052113</v>
      </c>
      <c r="I101" s="407" t="s">
        <v>169</v>
      </c>
      <c r="J101" s="399">
        <v>0.99054624043913786</v>
      </c>
      <c r="K101" s="838">
        <v>1.3933114581924944</v>
      </c>
      <c r="L101" s="25">
        <v>0.1179216007281816</v>
      </c>
      <c r="M101" s="25">
        <v>2.1619992411372864</v>
      </c>
      <c r="N101" s="838">
        <v>3.0417047320761643</v>
      </c>
      <c r="O101" s="25">
        <v>0.62550328028820268</v>
      </c>
      <c r="P101" s="25">
        <v>45.696270671663633</v>
      </c>
      <c r="Q101" s="153">
        <v>62.7</v>
      </c>
      <c r="R101" s="25">
        <v>4.9783518843328496</v>
      </c>
      <c r="S101" s="25">
        <v>35.407212595114359</v>
      </c>
      <c r="T101" s="153">
        <v>43.5</v>
      </c>
      <c r="U101" s="417">
        <v>5.7542724475079252</v>
      </c>
    </row>
    <row r="102" spans="2:21" ht="11.25" customHeight="1">
      <c r="B102" s="1208"/>
      <c r="C102" s="60"/>
      <c r="D102" s="407" t="s">
        <v>170</v>
      </c>
      <c r="E102" s="416">
        <v>19.869425453003114</v>
      </c>
      <c r="F102" s="416">
        <v>0</v>
      </c>
      <c r="G102" s="416">
        <v>-0.5132123675569632</v>
      </c>
      <c r="I102" s="407" t="s">
        <v>170</v>
      </c>
      <c r="J102" s="399">
        <v>1.6635987406342807</v>
      </c>
      <c r="K102" s="838">
        <v>2.2410524510307819</v>
      </c>
      <c r="L102" s="25">
        <v>0.26567655356508368</v>
      </c>
      <c r="M102" s="25">
        <v>4.4995077995512309</v>
      </c>
      <c r="N102" s="838">
        <v>6.1043981683629598</v>
      </c>
      <c r="O102" s="25">
        <v>1.7989683896772568</v>
      </c>
      <c r="P102" s="25">
        <v>46.858201258152882</v>
      </c>
      <c r="Q102" s="153">
        <v>65.7</v>
      </c>
      <c r="R102" s="25">
        <v>8.6687886190283354</v>
      </c>
      <c r="S102" s="25">
        <v>37.291780383865429</v>
      </c>
      <c r="T102" s="153">
        <v>45.9</v>
      </c>
      <c r="U102" s="417">
        <v>9.6492042582894015</v>
      </c>
    </row>
    <row r="103" spans="2:21" ht="11.25" customHeight="1">
      <c r="B103" s="1208"/>
      <c r="C103" s="60"/>
      <c r="D103" s="407" t="s">
        <v>171</v>
      </c>
      <c r="E103" s="416">
        <v>11.232670710894995</v>
      </c>
      <c r="F103" s="416">
        <v>0</v>
      </c>
      <c r="G103" s="416">
        <v>0</v>
      </c>
      <c r="I103" s="407" t="s">
        <v>171</v>
      </c>
      <c r="J103" s="399">
        <v>1.0279020853955556</v>
      </c>
      <c r="K103" s="838">
        <v>1.7419725870923248</v>
      </c>
      <c r="L103" s="25">
        <v>0.18593695545502556</v>
      </c>
      <c r="M103" s="25">
        <v>2.9104491962228121</v>
      </c>
      <c r="N103" s="838">
        <v>4.2505443890776311</v>
      </c>
      <c r="O103" s="25">
        <v>0.84422817422831298</v>
      </c>
      <c r="P103" s="25">
        <v>40.277112857257436</v>
      </c>
      <c r="Q103" s="153">
        <v>49.9</v>
      </c>
      <c r="R103" s="25">
        <v>2.505705436308121</v>
      </c>
      <c r="S103" s="25">
        <v>28.282396762607846</v>
      </c>
      <c r="T103" s="153">
        <v>40.5</v>
      </c>
      <c r="U103" s="417">
        <v>7.6968001449035359</v>
      </c>
    </row>
    <row r="104" spans="2:21" ht="11.25" customHeight="1">
      <c r="B104" s="1208"/>
      <c r="C104" s="60"/>
      <c r="D104" s="407" t="s">
        <v>172</v>
      </c>
      <c r="E104" s="416">
        <v>5.8079419737313955</v>
      </c>
      <c r="F104" s="416">
        <v>0</v>
      </c>
      <c r="G104" s="416">
        <v>0</v>
      </c>
      <c r="I104" s="407" t="s">
        <v>172</v>
      </c>
      <c r="J104" s="399">
        <v>1.7004734424747234</v>
      </c>
      <c r="K104" s="838">
        <v>2.6979178728758328</v>
      </c>
      <c r="L104" s="25">
        <v>0.19269900607872181</v>
      </c>
      <c r="M104" s="25">
        <v>5.5157000081235203</v>
      </c>
      <c r="N104" s="838">
        <v>8.9189118837269188</v>
      </c>
      <c r="O104" s="25">
        <v>1.6008105728609052</v>
      </c>
      <c r="P104" s="25">
        <v>28.79849513635844</v>
      </c>
      <c r="Q104" s="153">
        <v>34.9</v>
      </c>
      <c r="R104" s="25">
        <v>1.1787663422366306</v>
      </c>
      <c r="S104" s="25">
        <v>27.471571309618295</v>
      </c>
      <c r="T104" s="153">
        <v>33.5</v>
      </c>
      <c r="U104" s="417">
        <v>2.8356660525551374</v>
      </c>
    </row>
    <row r="105" spans="2:21" ht="11.25" customHeight="1">
      <c r="B105" s="1208"/>
      <c r="C105" s="60"/>
      <c r="D105" s="407" t="s">
        <v>28</v>
      </c>
      <c r="E105" s="416">
        <v>2.4074499452431595</v>
      </c>
      <c r="F105" s="416">
        <v>0</v>
      </c>
      <c r="G105" s="416">
        <v>0</v>
      </c>
      <c r="I105" s="407" t="s">
        <v>28</v>
      </c>
      <c r="J105" s="399">
        <v>5.4397633068731048</v>
      </c>
      <c r="K105" s="838">
        <v>3.9510630304724526</v>
      </c>
      <c r="L105" s="25">
        <v>-0.15838551086547958</v>
      </c>
      <c r="M105" s="25">
        <v>12.256454855475848</v>
      </c>
      <c r="N105" s="838">
        <v>7.850335858446452</v>
      </c>
      <c r="O105" s="25">
        <v>-1.0938082333495089</v>
      </c>
      <c r="P105" s="25">
        <v>51.906637136085607</v>
      </c>
      <c r="Q105" s="153">
        <v>66.2</v>
      </c>
      <c r="R105" s="25">
        <v>1.5206966876235641</v>
      </c>
      <c r="S105" s="25">
        <v>42.983814154001713</v>
      </c>
      <c r="T105" s="153">
        <v>51.6</v>
      </c>
      <c r="U105" s="417">
        <v>2.138947001834584</v>
      </c>
    </row>
    <row r="106" spans="2:21" ht="11.25" customHeight="1" thickBot="1">
      <c r="B106" s="1208"/>
      <c r="C106" s="60"/>
      <c r="D106" s="407" t="s">
        <v>173</v>
      </c>
      <c r="E106" s="416">
        <v>5.3863554913536156</v>
      </c>
      <c r="F106" s="416">
        <v>0</v>
      </c>
      <c r="G106" s="416">
        <v>0</v>
      </c>
      <c r="I106" s="413" t="s">
        <v>173</v>
      </c>
      <c r="J106" s="399">
        <v>1.6581560720857307</v>
      </c>
      <c r="K106" s="838">
        <v>1.7936865395944348</v>
      </c>
      <c r="L106" s="25">
        <v>5.5274102910804659E-2</v>
      </c>
      <c r="M106" s="25">
        <v>3.2894504912255127</v>
      </c>
      <c r="N106" s="838">
        <v>4.6273804112641592</v>
      </c>
      <c r="O106" s="25">
        <v>1.3285512834942241</v>
      </c>
      <c r="P106" s="25">
        <v>53.474643958341254</v>
      </c>
      <c r="Q106" s="153">
        <v>58.6</v>
      </c>
      <c r="R106" s="25">
        <v>2.0903008932878193</v>
      </c>
      <c r="S106" s="25">
        <v>44.274271796626529</v>
      </c>
      <c r="T106" s="153">
        <v>46.2</v>
      </c>
      <c r="U106" s="417">
        <v>1.9122292116607671</v>
      </c>
    </row>
    <row r="107" spans="2:21" ht="11.25" customHeight="1" thickBot="1">
      <c r="B107" s="1208"/>
      <c r="C107" s="60"/>
      <c r="D107" s="408" t="s">
        <v>174</v>
      </c>
      <c r="E107" s="418">
        <f>SUM(E93:E106)</f>
        <v>156.40584220796836</v>
      </c>
      <c r="F107" s="419">
        <f>SUM(F93:F106)</f>
        <v>-6.0890327168693168E-3</v>
      </c>
      <c r="G107" s="420">
        <f>SUM(G93:G106)</f>
        <v>-1.3407775349340962</v>
      </c>
      <c r="I107" s="320"/>
      <c r="J107" s="1184"/>
      <c r="K107" s="1184"/>
    </row>
    <row r="108" spans="2:21" ht="11.25" customHeight="1" thickBot="1">
      <c r="B108" s="1208"/>
      <c r="C108" s="60"/>
      <c r="I108" s="320"/>
      <c r="J108" s="1184"/>
      <c r="K108" s="1184"/>
    </row>
    <row r="109" spans="2:21" ht="11.25" customHeight="1" thickBot="1">
      <c r="B109" s="1208"/>
      <c r="C109" s="60"/>
      <c r="I109" s="1"/>
      <c r="J109" s="1175" t="s">
        <v>230</v>
      </c>
      <c r="K109" s="1176"/>
      <c r="L109" s="1176"/>
      <c r="M109" s="1176"/>
      <c r="N109" s="1176"/>
      <c r="O109" s="1176"/>
      <c r="P109" s="1176" t="s">
        <v>231</v>
      </c>
      <c r="Q109" s="1176"/>
      <c r="R109" s="1176"/>
      <c r="S109" s="1176"/>
      <c r="T109" s="1176"/>
      <c r="U109" s="1177"/>
    </row>
    <row r="110" spans="2:21" ht="11.25" customHeight="1" thickBot="1">
      <c r="B110" s="1208"/>
      <c r="C110" s="60"/>
      <c r="D110" s="16" t="s">
        <v>140</v>
      </c>
      <c r="F110" s="16"/>
      <c r="I110" s="1" t="s">
        <v>140</v>
      </c>
      <c r="J110" s="1178" t="s">
        <v>234</v>
      </c>
      <c r="K110" s="1159"/>
      <c r="L110" s="1159"/>
      <c r="M110" s="1160" t="s">
        <v>235</v>
      </c>
      <c r="N110" s="1160"/>
      <c r="O110" s="1160"/>
      <c r="P110" s="1159" t="s">
        <v>234</v>
      </c>
      <c r="Q110" s="1159"/>
      <c r="R110" s="1159"/>
      <c r="S110" s="1160" t="s">
        <v>235</v>
      </c>
      <c r="T110" s="1160"/>
      <c r="U110" s="1161"/>
    </row>
    <row r="111" spans="2:21" ht="46.5" thickBot="1">
      <c r="B111" s="1208"/>
      <c r="C111" s="60"/>
      <c r="D111" s="16"/>
      <c r="E111" s="414" t="s">
        <v>236</v>
      </c>
      <c r="F111" s="179" t="s">
        <v>237</v>
      </c>
      <c r="G111" s="415" t="s">
        <v>238</v>
      </c>
      <c r="I111" s="1"/>
      <c r="J111" s="1003" t="s">
        <v>239</v>
      </c>
      <c r="K111" s="1004" t="s">
        <v>240</v>
      </c>
      <c r="L111" s="1004" t="s">
        <v>241</v>
      </c>
      <c r="M111" s="1005" t="s">
        <v>239</v>
      </c>
      <c r="N111" s="1004" t="s">
        <v>240</v>
      </c>
      <c r="O111" s="1006" t="s">
        <v>241</v>
      </c>
      <c r="P111" s="1003" t="s">
        <v>239</v>
      </c>
      <c r="Q111" s="1004" t="s">
        <v>240</v>
      </c>
      <c r="R111" s="1004" t="s">
        <v>241</v>
      </c>
      <c r="S111" s="1005" t="s">
        <v>239</v>
      </c>
      <c r="T111" s="1004" t="s">
        <v>240</v>
      </c>
      <c r="U111" s="1006" t="s">
        <v>241</v>
      </c>
    </row>
    <row r="112" spans="2:21" ht="11.25" customHeight="1">
      <c r="B112" s="1208"/>
      <c r="C112" s="60"/>
      <c r="D112" s="406" t="s">
        <v>161</v>
      </c>
      <c r="E112" s="416">
        <v>12.73318955777486</v>
      </c>
      <c r="F112" s="25">
        <v>0</v>
      </c>
      <c r="G112" s="25">
        <v>-1.7869861254316959E-7</v>
      </c>
      <c r="I112" s="406" t="s">
        <v>161</v>
      </c>
      <c r="J112" s="399">
        <v>0.93697795360739022</v>
      </c>
      <c r="K112" s="951">
        <v>1.8704460820911575</v>
      </c>
      <c r="L112" s="25">
        <v>0.31510931442332518</v>
      </c>
      <c r="M112" s="25">
        <v>2.3454663287127917</v>
      </c>
      <c r="N112" s="951">
        <v>4.7027745682656574</v>
      </c>
      <c r="O112" s="25">
        <v>1.9141078450313052</v>
      </c>
      <c r="P112" s="25">
        <v>32.662857582192409</v>
      </c>
      <c r="Q112" s="153">
        <v>45.3</v>
      </c>
      <c r="R112" s="25">
        <v>4.2658995653267437</v>
      </c>
      <c r="S112" s="25">
        <v>30.617537934152477</v>
      </c>
      <c r="T112" s="153">
        <v>38.299999999999997</v>
      </c>
      <c r="U112" s="417">
        <v>6.2380730116920997</v>
      </c>
    </row>
    <row r="113" spans="2:21" ht="11.25" customHeight="1">
      <c r="B113" s="1208"/>
      <c r="C113" s="60"/>
      <c r="D113" s="407" t="s">
        <v>162</v>
      </c>
      <c r="E113" s="416">
        <v>7.3611701116273105</v>
      </c>
      <c r="F113" s="25">
        <v>-1.0873272708695206E-2</v>
      </c>
      <c r="G113" s="25">
        <v>-0.15765863909267394</v>
      </c>
      <c r="I113" s="407" t="s">
        <v>162</v>
      </c>
      <c r="J113" s="399">
        <v>1.8907115731806015</v>
      </c>
      <c r="K113" s="951">
        <v>3.0820800679793372</v>
      </c>
      <c r="L113" s="25">
        <v>0.25067551131599092</v>
      </c>
      <c r="M113" s="25">
        <v>4.2584051235779636</v>
      </c>
      <c r="N113" s="951">
        <v>7.4068465369595726</v>
      </c>
      <c r="O113" s="25">
        <v>1.6561566899609974</v>
      </c>
      <c r="P113" s="25">
        <v>52.393450787524124</v>
      </c>
      <c r="Q113" s="153">
        <v>58.3</v>
      </c>
      <c r="R113" s="25">
        <v>1.2427953655099662</v>
      </c>
      <c r="S113" s="25">
        <v>43.373246923689017</v>
      </c>
      <c r="T113" s="153">
        <v>51.7</v>
      </c>
      <c r="U113" s="417">
        <v>4.3800744566417249</v>
      </c>
    </row>
    <row r="114" spans="2:21" ht="11.25" customHeight="1">
      <c r="B114" s="1208"/>
      <c r="C114" s="60"/>
      <c r="D114" s="407" t="s">
        <v>163</v>
      </c>
      <c r="E114" s="416">
        <v>17.144205740022482</v>
      </c>
      <c r="F114" s="25">
        <v>0</v>
      </c>
      <c r="G114" s="25">
        <v>-2.4119589496270542E-2</v>
      </c>
      <c r="I114" s="407" t="s">
        <v>163</v>
      </c>
      <c r="J114" s="399">
        <v>1.0563488680753053</v>
      </c>
      <c r="K114" s="951">
        <v>1.4854764967266993</v>
      </c>
      <c r="L114" s="25">
        <v>0.13167674356064385</v>
      </c>
      <c r="M114" s="25">
        <v>2.3846641811481666</v>
      </c>
      <c r="N114" s="951">
        <v>3.851586269606424</v>
      </c>
      <c r="O114" s="25">
        <v>1.1060125523845581</v>
      </c>
      <c r="P114" s="25">
        <v>48.246775236277436</v>
      </c>
      <c r="Q114" s="153">
        <v>63.7</v>
      </c>
      <c r="R114" s="25">
        <v>4.7417835127336936</v>
      </c>
      <c r="S114" s="25">
        <v>36.387480724870429</v>
      </c>
      <c r="T114" s="153">
        <v>54.1</v>
      </c>
      <c r="U114" s="417">
        <v>13.354675621004665</v>
      </c>
    </row>
    <row r="115" spans="2:21" ht="11.25" customHeight="1">
      <c r="B115" s="1208"/>
      <c r="C115" s="60"/>
      <c r="D115" s="407" t="s">
        <v>164</v>
      </c>
      <c r="E115" s="416">
        <v>22.50958209870236</v>
      </c>
      <c r="F115" s="25">
        <v>0</v>
      </c>
      <c r="G115" s="25">
        <v>0</v>
      </c>
      <c r="I115" s="407" t="s">
        <v>164</v>
      </c>
      <c r="J115" s="399">
        <v>2.566582049219416</v>
      </c>
      <c r="K115" s="951">
        <v>2.3788767786888538</v>
      </c>
      <c r="L115" s="25">
        <v>-7.8391188847009546E-2</v>
      </c>
      <c r="M115" s="25">
        <v>5.2607929393403694</v>
      </c>
      <c r="N115" s="951">
        <v>4.0833745206867107</v>
      </c>
      <c r="O115" s="25">
        <v>-1.2034303522386101</v>
      </c>
      <c r="P115" s="25">
        <v>52.804177243847576</v>
      </c>
      <c r="Q115" s="153">
        <v>81.7</v>
      </c>
      <c r="R115" s="25">
        <v>12.06773732119815</v>
      </c>
      <c r="S115" s="25">
        <v>27.036561882328762</v>
      </c>
      <c r="T115" s="153">
        <v>48.7</v>
      </c>
      <c r="U115" s="417">
        <v>22.142034260394166</v>
      </c>
    </row>
    <row r="116" spans="2:21" ht="11.25" customHeight="1">
      <c r="B116" s="1208"/>
      <c r="C116" s="60"/>
      <c r="D116" s="407" t="s">
        <v>165</v>
      </c>
      <c r="E116" s="416">
        <v>21.382517248382381</v>
      </c>
      <c r="F116" s="25">
        <v>0</v>
      </c>
      <c r="G116" s="25">
        <v>0</v>
      </c>
      <c r="I116" s="407" t="s">
        <v>165</v>
      </c>
      <c r="J116" s="399">
        <v>0.88021089400868269</v>
      </c>
      <c r="K116" s="951">
        <v>0.9515548137123212</v>
      </c>
      <c r="L116" s="25">
        <v>3.1363472761905445E-2</v>
      </c>
      <c r="M116" s="25">
        <v>1.6439465211554181</v>
      </c>
      <c r="N116" s="951">
        <v>1.5119458499798313</v>
      </c>
      <c r="O116" s="25">
        <v>-0.1436211900553187</v>
      </c>
      <c r="P116" s="25">
        <v>38.891143798311539</v>
      </c>
      <c r="Q116" s="153">
        <v>50.1</v>
      </c>
      <c r="R116" s="25">
        <v>4.9275209104587807</v>
      </c>
      <c r="S116" s="25">
        <v>21.273217280940354</v>
      </c>
      <c r="T116" s="153">
        <v>36.5</v>
      </c>
      <c r="U116" s="417">
        <v>16.567254055217013</v>
      </c>
    </row>
    <row r="117" spans="2:21" ht="11.25" customHeight="1">
      <c r="B117" s="1208"/>
      <c r="C117" s="60"/>
      <c r="D117" s="407" t="s">
        <v>166</v>
      </c>
      <c r="E117" s="416">
        <v>6.1632977333499239</v>
      </c>
      <c r="F117" s="25">
        <v>0</v>
      </c>
      <c r="G117" s="25">
        <v>0</v>
      </c>
      <c r="I117" s="407" t="s">
        <v>166</v>
      </c>
      <c r="J117" s="399">
        <v>3.3815340319841942</v>
      </c>
      <c r="K117" s="951">
        <v>3.694929230782579</v>
      </c>
      <c r="L117" s="25">
        <v>5.8552905060073601E-2</v>
      </c>
      <c r="M117" s="25">
        <v>5.4633023733270525</v>
      </c>
      <c r="N117" s="951">
        <v>6.0447792769980895</v>
      </c>
      <c r="O117" s="25">
        <v>0.26840397697528351</v>
      </c>
      <c r="P117" s="25">
        <v>37.909514049772724</v>
      </c>
      <c r="Q117" s="153">
        <v>49.4</v>
      </c>
      <c r="R117" s="25">
        <v>2.1468144231864819</v>
      </c>
      <c r="S117" s="25">
        <v>19.406920211774878</v>
      </c>
      <c r="T117" s="153">
        <v>27.4</v>
      </c>
      <c r="U117" s="417">
        <v>3.6895264281280848</v>
      </c>
    </row>
    <row r="118" spans="2:21" ht="11.25" customHeight="1">
      <c r="B118" s="1208"/>
      <c r="C118" s="60"/>
      <c r="D118" s="407" t="s">
        <v>167</v>
      </c>
      <c r="E118" s="416">
        <v>4.186321926646821</v>
      </c>
      <c r="F118" s="25">
        <v>0</v>
      </c>
      <c r="G118" s="25">
        <v>0</v>
      </c>
      <c r="I118" s="407" t="s">
        <v>167</v>
      </c>
      <c r="J118" s="399">
        <v>3.4440879461077953</v>
      </c>
      <c r="K118" s="951">
        <v>3.680367983377423</v>
      </c>
      <c r="L118" s="25">
        <v>6.2322585110585395E-2</v>
      </c>
      <c r="M118" s="25">
        <v>7.8431567404353464</v>
      </c>
      <c r="N118" s="951">
        <v>8.6273154005411126</v>
      </c>
      <c r="O118" s="25">
        <v>0.50846743278359785</v>
      </c>
      <c r="P118" s="25">
        <v>48.020695374942051</v>
      </c>
      <c r="Q118" s="153">
        <v>54.8</v>
      </c>
      <c r="R118" s="25">
        <v>1.7881484799480747</v>
      </c>
      <c r="S118" s="25">
        <v>32.381808610266042</v>
      </c>
      <c r="T118" s="153">
        <v>35.200000000000003</v>
      </c>
      <c r="U118" s="417">
        <v>1.8273834288045629</v>
      </c>
    </row>
    <row r="119" spans="2:21" ht="11.25" customHeight="1">
      <c r="B119" s="1208"/>
      <c r="C119" s="60"/>
      <c r="D119" s="407" t="s">
        <v>168</v>
      </c>
      <c r="E119" s="416">
        <v>16.78680698752899</v>
      </c>
      <c r="F119" s="25">
        <v>0</v>
      </c>
      <c r="G119" s="25">
        <v>-1.3337881189332765E-9</v>
      </c>
      <c r="I119" s="407" t="s">
        <v>168</v>
      </c>
      <c r="J119" s="399">
        <v>0.11864114224595847</v>
      </c>
      <c r="K119" s="951">
        <v>0.43425533803664473</v>
      </c>
      <c r="L119" s="25">
        <v>9.2405524458585866E-2</v>
      </c>
      <c r="M119" s="25">
        <v>0.28698094235226457</v>
      </c>
      <c r="N119" s="951">
        <v>0.92425530806976852</v>
      </c>
      <c r="O119" s="25">
        <v>0.45845663639092943</v>
      </c>
      <c r="P119" s="25">
        <v>13.976287039043644</v>
      </c>
      <c r="Q119" s="153">
        <v>26.6</v>
      </c>
      <c r="R119" s="25">
        <v>3.6959706893077686</v>
      </c>
      <c r="S119" s="25">
        <v>15.629812444548312</v>
      </c>
      <c r="T119" s="153">
        <v>36.799999999999997</v>
      </c>
      <c r="U119" s="417">
        <v>15.229881351825586</v>
      </c>
    </row>
    <row r="120" spans="2:21" ht="11.25" customHeight="1">
      <c r="B120" s="1208"/>
      <c r="C120" s="60"/>
      <c r="D120" s="407" t="s">
        <v>169</v>
      </c>
      <c r="E120" s="416">
        <v>11.750681281064455</v>
      </c>
      <c r="F120" s="25">
        <v>-4.578220087871682E-11</v>
      </c>
      <c r="G120" s="25">
        <v>-1.510660021661387E-7</v>
      </c>
      <c r="I120" s="407" t="s">
        <v>169</v>
      </c>
      <c r="J120" s="399">
        <v>1.1694282626436785</v>
      </c>
      <c r="K120" s="951">
        <v>1.2258316265636076</v>
      </c>
      <c r="L120" s="25">
        <v>1.6513776926897435E-2</v>
      </c>
      <c r="M120" s="25">
        <v>2.5680547535180414</v>
      </c>
      <c r="N120" s="951">
        <v>2.6795434871563244</v>
      </c>
      <c r="O120" s="25">
        <v>7.9272630811359837E-2</v>
      </c>
      <c r="P120" s="25">
        <v>43.187106352719248</v>
      </c>
      <c r="Q120" s="153">
        <v>62.4</v>
      </c>
      <c r="R120" s="25">
        <v>5.6251510151382158</v>
      </c>
      <c r="S120" s="25">
        <v>34.119790413420709</v>
      </c>
      <c r="T120" s="153">
        <v>42.6</v>
      </c>
      <c r="U120" s="417">
        <v>6.0297440092997672</v>
      </c>
    </row>
    <row r="121" spans="2:21" ht="11.25" customHeight="1">
      <c r="B121" s="1208"/>
      <c r="C121" s="60"/>
      <c r="D121" s="407" t="s">
        <v>170</v>
      </c>
      <c r="E121" s="416">
        <v>25.816074281005143</v>
      </c>
      <c r="F121" s="25">
        <v>-1.2819016246040667E-9</v>
      </c>
      <c r="G121" s="25">
        <v>-1.0210041225298863E-7</v>
      </c>
      <c r="I121" s="407" t="s">
        <v>170</v>
      </c>
      <c r="J121" s="399">
        <v>1.9280746547251943</v>
      </c>
      <c r="K121" s="951">
        <v>1.7884509146615726</v>
      </c>
      <c r="L121" s="25">
        <v>-6.4238489402898627E-2</v>
      </c>
      <c r="M121" s="25">
        <v>5.2673709914484661</v>
      </c>
      <c r="N121" s="951">
        <v>4.7110089907425774</v>
      </c>
      <c r="O121" s="25">
        <v>-0.62364238202049005</v>
      </c>
      <c r="P121" s="25">
        <v>39.494429783609377</v>
      </c>
      <c r="Q121" s="153">
        <v>65.400000000000006</v>
      </c>
      <c r="R121" s="25">
        <v>11.918708788801721</v>
      </c>
      <c r="S121" s="25">
        <v>29.543805182570477</v>
      </c>
      <c r="T121" s="153">
        <v>44.9</v>
      </c>
      <c r="U121" s="417">
        <v>17.213206334296455</v>
      </c>
    </row>
    <row r="122" spans="2:21" ht="11.25" customHeight="1">
      <c r="B122" s="1208"/>
      <c r="C122" s="60"/>
      <c r="D122" s="407" t="s">
        <v>171</v>
      </c>
      <c r="E122" s="416">
        <v>5.7555780005198782</v>
      </c>
      <c r="F122" s="25">
        <v>0</v>
      </c>
      <c r="G122" s="25">
        <v>0</v>
      </c>
      <c r="I122" s="407" t="s">
        <v>171</v>
      </c>
      <c r="J122" s="399">
        <v>1.0657105810656506</v>
      </c>
      <c r="K122" s="951">
        <v>1.4950749463349666</v>
      </c>
      <c r="L122" s="25">
        <v>0.11180226976097384</v>
      </c>
      <c r="M122" s="25">
        <v>3.0912312165086853</v>
      </c>
      <c r="N122" s="951">
        <v>3.7187470062022592</v>
      </c>
      <c r="O122" s="25">
        <v>0.39532005805041109</v>
      </c>
      <c r="P122" s="25">
        <v>48.269025392820076</v>
      </c>
      <c r="Q122" s="153">
        <v>49.6</v>
      </c>
      <c r="R122" s="25">
        <v>0.3465727342873427</v>
      </c>
      <c r="S122" s="25">
        <v>31.918940373886741</v>
      </c>
      <c r="T122" s="153">
        <v>39.700000000000003</v>
      </c>
      <c r="U122" s="417">
        <v>4.9018829384211502</v>
      </c>
    </row>
    <row r="123" spans="2:21" ht="11.25" customHeight="1">
      <c r="B123" s="1208"/>
      <c r="C123" s="60"/>
      <c r="D123" s="407" t="s">
        <v>172</v>
      </c>
      <c r="E123" s="416">
        <v>2.3819402198131434</v>
      </c>
      <c r="F123" s="25">
        <v>0</v>
      </c>
      <c r="G123" s="25">
        <v>0</v>
      </c>
      <c r="I123" s="407" t="s">
        <v>172</v>
      </c>
      <c r="J123" s="399">
        <v>1.6360450314922881</v>
      </c>
      <c r="K123" s="951">
        <v>2.3258074915123834</v>
      </c>
      <c r="L123" s="25">
        <v>0.13325708823982885</v>
      </c>
      <c r="M123" s="25">
        <v>5.3158777339106429</v>
      </c>
      <c r="N123" s="951">
        <v>7.5027184080193026</v>
      </c>
      <c r="O123" s="25">
        <v>1.0286511096681941</v>
      </c>
      <c r="P123" s="25">
        <v>34.507943330412786</v>
      </c>
      <c r="Q123" s="153">
        <v>34.700000000000003</v>
      </c>
      <c r="R123" s="25">
        <v>3.7103951069598344E-2</v>
      </c>
      <c r="S123" s="25">
        <v>30.285177242765581</v>
      </c>
      <c r="T123" s="153">
        <v>32.799999999999997</v>
      </c>
      <c r="U123" s="417">
        <v>1.1829280708355221</v>
      </c>
    </row>
    <row r="124" spans="2:21" ht="11.25" customHeight="1">
      <c r="B124" s="1208"/>
      <c r="C124" s="60"/>
      <c r="D124" s="407" t="s">
        <v>28</v>
      </c>
      <c r="E124" s="416">
        <v>0.16688098059868497</v>
      </c>
      <c r="F124" s="25">
        <v>0</v>
      </c>
      <c r="G124" s="25">
        <v>0</v>
      </c>
      <c r="I124" s="407" t="s">
        <v>28</v>
      </c>
      <c r="J124" s="399">
        <v>4.2977422703725026</v>
      </c>
      <c r="K124" s="951">
        <v>4.3804245233287569</v>
      </c>
      <c r="L124" s="25">
        <v>8.7967142087509945E-3</v>
      </c>
      <c r="M124" s="25">
        <v>9.3108207076024243</v>
      </c>
      <c r="N124" s="951">
        <v>8.8494778432363308</v>
      </c>
      <c r="O124" s="25">
        <v>-0.11452723446209555</v>
      </c>
      <c r="P124" s="25">
        <v>65.06981847709892</v>
      </c>
      <c r="Q124" s="153">
        <v>65.900000000000006</v>
      </c>
      <c r="R124" s="25">
        <v>8.8324511454838273E-2</v>
      </c>
      <c r="S124" s="25">
        <v>49.757648296903191</v>
      </c>
      <c r="T124" s="153">
        <v>50.5</v>
      </c>
      <c r="U124" s="417">
        <v>0.18428698939719126</v>
      </c>
    </row>
    <row r="125" spans="2:21" ht="11.25" customHeight="1" thickBot="1">
      <c r="B125" s="1208"/>
      <c r="C125" s="60"/>
      <c r="D125" s="407" t="s">
        <v>173</v>
      </c>
      <c r="E125" s="416">
        <v>2.5471892500584459</v>
      </c>
      <c r="F125" s="25">
        <v>0</v>
      </c>
      <c r="G125" s="25">
        <v>-4.7308274241340878E-9</v>
      </c>
      <c r="I125" s="413" t="s">
        <v>173</v>
      </c>
      <c r="J125" s="421">
        <v>1.4603218787035672</v>
      </c>
      <c r="K125" s="952">
        <v>1.6907916714012323</v>
      </c>
      <c r="L125" s="25">
        <v>9.3993706902725932E-2</v>
      </c>
      <c r="M125" s="25">
        <v>3.6856219776601633</v>
      </c>
      <c r="N125" s="952">
        <v>4.2179091685917891</v>
      </c>
      <c r="O125" s="25">
        <v>0.52855595805744415</v>
      </c>
      <c r="P125" s="25">
        <v>50.641368193095929</v>
      </c>
      <c r="Q125" s="153">
        <v>57.7</v>
      </c>
      <c r="R125" s="25">
        <v>2.8787589099051676</v>
      </c>
      <c r="S125" s="25">
        <v>46.260854730619997</v>
      </c>
      <c r="T125" s="153">
        <v>45.3</v>
      </c>
      <c r="U125" s="417">
        <v>-0.95411932007606459</v>
      </c>
    </row>
    <row r="126" spans="2:21" ht="11.25" customHeight="1" thickBot="1">
      <c r="B126" s="1208"/>
      <c r="C126" s="60"/>
      <c r="D126" s="408" t="s">
        <v>174</v>
      </c>
      <c r="E126" s="418">
        <f>SUM(E112:E125)</f>
        <v>156.68543541709485</v>
      </c>
      <c r="F126" s="419">
        <f>SUM(F112:F125)</f>
        <v>-1.0873274036379032E-2</v>
      </c>
      <c r="G126" s="420">
        <f>SUM(G112:G125)</f>
        <v>-0.18177866651858701</v>
      </c>
      <c r="I126" s="320"/>
      <c r="J126" s="1184"/>
      <c r="K126" s="1184"/>
    </row>
    <row r="127" spans="2:21" ht="11.25" customHeight="1" thickBot="1">
      <c r="B127" s="1208"/>
      <c r="C127" s="60"/>
      <c r="I127" s="320"/>
      <c r="J127" s="1184"/>
      <c r="K127" s="1184"/>
    </row>
    <row r="128" spans="2:21" ht="11.25" customHeight="1" thickBot="1">
      <c r="B128" s="1208"/>
      <c r="C128" s="60"/>
      <c r="I128" s="1"/>
      <c r="J128" s="1175" t="s">
        <v>230</v>
      </c>
      <c r="K128" s="1176"/>
      <c r="L128" s="1176"/>
      <c r="M128" s="1176"/>
      <c r="N128" s="1176"/>
      <c r="O128" s="1176"/>
      <c r="P128" s="1176" t="s">
        <v>231</v>
      </c>
      <c r="Q128" s="1176"/>
      <c r="R128" s="1176"/>
      <c r="S128" s="1176"/>
      <c r="T128" s="1176"/>
      <c r="U128" s="1177"/>
    </row>
    <row r="129" spans="2:21" ht="11.25" customHeight="1" thickBot="1">
      <c r="B129" s="1208"/>
      <c r="C129" s="60"/>
      <c r="D129" s="16" t="s">
        <v>141</v>
      </c>
      <c r="F129" s="16"/>
      <c r="I129" s="1" t="s">
        <v>141</v>
      </c>
      <c r="J129" s="1178" t="s">
        <v>234</v>
      </c>
      <c r="K129" s="1159"/>
      <c r="L129" s="1159"/>
      <c r="M129" s="1160" t="s">
        <v>235</v>
      </c>
      <c r="N129" s="1160"/>
      <c r="O129" s="1160"/>
      <c r="P129" s="1159" t="s">
        <v>234</v>
      </c>
      <c r="Q129" s="1159"/>
      <c r="R129" s="1159"/>
      <c r="S129" s="1160" t="s">
        <v>235</v>
      </c>
      <c r="T129" s="1160"/>
      <c r="U129" s="1161"/>
    </row>
    <row r="130" spans="2:21" ht="46.5" thickBot="1">
      <c r="B130" s="1208"/>
      <c r="C130" s="60"/>
      <c r="D130" s="16"/>
      <c r="E130" s="414" t="s">
        <v>236</v>
      </c>
      <c r="F130" s="179" t="s">
        <v>237</v>
      </c>
      <c r="G130" s="415" t="s">
        <v>238</v>
      </c>
      <c r="I130" s="1"/>
      <c r="J130" s="1003" t="s">
        <v>239</v>
      </c>
      <c r="K130" s="1004" t="s">
        <v>240</v>
      </c>
      <c r="L130" s="1004" t="s">
        <v>241</v>
      </c>
      <c r="M130" s="1005" t="s">
        <v>239</v>
      </c>
      <c r="N130" s="1004" t="s">
        <v>240</v>
      </c>
      <c r="O130" s="1006" t="s">
        <v>241</v>
      </c>
      <c r="P130" s="1003" t="s">
        <v>239</v>
      </c>
      <c r="Q130" s="1004" t="s">
        <v>240</v>
      </c>
      <c r="R130" s="1004" t="s">
        <v>241</v>
      </c>
      <c r="S130" s="1005" t="s">
        <v>239</v>
      </c>
      <c r="T130" s="1004" t="s">
        <v>240</v>
      </c>
      <c r="U130" s="1006" t="s">
        <v>241</v>
      </c>
    </row>
    <row r="131" spans="2:21" ht="11.25" customHeight="1">
      <c r="B131" s="1208"/>
      <c r="C131" s="60"/>
      <c r="D131" s="406" t="s">
        <v>161</v>
      </c>
      <c r="E131" s="416">
        <v>17.231513973239586</v>
      </c>
      <c r="F131" s="25">
        <v>-9.4212398758610318E-4</v>
      </c>
      <c r="G131" s="25">
        <v>-6.3042012510235987E-2</v>
      </c>
      <c r="I131" s="406" t="s">
        <v>161</v>
      </c>
      <c r="J131" s="399">
        <v>1.2827564940003291</v>
      </c>
      <c r="K131" s="951">
        <v>1.7655838387347025</v>
      </c>
      <c r="L131" s="25">
        <v>0.16298723967277756</v>
      </c>
      <c r="M131" s="25">
        <v>3.2050924798451947</v>
      </c>
      <c r="N131" s="951">
        <v>4.4673304163472345</v>
      </c>
      <c r="O131" s="25">
        <v>1.0249230440109771</v>
      </c>
      <c r="P131" s="25">
        <v>26.670417112032055</v>
      </c>
      <c r="Q131" s="153">
        <v>45.1</v>
      </c>
      <c r="R131" s="25">
        <v>6.2212442521934621</v>
      </c>
      <c r="S131" s="25">
        <v>23.940999743758439</v>
      </c>
      <c r="T131" s="153">
        <v>37.6</v>
      </c>
      <c r="U131" s="417">
        <v>11.090954974439715</v>
      </c>
    </row>
    <row r="132" spans="2:21" ht="11.25" customHeight="1">
      <c r="B132" s="1208"/>
      <c r="C132" s="60"/>
      <c r="D132" s="407" t="s">
        <v>162</v>
      </c>
      <c r="E132" s="416">
        <v>9.6430320548604413</v>
      </c>
      <c r="F132" s="25">
        <v>0</v>
      </c>
      <c r="G132" s="25">
        <v>-3.1191798157183058E-2</v>
      </c>
      <c r="I132" s="407" t="s">
        <v>162</v>
      </c>
      <c r="J132" s="399">
        <v>1.4239331520591996</v>
      </c>
      <c r="K132" s="951">
        <v>2.680861909618971</v>
      </c>
      <c r="L132" s="25">
        <v>0.26447002784163537</v>
      </c>
      <c r="M132" s="25">
        <v>2.8955901503582031</v>
      </c>
      <c r="N132" s="951">
        <v>6.3110388216200874</v>
      </c>
      <c r="O132" s="25">
        <v>1.7966089958311595</v>
      </c>
      <c r="P132" s="25">
        <v>45.546551197526718</v>
      </c>
      <c r="Q132" s="153">
        <v>58</v>
      </c>
      <c r="R132" s="25">
        <v>2.6203266746069893</v>
      </c>
      <c r="S132" s="25">
        <v>41.208388763486894</v>
      </c>
      <c r="T132" s="153">
        <v>50.7</v>
      </c>
      <c r="U132" s="417">
        <v>4.9928181547378392</v>
      </c>
    </row>
    <row r="133" spans="2:21" ht="11.25" customHeight="1">
      <c r="B133" s="1208"/>
      <c r="C133" s="60"/>
      <c r="D133" s="407" t="s">
        <v>163</v>
      </c>
      <c r="E133" s="416">
        <v>14.764325555371125</v>
      </c>
      <c r="F133" s="25">
        <v>-5.9953344664570151E-4</v>
      </c>
      <c r="G133" s="25">
        <v>-9.2006972151306418E-2</v>
      </c>
      <c r="I133" s="407" t="s">
        <v>163</v>
      </c>
      <c r="J133" s="399">
        <v>0.98440972827419715</v>
      </c>
      <c r="K133" s="951">
        <v>1.3405828339210297</v>
      </c>
      <c r="L133" s="25">
        <v>0.10929082996321243</v>
      </c>
      <c r="M133" s="25">
        <v>1.8845216162726675</v>
      </c>
      <c r="N133" s="951">
        <v>3.4138537580884525</v>
      </c>
      <c r="O133" s="25">
        <v>1.1530677456709051</v>
      </c>
      <c r="P133" s="25">
        <v>49.803321328617947</v>
      </c>
      <c r="Q133" s="153">
        <v>62.7</v>
      </c>
      <c r="R133" s="25">
        <v>3.9573137146458195</v>
      </c>
      <c r="S133" s="25">
        <v>40.217948657676153</v>
      </c>
      <c r="T133" s="153">
        <v>53</v>
      </c>
      <c r="U133" s="417">
        <v>9.6372597706891412</v>
      </c>
    </row>
    <row r="134" spans="2:21" ht="11.25" customHeight="1">
      <c r="B134" s="1208"/>
      <c r="C134" s="60"/>
      <c r="D134" s="407" t="s">
        <v>164</v>
      </c>
      <c r="E134" s="416">
        <v>22.50958209870236</v>
      </c>
      <c r="F134" s="25">
        <v>0</v>
      </c>
      <c r="G134" s="25">
        <v>0</v>
      </c>
      <c r="I134" s="407" t="s">
        <v>164</v>
      </c>
      <c r="J134" s="399">
        <v>2.2526384551003327</v>
      </c>
      <c r="K134" s="951">
        <v>2.4438858411861322</v>
      </c>
      <c r="L134" s="25">
        <v>7.9870479485059709E-2</v>
      </c>
      <c r="M134" s="25">
        <v>4.8335124524833919</v>
      </c>
      <c r="N134" s="951">
        <v>4.3648420039941831</v>
      </c>
      <c r="O134" s="25">
        <v>-0.47902447759745964</v>
      </c>
      <c r="P134" s="25">
        <v>46.231441302754597</v>
      </c>
      <c r="Q134" s="153">
        <v>80</v>
      </c>
      <c r="R134" s="25">
        <v>14.102733793487594</v>
      </c>
      <c r="S134" s="25">
        <v>24.169043567781291</v>
      </c>
      <c r="T134" s="153">
        <v>47.9</v>
      </c>
      <c r="U134" s="417">
        <v>24.255228902262193</v>
      </c>
    </row>
    <row r="135" spans="2:21" ht="11.25" customHeight="1">
      <c r="B135" s="1208"/>
      <c r="C135" s="60"/>
      <c r="D135" s="407" t="s">
        <v>165</v>
      </c>
      <c r="E135" s="416">
        <v>21.649939629616121</v>
      </c>
      <c r="F135" s="25">
        <v>0</v>
      </c>
      <c r="G135" s="25">
        <v>0</v>
      </c>
      <c r="I135" s="407" t="s">
        <v>165</v>
      </c>
      <c r="J135" s="399">
        <v>0.68424697568013904</v>
      </c>
      <c r="K135" s="951">
        <v>0.92084743381753142</v>
      </c>
      <c r="L135" s="25">
        <v>0.10401183527722557</v>
      </c>
      <c r="M135" s="25">
        <v>1.2817076199429913</v>
      </c>
      <c r="N135" s="951">
        <v>1.537041082476837</v>
      </c>
      <c r="O135" s="25">
        <v>0.27781143401366526</v>
      </c>
      <c r="P135" s="25">
        <v>37.218548611585263</v>
      </c>
      <c r="Q135" s="153">
        <v>49.9</v>
      </c>
      <c r="R135" s="25">
        <v>5.5748879071146593</v>
      </c>
      <c r="S135" s="25">
        <v>21.276524690139926</v>
      </c>
      <c r="T135" s="153">
        <v>35.700000000000003</v>
      </c>
      <c r="U135" s="417">
        <v>15.693228453210571</v>
      </c>
    </row>
    <row r="136" spans="2:21" ht="11.25" customHeight="1">
      <c r="B136" s="1208"/>
      <c r="C136" s="60"/>
      <c r="D136" s="407" t="s">
        <v>166</v>
      </c>
      <c r="E136" s="416">
        <v>6.2130524899624948</v>
      </c>
      <c r="F136" s="25">
        <v>0</v>
      </c>
      <c r="G136" s="25">
        <v>0</v>
      </c>
      <c r="I136" s="407" t="s">
        <v>166</v>
      </c>
      <c r="J136" s="399">
        <v>2.8972697861526466</v>
      </c>
      <c r="K136" s="951">
        <v>3.6187268943870978</v>
      </c>
      <c r="L136" s="25">
        <v>0.1347927783365416</v>
      </c>
      <c r="M136" s="25">
        <v>4.4543462109630347</v>
      </c>
      <c r="N136" s="951">
        <v>5.857316530519757</v>
      </c>
      <c r="O136" s="25">
        <v>0.64759719770459567</v>
      </c>
      <c r="P136" s="25">
        <v>40.624034982861225</v>
      </c>
      <c r="Q136" s="153">
        <v>49.1</v>
      </c>
      <c r="R136" s="25">
        <v>1.5835991643902294</v>
      </c>
      <c r="S136" s="25">
        <v>18.965628393733954</v>
      </c>
      <c r="T136" s="153">
        <v>27.3</v>
      </c>
      <c r="U136" s="417">
        <v>3.8470633495311279</v>
      </c>
    </row>
    <row r="137" spans="2:21" ht="11.25" customHeight="1">
      <c r="B137" s="1208"/>
      <c r="C137" s="60"/>
      <c r="D137" s="407" t="s">
        <v>167</v>
      </c>
      <c r="E137" s="416">
        <v>6.9518953365979153</v>
      </c>
      <c r="F137" s="25">
        <v>0</v>
      </c>
      <c r="G137" s="25">
        <v>0</v>
      </c>
      <c r="I137" s="407" t="s">
        <v>167</v>
      </c>
      <c r="J137" s="399">
        <v>3.4165097695684494</v>
      </c>
      <c r="K137" s="951">
        <v>3.8254989733544793</v>
      </c>
      <c r="L137" s="25">
        <v>0.10787735077753813</v>
      </c>
      <c r="M137" s="25">
        <v>8.1259647867048663</v>
      </c>
      <c r="N137" s="951">
        <v>8.9230560649167074</v>
      </c>
      <c r="O137" s="25">
        <v>0.5168532550184497</v>
      </c>
      <c r="P137" s="25">
        <v>42.679714448304381</v>
      </c>
      <c r="Q137" s="153">
        <v>54.6</v>
      </c>
      <c r="R137" s="25">
        <v>3.1441632540047313</v>
      </c>
      <c r="S137" s="25">
        <v>30.091173962714254</v>
      </c>
      <c r="T137" s="153">
        <v>35</v>
      </c>
      <c r="U137" s="417">
        <v>3.1830014767971964</v>
      </c>
    </row>
    <row r="138" spans="2:21" ht="11.25" customHeight="1">
      <c r="B138" s="1208"/>
      <c r="C138" s="60"/>
      <c r="D138" s="407" t="s">
        <v>168</v>
      </c>
      <c r="E138" s="416">
        <v>16.699312576492922</v>
      </c>
      <c r="F138" s="25">
        <v>0</v>
      </c>
      <c r="G138" s="25">
        <v>-8.7494412369857069E-2</v>
      </c>
      <c r="I138" s="407" t="s">
        <v>168</v>
      </c>
      <c r="J138" s="399">
        <v>5.0460986756048667E-2</v>
      </c>
      <c r="K138" s="951">
        <v>0.19761647613301028</v>
      </c>
      <c r="L138" s="25">
        <v>4.3084184280025563E-2</v>
      </c>
      <c r="M138" s="25">
        <v>0.12200640438772103</v>
      </c>
      <c r="N138" s="951">
        <v>0.44798493423050778</v>
      </c>
      <c r="O138" s="25">
        <v>0.23450970000828855</v>
      </c>
      <c r="P138" s="25">
        <v>13.149529558404108</v>
      </c>
      <c r="Q138" s="153">
        <v>26.5</v>
      </c>
      <c r="R138" s="25">
        <v>3.9087507449844621</v>
      </c>
      <c r="S138" s="25">
        <v>14.264530287777482</v>
      </c>
      <c r="T138" s="153">
        <v>36.200000000000003</v>
      </c>
      <c r="U138" s="417">
        <v>15.780427085903773</v>
      </c>
    </row>
    <row r="139" spans="2:21" ht="11.25" customHeight="1">
      <c r="B139" s="1208"/>
      <c r="C139" s="60"/>
      <c r="D139" s="407" t="s">
        <v>169</v>
      </c>
      <c r="E139" s="416">
        <v>13.102480114701988</v>
      </c>
      <c r="F139" s="25">
        <v>0</v>
      </c>
      <c r="G139" s="25">
        <v>-0.16751055499893333</v>
      </c>
      <c r="I139" s="407" t="s">
        <v>169</v>
      </c>
      <c r="J139" s="399">
        <v>1.0830145303223735</v>
      </c>
      <c r="K139" s="951">
        <v>1.100815532488858</v>
      </c>
      <c r="L139" s="25">
        <v>5.2117774264289433E-3</v>
      </c>
      <c r="M139" s="25">
        <v>2.4270676096717683</v>
      </c>
      <c r="N139" s="951">
        <v>2.4352392266735343</v>
      </c>
      <c r="O139" s="25">
        <v>5.8103232189767604E-3</v>
      </c>
      <c r="P139" s="25">
        <v>43.955187753811252</v>
      </c>
      <c r="Q139" s="153">
        <v>62.1</v>
      </c>
      <c r="R139" s="25">
        <v>5.312438141798947</v>
      </c>
      <c r="S139" s="25">
        <v>30.424029112126277</v>
      </c>
      <c r="T139" s="153">
        <v>41.6</v>
      </c>
      <c r="U139" s="417">
        <v>7.946530427256568</v>
      </c>
    </row>
    <row r="140" spans="2:21" ht="11.25" customHeight="1">
      <c r="B140" s="1208"/>
      <c r="C140" s="60"/>
      <c r="D140" s="407" t="s">
        <v>170</v>
      </c>
      <c r="E140" s="416">
        <v>25.448338168804025</v>
      </c>
      <c r="F140" s="25">
        <v>0</v>
      </c>
      <c r="G140" s="25">
        <v>-0.36773621558343256</v>
      </c>
      <c r="I140" s="407" t="s">
        <v>170</v>
      </c>
      <c r="J140" s="399">
        <v>1.6595122907269761</v>
      </c>
      <c r="K140" s="951">
        <v>1.5522491689501223</v>
      </c>
      <c r="L140" s="25">
        <v>-4.9349923647973623E-2</v>
      </c>
      <c r="M140" s="25">
        <v>4.2855477879647719</v>
      </c>
      <c r="N140" s="951">
        <v>4.170362106223755</v>
      </c>
      <c r="O140" s="25">
        <v>-0.12911498780376987</v>
      </c>
      <c r="P140" s="25">
        <v>42.122941759675378</v>
      </c>
      <c r="Q140" s="153">
        <v>65.099999999999994</v>
      </c>
      <c r="R140" s="25">
        <v>10.57135062854146</v>
      </c>
      <c r="S140" s="25">
        <v>29.480772615665781</v>
      </c>
      <c r="T140" s="153">
        <v>43.9</v>
      </c>
      <c r="U140" s="417">
        <v>16.162932230188332</v>
      </c>
    </row>
    <row r="141" spans="2:21" ht="11.25" customHeight="1">
      <c r="B141" s="1208"/>
      <c r="C141" s="60"/>
      <c r="D141" s="407" t="s">
        <v>171</v>
      </c>
      <c r="E141" s="416">
        <v>6.8573546329192903</v>
      </c>
      <c r="F141" s="25">
        <v>0</v>
      </c>
      <c r="G141" s="25">
        <v>0</v>
      </c>
      <c r="I141" s="407" t="s">
        <v>171</v>
      </c>
      <c r="J141" s="399">
        <v>1.1594860271664527</v>
      </c>
      <c r="K141" s="951">
        <v>1.2292929827192494</v>
      </c>
      <c r="L141" s="25">
        <v>1.8177046600061277E-2</v>
      </c>
      <c r="M141" s="25">
        <v>3.4469559104037826</v>
      </c>
      <c r="N141" s="951">
        <v>3.1812777254396614</v>
      </c>
      <c r="O141" s="25">
        <v>-0.16737095261623786</v>
      </c>
      <c r="P141" s="25">
        <v>43.368984676113165</v>
      </c>
      <c r="Q141" s="153">
        <v>49.4</v>
      </c>
      <c r="R141" s="25">
        <v>1.5704172416609943</v>
      </c>
      <c r="S141" s="25">
        <v>30.270895166032428</v>
      </c>
      <c r="T141" s="153">
        <v>38.9</v>
      </c>
      <c r="U141" s="417">
        <v>5.4361312972744731</v>
      </c>
    </row>
    <row r="142" spans="2:21" ht="11.25" customHeight="1">
      <c r="B142" s="1208"/>
      <c r="C142" s="60"/>
      <c r="D142" s="407" t="s">
        <v>172</v>
      </c>
      <c r="E142" s="416">
        <v>2.8805996545775736</v>
      </c>
      <c r="F142" s="25">
        <v>0</v>
      </c>
      <c r="G142" s="25">
        <v>0</v>
      </c>
      <c r="I142" s="407" t="s">
        <v>172</v>
      </c>
      <c r="J142" s="399">
        <v>1.6848002411229062</v>
      </c>
      <c r="K142" s="951">
        <v>1.9071590369143721</v>
      </c>
      <c r="L142" s="25">
        <v>4.295810135973796E-2</v>
      </c>
      <c r="M142" s="25">
        <v>5.0500362934723739</v>
      </c>
      <c r="N142" s="951">
        <v>6.1479408515428249</v>
      </c>
      <c r="O142" s="25">
        <v>0.51643485295482572</v>
      </c>
      <c r="P142" s="25">
        <v>30.536992031230152</v>
      </c>
      <c r="Q142" s="153">
        <v>34.5</v>
      </c>
      <c r="R142" s="25">
        <v>0.76562430285655592</v>
      </c>
      <c r="S142" s="25">
        <v>28.792940077930606</v>
      </c>
      <c r="T142" s="153">
        <v>32.1</v>
      </c>
      <c r="U142" s="417">
        <v>1.5555823974064542</v>
      </c>
    </row>
    <row r="143" spans="2:21" ht="11.25" customHeight="1">
      <c r="B143" s="1208"/>
      <c r="C143" s="60"/>
      <c r="D143" s="407" t="s">
        <v>28</v>
      </c>
      <c r="E143" s="416">
        <v>1.5916944923198704</v>
      </c>
      <c r="F143" s="25">
        <v>0</v>
      </c>
      <c r="G143" s="25">
        <v>0</v>
      </c>
      <c r="I143" s="407" t="s">
        <v>28</v>
      </c>
      <c r="J143" s="399">
        <v>3.5983648036639848</v>
      </c>
      <c r="K143" s="951">
        <v>4.6855684544842333</v>
      </c>
      <c r="L143" s="25">
        <v>0.11566955980307501</v>
      </c>
      <c r="M143" s="25">
        <v>7.8240068188556178</v>
      </c>
      <c r="N143" s="951">
        <v>9.8851347161155712</v>
      </c>
      <c r="O143" s="25">
        <v>0.51166994480386629</v>
      </c>
      <c r="P143" s="25">
        <v>59.574767167261314</v>
      </c>
      <c r="Q143" s="153">
        <v>65.3</v>
      </c>
      <c r="R143" s="25">
        <v>0.60911786033220883</v>
      </c>
      <c r="S143" s="25">
        <v>47.769020594579672</v>
      </c>
      <c r="T143" s="153">
        <v>49.2</v>
      </c>
      <c r="U143" s="417">
        <v>0.35523712738072016</v>
      </c>
    </row>
    <row r="144" spans="2:21" ht="11.25" customHeight="1" thickBot="1">
      <c r="B144" s="1208"/>
      <c r="C144" s="60"/>
      <c r="D144" s="407" t="s">
        <v>173</v>
      </c>
      <c r="E144" s="416">
        <v>6.7426452133909036</v>
      </c>
      <c r="F144" s="25">
        <v>0</v>
      </c>
      <c r="G144" s="25">
        <v>-3.3889698667088713E-2</v>
      </c>
      <c r="I144" s="413" t="s">
        <v>173</v>
      </c>
      <c r="J144" s="421">
        <v>1.5374602840950433</v>
      </c>
      <c r="K144" s="952">
        <v>1.5582781099200176</v>
      </c>
      <c r="L144" s="25">
        <v>8.4902433244756163E-3</v>
      </c>
      <c r="M144" s="25">
        <v>3.5619414508735479</v>
      </c>
      <c r="N144" s="952">
        <v>3.489304228487804</v>
      </c>
      <c r="O144" s="25">
        <v>-7.2128049148678805E-2</v>
      </c>
      <c r="P144" s="25">
        <v>45.617356477027428</v>
      </c>
      <c r="Q144" s="153">
        <v>57.4</v>
      </c>
      <c r="R144" s="25">
        <v>4.8053774374259079</v>
      </c>
      <c r="S144" s="25">
        <v>42.350840497691834</v>
      </c>
      <c r="T144" s="153">
        <v>44.4</v>
      </c>
      <c r="U144" s="417">
        <v>2.0347952804562883</v>
      </c>
    </row>
    <row r="145" spans="2:21" ht="11.25" customHeight="1" thickBot="1">
      <c r="B145" s="1208"/>
      <c r="C145" s="60"/>
      <c r="D145" s="408" t="s">
        <v>174</v>
      </c>
      <c r="E145" s="418">
        <f>SUM(E131:E144)</f>
        <v>172.28576599155659</v>
      </c>
      <c r="F145" s="419">
        <f>SUM(F131:F144)</f>
        <v>-1.5416574342318047E-3</v>
      </c>
      <c r="G145" s="420">
        <f>SUM(G131:G144)</f>
        <v>-0.84287166443803718</v>
      </c>
      <c r="M145" s="9"/>
    </row>
    <row r="146" spans="2:21" ht="11.25" customHeight="1" thickBot="1">
      <c r="B146" s="1208"/>
      <c r="C146" s="60"/>
      <c r="M146" s="9"/>
    </row>
    <row r="147" spans="2:21" ht="11.25" customHeight="1" thickBot="1">
      <c r="B147" s="1208"/>
      <c r="C147" s="60"/>
      <c r="I147" s="1"/>
      <c r="J147" s="1175" t="s">
        <v>230</v>
      </c>
      <c r="K147" s="1176"/>
      <c r="L147" s="1176"/>
      <c r="M147" s="1176"/>
      <c r="N147" s="1176"/>
      <c r="O147" s="1176"/>
      <c r="P147" s="1176" t="s">
        <v>231</v>
      </c>
      <c r="Q147" s="1176"/>
      <c r="R147" s="1176"/>
      <c r="S147" s="1176"/>
      <c r="T147" s="1176"/>
      <c r="U147" s="1177"/>
    </row>
    <row r="148" spans="2:21" ht="11.25" customHeight="1" thickBot="1">
      <c r="B148" s="1208"/>
      <c r="C148" s="60"/>
      <c r="D148" s="16" t="s">
        <v>126</v>
      </c>
      <c r="F148" s="16"/>
      <c r="I148" s="1" t="s">
        <v>126</v>
      </c>
      <c r="J148" s="1178" t="s">
        <v>234</v>
      </c>
      <c r="K148" s="1159"/>
      <c r="L148" s="1159"/>
      <c r="M148" s="1160" t="s">
        <v>235</v>
      </c>
      <c r="N148" s="1160"/>
      <c r="O148" s="1160"/>
      <c r="P148" s="1159" t="s">
        <v>234</v>
      </c>
      <c r="Q148" s="1159"/>
      <c r="R148" s="1159"/>
      <c r="S148" s="1160" t="s">
        <v>235</v>
      </c>
      <c r="T148" s="1160"/>
      <c r="U148" s="1161"/>
    </row>
    <row r="149" spans="2:21" ht="46.5" thickBot="1">
      <c r="B149" s="1208"/>
      <c r="C149" s="60"/>
      <c r="D149" s="16"/>
      <c r="E149" s="414" t="s">
        <v>236</v>
      </c>
      <c r="F149" s="179" t="s">
        <v>237</v>
      </c>
      <c r="G149" s="415" t="s">
        <v>238</v>
      </c>
      <c r="I149" s="1"/>
      <c r="J149" s="1003" t="s">
        <v>239</v>
      </c>
      <c r="K149" s="1004" t="s">
        <v>240</v>
      </c>
      <c r="L149" s="1004" t="s">
        <v>241</v>
      </c>
      <c r="M149" s="1005" t="s">
        <v>239</v>
      </c>
      <c r="N149" s="1004" t="s">
        <v>240</v>
      </c>
      <c r="O149" s="1006" t="s">
        <v>241</v>
      </c>
      <c r="P149" s="1003" t="s">
        <v>239</v>
      </c>
      <c r="Q149" s="1004" t="s">
        <v>240</v>
      </c>
      <c r="R149" s="1004" t="s">
        <v>241</v>
      </c>
      <c r="S149" s="1005" t="s">
        <v>239</v>
      </c>
      <c r="T149" s="1004" t="s">
        <v>240</v>
      </c>
      <c r="U149" s="1006" t="s">
        <v>241</v>
      </c>
    </row>
    <row r="150" spans="2:21" ht="11.25" customHeight="1">
      <c r="B150" s="1208"/>
      <c r="C150" s="60"/>
      <c r="D150" s="406" t="s">
        <v>161</v>
      </c>
      <c r="E150" s="416">
        <v>15.522254339034857</v>
      </c>
      <c r="F150" s="25">
        <v>0</v>
      </c>
      <c r="G150" s="25">
        <v>-6.3656388378030185E-2</v>
      </c>
      <c r="I150" s="406" t="s">
        <v>161</v>
      </c>
      <c r="J150" s="399">
        <v>1.3156494594246333</v>
      </c>
      <c r="K150" s="951">
        <v>1.5365378408087593</v>
      </c>
      <c r="L150" s="25">
        <v>7.4564930818889055E-2</v>
      </c>
      <c r="M150" s="25">
        <v>2.6943190745582495</v>
      </c>
      <c r="N150" s="951">
        <v>3.9154411984059601</v>
      </c>
      <c r="O150" s="25">
        <v>0.9915374653938096</v>
      </c>
      <c r="P150" s="25">
        <v>29.414615694767164</v>
      </c>
      <c r="Q150" s="153">
        <v>44.9</v>
      </c>
      <c r="R150" s="25">
        <v>5.2273759361549468</v>
      </c>
      <c r="S150" s="25">
        <v>25.455959630388609</v>
      </c>
      <c r="T150" s="153">
        <v>36.9</v>
      </c>
      <c r="U150" s="417">
        <v>9.2924323950452425</v>
      </c>
    </row>
    <row r="151" spans="2:21" ht="11.25" customHeight="1">
      <c r="B151" s="1208"/>
      <c r="C151" s="60"/>
      <c r="D151" s="407" t="s">
        <v>162</v>
      </c>
      <c r="E151" s="416">
        <v>12.717278021865742</v>
      </c>
      <c r="F151" s="25">
        <v>0</v>
      </c>
      <c r="G151" s="25">
        <v>0</v>
      </c>
      <c r="I151" s="407" t="s">
        <v>162</v>
      </c>
      <c r="J151" s="399">
        <v>1.1397085473649253</v>
      </c>
      <c r="K151" s="951">
        <v>2.3226715768031876</v>
      </c>
      <c r="L151" s="25">
        <v>0.2489069197036691</v>
      </c>
      <c r="M151" s="25">
        <v>1.8706076560063392</v>
      </c>
      <c r="N151" s="951">
        <v>5.4631328284290008</v>
      </c>
      <c r="O151" s="25">
        <v>1.8897555383667322</v>
      </c>
      <c r="P151" s="25">
        <v>44.124077709963679</v>
      </c>
      <c r="Q151" s="153">
        <v>57.7</v>
      </c>
      <c r="R151" s="25">
        <v>2.8565060067464074</v>
      </c>
      <c r="S151" s="25">
        <v>34.948267781169534</v>
      </c>
      <c r="T151" s="153">
        <v>49.7</v>
      </c>
      <c r="U151" s="417">
        <v>7.7597696113674113</v>
      </c>
    </row>
    <row r="152" spans="2:21" ht="11.25" customHeight="1">
      <c r="B152" s="1208"/>
      <c r="C152" s="60"/>
      <c r="D152" s="407" t="s">
        <v>163</v>
      </c>
      <c r="E152" s="416">
        <v>14.426637651159052</v>
      </c>
      <c r="F152" s="25">
        <v>0</v>
      </c>
      <c r="G152" s="25">
        <v>-2.7364419530402806E-2</v>
      </c>
      <c r="I152" s="407" t="s">
        <v>163</v>
      </c>
      <c r="J152" s="399">
        <v>0.74741732284822904</v>
      </c>
      <c r="K152" s="951">
        <v>1.178528483271063</v>
      </c>
      <c r="L152" s="25">
        <v>0.13228538534218817</v>
      </c>
      <c r="M152" s="25">
        <v>1.2555058295144128</v>
      </c>
      <c r="N152" s="951">
        <v>2.8789279812535109</v>
      </c>
      <c r="O152" s="25">
        <v>1.2240086176149252</v>
      </c>
      <c r="P152" s="25">
        <v>51.675149802606441</v>
      </c>
      <c r="Q152" s="153">
        <v>61.8</v>
      </c>
      <c r="R152" s="25">
        <v>3.1067850541852877</v>
      </c>
      <c r="S152" s="25">
        <v>38.748879457959092</v>
      </c>
      <c r="T152" s="153">
        <v>52</v>
      </c>
      <c r="U152" s="417">
        <v>9.9909230135470537</v>
      </c>
    </row>
    <row r="153" spans="2:21" ht="11.25" customHeight="1">
      <c r="B153" s="1208"/>
      <c r="C153" s="60"/>
      <c r="D153" s="407" t="s">
        <v>164</v>
      </c>
      <c r="E153" s="416">
        <v>22.50958209870236</v>
      </c>
      <c r="F153" s="25">
        <v>0</v>
      </c>
      <c r="G153" s="25">
        <v>0</v>
      </c>
      <c r="I153" s="407" t="s">
        <v>164</v>
      </c>
      <c r="J153" s="399">
        <v>1.8923293708136073</v>
      </c>
      <c r="K153" s="951">
        <v>2.6046916134116547</v>
      </c>
      <c r="L153" s="25">
        <v>0.29750322369286053</v>
      </c>
      <c r="M153" s="25">
        <v>3.9624840072810303</v>
      </c>
      <c r="N153" s="951">
        <v>4.8651945377827426</v>
      </c>
      <c r="O153" s="25">
        <v>0.92265352272421963</v>
      </c>
      <c r="P153" s="25">
        <v>42.555825223340811</v>
      </c>
      <c r="Q153" s="153">
        <v>78.3</v>
      </c>
      <c r="R153" s="25">
        <v>14.92780861814628</v>
      </c>
      <c r="S153" s="25">
        <v>24.279995622041099</v>
      </c>
      <c r="T153" s="153">
        <v>47.1</v>
      </c>
      <c r="U153" s="417">
        <v>23.324151781195994</v>
      </c>
    </row>
    <row r="154" spans="2:21" ht="11.25" customHeight="1">
      <c r="B154" s="1208"/>
      <c r="C154" s="60"/>
      <c r="D154" s="407" t="s">
        <v>165</v>
      </c>
      <c r="E154" s="416">
        <v>19.306307864199653</v>
      </c>
      <c r="F154" s="25">
        <v>0</v>
      </c>
      <c r="G154" s="25">
        <v>0</v>
      </c>
      <c r="I154" s="407" t="s">
        <v>165</v>
      </c>
      <c r="J154" s="399">
        <v>0.61779625565112262</v>
      </c>
      <c r="K154" s="951">
        <v>0.88931942047099621</v>
      </c>
      <c r="L154" s="25">
        <v>0.11936419276414051</v>
      </c>
      <c r="M154" s="25">
        <v>1.1477475706668372</v>
      </c>
      <c r="N154" s="951">
        <v>1.5323196573836644</v>
      </c>
      <c r="O154" s="25">
        <v>0.41842742362163921</v>
      </c>
      <c r="P154" s="25">
        <v>38.956137232229409</v>
      </c>
      <c r="Q154" s="153">
        <v>49.6</v>
      </c>
      <c r="R154" s="25">
        <v>4.6791443669642865</v>
      </c>
      <c r="S154" s="25">
        <v>21.950611793439101</v>
      </c>
      <c r="T154" s="153">
        <v>34.9</v>
      </c>
      <c r="U154" s="417">
        <v>14.089371880849587</v>
      </c>
    </row>
    <row r="155" spans="2:21" ht="11.25" customHeight="1">
      <c r="B155" s="1208"/>
      <c r="C155" s="60"/>
      <c r="D155" s="407" t="s">
        <v>166</v>
      </c>
      <c r="E155" s="416">
        <v>6.4999730759466585</v>
      </c>
      <c r="F155" s="25">
        <v>0</v>
      </c>
      <c r="G155" s="25">
        <v>0</v>
      </c>
      <c r="I155" s="407" t="s">
        <v>166</v>
      </c>
      <c r="J155" s="399">
        <v>3.0094261098449029</v>
      </c>
      <c r="K155" s="951">
        <v>3.5556449874527041</v>
      </c>
      <c r="L155" s="25">
        <v>0.10205230394472267</v>
      </c>
      <c r="M155" s="25">
        <v>4.9248840693078346</v>
      </c>
      <c r="N155" s="951">
        <v>5.803179400257112</v>
      </c>
      <c r="O155" s="25">
        <v>0.40541242188180626</v>
      </c>
      <c r="P155" s="25">
        <v>35.883626982293904</v>
      </c>
      <c r="Q155" s="153">
        <v>48.9</v>
      </c>
      <c r="R155" s="25">
        <v>2.4319021365179156</v>
      </c>
      <c r="S155" s="25">
        <v>19.586216100039653</v>
      </c>
      <c r="T155" s="153">
        <v>27.3</v>
      </c>
      <c r="U155" s="417">
        <v>3.5606062136022136</v>
      </c>
    </row>
    <row r="156" spans="2:21" ht="11.25" customHeight="1">
      <c r="B156" s="1208"/>
      <c r="C156" s="60"/>
      <c r="D156" s="407" t="s">
        <v>167</v>
      </c>
      <c r="E156" s="416">
        <v>1.176939097965187</v>
      </c>
      <c r="F156" s="25">
        <v>0</v>
      </c>
      <c r="G156" s="25">
        <v>0</v>
      </c>
      <c r="I156" s="407" t="s">
        <v>167</v>
      </c>
      <c r="J156" s="399">
        <v>3.2612168375808883</v>
      </c>
      <c r="K156" s="951">
        <v>3.8078836024979439</v>
      </c>
      <c r="L156" s="25">
        <v>0.14419197820251498</v>
      </c>
      <c r="M156" s="25">
        <v>7.077832194753638</v>
      </c>
      <c r="N156" s="951">
        <v>8.6963966045494683</v>
      </c>
      <c r="O156" s="25">
        <v>1.0495162932113529</v>
      </c>
      <c r="P156" s="25">
        <v>55.193474817361967</v>
      </c>
      <c r="Q156" s="153">
        <v>54.3</v>
      </c>
      <c r="R156" s="25">
        <v>-0.2356680699422079</v>
      </c>
      <c r="S156" s="25">
        <v>34.462414042068943</v>
      </c>
      <c r="T156" s="153">
        <v>34.799999999999997</v>
      </c>
      <c r="U156" s="417">
        <v>0.21889889649352684</v>
      </c>
    </row>
    <row r="157" spans="2:21" ht="11.25" customHeight="1">
      <c r="B157" s="1208"/>
      <c r="C157" s="60"/>
      <c r="D157" s="407" t="s">
        <v>168</v>
      </c>
      <c r="E157" s="416">
        <v>16.707574988672409</v>
      </c>
      <c r="F157" s="25">
        <v>0</v>
      </c>
      <c r="G157" s="25">
        <v>-7.9232000190368065E-2</v>
      </c>
      <c r="I157" s="407" t="s">
        <v>168</v>
      </c>
      <c r="J157" s="399">
        <v>9.3235638659915545E-3</v>
      </c>
      <c r="K157" s="951">
        <v>0.14215533549916171</v>
      </c>
      <c r="L157" s="25">
        <v>3.8890486189241333E-2</v>
      </c>
      <c r="M157" s="25">
        <v>1.8034466458531608E-2</v>
      </c>
      <c r="N157" s="951">
        <v>0.36021783799699464</v>
      </c>
      <c r="O157" s="25">
        <v>0.24616750019091904</v>
      </c>
      <c r="P157" s="25">
        <v>13.011233315977053</v>
      </c>
      <c r="Q157" s="153">
        <v>26.3</v>
      </c>
      <c r="R157" s="25">
        <v>3.8906851188002234</v>
      </c>
      <c r="S157" s="25">
        <v>11.360049708696508</v>
      </c>
      <c r="T157" s="153">
        <v>35.6</v>
      </c>
      <c r="U157" s="417">
        <v>17.438275685735924</v>
      </c>
    </row>
    <row r="158" spans="2:21" ht="11.25" customHeight="1">
      <c r="B158" s="1208"/>
      <c r="C158" s="60"/>
      <c r="D158" s="407" t="s">
        <v>169</v>
      </c>
      <c r="E158" s="416">
        <v>13.267414787646043</v>
      </c>
      <c r="F158" s="25">
        <v>-1.1370989947886746E-3</v>
      </c>
      <c r="G158" s="25">
        <v>-0.19224165824174708</v>
      </c>
      <c r="I158" s="407" t="s">
        <v>169</v>
      </c>
      <c r="J158" s="399">
        <v>0.20702791212221286</v>
      </c>
      <c r="K158" s="951">
        <v>1.1167626260696073</v>
      </c>
      <c r="L158" s="25">
        <v>0.26635213016920734</v>
      </c>
      <c r="M158" s="25">
        <v>0.54865258974586706</v>
      </c>
      <c r="N158" s="951">
        <v>2.4799915351582769</v>
      </c>
      <c r="O158" s="25">
        <v>1.3732537288297502</v>
      </c>
      <c r="P158" s="25">
        <v>44.088193373209847</v>
      </c>
      <c r="Q158" s="153">
        <v>61.8</v>
      </c>
      <c r="R158" s="25">
        <v>5.1856627562564732</v>
      </c>
      <c r="S158" s="25">
        <v>31.367822376302719</v>
      </c>
      <c r="T158" s="153">
        <v>40.700000000000003</v>
      </c>
      <c r="U158" s="417">
        <v>6.6355249296271488</v>
      </c>
    </row>
    <row r="159" spans="2:21" ht="11.25" customHeight="1">
      <c r="B159" s="1208"/>
      <c r="C159" s="60"/>
      <c r="D159" s="407" t="s">
        <v>170</v>
      </c>
      <c r="E159" s="416">
        <v>25.63083139592716</v>
      </c>
      <c r="F159" s="25">
        <v>0</v>
      </c>
      <c r="G159" s="25">
        <v>-0.1852429884602963</v>
      </c>
      <c r="I159" s="407" t="s">
        <v>170</v>
      </c>
      <c r="J159" s="399">
        <v>0.88007196135352184</v>
      </c>
      <c r="K159" s="951">
        <v>1.7168636559080845</v>
      </c>
      <c r="L159" s="25">
        <v>0.38499351455979403</v>
      </c>
      <c r="M159" s="25">
        <v>1.9005922010300234</v>
      </c>
      <c r="N159" s="951">
        <v>4.670672702973012</v>
      </c>
      <c r="O159" s="25">
        <v>3.1050639699124143</v>
      </c>
      <c r="P159" s="25">
        <v>43.034843453762889</v>
      </c>
      <c r="Q159" s="153">
        <v>64.8</v>
      </c>
      <c r="R159" s="25">
        <v>10.013775433252167</v>
      </c>
      <c r="S159" s="25">
        <v>30.372369479849471</v>
      </c>
      <c r="T159" s="153">
        <v>43</v>
      </c>
      <c r="U159" s="417">
        <v>14.154679088201009</v>
      </c>
    </row>
    <row r="160" spans="2:21" ht="11.25" customHeight="1">
      <c r="B160" s="1208"/>
      <c r="C160" s="60"/>
      <c r="D160" s="407" t="s">
        <v>171</v>
      </c>
      <c r="E160" s="416">
        <v>9.5548444576282048</v>
      </c>
      <c r="F160" s="25">
        <v>0</v>
      </c>
      <c r="G160" s="25">
        <v>0</v>
      </c>
      <c r="I160" s="407" t="s">
        <v>171</v>
      </c>
      <c r="J160" s="399">
        <v>1.1474735640232017</v>
      </c>
      <c r="K160" s="951">
        <v>1.0671387189580317</v>
      </c>
      <c r="L160" s="25">
        <v>-2.0918405777686069E-2</v>
      </c>
      <c r="M160" s="25">
        <v>2.9869028532554642</v>
      </c>
      <c r="N160" s="951">
        <v>2.9496141314506725</v>
      </c>
      <c r="O160" s="25">
        <v>-2.349100996437738E-2</v>
      </c>
      <c r="P160" s="25">
        <v>39.311779425688847</v>
      </c>
      <c r="Q160" s="153">
        <v>49.1</v>
      </c>
      <c r="R160" s="25">
        <v>2.5487566403947595</v>
      </c>
      <c r="S160" s="25">
        <v>26.908313039560472</v>
      </c>
      <c r="T160" s="153">
        <v>38.1</v>
      </c>
      <c r="U160" s="417">
        <v>7.0504972329755082</v>
      </c>
    </row>
    <row r="161" spans="2:21" ht="11.25" customHeight="1">
      <c r="B161" s="1208"/>
      <c r="C161" s="60"/>
      <c r="D161" s="407" t="s">
        <v>172</v>
      </c>
      <c r="E161" s="416">
        <v>1.7621607626043954</v>
      </c>
      <c r="F161" s="25">
        <v>0</v>
      </c>
      <c r="G161" s="25">
        <v>0</v>
      </c>
      <c r="I161" s="407" t="s">
        <v>172</v>
      </c>
      <c r="J161" s="1075">
        <v>1.7491162018178177</v>
      </c>
      <c r="K161" s="951">
        <v>1.7221132225685369</v>
      </c>
      <c r="L161" s="25">
        <v>-5.2167791045845532E-3</v>
      </c>
      <c r="M161" s="25">
        <v>4.6314103679292042</v>
      </c>
      <c r="N161" s="951">
        <v>5.5291547920268007</v>
      </c>
      <c r="O161" s="25">
        <v>0.42228307209569549</v>
      </c>
      <c r="P161" s="25">
        <v>30.176497040876281</v>
      </c>
      <c r="Q161" s="153">
        <v>34.4</v>
      </c>
      <c r="R161" s="25">
        <v>0.81595003950886313</v>
      </c>
      <c r="S161" s="25">
        <v>30.175075765383998</v>
      </c>
      <c r="T161" s="153">
        <v>31.3</v>
      </c>
      <c r="U161" s="417">
        <v>0.52914443010442136</v>
      </c>
    </row>
    <row r="162" spans="2:21" ht="11.25" customHeight="1">
      <c r="B162" s="1208"/>
      <c r="C162" s="60"/>
      <c r="D162" s="407" t="s">
        <v>28</v>
      </c>
      <c r="E162" s="416">
        <v>0.9054092405718005</v>
      </c>
      <c r="F162" s="25">
        <v>0</v>
      </c>
      <c r="G162" s="25">
        <v>0</v>
      </c>
      <c r="I162" s="407" t="s">
        <v>28</v>
      </c>
      <c r="J162" s="399">
        <v>3.3389668395775254</v>
      </c>
      <c r="K162" s="951">
        <v>5.0861860284405553</v>
      </c>
      <c r="L162" s="25">
        <v>0.18588980482432765</v>
      </c>
      <c r="M162" s="25">
        <v>7.0871688510831232</v>
      </c>
      <c r="N162" s="951">
        <v>11.110801006699175</v>
      </c>
      <c r="O162" s="25">
        <v>0.99885681316139618</v>
      </c>
      <c r="P162" s="25">
        <v>60.652739552435548</v>
      </c>
      <c r="Q162" s="153">
        <v>64.099999999999994</v>
      </c>
      <c r="R162" s="25">
        <v>0.36676026445964954</v>
      </c>
      <c r="S162" s="25">
        <v>50.302634545067832</v>
      </c>
      <c r="T162" s="153">
        <v>47.7</v>
      </c>
      <c r="U162" s="417">
        <v>-0.64609764187357288</v>
      </c>
    </row>
    <row r="163" spans="2:21" ht="11.25" customHeight="1" thickBot="1">
      <c r="B163" s="1208"/>
      <c r="C163" s="60"/>
      <c r="D163" s="407" t="s">
        <v>173</v>
      </c>
      <c r="E163" s="416">
        <v>7.0447080390225532</v>
      </c>
      <c r="F163" s="25">
        <v>0</v>
      </c>
      <c r="G163" s="25">
        <v>-2.2451094106408997E-2</v>
      </c>
      <c r="I163" s="413" t="s">
        <v>173</v>
      </c>
      <c r="J163" s="399">
        <v>1.2468478745599563</v>
      </c>
      <c r="K163" s="951">
        <v>1.610539015198607</v>
      </c>
      <c r="L163" s="25">
        <v>0.14832606944351948</v>
      </c>
      <c r="M163" s="25">
        <v>2.5718682992717841</v>
      </c>
      <c r="N163" s="952">
        <v>3.6923933059979333</v>
      </c>
      <c r="O163" s="25">
        <v>1.1126703376439915</v>
      </c>
      <c r="P163" s="25">
        <v>47.171004593590844</v>
      </c>
      <c r="Q163" s="153">
        <v>57.1</v>
      </c>
      <c r="R163" s="25">
        <v>4.0493943832925989</v>
      </c>
      <c r="S163" s="25">
        <v>41.730830109803122</v>
      </c>
      <c r="T163" s="153">
        <v>43.5</v>
      </c>
      <c r="U163" s="417">
        <v>1.7567683427488521</v>
      </c>
    </row>
    <row r="164" spans="2:21" ht="11.25" customHeight="1" thickBot="1">
      <c r="B164" s="1208"/>
      <c r="C164" s="60"/>
      <c r="D164" s="408" t="s">
        <v>174</v>
      </c>
      <c r="E164" s="418">
        <f>SUM(E150:E163)</f>
        <v>167.03191582094607</v>
      </c>
      <c r="F164" s="419">
        <f>SUM(F150:F163)</f>
        <v>-1.1370989947886746E-3</v>
      </c>
      <c r="G164" s="420">
        <f>SUM(G150:G163)</f>
        <v>-0.57018854890725346</v>
      </c>
    </row>
    <row r="165" spans="2:21" ht="11.25" customHeight="1" thickBot="1">
      <c r="B165" s="1208"/>
      <c r="C165" s="60"/>
      <c r="P165" s="9"/>
    </row>
    <row r="166" spans="2:21" ht="11.25" customHeight="1" thickBot="1">
      <c r="B166" s="1208"/>
      <c r="C166" s="60"/>
      <c r="H166" s="7"/>
      <c r="I166" s="1"/>
      <c r="J166" s="1175" t="s">
        <v>230</v>
      </c>
      <c r="K166" s="1176"/>
      <c r="L166" s="1176"/>
      <c r="M166" s="1176"/>
      <c r="N166" s="1176"/>
      <c r="O166" s="1176"/>
      <c r="P166" s="1176" t="s">
        <v>231</v>
      </c>
      <c r="Q166" s="1176"/>
      <c r="R166" s="1176"/>
      <c r="S166" s="1176"/>
      <c r="T166" s="1176"/>
      <c r="U166" s="1177"/>
    </row>
    <row r="167" spans="2:21" ht="11.25" customHeight="1" thickBot="1">
      <c r="B167" s="1208"/>
      <c r="C167" s="60"/>
      <c r="D167" s="16" t="s">
        <v>142</v>
      </c>
      <c r="F167" s="16"/>
      <c r="I167" s="1" t="s">
        <v>142</v>
      </c>
      <c r="J167" s="1178" t="s">
        <v>234</v>
      </c>
      <c r="K167" s="1159"/>
      <c r="L167" s="1159"/>
      <c r="M167" s="1160" t="s">
        <v>235</v>
      </c>
      <c r="N167" s="1160"/>
      <c r="O167" s="1160"/>
      <c r="P167" s="1159" t="s">
        <v>234</v>
      </c>
      <c r="Q167" s="1159"/>
      <c r="R167" s="1159"/>
      <c r="S167" s="1160" t="s">
        <v>235</v>
      </c>
      <c r="T167" s="1160"/>
      <c r="U167" s="1161"/>
    </row>
    <row r="168" spans="2:21" ht="46.5" thickBot="1">
      <c r="B168" s="1208"/>
      <c r="C168" s="60"/>
      <c r="D168" s="16"/>
      <c r="E168" s="414" t="s">
        <v>236</v>
      </c>
      <c r="F168" s="179" t="s">
        <v>237</v>
      </c>
      <c r="G168" s="415" t="s">
        <v>238</v>
      </c>
      <c r="I168" s="1"/>
      <c r="J168" s="1003" t="s">
        <v>239</v>
      </c>
      <c r="K168" s="1004" t="s">
        <v>240</v>
      </c>
      <c r="L168" s="1004" t="s">
        <v>241</v>
      </c>
      <c r="M168" s="1005" t="s">
        <v>239</v>
      </c>
      <c r="N168" s="1004" t="s">
        <v>240</v>
      </c>
      <c r="O168" s="1006" t="s">
        <v>241</v>
      </c>
      <c r="P168" s="1003" t="s">
        <v>239</v>
      </c>
      <c r="Q168" s="1004" t="s">
        <v>240</v>
      </c>
      <c r="R168" s="1004" t="s">
        <v>241</v>
      </c>
      <c r="S168" s="1005" t="s">
        <v>239</v>
      </c>
      <c r="T168" s="1004" t="s">
        <v>240</v>
      </c>
      <c r="U168" s="1006" t="s">
        <v>241</v>
      </c>
    </row>
    <row r="169" spans="2:21" ht="11.25" customHeight="1">
      <c r="B169" s="1208"/>
      <c r="C169" s="60"/>
      <c r="D169" s="406" t="s">
        <v>161</v>
      </c>
      <c r="E169" s="416">
        <v>16.70850378221057</v>
      </c>
      <c r="F169" s="25">
        <v>0</v>
      </c>
      <c r="G169" s="25">
        <v>-0.10858499999999999</v>
      </c>
      <c r="I169" s="406" t="s">
        <v>161</v>
      </c>
      <c r="J169" s="399">
        <v>0.96826708940732842</v>
      </c>
      <c r="K169" s="951">
        <v>1.3706670510674688</v>
      </c>
      <c r="L169" s="25">
        <v>0.13583749907847464</v>
      </c>
      <c r="M169" s="25">
        <v>2.0295917081364863</v>
      </c>
      <c r="N169" s="951">
        <v>3.5269324128278545</v>
      </c>
      <c r="O169" s="25">
        <v>1.2158238542779995</v>
      </c>
      <c r="P169" s="25">
        <v>24.800057706753513</v>
      </c>
      <c r="Q169" s="153">
        <v>44.6</v>
      </c>
      <c r="R169" s="25">
        <v>6.6838342427186568</v>
      </c>
      <c r="S169" s="25">
        <v>25.38508064850452</v>
      </c>
      <c r="T169" s="153">
        <v>36.200000000000003</v>
      </c>
      <c r="U169" s="417">
        <v>8.7815931861354422</v>
      </c>
    </row>
    <row r="170" spans="2:21" ht="11.25" customHeight="1">
      <c r="B170" s="1208"/>
      <c r="C170" s="60"/>
      <c r="D170" s="407" t="s">
        <v>162</v>
      </c>
      <c r="E170" s="416">
        <v>5.8542786035456542</v>
      </c>
      <c r="F170" s="25">
        <v>0.49429516215387637</v>
      </c>
      <c r="G170" s="25">
        <v>0</v>
      </c>
      <c r="I170" s="407" t="s">
        <v>162</v>
      </c>
      <c r="J170" s="399">
        <v>1.4992513024861707</v>
      </c>
      <c r="K170" s="951">
        <v>1.8078944845769691</v>
      </c>
      <c r="L170" s="25">
        <v>6.4941525499946862E-2</v>
      </c>
      <c r="M170" s="25">
        <v>2.9879783935797639</v>
      </c>
      <c r="N170" s="951">
        <v>3.9686935539421868</v>
      </c>
      <c r="O170" s="25">
        <v>0.51588000554086688</v>
      </c>
      <c r="P170" s="25">
        <v>48.335416486195506</v>
      </c>
      <c r="Q170" s="153">
        <v>57.4</v>
      </c>
      <c r="R170" s="25">
        <v>1.9072764783605509</v>
      </c>
      <c r="S170" s="25">
        <v>43.340393983627905</v>
      </c>
      <c r="T170" s="153">
        <v>48.8</v>
      </c>
      <c r="U170" s="417">
        <v>2.8718854319904139</v>
      </c>
    </row>
    <row r="171" spans="2:21" ht="11.25" customHeight="1">
      <c r="B171" s="1208"/>
      <c r="C171" s="60"/>
      <c r="D171" s="407" t="s">
        <v>163</v>
      </c>
      <c r="E171" s="416">
        <v>10.723938276286889</v>
      </c>
      <c r="F171" s="25">
        <v>-1.680000000000015E-3</v>
      </c>
      <c r="G171" s="25">
        <v>0</v>
      </c>
      <c r="I171" s="407" t="s">
        <v>163</v>
      </c>
      <c r="J171" s="399">
        <v>1.062044475978124</v>
      </c>
      <c r="K171" s="951">
        <v>1.1138440450260683</v>
      </c>
      <c r="L171" s="25">
        <v>1.5894568689304691E-2</v>
      </c>
      <c r="M171" s="25">
        <v>2.0845664967665298</v>
      </c>
      <c r="N171" s="951">
        <v>2.5156624302050106</v>
      </c>
      <c r="O171" s="25">
        <v>0.32503260903652637</v>
      </c>
      <c r="P171" s="25">
        <v>50.00893342638448</v>
      </c>
      <c r="Q171" s="153">
        <v>60.9</v>
      </c>
      <c r="R171" s="25">
        <v>3.3418966399874375</v>
      </c>
      <c r="S171" s="25">
        <v>41.559029381285974</v>
      </c>
      <c r="T171" s="153">
        <v>50.9</v>
      </c>
      <c r="U171" s="417">
        <v>7.0427944585736224</v>
      </c>
    </row>
    <row r="172" spans="2:21" ht="11.25" customHeight="1">
      <c r="B172" s="1208"/>
      <c r="C172" s="60"/>
      <c r="D172" s="407" t="s">
        <v>164</v>
      </c>
      <c r="E172" s="416">
        <v>22.50958209870236</v>
      </c>
      <c r="F172" s="25">
        <v>0</v>
      </c>
      <c r="G172" s="25">
        <v>0</v>
      </c>
      <c r="I172" s="407" t="s">
        <v>164</v>
      </c>
      <c r="J172" s="399">
        <v>2.2470445028030412</v>
      </c>
      <c r="K172" s="951">
        <v>2.3950225327906103</v>
      </c>
      <c r="L172" s="25">
        <v>6.1799935937735022E-2</v>
      </c>
      <c r="M172" s="25">
        <v>4.5248522313019945</v>
      </c>
      <c r="N172" s="951">
        <v>4.8450245991857779</v>
      </c>
      <c r="O172" s="25">
        <v>0.32724572620499315</v>
      </c>
      <c r="P172" s="25">
        <v>44.512860755910793</v>
      </c>
      <c r="Q172" s="153">
        <v>76.7</v>
      </c>
      <c r="R172" s="25">
        <v>13.44228696294153</v>
      </c>
      <c r="S172" s="25">
        <v>24.995735355530297</v>
      </c>
      <c r="T172" s="153">
        <v>46.4</v>
      </c>
      <c r="U172" s="417">
        <v>21.877135037480294</v>
      </c>
    </row>
    <row r="173" spans="2:21" ht="11.25" customHeight="1">
      <c r="B173" s="1208"/>
      <c r="C173" s="60"/>
      <c r="D173" s="407" t="s">
        <v>165</v>
      </c>
      <c r="E173" s="416">
        <v>20.431770052321049</v>
      </c>
      <c r="F173" s="25">
        <v>0</v>
      </c>
      <c r="G173" s="25">
        <v>0</v>
      </c>
      <c r="I173" s="407" t="s">
        <v>165</v>
      </c>
      <c r="J173" s="399">
        <v>0.65758571225456153</v>
      </c>
      <c r="K173" s="951">
        <v>0.81355852968402831</v>
      </c>
      <c r="L173" s="25">
        <v>6.8567149539405667E-2</v>
      </c>
      <c r="M173" s="25">
        <v>1.3610807204839204</v>
      </c>
      <c r="N173" s="951">
        <v>1.4529024633353236</v>
      </c>
      <c r="O173" s="25">
        <v>9.990515854067103E-2</v>
      </c>
      <c r="P173" s="25">
        <v>36.497151547499143</v>
      </c>
      <c r="Q173" s="153">
        <v>49.4</v>
      </c>
      <c r="R173" s="25">
        <v>5.6722161842527141</v>
      </c>
      <c r="S173" s="25">
        <v>20.789495892950576</v>
      </c>
      <c r="T173" s="153">
        <v>34.200000000000003</v>
      </c>
      <c r="U173" s="417">
        <v>14.591081559988258</v>
      </c>
    </row>
    <row r="174" spans="2:21" ht="11.25" customHeight="1">
      <c r="B174" s="1208"/>
      <c r="C174" s="60"/>
      <c r="D174" s="407" t="s">
        <v>166</v>
      </c>
      <c r="E174" s="416">
        <v>6.0322311437764906</v>
      </c>
      <c r="F174" s="25">
        <v>0</v>
      </c>
      <c r="G174" s="25">
        <v>0</v>
      </c>
      <c r="I174" s="407" t="s">
        <v>166</v>
      </c>
      <c r="J174" s="399">
        <v>3.7114288692751409</v>
      </c>
      <c r="K174" s="951">
        <v>3.3003733074499895</v>
      </c>
      <c r="L174" s="25">
        <v>-7.679918957995012E-2</v>
      </c>
      <c r="M174" s="25">
        <v>5.2425022291333665</v>
      </c>
      <c r="N174" s="951">
        <v>5.1978111479052274</v>
      </c>
      <c r="O174" s="25">
        <v>-2.0628960258315177E-2</v>
      </c>
      <c r="P174" s="25">
        <v>35.077663492946002</v>
      </c>
      <c r="Q174" s="153">
        <v>48.6</v>
      </c>
      <c r="R174" s="25">
        <v>2.5264333618501524</v>
      </c>
      <c r="S174" s="25">
        <v>19.393883706042818</v>
      </c>
      <c r="T174" s="153">
        <v>27.2</v>
      </c>
      <c r="U174" s="417">
        <v>3.6032259317646038</v>
      </c>
    </row>
    <row r="175" spans="2:21" ht="11.25" customHeight="1">
      <c r="B175" s="1208"/>
      <c r="C175" s="60"/>
      <c r="D175" s="407" t="s">
        <v>167</v>
      </c>
      <c r="E175" s="416">
        <v>5.8244205750214784</v>
      </c>
      <c r="F175" s="25">
        <v>0</v>
      </c>
      <c r="G175" s="25">
        <v>0</v>
      </c>
      <c r="I175" s="407" t="s">
        <v>167</v>
      </c>
      <c r="J175" s="399">
        <v>3.1743987793670763</v>
      </c>
      <c r="K175" s="951">
        <v>3.5652837425336195</v>
      </c>
      <c r="L175" s="25">
        <v>0.10310207187582149</v>
      </c>
      <c r="M175" s="25">
        <v>7.3596663473762378</v>
      </c>
      <c r="N175" s="951">
        <v>8.2210597682747721</v>
      </c>
      <c r="O175" s="25">
        <v>0.55854831888470546</v>
      </c>
      <c r="P175" s="25">
        <v>47.305478331275253</v>
      </c>
      <c r="Q175" s="153">
        <v>54</v>
      </c>
      <c r="R175" s="25">
        <v>1.7657856384949338</v>
      </c>
      <c r="S175" s="25">
        <v>29.361169195782949</v>
      </c>
      <c r="T175" s="153">
        <v>34.6</v>
      </c>
      <c r="U175" s="417">
        <v>3.3969845457660179</v>
      </c>
    </row>
    <row r="176" spans="2:21" ht="11.25" customHeight="1">
      <c r="B176" s="1208"/>
      <c r="C176" s="60"/>
      <c r="D176" s="407" t="s">
        <v>168</v>
      </c>
      <c r="E176" s="416">
        <v>16.708338988862778</v>
      </c>
      <c r="F176" s="25">
        <v>0</v>
      </c>
      <c r="G176" s="25">
        <v>-7.8467999999999996E-2</v>
      </c>
      <c r="I176" s="407" t="s">
        <v>168</v>
      </c>
      <c r="J176" s="399">
        <v>1.1385882009551559E-2</v>
      </c>
      <c r="K176" s="951">
        <v>9.7540129818553034E-2</v>
      </c>
      <c r="L176" s="25">
        <v>2.5224240732205635E-2</v>
      </c>
      <c r="M176" s="25">
        <v>2.0175866794825987E-2</v>
      </c>
      <c r="N176" s="951">
        <v>0.24897559620654922</v>
      </c>
      <c r="O176" s="25">
        <v>0.1645990486925564</v>
      </c>
      <c r="P176" s="25">
        <v>15.033012767285152</v>
      </c>
      <c r="Q176" s="153">
        <v>26.2</v>
      </c>
      <c r="R176" s="25">
        <v>3.2694705296009339</v>
      </c>
      <c r="S176" s="25">
        <v>13.887784367750156</v>
      </c>
      <c r="T176" s="153">
        <v>35</v>
      </c>
      <c r="U176" s="417">
        <v>15.188176217669898</v>
      </c>
    </row>
    <row r="177" spans="2:21" ht="11.25" customHeight="1">
      <c r="B177" s="1208"/>
      <c r="C177" s="60"/>
      <c r="D177" s="407" t="s">
        <v>169</v>
      </c>
      <c r="E177" s="416">
        <v>13.967149676059405</v>
      </c>
      <c r="F177" s="25">
        <v>0</v>
      </c>
      <c r="G177" s="25">
        <v>-0.36888399999999999</v>
      </c>
      <c r="I177" s="407" t="s">
        <v>169</v>
      </c>
      <c r="J177" s="399">
        <v>0.88040198327332919</v>
      </c>
      <c r="K177" s="951">
        <v>1.0809963444683965</v>
      </c>
      <c r="L177" s="25">
        <v>5.8730017207331821E-2</v>
      </c>
      <c r="M177" s="25">
        <v>1.6597597311545633</v>
      </c>
      <c r="N177" s="951">
        <v>2.3857072014423659</v>
      </c>
      <c r="O177" s="25">
        <v>0.51617561633873299</v>
      </c>
      <c r="P177" s="25">
        <v>38.219909912155323</v>
      </c>
      <c r="Q177" s="153">
        <v>61.5</v>
      </c>
      <c r="R177" s="25">
        <v>6.8159447917769977</v>
      </c>
      <c r="S177" s="25">
        <v>30.032320063238647</v>
      </c>
      <c r="T177" s="153">
        <v>39.799999999999997</v>
      </c>
      <c r="U177" s="417">
        <v>6.9451832507363447</v>
      </c>
    </row>
    <row r="178" spans="2:21" ht="11.25" customHeight="1">
      <c r="B178" s="1208"/>
      <c r="C178" s="60"/>
      <c r="D178" s="407" t="s">
        <v>170</v>
      </c>
      <c r="E178" s="416">
        <v>25.643565284387456</v>
      </c>
      <c r="F178" s="25">
        <v>0</v>
      </c>
      <c r="G178" s="25">
        <v>-0.17250910000000003</v>
      </c>
      <c r="I178" s="407" t="s">
        <v>170</v>
      </c>
      <c r="J178" s="399">
        <v>1.113224816691617</v>
      </c>
      <c r="K178" s="951">
        <v>1.7503952286954838</v>
      </c>
      <c r="L178" s="25">
        <v>0.29315118432366982</v>
      </c>
      <c r="M178" s="25">
        <v>2.4630109067570407</v>
      </c>
      <c r="N178" s="951">
        <v>4.6841421929881566</v>
      </c>
      <c r="O178" s="25">
        <v>2.4897307946407832</v>
      </c>
      <c r="P178" s="25">
        <v>37.772943049287001</v>
      </c>
      <c r="Q178" s="153">
        <v>64.400000000000006</v>
      </c>
      <c r="R178" s="25">
        <v>12.250652467691721</v>
      </c>
      <c r="S178" s="25">
        <v>27.181049390331271</v>
      </c>
      <c r="T178" s="153">
        <v>42.1</v>
      </c>
      <c r="U178" s="417">
        <v>16.723086558131598</v>
      </c>
    </row>
    <row r="179" spans="2:21" ht="11.25" customHeight="1">
      <c r="B179" s="1208"/>
      <c r="C179" s="60"/>
      <c r="D179" s="407" t="s">
        <v>171</v>
      </c>
      <c r="E179" s="416">
        <v>11.793906259653655</v>
      </c>
      <c r="F179" s="25">
        <v>0</v>
      </c>
      <c r="G179" s="25">
        <v>0</v>
      </c>
      <c r="I179" s="407" t="s">
        <v>171</v>
      </c>
      <c r="J179" s="399">
        <v>0.67081341706185116</v>
      </c>
      <c r="K179" s="951">
        <v>1.0843662312092197</v>
      </c>
      <c r="L179" s="25">
        <v>0.10768509691928592</v>
      </c>
      <c r="M179" s="25">
        <v>1.5506065887109333</v>
      </c>
      <c r="N179" s="951">
        <v>3.1495454410455976</v>
      </c>
      <c r="O179" s="25">
        <v>1.0072935379564842</v>
      </c>
      <c r="P179" s="25">
        <v>36.504231887393011</v>
      </c>
      <c r="Q179" s="153">
        <v>48.9</v>
      </c>
      <c r="R179" s="25">
        <v>3.2277364460622691</v>
      </c>
      <c r="S179" s="25">
        <v>25.572266948131247</v>
      </c>
      <c r="T179" s="153">
        <v>37.4</v>
      </c>
      <c r="U179" s="417">
        <v>7.4511911787156153</v>
      </c>
    </row>
    <row r="180" spans="2:21" ht="11.25" customHeight="1">
      <c r="B180" s="1208"/>
      <c r="C180" s="60"/>
      <c r="D180" s="407" t="s">
        <v>172</v>
      </c>
      <c r="E180" s="416">
        <v>3.4335364797836698</v>
      </c>
      <c r="F180" s="25">
        <v>0</v>
      </c>
      <c r="G180" s="25">
        <v>0</v>
      </c>
      <c r="I180" s="407" t="s">
        <v>172</v>
      </c>
      <c r="J180" s="399">
        <v>1.6294708596485488</v>
      </c>
      <c r="K180" s="951">
        <v>1.6737729050299723</v>
      </c>
      <c r="L180" s="25">
        <v>8.5588328051736384E-3</v>
      </c>
      <c r="M180" s="25">
        <v>4.3377800320691122</v>
      </c>
      <c r="N180" s="951">
        <v>5.2938713451599648</v>
      </c>
      <c r="O180" s="25">
        <v>0.44972841496826799</v>
      </c>
      <c r="P180" s="25">
        <v>28.702546549298081</v>
      </c>
      <c r="Q180" s="153">
        <v>34.200000000000003</v>
      </c>
      <c r="R180" s="25">
        <v>1.0620680046188582</v>
      </c>
      <c r="S180" s="25">
        <v>26.532709851107704</v>
      </c>
      <c r="T180" s="153">
        <v>30.6</v>
      </c>
      <c r="U180" s="417">
        <v>1.9131812273913698</v>
      </c>
    </row>
    <row r="181" spans="2:21" ht="11.25" customHeight="1">
      <c r="B181" s="1208"/>
      <c r="C181" s="60"/>
      <c r="D181" s="407" t="s">
        <v>28</v>
      </c>
      <c r="E181" s="416">
        <v>4.2421533449555788</v>
      </c>
      <c r="F181" s="25">
        <v>3.0547919190763255</v>
      </c>
      <c r="G181" s="25">
        <v>0</v>
      </c>
      <c r="I181" s="407" t="s">
        <v>28</v>
      </c>
      <c r="J181" s="399">
        <v>3.8980743687687198</v>
      </c>
      <c r="K181" s="951">
        <v>4.4452901269698639</v>
      </c>
      <c r="L181" s="25">
        <v>5.8219272737612696E-2</v>
      </c>
      <c r="M181" s="25">
        <v>8.8087080294471001</v>
      </c>
      <c r="N181" s="951">
        <v>9.7970941273048844</v>
      </c>
      <c r="O181" s="25">
        <v>0.24536442440476947</v>
      </c>
      <c r="P181" s="25">
        <v>51.623637348543177</v>
      </c>
      <c r="Q181" s="153">
        <v>63.8</v>
      </c>
      <c r="R181" s="25">
        <v>1.2954652119076409</v>
      </c>
      <c r="S181" s="25">
        <v>48.258374827626966</v>
      </c>
      <c r="T181" s="153">
        <v>46.6</v>
      </c>
      <c r="U181" s="417">
        <v>-0.41168748317076931</v>
      </c>
    </row>
    <row r="182" spans="2:21" ht="11.25" customHeight="1" thickBot="1">
      <c r="B182" s="1208"/>
      <c r="C182" s="60"/>
      <c r="D182" s="407" t="s">
        <v>173</v>
      </c>
      <c r="E182" s="416">
        <v>10.15084437359852</v>
      </c>
      <c r="F182" s="25">
        <v>-1.623999999999981E-2</v>
      </c>
      <c r="G182" s="25">
        <v>-7.0640000000000036E-2</v>
      </c>
      <c r="I182" s="413" t="s">
        <v>173</v>
      </c>
      <c r="J182" s="399">
        <v>1.3797457588098063</v>
      </c>
      <c r="K182" s="951">
        <v>1.5519794116281138</v>
      </c>
      <c r="L182" s="25">
        <v>7.0242955887181061E-2</v>
      </c>
      <c r="M182" s="25">
        <v>3.1676208598514304</v>
      </c>
      <c r="N182" s="951">
        <v>3.5123379732532776</v>
      </c>
      <c r="O182" s="25">
        <v>0.34230071141485446</v>
      </c>
      <c r="P182" s="25">
        <v>41.079335580976554</v>
      </c>
      <c r="Q182" s="153">
        <v>56.8</v>
      </c>
      <c r="R182" s="25">
        <v>6.4114411976592702</v>
      </c>
      <c r="S182" s="25">
        <v>39.162161894261864</v>
      </c>
      <c r="T182" s="153">
        <v>42.6</v>
      </c>
      <c r="U182" s="417">
        <v>3.4137395086372124</v>
      </c>
    </row>
    <row r="183" spans="2:21" ht="11.25" customHeight="1" thickBot="1">
      <c r="B183" s="1208"/>
      <c r="C183" s="60"/>
      <c r="D183" s="408" t="s">
        <v>174</v>
      </c>
      <c r="E183" s="418">
        <f>SUM(E169:E182)</f>
        <v>174.02421893916554</v>
      </c>
      <c r="F183" s="419">
        <f>SUM(F169:F182)</f>
        <v>3.5311670812302021</v>
      </c>
      <c r="G183" s="420">
        <f>SUM(G169:G182)</f>
        <v>-0.79908610000000002</v>
      </c>
    </row>
    <row r="184" spans="2:21" ht="11.25" customHeight="1" thickBot="1">
      <c r="B184" s="1208"/>
      <c r="C184" s="60"/>
      <c r="P184" s="9"/>
    </row>
    <row r="185" spans="2:21" ht="11.25" customHeight="1" thickBot="1">
      <c r="B185" s="1208"/>
      <c r="C185" s="60"/>
      <c r="I185" s="1"/>
      <c r="J185" s="1162" t="s">
        <v>230</v>
      </c>
      <c r="K185" s="1163"/>
      <c r="L185" s="1163"/>
      <c r="M185" s="1163"/>
      <c r="N185" s="1163"/>
      <c r="O185" s="1164"/>
      <c r="P185" s="1165" t="s">
        <v>231</v>
      </c>
      <c r="Q185" s="1163"/>
      <c r="R185" s="1163"/>
      <c r="S185" s="1163"/>
      <c r="T185" s="1163"/>
      <c r="U185" s="1166"/>
    </row>
    <row r="186" spans="2:21" ht="11.25" customHeight="1" thickBot="1">
      <c r="B186" s="1208"/>
      <c r="C186" s="60"/>
      <c r="D186" s="16" t="s">
        <v>143</v>
      </c>
      <c r="F186" s="16"/>
      <c r="I186" s="1" t="s">
        <v>143</v>
      </c>
      <c r="J186" s="1167" t="s">
        <v>234</v>
      </c>
      <c r="K186" s="1168"/>
      <c r="L186" s="1169"/>
      <c r="M186" s="1170" t="s">
        <v>235</v>
      </c>
      <c r="N186" s="1171"/>
      <c r="O186" s="1172"/>
      <c r="P186" s="1173" t="s">
        <v>234</v>
      </c>
      <c r="Q186" s="1168"/>
      <c r="R186" s="1169"/>
      <c r="S186" s="1170" t="s">
        <v>235</v>
      </c>
      <c r="T186" s="1171"/>
      <c r="U186" s="1174"/>
    </row>
    <row r="187" spans="2:21" ht="46.5" thickBot="1">
      <c r="B187" s="1208"/>
      <c r="C187" s="60"/>
      <c r="D187" s="16"/>
      <c r="E187" s="414" t="s">
        <v>236</v>
      </c>
      <c r="F187" s="179" t="s">
        <v>237</v>
      </c>
      <c r="G187" s="415" t="s">
        <v>238</v>
      </c>
      <c r="I187" s="1"/>
      <c r="J187" s="1003" t="s">
        <v>239</v>
      </c>
      <c r="K187" s="1004" t="s">
        <v>240</v>
      </c>
      <c r="L187" s="1004" t="s">
        <v>241</v>
      </c>
      <c r="M187" s="1005" t="s">
        <v>239</v>
      </c>
      <c r="N187" s="1004" t="s">
        <v>240</v>
      </c>
      <c r="O187" s="1006" t="s">
        <v>241</v>
      </c>
      <c r="P187" s="1003" t="s">
        <v>239</v>
      </c>
      <c r="Q187" s="1004" t="s">
        <v>240</v>
      </c>
      <c r="R187" s="1004" t="s">
        <v>241</v>
      </c>
      <c r="S187" s="1005" t="s">
        <v>239</v>
      </c>
      <c r="T187" s="1004" t="s">
        <v>240</v>
      </c>
      <c r="U187" s="1006" t="s">
        <v>241</v>
      </c>
    </row>
    <row r="188" spans="2:21" ht="11.25" customHeight="1">
      <c r="B188" s="1208"/>
      <c r="C188" s="60"/>
      <c r="D188" s="406" t="s">
        <v>161</v>
      </c>
      <c r="E188" s="428"/>
      <c r="F188" s="132"/>
      <c r="G188" s="424"/>
      <c r="I188" s="406" t="s">
        <v>161</v>
      </c>
      <c r="J188" s="423"/>
      <c r="K188" s="132"/>
      <c r="L188" s="132"/>
      <c r="M188" s="132"/>
      <c r="N188" s="132"/>
      <c r="O188" s="132"/>
      <c r="P188" s="132"/>
      <c r="Q188" s="132"/>
      <c r="R188" s="132"/>
      <c r="S188" s="132"/>
      <c r="T188" s="132"/>
      <c r="U188" s="424"/>
    </row>
    <row r="189" spans="2:21" ht="11.25" customHeight="1">
      <c r="B189" s="1208"/>
      <c r="C189" s="60"/>
      <c r="D189" s="407" t="s">
        <v>162</v>
      </c>
      <c r="E189" s="428"/>
      <c r="F189" s="132"/>
      <c r="G189" s="424"/>
      <c r="I189" s="407" t="s">
        <v>162</v>
      </c>
      <c r="J189" s="423"/>
      <c r="K189" s="132"/>
      <c r="L189" s="132"/>
      <c r="M189" s="132"/>
      <c r="N189" s="132"/>
      <c r="O189" s="132"/>
      <c r="P189" s="132"/>
      <c r="Q189" s="132"/>
      <c r="R189" s="132"/>
      <c r="S189" s="132"/>
      <c r="T189" s="132"/>
      <c r="U189" s="424"/>
    </row>
    <row r="190" spans="2:21" ht="11.25" customHeight="1">
      <c r="B190" s="1208"/>
      <c r="C190" s="60"/>
      <c r="D190" s="407" t="s">
        <v>163</v>
      </c>
      <c r="E190" s="428"/>
      <c r="F190" s="132"/>
      <c r="G190" s="424"/>
      <c r="I190" s="407" t="s">
        <v>163</v>
      </c>
      <c r="J190" s="423"/>
      <c r="K190" s="132"/>
      <c r="L190" s="132"/>
      <c r="M190" s="132"/>
      <c r="N190" s="132"/>
      <c r="O190" s="132"/>
      <c r="P190" s="132"/>
      <c r="Q190" s="132"/>
      <c r="R190" s="132"/>
      <c r="S190" s="132"/>
      <c r="T190" s="132"/>
      <c r="U190" s="424"/>
    </row>
    <row r="191" spans="2:21" ht="11.25" customHeight="1">
      <c r="B191" s="1208"/>
      <c r="C191" s="60"/>
      <c r="D191" s="407" t="s">
        <v>164</v>
      </c>
      <c r="E191" s="428"/>
      <c r="F191" s="132"/>
      <c r="G191" s="424"/>
      <c r="I191" s="407" t="s">
        <v>164</v>
      </c>
      <c r="J191" s="423"/>
      <c r="K191" s="132"/>
      <c r="L191" s="132"/>
      <c r="M191" s="132"/>
      <c r="N191" s="132"/>
      <c r="O191" s="132"/>
      <c r="P191" s="132"/>
      <c r="Q191" s="132"/>
      <c r="R191" s="132"/>
      <c r="S191" s="132"/>
      <c r="T191" s="132"/>
      <c r="U191" s="424"/>
    </row>
    <row r="192" spans="2:21" ht="11.25" customHeight="1">
      <c r="B192" s="1208"/>
      <c r="C192" s="60"/>
      <c r="D192" s="407" t="s">
        <v>165</v>
      </c>
      <c r="E192" s="428"/>
      <c r="F192" s="132"/>
      <c r="G192" s="424"/>
      <c r="I192" s="407" t="s">
        <v>165</v>
      </c>
      <c r="J192" s="423"/>
      <c r="K192" s="132"/>
      <c r="L192" s="132"/>
      <c r="M192" s="132"/>
      <c r="N192" s="132"/>
      <c r="O192" s="132"/>
      <c r="P192" s="132"/>
      <c r="Q192" s="132"/>
      <c r="R192" s="132"/>
      <c r="S192" s="132"/>
      <c r="T192" s="132"/>
      <c r="U192" s="424"/>
    </row>
    <row r="193" spans="2:27" ht="11.25" customHeight="1">
      <c r="B193" s="1208"/>
      <c r="C193" s="60"/>
      <c r="D193" s="407" t="s">
        <v>166</v>
      </c>
      <c r="E193" s="428"/>
      <c r="F193" s="132"/>
      <c r="G193" s="424"/>
      <c r="I193" s="407" t="s">
        <v>166</v>
      </c>
      <c r="J193" s="423"/>
      <c r="K193" s="132"/>
      <c r="L193" s="132"/>
      <c r="M193" s="132"/>
      <c r="N193" s="132"/>
      <c r="O193" s="132"/>
      <c r="P193" s="132"/>
      <c r="Q193" s="132"/>
      <c r="R193" s="132"/>
      <c r="S193" s="132"/>
      <c r="T193" s="132"/>
      <c r="U193" s="424"/>
    </row>
    <row r="194" spans="2:27" ht="11.25" customHeight="1">
      <c r="B194" s="1208"/>
      <c r="C194" s="60"/>
      <c r="D194" s="407" t="s">
        <v>167</v>
      </c>
      <c r="E194" s="428"/>
      <c r="F194" s="132"/>
      <c r="G194" s="424"/>
      <c r="I194" s="407" t="s">
        <v>167</v>
      </c>
      <c r="J194" s="423"/>
      <c r="K194" s="132"/>
      <c r="L194" s="132"/>
      <c r="M194" s="132"/>
      <c r="N194" s="132"/>
      <c r="O194" s="132"/>
      <c r="P194" s="132"/>
      <c r="Q194" s="132"/>
      <c r="R194" s="132"/>
      <c r="S194" s="132"/>
      <c r="T194" s="132"/>
      <c r="U194" s="424"/>
    </row>
    <row r="195" spans="2:27" ht="11.25" customHeight="1">
      <c r="B195" s="1208"/>
      <c r="C195" s="60"/>
      <c r="D195" s="407" t="s">
        <v>168</v>
      </c>
      <c r="E195" s="428"/>
      <c r="F195" s="132"/>
      <c r="G195" s="424"/>
      <c r="I195" s="407" t="s">
        <v>168</v>
      </c>
      <c r="J195" s="423"/>
      <c r="K195" s="132"/>
      <c r="L195" s="132"/>
      <c r="M195" s="132"/>
      <c r="N195" s="132"/>
      <c r="O195" s="132"/>
      <c r="P195" s="132"/>
      <c r="Q195" s="132"/>
      <c r="R195" s="132"/>
      <c r="S195" s="132"/>
      <c r="T195" s="132"/>
      <c r="U195" s="424"/>
    </row>
    <row r="196" spans="2:27" ht="11.25" customHeight="1">
      <c r="B196" s="1208"/>
      <c r="C196" s="60"/>
      <c r="D196" s="407" t="s">
        <v>169</v>
      </c>
      <c r="E196" s="428"/>
      <c r="F196" s="132"/>
      <c r="G196" s="424"/>
      <c r="I196" s="407" t="s">
        <v>169</v>
      </c>
      <c r="J196" s="423"/>
      <c r="K196" s="132"/>
      <c r="L196" s="132"/>
      <c r="M196" s="132"/>
      <c r="N196" s="132"/>
      <c r="O196" s="132"/>
      <c r="P196" s="132"/>
      <c r="Q196" s="132"/>
      <c r="R196" s="132"/>
      <c r="S196" s="132"/>
      <c r="T196" s="132"/>
      <c r="U196" s="424"/>
    </row>
    <row r="197" spans="2:27" ht="11.25" customHeight="1">
      <c r="B197" s="1208"/>
      <c r="C197" s="60"/>
      <c r="D197" s="407" t="s">
        <v>170</v>
      </c>
      <c r="E197" s="428"/>
      <c r="F197" s="132"/>
      <c r="G197" s="424"/>
      <c r="I197" s="407" t="s">
        <v>170</v>
      </c>
      <c r="J197" s="423"/>
      <c r="K197" s="132"/>
      <c r="L197" s="132"/>
      <c r="M197" s="132"/>
      <c r="N197" s="132"/>
      <c r="O197" s="132"/>
      <c r="P197" s="132"/>
      <c r="Q197" s="132"/>
      <c r="R197" s="132"/>
      <c r="S197" s="132"/>
      <c r="T197" s="132"/>
      <c r="U197" s="424"/>
    </row>
    <row r="198" spans="2:27" ht="11.25" customHeight="1">
      <c r="B198" s="1208"/>
      <c r="C198" s="60"/>
      <c r="D198" s="407" t="s">
        <v>171</v>
      </c>
      <c r="E198" s="428"/>
      <c r="F198" s="132"/>
      <c r="G198" s="424"/>
      <c r="I198" s="407" t="s">
        <v>171</v>
      </c>
      <c r="J198" s="423"/>
      <c r="K198" s="132"/>
      <c r="L198" s="132"/>
      <c r="M198" s="132"/>
      <c r="N198" s="132"/>
      <c r="O198" s="132"/>
      <c r="P198" s="132"/>
      <c r="Q198" s="132"/>
      <c r="R198" s="132"/>
      <c r="S198" s="132"/>
      <c r="T198" s="132"/>
      <c r="U198" s="424"/>
    </row>
    <row r="199" spans="2:27" ht="11.25" customHeight="1">
      <c r="B199" s="1208"/>
      <c r="C199" s="60"/>
      <c r="D199" s="407" t="s">
        <v>172</v>
      </c>
      <c r="E199" s="428"/>
      <c r="F199" s="132"/>
      <c r="G199" s="424"/>
      <c r="I199" s="407" t="s">
        <v>172</v>
      </c>
      <c r="J199" s="423"/>
      <c r="K199" s="132"/>
      <c r="L199" s="132"/>
      <c r="M199" s="132"/>
      <c r="N199" s="132"/>
      <c r="O199" s="132"/>
      <c r="P199" s="132"/>
      <c r="Q199" s="132"/>
      <c r="R199" s="132"/>
      <c r="S199" s="132"/>
      <c r="T199" s="132"/>
      <c r="U199" s="424"/>
    </row>
    <row r="200" spans="2:27" ht="11.25" customHeight="1">
      <c r="B200" s="1208"/>
      <c r="C200" s="60"/>
      <c r="D200" s="407" t="s">
        <v>28</v>
      </c>
      <c r="E200" s="428"/>
      <c r="F200" s="132"/>
      <c r="G200" s="424"/>
      <c r="I200" s="407" t="s">
        <v>28</v>
      </c>
      <c r="J200" s="423"/>
      <c r="K200" s="132"/>
      <c r="L200" s="132"/>
      <c r="M200" s="132"/>
      <c r="N200" s="132"/>
      <c r="O200" s="132"/>
      <c r="P200" s="132"/>
      <c r="Q200" s="132"/>
      <c r="R200" s="132"/>
      <c r="S200" s="132"/>
      <c r="T200" s="132"/>
      <c r="U200" s="424"/>
    </row>
    <row r="201" spans="2:27" ht="11.25" customHeight="1" thickBot="1">
      <c r="B201" s="1208"/>
      <c r="C201" s="60"/>
      <c r="D201" s="407" t="s">
        <v>173</v>
      </c>
      <c r="E201" s="428"/>
      <c r="F201" s="132"/>
      <c r="G201" s="424"/>
      <c r="I201" s="413" t="s">
        <v>173</v>
      </c>
      <c r="J201" s="425"/>
      <c r="K201" s="426"/>
      <c r="L201" s="426"/>
      <c r="M201" s="426"/>
      <c r="N201" s="426"/>
      <c r="O201" s="426"/>
      <c r="P201" s="426"/>
      <c r="Q201" s="426"/>
      <c r="R201" s="426"/>
      <c r="S201" s="426"/>
      <c r="T201" s="426"/>
      <c r="U201" s="427"/>
    </row>
    <row r="202" spans="2:27" ht="11.25" customHeight="1" thickBot="1">
      <c r="B202" s="1208"/>
      <c r="C202" s="60"/>
      <c r="D202" s="408" t="s">
        <v>174</v>
      </c>
      <c r="E202" s="418">
        <f>SUM(E188:E201)</f>
        <v>0</v>
      </c>
      <c r="F202" s="419">
        <f>SUM(F188:F201)</f>
        <v>0</v>
      </c>
      <c r="G202" s="420">
        <f>SUM(G188:G201)</f>
        <v>0</v>
      </c>
    </row>
    <row r="203" spans="2:27" ht="11.25" customHeight="1" thickBot="1">
      <c r="B203" s="1214"/>
      <c r="C203" s="60"/>
      <c r="G203" s="9"/>
    </row>
    <row r="204" spans="2:27" ht="15" customHeight="1">
      <c r="C204" s="60"/>
    </row>
    <row r="205" spans="2:27">
      <c r="C205" s="60"/>
    </row>
    <row r="206" spans="2:27" ht="12.75" customHeight="1">
      <c r="B206" s="1203" t="s">
        <v>243</v>
      </c>
      <c r="C206" s="60"/>
      <c r="D206" s="1"/>
    </row>
    <row r="207" spans="2:27" ht="12" thickBot="1">
      <c r="B207" s="1204"/>
      <c r="C207" s="61"/>
      <c r="D207" s="108"/>
      <c r="E207" s="1" t="s">
        <v>244</v>
      </c>
    </row>
    <row r="208" spans="2:27" ht="58.5" customHeight="1" thickBot="1">
      <c r="B208" s="1204"/>
      <c r="C208" s="61"/>
      <c r="E208" s="1182" t="s">
        <v>245</v>
      </c>
      <c r="F208" s="1183"/>
      <c r="G208" s="1182" t="s">
        <v>246</v>
      </c>
      <c r="H208" s="1183"/>
      <c r="I208" s="1182" t="s">
        <v>247</v>
      </c>
      <c r="J208" s="1183"/>
      <c r="K208" s="1182" t="s">
        <v>248</v>
      </c>
      <c r="L208" s="1183"/>
      <c r="M208" s="1182" t="s">
        <v>249</v>
      </c>
      <c r="N208" s="1183"/>
      <c r="O208" s="1182" t="s">
        <v>250</v>
      </c>
      <c r="P208" s="1183"/>
      <c r="Q208" s="1182" t="s">
        <v>251</v>
      </c>
      <c r="R208" s="1183"/>
      <c r="S208" s="1182" t="s">
        <v>252</v>
      </c>
      <c r="T208" s="1183"/>
      <c r="U208" s="1182" t="s">
        <v>253</v>
      </c>
      <c r="V208" s="1183"/>
      <c r="W208" s="162" t="s">
        <v>254</v>
      </c>
      <c r="X208" s="1182" t="s">
        <v>255</v>
      </c>
      <c r="Y208" s="1183"/>
      <c r="Z208" s="1182" t="s">
        <v>256</v>
      </c>
      <c r="AA208" s="1183"/>
    </row>
    <row r="209" spans="2:27" ht="35" thickBot="1">
      <c r="B209" s="1204"/>
      <c r="C209" s="61"/>
      <c r="E209" s="429" t="s">
        <v>257</v>
      </c>
      <c r="F209" s="430" t="s">
        <v>258</v>
      </c>
      <c r="G209" s="429" t="s">
        <v>257</v>
      </c>
      <c r="H209" s="430" t="s">
        <v>258</v>
      </c>
      <c r="I209" s="429" t="s">
        <v>257</v>
      </c>
      <c r="J209" s="430" t="s">
        <v>258</v>
      </c>
      <c r="K209" s="429" t="s">
        <v>257</v>
      </c>
      <c r="L209" s="430" t="s">
        <v>258</v>
      </c>
      <c r="M209" s="429" t="s">
        <v>257</v>
      </c>
      <c r="N209" s="430" t="s">
        <v>258</v>
      </c>
      <c r="O209" s="429" t="s">
        <v>257</v>
      </c>
      <c r="P209" s="430" t="s">
        <v>258</v>
      </c>
      <c r="Q209" s="429" t="s">
        <v>257</v>
      </c>
      <c r="R209" s="430" t="s">
        <v>258</v>
      </c>
      <c r="S209" s="429" t="s">
        <v>259</v>
      </c>
      <c r="T209" s="430" t="s">
        <v>258</v>
      </c>
      <c r="U209" s="429" t="s">
        <v>257</v>
      </c>
      <c r="V209" s="430" t="s">
        <v>258</v>
      </c>
      <c r="W209" s="163" t="s">
        <v>260</v>
      </c>
      <c r="X209" s="429" t="s">
        <v>261</v>
      </c>
      <c r="Y209" s="430" t="s">
        <v>258</v>
      </c>
      <c r="Z209" s="429" t="s">
        <v>262</v>
      </c>
      <c r="AA209" s="430" t="s">
        <v>258</v>
      </c>
    </row>
    <row r="210" spans="2:27">
      <c r="B210" s="1204"/>
      <c r="C210" s="61"/>
      <c r="D210" s="406" t="s">
        <v>161</v>
      </c>
      <c r="E210" s="431">
        <v>256</v>
      </c>
      <c r="F210" s="164">
        <v>1.1015625</v>
      </c>
      <c r="G210" s="128">
        <v>0</v>
      </c>
      <c r="H210" s="164" t="s">
        <v>210</v>
      </c>
      <c r="I210" s="128">
        <v>0</v>
      </c>
      <c r="J210" s="164" t="s">
        <v>210</v>
      </c>
      <c r="K210" s="128">
        <v>3</v>
      </c>
      <c r="L210" s="164">
        <v>1</v>
      </c>
      <c r="M210" s="128">
        <v>0</v>
      </c>
      <c r="N210" s="164" t="s">
        <v>210</v>
      </c>
      <c r="O210" s="128">
        <v>0</v>
      </c>
      <c r="P210" s="164" t="s">
        <v>210</v>
      </c>
      <c r="Q210" s="128">
        <v>21</v>
      </c>
      <c r="R210" s="164">
        <v>1</v>
      </c>
      <c r="S210" s="128">
        <v>0</v>
      </c>
      <c r="T210" s="164" t="s">
        <v>210</v>
      </c>
      <c r="U210" s="128">
        <v>383</v>
      </c>
      <c r="V210" s="164">
        <v>1</v>
      </c>
      <c r="W210" s="128">
        <v>0</v>
      </c>
      <c r="X210" s="128">
        <v>1079</v>
      </c>
      <c r="Y210" s="164">
        <v>1</v>
      </c>
      <c r="Z210" s="128">
        <v>1042</v>
      </c>
      <c r="AA210" s="432">
        <v>1</v>
      </c>
    </row>
    <row r="211" spans="2:27">
      <c r="B211" s="1204"/>
      <c r="C211" s="61"/>
      <c r="D211" s="407" t="s">
        <v>263</v>
      </c>
      <c r="E211" s="431">
        <v>2426</v>
      </c>
      <c r="F211" s="164">
        <v>1</v>
      </c>
      <c r="G211" s="128">
        <v>0</v>
      </c>
      <c r="H211" s="164" t="s">
        <v>210</v>
      </c>
      <c r="I211" s="128">
        <v>321</v>
      </c>
      <c r="J211" s="164">
        <v>1</v>
      </c>
      <c r="K211" s="128">
        <v>0</v>
      </c>
      <c r="L211" s="164" t="s">
        <v>210</v>
      </c>
      <c r="M211" s="128">
        <v>0</v>
      </c>
      <c r="N211" s="164" t="s">
        <v>210</v>
      </c>
      <c r="O211" s="128">
        <v>0</v>
      </c>
      <c r="P211" s="164" t="s">
        <v>210</v>
      </c>
      <c r="Q211" s="128">
        <v>2</v>
      </c>
      <c r="R211" s="164">
        <v>1</v>
      </c>
      <c r="S211" s="128">
        <v>0</v>
      </c>
      <c r="T211" s="164" t="s">
        <v>210</v>
      </c>
      <c r="U211" s="128">
        <v>28</v>
      </c>
      <c r="V211" s="164">
        <v>1</v>
      </c>
      <c r="W211" s="128">
        <v>0</v>
      </c>
      <c r="X211" s="128">
        <v>18</v>
      </c>
      <c r="Y211" s="164">
        <v>0.77272727272727271</v>
      </c>
      <c r="Z211" s="128">
        <v>14</v>
      </c>
      <c r="AA211" s="432">
        <v>1</v>
      </c>
    </row>
    <row r="212" spans="2:27">
      <c r="B212" s="1204"/>
      <c r="C212" s="61"/>
      <c r="D212" s="407" t="s">
        <v>264</v>
      </c>
      <c r="E212" s="431">
        <v>1455</v>
      </c>
      <c r="F212" s="164">
        <v>1</v>
      </c>
      <c r="G212" s="128">
        <v>0</v>
      </c>
      <c r="H212" s="164" t="s">
        <v>210</v>
      </c>
      <c r="I212" s="128">
        <v>1067</v>
      </c>
      <c r="J212" s="164">
        <v>1</v>
      </c>
      <c r="K212" s="128">
        <v>0</v>
      </c>
      <c r="L212" s="164" t="s">
        <v>210</v>
      </c>
      <c r="M212" s="128">
        <v>0</v>
      </c>
      <c r="N212" s="164" t="s">
        <v>210</v>
      </c>
      <c r="O212" s="128">
        <v>0</v>
      </c>
      <c r="P212" s="164" t="s">
        <v>210</v>
      </c>
      <c r="Q212" s="128">
        <v>0</v>
      </c>
      <c r="R212" s="164" t="s">
        <v>210</v>
      </c>
      <c r="S212" s="128">
        <v>0</v>
      </c>
      <c r="T212" s="164" t="s">
        <v>210</v>
      </c>
      <c r="U212" s="128">
        <v>24</v>
      </c>
      <c r="V212" s="164">
        <v>1</v>
      </c>
      <c r="W212" s="128">
        <v>0</v>
      </c>
      <c r="X212" s="128">
        <v>27</v>
      </c>
      <c r="Y212" s="164">
        <v>0.69230769230769229</v>
      </c>
      <c r="Z212" s="128">
        <v>17</v>
      </c>
      <c r="AA212" s="432">
        <v>1</v>
      </c>
    </row>
    <row r="213" spans="2:27">
      <c r="B213" s="1204"/>
      <c r="C213" s="61"/>
      <c r="D213" s="407" t="s">
        <v>164</v>
      </c>
      <c r="E213" s="431">
        <v>0</v>
      </c>
      <c r="F213" s="164" t="s">
        <v>210</v>
      </c>
      <c r="G213" s="128">
        <v>0</v>
      </c>
      <c r="H213" s="164" t="s">
        <v>210</v>
      </c>
      <c r="I213" s="128">
        <v>0</v>
      </c>
      <c r="J213" s="164" t="s">
        <v>210</v>
      </c>
      <c r="K213" s="128">
        <v>0</v>
      </c>
      <c r="L213" s="164" t="s">
        <v>210</v>
      </c>
      <c r="M213" s="128">
        <v>0</v>
      </c>
      <c r="N213" s="164" t="s">
        <v>210</v>
      </c>
      <c r="O213" s="128">
        <v>0</v>
      </c>
      <c r="P213" s="164" t="s">
        <v>210</v>
      </c>
      <c r="Q213" s="128">
        <v>0</v>
      </c>
      <c r="R213" s="164" t="s">
        <v>210</v>
      </c>
      <c r="S213" s="128">
        <v>0</v>
      </c>
      <c r="T213" s="164" t="s">
        <v>210</v>
      </c>
      <c r="U213" s="128">
        <v>0</v>
      </c>
      <c r="V213" s="164" t="s">
        <v>210</v>
      </c>
      <c r="W213" s="128">
        <v>0</v>
      </c>
      <c r="X213" s="128">
        <v>12664</v>
      </c>
      <c r="Y213" s="164">
        <v>0</v>
      </c>
      <c r="Z213" s="128">
        <v>0</v>
      </c>
      <c r="AA213" s="432" t="s">
        <v>210</v>
      </c>
    </row>
    <row r="214" spans="2:27">
      <c r="B214" s="1204"/>
      <c r="C214" s="61"/>
      <c r="D214" s="407" t="s">
        <v>165</v>
      </c>
      <c r="E214" s="431">
        <v>0</v>
      </c>
      <c r="F214" s="164" t="s">
        <v>210</v>
      </c>
      <c r="G214" s="128">
        <v>0</v>
      </c>
      <c r="H214" s="164" t="s">
        <v>210</v>
      </c>
      <c r="I214" s="128">
        <v>0</v>
      </c>
      <c r="J214" s="164" t="s">
        <v>210</v>
      </c>
      <c r="K214" s="128">
        <v>0</v>
      </c>
      <c r="L214" s="164" t="s">
        <v>210</v>
      </c>
      <c r="M214" s="128">
        <v>0</v>
      </c>
      <c r="N214" s="164" t="s">
        <v>210</v>
      </c>
      <c r="O214" s="128">
        <v>0</v>
      </c>
      <c r="P214" s="164" t="s">
        <v>210</v>
      </c>
      <c r="Q214" s="128">
        <v>0</v>
      </c>
      <c r="R214" s="164" t="s">
        <v>210</v>
      </c>
      <c r="S214" s="128">
        <v>0</v>
      </c>
      <c r="T214" s="164" t="s">
        <v>210</v>
      </c>
      <c r="U214" s="128">
        <v>3</v>
      </c>
      <c r="V214" s="164">
        <v>1</v>
      </c>
      <c r="W214" s="128">
        <v>0</v>
      </c>
      <c r="X214" s="128">
        <v>17409</v>
      </c>
      <c r="Y214" s="164">
        <v>0</v>
      </c>
      <c r="Z214" s="128">
        <v>0</v>
      </c>
      <c r="AA214" s="432" t="s">
        <v>210</v>
      </c>
    </row>
    <row r="215" spans="2:27">
      <c r="B215" s="1204"/>
      <c r="C215" s="61"/>
      <c r="D215" s="407" t="s">
        <v>166</v>
      </c>
      <c r="E215" s="431">
        <v>0</v>
      </c>
      <c r="F215" s="164" t="s">
        <v>210</v>
      </c>
      <c r="G215" s="128">
        <v>0</v>
      </c>
      <c r="H215" s="164" t="s">
        <v>210</v>
      </c>
      <c r="I215" s="128">
        <v>0</v>
      </c>
      <c r="J215" s="164" t="s">
        <v>210</v>
      </c>
      <c r="K215" s="128">
        <v>0</v>
      </c>
      <c r="L215" s="164" t="s">
        <v>210</v>
      </c>
      <c r="M215" s="128">
        <v>0</v>
      </c>
      <c r="N215" s="164" t="s">
        <v>210</v>
      </c>
      <c r="O215" s="128">
        <v>0</v>
      </c>
      <c r="P215" s="164" t="s">
        <v>210</v>
      </c>
      <c r="Q215" s="128">
        <v>0</v>
      </c>
      <c r="R215" s="164" t="s">
        <v>210</v>
      </c>
      <c r="S215" s="128">
        <v>0</v>
      </c>
      <c r="T215" s="164" t="s">
        <v>210</v>
      </c>
      <c r="U215" s="128">
        <v>1</v>
      </c>
      <c r="V215" s="164">
        <v>1</v>
      </c>
      <c r="W215" s="128">
        <v>0</v>
      </c>
      <c r="X215" s="128">
        <v>7505</v>
      </c>
      <c r="Y215" s="164">
        <v>1.3324450366422385E-4</v>
      </c>
      <c r="Z215" s="128">
        <v>0</v>
      </c>
      <c r="AA215" s="432" t="s">
        <v>210</v>
      </c>
    </row>
    <row r="216" spans="2:27">
      <c r="B216" s="1204"/>
      <c r="C216" s="61"/>
      <c r="D216" s="407" t="s">
        <v>167</v>
      </c>
      <c r="E216" s="431">
        <v>33</v>
      </c>
      <c r="F216" s="164">
        <v>1</v>
      </c>
      <c r="G216" s="128">
        <v>0</v>
      </c>
      <c r="H216" s="164" t="s">
        <v>210</v>
      </c>
      <c r="I216" s="128">
        <v>0</v>
      </c>
      <c r="J216" s="164" t="s">
        <v>210</v>
      </c>
      <c r="K216" s="128">
        <v>0</v>
      </c>
      <c r="L216" s="164" t="s">
        <v>210</v>
      </c>
      <c r="M216" s="128">
        <v>0</v>
      </c>
      <c r="N216" s="164" t="s">
        <v>210</v>
      </c>
      <c r="O216" s="128">
        <v>0</v>
      </c>
      <c r="P216" s="164" t="s">
        <v>210</v>
      </c>
      <c r="Q216" s="128">
        <v>0</v>
      </c>
      <c r="R216" s="164" t="s">
        <v>210</v>
      </c>
      <c r="S216" s="128">
        <v>2</v>
      </c>
      <c r="T216" s="164">
        <v>1</v>
      </c>
      <c r="U216" s="128">
        <v>5</v>
      </c>
      <c r="V216" s="164">
        <v>1</v>
      </c>
      <c r="W216" s="128">
        <v>0</v>
      </c>
      <c r="X216" s="128">
        <v>19295</v>
      </c>
      <c r="Y216" s="164">
        <v>0</v>
      </c>
      <c r="Z216" s="128">
        <v>0</v>
      </c>
      <c r="AA216" s="432" t="s">
        <v>210</v>
      </c>
    </row>
    <row r="217" spans="2:27">
      <c r="B217" s="1204"/>
      <c r="C217" s="61"/>
      <c r="D217" s="407" t="s">
        <v>168</v>
      </c>
      <c r="E217" s="431">
        <v>2555</v>
      </c>
      <c r="F217" s="164">
        <v>3.2093933463796478E-2</v>
      </c>
      <c r="G217" s="128">
        <v>0</v>
      </c>
      <c r="H217" s="164" t="s">
        <v>210</v>
      </c>
      <c r="I217" s="128">
        <v>0</v>
      </c>
      <c r="J217" s="164" t="s">
        <v>210</v>
      </c>
      <c r="K217" s="128">
        <v>0</v>
      </c>
      <c r="L217" s="164" t="s">
        <v>210</v>
      </c>
      <c r="M217" s="128">
        <v>0</v>
      </c>
      <c r="N217" s="164" t="s">
        <v>210</v>
      </c>
      <c r="O217" s="128">
        <v>0</v>
      </c>
      <c r="P217" s="164" t="s">
        <v>210</v>
      </c>
      <c r="Q217" s="128">
        <v>17</v>
      </c>
      <c r="R217" s="164">
        <v>1</v>
      </c>
      <c r="S217" s="128">
        <v>9</v>
      </c>
      <c r="T217" s="164">
        <v>1</v>
      </c>
      <c r="U217" s="128">
        <v>28</v>
      </c>
      <c r="V217" s="164">
        <v>1</v>
      </c>
      <c r="W217" s="128">
        <v>0</v>
      </c>
      <c r="X217" s="128">
        <v>46</v>
      </c>
      <c r="Y217" s="164">
        <v>1</v>
      </c>
      <c r="Z217" s="128">
        <v>0</v>
      </c>
      <c r="AA217" s="432" t="s">
        <v>210</v>
      </c>
    </row>
    <row r="218" spans="2:27">
      <c r="B218" s="1204"/>
      <c r="C218" s="61"/>
      <c r="D218" s="407" t="s">
        <v>169</v>
      </c>
      <c r="E218" s="431">
        <v>3740</v>
      </c>
      <c r="F218" s="164">
        <v>8.9572192513368981E-2</v>
      </c>
      <c r="G218" s="128">
        <v>0</v>
      </c>
      <c r="H218" s="164" t="s">
        <v>210</v>
      </c>
      <c r="I218" s="128">
        <v>0</v>
      </c>
      <c r="J218" s="164" t="s">
        <v>210</v>
      </c>
      <c r="K218" s="128">
        <v>0</v>
      </c>
      <c r="L218" s="164" t="s">
        <v>210</v>
      </c>
      <c r="M218" s="128">
        <v>0</v>
      </c>
      <c r="N218" s="164" t="s">
        <v>210</v>
      </c>
      <c r="O218" s="128">
        <v>0</v>
      </c>
      <c r="P218" s="164" t="s">
        <v>210</v>
      </c>
      <c r="Q218" s="128">
        <v>59</v>
      </c>
      <c r="R218" s="164">
        <v>1</v>
      </c>
      <c r="S218" s="128">
        <v>16</v>
      </c>
      <c r="T218" s="164">
        <v>1</v>
      </c>
      <c r="U218" s="128">
        <v>103</v>
      </c>
      <c r="V218" s="164">
        <v>1</v>
      </c>
      <c r="W218" s="128">
        <v>0</v>
      </c>
      <c r="X218" s="128">
        <v>209</v>
      </c>
      <c r="Y218" s="164">
        <v>1</v>
      </c>
      <c r="Z218" s="128">
        <v>4</v>
      </c>
      <c r="AA218" s="432">
        <v>1</v>
      </c>
    </row>
    <row r="219" spans="2:27">
      <c r="B219" s="1204"/>
      <c r="C219" s="61"/>
      <c r="D219" s="407" t="s">
        <v>170</v>
      </c>
      <c r="E219" s="431">
        <v>3220</v>
      </c>
      <c r="F219" s="164">
        <v>9.9378881987577633E-2</v>
      </c>
      <c r="G219" s="128">
        <v>0</v>
      </c>
      <c r="H219" s="164" t="s">
        <v>210</v>
      </c>
      <c r="I219" s="128">
        <v>22</v>
      </c>
      <c r="J219" s="164">
        <v>0</v>
      </c>
      <c r="K219" s="128">
        <v>0</v>
      </c>
      <c r="L219" s="164" t="s">
        <v>210</v>
      </c>
      <c r="M219" s="128">
        <v>0</v>
      </c>
      <c r="N219" s="164" t="s">
        <v>210</v>
      </c>
      <c r="O219" s="128">
        <v>0</v>
      </c>
      <c r="P219" s="164" t="s">
        <v>210</v>
      </c>
      <c r="Q219" s="128">
        <v>26</v>
      </c>
      <c r="R219" s="164">
        <v>1</v>
      </c>
      <c r="S219" s="128">
        <v>11</v>
      </c>
      <c r="T219" s="164">
        <v>1</v>
      </c>
      <c r="U219" s="128">
        <v>236</v>
      </c>
      <c r="V219" s="164">
        <v>1</v>
      </c>
      <c r="W219" s="128">
        <v>0</v>
      </c>
      <c r="X219" s="128">
        <v>241</v>
      </c>
      <c r="Y219" s="164">
        <v>1</v>
      </c>
      <c r="Z219" s="128">
        <v>125</v>
      </c>
      <c r="AA219" s="432">
        <v>1</v>
      </c>
    </row>
    <row r="220" spans="2:27">
      <c r="B220" s="1204"/>
      <c r="C220" s="61"/>
      <c r="D220" s="407" t="s">
        <v>171</v>
      </c>
      <c r="E220" s="431">
        <v>448</v>
      </c>
      <c r="F220" s="164">
        <v>4.464285714285714E-3</v>
      </c>
      <c r="G220" s="128">
        <v>0</v>
      </c>
      <c r="H220" s="164" t="s">
        <v>210</v>
      </c>
      <c r="I220" s="128">
        <v>0</v>
      </c>
      <c r="J220" s="164" t="s">
        <v>210</v>
      </c>
      <c r="K220" s="128">
        <v>0</v>
      </c>
      <c r="L220" s="164" t="s">
        <v>210</v>
      </c>
      <c r="M220" s="128">
        <v>0</v>
      </c>
      <c r="N220" s="164" t="s">
        <v>210</v>
      </c>
      <c r="O220" s="128">
        <v>0</v>
      </c>
      <c r="P220" s="164" t="s">
        <v>210</v>
      </c>
      <c r="Q220" s="128">
        <v>0</v>
      </c>
      <c r="R220" s="164" t="s">
        <v>210</v>
      </c>
      <c r="S220" s="128">
        <v>0</v>
      </c>
      <c r="T220" s="164" t="s">
        <v>210</v>
      </c>
      <c r="U220" s="128">
        <v>0</v>
      </c>
      <c r="V220" s="164" t="s">
        <v>210</v>
      </c>
      <c r="W220" s="128">
        <v>0</v>
      </c>
      <c r="X220" s="128">
        <v>0</v>
      </c>
      <c r="Y220" s="164" t="s">
        <v>210</v>
      </c>
      <c r="Z220" s="128">
        <v>2</v>
      </c>
      <c r="AA220" s="432">
        <v>0</v>
      </c>
    </row>
    <row r="221" spans="2:27">
      <c r="B221" s="1204"/>
      <c r="C221" s="61"/>
      <c r="D221" s="407" t="s">
        <v>172</v>
      </c>
      <c r="E221" s="431">
        <v>1348</v>
      </c>
      <c r="F221" s="164">
        <v>0</v>
      </c>
      <c r="G221" s="128">
        <v>0</v>
      </c>
      <c r="H221" s="164" t="s">
        <v>210</v>
      </c>
      <c r="I221" s="128">
        <v>5</v>
      </c>
      <c r="J221" s="164">
        <v>0</v>
      </c>
      <c r="K221" s="128">
        <v>0</v>
      </c>
      <c r="L221" s="164" t="s">
        <v>210</v>
      </c>
      <c r="M221" s="128">
        <v>0</v>
      </c>
      <c r="N221" s="164" t="s">
        <v>210</v>
      </c>
      <c r="O221" s="128">
        <v>0</v>
      </c>
      <c r="P221" s="164" t="s">
        <v>210</v>
      </c>
      <c r="Q221" s="128">
        <v>0</v>
      </c>
      <c r="R221" s="164" t="s">
        <v>210</v>
      </c>
      <c r="S221" s="128">
        <v>1</v>
      </c>
      <c r="T221" s="164">
        <v>1</v>
      </c>
      <c r="U221" s="128">
        <v>0</v>
      </c>
      <c r="V221" s="164" t="s">
        <v>210</v>
      </c>
      <c r="W221" s="128">
        <v>1</v>
      </c>
      <c r="X221" s="128">
        <v>0</v>
      </c>
      <c r="Y221" s="164" t="s">
        <v>210</v>
      </c>
      <c r="Z221" s="128">
        <v>2</v>
      </c>
      <c r="AA221" s="432">
        <v>0</v>
      </c>
    </row>
    <row r="222" spans="2:27">
      <c r="B222" s="1204"/>
      <c r="D222" s="407" t="s">
        <v>28</v>
      </c>
      <c r="E222" s="431">
        <v>983</v>
      </c>
      <c r="F222" s="164">
        <v>0.27873855544252291</v>
      </c>
      <c r="G222" s="128">
        <v>0</v>
      </c>
      <c r="H222" s="164" t="s">
        <v>210</v>
      </c>
      <c r="I222" s="128">
        <v>24</v>
      </c>
      <c r="J222" s="164">
        <v>0</v>
      </c>
      <c r="K222" s="128">
        <v>0</v>
      </c>
      <c r="L222" s="164" t="s">
        <v>210</v>
      </c>
      <c r="M222" s="128">
        <v>0</v>
      </c>
      <c r="N222" s="164" t="s">
        <v>210</v>
      </c>
      <c r="O222" s="128">
        <v>0</v>
      </c>
      <c r="P222" s="164" t="s">
        <v>210</v>
      </c>
      <c r="Q222" s="128">
        <v>0</v>
      </c>
      <c r="R222" s="164" t="s">
        <v>210</v>
      </c>
      <c r="S222" s="128">
        <v>1</v>
      </c>
      <c r="T222" s="164">
        <v>0</v>
      </c>
      <c r="U222" s="128">
        <v>126</v>
      </c>
      <c r="V222" s="164">
        <v>1.0714285714285714</v>
      </c>
      <c r="W222" s="128">
        <v>0</v>
      </c>
      <c r="X222" s="128">
        <v>1</v>
      </c>
      <c r="Y222" s="164">
        <v>1</v>
      </c>
      <c r="Z222" s="128">
        <v>663</v>
      </c>
      <c r="AA222" s="432">
        <v>1.5082956259426848E-3</v>
      </c>
    </row>
    <row r="223" spans="2:27" ht="12" thickBot="1">
      <c r="B223" s="1204"/>
      <c r="D223" s="413" t="s">
        <v>173</v>
      </c>
      <c r="E223" s="431">
        <v>838</v>
      </c>
      <c r="F223" s="164">
        <v>1</v>
      </c>
      <c r="G223" s="128">
        <v>0</v>
      </c>
      <c r="H223" s="164" t="s">
        <v>210</v>
      </c>
      <c r="I223" s="128">
        <v>0</v>
      </c>
      <c r="J223" s="164" t="s">
        <v>210</v>
      </c>
      <c r="K223" s="128">
        <v>0</v>
      </c>
      <c r="L223" s="164" t="s">
        <v>210</v>
      </c>
      <c r="M223" s="128">
        <v>0</v>
      </c>
      <c r="N223" s="164" t="s">
        <v>210</v>
      </c>
      <c r="O223" s="128">
        <v>0</v>
      </c>
      <c r="P223" s="164" t="s">
        <v>210</v>
      </c>
      <c r="Q223" s="128">
        <v>2</v>
      </c>
      <c r="R223" s="164">
        <v>1</v>
      </c>
      <c r="S223" s="128">
        <v>3</v>
      </c>
      <c r="T223" s="164">
        <v>1</v>
      </c>
      <c r="U223" s="128">
        <v>53</v>
      </c>
      <c r="V223" s="164">
        <v>1</v>
      </c>
      <c r="W223" s="128">
        <v>3</v>
      </c>
      <c r="X223" s="128">
        <v>0</v>
      </c>
      <c r="Y223" s="164" t="s">
        <v>210</v>
      </c>
      <c r="Z223" s="128">
        <v>4</v>
      </c>
      <c r="AA223" s="432">
        <v>1</v>
      </c>
    </row>
    <row r="224" spans="2:27">
      <c r="B224" s="1204"/>
      <c r="D224" s="17"/>
    </row>
    <row r="225" spans="2:27" ht="12" thickBot="1">
      <c r="B225" s="1204"/>
      <c r="E225" s="1" t="s">
        <v>265</v>
      </c>
    </row>
    <row r="226" spans="2:27" ht="60" customHeight="1" thickBot="1">
      <c r="B226" s="1204"/>
      <c r="E226" s="1182" t="s">
        <v>245</v>
      </c>
      <c r="F226" s="1183"/>
      <c r="G226" s="1182" t="s">
        <v>246</v>
      </c>
      <c r="H226" s="1183"/>
      <c r="I226" s="1182" t="s">
        <v>247</v>
      </c>
      <c r="J226" s="1183"/>
      <c r="K226" s="1182" t="s">
        <v>248</v>
      </c>
      <c r="L226" s="1183"/>
      <c r="M226" s="1182" t="s">
        <v>249</v>
      </c>
      <c r="N226" s="1183"/>
      <c r="O226" s="1182" t="s">
        <v>250</v>
      </c>
      <c r="P226" s="1183"/>
      <c r="Q226" s="1182" t="s">
        <v>251</v>
      </c>
      <c r="R226" s="1183"/>
      <c r="S226" s="1182" t="s">
        <v>252</v>
      </c>
      <c r="T226" s="1183"/>
      <c r="U226" s="1182" t="s">
        <v>253</v>
      </c>
      <c r="V226" s="1183"/>
      <c r="W226" s="162" t="s">
        <v>254</v>
      </c>
      <c r="X226" s="1182" t="s">
        <v>255</v>
      </c>
      <c r="Y226" s="1183"/>
      <c r="Z226" s="1182" t="s">
        <v>256</v>
      </c>
      <c r="AA226" s="1183"/>
    </row>
    <row r="227" spans="2:27" ht="35" thickBot="1">
      <c r="B227" s="1204"/>
      <c r="E227" s="429" t="s">
        <v>257</v>
      </c>
      <c r="F227" s="430" t="s">
        <v>258</v>
      </c>
      <c r="G227" s="429" t="s">
        <v>257</v>
      </c>
      <c r="H227" s="430" t="s">
        <v>258</v>
      </c>
      <c r="I227" s="429" t="s">
        <v>257</v>
      </c>
      <c r="J227" s="430" t="s">
        <v>258</v>
      </c>
      <c r="K227" s="429" t="s">
        <v>257</v>
      </c>
      <c r="L227" s="430" t="s">
        <v>258</v>
      </c>
      <c r="M227" s="429" t="s">
        <v>257</v>
      </c>
      <c r="N227" s="430" t="s">
        <v>258</v>
      </c>
      <c r="O227" s="429" t="s">
        <v>257</v>
      </c>
      <c r="P227" s="430" t="s">
        <v>258</v>
      </c>
      <c r="Q227" s="429" t="s">
        <v>257</v>
      </c>
      <c r="R227" s="430" t="s">
        <v>258</v>
      </c>
      <c r="S227" s="429" t="s">
        <v>259</v>
      </c>
      <c r="T227" s="430" t="s">
        <v>258</v>
      </c>
      <c r="U227" s="429" t="s">
        <v>257</v>
      </c>
      <c r="V227" s="430" t="s">
        <v>258</v>
      </c>
      <c r="W227" s="163" t="s">
        <v>260</v>
      </c>
      <c r="X227" s="429" t="s">
        <v>261</v>
      </c>
      <c r="Y227" s="430" t="s">
        <v>258</v>
      </c>
      <c r="Z227" s="429" t="s">
        <v>262</v>
      </c>
      <c r="AA227" s="430" t="s">
        <v>258</v>
      </c>
    </row>
    <row r="228" spans="2:27">
      <c r="B228" s="1204"/>
      <c r="D228" s="406" t="s">
        <v>161</v>
      </c>
      <c r="E228" s="431">
        <v>1117</v>
      </c>
      <c r="F228" s="164">
        <v>0.91942703670546111</v>
      </c>
      <c r="G228" s="128">
        <v>0</v>
      </c>
      <c r="H228" s="164" t="s">
        <v>210</v>
      </c>
      <c r="I228" s="128">
        <v>0</v>
      </c>
      <c r="J228" s="164" t="s">
        <v>210</v>
      </c>
      <c r="K228" s="128">
        <v>0</v>
      </c>
      <c r="L228" s="164" t="s">
        <v>210</v>
      </c>
      <c r="M228" s="128">
        <v>0</v>
      </c>
      <c r="N228" s="164" t="s">
        <v>210</v>
      </c>
      <c r="O228" s="128">
        <v>0</v>
      </c>
      <c r="P228" s="164" t="s">
        <v>210</v>
      </c>
      <c r="Q228" s="128">
        <v>34</v>
      </c>
      <c r="R228" s="164">
        <v>1</v>
      </c>
      <c r="S228" s="128">
        <v>0</v>
      </c>
      <c r="T228" s="164" t="s">
        <v>210</v>
      </c>
      <c r="U228" s="128">
        <v>464</v>
      </c>
      <c r="V228" s="164">
        <v>1</v>
      </c>
      <c r="W228" s="128">
        <v>5</v>
      </c>
      <c r="X228" s="128">
        <v>36080</v>
      </c>
      <c r="Y228" s="164">
        <v>5.6790465631929049E-2</v>
      </c>
      <c r="Z228" s="128">
        <v>2413</v>
      </c>
      <c r="AA228" s="432">
        <v>1</v>
      </c>
    </row>
    <row r="229" spans="2:27">
      <c r="B229" s="1204"/>
      <c r="D229" s="407" t="s">
        <v>263</v>
      </c>
      <c r="E229" s="431">
        <v>2575</v>
      </c>
      <c r="F229" s="164">
        <v>1</v>
      </c>
      <c r="G229" s="128">
        <v>0</v>
      </c>
      <c r="H229" s="164" t="s">
        <v>210</v>
      </c>
      <c r="I229" s="128">
        <v>34</v>
      </c>
      <c r="J229" s="164">
        <v>0.5</v>
      </c>
      <c r="K229" s="128">
        <v>0</v>
      </c>
      <c r="L229" s="164" t="s">
        <v>210</v>
      </c>
      <c r="M229" s="128">
        <v>0</v>
      </c>
      <c r="N229" s="164" t="s">
        <v>210</v>
      </c>
      <c r="O229" s="128">
        <v>0</v>
      </c>
      <c r="P229" s="164" t="s">
        <v>210</v>
      </c>
      <c r="Q229" s="128">
        <v>0</v>
      </c>
      <c r="R229" s="164" t="s">
        <v>210</v>
      </c>
      <c r="S229" s="128">
        <v>0</v>
      </c>
      <c r="T229" s="164" t="s">
        <v>210</v>
      </c>
      <c r="U229" s="128">
        <v>36</v>
      </c>
      <c r="V229" s="164">
        <v>0.97222222222222221</v>
      </c>
      <c r="W229" s="128">
        <v>0</v>
      </c>
      <c r="X229" s="128">
        <v>36</v>
      </c>
      <c r="Y229" s="164">
        <v>0.58064516129032262</v>
      </c>
      <c r="Z229" s="128">
        <v>21</v>
      </c>
      <c r="AA229" s="432">
        <v>1</v>
      </c>
    </row>
    <row r="230" spans="2:27">
      <c r="B230" s="1204"/>
      <c r="D230" s="407" t="s">
        <v>264</v>
      </c>
      <c r="E230" s="431">
        <v>1187</v>
      </c>
      <c r="F230" s="164">
        <v>1</v>
      </c>
      <c r="G230" s="128">
        <v>0</v>
      </c>
      <c r="H230" s="164" t="s">
        <v>210</v>
      </c>
      <c r="I230" s="128">
        <v>0</v>
      </c>
      <c r="J230" s="164" t="s">
        <v>210</v>
      </c>
      <c r="K230" s="128">
        <v>0</v>
      </c>
      <c r="L230" s="164" t="s">
        <v>210</v>
      </c>
      <c r="M230" s="128">
        <v>0</v>
      </c>
      <c r="N230" s="164" t="s">
        <v>210</v>
      </c>
      <c r="O230" s="128">
        <v>0</v>
      </c>
      <c r="P230" s="164" t="s">
        <v>210</v>
      </c>
      <c r="Q230" s="128">
        <v>6</v>
      </c>
      <c r="R230" s="164">
        <v>1</v>
      </c>
      <c r="S230" s="128">
        <v>3</v>
      </c>
      <c r="T230" s="164">
        <v>1</v>
      </c>
      <c r="U230" s="128">
        <v>9</v>
      </c>
      <c r="V230" s="164">
        <v>1</v>
      </c>
      <c r="W230" s="128">
        <v>0</v>
      </c>
      <c r="X230" s="128">
        <v>50</v>
      </c>
      <c r="Y230" s="164">
        <v>1</v>
      </c>
      <c r="Z230" s="128">
        <v>17</v>
      </c>
      <c r="AA230" s="432">
        <v>1</v>
      </c>
    </row>
    <row r="231" spans="2:27">
      <c r="B231" s="1204"/>
      <c r="D231" s="407" t="s">
        <v>164</v>
      </c>
      <c r="E231" s="431">
        <v>11</v>
      </c>
      <c r="F231" s="164">
        <v>1</v>
      </c>
      <c r="G231" s="128">
        <v>0</v>
      </c>
      <c r="H231" s="164" t="s">
        <v>210</v>
      </c>
      <c r="I231" s="128">
        <v>0</v>
      </c>
      <c r="J231" s="164" t="s">
        <v>210</v>
      </c>
      <c r="K231" s="128">
        <v>0</v>
      </c>
      <c r="L231" s="164" t="s">
        <v>210</v>
      </c>
      <c r="M231" s="128">
        <v>0</v>
      </c>
      <c r="N231" s="164" t="s">
        <v>210</v>
      </c>
      <c r="O231" s="128">
        <v>0</v>
      </c>
      <c r="P231" s="164" t="s">
        <v>210</v>
      </c>
      <c r="Q231" s="128">
        <v>0</v>
      </c>
      <c r="R231" s="164" t="s">
        <v>210</v>
      </c>
      <c r="S231" s="128">
        <v>0</v>
      </c>
      <c r="T231" s="164" t="s">
        <v>210</v>
      </c>
      <c r="U231" s="128">
        <v>4</v>
      </c>
      <c r="V231" s="164">
        <v>1</v>
      </c>
      <c r="W231" s="128">
        <v>0</v>
      </c>
      <c r="X231" s="128">
        <v>0</v>
      </c>
      <c r="Y231" s="164" t="s">
        <v>210</v>
      </c>
      <c r="Z231" s="128">
        <v>0</v>
      </c>
      <c r="AA231" s="432" t="s">
        <v>210</v>
      </c>
    </row>
    <row r="232" spans="2:27">
      <c r="B232" s="1204"/>
      <c r="D232" s="407" t="s">
        <v>165</v>
      </c>
      <c r="E232" s="431">
        <v>1</v>
      </c>
      <c r="F232" s="164">
        <v>1</v>
      </c>
      <c r="G232" s="128">
        <v>0</v>
      </c>
      <c r="H232" s="164" t="s">
        <v>210</v>
      </c>
      <c r="I232" s="128">
        <v>0</v>
      </c>
      <c r="J232" s="164" t="s">
        <v>210</v>
      </c>
      <c r="K232" s="128">
        <v>0</v>
      </c>
      <c r="L232" s="164" t="s">
        <v>210</v>
      </c>
      <c r="M232" s="128">
        <v>0</v>
      </c>
      <c r="N232" s="164" t="s">
        <v>210</v>
      </c>
      <c r="O232" s="128">
        <v>0</v>
      </c>
      <c r="P232" s="164" t="s">
        <v>210</v>
      </c>
      <c r="Q232" s="128">
        <v>0</v>
      </c>
      <c r="R232" s="164" t="s">
        <v>210</v>
      </c>
      <c r="S232" s="128">
        <v>0</v>
      </c>
      <c r="T232" s="164" t="s">
        <v>210</v>
      </c>
      <c r="U232" s="128">
        <v>0</v>
      </c>
      <c r="V232" s="164" t="s">
        <v>210</v>
      </c>
      <c r="W232" s="128">
        <v>0</v>
      </c>
      <c r="X232" s="128">
        <v>0</v>
      </c>
      <c r="Y232" s="164" t="s">
        <v>210</v>
      </c>
      <c r="Z232" s="128">
        <v>0</v>
      </c>
      <c r="AA232" s="432" t="s">
        <v>210</v>
      </c>
    </row>
    <row r="233" spans="2:27">
      <c r="B233" s="1204"/>
      <c r="D233" s="407" t="s">
        <v>166</v>
      </c>
      <c r="E233" s="431">
        <v>84</v>
      </c>
      <c r="F233" s="164">
        <v>0</v>
      </c>
      <c r="G233" s="128">
        <v>0</v>
      </c>
      <c r="H233" s="164" t="s">
        <v>210</v>
      </c>
      <c r="I233" s="128">
        <v>0</v>
      </c>
      <c r="J233" s="164" t="s">
        <v>210</v>
      </c>
      <c r="K233" s="128">
        <v>0</v>
      </c>
      <c r="L233" s="164" t="s">
        <v>210</v>
      </c>
      <c r="M233" s="128">
        <v>0</v>
      </c>
      <c r="N233" s="164" t="s">
        <v>210</v>
      </c>
      <c r="O233" s="128">
        <v>0</v>
      </c>
      <c r="P233" s="164" t="s">
        <v>210</v>
      </c>
      <c r="Q233" s="128">
        <v>0</v>
      </c>
      <c r="R233" s="164" t="s">
        <v>210</v>
      </c>
      <c r="S233" s="128">
        <v>0</v>
      </c>
      <c r="T233" s="164" t="s">
        <v>210</v>
      </c>
      <c r="U233" s="128">
        <v>0</v>
      </c>
      <c r="V233" s="164" t="s">
        <v>210</v>
      </c>
      <c r="W233" s="128">
        <v>0</v>
      </c>
      <c r="X233" s="128">
        <v>0</v>
      </c>
      <c r="Y233" s="164" t="s">
        <v>210</v>
      </c>
      <c r="Z233" s="128">
        <v>0</v>
      </c>
      <c r="AA233" s="432" t="s">
        <v>210</v>
      </c>
    </row>
    <row r="234" spans="2:27">
      <c r="B234" s="1204"/>
      <c r="D234" s="407" t="s">
        <v>167</v>
      </c>
      <c r="E234" s="431">
        <v>23</v>
      </c>
      <c r="F234" s="164">
        <v>1</v>
      </c>
      <c r="G234" s="128">
        <v>0</v>
      </c>
      <c r="H234" s="164" t="s">
        <v>210</v>
      </c>
      <c r="I234" s="128">
        <v>0</v>
      </c>
      <c r="J234" s="164" t="s">
        <v>210</v>
      </c>
      <c r="K234" s="128">
        <v>0</v>
      </c>
      <c r="L234" s="164" t="s">
        <v>210</v>
      </c>
      <c r="M234" s="128">
        <v>0</v>
      </c>
      <c r="N234" s="164" t="s">
        <v>210</v>
      </c>
      <c r="O234" s="128">
        <v>0</v>
      </c>
      <c r="P234" s="164" t="s">
        <v>210</v>
      </c>
      <c r="Q234" s="128">
        <v>0</v>
      </c>
      <c r="R234" s="164" t="s">
        <v>210</v>
      </c>
      <c r="S234" s="128">
        <v>0</v>
      </c>
      <c r="T234" s="164" t="s">
        <v>210</v>
      </c>
      <c r="U234" s="128">
        <v>11</v>
      </c>
      <c r="V234" s="164">
        <v>1</v>
      </c>
      <c r="W234" s="128">
        <v>0</v>
      </c>
      <c r="X234" s="128">
        <v>0</v>
      </c>
      <c r="Y234" s="164" t="s">
        <v>210</v>
      </c>
      <c r="Z234" s="128">
        <v>0</v>
      </c>
      <c r="AA234" s="432" t="s">
        <v>210</v>
      </c>
    </row>
    <row r="235" spans="2:27">
      <c r="B235" s="1204"/>
      <c r="D235" s="407" t="s">
        <v>168</v>
      </c>
      <c r="E235" s="431">
        <v>2257</v>
      </c>
      <c r="F235" s="164">
        <v>8.6397873283119181E-2</v>
      </c>
      <c r="G235" s="128">
        <v>0</v>
      </c>
      <c r="H235" s="164" t="s">
        <v>210</v>
      </c>
      <c r="I235" s="128">
        <v>0</v>
      </c>
      <c r="J235" s="164" t="s">
        <v>210</v>
      </c>
      <c r="K235" s="128">
        <v>0</v>
      </c>
      <c r="L235" s="164" t="s">
        <v>210</v>
      </c>
      <c r="M235" s="128">
        <v>0</v>
      </c>
      <c r="N235" s="164" t="s">
        <v>210</v>
      </c>
      <c r="O235" s="128">
        <v>0</v>
      </c>
      <c r="P235" s="164" t="s">
        <v>210</v>
      </c>
      <c r="Q235" s="128">
        <v>14</v>
      </c>
      <c r="R235" s="164">
        <v>1</v>
      </c>
      <c r="S235" s="128">
        <v>31</v>
      </c>
      <c r="T235" s="164">
        <v>1</v>
      </c>
      <c r="U235" s="128">
        <v>6</v>
      </c>
      <c r="V235" s="164">
        <v>1</v>
      </c>
      <c r="W235" s="128">
        <v>0</v>
      </c>
      <c r="X235" s="128">
        <v>145</v>
      </c>
      <c r="Y235" s="164">
        <v>1</v>
      </c>
      <c r="Z235" s="128">
        <v>6</v>
      </c>
      <c r="AA235" s="432">
        <v>1</v>
      </c>
    </row>
    <row r="236" spans="2:27">
      <c r="B236" s="1204"/>
      <c r="D236" s="407" t="s">
        <v>169</v>
      </c>
      <c r="E236" s="431">
        <v>4358</v>
      </c>
      <c r="F236" s="164">
        <v>0.1333180357962368</v>
      </c>
      <c r="G236" s="128">
        <v>0</v>
      </c>
      <c r="H236" s="164" t="s">
        <v>210</v>
      </c>
      <c r="I236" s="128">
        <v>19</v>
      </c>
      <c r="J236" s="164">
        <v>1</v>
      </c>
      <c r="K236" s="128">
        <v>0</v>
      </c>
      <c r="L236" s="164" t="s">
        <v>210</v>
      </c>
      <c r="M236" s="128">
        <v>0</v>
      </c>
      <c r="N236" s="164" t="s">
        <v>210</v>
      </c>
      <c r="O236" s="128">
        <v>0</v>
      </c>
      <c r="P236" s="164" t="s">
        <v>210</v>
      </c>
      <c r="Q236" s="128">
        <v>37</v>
      </c>
      <c r="R236" s="164">
        <v>1</v>
      </c>
      <c r="S236" s="128">
        <v>27</v>
      </c>
      <c r="T236" s="164">
        <v>1</v>
      </c>
      <c r="U236" s="128">
        <v>61</v>
      </c>
      <c r="V236" s="164">
        <v>1</v>
      </c>
      <c r="W236" s="128">
        <v>0</v>
      </c>
      <c r="X236" s="128">
        <v>495</v>
      </c>
      <c r="Y236" s="164">
        <v>0.99797979797979797</v>
      </c>
      <c r="Z236" s="128">
        <v>19</v>
      </c>
      <c r="AA236" s="432">
        <v>1</v>
      </c>
    </row>
    <row r="237" spans="2:27">
      <c r="B237" s="1204"/>
      <c r="D237" s="407" t="s">
        <v>170</v>
      </c>
      <c r="E237" s="431">
        <v>6601</v>
      </c>
      <c r="F237" s="164">
        <v>0.11149825783972125</v>
      </c>
      <c r="G237" s="128">
        <v>0</v>
      </c>
      <c r="H237" s="164" t="s">
        <v>210</v>
      </c>
      <c r="I237" s="128">
        <v>0</v>
      </c>
      <c r="J237" s="164" t="s">
        <v>210</v>
      </c>
      <c r="K237" s="128">
        <v>22</v>
      </c>
      <c r="L237" s="164">
        <v>0.5</v>
      </c>
      <c r="M237" s="128">
        <v>0</v>
      </c>
      <c r="N237" s="164" t="s">
        <v>210</v>
      </c>
      <c r="O237" s="128">
        <v>0</v>
      </c>
      <c r="P237" s="164" t="s">
        <v>210</v>
      </c>
      <c r="Q237" s="128">
        <v>28</v>
      </c>
      <c r="R237" s="164">
        <v>1</v>
      </c>
      <c r="S237" s="128">
        <v>41</v>
      </c>
      <c r="T237" s="164">
        <v>1</v>
      </c>
      <c r="U237" s="128">
        <v>106</v>
      </c>
      <c r="V237" s="164">
        <v>1</v>
      </c>
      <c r="W237" s="128">
        <v>0</v>
      </c>
      <c r="X237" s="128">
        <v>322</v>
      </c>
      <c r="Y237" s="164">
        <v>1</v>
      </c>
      <c r="Z237" s="128">
        <v>80</v>
      </c>
      <c r="AA237" s="432">
        <v>1</v>
      </c>
    </row>
    <row r="238" spans="2:27">
      <c r="B238" s="1204"/>
      <c r="D238" s="407" t="s">
        <v>171</v>
      </c>
      <c r="E238" s="431">
        <v>155</v>
      </c>
      <c r="F238" s="164">
        <v>6.4516129032258064E-3</v>
      </c>
      <c r="G238" s="128">
        <v>0</v>
      </c>
      <c r="H238" s="164" t="s">
        <v>210</v>
      </c>
      <c r="I238" s="128">
        <v>0</v>
      </c>
      <c r="J238" s="164" t="s">
        <v>210</v>
      </c>
      <c r="K238" s="128">
        <v>0</v>
      </c>
      <c r="L238" s="164" t="s">
        <v>210</v>
      </c>
      <c r="M238" s="128">
        <v>0</v>
      </c>
      <c r="N238" s="164" t="s">
        <v>210</v>
      </c>
      <c r="O238" s="128">
        <v>0</v>
      </c>
      <c r="P238" s="164" t="s">
        <v>210</v>
      </c>
      <c r="Q238" s="128">
        <v>0</v>
      </c>
      <c r="R238" s="164" t="s">
        <v>210</v>
      </c>
      <c r="S238" s="128">
        <v>0</v>
      </c>
      <c r="T238" s="164" t="s">
        <v>210</v>
      </c>
      <c r="U238" s="128">
        <v>1</v>
      </c>
      <c r="V238" s="164">
        <v>1</v>
      </c>
      <c r="W238" s="128">
        <v>0</v>
      </c>
      <c r="X238" s="128">
        <v>0</v>
      </c>
      <c r="Y238" s="164" t="s">
        <v>210</v>
      </c>
      <c r="Z238" s="128">
        <v>2</v>
      </c>
      <c r="AA238" s="432">
        <v>0</v>
      </c>
    </row>
    <row r="239" spans="2:27">
      <c r="B239" s="1204"/>
      <c r="D239" s="407" t="s">
        <v>172</v>
      </c>
      <c r="E239" s="431">
        <v>1662</v>
      </c>
      <c r="F239" s="164">
        <v>0</v>
      </c>
      <c r="G239" s="128">
        <v>0</v>
      </c>
      <c r="H239" s="164" t="s">
        <v>210</v>
      </c>
      <c r="I239" s="128">
        <v>0</v>
      </c>
      <c r="J239" s="164" t="s">
        <v>210</v>
      </c>
      <c r="K239" s="128">
        <v>0</v>
      </c>
      <c r="L239" s="164" t="s">
        <v>210</v>
      </c>
      <c r="M239" s="128">
        <v>0</v>
      </c>
      <c r="N239" s="164" t="s">
        <v>210</v>
      </c>
      <c r="O239" s="128">
        <v>0</v>
      </c>
      <c r="P239" s="164" t="s">
        <v>210</v>
      </c>
      <c r="Q239" s="128">
        <v>0</v>
      </c>
      <c r="R239" s="164" t="s">
        <v>210</v>
      </c>
      <c r="S239" s="128">
        <v>0</v>
      </c>
      <c r="T239" s="164" t="s">
        <v>210</v>
      </c>
      <c r="U239" s="128">
        <v>0</v>
      </c>
      <c r="V239" s="164" t="s">
        <v>210</v>
      </c>
      <c r="W239" s="128">
        <v>0</v>
      </c>
      <c r="X239" s="128">
        <v>0</v>
      </c>
      <c r="Y239" s="164" t="s">
        <v>210</v>
      </c>
      <c r="Z239" s="128">
        <v>0</v>
      </c>
      <c r="AA239" s="432" t="s">
        <v>210</v>
      </c>
    </row>
    <row r="240" spans="2:27">
      <c r="B240" s="1204"/>
      <c r="D240" s="407" t="s">
        <v>28</v>
      </c>
      <c r="E240" s="431">
        <v>672</v>
      </c>
      <c r="F240" s="164">
        <v>1</v>
      </c>
      <c r="G240" s="128">
        <v>0</v>
      </c>
      <c r="H240" s="164" t="s">
        <v>210</v>
      </c>
      <c r="I240" s="128">
        <v>0</v>
      </c>
      <c r="J240" s="164" t="s">
        <v>210</v>
      </c>
      <c r="K240" s="128">
        <v>0</v>
      </c>
      <c r="L240" s="164" t="s">
        <v>210</v>
      </c>
      <c r="M240" s="128">
        <v>0</v>
      </c>
      <c r="N240" s="164" t="s">
        <v>210</v>
      </c>
      <c r="O240" s="128">
        <v>0</v>
      </c>
      <c r="P240" s="164" t="s">
        <v>210</v>
      </c>
      <c r="Q240" s="128">
        <v>5</v>
      </c>
      <c r="R240" s="164">
        <v>1</v>
      </c>
      <c r="S240" s="128">
        <v>3</v>
      </c>
      <c r="T240" s="164">
        <v>1</v>
      </c>
      <c r="U240" s="128">
        <v>82</v>
      </c>
      <c r="V240" s="164">
        <v>1</v>
      </c>
      <c r="W240" s="128">
        <v>0</v>
      </c>
      <c r="X240" s="128">
        <v>0</v>
      </c>
      <c r="Y240" s="164" t="s">
        <v>210</v>
      </c>
      <c r="Z240" s="128">
        <v>230</v>
      </c>
      <c r="AA240" s="432">
        <v>1</v>
      </c>
    </row>
    <row r="241" spans="2:27" ht="12" thickBot="1">
      <c r="B241" s="1204"/>
      <c r="D241" s="413" t="s">
        <v>173</v>
      </c>
      <c r="E241" s="431">
        <v>1896</v>
      </c>
      <c r="F241" s="164">
        <v>1</v>
      </c>
      <c r="G241" s="128">
        <v>0</v>
      </c>
      <c r="H241" s="164" t="s">
        <v>210</v>
      </c>
      <c r="I241" s="128">
        <v>3</v>
      </c>
      <c r="J241" s="164">
        <v>8.6666666666666661</v>
      </c>
      <c r="K241" s="128">
        <v>0</v>
      </c>
      <c r="L241" s="164" t="s">
        <v>210</v>
      </c>
      <c r="M241" s="128">
        <v>0</v>
      </c>
      <c r="N241" s="164" t="s">
        <v>210</v>
      </c>
      <c r="O241" s="128">
        <v>0</v>
      </c>
      <c r="P241" s="164" t="s">
        <v>210</v>
      </c>
      <c r="Q241" s="128">
        <v>41</v>
      </c>
      <c r="R241" s="164">
        <v>1</v>
      </c>
      <c r="S241" s="128">
        <v>4</v>
      </c>
      <c r="T241" s="164">
        <v>1</v>
      </c>
      <c r="U241" s="128">
        <v>214</v>
      </c>
      <c r="V241" s="164">
        <v>1</v>
      </c>
      <c r="W241" s="128">
        <v>1</v>
      </c>
      <c r="X241" s="128">
        <v>10608</v>
      </c>
      <c r="Y241" s="164">
        <v>3.7707390648567121E-4</v>
      </c>
      <c r="Z241" s="128">
        <v>2</v>
      </c>
      <c r="AA241" s="432">
        <v>1</v>
      </c>
    </row>
    <row r="242" spans="2:27" ht="13.5">
      <c r="B242" s="1204"/>
      <c r="D242" s="174" t="s">
        <v>266</v>
      </c>
      <c r="E242" s="174"/>
      <c r="F242" s="174"/>
      <c r="G242" s="174"/>
      <c r="H242" s="174"/>
      <c r="I242" s="174"/>
      <c r="J242" s="174"/>
      <c r="K242" s="174"/>
      <c r="L242" s="174"/>
      <c r="M242" s="174"/>
      <c r="N242" s="174"/>
      <c r="O242" s="174"/>
      <c r="P242" s="174"/>
    </row>
    <row r="243" spans="2:27">
      <c r="B243" s="1204"/>
    </row>
    <row r="244" spans="2:27" ht="12" customHeight="1">
      <c r="B244" s="1204"/>
      <c r="D244" s="174"/>
      <c r="E244" s="174"/>
      <c r="F244" s="174"/>
      <c r="G244" s="174"/>
      <c r="H244" s="174"/>
      <c r="I244" s="174"/>
      <c r="J244" s="174"/>
      <c r="K244" s="174"/>
      <c r="L244" s="174"/>
      <c r="M244" s="174"/>
      <c r="N244" s="174"/>
      <c r="O244" s="174"/>
      <c r="P244" s="174"/>
    </row>
    <row r="245" spans="2:27">
      <c r="B245" s="160"/>
      <c r="C245" s="61"/>
      <c r="D245" s="108"/>
      <c r="E245" s="1" t="s">
        <v>267</v>
      </c>
    </row>
    <row r="246" spans="2:27" ht="12" thickBot="1">
      <c r="B246" s="160"/>
      <c r="C246" s="61"/>
    </row>
    <row r="247" spans="2:27" ht="56.25" customHeight="1" thickBot="1">
      <c r="B247" s="160"/>
      <c r="C247" s="61"/>
      <c r="E247" s="1182" t="s">
        <v>245</v>
      </c>
      <c r="F247" s="1185"/>
      <c r="G247" s="1182" t="s">
        <v>246</v>
      </c>
      <c r="H247" s="1183"/>
      <c r="I247" s="1182" t="s">
        <v>247</v>
      </c>
      <c r="J247" s="1183"/>
      <c r="K247" s="1182" t="s">
        <v>248</v>
      </c>
      <c r="L247" s="1183"/>
      <c r="M247" s="1185" t="s">
        <v>249</v>
      </c>
      <c r="N247" s="1185"/>
      <c r="O247" s="1182" t="s">
        <v>250</v>
      </c>
      <c r="P247" s="1183"/>
      <c r="Q247" s="1185" t="s">
        <v>251</v>
      </c>
      <c r="R247" s="1185"/>
      <c r="S247" s="1182" t="s">
        <v>252</v>
      </c>
      <c r="T247" s="1183"/>
      <c r="U247" s="1185" t="s">
        <v>253</v>
      </c>
      <c r="V247" s="1185"/>
      <c r="W247" s="162" t="s">
        <v>254</v>
      </c>
      <c r="X247" s="1182" t="s">
        <v>255</v>
      </c>
      <c r="Y247" s="1183"/>
      <c r="Z247" s="1185" t="s">
        <v>256</v>
      </c>
      <c r="AA247" s="1183"/>
    </row>
    <row r="248" spans="2:27" ht="35" thickBot="1">
      <c r="B248" s="160"/>
      <c r="C248" s="61"/>
      <c r="E248" s="429" t="s">
        <v>257</v>
      </c>
      <c r="F248" s="438" t="s">
        <v>258</v>
      </c>
      <c r="G248" s="429" t="s">
        <v>257</v>
      </c>
      <c r="H248" s="430" t="s">
        <v>258</v>
      </c>
      <c r="I248" s="429" t="s">
        <v>257</v>
      </c>
      <c r="J248" s="430" t="s">
        <v>258</v>
      </c>
      <c r="K248" s="429" t="s">
        <v>257</v>
      </c>
      <c r="L248" s="430" t="s">
        <v>258</v>
      </c>
      <c r="M248" s="438" t="s">
        <v>257</v>
      </c>
      <c r="N248" s="438" t="s">
        <v>258</v>
      </c>
      <c r="O248" s="429" t="s">
        <v>257</v>
      </c>
      <c r="P248" s="430" t="s">
        <v>258</v>
      </c>
      <c r="Q248" s="438" t="s">
        <v>257</v>
      </c>
      <c r="R248" s="438" t="s">
        <v>258</v>
      </c>
      <c r="S248" s="429" t="s">
        <v>259</v>
      </c>
      <c r="T248" s="430" t="s">
        <v>258</v>
      </c>
      <c r="U248" s="438" t="s">
        <v>257</v>
      </c>
      <c r="V248" s="438" t="s">
        <v>258</v>
      </c>
      <c r="W248" s="163" t="s">
        <v>260</v>
      </c>
      <c r="X248" s="429" t="s">
        <v>261</v>
      </c>
      <c r="Y248" s="430" t="s">
        <v>258</v>
      </c>
      <c r="Z248" s="438" t="s">
        <v>262</v>
      </c>
      <c r="AA248" s="430" t="s">
        <v>258</v>
      </c>
    </row>
    <row r="249" spans="2:27">
      <c r="B249" s="160"/>
      <c r="C249" s="61"/>
      <c r="D249" s="406" t="s">
        <v>161</v>
      </c>
      <c r="E249" s="431">
        <v>828</v>
      </c>
      <c r="F249" s="844">
        <v>1.713768115942029</v>
      </c>
      <c r="G249" s="128">
        <v>0</v>
      </c>
      <c r="H249" s="164" t="s">
        <v>210</v>
      </c>
      <c r="I249" s="128">
        <v>16</v>
      </c>
      <c r="J249" s="164">
        <v>1</v>
      </c>
      <c r="K249" s="128">
        <v>0</v>
      </c>
      <c r="L249" s="164" t="s">
        <v>210</v>
      </c>
      <c r="M249" s="128">
        <v>0</v>
      </c>
      <c r="N249" s="164" t="s">
        <v>210</v>
      </c>
      <c r="O249" s="128">
        <v>0</v>
      </c>
      <c r="P249" s="164" t="s">
        <v>210</v>
      </c>
      <c r="Q249" s="128">
        <v>0</v>
      </c>
      <c r="R249" s="164" t="s">
        <v>210</v>
      </c>
      <c r="S249" s="128">
        <v>2</v>
      </c>
      <c r="T249" s="164">
        <v>1.5</v>
      </c>
      <c r="U249" s="128">
        <v>515</v>
      </c>
      <c r="V249" s="164">
        <v>1</v>
      </c>
      <c r="W249" s="128">
        <v>0</v>
      </c>
      <c r="X249" s="128">
        <v>10282</v>
      </c>
      <c r="Y249" s="164">
        <v>8.996304220968683E-2</v>
      </c>
      <c r="Z249" s="128">
        <v>909</v>
      </c>
      <c r="AA249" s="432">
        <v>1</v>
      </c>
    </row>
    <row r="250" spans="2:27">
      <c r="B250" s="160"/>
      <c r="C250" s="61"/>
      <c r="D250" s="407" t="s">
        <v>263</v>
      </c>
      <c r="E250" s="431">
        <v>2816</v>
      </c>
      <c r="F250" s="844">
        <v>1</v>
      </c>
      <c r="G250" s="128">
        <v>0</v>
      </c>
      <c r="H250" s="164" t="s">
        <v>210</v>
      </c>
      <c r="I250" s="128">
        <v>0</v>
      </c>
      <c r="J250" s="164" t="s">
        <v>210</v>
      </c>
      <c r="K250" s="128">
        <v>0</v>
      </c>
      <c r="L250" s="164" t="s">
        <v>210</v>
      </c>
      <c r="M250" s="128">
        <v>0</v>
      </c>
      <c r="N250" s="164" t="s">
        <v>210</v>
      </c>
      <c r="O250" s="128">
        <v>0</v>
      </c>
      <c r="P250" s="164" t="s">
        <v>210</v>
      </c>
      <c r="Q250" s="128">
        <v>3</v>
      </c>
      <c r="R250" s="164">
        <v>1</v>
      </c>
      <c r="S250" s="128">
        <v>6</v>
      </c>
      <c r="T250" s="164">
        <v>1</v>
      </c>
      <c r="U250" s="128">
        <v>131</v>
      </c>
      <c r="V250" s="164">
        <v>1</v>
      </c>
      <c r="W250" s="128">
        <v>0</v>
      </c>
      <c r="X250" s="128">
        <v>0</v>
      </c>
      <c r="Y250" s="164">
        <v>1</v>
      </c>
      <c r="Z250" s="128">
        <v>25</v>
      </c>
      <c r="AA250" s="432">
        <v>0.96153846153846156</v>
      </c>
    </row>
    <row r="251" spans="2:27">
      <c r="B251" s="160"/>
      <c r="C251" s="61"/>
      <c r="D251" s="407" t="s">
        <v>264</v>
      </c>
      <c r="E251" s="431">
        <v>829</v>
      </c>
      <c r="F251" s="844">
        <v>1</v>
      </c>
      <c r="G251" s="128">
        <v>0</v>
      </c>
      <c r="H251" s="164" t="s">
        <v>210</v>
      </c>
      <c r="I251" s="128">
        <v>8</v>
      </c>
      <c r="J251" s="164">
        <v>35.375</v>
      </c>
      <c r="K251" s="128">
        <v>0</v>
      </c>
      <c r="L251" s="164" t="s">
        <v>210</v>
      </c>
      <c r="M251" s="128">
        <v>0</v>
      </c>
      <c r="N251" s="164" t="s">
        <v>210</v>
      </c>
      <c r="O251" s="128">
        <v>0</v>
      </c>
      <c r="P251" s="164" t="s">
        <v>210</v>
      </c>
      <c r="Q251" s="128">
        <v>0</v>
      </c>
      <c r="R251" s="164" t="s">
        <v>210</v>
      </c>
      <c r="S251" s="128">
        <v>5</v>
      </c>
      <c r="T251" s="164">
        <v>1</v>
      </c>
      <c r="U251" s="128">
        <v>30</v>
      </c>
      <c r="V251" s="164">
        <v>0.9</v>
      </c>
      <c r="W251" s="128">
        <v>0</v>
      </c>
      <c r="X251" s="128">
        <v>0</v>
      </c>
      <c r="Y251" s="164">
        <v>1</v>
      </c>
      <c r="Z251" s="128">
        <v>15</v>
      </c>
      <c r="AA251" s="432">
        <v>1</v>
      </c>
    </row>
    <row r="252" spans="2:27">
      <c r="B252" s="160"/>
      <c r="C252" s="61"/>
      <c r="D252" s="407" t="s">
        <v>164</v>
      </c>
      <c r="E252" s="431">
        <v>17</v>
      </c>
      <c r="F252" s="844">
        <v>1</v>
      </c>
      <c r="G252" s="128">
        <v>0</v>
      </c>
      <c r="H252" s="164" t="s">
        <v>210</v>
      </c>
      <c r="I252" s="128">
        <v>0</v>
      </c>
      <c r="J252" s="164" t="s">
        <v>210</v>
      </c>
      <c r="K252" s="128">
        <v>0</v>
      </c>
      <c r="L252" s="164" t="s">
        <v>210</v>
      </c>
      <c r="M252" s="128">
        <v>0</v>
      </c>
      <c r="N252" s="164" t="s">
        <v>210</v>
      </c>
      <c r="O252" s="128">
        <v>0</v>
      </c>
      <c r="P252" s="164" t="s">
        <v>210</v>
      </c>
      <c r="Q252" s="128">
        <v>0</v>
      </c>
      <c r="R252" s="164" t="s">
        <v>210</v>
      </c>
      <c r="S252" s="128">
        <v>0</v>
      </c>
      <c r="T252" s="164" t="s">
        <v>210</v>
      </c>
      <c r="U252" s="128">
        <v>3</v>
      </c>
      <c r="V252" s="164">
        <v>1</v>
      </c>
      <c r="W252" s="128">
        <v>0</v>
      </c>
      <c r="X252" s="128">
        <v>14632</v>
      </c>
      <c r="Y252" s="164">
        <v>0</v>
      </c>
      <c r="Z252" s="128">
        <v>0</v>
      </c>
      <c r="AA252" s="432" t="s">
        <v>210</v>
      </c>
    </row>
    <row r="253" spans="2:27">
      <c r="B253" s="160"/>
      <c r="C253" s="61"/>
      <c r="D253" s="407" t="s">
        <v>165</v>
      </c>
      <c r="E253" s="431">
        <v>0</v>
      </c>
      <c r="F253" s="844" t="s">
        <v>210</v>
      </c>
      <c r="G253" s="128">
        <v>0</v>
      </c>
      <c r="H253" s="164" t="s">
        <v>210</v>
      </c>
      <c r="I253" s="128">
        <v>0</v>
      </c>
      <c r="J253" s="164" t="s">
        <v>210</v>
      </c>
      <c r="K253" s="128">
        <v>0</v>
      </c>
      <c r="L253" s="164" t="s">
        <v>210</v>
      </c>
      <c r="M253" s="128">
        <v>0</v>
      </c>
      <c r="N253" s="164" t="s">
        <v>210</v>
      </c>
      <c r="O253" s="128">
        <v>0</v>
      </c>
      <c r="P253" s="164" t="s">
        <v>210</v>
      </c>
      <c r="Q253" s="128">
        <v>0</v>
      </c>
      <c r="R253" s="164" t="s">
        <v>210</v>
      </c>
      <c r="S253" s="128">
        <v>1</v>
      </c>
      <c r="T253" s="164">
        <v>1</v>
      </c>
      <c r="U253" s="128">
        <v>1</v>
      </c>
      <c r="V253" s="164">
        <v>1</v>
      </c>
      <c r="W253" s="128">
        <v>0</v>
      </c>
      <c r="X253" s="128">
        <v>21923</v>
      </c>
      <c r="Y253" s="164">
        <v>0</v>
      </c>
      <c r="Z253" s="128">
        <v>0</v>
      </c>
      <c r="AA253" s="432" t="s">
        <v>210</v>
      </c>
    </row>
    <row r="254" spans="2:27">
      <c r="B254" s="160"/>
      <c r="C254" s="61"/>
      <c r="D254" s="407" t="s">
        <v>166</v>
      </c>
      <c r="E254" s="431">
        <v>0</v>
      </c>
      <c r="F254" s="844" t="s">
        <v>210</v>
      </c>
      <c r="G254" s="128">
        <v>0</v>
      </c>
      <c r="H254" s="164" t="s">
        <v>210</v>
      </c>
      <c r="I254" s="128">
        <v>0</v>
      </c>
      <c r="J254" s="164" t="s">
        <v>210</v>
      </c>
      <c r="K254" s="128">
        <v>0</v>
      </c>
      <c r="L254" s="164" t="s">
        <v>210</v>
      </c>
      <c r="M254" s="128">
        <v>0</v>
      </c>
      <c r="N254" s="164" t="s">
        <v>210</v>
      </c>
      <c r="O254" s="128">
        <v>0</v>
      </c>
      <c r="P254" s="164" t="s">
        <v>210</v>
      </c>
      <c r="Q254" s="128">
        <v>0</v>
      </c>
      <c r="R254" s="164" t="s">
        <v>210</v>
      </c>
      <c r="S254" s="128">
        <v>0</v>
      </c>
      <c r="T254" s="164" t="s">
        <v>210</v>
      </c>
      <c r="U254" s="128">
        <v>1</v>
      </c>
      <c r="V254" s="164">
        <v>1</v>
      </c>
      <c r="W254" s="128">
        <v>0</v>
      </c>
      <c r="X254" s="128">
        <v>7912</v>
      </c>
      <c r="Y254" s="164">
        <v>0</v>
      </c>
      <c r="Z254" s="128">
        <v>0</v>
      </c>
      <c r="AA254" s="432" t="s">
        <v>210</v>
      </c>
    </row>
    <row r="255" spans="2:27">
      <c r="B255" s="160"/>
      <c r="C255" s="61"/>
      <c r="D255" s="407" t="s">
        <v>167</v>
      </c>
      <c r="E255" s="431">
        <v>35</v>
      </c>
      <c r="F255" s="844">
        <v>1</v>
      </c>
      <c r="G255" s="128">
        <v>0</v>
      </c>
      <c r="H255" s="164" t="s">
        <v>210</v>
      </c>
      <c r="I255" s="128">
        <v>0</v>
      </c>
      <c r="J255" s="164" t="s">
        <v>210</v>
      </c>
      <c r="K255" s="128">
        <v>0</v>
      </c>
      <c r="L255" s="164" t="s">
        <v>210</v>
      </c>
      <c r="M255" s="128">
        <v>0</v>
      </c>
      <c r="N255" s="164" t="s">
        <v>210</v>
      </c>
      <c r="O255" s="128">
        <v>0</v>
      </c>
      <c r="P255" s="164" t="s">
        <v>210</v>
      </c>
      <c r="Q255" s="128">
        <v>0</v>
      </c>
      <c r="R255" s="164" t="s">
        <v>210</v>
      </c>
      <c r="S255" s="128">
        <v>0</v>
      </c>
      <c r="T255" s="164" t="s">
        <v>210</v>
      </c>
      <c r="U255" s="128">
        <v>3</v>
      </c>
      <c r="V255" s="164">
        <v>1</v>
      </c>
      <c r="W255" s="128">
        <v>0</v>
      </c>
      <c r="X255" s="128">
        <v>19831</v>
      </c>
      <c r="Y255" s="164">
        <v>0</v>
      </c>
      <c r="Z255" s="128">
        <v>0</v>
      </c>
      <c r="AA255" s="432" t="s">
        <v>210</v>
      </c>
    </row>
    <row r="256" spans="2:27">
      <c r="B256" s="160"/>
      <c r="C256" s="61"/>
      <c r="D256" s="407" t="s">
        <v>168</v>
      </c>
      <c r="E256" s="431">
        <v>1010</v>
      </c>
      <c r="F256" s="844">
        <v>0.11683168316831684</v>
      </c>
      <c r="G256" s="128">
        <v>0</v>
      </c>
      <c r="H256" s="164" t="s">
        <v>210</v>
      </c>
      <c r="I256" s="128">
        <v>0</v>
      </c>
      <c r="J256" s="164" t="s">
        <v>210</v>
      </c>
      <c r="K256" s="128">
        <v>0</v>
      </c>
      <c r="L256" s="164" t="s">
        <v>210</v>
      </c>
      <c r="M256" s="128">
        <v>0</v>
      </c>
      <c r="N256" s="164" t="s">
        <v>210</v>
      </c>
      <c r="O256" s="128">
        <v>0</v>
      </c>
      <c r="P256" s="164" t="s">
        <v>210</v>
      </c>
      <c r="Q256" s="128">
        <v>7</v>
      </c>
      <c r="R256" s="164">
        <v>1</v>
      </c>
      <c r="S256" s="128">
        <v>36</v>
      </c>
      <c r="T256" s="164">
        <v>1</v>
      </c>
      <c r="U256" s="128">
        <v>3</v>
      </c>
      <c r="V256" s="164">
        <v>1</v>
      </c>
      <c r="W256" s="128">
        <v>0</v>
      </c>
      <c r="X256" s="128">
        <v>46</v>
      </c>
      <c r="Y256" s="164">
        <v>0.73913043478260865</v>
      </c>
      <c r="Z256" s="128">
        <v>4</v>
      </c>
      <c r="AA256" s="432">
        <v>1</v>
      </c>
    </row>
    <row r="257" spans="2:27">
      <c r="B257" s="160"/>
      <c r="C257" s="61"/>
      <c r="D257" s="407" t="s">
        <v>169</v>
      </c>
      <c r="E257" s="431">
        <v>6136</v>
      </c>
      <c r="F257" s="844">
        <v>0.14146023468057367</v>
      </c>
      <c r="G257" s="128">
        <v>0</v>
      </c>
      <c r="H257" s="164" t="s">
        <v>210</v>
      </c>
      <c r="I257" s="128">
        <v>1</v>
      </c>
      <c r="J257" s="164">
        <v>1</v>
      </c>
      <c r="K257" s="128">
        <v>0</v>
      </c>
      <c r="L257" s="164" t="s">
        <v>210</v>
      </c>
      <c r="M257" s="128">
        <v>0</v>
      </c>
      <c r="N257" s="164" t="s">
        <v>210</v>
      </c>
      <c r="O257" s="128">
        <v>0</v>
      </c>
      <c r="P257" s="164" t="s">
        <v>210</v>
      </c>
      <c r="Q257" s="128">
        <v>71</v>
      </c>
      <c r="R257" s="164">
        <v>1</v>
      </c>
      <c r="S257" s="128">
        <v>43</v>
      </c>
      <c r="T257" s="164">
        <v>1</v>
      </c>
      <c r="U257" s="128">
        <v>40</v>
      </c>
      <c r="V257" s="164">
        <v>1</v>
      </c>
      <c r="W257" s="128">
        <v>0</v>
      </c>
      <c r="X257" s="128">
        <v>533</v>
      </c>
      <c r="Y257" s="164">
        <v>0.87992495309568475</v>
      </c>
      <c r="Z257" s="128">
        <v>17</v>
      </c>
      <c r="AA257" s="432">
        <v>1</v>
      </c>
    </row>
    <row r="258" spans="2:27">
      <c r="B258" s="160"/>
      <c r="C258" s="61"/>
      <c r="D258" s="407" t="s">
        <v>170</v>
      </c>
      <c r="E258" s="431">
        <v>7120</v>
      </c>
      <c r="F258" s="844">
        <v>0.12443820224719102</v>
      </c>
      <c r="G258" s="128">
        <v>0</v>
      </c>
      <c r="H258" s="164" t="s">
        <v>210</v>
      </c>
      <c r="I258" s="128">
        <v>0</v>
      </c>
      <c r="J258" s="164" t="s">
        <v>210</v>
      </c>
      <c r="K258" s="128">
        <v>7</v>
      </c>
      <c r="L258" s="164">
        <v>1</v>
      </c>
      <c r="M258" s="128">
        <v>0</v>
      </c>
      <c r="N258" s="164" t="s">
        <v>210</v>
      </c>
      <c r="O258" s="128">
        <v>0</v>
      </c>
      <c r="P258" s="164" t="s">
        <v>210</v>
      </c>
      <c r="Q258" s="128">
        <v>35</v>
      </c>
      <c r="R258" s="164">
        <v>1</v>
      </c>
      <c r="S258" s="128">
        <v>70</v>
      </c>
      <c r="T258" s="164">
        <v>1</v>
      </c>
      <c r="U258" s="128">
        <v>37</v>
      </c>
      <c r="V258" s="164">
        <v>1</v>
      </c>
      <c r="W258" s="128">
        <v>0</v>
      </c>
      <c r="X258" s="128">
        <v>620</v>
      </c>
      <c r="Y258" s="164">
        <v>0.98870967741935489</v>
      </c>
      <c r="Z258" s="128">
        <v>127</v>
      </c>
      <c r="AA258" s="432">
        <v>1</v>
      </c>
    </row>
    <row r="259" spans="2:27">
      <c r="B259" s="160"/>
      <c r="C259" s="61"/>
      <c r="D259" s="407" t="s">
        <v>171</v>
      </c>
      <c r="E259" s="431">
        <v>631</v>
      </c>
      <c r="F259" s="844">
        <v>0</v>
      </c>
      <c r="G259" s="128">
        <v>0</v>
      </c>
      <c r="H259" s="164" t="s">
        <v>210</v>
      </c>
      <c r="I259" s="128">
        <v>0</v>
      </c>
      <c r="J259" s="164" t="s">
        <v>210</v>
      </c>
      <c r="K259" s="128">
        <v>0</v>
      </c>
      <c r="L259" s="164" t="s">
        <v>210</v>
      </c>
      <c r="M259" s="128">
        <v>0</v>
      </c>
      <c r="N259" s="164" t="s">
        <v>210</v>
      </c>
      <c r="O259" s="128">
        <v>0</v>
      </c>
      <c r="P259" s="164" t="s">
        <v>210</v>
      </c>
      <c r="Q259" s="128">
        <v>0</v>
      </c>
      <c r="R259" s="164" t="s">
        <v>210</v>
      </c>
      <c r="S259" s="128">
        <v>0</v>
      </c>
      <c r="T259" s="164" t="s">
        <v>210</v>
      </c>
      <c r="U259" s="128">
        <v>0</v>
      </c>
      <c r="V259" s="164" t="s">
        <v>210</v>
      </c>
      <c r="W259" s="128">
        <v>0</v>
      </c>
      <c r="X259" s="128">
        <v>0</v>
      </c>
      <c r="Y259" s="164" t="s">
        <v>210</v>
      </c>
      <c r="Z259" s="128">
        <v>1</v>
      </c>
      <c r="AA259" s="432">
        <v>0</v>
      </c>
    </row>
    <row r="260" spans="2:27">
      <c r="B260" s="160"/>
      <c r="C260" s="61"/>
      <c r="D260" s="407" t="s">
        <v>172</v>
      </c>
      <c r="E260" s="431">
        <v>1112</v>
      </c>
      <c r="F260" s="844">
        <v>0</v>
      </c>
      <c r="G260" s="128">
        <v>0</v>
      </c>
      <c r="H260" s="164" t="s">
        <v>210</v>
      </c>
      <c r="I260" s="128">
        <v>0</v>
      </c>
      <c r="J260" s="164" t="s">
        <v>210</v>
      </c>
      <c r="K260" s="128">
        <v>0</v>
      </c>
      <c r="L260" s="164" t="s">
        <v>210</v>
      </c>
      <c r="M260" s="128">
        <v>0</v>
      </c>
      <c r="N260" s="164" t="s">
        <v>210</v>
      </c>
      <c r="O260" s="128">
        <v>0</v>
      </c>
      <c r="P260" s="164" t="s">
        <v>210</v>
      </c>
      <c r="Q260" s="128">
        <v>0</v>
      </c>
      <c r="R260" s="164" t="s">
        <v>210</v>
      </c>
      <c r="S260" s="128">
        <v>1</v>
      </c>
      <c r="T260" s="164">
        <v>1</v>
      </c>
      <c r="U260" s="128">
        <v>0</v>
      </c>
      <c r="V260" s="164" t="s">
        <v>210</v>
      </c>
      <c r="W260" s="128">
        <v>0</v>
      </c>
      <c r="X260" s="128">
        <v>0</v>
      </c>
      <c r="Y260" s="164" t="s">
        <v>210</v>
      </c>
      <c r="Z260" s="128">
        <v>1</v>
      </c>
      <c r="AA260" s="432">
        <v>0</v>
      </c>
    </row>
    <row r="261" spans="2:27">
      <c r="B261" s="160"/>
      <c r="D261" s="407" t="s">
        <v>28</v>
      </c>
      <c r="E261" s="431">
        <v>627</v>
      </c>
      <c r="F261" s="844">
        <v>1</v>
      </c>
      <c r="G261" s="128">
        <v>0</v>
      </c>
      <c r="H261" s="164" t="s">
        <v>210</v>
      </c>
      <c r="I261" s="128">
        <v>148</v>
      </c>
      <c r="J261" s="164">
        <v>1</v>
      </c>
      <c r="K261" s="128">
        <v>0</v>
      </c>
      <c r="L261" s="164" t="s">
        <v>210</v>
      </c>
      <c r="M261" s="128">
        <v>0</v>
      </c>
      <c r="N261" s="164" t="s">
        <v>210</v>
      </c>
      <c r="O261" s="128">
        <v>0</v>
      </c>
      <c r="P261" s="164" t="s">
        <v>210</v>
      </c>
      <c r="Q261" s="128">
        <v>12</v>
      </c>
      <c r="R261" s="164">
        <v>1</v>
      </c>
      <c r="S261" s="128">
        <v>1</v>
      </c>
      <c r="T261" s="164">
        <v>1</v>
      </c>
      <c r="U261" s="128">
        <v>125</v>
      </c>
      <c r="V261" s="164">
        <v>1</v>
      </c>
      <c r="W261" s="128">
        <v>0</v>
      </c>
      <c r="X261" s="128">
        <v>6</v>
      </c>
      <c r="Y261" s="164">
        <v>1</v>
      </c>
      <c r="Z261" s="128">
        <v>30</v>
      </c>
      <c r="AA261" s="432">
        <v>1</v>
      </c>
    </row>
    <row r="262" spans="2:27" ht="12" thickBot="1">
      <c r="B262" s="160"/>
      <c r="D262" s="413" t="s">
        <v>173</v>
      </c>
      <c r="E262" s="431">
        <v>3231</v>
      </c>
      <c r="F262" s="844">
        <v>1</v>
      </c>
      <c r="G262" s="128">
        <v>0</v>
      </c>
      <c r="H262" s="164" t="s">
        <v>210</v>
      </c>
      <c r="I262" s="128">
        <v>7</v>
      </c>
      <c r="J262" s="164">
        <v>0.8571428571428571</v>
      </c>
      <c r="K262" s="128">
        <v>4</v>
      </c>
      <c r="L262" s="164">
        <v>1</v>
      </c>
      <c r="M262" s="128">
        <v>0</v>
      </c>
      <c r="N262" s="164" t="s">
        <v>210</v>
      </c>
      <c r="O262" s="128">
        <v>0</v>
      </c>
      <c r="P262" s="164" t="s">
        <v>210</v>
      </c>
      <c r="Q262" s="128">
        <v>66</v>
      </c>
      <c r="R262" s="164">
        <v>1</v>
      </c>
      <c r="S262" s="128">
        <v>14</v>
      </c>
      <c r="T262" s="164">
        <v>1</v>
      </c>
      <c r="U262" s="128">
        <v>329</v>
      </c>
      <c r="V262" s="164">
        <v>1</v>
      </c>
      <c r="W262" s="128">
        <v>0</v>
      </c>
      <c r="X262" s="128">
        <v>28923</v>
      </c>
      <c r="Y262" s="164">
        <v>1.2791260457719698E-3</v>
      </c>
      <c r="Z262" s="128">
        <v>17</v>
      </c>
      <c r="AA262" s="432">
        <v>1</v>
      </c>
    </row>
    <row r="263" spans="2:27">
      <c r="B263" s="160"/>
    </row>
    <row r="264" spans="2:27">
      <c r="B264" s="160"/>
      <c r="C264" s="61"/>
      <c r="D264" s="108"/>
      <c r="E264" s="1" t="s">
        <v>268</v>
      </c>
    </row>
    <row r="265" spans="2:27" ht="12" thickBot="1">
      <c r="B265" s="160"/>
      <c r="C265" s="61"/>
    </row>
    <row r="266" spans="2:27" ht="60" customHeight="1" thickBot="1">
      <c r="B266" s="160"/>
      <c r="C266" s="61"/>
      <c r="E266" s="1182" t="s">
        <v>245</v>
      </c>
      <c r="F266" s="1185"/>
      <c r="G266" s="1182" t="s">
        <v>246</v>
      </c>
      <c r="H266" s="1183"/>
      <c r="I266" s="1182" t="s">
        <v>247</v>
      </c>
      <c r="J266" s="1183"/>
      <c r="K266" s="1182" t="s">
        <v>248</v>
      </c>
      <c r="L266" s="1183"/>
      <c r="M266" s="1185" t="s">
        <v>249</v>
      </c>
      <c r="N266" s="1185"/>
      <c r="O266" s="1182" t="s">
        <v>250</v>
      </c>
      <c r="P266" s="1183"/>
      <c r="Q266" s="1185" t="s">
        <v>251</v>
      </c>
      <c r="R266" s="1185"/>
      <c r="S266" s="1182" t="s">
        <v>252</v>
      </c>
      <c r="T266" s="1183"/>
      <c r="U266" s="1185" t="s">
        <v>253</v>
      </c>
      <c r="V266" s="1185"/>
      <c r="W266" s="162" t="s">
        <v>254</v>
      </c>
      <c r="X266" s="1182" t="s">
        <v>255</v>
      </c>
      <c r="Y266" s="1183"/>
      <c r="Z266" s="1185" t="s">
        <v>256</v>
      </c>
      <c r="AA266" s="1183"/>
    </row>
    <row r="267" spans="2:27" ht="35" thickBot="1">
      <c r="B267" s="160"/>
      <c r="C267" s="61"/>
      <c r="E267" s="429" t="s">
        <v>257</v>
      </c>
      <c r="F267" s="438" t="s">
        <v>258</v>
      </c>
      <c r="G267" s="429" t="s">
        <v>257</v>
      </c>
      <c r="H267" s="430" t="s">
        <v>258</v>
      </c>
      <c r="I267" s="429" t="s">
        <v>257</v>
      </c>
      <c r="J267" s="430" t="s">
        <v>258</v>
      </c>
      <c r="K267" s="429" t="s">
        <v>257</v>
      </c>
      <c r="L267" s="430" t="s">
        <v>258</v>
      </c>
      <c r="M267" s="438" t="s">
        <v>257</v>
      </c>
      <c r="N267" s="438" t="s">
        <v>258</v>
      </c>
      <c r="O267" s="429" t="s">
        <v>257</v>
      </c>
      <c r="P267" s="430" t="s">
        <v>258</v>
      </c>
      <c r="Q267" s="438" t="s">
        <v>257</v>
      </c>
      <c r="R267" s="438" t="s">
        <v>258</v>
      </c>
      <c r="S267" s="429" t="s">
        <v>259</v>
      </c>
      <c r="T267" s="430" t="s">
        <v>258</v>
      </c>
      <c r="U267" s="438" t="s">
        <v>257</v>
      </c>
      <c r="V267" s="438" t="s">
        <v>258</v>
      </c>
      <c r="W267" s="163" t="s">
        <v>260</v>
      </c>
      <c r="X267" s="429" t="s">
        <v>269</v>
      </c>
      <c r="Y267" s="430" t="s">
        <v>258</v>
      </c>
      <c r="Z267" s="438" t="s">
        <v>262</v>
      </c>
      <c r="AA267" s="430" t="s">
        <v>258</v>
      </c>
    </row>
    <row r="268" spans="2:27">
      <c r="B268" s="160"/>
      <c r="C268" s="61"/>
      <c r="D268" s="406" t="s">
        <v>161</v>
      </c>
      <c r="E268" s="431">
        <v>2496</v>
      </c>
      <c r="F268" s="929">
        <v>1.0721153846153846</v>
      </c>
      <c r="G268" s="431">
        <v>0</v>
      </c>
      <c r="H268" s="432" t="s">
        <v>210</v>
      </c>
      <c r="I268" s="431">
        <v>0</v>
      </c>
      <c r="J268" s="432" t="s">
        <v>210</v>
      </c>
      <c r="K268" s="431">
        <v>5</v>
      </c>
      <c r="L268" s="432">
        <v>1</v>
      </c>
      <c r="M268" s="930">
        <v>0</v>
      </c>
      <c r="N268" s="929" t="s">
        <v>210</v>
      </c>
      <c r="O268" s="431">
        <v>0</v>
      </c>
      <c r="P268" s="432" t="s">
        <v>210</v>
      </c>
      <c r="Q268" s="930">
        <v>24</v>
      </c>
      <c r="R268" s="929">
        <v>1</v>
      </c>
      <c r="S268" s="431">
        <v>3</v>
      </c>
      <c r="T268" s="432">
        <v>1.3333333333333333</v>
      </c>
      <c r="U268" s="930">
        <v>297</v>
      </c>
      <c r="V268" s="929">
        <v>1</v>
      </c>
      <c r="W268" s="931">
        <v>3</v>
      </c>
      <c r="X268" s="431">
        <v>12709</v>
      </c>
      <c r="Y268" s="432">
        <v>2.6516641749940988E-2</v>
      </c>
      <c r="Z268" s="930">
        <v>325</v>
      </c>
      <c r="AA268" s="432">
        <v>1</v>
      </c>
    </row>
    <row r="269" spans="2:27">
      <c r="B269" s="160"/>
      <c r="C269" s="61"/>
      <c r="D269" s="407" t="s">
        <v>263</v>
      </c>
      <c r="E269" s="431">
        <v>2508</v>
      </c>
      <c r="F269" s="929">
        <v>1.0007974481658692</v>
      </c>
      <c r="G269" s="431">
        <v>0</v>
      </c>
      <c r="H269" s="432" t="s">
        <v>210</v>
      </c>
      <c r="I269" s="431">
        <v>38</v>
      </c>
      <c r="J269" s="432">
        <v>8.8421052631578956</v>
      </c>
      <c r="K269" s="431">
        <v>25</v>
      </c>
      <c r="L269" s="432">
        <v>5.08</v>
      </c>
      <c r="M269" s="930">
        <v>0</v>
      </c>
      <c r="N269" s="929" t="s">
        <v>210</v>
      </c>
      <c r="O269" s="431">
        <v>0</v>
      </c>
      <c r="P269" s="432" t="s">
        <v>210</v>
      </c>
      <c r="Q269" s="930">
        <v>67</v>
      </c>
      <c r="R269" s="929">
        <v>1</v>
      </c>
      <c r="S269" s="431">
        <v>2</v>
      </c>
      <c r="T269" s="432">
        <v>1</v>
      </c>
      <c r="U269" s="930">
        <v>62</v>
      </c>
      <c r="V269" s="929">
        <v>1</v>
      </c>
      <c r="W269" s="931">
        <v>0</v>
      </c>
      <c r="X269" s="431">
        <v>36</v>
      </c>
      <c r="Y269" s="432">
        <v>1</v>
      </c>
      <c r="Z269" s="930">
        <v>67</v>
      </c>
      <c r="AA269" s="432">
        <v>1</v>
      </c>
    </row>
    <row r="270" spans="2:27">
      <c r="B270" s="160"/>
      <c r="C270" s="61"/>
      <c r="D270" s="407" t="s">
        <v>264</v>
      </c>
      <c r="E270" s="431">
        <v>1854</v>
      </c>
      <c r="F270" s="929">
        <v>0.99892125134843579</v>
      </c>
      <c r="G270" s="431">
        <v>0</v>
      </c>
      <c r="H270" s="432" t="s">
        <v>210</v>
      </c>
      <c r="I270" s="431">
        <v>0</v>
      </c>
      <c r="J270" s="432" t="s">
        <v>210</v>
      </c>
      <c r="K270" s="431">
        <v>0</v>
      </c>
      <c r="L270" s="432" t="s">
        <v>210</v>
      </c>
      <c r="M270" s="930">
        <v>0</v>
      </c>
      <c r="N270" s="929" t="s">
        <v>210</v>
      </c>
      <c r="O270" s="431">
        <v>0</v>
      </c>
      <c r="P270" s="432" t="s">
        <v>210</v>
      </c>
      <c r="Q270" s="930">
        <v>11</v>
      </c>
      <c r="R270" s="929">
        <v>1</v>
      </c>
      <c r="S270" s="431">
        <v>4</v>
      </c>
      <c r="T270" s="432">
        <v>1</v>
      </c>
      <c r="U270" s="930">
        <v>4</v>
      </c>
      <c r="V270" s="929">
        <v>1</v>
      </c>
      <c r="W270" s="931">
        <v>0</v>
      </c>
      <c r="X270" s="431">
        <v>34</v>
      </c>
      <c r="Y270" s="432">
        <v>1</v>
      </c>
      <c r="Z270" s="930">
        <v>53</v>
      </c>
      <c r="AA270" s="432">
        <v>1</v>
      </c>
    </row>
    <row r="271" spans="2:27">
      <c r="B271" s="160"/>
      <c r="C271" s="61"/>
      <c r="D271" s="407" t="s">
        <v>164</v>
      </c>
      <c r="E271" s="431">
        <v>0</v>
      </c>
      <c r="F271" s="929" t="s">
        <v>210</v>
      </c>
      <c r="G271" s="431">
        <v>0</v>
      </c>
      <c r="H271" s="432" t="s">
        <v>210</v>
      </c>
      <c r="I271" s="431">
        <v>0</v>
      </c>
      <c r="J271" s="432" t="s">
        <v>210</v>
      </c>
      <c r="K271" s="431">
        <v>0</v>
      </c>
      <c r="L271" s="432" t="s">
        <v>210</v>
      </c>
      <c r="M271" s="930">
        <v>0</v>
      </c>
      <c r="N271" s="929" t="s">
        <v>210</v>
      </c>
      <c r="O271" s="431">
        <v>0</v>
      </c>
      <c r="P271" s="432" t="s">
        <v>210</v>
      </c>
      <c r="Q271" s="930">
        <v>0</v>
      </c>
      <c r="R271" s="929" t="s">
        <v>210</v>
      </c>
      <c r="S271" s="431">
        <v>0</v>
      </c>
      <c r="T271" s="432" t="s">
        <v>210</v>
      </c>
      <c r="U271" s="930">
        <v>0</v>
      </c>
      <c r="V271" s="929" t="s">
        <v>210</v>
      </c>
      <c r="W271" s="931">
        <v>0</v>
      </c>
      <c r="X271" s="431">
        <v>0</v>
      </c>
      <c r="Y271" s="432" t="s">
        <v>210</v>
      </c>
      <c r="Z271" s="930">
        <v>0</v>
      </c>
      <c r="AA271" s="432" t="s">
        <v>210</v>
      </c>
    </row>
    <row r="272" spans="2:27">
      <c r="B272" s="160"/>
      <c r="C272" s="61"/>
      <c r="D272" s="407" t="s">
        <v>165</v>
      </c>
      <c r="E272" s="431">
        <v>0</v>
      </c>
      <c r="F272" s="929" t="s">
        <v>210</v>
      </c>
      <c r="G272" s="431">
        <v>0</v>
      </c>
      <c r="H272" s="432" t="s">
        <v>210</v>
      </c>
      <c r="I272" s="431">
        <v>0</v>
      </c>
      <c r="J272" s="432" t="s">
        <v>210</v>
      </c>
      <c r="K272" s="431">
        <v>0</v>
      </c>
      <c r="L272" s="432" t="s">
        <v>210</v>
      </c>
      <c r="M272" s="930">
        <v>0</v>
      </c>
      <c r="N272" s="929" t="s">
        <v>210</v>
      </c>
      <c r="O272" s="431">
        <v>0</v>
      </c>
      <c r="P272" s="432" t="s">
        <v>210</v>
      </c>
      <c r="Q272" s="930">
        <v>0</v>
      </c>
      <c r="R272" s="929" t="s">
        <v>210</v>
      </c>
      <c r="S272" s="431">
        <v>0</v>
      </c>
      <c r="T272" s="432" t="s">
        <v>210</v>
      </c>
      <c r="U272" s="930">
        <v>0</v>
      </c>
      <c r="V272" s="929" t="s">
        <v>210</v>
      </c>
      <c r="W272" s="931">
        <v>0</v>
      </c>
      <c r="X272" s="431">
        <v>21760</v>
      </c>
      <c r="Y272" s="432">
        <v>0</v>
      </c>
      <c r="Z272" s="930">
        <v>0</v>
      </c>
      <c r="AA272" s="432" t="s">
        <v>210</v>
      </c>
    </row>
    <row r="273" spans="2:27">
      <c r="B273" s="160"/>
      <c r="C273" s="61"/>
      <c r="D273" s="407" t="s">
        <v>166</v>
      </c>
      <c r="E273" s="431">
        <v>0</v>
      </c>
      <c r="F273" s="929" t="s">
        <v>210</v>
      </c>
      <c r="G273" s="431">
        <v>0</v>
      </c>
      <c r="H273" s="432" t="s">
        <v>210</v>
      </c>
      <c r="I273" s="431">
        <v>0</v>
      </c>
      <c r="J273" s="432" t="s">
        <v>210</v>
      </c>
      <c r="K273" s="431">
        <v>0</v>
      </c>
      <c r="L273" s="432" t="s">
        <v>210</v>
      </c>
      <c r="M273" s="930">
        <v>0</v>
      </c>
      <c r="N273" s="929" t="s">
        <v>210</v>
      </c>
      <c r="O273" s="431">
        <v>0</v>
      </c>
      <c r="P273" s="432" t="s">
        <v>210</v>
      </c>
      <c r="Q273" s="930">
        <v>0</v>
      </c>
      <c r="R273" s="929" t="s">
        <v>210</v>
      </c>
      <c r="S273" s="431">
        <v>0</v>
      </c>
      <c r="T273" s="432" t="s">
        <v>210</v>
      </c>
      <c r="U273" s="930">
        <v>1</v>
      </c>
      <c r="V273" s="929">
        <v>1</v>
      </c>
      <c r="W273" s="931">
        <v>0</v>
      </c>
      <c r="X273" s="431">
        <v>7245</v>
      </c>
      <c r="Y273" s="432">
        <v>0</v>
      </c>
      <c r="Z273" s="930">
        <v>0</v>
      </c>
      <c r="AA273" s="432" t="s">
        <v>210</v>
      </c>
    </row>
    <row r="274" spans="2:27">
      <c r="B274" s="160"/>
      <c r="C274" s="61"/>
      <c r="D274" s="407" t="s">
        <v>167</v>
      </c>
      <c r="E274" s="431">
        <v>24</v>
      </c>
      <c r="F274" s="929">
        <v>1.0833333333333333</v>
      </c>
      <c r="G274" s="431">
        <v>0</v>
      </c>
      <c r="H274" s="432" t="s">
        <v>210</v>
      </c>
      <c r="I274" s="431">
        <v>0</v>
      </c>
      <c r="J274" s="432" t="s">
        <v>210</v>
      </c>
      <c r="K274" s="431">
        <v>0</v>
      </c>
      <c r="L274" s="432" t="s">
        <v>210</v>
      </c>
      <c r="M274" s="930">
        <v>0</v>
      </c>
      <c r="N274" s="929" t="s">
        <v>210</v>
      </c>
      <c r="O274" s="431">
        <v>0</v>
      </c>
      <c r="P274" s="432" t="s">
        <v>210</v>
      </c>
      <c r="Q274" s="930">
        <v>0</v>
      </c>
      <c r="R274" s="929" t="s">
        <v>210</v>
      </c>
      <c r="S274" s="431">
        <v>0</v>
      </c>
      <c r="T274" s="432" t="s">
        <v>210</v>
      </c>
      <c r="U274" s="930">
        <v>8</v>
      </c>
      <c r="V274" s="929">
        <v>1</v>
      </c>
      <c r="W274" s="931">
        <v>0</v>
      </c>
      <c r="X274" s="431">
        <v>20545</v>
      </c>
      <c r="Y274" s="432">
        <v>0</v>
      </c>
      <c r="Z274" s="930">
        <v>0</v>
      </c>
      <c r="AA274" s="432" t="s">
        <v>210</v>
      </c>
    </row>
    <row r="275" spans="2:27">
      <c r="B275" s="160"/>
      <c r="C275" s="61"/>
      <c r="D275" s="407" t="s">
        <v>168</v>
      </c>
      <c r="E275" s="431">
        <v>470</v>
      </c>
      <c r="F275" s="929">
        <v>0.4553191489361702</v>
      </c>
      <c r="G275" s="431">
        <v>0</v>
      </c>
      <c r="H275" s="432" t="s">
        <v>210</v>
      </c>
      <c r="I275" s="431">
        <v>0</v>
      </c>
      <c r="J275" s="432" t="s">
        <v>210</v>
      </c>
      <c r="K275" s="431">
        <v>0</v>
      </c>
      <c r="L275" s="432" t="s">
        <v>210</v>
      </c>
      <c r="M275" s="930">
        <v>0</v>
      </c>
      <c r="N275" s="929" t="s">
        <v>210</v>
      </c>
      <c r="O275" s="431">
        <v>0</v>
      </c>
      <c r="P275" s="432" t="s">
        <v>210</v>
      </c>
      <c r="Q275" s="930">
        <v>3</v>
      </c>
      <c r="R275" s="929">
        <v>1</v>
      </c>
      <c r="S275" s="431">
        <v>12</v>
      </c>
      <c r="T275" s="432">
        <v>1</v>
      </c>
      <c r="U275" s="930">
        <v>4</v>
      </c>
      <c r="V275" s="929">
        <v>1</v>
      </c>
      <c r="W275" s="931">
        <v>0</v>
      </c>
      <c r="X275" s="431">
        <v>148</v>
      </c>
      <c r="Y275" s="432">
        <v>1</v>
      </c>
      <c r="Z275" s="930">
        <v>39</v>
      </c>
      <c r="AA275" s="432">
        <v>1</v>
      </c>
    </row>
    <row r="276" spans="2:27">
      <c r="B276" s="160"/>
      <c r="C276" s="61"/>
      <c r="D276" s="407" t="s">
        <v>169</v>
      </c>
      <c r="E276" s="431">
        <v>5454</v>
      </c>
      <c r="F276" s="929">
        <v>0.27686101943527686</v>
      </c>
      <c r="G276" s="431">
        <v>0</v>
      </c>
      <c r="H276" s="432" t="s">
        <v>210</v>
      </c>
      <c r="I276" s="431">
        <v>13</v>
      </c>
      <c r="J276" s="432">
        <v>1.0769230769230769</v>
      </c>
      <c r="K276" s="431">
        <v>0</v>
      </c>
      <c r="L276" s="432" t="s">
        <v>210</v>
      </c>
      <c r="M276" s="930">
        <v>0</v>
      </c>
      <c r="N276" s="929" t="s">
        <v>210</v>
      </c>
      <c r="O276" s="431">
        <v>0</v>
      </c>
      <c r="P276" s="432" t="s">
        <v>210</v>
      </c>
      <c r="Q276" s="930">
        <v>52</v>
      </c>
      <c r="R276" s="929">
        <v>1</v>
      </c>
      <c r="S276" s="431">
        <v>37</v>
      </c>
      <c r="T276" s="432">
        <v>1</v>
      </c>
      <c r="U276" s="930">
        <v>89</v>
      </c>
      <c r="V276" s="929">
        <v>1</v>
      </c>
      <c r="W276" s="931">
        <v>0</v>
      </c>
      <c r="X276" s="431">
        <v>512</v>
      </c>
      <c r="Y276" s="432">
        <v>1</v>
      </c>
      <c r="Z276" s="930">
        <v>82</v>
      </c>
      <c r="AA276" s="432">
        <v>1</v>
      </c>
    </row>
    <row r="277" spans="2:27">
      <c r="B277" s="160"/>
      <c r="C277" s="61"/>
      <c r="D277" s="407" t="s">
        <v>170</v>
      </c>
      <c r="E277" s="431">
        <v>3868</v>
      </c>
      <c r="F277" s="929">
        <v>0.32445708376421922</v>
      </c>
      <c r="G277" s="431">
        <v>0</v>
      </c>
      <c r="H277" s="432" t="s">
        <v>210</v>
      </c>
      <c r="I277" s="431">
        <v>0</v>
      </c>
      <c r="J277" s="432" t="s">
        <v>210</v>
      </c>
      <c r="K277" s="431">
        <v>0</v>
      </c>
      <c r="L277" s="432" t="s">
        <v>210</v>
      </c>
      <c r="M277" s="930">
        <v>0</v>
      </c>
      <c r="N277" s="929" t="s">
        <v>210</v>
      </c>
      <c r="O277" s="431">
        <v>0</v>
      </c>
      <c r="P277" s="432" t="s">
        <v>210</v>
      </c>
      <c r="Q277" s="930">
        <v>29</v>
      </c>
      <c r="R277" s="929">
        <v>1</v>
      </c>
      <c r="S277" s="431">
        <v>47</v>
      </c>
      <c r="T277" s="432">
        <v>1</v>
      </c>
      <c r="U277" s="930">
        <v>117</v>
      </c>
      <c r="V277" s="929">
        <v>1</v>
      </c>
      <c r="W277" s="931">
        <v>0</v>
      </c>
      <c r="X277" s="431">
        <v>604</v>
      </c>
      <c r="Y277" s="432">
        <v>1</v>
      </c>
      <c r="Z277" s="930">
        <v>59</v>
      </c>
      <c r="AA277" s="432">
        <v>1</v>
      </c>
    </row>
    <row r="278" spans="2:27">
      <c r="B278" s="160"/>
      <c r="C278" s="61"/>
      <c r="D278" s="407" t="s">
        <v>171</v>
      </c>
      <c r="E278" s="431">
        <v>734</v>
      </c>
      <c r="F278" s="929">
        <v>0</v>
      </c>
      <c r="G278" s="431">
        <v>0</v>
      </c>
      <c r="H278" s="432" t="s">
        <v>210</v>
      </c>
      <c r="I278" s="431">
        <v>0</v>
      </c>
      <c r="J278" s="432" t="s">
        <v>210</v>
      </c>
      <c r="K278" s="431">
        <v>0</v>
      </c>
      <c r="L278" s="432" t="s">
        <v>210</v>
      </c>
      <c r="M278" s="930">
        <v>0</v>
      </c>
      <c r="N278" s="929" t="s">
        <v>210</v>
      </c>
      <c r="O278" s="431">
        <v>0</v>
      </c>
      <c r="P278" s="432" t="s">
        <v>210</v>
      </c>
      <c r="Q278" s="930">
        <v>0</v>
      </c>
      <c r="R278" s="929" t="s">
        <v>210</v>
      </c>
      <c r="S278" s="431">
        <v>0</v>
      </c>
      <c r="T278" s="432" t="s">
        <v>210</v>
      </c>
      <c r="U278" s="930">
        <v>0</v>
      </c>
      <c r="V278" s="929" t="s">
        <v>210</v>
      </c>
      <c r="W278" s="931">
        <v>0</v>
      </c>
      <c r="X278" s="431">
        <v>0</v>
      </c>
      <c r="Y278" s="432" t="s">
        <v>210</v>
      </c>
      <c r="Z278" s="930">
        <v>0</v>
      </c>
      <c r="AA278" s="432" t="s">
        <v>210</v>
      </c>
    </row>
    <row r="279" spans="2:27">
      <c r="B279" s="160"/>
      <c r="C279" s="61"/>
      <c r="D279" s="407" t="s">
        <v>172</v>
      </c>
      <c r="E279" s="431">
        <v>725</v>
      </c>
      <c r="F279" s="929">
        <v>0</v>
      </c>
      <c r="G279" s="431">
        <v>0</v>
      </c>
      <c r="H279" s="432" t="s">
        <v>210</v>
      </c>
      <c r="I279" s="431">
        <v>0</v>
      </c>
      <c r="J279" s="432" t="s">
        <v>210</v>
      </c>
      <c r="K279" s="431">
        <v>0</v>
      </c>
      <c r="L279" s="432" t="s">
        <v>210</v>
      </c>
      <c r="M279" s="930">
        <v>0</v>
      </c>
      <c r="N279" s="929" t="s">
        <v>210</v>
      </c>
      <c r="O279" s="431">
        <v>0</v>
      </c>
      <c r="P279" s="432" t="s">
        <v>210</v>
      </c>
      <c r="Q279" s="930">
        <v>0</v>
      </c>
      <c r="R279" s="929" t="s">
        <v>210</v>
      </c>
      <c r="S279" s="431">
        <v>0</v>
      </c>
      <c r="T279" s="432" t="s">
        <v>210</v>
      </c>
      <c r="U279" s="930">
        <v>0</v>
      </c>
      <c r="V279" s="929" t="s">
        <v>210</v>
      </c>
      <c r="W279" s="931">
        <v>2</v>
      </c>
      <c r="X279" s="431">
        <v>0</v>
      </c>
      <c r="Y279" s="432" t="s">
        <v>210</v>
      </c>
      <c r="Z279" s="930">
        <v>0</v>
      </c>
      <c r="AA279" s="432" t="s">
        <v>210</v>
      </c>
    </row>
    <row r="280" spans="2:27">
      <c r="B280" s="160"/>
      <c r="D280" s="407" t="s">
        <v>28</v>
      </c>
      <c r="E280" s="431">
        <v>471</v>
      </c>
      <c r="F280" s="929">
        <v>1</v>
      </c>
      <c r="G280" s="431">
        <v>0</v>
      </c>
      <c r="H280" s="432" t="s">
        <v>210</v>
      </c>
      <c r="I280" s="431">
        <v>0</v>
      </c>
      <c r="J280" s="432" t="s">
        <v>210</v>
      </c>
      <c r="K280" s="431">
        <v>0</v>
      </c>
      <c r="L280" s="432" t="s">
        <v>210</v>
      </c>
      <c r="M280" s="930">
        <v>0</v>
      </c>
      <c r="N280" s="929" t="s">
        <v>210</v>
      </c>
      <c r="O280" s="431">
        <v>0</v>
      </c>
      <c r="P280" s="432" t="s">
        <v>210</v>
      </c>
      <c r="Q280" s="930">
        <v>0</v>
      </c>
      <c r="R280" s="929" t="s">
        <v>210</v>
      </c>
      <c r="S280" s="431">
        <v>1</v>
      </c>
      <c r="T280" s="432">
        <v>1</v>
      </c>
      <c r="U280" s="930">
        <v>75</v>
      </c>
      <c r="V280" s="929">
        <v>1</v>
      </c>
      <c r="W280" s="931">
        <v>73</v>
      </c>
      <c r="X280" s="431">
        <v>8</v>
      </c>
      <c r="Y280" s="432">
        <v>1</v>
      </c>
      <c r="Z280" s="930">
        <v>153</v>
      </c>
      <c r="AA280" s="432">
        <v>1</v>
      </c>
    </row>
    <row r="281" spans="2:27" ht="12" thickBot="1">
      <c r="B281" s="160"/>
      <c r="D281" s="413" t="s">
        <v>173</v>
      </c>
      <c r="E281" s="928">
        <v>5764</v>
      </c>
      <c r="F281" s="932">
        <v>1</v>
      </c>
      <c r="G281" s="928">
        <v>0</v>
      </c>
      <c r="H281" s="933" t="s">
        <v>210</v>
      </c>
      <c r="I281" s="928">
        <v>0</v>
      </c>
      <c r="J281" s="933" t="s">
        <v>210</v>
      </c>
      <c r="K281" s="928">
        <v>0</v>
      </c>
      <c r="L281" s="933" t="s">
        <v>210</v>
      </c>
      <c r="M281" s="934">
        <v>0</v>
      </c>
      <c r="N281" s="932" t="s">
        <v>210</v>
      </c>
      <c r="O281" s="928">
        <v>0</v>
      </c>
      <c r="P281" s="933" t="s">
        <v>210</v>
      </c>
      <c r="Q281" s="934">
        <v>62</v>
      </c>
      <c r="R281" s="932">
        <v>1</v>
      </c>
      <c r="S281" s="431">
        <v>18</v>
      </c>
      <c r="T281" s="933">
        <v>1</v>
      </c>
      <c r="U281" s="934">
        <v>410</v>
      </c>
      <c r="V281" s="932">
        <v>1</v>
      </c>
      <c r="W281" s="931">
        <v>1</v>
      </c>
      <c r="X281" s="431">
        <v>76</v>
      </c>
      <c r="Y281" s="933">
        <v>1</v>
      </c>
      <c r="Z281" s="934">
        <v>918</v>
      </c>
      <c r="AA281" s="933">
        <v>1</v>
      </c>
    </row>
    <row r="282" spans="2:27">
      <c r="B282" s="160"/>
    </row>
    <row r="283" spans="2:27">
      <c r="B283" s="160"/>
      <c r="C283" s="61"/>
      <c r="D283" s="108"/>
      <c r="E283" s="1" t="s">
        <v>270</v>
      </c>
    </row>
    <row r="284" spans="2:27" ht="12" thickBot="1">
      <c r="B284" s="160"/>
      <c r="C284" s="61"/>
    </row>
    <row r="285" spans="2:27" ht="83.25" customHeight="1" thickBot="1">
      <c r="B285" s="160"/>
      <c r="E285" s="1182" t="s">
        <v>245</v>
      </c>
      <c r="F285" s="1185"/>
      <c r="G285" s="1182" t="s">
        <v>246</v>
      </c>
      <c r="H285" s="1183"/>
      <c r="I285" s="1182" t="s">
        <v>247</v>
      </c>
      <c r="J285" s="1183"/>
      <c r="K285" s="1182" t="s">
        <v>248</v>
      </c>
      <c r="L285" s="1183"/>
      <c r="M285" s="1185" t="s">
        <v>249</v>
      </c>
      <c r="N285" s="1185"/>
      <c r="O285" s="1182" t="s">
        <v>250</v>
      </c>
      <c r="P285" s="1183"/>
      <c r="Q285" s="1185" t="s">
        <v>251</v>
      </c>
      <c r="R285" s="1185"/>
      <c r="S285" s="1182" t="s">
        <v>252</v>
      </c>
      <c r="T285" s="1183"/>
      <c r="U285" s="1185" t="s">
        <v>253</v>
      </c>
      <c r="V285" s="1185"/>
      <c r="W285" s="162" t="s">
        <v>254</v>
      </c>
      <c r="X285" s="1182" t="s">
        <v>255</v>
      </c>
      <c r="Y285" s="1183"/>
      <c r="Z285" s="1185" t="s">
        <v>256</v>
      </c>
      <c r="AA285" s="1183"/>
    </row>
    <row r="286" spans="2:27" ht="35" thickBot="1">
      <c r="B286" s="160"/>
      <c r="E286" s="429" t="s">
        <v>257</v>
      </c>
      <c r="F286" s="438" t="s">
        <v>258</v>
      </c>
      <c r="G286" s="429" t="s">
        <v>257</v>
      </c>
      <c r="H286" s="430" t="s">
        <v>258</v>
      </c>
      <c r="I286" s="429" t="s">
        <v>257</v>
      </c>
      <c r="J286" s="430" t="s">
        <v>258</v>
      </c>
      <c r="K286" s="429" t="s">
        <v>257</v>
      </c>
      <c r="L286" s="430" t="s">
        <v>258</v>
      </c>
      <c r="M286" s="438" t="s">
        <v>257</v>
      </c>
      <c r="N286" s="438" t="s">
        <v>258</v>
      </c>
      <c r="O286" s="429" t="s">
        <v>257</v>
      </c>
      <c r="P286" s="430" t="s">
        <v>258</v>
      </c>
      <c r="Q286" s="438" t="s">
        <v>257</v>
      </c>
      <c r="R286" s="438" t="s">
        <v>258</v>
      </c>
      <c r="S286" s="429" t="s">
        <v>271</v>
      </c>
      <c r="T286" s="430" t="s">
        <v>258</v>
      </c>
      <c r="U286" s="438" t="s">
        <v>257</v>
      </c>
      <c r="V286" s="438" t="s">
        <v>258</v>
      </c>
      <c r="W286" s="163" t="s">
        <v>260</v>
      </c>
      <c r="X286" s="429" t="s">
        <v>269</v>
      </c>
      <c r="Y286" s="430" t="s">
        <v>258</v>
      </c>
      <c r="Z286" s="438" t="s">
        <v>262</v>
      </c>
      <c r="AA286" s="430" t="s">
        <v>258</v>
      </c>
    </row>
    <row r="287" spans="2:27">
      <c r="B287" s="160"/>
      <c r="D287" s="406" t="s">
        <v>161</v>
      </c>
      <c r="E287" s="431">
        <v>2215</v>
      </c>
      <c r="F287" s="929">
        <v>1.0004514672686231</v>
      </c>
      <c r="G287" s="431">
        <v>0</v>
      </c>
      <c r="H287" s="432" t="s">
        <v>210</v>
      </c>
      <c r="I287" s="431">
        <v>117</v>
      </c>
      <c r="J287" s="432">
        <v>1</v>
      </c>
      <c r="K287" s="431">
        <v>0</v>
      </c>
      <c r="L287" s="432" t="s">
        <v>210</v>
      </c>
      <c r="M287" s="930">
        <v>0</v>
      </c>
      <c r="N287" s="929" t="s">
        <v>210</v>
      </c>
      <c r="O287" s="431">
        <v>0</v>
      </c>
      <c r="P287" s="432" t="s">
        <v>210</v>
      </c>
      <c r="Q287" s="930">
        <v>11</v>
      </c>
      <c r="R287" s="929">
        <v>1</v>
      </c>
      <c r="S287" s="431">
        <v>12</v>
      </c>
      <c r="T287" s="432">
        <v>1</v>
      </c>
      <c r="U287" s="930">
        <v>536</v>
      </c>
      <c r="V287" s="929">
        <v>1</v>
      </c>
      <c r="W287" s="931">
        <v>9</v>
      </c>
      <c r="X287" s="431">
        <v>117</v>
      </c>
      <c r="Y287" s="432">
        <v>1</v>
      </c>
      <c r="Z287" s="930">
        <v>698</v>
      </c>
      <c r="AA287" s="432">
        <v>1</v>
      </c>
    </row>
    <row r="288" spans="2:27">
      <c r="B288" s="160"/>
      <c r="D288" s="407" t="s">
        <v>263</v>
      </c>
      <c r="E288" s="431">
        <v>1865</v>
      </c>
      <c r="F288" s="929">
        <v>1</v>
      </c>
      <c r="G288" s="431">
        <v>0</v>
      </c>
      <c r="H288" s="432" t="s">
        <v>210</v>
      </c>
      <c r="I288" s="431">
        <v>0</v>
      </c>
      <c r="J288" s="432" t="s">
        <v>210</v>
      </c>
      <c r="K288" s="431">
        <v>0</v>
      </c>
      <c r="L288" s="432" t="s">
        <v>210</v>
      </c>
      <c r="M288" s="930">
        <v>0</v>
      </c>
      <c r="N288" s="929" t="s">
        <v>210</v>
      </c>
      <c r="O288" s="431">
        <v>0</v>
      </c>
      <c r="P288" s="432" t="s">
        <v>210</v>
      </c>
      <c r="Q288" s="930">
        <v>7</v>
      </c>
      <c r="R288" s="929">
        <v>1</v>
      </c>
      <c r="S288" s="431">
        <v>3</v>
      </c>
      <c r="T288" s="432">
        <v>1</v>
      </c>
      <c r="U288" s="930">
        <v>16</v>
      </c>
      <c r="V288" s="929">
        <v>1</v>
      </c>
      <c r="W288" s="931">
        <v>0</v>
      </c>
      <c r="X288" s="431">
        <v>20</v>
      </c>
      <c r="Y288" s="432">
        <v>1</v>
      </c>
      <c r="Z288" s="930">
        <v>26</v>
      </c>
      <c r="AA288" s="432">
        <v>1</v>
      </c>
    </row>
    <row r="289" spans="2:27">
      <c r="B289" s="160"/>
      <c r="D289" s="407" t="s">
        <v>264</v>
      </c>
      <c r="E289" s="431">
        <v>1872</v>
      </c>
      <c r="F289" s="929">
        <v>1</v>
      </c>
      <c r="G289" s="431">
        <v>0</v>
      </c>
      <c r="H289" s="432" t="s">
        <v>210</v>
      </c>
      <c r="I289" s="431">
        <v>0</v>
      </c>
      <c r="J289" s="432" t="s">
        <v>210</v>
      </c>
      <c r="K289" s="431">
        <v>0</v>
      </c>
      <c r="L289" s="432" t="s">
        <v>210</v>
      </c>
      <c r="M289" s="930">
        <v>0</v>
      </c>
      <c r="N289" s="929" t="s">
        <v>210</v>
      </c>
      <c r="O289" s="431">
        <v>0</v>
      </c>
      <c r="P289" s="432" t="s">
        <v>210</v>
      </c>
      <c r="Q289" s="930">
        <v>18</v>
      </c>
      <c r="R289" s="929">
        <v>1</v>
      </c>
      <c r="S289" s="431">
        <v>6</v>
      </c>
      <c r="T289" s="432">
        <v>1</v>
      </c>
      <c r="U289" s="930">
        <v>20</v>
      </c>
      <c r="V289" s="929">
        <v>1</v>
      </c>
      <c r="W289" s="931">
        <v>0</v>
      </c>
      <c r="X289" s="431">
        <v>90</v>
      </c>
      <c r="Y289" s="432">
        <v>1</v>
      </c>
      <c r="Z289" s="930">
        <v>34</v>
      </c>
      <c r="AA289" s="432">
        <v>1</v>
      </c>
    </row>
    <row r="290" spans="2:27">
      <c r="B290" s="160"/>
      <c r="D290" s="407" t="s">
        <v>164</v>
      </c>
      <c r="E290" s="431">
        <v>76</v>
      </c>
      <c r="F290" s="929">
        <v>1</v>
      </c>
      <c r="G290" s="431">
        <v>0</v>
      </c>
      <c r="H290" s="432" t="s">
        <v>210</v>
      </c>
      <c r="I290" s="431">
        <v>0</v>
      </c>
      <c r="J290" s="432" t="s">
        <v>210</v>
      </c>
      <c r="K290" s="431">
        <v>0</v>
      </c>
      <c r="L290" s="432" t="s">
        <v>210</v>
      </c>
      <c r="M290" s="930">
        <v>0</v>
      </c>
      <c r="N290" s="929" t="s">
        <v>210</v>
      </c>
      <c r="O290" s="431">
        <v>0</v>
      </c>
      <c r="P290" s="432" t="s">
        <v>210</v>
      </c>
      <c r="Q290" s="930">
        <v>0</v>
      </c>
      <c r="R290" s="929" t="s">
        <v>210</v>
      </c>
      <c r="S290" s="431">
        <v>0</v>
      </c>
      <c r="T290" s="432" t="s">
        <v>210</v>
      </c>
      <c r="U290" s="930">
        <v>3</v>
      </c>
      <c r="V290" s="929">
        <v>1</v>
      </c>
      <c r="W290" s="931">
        <v>0</v>
      </c>
      <c r="X290" s="431">
        <v>0</v>
      </c>
      <c r="Y290" s="432" t="s">
        <v>210</v>
      </c>
      <c r="Z290" s="930">
        <v>0</v>
      </c>
      <c r="AA290" s="432" t="s">
        <v>210</v>
      </c>
    </row>
    <row r="291" spans="2:27">
      <c r="B291" s="160"/>
      <c r="D291" s="407" t="s">
        <v>165</v>
      </c>
      <c r="E291" s="431">
        <v>164</v>
      </c>
      <c r="F291" s="929">
        <v>1</v>
      </c>
      <c r="G291" s="431">
        <v>0</v>
      </c>
      <c r="H291" s="432" t="s">
        <v>210</v>
      </c>
      <c r="I291" s="431">
        <v>0</v>
      </c>
      <c r="J291" s="432" t="s">
        <v>210</v>
      </c>
      <c r="K291" s="431">
        <v>0</v>
      </c>
      <c r="L291" s="432" t="s">
        <v>210</v>
      </c>
      <c r="M291" s="930">
        <v>0</v>
      </c>
      <c r="N291" s="929" t="s">
        <v>210</v>
      </c>
      <c r="O291" s="431">
        <v>0</v>
      </c>
      <c r="P291" s="432" t="s">
        <v>210</v>
      </c>
      <c r="Q291" s="930">
        <v>0</v>
      </c>
      <c r="R291" s="929" t="s">
        <v>210</v>
      </c>
      <c r="S291" s="431">
        <v>0</v>
      </c>
      <c r="T291" s="432" t="s">
        <v>210</v>
      </c>
      <c r="U291" s="930">
        <v>3</v>
      </c>
      <c r="V291" s="929">
        <v>1</v>
      </c>
      <c r="W291" s="931">
        <v>0</v>
      </c>
      <c r="X291" s="431">
        <v>0</v>
      </c>
      <c r="Y291" s="432" t="s">
        <v>210</v>
      </c>
      <c r="Z291" s="930">
        <v>3</v>
      </c>
      <c r="AA291" s="432">
        <v>1</v>
      </c>
    </row>
    <row r="292" spans="2:27">
      <c r="B292" s="160"/>
      <c r="D292" s="407" t="s">
        <v>166</v>
      </c>
      <c r="E292" s="431">
        <v>0</v>
      </c>
      <c r="F292" s="929" t="s">
        <v>210</v>
      </c>
      <c r="G292" s="431">
        <v>0</v>
      </c>
      <c r="H292" s="432" t="s">
        <v>210</v>
      </c>
      <c r="I292" s="431">
        <v>0</v>
      </c>
      <c r="J292" s="432" t="s">
        <v>210</v>
      </c>
      <c r="K292" s="431">
        <v>0</v>
      </c>
      <c r="L292" s="432" t="s">
        <v>210</v>
      </c>
      <c r="M292" s="930">
        <v>0</v>
      </c>
      <c r="N292" s="929" t="s">
        <v>210</v>
      </c>
      <c r="O292" s="431">
        <v>0</v>
      </c>
      <c r="P292" s="432" t="s">
        <v>210</v>
      </c>
      <c r="Q292" s="930">
        <v>0</v>
      </c>
      <c r="R292" s="929" t="s">
        <v>210</v>
      </c>
      <c r="S292" s="431">
        <v>0</v>
      </c>
      <c r="T292" s="432" t="s">
        <v>210</v>
      </c>
      <c r="U292" s="930">
        <v>1</v>
      </c>
      <c r="V292" s="929">
        <v>1</v>
      </c>
      <c r="W292" s="931">
        <v>0</v>
      </c>
      <c r="X292" s="431">
        <v>0</v>
      </c>
      <c r="Y292" s="432" t="s">
        <v>210</v>
      </c>
      <c r="Z292" s="930">
        <v>0</v>
      </c>
      <c r="AA292" s="432" t="s">
        <v>210</v>
      </c>
    </row>
    <row r="293" spans="2:27">
      <c r="B293" s="160"/>
      <c r="D293" s="407" t="s">
        <v>167</v>
      </c>
      <c r="E293" s="431">
        <v>39</v>
      </c>
      <c r="F293" s="929">
        <v>1</v>
      </c>
      <c r="G293" s="431">
        <v>0</v>
      </c>
      <c r="H293" s="432" t="s">
        <v>210</v>
      </c>
      <c r="I293" s="431">
        <v>12</v>
      </c>
      <c r="J293" s="432">
        <v>1</v>
      </c>
      <c r="K293" s="431">
        <v>0</v>
      </c>
      <c r="L293" s="432" t="s">
        <v>210</v>
      </c>
      <c r="M293" s="930">
        <v>0</v>
      </c>
      <c r="N293" s="929" t="s">
        <v>210</v>
      </c>
      <c r="O293" s="431">
        <v>0</v>
      </c>
      <c r="P293" s="432" t="s">
        <v>210</v>
      </c>
      <c r="Q293" s="930">
        <v>0</v>
      </c>
      <c r="R293" s="929" t="s">
        <v>210</v>
      </c>
      <c r="S293" s="431">
        <v>0</v>
      </c>
      <c r="T293" s="432" t="s">
        <v>210</v>
      </c>
      <c r="U293" s="930">
        <v>7</v>
      </c>
      <c r="V293" s="929">
        <v>1</v>
      </c>
      <c r="W293" s="931">
        <v>0</v>
      </c>
      <c r="X293" s="431">
        <v>0</v>
      </c>
      <c r="Y293" s="432" t="s">
        <v>210</v>
      </c>
      <c r="Z293" s="930">
        <v>1</v>
      </c>
      <c r="AA293" s="432">
        <v>1</v>
      </c>
    </row>
    <row r="294" spans="2:27">
      <c r="B294" s="160"/>
      <c r="D294" s="407" t="s">
        <v>168</v>
      </c>
      <c r="E294" s="431">
        <v>519</v>
      </c>
      <c r="F294" s="929">
        <v>1</v>
      </c>
      <c r="G294" s="431">
        <v>0</v>
      </c>
      <c r="H294" s="432" t="s">
        <v>210</v>
      </c>
      <c r="I294" s="431">
        <v>0</v>
      </c>
      <c r="J294" s="432" t="s">
        <v>210</v>
      </c>
      <c r="K294" s="431">
        <v>0</v>
      </c>
      <c r="L294" s="432" t="s">
        <v>210</v>
      </c>
      <c r="M294" s="930">
        <v>0</v>
      </c>
      <c r="N294" s="929" t="s">
        <v>210</v>
      </c>
      <c r="O294" s="431">
        <v>0</v>
      </c>
      <c r="P294" s="432" t="s">
        <v>210</v>
      </c>
      <c r="Q294" s="930">
        <v>5</v>
      </c>
      <c r="R294" s="929">
        <v>1</v>
      </c>
      <c r="S294" s="431">
        <v>13</v>
      </c>
      <c r="T294" s="432">
        <v>1</v>
      </c>
      <c r="U294" s="930">
        <v>11</v>
      </c>
      <c r="V294" s="929">
        <v>1</v>
      </c>
      <c r="W294" s="931">
        <v>0</v>
      </c>
      <c r="X294" s="431">
        <v>129</v>
      </c>
      <c r="Y294" s="432">
        <v>1</v>
      </c>
      <c r="Z294" s="930">
        <v>15</v>
      </c>
      <c r="AA294" s="432">
        <v>1</v>
      </c>
    </row>
    <row r="295" spans="2:27">
      <c r="B295" s="160"/>
      <c r="D295" s="407" t="s">
        <v>169</v>
      </c>
      <c r="E295" s="431">
        <v>3869</v>
      </c>
      <c r="F295" s="929">
        <v>1</v>
      </c>
      <c r="G295" s="431">
        <v>0</v>
      </c>
      <c r="H295" s="432" t="s">
        <v>210</v>
      </c>
      <c r="I295" s="431">
        <v>27</v>
      </c>
      <c r="J295" s="432">
        <v>1</v>
      </c>
      <c r="K295" s="431">
        <v>5</v>
      </c>
      <c r="L295" s="432">
        <v>1</v>
      </c>
      <c r="M295" s="930">
        <v>0</v>
      </c>
      <c r="N295" s="929" t="s">
        <v>210</v>
      </c>
      <c r="O295" s="431">
        <v>0</v>
      </c>
      <c r="P295" s="432" t="s">
        <v>210</v>
      </c>
      <c r="Q295" s="930">
        <v>50</v>
      </c>
      <c r="R295" s="929">
        <v>1</v>
      </c>
      <c r="S295" s="431">
        <v>39</v>
      </c>
      <c r="T295" s="432">
        <v>1</v>
      </c>
      <c r="U295" s="930">
        <v>85</v>
      </c>
      <c r="V295" s="929">
        <v>1</v>
      </c>
      <c r="W295" s="931">
        <v>0</v>
      </c>
      <c r="X295" s="431">
        <v>383</v>
      </c>
      <c r="Y295" s="432">
        <v>1</v>
      </c>
      <c r="Z295" s="930">
        <v>41</v>
      </c>
      <c r="AA295" s="432">
        <v>1</v>
      </c>
    </row>
    <row r="296" spans="2:27">
      <c r="B296" s="160"/>
      <c r="D296" s="407" t="s">
        <v>170</v>
      </c>
      <c r="E296" s="431">
        <v>3322</v>
      </c>
      <c r="F296" s="929">
        <v>1</v>
      </c>
      <c r="G296" s="431">
        <v>0</v>
      </c>
      <c r="H296" s="432" t="s">
        <v>210</v>
      </c>
      <c r="I296" s="431">
        <v>0</v>
      </c>
      <c r="J296" s="432" t="s">
        <v>210</v>
      </c>
      <c r="K296" s="431">
        <v>2</v>
      </c>
      <c r="L296" s="432">
        <v>1</v>
      </c>
      <c r="M296" s="930">
        <v>0</v>
      </c>
      <c r="N296" s="929" t="s">
        <v>210</v>
      </c>
      <c r="O296" s="431">
        <v>0</v>
      </c>
      <c r="P296" s="432" t="s">
        <v>210</v>
      </c>
      <c r="Q296" s="930">
        <v>24</v>
      </c>
      <c r="R296" s="929">
        <v>1</v>
      </c>
      <c r="S296" s="431">
        <v>11</v>
      </c>
      <c r="T296" s="432">
        <v>1</v>
      </c>
      <c r="U296" s="930">
        <v>156</v>
      </c>
      <c r="V296" s="929">
        <v>1</v>
      </c>
      <c r="W296" s="931">
        <v>0</v>
      </c>
      <c r="X296" s="431">
        <v>263</v>
      </c>
      <c r="Y296" s="432">
        <v>1</v>
      </c>
      <c r="Z296" s="930">
        <v>24</v>
      </c>
      <c r="AA296" s="432">
        <v>1</v>
      </c>
    </row>
    <row r="297" spans="2:27">
      <c r="B297" s="160"/>
      <c r="D297" s="407" t="s">
        <v>171</v>
      </c>
      <c r="E297" s="431">
        <v>932</v>
      </c>
      <c r="F297" s="929">
        <v>0.96673819742489275</v>
      </c>
      <c r="G297" s="431">
        <v>0</v>
      </c>
      <c r="H297" s="432" t="s">
        <v>210</v>
      </c>
      <c r="I297" s="431">
        <v>0</v>
      </c>
      <c r="J297" s="432" t="s">
        <v>210</v>
      </c>
      <c r="K297" s="431">
        <v>0</v>
      </c>
      <c r="L297" s="432" t="s">
        <v>210</v>
      </c>
      <c r="M297" s="930">
        <v>0</v>
      </c>
      <c r="N297" s="929" t="s">
        <v>210</v>
      </c>
      <c r="O297" s="431">
        <v>0</v>
      </c>
      <c r="P297" s="432" t="s">
        <v>210</v>
      </c>
      <c r="Q297" s="930">
        <v>2</v>
      </c>
      <c r="R297" s="929">
        <v>1</v>
      </c>
      <c r="S297" s="431">
        <v>0</v>
      </c>
      <c r="T297" s="432" t="s">
        <v>210</v>
      </c>
      <c r="U297" s="930">
        <v>71</v>
      </c>
      <c r="V297" s="929">
        <v>1</v>
      </c>
      <c r="W297" s="931">
        <v>0</v>
      </c>
      <c r="X297" s="431">
        <v>0</v>
      </c>
      <c r="Y297" s="432" t="s">
        <v>210</v>
      </c>
      <c r="Z297" s="930">
        <v>0</v>
      </c>
      <c r="AA297" s="432" t="s">
        <v>210</v>
      </c>
    </row>
    <row r="298" spans="2:27">
      <c r="B298" s="160"/>
      <c r="D298" s="407" t="s">
        <v>172</v>
      </c>
      <c r="E298" s="431">
        <v>524</v>
      </c>
      <c r="F298" s="929">
        <v>1.0935114503816794</v>
      </c>
      <c r="G298" s="431">
        <v>0</v>
      </c>
      <c r="H298" s="432" t="s">
        <v>210</v>
      </c>
      <c r="I298" s="431">
        <v>0</v>
      </c>
      <c r="J298" s="432" t="s">
        <v>210</v>
      </c>
      <c r="K298" s="431">
        <v>5</v>
      </c>
      <c r="L298" s="432">
        <v>1</v>
      </c>
      <c r="M298" s="930">
        <v>0</v>
      </c>
      <c r="N298" s="929" t="s">
        <v>210</v>
      </c>
      <c r="O298" s="431">
        <v>0</v>
      </c>
      <c r="P298" s="432" t="s">
        <v>210</v>
      </c>
      <c r="Q298" s="930">
        <v>3</v>
      </c>
      <c r="R298" s="929">
        <v>1</v>
      </c>
      <c r="S298" s="431">
        <v>3</v>
      </c>
      <c r="T298" s="432">
        <v>1</v>
      </c>
      <c r="U298" s="930">
        <v>64</v>
      </c>
      <c r="V298" s="929">
        <v>1</v>
      </c>
      <c r="W298" s="931">
        <v>0</v>
      </c>
      <c r="X298" s="431">
        <v>0</v>
      </c>
      <c r="Y298" s="432" t="s">
        <v>210</v>
      </c>
      <c r="Z298" s="930">
        <v>0</v>
      </c>
      <c r="AA298" s="432" t="s">
        <v>210</v>
      </c>
    </row>
    <row r="299" spans="2:27">
      <c r="B299" s="160"/>
      <c r="D299" s="407" t="s">
        <v>28</v>
      </c>
      <c r="E299" s="431">
        <v>1271</v>
      </c>
      <c r="F299" s="929">
        <v>0.71911880409126672</v>
      </c>
      <c r="G299" s="431">
        <v>0</v>
      </c>
      <c r="H299" s="432" t="s">
        <v>210</v>
      </c>
      <c r="I299" s="431">
        <v>3</v>
      </c>
      <c r="J299" s="432">
        <v>1</v>
      </c>
      <c r="K299" s="431">
        <v>0</v>
      </c>
      <c r="L299" s="432" t="s">
        <v>210</v>
      </c>
      <c r="M299" s="930">
        <v>0</v>
      </c>
      <c r="N299" s="929" t="s">
        <v>210</v>
      </c>
      <c r="O299" s="431">
        <v>0</v>
      </c>
      <c r="P299" s="432" t="s">
        <v>210</v>
      </c>
      <c r="Q299" s="930">
        <v>4</v>
      </c>
      <c r="R299" s="929">
        <v>1</v>
      </c>
      <c r="S299" s="431">
        <v>2</v>
      </c>
      <c r="T299" s="432">
        <v>1</v>
      </c>
      <c r="U299" s="930">
        <v>81</v>
      </c>
      <c r="V299" s="929">
        <v>1</v>
      </c>
      <c r="W299" s="931">
        <v>1</v>
      </c>
      <c r="X299" s="431">
        <v>1</v>
      </c>
      <c r="Y299" s="432">
        <v>1</v>
      </c>
      <c r="Z299" s="930">
        <v>91</v>
      </c>
      <c r="AA299" s="432">
        <v>1</v>
      </c>
    </row>
    <row r="300" spans="2:27" ht="12" thickBot="1">
      <c r="B300" s="160"/>
      <c r="D300" s="413" t="s">
        <v>173</v>
      </c>
      <c r="E300" s="431">
        <v>6445</v>
      </c>
      <c r="F300" s="929">
        <v>1</v>
      </c>
      <c r="G300" s="431">
        <v>0</v>
      </c>
      <c r="H300" s="432" t="s">
        <v>210</v>
      </c>
      <c r="I300" s="431">
        <v>0</v>
      </c>
      <c r="J300" s="432" t="s">
        <v>210</v>
      </c>
      <c r="K300" s="431">
        <v>10</v>
      </c>
      <c r="L300" s="432">
        <v>1</v>
      </c>
      <c r="M300" s="930">
        <v>0</v>
      </c>
      <c r="N300" s="929" t="s">
        <v>210</v>
      </c>
      <c r="O300" s="431">
        <v>0</v>
      </c>
      <c r="P300" s="432" t="s">
        <v>210</v>
      </c>
      <c r="Q300" s="930">
        <v>47</v>
      </c>
      <c r="R300" s="929">
        <v>1</v>
      </c>
      <c r="S300" s="431">
        <v>16</v>
      </c>
      <c r="T300" s="432">
        <v>1</v>
      </c>
      <c r="U300" s="930">
        <v>382</v>
      </c>
      <c r="V300" s="929">
        <v>1</v>
      </c>
      <c r="W300" s="1038">
        <v>3</v>
      </c>
      <c r="X300" s="431">
        <v>87</v>
      </c>
      <c r="Y300" s="432">
        <v>1</v>
      </c>
      <c r="Z300" s="930">
        <v>85</v>
      </c>
      <c r="AA300" s="432">
        <v>1</v>
      </c>
    </row>
    <row r="301" spans="2:27">
      <c r="B301" s="160"/>
    </row>
    <row r="302" spans="2:27">
      <c r="B302" s="160"/>
      <c r="C302" s="61"/>
      <c r="D302" s="108"/>
      <c r="E302" s="1" t="s">
        <v>272</v>
      </c>
    </row>
    <row r="303" spans="2:27" ht="12" thickBot="1">
      <c r="B303" s="160"/>
      <c r="C303" s="61"/>
    </row>
    <row r="304" spans="2:27" ht="45.75" customHeight="1" thickBot="1">
      <c r="B304" s="160"/>
      <c r="C304" s="61"/>
      <c r="E304" s="1182" t="s">
        <v>245</v>
      </c>
      <c r="F304" s="1185"/>
      <c r="G304" s="1182" t="s">
        <v>246</v>
      </c>
      <c r="H304" s="1183"/>
      <c r="I304" s="1182" t="s">
        <v>247</v>
      </c>
      <c r="J304" s="1183"/>
      <c r="K304" s="1182" t="s">
        <v>248</v>
      </c>
      <c r="L304" s="1183"/>
      <c r="M304" s="1185" t="s">
        <v>249</v>
      </c>
      <c r="N304" s="1185"/>
      <c r="O304" s="1182" t="s">
        <v>250</v>
      </c>
      <c r="P304" s="1183"/>
      <c r="Q304" s="1185" t="s">
        <v>251</v>
      </c>
      <c r="R304" s="1185"/>
      <c r="S304" s="1182" t="s">
        <v>252</v>
      </c>
      <c r="T304" s="1183"/>
      <c r="U304" s="1185" t="s">
        <v>253</v>
      </c>
      <c r="V304" s="1185"/>
      <c r="W304" s="162" t="s">
        <v>254</v>
      </c>
      <c r="X304" s="1182" t="s">
        <v>255</v>
      </c>
      <c r="Y304" s="1183"/>
      <c r="Z304" s="1185" t="s">
        <v>256</v>
      </c>
      <c r="AA304" s="1183"/>
    </row>
    <row r="305" spans="2:27" ht="35" thickBot="1">
      <c r="B305" s="160"/>
      <c r="C305" s="61"/>
      <c r="E305" s="429" t="s">
        <v>257</v>
      </c>
      <c r="F305" s="438" t="s">
        <v>258</v>
      </c>
      <c r="G305" s="429" t="s">
        <v>257</v>
      </c>
      <c r="H305" s="430" t="s">
        <v>258</v>
      </c>
      <c r="I305" s="429" t="s">
        <v>257</v>
      </c>
      <c r="J305" s="430" t="s">
        <v>258</v>
      </c>
      <c r="K305" s="429" t="s">
        <v>257</v>
      </c>
      <c r="L305" s="430" t="s">
        <v>258</v>
      </c>
      <c r="M305" s="438" t="s">
        <v>257</v>
      </c>
      <c r="N305" s="438" t="s">
        <v>258</v>
      </c>
      <c r="O305" s="429" t="s">
        <v>257</v>
      </c>
      <c r="P305" s="430" t="s">
        <v>258</v>
      </c>
      <c r="Q305" s="438" t="s">
        <v>257</v>
      </c>
      <c r="R305" s="438" t="s">
        <v>258</v>
      </c>
      <c r="S305" s="429" t="s">
        <v>259</v>
      </c>
      <c r="T305" s="430" t="s">
        <v>258</v>
      </c>
      <c r="U305" s="438" t="s">
        <v>257</v>
      </c>
      <c r="V305" s="438" t="s">
        <v>258</v>
      </c>
      <c r="W305" s="163" t="s">
        <v>260</v>
      </c>
      <c r="X305" s="429" t="s">
        <v>269</v>
      </c>
      <c r="Y305" s="430" t="s">
        <v>258</v>
      </c>
      <c r="Z305" s="438" t="s">
        <v>262</v>
      </c>
      <c r="AA305" s="430" t="s">
        <v>258</v>
      </c>
    </row>
    <row r="306" spans="2:27">
      <c r="B306" s="160"/>
      <c r="C306" s="61"/>
      <c r="D306" s="406" t="s">
        <v>161</v>
      </c>
      <c r="E306" s="431">
        <v>2669</v>
      </c>
      <c r="F306" s="929">
        <v>1.0052454102660173</v>
      </c>
      <c r="G306" s="431">
        <v>0</v>
      </c>
      <c r="H306" s="432" t="s">
        <v>210</v>
      </c>
      <c r="I306" s="431">
        <v>0</v>
      </c>
      <c r="J306" s="432" t="s">
        <v>210</v>
      </c>
      <c r="K306" s="431">
        <v>0</v>
      </c>
      <c r="L306" s="432" t="s">
        <v>210</v>
      </c>
      <c r="M306" s="930">
        <v>0</v>
      </c>
      <c r="N306" s="929" t="s">
        <v>210</v>
      </c>
      <c r="O306" s="431">
        <v>0</v>
      </c>
      <c r="P306" s="432" t="s">
        <v>210</v>
      </c>
      <c r="Q306" s="930">
        <v>24</v>
      </c>
      <c r="R306" s="929">
        <v>1</v>
      </c>
      <c r="S306" s="431">
        <v>23</v>
      </c>
      <c r="T306" s="432">
        <v>1</v>
      </c>
      <c r="U306" s="930">
        <v>344</v>
      </c>
      <c r="V306" s="929">
        <v>1</v>
      </c>
      <c r="W306" s="931">
        <v>4</v>
      </c>
      <c r="X306" s="431">
        <v>358</v>
      </c>
      <c r="Y306" s="432">
        <v>1</v>
      </c>
      <c r="Z306" s="930">
        <v>822</v>
      </c>
      <c r="AA306" s="432">
        <v>1</v>
      </c>
    </row>
    <row r="307" spans="2:27">
      <c r="B307" s="160"/>
      <c r="C307" s="61"/>
      <c r="D307" s="407" t="s">
        <v>263</v>
      </c>
      <c r="E307" s="431">
        <v>1731</v>
      </c>
      <c r="F307" s="929">
        <v>1</v>
      </c>
      <c r="G307" s="431">
        <v>0</v>
      </c>
      <c r="H307" s="432" t="s">
        <v>210</v>
      </c>
      <c r="I307" s="431">
        <v>0</v>
      </c>
      <c r="J307" s="432" t="s">
        <v>210</v>
      </c>
      <c r="K307" s="431">
        <v>0</v>
      </c>
      <c r="L307" s="432" t="s">
        <v>210</v>
      </c>
      <c r="M307" s="930">
        <v>0</v>
      </c>
      <c r="N307" s="929" t="s">
        <v>210</v>
      </c>
      <c r="O307" s="431">
        <v>0</v>
      </c>
      <c r="P307" s="432" t="s">
        <v>210</v>
      </c>
      <c r="Q307" s="930">
        <v>10</v>
      </c>
      <c r="R307" s="929">
        <v>1</v>
      </c>
      <c r="S307" s="431">
        <v>0</v>
      </c>
      <c r="T307" s="432" t="s">
        <v>210</v>
      </c>
      <c r="U307" s="930">
        <v>13</v>
      </c>
      <c r="V307" s="929">
        <v>1</v>
      </c>
      <c r="W307" s="931">
        <v>1</v>
      </c>
      <c r="X307" s="431">
        <v>32</v>
      </c>
      <c r="Y307" s="432">
        <v>1</v>
      </c>
      <c r="Z307" s="930">
        <v>23</v>
      </c>
      <c r="AA307" s="432">
        <v>1</v>
      </c>
    </row>
    <row r="308" spans="2:27">
      <c r="B308" s="160"/>
      <c r="C308" s="61"/>
      <c r="D308" s="407" t="s">
        <v>264</v>
      </c>
      <c r="E308" s="431">
        <v>1107</v>
      </c>
      <c r="F308" s="929">
        <v>1.0162601626016261</v>
      </c>
      <c r="G308" s="431">
        <v>0</v>
      </c>
      <c r="H308" s="432" t="s">
        <v>210</v>
      </c>
      <c r="I308" s="431">
        <v>0</v>
      </c>
      <c r="J308" s="432" t="s">
        <v>210</v>
      </c>
      <c r="K308" s="431">
        <v>0</v>
      </c>
      <c r="L308" s="432" t="s">
        <v>210</v>
      </c>
      <c r="M308" s="930">
        <v>0</v>
      </c>
      <c r="N308" s="929" t="s">
        <v>210</v>
      </c>
      <c r="O308" s="431">
        <v>0</v>
      </c>
      <c r="P308" s="432" t="s">
        <v>210</v>
      </c>
      <c r="Q308" s="930">
        <v>59</v>
      </c>
      <c r="R308" s="929">
        <v>1</v>
      </c>
      <c r="S308" s="431">
        <v>4</v>
      </c>
      <c r="T308" s="432">
        <v>1</v>
      </c>
      <c r="U308" s="930">
        <v>8</v>
      </c>
      <c r="V308" s="929">
        <v>1</v>
      </c>
      <c r="W308" s="931">
        <v>1</v>
      </c>
      <c r="X308" s="431">
        <v>85</v>
      </c>
      <c r="Y308" s="432">
        <v>1</v>
      </c>
      <c r="Z308" s="930">
        <v>54</v>
      </c>
      <c r="AA308" s="432">
        <v>1</v>
      </c>
    </row>
    <row r="309" spans="2:27">
      <c r="B309" s="160"/>
      <c r="C309" s="61"/>
      <c r="D309" s="407" t="s">
        <v>164</v>
      </c>
      <c r="E309" s="431">
        <v>43</v>
      </c>
      <c r="F309" s="929">
        <v>1</v>
      </c>
      <c r="G309" s="431">
        <v>0</v>
      </c>
      <c r="H309" s="432" t="s">
        <v>210</v>
      </c>
      <c r="I309" s="431">
        <v>0</v>
      </c>
      <c r="J309" s="432" t="s">
        <v>210</v>
      </c>
      <c r="K309" s="431">
        <v>0</v>
      </c>
      <c r="L309" s="432" t="s">
        <v>210</v>
      </c>
      <c r="M309" s="930">
        <v>0</v>
      </c>
      <c r="N309" s="929" t="s">
        <v>210</v>
      </c>
      <c r="O309" s="431">
        <v>0</v>
      </c>
      <c r="P309" s="432" t="s">
        <v>210</v>
      </c>
      <c r="Q309" s="930">
        <v>0</v>
      </c>
      <c r="R309" s="929" t="s">
        <v>210</v>
      </c>
      <c r="S309" s="431">
        <v>1</v>
      </c>
      <c r="T309" s="432">
        <v>1</v>
      </c>
      <c r="U309" s="930">
        <v>3</v>
      </c>
      <c r="V309" s="929">
        <v>1</v>
      </c>
      <c r="W309" s="931">
        <v>0</v>
      </c>
      <c r="X309" s="431">
        <v>1</v>
      </c>
      <c r="Y309" s="432">
        <v>1</v>
      </c>
      <c r="Z309" s="930">
        <v>0</v>
      </c>
      <c r="AA309" s="432" t="s">
        <v>210</v>
      </c>
    </row>
    <row r="310" spans="2:27">
      <c r="B310" s="160"/>
      <c r="C310" s="61"/>
      <c r="D310" s="407" t="s">
        <v>165</v>
      </c>
      <c r="E310" s="431">
        <v>35</v>
      </c>
      <c r="F310" s="929">
        <v>1</v>
      </c>
      <c r="G310" s="431">
        <v>0</v>
      </c>
      <c r="H310" s="432" t="s">
        <v>210</v>
      </c>
      <c r="I310" s="431">
        <v>0</v>
      </c>
      <c r="J310" s="432" t="s">
        <v>210</v>
      </c>
      <c r="K310" s="431">
        <v>0</v>
      </c>
      <c r="L310" s="432" t="s">
        <v>210</v>
      </c>
      <c r="M310" s="930">
        <v>0</v>
      </c>
      <c r="N310" s="929" t="s">
        <v>210</v>
      </c>
      <c r="O310" s="431">
        <v>0</v>
      </c>
      <c r="P310" s="432" t="s">
        <v>210</v>
      </c>
      <c r="Q310" s="930">
        <v>0</v>
      </c>
      <c r="R310" s="929" t="s">
        <v>210</v>
      </c>
      <c r="S310" s="431">
        <v>1</v>
      </c>
      <c r="T310" s="432">
        <v>1</v>
      </c>
      <c r="U310" s="930">
        <v>1</v>
      </c>
      <c r="V310" s="929">
        <v>1</v>
      </c>
      <c r="W310" s="931">
        <v>0</v>
      </c>
      <c r="X310" s="431">
        <v>0</v>
      </c>
      <c r="Y310" s="432" t="s">
        <v>210</v>
      </c>
      <c r="Z310" s="930">
        <v>1</v>
      </c>
      <c r="AA310" s="432">
        <v>1</v>
      </c>
    </row>
    <row r="311" spans="2:27">
      <c r="B311" s="160"/>
      <c r="C311" s="61"/>
      <c r="D311" s="407" t="s">
        <v>166</v>
      </c>
      <c r="E311" s="431">
        <v>72</v>
      </c>
      <c r="F311" s="929">
        <v>1</v>
      </c>
      <c r="G311" s="431">
        <v>0</v>
      </c>
      <c r="H311" s="432" t="s">
        <v>210</v>
      </c>
      <c r="I311" s="431">
        <v>0</v>
      </c>
      <c r="J311" s="432" t="s">
        <v>210</v>
      </c>
      <c r="K311" s="431">
        <v>0</v>
      </c>
      <c r="L311" s="432" t="s">
        <v>210</v>
      </c>
      <c r="M311" s="930">
        <v>0</v>
      </c>
      <c r="N311" s="929" t="s">
        <v>210</v>
      </c>
      <c r="O311" s="431">
        <v>0</v>
      </c>
      <c r="P311" s="432" t="s">
        <v>210</v>
      </c>
      <c r="Q311" s="930">
        <v>0</v>
      </c>
      <c r="R311" s="929" t="s">
        <v>210</v>
      </c>
      <c r="S311" s="431">
        <v>0</v>
      </c>
      <c r="T311" s="432" t="s">
        <v>210</v>
      </c>
      <c r="U311" s="930">
        <v>0</v>
      </c>
      <c r="V311" s="929" t="s">
        <v>210</v>
      </c>
      <c r="W311" s="931">
        <v>0</v>
      </c>
      <c r="X311" s="431">
        <v>0</v>
      </c>
      <c r="Y311" s="432" t="s">
        <v>210</v>
      </c>
      <c r="Z311" s="930">
        <v>0</v>
      </c>
      <c r="AA311" s="432" t="s">
        <v>210</v>
      </c>
    </row>
    <row r="312" spans="2:27">
      <c r="B312" s="160"/>
      <c r="C312" s="61"/>
      <c r="D312" s="407" t="s">
        <v>167</v>
      </c>
      <c r="E312" s="431">
        <v>122</v>
      </c>
      <c r="F312" s="929">
        <v>1</v>
      </c>
      <c r="G312" s="431">
        <v>0</v>
      </c>
      <c r="H312" s="432" t="s">
        <v>210</v>
      </c>
      <c r="I312" s="431">
        <v>0</v>
      </c>
      <c r="J312" s="432" t="s">
        <v>210</v>
      </c>
      <c r="K312" s="431">
        <v>0</v>
      </c>
      <c r="L312" s="432" t="s">
        <v>210</v>
      </c>
      <c r="M312" s="930">
        <v>0</v>
      </c>
      <c r="N312" s="929" t="s">
        <v>210</v>
      </c>
      <c r="O312" s="431">
        <v>0</v>
      </c>
      <c r="P312" s="432" t="s">
        <v>210</v>
      </c>
      <c r="Q312" s="930">
        <v>0</v>
      </c>
      <c r="R312" s="929" t="s">
        <v>210</v>
      </c>
      <c r="S312" s="431">
        <v>1</v>
      </c>
      <c r="T312" s="432">
        <v>1</v>
      </c>
      <c r="U312" s="930">
        <v>4</v>
      </c>
      <c r="V312" s="929">
        <v>1</v>
      </c>
      <c r="W312" s="931">
        <v>0</v>
      </c>
      <c r="X312" s="431">
        <v>0</v>
      </c>
      <c r="Y312" s="432" t="s">
        <v>210</v>
      </c>
      <c r="Z312" s="930">
        <v>1</v>
      </c>
      <c r="AA312" s="432">
        <v>1</v>
      </c>
    </row>
    <row r="313" spans="2:27">
      <c r="B313" s="160"/>
      <c r="C313" s="61"/>
      <c r="D313" s="407" t="s">
        <v>168</v>
      </c>
      <c r="E313" s="431">
        <v>687</v>
      </c>
      <c r="F313" s="929">
        <v>1</v>
      </c>
      <c r="G313" s="431">
        <v>0</v>
      </c>
      <c r="H313" s="432" t="s">
        <v>210</v>
      </c>
      <c r="I313" s="431">
        <v>0</v>
      </c>
      <c r="J313" s="432" t="s">
        <v>210</v>
      </c>
      <c r="K313" s="431">
        <v>0</v>
      </c>
      <c r="L313" s="432" t="s">
        <v>210</v>
      </c>
      <c r="M313" s="930">
        <v>0</v>
      </c>
      <c r="N313" s="929" t="s">
        <v>210</v>
      </c>
      <c r="O313" s="431">
        <v>0</v>
      </c>
      <c r="P313" s="432" t="s">
        <v>210</v>
      </c>
      <c r="Q313" s="930">
        <v>1</v>
      </c>
      <c r="R313" s="929">
        <v>1</v>
      </c>
      <c r="S313" s="431">
        <v>21</v>
      </c>
      <c r="T313" s="432">
        <v>1</v>
      </c>
      <c r="U313" s="930">
        <v>4</v>
      </c>
      <c r="V313" s="929">
        <v>1</v>
      </c>
      <c r="W313" s="931">
        <v>0</v>
      </c>
      <c r="X313" s="431">
        <v>75</v>
      </c>
      <c r="Y313" s="432">
        <v>1</v>
      </c>
      <c r="Z313" s="930">
        <v>4</v>
      </c>
      <c r="AA313" s="432">
        <v>1</v>
      </c>
    </row>
    <row r="314" spans="2:27">
      <c r="B314" s="160"/>
      <c r="C314" s="61"/>
      <c r="D314" s="407" t="s">
        <v>169</v>
      </c>
      <c r="E314" s="431">
        <v>2837</v>
      </c>
      <c r="F314" s="929">
        <v>1</v>
      </c>
      <c r="G314" s="431">
        <v>0</v>
      </c>
      <c r="H314" s="432" t="s">
        <v>210</v>
      </c>
      <c r="I314" s="431">
        <v>1</v>
      </c>
      <c r="J314" s="432">
        <v>1</v>
      </c>
      <c r="K314" s="431">
        <v>0</v>
      </c>
      <c r="L314" s="432" t="s">
        <v>210</v>
      </c>
      <c r="M314" s="930">
        <v>0</v>
      </c>
      <c r="N314" s="929" t="s">
        <v>210</v>
      </c>
      <c r="O314" s="431">
        <v>0</v>
      </c>
      <c r="P314" s="432" t="s">
        <v>210</v>
      </c>
      <c r="Q314" s="930">
        <v>57</v>
      </c>
      <c r="R314" s="929">
        <v>1</v>
      </c>
      <c r="S314" s="431">
        <v>44</v>
      </c>
      <c r="T314" s="432">
        <v>1</v>
      </c>
      <c r="U314" s="930">
        <v>257</v>
      </c>
      <c r="V314" s="929">
        <v>1</v>
      </c>
      <c r="W314" s="931">
        <v>0</v>
      </c>
      <c r="X314" s="431">
        <v>254</v>
      </c>
      <c r="Y314" s="432">
        <v>1</v>
      </c>
      <c r="Z314" s="930">
        <v>21</v>
      </c>
      <c r="AA314" s="432">
        <v>1</v>
      </c>
    </row>
    <row r="315" spans="2:27">
      <c r="B315" s="160"/>
      <c r="C315" s="61"/>
      <c r="D315" s="407" t="s">
        <v>170</v>
      </c>
      <c r="E315" s="431">
        <v>4309</v>
      </c>
      <c r="F315" s="929">
        <v>1</v>
      </c>
      <c r="G315" s="431">
        <v>0</v>
      </c>
      <c r="H315" s="432" t="s">
        <v>210</v>
      </c>
      <c r="I315" s="431">
        <v>0</v>
      </c>
      <c r="J315" s="432" t="s">
        <v>210</v>
      </c>
      <c r="K315" s="431">
        <v>193</v>
      </c>
      <c r="L315" s="432">
        <v>1</v>
      </c>
      <c r="M315" s="930">
        <v>0</v>
      </c>
      <c r="N315" s="929" t="s">
        <v>210</v>
      </c>
      <c r="O315" s="431">
        <v>0</v>
      </c>
      <c r="P315" s="432" t="s">
        <v>210</v>
      </c>
      <c r="Q315" s="930">
        <v>15</v>
      </c>
      <c r="R315" s="929">
        <v>1</v>
      </c>
      <c r="S315" s="431">
        <v>52</v>
      </c>
      <c r="T315" s="432">
        <v>1</v>
      </c>
      <c r="U315" s="930">
        <v>168</v>
      </c>
      <c r="V315" s="929">
        <v>1</v>
      </c>
      <c r="W315" s="931">
        <v>0</v>
      </c>
      <c r="X315" s="431">
        <v>191</v>
      </c>
      <c r="Y315" s="432">
        <v>1</v>
      </c>
      <c r="Z315" s="930">
        <v>9</v>
      </c>
      <c r="AA315" s="432">
        <v>1</v>
      </c>
    </row>
    <row r="316" spans="2:27">
      <c r="B316" s="160"/>
      <c r="C316" s="61"/>
      <c r="D316" s="407" t="s">
        <v>171</v>
      </c>
      <c r="E316" s="431">
        <v>360</v>
      </c>
      <c r="F316" s="929">
        <v>1</v>
      </c>
      <c r="G316" s="431">
        <v>0</v>
      </c>
      <c r="H316" s="432" t="s">
        <v>210</v>
      </c>
      <c r="I316" s="431">
        <v>0</v>
      </c>
      <c r="J316" s="432" t="s">
        <v>210</v>
      </c>
      <c r="K316" s="431">
        <v>0</v>
      </c>
      <c r="L316" s="432" t="s">
        <v>210</v>
      </c>
      <c r="M316" s="930">
        <v>0</v>
      </c>
      <c r="N316" s="929" t="s">
        <v>210</v>
      </c>
      <c r="O316" s="431">
        <v>0</v>
      </c>
      <c r="P316" s="432" t="s">
        <v>210</v>
      </c>
      <c r="Q316" s="930">
        <v>12</v>
      </c>
      <c r="R316" s="929">
        <v>1</v>
      </c>
      <c r="S316" s="431">
        <v>1</v>
      </c>
      <c r="T316" s="432">
        <v>1</v>
      </c>
      <c r="U316" s="930">
        <v>120</v>
      </c>
      <c r="V316" s="929">
        <v>1</v>
      </c>
      <c r="W316" s="931">
        <v>0</v>
      </c>
      <c r="X316" s="431">
        <v>0</v>
      </c>
      <c r="Y316" s="432" t="s">
        <v>210</v>
      </c>
      <c r="Z316" s="930">
        <v>0</v>
      </c>
      <c r="AA316" s="432" t="s">
        <v>210</v>
      </c>
    </row>
    <row r="317" spans="2:27">
      <c r="B317" s="160"/>
      <c r="C317" s="61"/>
      <c r="D317" s="407" t="s">
        <v>172</v>
      </c>
      <c r="E317" s="431">
        <v>871</v>
      </c>
      <c r="F317" s="929">
        <v>1</v>
      </c>
      <c r="G317" s="431">
        <v>0</v>
      </c>
      <c r="H317" s="432" t="s">
        <v>210</v>
      </c>
      <c r="I317" s="431">
        <v>16</v>
      </c>
      <c r="J317" s="432">
        <v>1</v>
      </c>
      <c r="K317" s="431">
        <v>0</v>
      </c>
      <c r="L317" s="432" t="s">
        <v>210</v>
      </c>
      <c r="M317" s="930">
        <v>0</v>
      </c>
      <c r="N317" s="929" t="s">
        <v>210</v>
      </c>
      <c r="O317" s="431">
        <v>0</v>
      </c>
      <c r="P317" s="432" t="s">
        <v>210</v>
      </c>
      <c r="Q317" s="930">
        <v>0</v>
      </c>
      <c r="R317" s="929" t="s">
        <v>210</v>
      </c>
      <c r="S317" s="431">
        <v>7</v>
      </c>
      <c r="T317" s="432">
        <v>1</v>
      </c>
      <c r="U317" s="930">
        <v>94</v>
      </c>
      <c r="V317" s="929">
        <v>1</v>
      </c>
      <c r="W317" s="931">
        <v>0</v>
      </c>
      <c r="X317" s="431">
        <v>0</v>
      </c>
      <c r="Y317" s="432" t="s">
        <v>210</v>
      </c>
      <c r="Z317" s="930">
        <v>0</v>
      </c>
      <c r="AA317" s="432" t="s">
        <v>210</v>
      </c>
    </row>
    <row r="318" spans="2:27">
      <c r="B318" s="160"/>
      <c r="D318" s="407" t="s">
        <v>28</v>
      </c>
      <c r="E318" s="431">
        <v>1494</v>
      </c>
      <c r="F318" s="929">
        <v>1</v>
      </c>
      <c r="G318" s="431">
        <v>0</v>
      </c>
      <c r="H318" s="432" t="s">
        <v>210</v>
      </c>
      <c r="I318" s="431">
        <v>20</v>
      </c>
      <c r="J318" s="432">
        <v>1</v>
      </c>
      <c r="K318" s="431">
        <v>0</v>
      </c>
      <c r="L318" s="432" t="s">
        <v>210</v>
      </c>
      <c r="M318" s="930">
        <v>0</v>
      </c>
      <c r="N318" s="929" t="s">
        <v>210</v>
      </c>
      <c r="O318" s="431">
        <v>0</v>
      </c>
      <c r="P318" s="432" t="s">
        <v>210</v>
      </c>
      <c r="Q318" s="930">
        <v>0</v>
      </c>
      <c r="R318" s="929" t="s">
        <v>210</v>
      </c>
      <c r="S318" s="431">
        <v>3</v>
      </c>
      <c r="T318" s="432">
        <v>1</v>
      </c>
      <c r="U318" s="930">
        <v>52</v>
      </c>
      <c r="V318" s="929">
        <v>1</v>
      </c>
      <c r="W318" s="931">
        <v>0</v>
      </c>
      <c r="X318" s="431">
        <v>1</v>
      </c>
      <c r="Y318" s="432">
        <v>1</v>
      </c>
      <c r="Z318" s="930">
        <v>25</v>
      </c>
      <c r="AA318" s="432">
        <v>1</v>
      </c>
    </row>
    <row r="319" spans="2:27" ht="12" thickBot="1">
      <c r="B319" s="160"/>
      <c r="D319" s="413" t="s">
        <v>173</v>
      </c>
      <c r="E319" s="431">
        <v>6210</v>
      </c>
      <c r="F319" s="929">
        <v>1</v>
      </c>
      <c r="G319" s="431">
        <v>0</v>
      </c>
      <c r="H319" s="432" t="s">
        <v>210</v>
      </c>
      <c r="I319" s="431">
        <v>26</v>
      </c>
      <c r="J319" s="432">
        <v>1</v>
      </c>
      <c r="K319" s="431">
        <v>0</v>
      </c>
      <c r="L319" s="432" t="s">
        <v>210</v>
      </c>
      <c r="M319" s="930">
        <v>0</v>
      </c>
      <c r="N319" s="929" t="s">
        <v>210</v>
      </c>
      <c r="O319" s="431">
        <v>0</v>
      </c>
      <c r="P319" s="432" t="s">
        <v>210</v>
      </c>
      <c r="Q319" s="930">
        <v>17</v>
      </c>
      <c r="R319" s="929">
        <v>1</v>
      </c>
      <c r="S319" s="431">
        <v>12</v>
      </c>
      <c r="T319" s="432">
        <v>1</v>
      </c>
      <c r="U319" s="930">
        <v>364</v>
      </c>
      <c r="V319" s="929">
        <v>1</v>
      </c>
      <c r="W319" s="931">
        <v>0</v>
      </c>
      <c r="X319" s="431">
        <v>61</v>
      </c>
      <c r="Y319" s="432">
        <v>1</v>
      </c>
      <c r="Z319" s="930">
        <v>77</v>
      </c>
      <c r="AA319" s="432">
        <v>1</v>
      </c>
    </row>
    <row r="320" spans="2:27">
      <c r="B320" s="160"/>
    </row>
    <row r="321" spans="2:27">
      <c r="B321" s="160"/>
      <c r="C321" s="61"/>
      <c r="D321" s="108"/>
      <c r="E321" s="1" t="s">
        <v>273</v>
      </c>
    </row>
    <row r="322" spans="2:27" ht="12" thickBot="1">
      <c r="B322" s="160"/>
      <c r="C322" s="61"/>
    </row>
    <row r="323" spans="2:27" ht="45.75" customHeight="1" thickBot="1">
      <c r="B323" s="160"/>
      <c r="C323" s="61"/>
      <c r="E323" s="1182" t="s">
        <v>245</v>
      </c>
      <c r="F323" s="1185"/>
      <c r="G323" s="1182" t="s">
        <v>246</v>
      </c>
      <c r="H323" s="1183"/>
      <c r="I323" s="1182" t="s">
        <v>247</v>
      </c>
      <c r="J323" s="1183"/>
      <c r="K323" s="1182" t="s">
        <v>248</v>
      </c>
      <c r="L323" s="1183"/>
      <c r="M323" s="1185" t="s">
        <v>249</v>
      </c>
      <c r="N323" s="1185"/>
      <c r="O323" s="1182" t="s">
        <v>250</v>
      </c>
      <c r="P323" s="1183"/>
      <c r="Q323" s="1185" t="s">
        <v>251</v>
      </c>
      <c r="R323" s="1185"/>
      <c r="S323" s="1182" t="s">
        <v>252</v>
      </c>
      <c r="T323" s="1183"/>
      <c r="U323" s="1185" t="s">
        <v>253</v>
      </c>
      <c r="V323" s="1185"/>
      <c r="W323" s="162" t="s">
        <v>254</v>
      </c>
      <c r="X323" s="1182" t="s">
        <v>255</v>
      </c>
      <c r="Y323" s="1183"/>
      <c r="Z323" s="1185" t="s">
        <v>256</v>
      </c>
      <c r="AA323" s="1183"/>
    </row>
    <row r="324" spans="2:27" ht="35" thickBot="1">
      <c r="B324" s="160"/>
      <c r="C324" s="61"/>
      <c r="E324" s="429" t="s">
        <v>257</v>
      </c>
      <c r="F324" s="438" t="s">
        <v>258</v>
      </c>
      <c r="G324" s="429" t="s">
        <v>257</v>
      </c>
      <c r="H324" s="430" t="s">
        <v>258</v>
      </c>
      <c r="I324" s="429" t="s">
        <v>257</v>
      </c>
      <c r="J324" s="430" t="s">
        <v>258</v>
      </c>
      <c r="K324" s="429" t="s">
        <v>257</v>
      </c>
      <c r="L324" s="430" t="s">
        <v>258</v>
      </c>
      <c r="M324" s="438" t="s">
        <v>257</v>
      </c>
      <c r="N324" s="438" t="s">
        <v>258</v>
      </c>
      <c r="O324" s="429" t="s">
        <v>257</v>
      </c>
      <c r="P324" s="430" t="s">
        <v>258</v>
      </c>
      <c r="Q324" s="438" t="s">
        <v>257</v>
      </c>
      <c r="R324" s="438" t="s">
        <v>258</v>
      </c>
      <c r="S324" s="429" t="s">
        <v>259</v>
      </c>
      <c r="T324" s="430" t="s">
        <v>258</v>
      </c>
      <c r="U324" s="438" t="s">
        <v>257</v>
      </c>
      <c r="V324" s="438" t="s">
        <v>258</v>
      </c>
      <c r="W324" s="163" t="s">
        <v>260</v>
      </c>
      <c r="X324" s="429" t="s">
        <v>269</v>
      </c>
      <c r="Y324" s="430" t="s">
        <v>258</v>
      </c>
      <c r="Z324" s="438" t="s">
        <v>262</v>
      </c>
      <c r="AA324" s="430" t="s">
        <v>258</v>
      </c>
    </row>
    <row r="325" spans="2:27">
      <c r="B325" s="160"/>
      <c r="C325" s="61"/>
      <c r="D325" s="406" t="s">
        <v>161</v>
      </c>
      <c r="E325" s="431">
        <v>4321</v>
      </c>
      <c r="F325" s="929">
        <v>1</v>
      </c>
      <c r="G325" s="431">
        <v>0</v>
      </c>
      <c r="H325" s="432" t="s">
        <v>210</v>
      </c>
      <c r="I325" s="431">
        <v>564</v>
      </c>
      <c r="J325" s="432">
        <v>1</v>
      </c>
      <c r="K325" s="431">
        <v>27666</v>
      </c>
      <c r="L325" s="432">
        <v>1</v>
      </c>
      <c r="M325" s="930">
        <v>0</v>
      </c>
      <c r="N325" s="929" t="s">
        <v>210</v>
      </c>
      <c r="O325" s="431">
        <v>0</v>
      </c>
      <c r="P325" s="432" t="s">
        <v>210</v>
      </c>
      <c r="Q325" s="930">
        <v>1</v>
      </c>
      <c r="R325" s="929">
        <v>1</v>
      </c>
      <c r="S325" s="431">
        <v>25</v>
      </c>
      <c r="T325" s="432">
        <v>1</v>
      </c>
      <c r="U325" s="930">
        <v>363</v>
      </c>
      <c r="V325" s="929">
        <v>1</v>
      </c>
      <c r="W325" s="931">
        <v>5</v>
      </c>
      <c r="X325" s="431">
        <v>396</v>
      </c>
      <c r="Y325" s="432">
        <v>1</v>
      </c>
      <c r="Z325" s="930">
        <v>3378</v>
      </c>
      <c r="AA325" s="432">
        <v>1</v>
      </c>
    </row>
    <row r="326" spans="2:27">
      <c r="B326" s="160"/>
      <c r="C326" s="61"/>
      <c r="D326" s="407" t="s">
        <v>263</v>
      </c>
      <c r="E326" s="431">
        <v>11407</v>
      </c>
      <c r="F326" s="929">
        <v>1.1126501271149294</v>
      </c>
      <c r="G326" s="431">
        <v>0</v>
      </c>
      <c r="H326" s="432" t="s">
        <v>210</v>
      </c>
      <c r="I326" s="431">
        <v>14116</v>
      </c>
      <c r="J326" s="432">
        <v>1</v>
      </c>
      <c r="K326" s="431">
        <v>108093</v>
      </c>
      <c r="L326" s="432">
        <v>1</v>
      </c>
      <c r="M326" s="930">
        <v>0</v>
      </c>
      <c r="N326" s="929" t="s">
        <v>210</v>
      </c>
      <c r="O326" s="431">
        <v>0</v>
      </c>
      <c r="P326" s="432" t="s">
        <v>210</v>
      </c>
      <c r="Q326" s="930">
        <v>79</v>
      </c>
      <c r="R326" s="929">
        <v>1</v>
      </c>
      <c r="S326" s="431">
        <v>5</v>
      </c>
      <c r="T326" s="432">
        <v>1</v>
      </c>
      <c r="U326" s="930">
        <v>13</v>
      </c>
      <c r="V326" s="929">
        <v>1</v>
      </c>
      <c r="W326" s="931">
        <v>0</v>
      </c>
      <c r="X326" s="431">
        <v>33</v>
      </c>
      <c r="Y326" s="432">
        <v>1</v>
      </c>
      <c r="Z326" s="930">
        <v>28</v>
      </c>
      <c r="AA326" s="432">
        <v>1</v>
      </c>
    </row>
    <row r="327" spans="2:27">
      <c r="B327" s="160"/>
      <c r="C327" s="61"/>
      <c r="D327" s="407" t="s">
        <v>264</v>
      </c>
      <c r="E327" s="431">
        <v>6259</v>
      </c>
      <c r="F327" s="929">
        <v>0.77648186611279757</v>
      </c>
      <c r="G327" s="431">
        <v>4</v>
      </c>
      <c r="H327" s="432">
        <v>1</v>
      </c>
      <c r="I327" s="431">
        <v>383</v>
      </c>
      <c r="J327" s="432">
        <v>1</v>
      </c>
      <c r="K327" s="431">
        <v>4736</v>
      </c>
      <c r="L327" s="432">
        <v>1</v>
      </c>
      <c r="M327" s="930">
        <v>0</v>
      </c>
      <c r="N327" s="929" t="s">
        <v>210</v>
      </c>
      <c r="O327" s="431">
        <v>0</v>
      </c>
      <c r="P327" s="432" t="s">
        <v>210</v>
      </c>
      <c r="Q327" s="930">
        <v>123</v>
      </c>
      <c r="R327" s="929">
        <v>1</v>
      </c>
      <c r="S327" s="431">
        <v>3</v>
      </c>
      <c r="T327" s="432">
        <v>1</v>
      </c>
      <c r="U327" s="930">
        <v>22</v>
      </c>
      <c r="V327" s="929">
        <v>1</v>
      </c>
      <c r="W327" s="931">
        <v>3</v>
      </c>
      <c r="X327" s="431">
        <v>102</v>
      </c>
      <c r="Y327" s="432">
        <v>1</v>
      </c>
      <c r="Z327" s="930">
        <v>48</v>
      </c>
      <c r="AA327" s="432">
        <v>1</v>
      </c>
    </row>
    <row r="328" spans="2:27">
      <c r="B328" s="160"/>
      <c r="C328" s="61"/>
      <c r="D328" s="407" t="s">
        <v>164</v>
      </c>
      <c r="E328" s="431">
        <v>327</v>
      </c>
      <c r="F328" s="929">
        <v>1</v>
      </c>
      <c r="G328" s="431">
        <v>0</v>
      </c>
      <c r="H328" s="432" t="s">
        <v>210</v>
      </c>
      <c r="I328" s="431">
        <v>0</v>
      </c>
      <c r="J328" s="432" t="s">
        <v>210</v>
      </c>
      <c r="K328" s="431">
        <v>2353</v>
      </c>
      <c r="L328" s="432">
        <v>1</v>
      </c>
      <c r="M328" s="930">
        <v>0</v>
      </c>
      <c r="N328" s="929" t="s">
        <v>210</v>
      </c>
      <c r="O328" s="431">
        <v>0</v>
      </c>
      <c r="P328" s="432" t="s">
        <v>210</v>
      </c>
      <c r="Q328" s="930">
        <v>8</v>
      </c>
      <c r="R328" s="929">
        <v>1</v>
      </c>
      <c r="S328" s="431">
        <v>0</v>
      </c>
      <c r="T328" s="432" t="s">
        <v>210</v>
      </c>
      <c r="U328" s="930">
        <v>2</v>
      </c>
      <c r="V328" s="929">
        <v>1</v>
      </c>
      <c r="W328" s="931">
        <v>0</v>
      </c>
      <c r="X328" s="431">
        <v>1</v>
      </c>
      <c r="Y328" s="432">
        <v>1</v>
      </c>
      <c r="Z328" s="930">
        <v>0</v>
      </c>
      <c r="AA328" s="432" t="s">
        <v>210</v>
      </c>
    </row>
    <row r="329" spans="2:27">
      <c r="B329" s="160"/>
      <c r="C329" s="61"/>
      <c r="D329" s="407" t="s">
        <v>165</v>
      </c>
      <c r="E329" s="431">
        <v>193</v>
      </c>
      <c r="F329" s="929">
        <v>1</v>
      </c>
      <c r="G329" s="431">
        <v>0</v>
      </c>
      <c r="H329" s="432" t="s">
        <v>210</v>
      </c>
      <c r="I329" s="431">
        <v>281</v>
      </c>
      <c r="J329" s="432">
        <v>1</v>
      </c>
      <c r="K329" s="431">
        <v>0</v>
      </c>
      <c r="L329" s="432" t="s">
        <v>210</v>
      </c>
      <c r="M329" s="930">
        <v>0</v>
      </c>
      <c r="N329" s="929" t="s">
        <v>210</v>
      </c>
      <c r="O329" s="431">
        <v>0</v>
      </c>
      <c r="P329" s="432" t="s">
        <v>210</v>
      </c>
      <c r="Q329" s="930">
        <v>2</v>
      </c>
      <c r="R329" s="929">
        <v>1</v>
      </c>
      <c r="S329" s="431">
        <v>2</v>
      </c>
      <c r="T329" s="432">
        <v>1</v>
      </c>
      <c r="U329" s="930">
        <v>0</v>
      </c>
      <c r="V329" s="929" t="s">
        <v>210</v>
      </c>
      <c r="W329" s="931">
        <v>0</v>
      </c>
      <c r="X329" s="431">
        <v>0</v>
      </c>
      <c r="Y329" s="432" t="s">
        <v>210</v>
      </c>
      <c r="Z329" s="930">
        <v>1</v>
      </c>
      <c r="AA329" s="432">
        <v>1</v>
      </c>
    </row>
    <row r="330" spans="2:27">
      <c r="B330" s="160"/>
      <c r="C330" s="61"/>
      <c r="D330" s="407" t="s">
        <v>166</v>
      </c>
      <c r="E330" s="431">
        <v>30</v>
      </c>
      <c r="F330" s="929">
        <v>1</v>
      </c>
      <c r="G330" s="431">
        <v>0</v>
      </c>
      <c r="H330" s="432" t="s">
        <v>210</v>
      </c>
      <c r="I330" s="431">
        <v>0</v>
      </c>
      <c r="J330" s="432" t="s">
        <v>210</v>
      </c>
      <c r="K330" s="431">
        <v>239</v>
      </c>
      <c r="L330" s="432">
        <v>1</v>
      </c>
      <c r="M330" s="930">
        <v>0</v>
      </c>
      <c r="N330" s="929" t="s">
        <v>210</v>
      </c>
      <c r="O330" s="431">
        <v>0</v>
      </c>
      <c r="P330" s="432" t="s">
        <v>210</v>
      </c>
      <c r="Q330" s="930">
        <v>0</v>
      </c>
      <c r="R330" s="929" t="s">
        <v>210</v>
      </c>
      <c r="S330" s="431">
        <v>1</v>
      </c>
      <c r="T330" s="432">
        <v>1</v>
      </c>
      <c r="U330" s="930">
        <v>2</v>
      </c>
      <c r="V330" s="929">
        <v>1</v>
      </c>
      <c r="W330" s="931">
        <v>0</v>
      </c>
      <c r="X330" s="431">
        <v>0</v>
      </c>
      <c r="Y330" s="432" t="s">
        <v>210</v>
      </c>
      <c r="Z330" s="930">
        <v>0</v>
      </c>
      <c r="AA330" s="432" t="s">
        <v>210</v>
      </c>
    </row>
    <row r="331" spans="2:27">
      <c r="B331" s="160"/>
      <c r="C331" s="61"/>
      <c r="D331" s="407" t="s">
        <v>167</v>
      </c>
      <c r="E331" s="431">
        <v>467</v>
      </c>
      <c r="F331" s="929">
        <v>1</v>
      </c>
      <c r="G331" s="431">
        <v>0</v>
      </c>
      <c r="H331" s="432" t="s">
        <v>210</v>
      </c>
      <c r="I331" s="431">
        <v>0</v>
      </c>
      <c r="J331" s="432" t="s">
        <v>210</v>
      </c>
      <c r="K331" s="431">
        <v>0</v>
      </c>
      <c r="L331" s="432" t="s">
        <v>210</v>
      </c>
      <c r="M331" s="930">
        <v>16277</v>
      </c>
      <c r="N331" s="929">
        <v>1</v>
      </c>
      <c r="O331" s="431">
        <v>0</v>
      </c>
      <c r="P331" s="432" t="s">
        <v>210</v>
      </c>
      <c r="Q331" s="930">
        <v>9</v>
      </c>
      <c r="R331" s="929">
        <v>1</v>
      </c>
      <c r="S331" s="431">
        <v>1</v>
      </c>
      <c r="T331" s="432">
        <v>1</v>
      </c>
      <c r="U331" s="930">
        <v>10</v>
      </c>
      <c r="V331" s="929">
        <v>1</v>
      </c>
      <c r="W331" s="931">
        <v>0</v>
      </c>
      <c r="X331" s="431">
        <v>0</v>
      </c>
      <c r="Y331" s="432" t="s">
        <v>210</v>
      </c>
      <c r="Z331" s="930">
        <v>2</v>
      </c>
      <c r="AA331" s="432">
        <v>1</v>
      </c>
    </row>
    <row r="332" spans="2:27">
      <c r="B332" s="160"/>
      <c r="C332" s="61"/>
      <c r="D332" s="407" t="s">
        <v>168</v>
      </c>
      <c r="E332" s="431">
        <v>1168</v>
      </c>
      <c r="F332" s="929">
        <v>1</v>
      </c>
      <c r="G332" s="431">
        <v>0</v>
      </c>
      <c r="H332" s="432" t="s">
        <v>210</v>
      </c>
      <c r="I332" s="431">
        <v>0</v>
      </c>
      <c r="J332" s="432" t="s">
        <v>210</v>
      </c>
      <c r="K332" s="431">
        <v>0</v>
      </c>
      <c r="L332" s="432" t="s">
        <v>210</v>
      </c>
      <c r="M332" s="930">
        <v>0</v>
      </c>
      <c r="N332" s="929" t="s">
        <v>210</v>
      </c>
      <c r="O332" s="431">
        <v>0</v>
      </c>
      <c r="P332" s="432" t="s">
        <v>210</v>
      </c>
      <c r="Q332" s="930">
        <v>9</v>
      </c>
      <c r="R332" s="929">
        <v>1</v>
      </c>
      <c r="S332" s="431">
        <v>42</v>
      </c>
      <c r="T332" s="432">
        <v>1</v>
      </c>
      <c r="U332" s="930">
        <v>8</v>
      </c>
      <c r="V332" s="929">
        <v>1</v>
      </c>
      <c r="W332" s="931">
        <v>0</v>
      </c>
      <c r="X332" s="431">
        <v>137</v>
      </c>
      <c r="Y332" s="432">
        <v>1</v>
      </c>
      <c r="Z332" s="930">
        <v>7</v>
      </c>
      <c r="AA332" s="432">
        <v>1</v>
      </c>
    </row>
    <row r="333" spans="2:27">
      <c r="B333" s="160"/>
      <c r="C333" s="61"/>
      <c r="D333" s="407" t="s">
        <v>169</v>
      </c>
      <c r="E333" s="431">
        <v>2858</v>
      </c>
      <c r="F333" s="929">
        <v>1</v>
      </c>
      <c r="G333" s="431">
        <v>0</v>
      </c>
      <c r="H333" s="432" t="s">
        <v>210</v>
      </c>
      <c r="I333" s="431">
        <v>0</v>
      </c>
      <c r="J333" s="432" t="s">
        <v>210</v>
      </c>
      <c r="K333" s="431">
        <v>0</v>
      </c>
      <c r="L333" s="432" t="s">
        <v>210</v>
      </c>
      <c r="M333" s="930">
        <v>5749</v>
      </c>
      <c r="N333" s="929">
        <v>1</v>
      </c>
      <c r="O333" s="431">
        <v>0</v>
      </c>
      <c r="P333" s="432" t="s">
        <v>210</v>
      </c>
      <c r="Q333" s="930">
        <v>18</v>
      </c>
      <c r="R333" s="929">
        <v>1</v>
      </c>
      <c r="S333" s="431">
        <v>44</v>
      </c>
      <c r="T333" s="432">
        <v>1</v>
      </c>
      <c r="U333" s="930">
        <v>252</v>
      </c>
      <c r="V333" s="929">
        <v>1</v>
      </c>
      <c r="W333" s="931">
        <v>0</v>
      </c>
      <c r="X333" s="431">
        <v>393</v>
      </c>
      <c r="Y333" s="432">
        <v>1</v>
      </c>
      <c r="Z333" s="930">
        <v>29</v>
      </c>
      <c r="AA333" s="432">
        <v>1</v>
      </c>
    </row>
    <row r="334" spans="2:27">
      <c r="B334" s="160"/>
      <c r="C334" s="61"/>
      <c r="D334" s="407" t="s">
        <v>170</v>
      </c>
      <c r="E334" s="431">
        <v>4685</v>
      </c>
      <c r="F334" s="929">
        <v>1</v>
      </c>
      <c r="G334" s="431">
        <v>0</v>
      </c>
      <c r="H334" s="432" t="s">
        <v>210</v>
      </c>
      <c r="I334" s="431">
        <v>0</v>
      </c>
      <c r="J334" s="432" t="s">
        <v>210</v>
      </c>
      <c r="K334" s="431">
        <v>9875</v>
      </c>
      <c r="L334" s="432">
        <v>1</v>
      </c>
      <c r="M334" s="930">
        <v>0</v>
      </c>
      <c r="N334" s="929" t="s">
        <v>210</v>
      </c>
      <c r="O334" s="431">
        <v>0</v>
      </c>
      <c r="P334" s="432" t="s">
        <v>210</v>
      </c>
      <c r="Q334" s="930">
        <v>25</v>
      </c>
      <c r="R334" s="929">
        <v>1</v>
      </c>
      <c r="S334" s="431">
        <v>52</v>
      </c>
      <c r="T334" s="432">
        <v>1</v>
      </c>
      <c r="U334" s="930">
        <v>244</v>
      </c>
      <c r="V334" s="929">
        <v>1</v>
      </c>
      <c r="W334" s="931">
        <v>0</v>
      </c>
      <c r="X334" s="431">
        <v>272</v>
      </c>
      <c r="Y334" s="432">
        <v>1</v>
      </c>
      <c r="Z334" s="930">
        <v>14</v>
      </c>
      <c r="AA334" s="432">
        <v>1</v>
      </c>
    </row>
    <row r="335" spans="2:27">
      <c r="B335" s="160"/>
      <c r="C335" s="61"/>
      <c r="D335" s="407" t="s">
        <v>171</v>
      </c>
      <c r="E335" s="431">
        <v>307</v>
      </c>
      <c r="F335" s="929">
        <v>1</v>
      </c>
      <c r="G335" s="431">
        <v>0</v>
      </c>
      <c r="H335" s="432" t="s">
        <v>210</v>
      </c>
      <c r="I335" s="431">
        <v>1</v>
      </c>
      <c r="J335" s="432">
        <v>1</v>
      </c>
      <c r="K335" s="431">
        <v>20258</v>
      </c>
      <c r="L335" s="432">
        <v>1</v>
      </c>
      <c r="M335" s="930">
        <v>0</v>
      </c>
      <c r="N335" s="929" t="s">
        <v>210</v>
      </c>
      <c r="O335" s="431">
        <v>0</v>
      </c>
      <c r="P335" s="432" t="s">
        <v>210</v>
      </c>
      <c r="Q335" s="930">
        <v>5</v>
      </c>
      <c r="R335" s="929">
        <v>1</v>
      </c>
      <c r="S335" s="431">
        <v>1</v>
      </c>
      <c r="T335" s="432">
        <v>1</v>
      </c>
      <c r="U335" s="930">
        <v>71</v>
      </c>
      <c r="V335" s="929">
        <v>1</v>
      </c>
      <c r="W335" s="931">
        <v>0</v>
      </c>
      <c r="X335" s="431">
        <v>0</v>
      </c>
      <c r="Y335" s="432" t="s">
        <v>210</v>
      </c>
      <c r="Z335" s="930">
        <v>0</v>
      </c>
      <c r="AA335" s="432" t="s">
        <v>210</v>
      </c>
    </row>
    <row r="336" spans="2:27">
      <c r="B336" s="160"/>
      <c r="C336" s="61"/>
      <c r="D336" s="407" t="s">
        <v>172</v>
      </c>
      <c r="E336" s="431">
        <v>787</v>
      </c>
      <c r="F336" s="929">
        <v>1</v>
      </c>
      <c r="G336" s="431">
        <v>0</v>
      </c>
      <c r="H336" s="432" t="s">
        <v>210</v>
      </c>
      <c r="I336" s="431">
        <v>215</v>
      </c>
      <c r="J336" s="432">
        <v>1</v>
      </c>
      <c r="K336" s="431">
        <v>6053</v>
      </c>
      <c r="L336" s="432">
        <v>1</v>
      </c>
      <c r="M336" s="930">
        <v>0</v>
      </c>
      <c r="N336" s="929" t="s">
        <v>210</v>
      </c>
      <c r="O336" s="431">
        <v>0</v>
      </c>
      <c r="P336" s="432" t="s">
        <v>210</v>
      </c>
      <c r="Q336" s="930">
        <v>8</v>
      </c>
      <c r="R336" s="929">
        <v>1</v>
      </c>
      <c r="S336" s="431">
        <v>8</v>
      </c>
      <c r="T336" s="432">
        <v>1</v>
      </c>
      <c r="U336" s="930">
        <v>102</v>
      </c>
      <c r="V336" s="929">
        <v>1</v>
      </c>
      <c r="W336" s="931">
        <v>0</v>
      </c>
      <c r="X336" s="431">
        <v>0</v>
      </c>
      <c r="Y336" s="432" t="s">
        <v>210</v>
      </c>
      <c r="Z336" s="930">
        <v>0</v>
      </c>
      <c r="AA336" s="432" t="s">
        <v>210</v>
      </c>
    </row>
    <row r="337" spans="2:27">
      <c r="B337" s="160"/>
      <c r="D337" s="407" t="s">
        <v>28</v>
      </c>
      <c r="E337" s="431">
        <v>3726</v>
      </c>
      <c r="F337" s="929">
        <v>1.191358024691358</v>
      </c>
      <c r="G337" s="431">
        <v>0</v>
      </c>
      <c r="H337" s="432" t="s">
        <v>210</v>
      </c>
      <c r="I337" s="431">
        <v>13</v>
      </c>
      <c r="J337" s="432">
        <v>1</v>
      </c>
      <c r="K337" s="431">
        <v>135731</v>
      </c>
      <c r="L337" s="432">
        <v>1</v>
      </c>
      <c r="M337" s="930">
        <v>0</v>
      </c>
      <c r="N337" s="929" t="s">
        <v>210</v>
      </c>
      <c r="O337" s="431">
        <v>0</v>
      </c>
      <c r="P337" s="432" t="s">
        <v>210</v>
      </c>
      <c r="Q337" s="930">
        <v>3</v>
      </c>
      <c r="R337" s="929">
        <v>1</v>
      </c>
      <c r="S337" s="431">
        <v>14</v>
      </c>
      <c r="T337" s="432">
        <v>1</v>
      </c>
      <c r="U337" s="930">
        <v>88</v>
      </c>
      <c r="V337" s="929">
        <v>1</v>
      </c>
      <c r="W337" s="931">
        <v>0</v>
      </c>
      <c r="X337" s="431">
        <v>13</v>
      </c>
      <c r="Y337" s="432">
        <v>1</v>
      </c>
      <c r="Z337" s="930">
        <v>281</v>
      </c>
      <c r="AA337" s="432">
        <v>1</v>
      </c>
    </row>
    <row r="338" spans="2:27" ht="12" thickBot="1">
      <c r="B338" s="160"/>
      <c r="D338" s="413" t="s">
        <v>173</v>
      </c>
      <c r="E338" s="431">
        <v>8206</v>
      </c>
      <c r="F338" s="929">
        <v>0.99975627589568605</v>
      </c>
      <c r="G338" s="431">
        <v>0</v>
      </c>
      <c r="H338" s="432" t="s">
        <v>210</v>
      </c>
      <c r="I338" s="431">
        <v>55</v>
      </c>
      <c r="J338" s="432">
        <v>1</v>
      </c>
      <c r="K338" s="431">
        <v>48073</v>
      </c>
      <c r="L338" s="432">
        <v>1</v>
      </c>
      <c r="M338" s="930">
        <v>0</v>
      </c>
      <c r="N338" s="929" t="s">
        <v>210</v>
      </c>
      <c r="O338" s="431">
        <v>0</v>
      </c>
      <c r="P338" s="432" t="s">
        <v>210</v>
      </c>
      <c r="Q338" s="930">
        <v>52</v>
      </c>
      <c r="R338" s="929">
        <v>1</v>
      </c>
      <c r="S338" s="431">
        <v>10</v>
      </c>
      <c r="T338" s="432">
        <v>1</v>
      </c>
      <c r="U338" s="930">
        <v>274</v>
      </c>
      <c r="V338" s="929">
        <v>1</v>
      </c>
      <c r="W338" s="931">
        <v>0</v>
      </c>
      <c r="X338" s="431">
        <v>36</v>
      </c>
      <c r="Y338" s="432">
        <v>1</v>
      </c>
      <c r="Z338" s="930">
        <v>46</v>
      </c>
      <c r="AA338" s="432">
        <v>1</v>
      </c>
    </row>
    <row r="339" spans="2:27">
      <c r="B339" s="160"/>
    </row>
    <row r="340" spans="2:27">
      <c r="B340" s="160"/>
      <c r="D340" s="108"/>
      <c r="E340" s="1" t="s">
        <v>274</v>
      </c>
    </row>
    <row r="341" spans="2:27" ht="12" thickBot="1">
      <c r="B341" s="160"/>
    </row>
    <row r="342" spans="2:27" ht="45.75" customHeight="1" thickBot="1">
      <c r="B342" s="160"/>
      <c r="E342" s="1182" t="s">
        <v>245</v>
      </c>
      <c r="F342" s="1185"/>
      <c r="G342" s="1182" t="s">
        <v>246</v>
      </c>
      <c r="H342" s="1183"/>
      <c r="I342" s="1182" t="s">
        <v>247</v>
      </c>
      <c r="J342" s="1183"/>
      <c r="K342" s="1182" t="s">
        <v>248</v>
      </c>
      <c r="L342" s="1183"/>
      <c r="M342" s="1185" t="s">
        <v>249</v>
      </c>
      <c r="N342" s="1185"/>
      <c r="O342" s="1182" t="s">
        <v>250</v>
      </c>
      <c r="P342" s="1183"/>
      <c r="Q342" s="1185" t="s">
        <v>251</v>
      </c>
      <c r="R342" s="1185"/>
      <c r="S342" s="1182" t="s">
        <v>252</v>
      </c>
      <c r="T342" s="1183"/>
      <c r="U342" s="1185" t="s">
        <v>253</v>
      </c>
      <c r="V342" s="1185"/>
      <c r="W342" s="162" t="s">
        <v>254</v>
      </c>
      <c r="X342" s="1182" t="s">
        <v>255</v>
      </c>
      <c r="Y342" s="1183"/>
      <c r="Z342" s="1185" t="s">
        <v>256</v>
      </c>
      <c r="AA342" s="1183"/>
    </row>
    <row r="343" spans="2:27" ht="35" thickBot="1">
      <c r="B343" s="160"/>
      <c r="E343" s="429" t="s">
        <v>257</v>
      </c>
      <c r="F343" s="438" t="s">
        <v>258</v>
      </c>
      <c r="G343" s="429" t="s">
        <v>257</v>
      </c>
      <c r="H343" s="430" t="s">
        <v>258</v>
      </c>
      <c r="I343" s="429" t="s">
        <v>257</v>
      </c>
      <c r="J343" s="430" t="s">
        <v>258</v>
      </c>
      <c r="K343" s="429" t="s">
        <v>257</v>
      </c>
      <c r="L343" s="430" t="s">
        <v>258</v>
      </c>
      <c r="M343" s="438" t="s">
        <v>257</v>
      </c>
      <c r="N343" s="438" t="s">
        <v>258</v>
      </c>
      <c r="O343" s="429" t="s">
        <v>257</v>
      </c>
      <c r="P343" s="430" t="s">
        <v>258</v>
      </c>
      <c r="Q343" s="438" t="s">
        <v>257</v>
      </c>
      <c r="R343" s="438" t="s">
        <v>258</v>
      </c>
      <c r="S343" s="429" t="s">
        <v>259</v>
      </c>
      <c r="T343" s="430" t="s">
        <v>258</v>
      </c>
      <c r="U343" s="438" t="s">
        <v>257</v>
      </c>
      <c r="V343" s="438" t="s">
        <v>258</v>
      </c>
      <c r="W343" s="163" t="s">
        <v>260</v>
      </c>
      <c r="X343" s="429" t="s">
        <v>269</v>
      </c>
      <c r="Y343" s="430" t="s">
        <v>258</v>
      </c>
      <c r="Z343" s="438" t="s">
        <v>262</v>
      </c>
      <c r="AA343" s="430" t="s">
        <v>258</v>
      </c>
    </row>
    <row r="344" spans="2:27">
      <c r="B344" s="160"/>
      <c r="D344" s="406" t="s">
        <v>161</v>
      </c>
      <c r="E344" s="434"/>
      <c r="F344" s="439"/>
      <c r="G344" s="434"/>
      <c r="H344" s="435"/>
      <c r="I344" s="434"/>
      <c r="J344" s="435"/>
      <c r="K344" s="434"/>
      <c r="L344" s="435"/>
      <c r="M344" s="433"/>
      <c r="N344" s="439"/>
      <c r="O344" s="434"/>
      <c r="P344" s="435"/>
      <c r="Q344" s="433"/>
      <c r="R344" s="439"/>
      <c r="S344" s="434"/>
      <c r="T344" s="435"/>
      <c r="U344" s="433"/>
      <c r="V344" s="439"/>
      <c r="W344" s="442"/>
      <c r="X344" s="434"/>
      <c r="Y344" s="435"/>
      <c r="Z344" s="433"/>
      <c r="AA344" s="435"/>
    </row>
    <row r="345" spans="2:27">
      <c r="B345" s="160"/>
      <c r="D345" s="407" t="s">
        <v>263</v>
      </c>
      <c r="E345" s="434"/>
      <c r="F345" s="439"/>
      <c r="G345" s="434"/>
      <c r="H345" s="435"/>
      <c r="I345" s="434"/>
      <c r="J345" s="435"/>
      <c r="K345" s="434"/>
      <c r="L345" s="435"/>
      <c r="M345" s="433"/>
      <c r="N345" s="439"/>
      <c r="O345" s="434"/>
      <c r="P345" s="435"/>
      <c r="Q345" s="433"/>
      <c r="R345" s="439"/>
      <c r="S345" s="434"/>
      <c r="T345" s="435"/>
      <c r="U345" s="433"/>
      <c r="V345" s="439"/>
      <c r="W345" s="442"/>
      <c r="X345" s="434"/>
      <c r="Y345" s="435"/>
      <c r="Z345" s="433"/>
      <c r="AA345" s="435"/>
    </row>
    <row r="346" spans="2:27">
      <c r="B346" s="160"/>
      <c r="D346" s="407" t="s">
        <v>264</v>
      </c>
      <c r="E346" s="434"/>
      <c r="F346" s="439"/>
      <c r="G346" s="434"/>
      <c r="H346" s="435"/>
      <c r="I346" s="434"/>
      <c r="J346" s="435"/>
      <c r="K346" s="434"/>
      <c r="L346" s="435"/>
      <c r="M346" s="433"/>
      <c r="N346" s="439"/>
      <c r="O346" s="434"/>
      <c r="P346" s="435"/>
      <c r="Q346" s="433"/>
      <c r="R346" s="439"/>
      <c r="S346" s="434"/>
      <c r="T346" s="435"/>
      <c r="U346" s="433"/>
      <c r="V346" s="439"/>
      <c r="W346" s="442"/>
      <c r="X346" s="434"/>
      <c r="Y346" s="435"/>
      <c r="Z346" s="433"/>
      <c r="AA346" s="435"/>
    </row>
    <row r="347" spans="2:27">
      <c r="B347" s="160"/>
      <c r="D347" s="407" t="s">
        <v>164</v>
      </c>
      <c r="E347" s="434"/>
      <c r="F347" s="439"/>
      <c r="G347" s="434"/>
      <c r="H347" s="435"/>
      <c r="I347" s="434"/>
      <c r="J347" s="435"/>
      <c r="K347" s="434"/>
      <c r="L347" s="435"/>
      <c r="M347" s="433"/>
      <c r="N347" s="439"/>
      <c r="O347" s="434"/>
      <c r="P347" s="435"/>
      <c r="Q347" s="433"/>
      <c r="R347" s="439"/>
      <c r="S347" s="434"/>
      <c r="T347" s="435"/>
      <c r="U347" s="433"/>
      <c r="V347" s="439"/>
      <c r="W347" s="442"/>
      <c r="X347" s="434"/>
      <c r="Y347" s="435"/>
      <c r="Z347" s="433"/>
      <c r="AA347" s="435"/>
    </row>
    <row r="348" spans="2:27">
      <c r="B348" s="160"/>
      <c r="D348" s="407" t="s">
        <v>165</v>
      </c>
      <c r="E348" s="434"/>
      <c r="F348" s="439"/>
      <c r="G348" s="434"/>
      <c r="H348" s="435"/>
      <c r="I348" s="434"/>
      <c r="J348" s="435"/>
      <c r="K348" s="434"/>
      <c r="L348" s="435"/>
      <c r="M348" s="433"/>
      <c r="N348" s="439"/>
      <c r="O348" s="434"/>
      <c r="P348" s="435"/>
      <c r="Q348" s="433"/>
      <c r="R348" s="439"/>
      <c r="S348" s="434"/>
      <c r="T348" s="435"/>
      <c r="U348" s="433"/>
      <c r="V348" s="439"/>
      <c r="W348" s="442"/>
      <c r="X348" s="434"/>
      <c r="Y348" s="435"/>
      <c r="Z348" s="433"/>
      <c r="AA348" s="435"/>
    </row>
    <row r="349" spans="2:27">
      <c r="B349" s="160"/>
      <c r="D349" s="407" t="s">
        <v>166</v>
      </c>
      <c r="E349" s="434"/>
      <c r="F349" s="439"/>
      <c r="G349" s="434"/>
      <c r="H349" s="435"/>
      <c r="I349" s="434"/>
      <c r="J349" s="435"/>
      <c r="K349" s="434"/>
      <c r="L349" s="435"/>
      <c r="M349" s="433"/>
      <c r="N349" s="439"/>
      <c r="O349" s="434"/>
      <c r="P349" s="435"/>
      <c r="Q349" s="433"/>
      <c r="R349" s="439"/>
      <c r="S349" s="434"/>
      <c r="T349" s="435"/>
      <c r="U349" s="433"/>
      <c r="V349" s="439"/>
      <c r="W349" s="442"/>
      <c r="X349" s="434"/>
      <c r="Y349" s="435"/>
      <c r="Z349" s="433"/>
      <c r="AA349" s="435"/>
    </row>
    <row r="350" spans="2:27">
      <c r="B350" s="160"/>
      <c r="D350" s="407" t="s">
        <v>167</v>
      </c>
      <c r="E350" s="434"/>
      <c r="F350" s="439"/>
      <c r="G350" s="434"/>
      <c r="H350" s="435"/>
      <c r="I350" s="434"/>
      <c r="J350" s="435"/>
      <c r="K350" s="434"/>
      <c r="L350" s="435"/>
      <c r="M350" s="433"/>
      <c r="N350" s="439"/>
      <c r="O350" s="434"/>
      <c r="P350" s="435"/>
      <c r="Q350" s="433"/>
      <c r="R350" s="439"/>
      <c r="S350" s="434"/>
      <c r="T350" s="435"/>
      <c r="U350" s="433"/>
      <c r="V350" s="439"/>
      <c r="W350" s="442"/>
      <c r="X350" s="434"/>
      <c r="Y350" s="435"/>
      <c r="Z350" s="433"/>
      <c r="AA350" s="435"/>
    </row>
    <row r="351" spans="2:27">
      <c r="B351" s="160"/>
      <c r="D351" s="407" t="s">
        <v>168</v>
      </c>
      <c r="E351" s="434"/>
      <c r="F351" s="439"/>
      <c r="G351" s="434"/>
      <c r="H351" s="435"/>
      <c r="I351" s="434"/>
      <c r="J351" s="435"/>
      <c r="K351" s="434"/>
      <c r="L351" s="435"/>
      <c r="M351" s="433"/>
      <c r="N351" s="439"/>
      <c r="O351" s="434"/>
      <c r="P351" s="435"/>
      <c r="Q351" s="433"/>
      <c r="R351" s="439"/>
      <c r="S351" s="434"/>
      <c r="T351" s="435"/>
      <c r="U351" s="433"/>
      <c r="V351" s="439"/>
      <c r="W351" s="442"/>
      <c r="X351" s="434"/>
      <c r="Y351" s="435"/>
      <c r="Z351" s="433"/>
      <c r="AA351" s="435"/>
    </row>
    <row r="352" spans="2:27">
      <c r="B352" s="160"/>
      <c r="D352" s="407" t="s">
        <v>169</v>
      </c>
      <c r="E352" s="434"/>
      <c r="F352" s="439"/>
      <c r="G352" s="434"/>
      <c r="H352" s="435"/>
      <c r="I352" s="434"/>
      <c r="J352" s="435"/>
      <c r="K352" s="434"/>
      <c r="L352" s="435"/>
      <c r="M352" s="433"/>
      <c r="N352" s="439"/>
      <c r="O352" s="434"/>
      <c r="P352" s="435"/>
      <c r="Q352" s="433"/>
      <c r="R352" s="439"/>
      <c r="S352" s="434"/>
      <c r="T352" s="435"/>
      <c r="U352" s="433"/>
      <c r="V352" s="439"/>
      <c r="W352" s="442"/>
      <c r="X352" s="434"/>
      <c r="Y352" s="435"/>
      <c r="Z352" s="433"/>
      <c r="AA352" s="435"/>
    </row>
    <row r="353" spans="2:28">
      <c r="B353" s="160"/>
      <c r="D353" s="407" t="s">
        <v>170</v>
      </c>
      <c r="E353" s="434"/>
      <c r="F353" s="439"/>
      <c r="G353" s="434"/>
      <c r="H353" s="435"/>
      <c r="I353" s="434"/>
      <c r="J353" s="435"/>
      <c r="K353" s="434"/>
      <c r="L353" s="435"/>
      <c r="M353" s="433"/>
      <c r="N353" s="439"/>
      <c r="O353" s="434"/>
      <c r="P353" s="435"/>
      <c r="Q353" s="433"/>
      <c r="R353" s="439"/>
      <c r="S353" s="434"/>
      <c r="T353" s="435"/>
      <c r="U353" s="433"/>
      <c r="V353" s="439"/>
      <c r="W353" s="442"/>
      <c r="X353" s="434"/>
      <c r="Y353" s="435"/>
      <c r="Z353" s="433"/>
      <c r="AA353" s="435"/>
    </row>
    <row r="354" spans="2:28">
      <c r="B354" s="160"/>
      <c r="D354" s="407" t="s">
        <v>171</v>
      </c>
      <c r="E354" s="434"/>
      <c r="F354" s="439"/>
      <c r="G354" s="434"/>
      <c r="H354" s="435"/>
      <c r="I354" s="434"/>
      <c r="J354" s="435"/>
      <c r="K354" s="434"/>
      <c r="L354" s="435"/>
      <c r="M354" s="433"/>
      <c r="N354" s="439"/>
      <c r="O354" s="434"/>
      <c r="P354" s="435"/>
      <c r="Q354" s="433"/>
      <c r="R354" s="439"/>
      <c r="S354" s="434"/>
      <c r="T354" s="435"/>
      <c r="U354" s="433"/>
      <c r="V354" s="439"/>
      <c r="W354" s="442"/>
      <c r="X354" s="434"/>
      <c r="Y354" s="435"/>
      <c r="Z354" s="433"/>
      <c r="AA354" s="435"/>
    </row>
    <row r="355" spans="2:28">
      <c r="B355" s="160"/>
      <c r="D355" s="407" t="s">
        <v>172</v>
      </c>
      <c r="E355" s="434"/>
      <c r="F355" s="439"/>
      <c r="G355" s="434"/>
      <c r="H355" s="435"/>
      <c r="I355" s="434"/>
      <c r="J355" s="435"/>
      <c r="K355" s="434"/>
      <c r="L355" s="435"/>
      <c r="M355" s="433"/>
      <c r="N355" s="439"/>
      <c r="O355" s="434"/>
      <c r="P355" s="435"/>
      <c r="Q355" s="433"/>
      <c r="R355" s="439"/>
      <c r="S355" s="434"/>
      <c r="T355" s="435"/>
      <c r="U355" s="433"/>
      <c r="V355" s="439"/>
      <c r="W355" s="442"/>
      <c r="X355" s="434"/>
      <c r="Y355" s="435"/>
      <c r="Z355" s="433"/>
      <c r="AA355" s="435"/>
    </row>
    <row r="356" spans="2:28">
      <c r="B356" s="160"/>
      <c r="D356" s="407" t="s">
        <v>28</v>
      </c>
      <c r="E356" s="434"/>
      <c r="F356" s="439"/>
      <c r="G356" s="434"/>
      <c r="H356" s="435"/>
      <c r="I356" s="434"/>
      <c r="J356" s="435"/>
      <c r="K356" s="434"/>
      <c r="L356" s="435"/>
      <c r="M356" s="433"/>
      <c r="N356" s="439"/>
      <c r="O356" s="434"/>
      <c r="P356" s="435"/>
      <c r="Q356" s="433"/>
      <c r="R356" s="439"/>
      <c r="S356" s="434"/>
      <c r="T356" s="435"/>
      <c r="U356" s="433"/>
      <c r="V356" s="439"/>
      <c r="W356" s="442"/>
      <c r="X356" s="434"/>
      <c r="Y356" s="435"/>
      <c r="Z356" s="433"/>
      <c r="AA356" s="435"/>
    </row>
    <row r="357" spans="2:28" ht="12" thickBot="1">
      <c r="B357" s="160"/>
      <c r="D357" s="413" t="s">
        <v>173</v>
      </c>
      <c r="E357" s="436"/>
      <c r="F357" s="440"/>
      <c r="G357" s="436"/>
      <c r="H357" s="437"/>
      <c r="I357" s="436"/>
      <c r="J357" s="437"/>
      <c r="K357" s="436"/>
      <c r="L357" s="437"/>
      <c r="M357" s="441"/>
      <c r="N357" s="440"/>
      <c r="O357" s="436"/>
      <c r="P357" s="437"/>
      <c r="Q357" s="441"/>
      <c r="R357" s="440"/>
      <c r="S357" s="436"/>
      <c r="T357" s="437"/>
      <c r="U357" s="441"/>
      <c r="V357" s="440"/>
      <c r="W357" s="443"/>
      <c r="X357" s="436"/>
      <c r="Y357" s="437"/>
      <c r="Z357" s="441"/>
      <c r="AA357" s="437"/>
    </row>
    <row r="358" spans="2:28">
      <c r="B358" s="160"/>
    </row>
    <row r="359" spans="2:28">
      <c r="B359" s="161"/>
    </row>
    <row r="361" spans="2:28" ht="12" thickBot="1"/>
    <row r="362" spans="2:28" s="1" customFormat="1" ht="11.25" customHeight="1" thickBot="1">
      <c r="B362" s="1201" t="s">
        <v>275</v>
      </c>
      <c r="D362" s="332" t="s">
        <v>276</v>
      </c>
      <c r="E362" s="209"/>
      <c r="H362" s="209"/>
      <c r="L362" s="209"/>
      <c r="O362" s="209"/>
      <c r="R362" s="209"/>
      <c r="U362" s="209"/>
      <c r="X362" s="209"/>
      <c r="AA362" s="209"/>
    </row>
    <row r="363" spans="2:28" ht="11.25" customHeight="1" thickBot="1">
      <c r="B363" s="1202"/>
      <c r="E363" s="444" t="s">
        <v>277</v>
      </c>
      <c r="F363" s="319" t="s">
        <v>1363</v>
      </c>
      <c r="I363" s="331"/>
      <c r="J363" s="76"/>
      <c r="L363" s="331"/>
      <c r="M363" s="76"/>
      <c r="O363" s="331"/>
      <c r="P363" s="76"/>
      <c r="R363" s="331"/>
      <c r="S363" s="76"/>
      <c r="U363" s="331"/>
      <c r="V363" s="76"/>
      <c r="X363" s="331"/>
      <c r="Y363" s="76"/>
      <c r="AA363" s="331"/>
      <c r="AB363" s="76"/>
    </row>
    <row r="364" spans="2:28" ht="23">
      <c r="B364" s="1202"/>
      <c r="D364" s="448" t="s">
        <v>278</v>
      </c>
      <c r="E364" s="445">
        <v>70.599999999999994</v>
      </c>
      <c r="F364" s="446">
        <f>E364*'Guide &amp; drivers'!$C$35</f>
        <v>89.783982834372125</v>
      </c>
      <c r="H364" s="56"/>
      <c r="I364" s="321"/>
      <c r="J364" s="321"/>
      <c r="L364" s="321"/>
      <c r="M364" s="321"/>
      <c r="O364" s="321"/>
      <c r="P364" s="321"/>
      <c r="R364" s="321"/>
      <c r="S364" s="321"/>
      <c r="U364" s="321"/>
      <c r="V364" s="321"/>
      <c r="X364" s="321"/>
      <c r="Y364" s="321"/>
      <c r="AA364" s="321"/>
      <c r="AB364" s="321"/>
    </row>
    <row r="365" spans="2:28">
      <c r="B365" s="1202"/>
      <c r="D365" s="407" t="s">
        <v>161</v>
      </c>
      <c r="E365" s="445">
        <v>3.4</v>
      </c>
      <c r="F365" s="446">
        <f>E365*'Guide &amp; drivers'!$C$35</f>
        <v>4.3238745274343522</v>
      </c>
      <c r="I365" s="321"/>
      <c r="J365" s="321"/>
      <c r="L365" s="321"/>
      <c r="M365" s="321"/>
      <c r="O365" s="321"/>
      <c r="P365" s="321"/>
      <c r="R365" s="321"/>
      <c r="S365" s="321"/>
      <c r="U365" s="321"/>
      <c r="V365" s="321"/>
      <c r="X365" s="321"/>
      <c r="Y365" s="321"/>
      <c r="AA365" s="321"/>
      <c r="AB365" s="321"/>
    </row>
    <row r="366" spans="2:28">
      <c r="B366" s="1202"/>
      <c r="D366" s="407" t="s">
        <v>263</v>
      </c>
      <c r="E366" s="445">
        <v>2.7</v>
      </c>
      <c r="F366" s="446">
        <f>E366*'Guide &amp; drivers'!$C$35</f>
        <v>3.4336650659037504</v>
      </c>
      <c r="I366" s="321"/>
      <c r="J366" s="321"/>
      <c r="L366" s="321"/>
      <c r="M366" s="321"/>
      <c r="O366" s="321"/>
      <c r="P366" s="321"/>
      <c r="R366" s="321"/>
      <c r="S366" s="321"/>
      <c r="U366" s="321"/>
      <c r="V366" s="321"/>
      <c r="X366" s="321"/>
      <c r="Y366" s="321"/>
      <c r="AA366" s="321"/>
      <c r="AB366" s="321"/>
    </row>
    <row r="367" spans="2:28">
      <c r="B367" s="1202"/>
      <c r="D367" s="407" t="s">
        <v>264</v>
      </c>
      <c r="E367" s="445">
        <v>4.2</v>
      </c>
      <c r="F367" s="446">
        <f>E367*'Guide &amp; drivers'!$C$35</f>
        <v>5.3412567691836115</v>
      </c>
      <c r="I367" s="321"/>
      <c r="J367" s="321"/>
      <c r="L367" s="321"/>
      <c r="M367" s="321"/>
      <c r="O367" s="321"/>
      <c r="P367" s="321"/>
      <c r="R367" s="321"/>
      <c r="S367" s="321"/>
      <c r="U367" s="321"/>
      <c r="V367" s="321"/>
      <c r="X367" s="321"/>
      <c r="Y367" s="321"/>
      <c r="AA367" s="321"/>
      <c r="AB367" s="321"/>
    </row>
    <row r="368" spans="2:28">
      <c r="B368" s="1202"/>
      <c r="D368" s="407" t="s">
        <v>164</v>
      </c>
      <c r="E368" s="445">
        <v>14.7</v>
      </c>
      <c r="F368" s="446">
        <f>E368*'Guide &amp; drivers'!$C$35</f>
        <v>18.694398692142638</v>
      </c>
      <c r="I368" s="321"/>
      <c r="J368" s="321"/>
      <c r="L368" s="321"/>
      <c r="M368" s="321"/>
      <c r="O368" s="321"/>
      <c r="P368" s="321"/>
      <c r="R368" s="321"/>
      <c r="S368" s="321"/>
      <c r="U368" s="321"/>
      <c r="V368" s="321"/>
      <c r="X368" s="321"/>
      <c r="Y368" s="321"/>
      <c r="AA368" s="321"/>
      <c r="AB368" s="321"/>
    </row>
    <row r="369" spans="2:34">
      <c r="B369" s="1202"/>
      <c r="D369" s="407" t="s">
        <v>165</v>
      </c>
      <c r="E369" s="445">
        <v>6.9</v>
      </c>
      <c r="F369" s="446">
        <f>E369*'Guide &amp; drivers'!$C$35</f>
        <v>8.7749218350873619</v>
      </c>
      <c r="I369" s="321"/>
      <c r="J369" s="321"/>
      <c r="L369" s="321"/>
      <c r="M369" s="321"/>
      <c r="O369" s="321"/>
      <c r="P369" s="321"/>
      <c r="R369" s="321"/>
      <c r="S369" s="321"/>
      <c r="U369" s="321"/>
      <c r="V369" s="321"/>
      <c r="X369" s="321"/>
      <c r="Y369" s="321"/>
      <c r="AA369" s="321"/>
      <c r="AB369" s="321"/>
    </row>
    <row r="370" spans="2:34">
      <c r="B370" s="1202"/>
      <c r="D370" s="407" t="s">
        <v>166</v>
      </c>
      <c r="E370" s="445">
        <v>2.6</v>
      </c>
      <c r="F370" s="446">
        <f>E370*'Guide &amp; drivers'!$C$35</f>
        <v>3.3064922856850929</v>
      </c>
      <c r="I370" s="321"/>
      <c r="J370" s="321"/>
      <c r="L370" s="321"/>
      <c r="M370" s="321"/>
      <c r="O370" s="321"/>
      <c r="P370" s="321"/>
      <c r="R370" s="321"/>
      <c r="S370" s="321"/>
      <c r="U370" s="321"/>
      <c r="V370" s="321"/>
      <c r="X370" s="321"/>
      <c r="Y370" s="321"/>
      <c r="AA370" s="321"/>
      <c r="AB370" s="321"/>
    </row>
    <row r="371" spans="2:34">
      <c r="B371" s="1202"/>
      <c r="D371" s="407" t="s">
        <v>167</v>
      </c>
      <c r="E371" s="445">
        <v>3.1</v>
      </c>
      <c r="F371" s="446">
        <f>E371*'Guide &amp; drivers'!$C$35</f>
        <v>3.9423561867783801</v>
      </c>
      <c r="I371" s="321"/>
      <c r="J371" s="321"/>
      <c r="L371" s="321"/>
      <c r="M371" s="321"/>
      <c r="O371" s="321"/>
      <c r="P371" s="321"/>
      <c r="R371" s="321"/>
      <c r="S371" s="321"/>
      <c r="U371" s="321"/>
      <c r="V371" s="321"/>
      <c r="X371" s="321"/>
      <c r="Y371" s="321"/>
      <c r="AA371" s="321"/>
      <c r="AB371" s="321"/>
    </row>
    <row r="372" spans="2:34">
      <c r="B372" s="1202"/>
      <c r="D372" s="407" t="s">
        <v>168</v>
      </c>
      <c r="E372" s="445">
        <v>0.2</v>
      </c>
      <c r="F372" s="446">
        <f>E372*'Guide &amp; drivers'!$C$35</f>
        <v>0.25434556043731482</v>
      </c>
      <c r="I372" s="321"/>
      <c r="J372" s="321"/>
      <c r="L372" s="321"/>
      <c r="M372" s="321"/>
      <c r="O372" s="321"/>
      <c r="P372" s="321"/>
      <c r="R372" s="321"/>
      <c r="S372" s="321"/>
      <c r="U372" s="321"/>
      <c r="V372" s="321"/>
      <c r="X372" s="321"/>
      <c r="Y372" s="321"/>
      <c r="AA372" s="321"/>
      <c r="AB372" s="321"/>
    </row>
    <row r="373" spans="2:34">
      <c r="B373" s="1202"/>
      <c r="D373" s="407" t="s">
        <v>169</v>
      </c>
      <c r="E373" s="445">
        <v>7.4</v>
      </c>
      <c r="F373" s="446">
        <f>E373*'Guide &amp; drivers'!$C$35</f>
        <v>9.4107857361806495</v>
      </c>
      <c r="I373" s="321"/>
      <c r="J373" s="321"/>
      <c r="L373" s="321"/>
      <c r="M373" s="321"/>
      <c r="O373" s="321"/>
      <c r="P373" s="321"/>
      <c r="R373" s="321"/>
      <c r="S373" s="321"/>
      <c r="U373" s="321"/>
      <c r="V373" s="321"/>
      <c r="X373" s="321"/>
      <c r="Y373" s="321"/>
      <c r="AA373" s="321"/>
      <c r="AB373" s="321"/>
    </row>
    <row r="374" spans="2:34">
      <c r="B374" s="1202"/>
      <c r="D374" s="407" t="s">
        <v>170</v>
      </c>
      <c r="E374" s="445">
        <v>10.7</v>
      </c>
      <c r="F374" s="446">
        <f>E374*'Guide &amp; drivers'!$C$35</f>
        <v>13.607487483396342</v>
      </c>
      <c r="I374" s="321"/>
      <c r="J374" s="321"/>
      <c r="L374" s="321"/>
      <c r="M374" s="321"/>
      <c r="O374" s="321"/>
      <c r="P374" s="321"/>
      <c r="R374" s="321"/>
      <c r="S374" s="321"/>
      <c r="U374" s="321"/>
      <c r="V374" s="321"/>
      <c r="X374" s="321"/>
      <c r="Y374" s="321"/>
      <c r="AA374" s="321"/>
      <c r="AB374" s="321"/>
    </row>
    <row r="375" spans="2:34">
      <c r="B375" s="1202"/>
      <c r="D375" s="407" t="s">
        <v>171</v>
      </c>
      <c r="E375" s="445">
        <v>5</v>
      </c>
      <c r="F375" s="446">
        <f>E375*'Guide &amp; drivers'!$C$35</f>
        <v>6.3586390109328708</v>
      </c>
      <c r="I375" s="321"/>
      <c r="J375" s="321"/>
      <c r="L375" s="321"/>
      <c r="M375" s="321"/>
      <c r="O375" s="321"/>
      <c r="P375" s="321"/>
      <c r="R375" s="321"/>
      <c r="S375" s="321"/>
      <c r="U375" s="321"/>
      <c r="V375" s="321"/>
      <c r="X375" s="321"/>
      <c r="Y375" s="321"/>
      <c r="AA375" s="321"/>
      <c r="AB375" s="321"/>
    </row>
    <row r="376" spans="2:34">
      <c r="B376" s="1202"/>
      <c r="D376" s="407" t="s">
        <v>172</v>
      </c>
      <c r="E376" s="445">
        <v>2.2000000000000002</v>
      </c>
      <c r="F376" s="446">
        <f>E376*'Guide &amp; drivers'!$C$35</f>
        <v>2.7978011648104633</v>
      </c>
      <c r="I376" s="321"/>
      <c r="J376" s="321"/>
      <c r="L376" s="321"/>
      <c r="M376" s="321"/>
      <c r="O376" s="321"/>
      <c r="P376" s="321"/>
      <c r="R376" s="321"/>
      <c r="S376" s="321"/>
      <c r="U376" s="321"/>
      <c r="V376" s="321"/>
      <c r="X376" s="321"/>
      <c r="Y376" s="321"/>
      <c r="AA376" s="321"/>
      <c r="AB376" s="321"/>
      <c r="AC376" s="9"/>
    </row>
    <row r="377" spans="2:34">
      <c r="B377" s="1202"/>
      <c r="D377" s="407" t="s">
        <v>28</v>
      </c>
      <c r="E377" s="445">
        <v>0</v>
      </c>
      <c r="F377" s="446">
        <f>E377*'Guide &amp; drivers'!$C$35</f>
        <v>0</v>
      </c>
      <c r="I377" s="321"/>
      <c r="J377" s="321"/>
      <c r="L377" s="321"/>
      <c r="M377" s="321"/>
      <c r="O377" s="321"/>
      <c r="P377" s="321"/>
      <c r="R377" s="321"/>
      <c r="S377" s="321"/>
      <c r="U377" s="321"/>
      <c r="V377" s="321"/>
      <c r="X377" s="321"/>
      <c r="Y377" s="321"/>
      <c r="AA377" s="321"/>
      <c r="AB377" s="321"/>
    </row>
    <row r="378" spans="2:34" ht="12" thickBot="1">
      <c r="B378" s="1202"/>
      <c r="D378" s="413" t="s">
        <v>173</v>
      </c>
      <c r="E378" s="447">
        <v>7.5</v>
      </c>
      <c r="F378" s="446">
        <f>E378*'Guide &amp; drivers'!$C$35</f>
        <v>9.5379585163993053</v>
      </c>
      <c r="I378" s="321"/>
      <c r="J378" s="321"/>
      <c r="L378" s="321"/>
      <c r="M378" s="321"/>
      <c r="O378" s="321"/>
      <c r="P378" s="321"/>
      <c r="R378" s="321"/>
      <c r="S378" s="321"/>
      <c r="U378" s="321"/>
      <c r="V378" s="321"/>
      <c r="X378" s="321"/>
      <c r="Y378" s="321"/>
      <c r="AA378" s="321"/>
      <c r="AB378" s="321"/>
    </row>
    <row r="379" spans="2:34">
      <c r="B379" s="1202"/>
      <c r="E379" s="321"/>
      <c r="F379" s="321"/>
      <c r="I379" s="321"/>
      <c r="J379" s="321"/>
      <c r="L379" s="321"/>
      <c r="M379" s="321"/>
      <c r="O379" s="321"/>
      <c r="P379" s="321"/>
      <c r="R379" s="321"/>
      <c r="S379" s="321"/>
      <c r="U379" s="321"/>
      <c r="V379" s="321"/>
      <c r="X379" s="321"/>
      <c r="Y379" s="321"/>
      <c r="AA379" s="321"/>
      <c r="AB379" s="321"/>
    </row>
    <row r="380" spans="2:34" ht="12" thickBot="1">
      <c r="B380" s="1202"/>
      <c r="D380" s="50" t="s">
        <v>137</v>
      </c>
      <c r="E380" s="334" t="s">
        <v>279</v>
      </c>
      <c r="F380" s="321"/>
      <c r="H380" s="1" t="s">
        <v>138</v>
      </c>
      <c r="I380" s="334" t="s">
        <v>279</v>
      </c>
      <c r="J380" s="333"/>
      <c r="L380" s="1" t="s">
        <v>139</v>
      </c>
      <c r="M380" s="334" t="s">
        <v>279</v>
      </c>
      <c r="N380" s="333"/>
      <c r="O380" s="1"/>
      <c r="P380" s="1" t="s">
        <v>140</v>
      </c>
      <c r="Q380" s="334" t="s">
        <v>279</v>
      </c>
      <c r="R380" s="333"/>
      <c r="S380" s="1"/>
      <c r="T380" s="1" t="s">
        <v>141</v>
      </c>
      <c r="U380" s="334" t="s">
        <v>279</v>
      </c>
      <c r="V380" s="333"/>
      <c r="W380" s="1"/>
      <c r="X380" s="1" t="s">
        <v>126</v>
      </c>
      <c r="Y380" s="334" t="s">
        <v>279</v>
      </c>
      <c r="Z380" s="333"/>
      <c r="AA380" s="1"/>
      <c r="AB380" s="1" t="s">
        <v>142</v>
      </c>
      <c r="AC380" s="334" t="s">
        <v>279</v>
      </c>
      <c r="AD380" s="333"/>
      <c r="AE380" s="1"/>
      <c r="AF380" s="1" t="s">
        <v>143</v>
      </c>
      <c r="AG380" s="334" t="s">
        <v>279</v>
      </c>
      <c r="AH380" s="333"/>
    </row>
    <row r="381" spans="2:34" ht="12" thickBot="1">
      <c r="B381" s="1202"/>
      <c r="D381" s="50"/>
      <c r="E381" s="444" t="s">
        <v>277</v>
      </c>
      <c r="F381" s="319" t="s">
        <v>1363</v>
      </c>
      <c r="H381" s="50"/>
      <c r="I381" s="444" t="s">
        <v>277</v>
      </c>
      <c r="J381" s="319" t="s">
        <v>1363</v>
      </c>
      <c r="M381" s="444" t="s">
        <v>277</v>
      </c>
      <c r="N381" s="319" t="s">
        <v>1363</v>
      </c>
      <c r="Q381" s="444" t="s">
        <v>277</v>
      </c>
      <c r="R381" s="319" t="s">
        <v>1363</v>
      </c>
      <c r="U381" s="444" t="s">
        <v>277</v>
      </c>
      <c r="V381" s="319" t="s">
        <v>1363</v>
      </c>
      <c r="Y381" s="444" t="s">
        <v>277</v>
      </c>
      <c r="Z381" s="319" t="s">
        <v>1363</v>
      </c>
      <c r="AC381" s="444" t="s">
        <v>277</v>
      </c>
      <c r="AD381" s="319" t="s">
        <v>1363</v>
      </c>
      <c r="AG381" s="444" t="s">
        <v>277</v>
      </c>
      <c r="AH381" s="319"/>
    </row>
    <row r="382" spans="2:34">
      <c r="B382" s="1202"/>
      <c r="D382" s="406" t="s">
        <v>161</v>
      </c>
      <c r="E382" s="449">
        <v>0.13025135617559103</v>
      </c>
      <c r="F382" s="450">
        <f>E382*'Guide &amp; drivers'!$C$35</f>
        <v>0.16564427092100503</v>
      </c>
      <c r="H382" s="406" t="s">
        <v>161</v>
      </c>
      <c r="I382" s="449">
        <v>0.27153421255932364</v>
      </c>
      <c r="J382" s="450">
        <f>I382*'Guide &amp; drivers'!$C$35</f>
        <v>0.34531760735653072</v>
      </c>
      <c r="L382" s="406" t="s">
        <v>161</v>
      </c>
      <c r="M382" s="449">
        <v>0.6657341858138387</v>
      </c>
      <c r="N382" s="450">
        <f>M382*'Guide &amp; drivers'!$C$35</f>
        <v>0.84663267296550138</v>
      </c>
      <c r="P382" s="406" t="s">
        <v>161</v>
      </c>
      <c r="Q382" s="30">
        <v>0.22700460065635281</v>
      </c>
      <c r="R382" s="30">
        <f>Q382*'Guide &amp; drivers'!$C$35</f>
        <v>0.28868806187894447</v>
      </c>
      <c r="T382" s="406" t="s">
        <v>161</v>
      </c>
      <c r="U382" s="30">
        <v>4.727705967220025E-2</v>
      </c>
      <c r="V382" s="30">
        <f>U382*'Guide &amp; drivers'!$C$35</f>
        <v>6.0123551190770737E-2</v>
      </c>
      <c r="X382" s="406" t="s">
        <v>161</v>
      </c>
      <c r="Y382" s="30">
        <v>0.15800112717352943</v>
      </c>
      <c r="Z382" s="30">
        <f>Y382*'Guide &amp; drivers'!$C$35</f>
        <v>0.20093442620339397</v>
      </c>
      <c r="AB382" s="406" t="s">
        <v>161</v>
      </c>
      <c r="AC382" s="30">
        <v>5.2792788884396959E-2</v>
      </c>
      <c r="AD382" s="30">
        <f>AC382*'Guide &amp; drivers'!$C$35</f>
        <v>6.7138057379253949E-2</v>
      </c>
      <c r="AF382" s="406" t="s">
        <v>161</v>
      </c>
      <c r="AG382" s="131"/>
      <c r="AH382" s="131"/>
    </row>
    <row r="383" spans="2:34">
      <c r="B383" s="1202"/>
      <c r="D383" s="407" t="s">
        <v>263</v>
      </c>
      <c r="E383" s="449">
        <v>0</v>
      </c>
      <c r="F383" s="450">
        <f>E383*'Guide &amp; drivers'!$C$35</f>
        <v>0</v>
      </c>
      <c r="H383" s="407" t="s">
        <v>263</v>
      </c>
      <c r="I383" s="449">
        <v>0</v>
      </c>
      <c r="J383" s="450">
        <f>I383*'Guide &amp; drivers'!$C$35</f>
        <v>0</v>
      </c>
      <c r="L383" s="407" t="s">
        <v>263</v>
      </c>
      <c r="M383" s="449">
        <v>0</v>
      </c>
      <c r="N383" s="450">
        <f>M383*'Guide &amp; drivers'!$C$35</f>
        <v>0</v>
      </c>
      <c r="P383" s="407" t="s">
        <v>263</v>
      </c>
      <c r="Q383" s="30">
        <v>0</v>
      </c>
      <c r="R383" s="30">
        <f>Q383*'Guide &amp; drivers'!$C$35</f>
        <v>0</v>
      </c>
      <c r="T383" s="407" t="s">
        <v>263</v>
      </c>
      <c r="U383" s="30">
        <v>0</v>
      </c>
      <c r="V383" s="30">
        <f>U383*'Guide &amp; drivers'!$C$35</f>
        <v>0</v>
      </c>
      <c r="X383" s="407" t="s">
        <v>263</v>
      </c>
      <c r="Y383" s="30">
        <v>0</v>
      </c>
      <c r="Z383" s="30">
        <f>Y383*'Guide &amp; drivers'!$C$35</f>
        <v>0</v>
      </c>
      <c r="AB383" s="407" t="s">
        <v>263</v>
      </c>
      <c r="AC383" s="30">
        <v>0</v>
      </c>
      <c r="AD383" s="30">
        <f>AC383*'Guide &amp; drivers'!$C$35</f>
        <v>0</v>
      </c>
      <c r="AF383" s="407" t="s">
        <v>263</v>
      </c>
      <c r="AG383" s="131"/>
      <c r="AH383" s="131"/>
    </row>
    <row r="384" spans="2:34">
      <c r="B384" s="1202"/>
      <c r="D384" s="407" t="s">
        <v>264</v>
      </c>
      <c r="E384" s="449">
        <v>0</v>
      </c>
      <c r="F384" s="450">
        <f>E384*'Guide &amp; drivers'!$C$35</f>
        <v>0</v>
      </c>
      <c r="H384" s="407" t="s">
        <v>264</v>
      </c>
      <c r="I384" s="449">
        <v>0</v>
      </c>
      <c r="J384" s="450">
        <f>I384*'Guide &amp; drivers'!$C$35</f>
        <v>0</v>
      </c>
      <c r="L384" s="407" t="s">
        <v>264</v>
      </c>
      <c r="M384" s="449">
        <v>0</v>
      </c>
      <c r="N384" s="450">
        <f>M384*'Guide &amp; drivers'!$C$35</f>
        <v>0</v>
      </c>
      <c r="P384" s="407" t="s">
        <v>264</v>
      </c>
      <c r="Q384" s="30">
        <v>0</v>
      </c>
      <c r="R384" s="30">
        <f>Q384*'Guide &amp; drivers'!$C$35</f>
        <v>0</v>
      </c>
      <c r="T384" s="407" t="s">
        <v>264</v>
      </c>
      <c r="U384" s="30">
        <v>0</v>
      </c>
      <c r="V384" s="30">
        <f>U384*'Guide &amp; drivers'!$C$35</f>
        <v>0</v>
      </c>
      <c r="X384" s="407" t="s">
        <v>264</v>
      </c>
      <c r="Y384" s="30">
        <v>0</v>
      </c>
      <c r="Z384" s="30">
        <f>Y384*'Guide &amp; drivers'!$C$35</f>
        <v>0</v>
      </c>
      <c r="AB384" s="407" t="s">
        <v>264</v>
      </c>
      <c r="AC384" s="30">
        <v>0</v>
      </c>
      <c r="AD384" s="30">
        <f>AC384*'Guide &amp; drivers'!$C$35</f>
        <v>0</v>
      </c>
      <c r="AF384" s="407" t="s">
        <v>264</v>
      </c>
      <c r="AG384" s="131"/>
      <c r="AH384" s="131"/>
    </row>
    <row r="385" spans="2:34">
      <c r="B385" s="1202"/>
      <c r="D385" s="407" t="s">
        <v>164</v>
      </c>
      <c r="E385" s="449">
        <v>7.7806938593008593E-2</v>
      </c>
      <c r="F385" s="450">
        <f>E385*'Guide &amp; drivers'!$C$35</f>
        <v>9.8949247011752547E-2</v>
      </c>
      <c r="H385" s="407" t="s">
        <v>164</v>
      </c>
      <c r="I385" s="449">
        <v>7.3774047895785538E-2</v>
      </c>
      <c r="J385" s="450">
        <f>I385*'Guide &amp; drivers'!$C$35</f>
        <v>9.382050778891439E-2</v>
      </c>
      <c r="L385" s="407" t="s">
        <v>164</v>
      </c>
      <c r="M385" s="449">
        <v>7.0845992113725303E-2</v>
      </c>
      <c r="N385" s="450">
        <f>M385*'Guide &amp; drivers'!$C$35</f>
        <v>9.0096817844515245E-2</v>
      </c>
      <c r="P385" s="407" t="s">
        <v>164</v>
      </c>
      <c r="Q385" s="30">
        <v>1.4077267496858545E-2</v>
      </c>
      <c r="R385" s="30">
        <f>Q385*'Guide &amp; drivers'!$C$35</f>
        <v>1.7902452454572414E-2</v>
      </c>
      <c r="T385" s="407" t="s">
        <v>164</v>
      </c>
      <c r="U385" s="30">
        <v>3.7041102111876466E-2</v>
      </c>
      <c r="V385" s="30">
        <f>U385*'Guide &amp; drivers'!$C$35</f>
        <v>4.7106199379305123E-2</v>
      </c>
      <c r="X385" s="407" t="s">
        <v>164</v>
      </c>
      <c r="Y385" s="30">
        <v>7.0865562758569117E-2</v>
      </c>
      <c r="Z385" s="30">
        <f>Y385*'Guide &amp; drivers'!$C$35</f>
        <v>9.0121706377669836E-2</v>
      </c>
      <c r="AB385" s="407" t="s">
        <v>164</v>
      </c>
      <c r="AC385" s="30">
        <v>8.9878301377435271E-2</v>
      </c>
      <c r="AD385" s="30">
        <f>AC385*'Guide &amp; drivers'!$C$35</f>
        <v>0.11430073467498829</v>
      </c>
      <c r="AF385" s="407" t="s">
        <v>164</v>
      </c>
      <c r="AG385" s="131"/>
      <c r="AH385" s="131"/>
    </row>
    <row r="386" spans="2:34">
      <c r="B386" s="1202"/>
      <c r="D386" s="407" t="s">
        <v>165</v>
      </c>
      <c r="E386" s="449">
        <v>0.19437587932144329</v>
      </c>
      <c r="F386" s="450">
        <f>E386*'Guide &amp; drivers'!$C$35</f>
        <v>0.24719320980754184</v>
      </c>
      <c r="H386" s="407" t="s">
        <v>165</v>
      </c>
      <c r="I386" s="449">
        <v>0.11643188284929355</v>
      </c>
      <c r="J386" s="450">
        <f>I386*'Guide &amp; drivers'!$C$35</f>
        <v>0.14806966248037676</v>
      </c>
      <c r="L386" s="407" t="s">
        <v>165</v>
      </c>
      <c r="M386" s="449">
        <v>7.7521179812882854E-2</v>
      </c>
      <c r="N386" s="450">
        <f>M386*'Guide &amp; drivers'!$C$35</f>
        <v>9.8585839626347732E-2</v>
      </c>
      <c r="P386" s="407" t="s">
        <v>165</v>
      </c>
      <c r="Q386" s="30">
        <v>0</v>
      </c>
      <c r="R386" s="30">
        <f>Q386*'Guide &amp; drivers'!$C$35</f>
        <v>0</v>
      </c>
      <c r="T386" s="407" t="s">
        <v>165</v>
      </c>
      <c r="U386" s="30">
        <v>0</v>
      </c>
      <c r="V386" s="30">
        <f>U386*'Guide &amp; drivers'!$C$35</f>
        <v>0</v>
      </c>
      <c r="X386" s="407" t="s">
        <v>165</v>
      </c>
      <c r="Y386" s="30">
        <v>3.7844872130456515E-2</v>
      </c>
      <c r="Z386" s="30">
        <f>Y386*'Guide &amp; drivers'!$C$35</f>
        <v>4.8128376058497395E-2</v>
      </c>
      <c r="AB386" s="407" t="s">
        <v>165</v>
      </c>
      <c r="AC386" s="30">
        <v>3.6171494867559252E-2</v>
      </c>
      <c r="AD386" s="30">
        <f>AC386*'Guide &amp; drivers'!$C$35</f>
        <v>4.6000295669724071E-2</v>
      </c>
      <c r="AF386" s="407" t="s">
        <v>165</v>
      </c>
      <c r="AG386" s="131"/>
      <c r="AH386" s="131"/>
    </row>
    <row r="387" spans="2:34">
      <c r="B387" s="1202"/>
      <c r="D387" s="407" t="s">
        <v>166</v>
      </c>
      <c r="E387" s="449">
        <v>7.5354841134319853E-2</v>
      </c>
      <c r="F387" s="450">
        <f>E387*'Guide &amp; drivers'!$C$35</f>
        <v>9.5830846499867034E-2</v>
      </c>
      <c r="H387" s="407" t="s">
        <v>166</v>
      </c>
      <c r="I387" s="449">
        <v>0.93293239041178599</v>
      </c>
      <c r="J387" s="450">
        <f>I387*'Guide &amp; drivers'!$C$35</f>
        <v>1.1864360584470475</v>
      </c>
      <c r="L387" s="407" t="s">
        <v>166</v>
      </c>
      <c r="M387" s="449">
        <v>3.7648058623248506E-2</v>
      </c>
      <c r="N387" s="450">
        <f>M387*'Guide &amp; drivers'!$C$35</f>
        <v>4.7878082849535125E-2</v>
      </c>
      <c r="P387" s="407" t="s">
        <v>166</v>
      </c>
      <c r="Q387" s="30">
        <v>0.29700443510243268</v>
      </c>
      <c r="R387" s="30">
        <f>Q387*'Guide &amp; drivers'!$C$35</f>
        <v>0.37770879749248171</v>
      </c>
      <c r="T387" s="407" t="s">
        <v>166</v>
      </c>
      <c r="U387" s="30">
        <v>0.10632479992568176</v>
      </c>
      <c r="V387" s="30">
        <f>U387*'Guide &amp; drivers'!$C$35</f>
        <v>0.1352162041274145</v>
      </c>
      <c r="X387" s="407" t="s">
        <v>166</v>
      </c>
      <c r="Y387" s="30">
        <v>0</v>
      </c>
      <c r="Z387" s="30">
        <f>Y387*'Guide &amp; drivers'!$C$35</f>
        <v>0</v>
      </c>
      <c r="AB387" s="407" t="s">
        <v>166</v>
      </c>
      <c r="AC387" s="30">
        <v>9.2945015072728315E-2</v>
      </c>
      <c r="AD387" s="30">
        <f>AC387*'Guide &amp; drivers'!$C$35</f>
        <v>0.11820075974263879</v>
      </c>
      <c r="AF387" s="407" t="s">
        <v>166</v>
      </c>
      <c r="AG387" s="131"/>
      <c r="AH387" s="131"/>
    </row>
    <row r="388" spans="2:34">
      <c r="B388" s="1202"/>
      <c r="D388" s="407" t="s">
        <v>167</v>
      </c>
      <c r="E388" s="1122">
        <v>4.8947637733056326E-2</v>
      </c>
      <c r="F388" s="450">
        <f>E388*'Guide &amp; drivers'!$C$35</f>
        <v>6.2248071756484349E-2</v>
      </c>
      <c r="H388" s="407" t="s">
        <v>167</v>
      </c>
      <c r="I388" s="449">
        <v>0.2458827153272552</v>
      </c>
      <c r="J388" s="450">
        <f>I388*'Guide &amp; drivers'!$C$35</f>
        <v>0.31269588515879732</v>
      </c>
      <c r="L388" s="407" t="s">
        <v>167</v>
      </c>
      <c r="M388" s="449">
        <v>7.9390232368646965E-2</v>
      </c>
      <c r="N388" s="450">
        <f>M388*'Guide &amp; drivers'!$C$35</f>
        <v>0.10096276572526082</v>
      </c>
      <c r="P388" s="407" t="s">
        <v>167</v>
      </c>
      <c r="Q388" s="1123">
        <v>7.3063609216824088E-2</v>
      </c>
      <c r="R388" s="30">
        <f>Q388*'Guide &amp; drivers'!$C$35</f>
        <v>9.2917023169130419E-2</v>
      </c>
      <c r="T388" s="407" t="s">
        <v>167</v>
      </c>
      <c r="U388" s="30">
        <v>0</v>
      </c>
      <c r="V388" s="30">
        <f>U388*'Guide &amp; drivers'!$C$35</f>
        <v>0</v>
      </c>
      <c r="X388" s="407" t="s">
        <v>167</v>
      </c>
      <c r="Y388" s="30">
        <v>1.7134161887635259E-2</v>
      </c>
      <c r="Z388" s="30">
        <f>Y388*'Guide &amp; drivers'!$C$35</f>
        <v>2.1789990039671348E-2</v>
      </c>
      <c r="AB388" s="407" t="s">
        <v>167</v>
      </c>
      <c r="AC388" s="30">
        <v>7.9184120286156873E-2</v>
      </c>
      <c r="AD388" s="30">
        <f>AC388*'Guide &amp; drivers'!$C$35</f>
        <v>0.1007006472595916</v>
      </c>
      <c r="AF388" s="407" t="s">
        <v>167</v>
      </c>
      <c r="AG388" s="131"/>
      <c r="AH388" s="131"/>
    </row>
    <row r="389" spans="2:34">
      <c r="B389" s="1202"/>
      <c r="D389" s="407" t="s">
        <v>168</v>
      </c>
      <c r="E389" s="449">
        <v>0</v>
      </c>
      <c r="F389" s="450">
        <f>E389*'Guide &amp; drivers'!$C$35</f>
        <v>0</v>
      </c>
      <c r="H389" s="407" t="s">
        <v>168</v>
      </c>
      <c r="I389" s="449">
        <v>0</v>
      </c>
      <c r="J389" s="450">
        <f>I389*'Guide &amp; drivers'!$C$35</f>
        <v>0</v>
      </c>
      <c r="L389" s="407" t="s">
        <v>168</v>
      </c>
      <c r="M389" s="449">
        <v>0</v>
      </c>
      <c r="N389" s="450">
        <f>M389*'Guide &amp; drivers'!$C$35</f>
        <v>0</v>
      </c>
      <c r="P389" s="407" t="s">
        <v>168</v>
      </c>
      <c r="Q389" s="30">
        <v>0</v>
      </c>
      <c r="R389" s="30">
        <f>Q389*'Guide &amp; drivers'!$C$35</f>
        <v>0</v>
      </c>
      <c r="T389" s="407" t="s">
        <v>168</v>
      </c>
      <c r="U389" s="30">
        <v>0</v>
      </c>
      <c r="V389" s="30">
        <f>U389*'Guide &amp; drivers'!$C$35</f>
        <v>0</v>
      </c>
      <c r="X389" s="407" t="s">
        <v>168</v>
      </c>
      <c r="Y389" s="30">
        <v>0</v>
      </c>
      <c r="Z389" s="30">
        <f>Y389*'Guide &amp; drivers'!$C$35</f>
        <v>0</v>
      </c>
      <c r="AB389" s="407" t="s">
        <v>168</v>
      </c>
      <c r="AC389" s="30">
        <v>0</v>
      </c>
      <c r="AD389" s="30">
        <f>AC389*'Guide &amp; drivers'!$C$35</f>
        <v>0</v>
      </c>
      <c r="AF389" s="407" t="s">
        <v>168</v>
      </c>
      <c r="AG389" s="131"/>
      <c r="AH389" s="131"/>
    </row>
    <row r="390" spans="2:34">
      <c r="B390" s="1202"/>
      <c r="D390" s="407" t="s">
        <v>169</v>
      </c>
      <c r="E390" s="449">
        <v>2.4831218608590652E-2</v>
      </c>
      <c r="F390" s="450">
        <f>E390*'Guide &amp; drivers'!$C$35</f>
        <v>3.157855106671735E-2</v>
      </c>
      <c r="H390" s="407" t="s">
        <v>169</v>
      </c>
      <c r="I390" s="449">
        <v>0.42477779722125303</v>
      </c>
      <c r="J390" s="450">
        <f>I390*'Guide &amp; drivers'!$C$35</f>
        <v>0.54020173447783837</v>
      </c>
      <c r="L390" s="407" t="s">
        <v>169</v>
      </c>
      <c r="M390" s="449">
        <v>3.0981239073709189E-2</v>
      </c>
      <c r="N390" s="450">
        <f>M390*'Guide &amp; drivers'!$C$35</f>
        <v>3.9399703076225E-2</v>
      </c>
      <c r="P390" s="407" t="s">
        <v>169</v>
      </c>
      <c r="Q390" s="30">
        <v>7.4568262300442098E-2</v>
      </c>
      <c r="R390" s="30">
        <f>Q390*'Guide &amp; drivers'!$C$35</f>
        <v>9.4830532328213202E-2</v>
      </c>
      <c r="T390" s="407" t="s">
        <v>169</v>
      </c>
      <c r="U390" s="30">
        <v>0.23389287526245381</v>
      </c>
      <c r="V390" s="30">
        <f>U390*'Guide &amp; drivers'!$C$35</f>
        <v>0.29744807220461889</v>
      </c>
      <c r="X390" s="407" t="s">
        <v>169</v>
      </c>
      <c r="Y390" s="30">
        <v>0.19195492267758296</v>
      </c>
      <c r="Z390" s="30">
        <f>Y390*'Guide &amp; drivers'!$C$35</f>
        <v>0.24411441193565636</v>
      </c>
      <c r="AB390" s="407" t="s">
        <v>169</v>
      </c>
      <c r="AC390" s="30">
        <v>0.20441103941160546</v>
      </c>
      <c r="AD390" s="30">
        <f>AC390*'Guide &amp; drivers'!$C$35</f>
        <v>0.25995520189359417</v>
      </c>
      <c r="AF390" s="407" t="s">
        <v>169</v>
      </c>
      <c r="AG390" s="131"/>
      <c r="AH390" s="131"/>
    </row>
    <row r="391" spans="2:34">
      <c r="B391" s="1202"/>
      <c r="D391" s="407" t="s">
        <v>170</v>
      </c>
      <c r="E391" s="449">
        <v>4.1697615488391987E-2</v>
      </c>
      <c r="F391" s="450">
        <f>E391*'Guide &amp; drivers'!$C$35</f>
        <v>5.3028016901473594E-2</v>
      </c>
      <c r="H391" s="407" t="s">
        <v>170</v>
      </c>
      <c r="I391" s="449">
        <v>0.24466455422639483</v>
      </c>
      <c r="J391" s="450">
        <f>I391*'Guide &amp; drivers'!$C$35</f>
        <v>0.31114671581929099</v>
      </c>
      <c r="L391" s="407" t="s">
        <v>170</v>
      </c>
      <c r="M391" s="449">
        <v>7.2707337050649773E-2</v>
      </c>
      <c r="N391" s="450">
        <f>M391*'Guide &amp; drivers'!$C$35</f>
        <v>9.2463941950261308E-2</v>
      </c>
      <c r="P391" s="407" t="s">
        <v>170</v>
      </c>
      <c r="Q391" s="30">
        <v>7.2408603992936485E-2</v>
      </c>
      <c r="R391" s="30">
        <f>Q391*'Guide &amp; drivers'!$C$35</f>
        <v>9.2084034815335114E-2</v>
      </c>
      <c r="T391" s="407" t="s">
        <v>170</v>
      </c>
      <c r="U391" s="30">
        <v>0.29954201897997823</v>
      </c>
      <c r="V391" s="30">
        <f>U391*'Guide &amp; drivers'!$C$35</f>
        <v>0.38093591345993677</v>
      </c>
      <c r="X391" s="407" t="s">
        <v>170</v>
      </c>
      <c r="Y391" s="30">
        <v>0.14441405607321814</v>
      </c>
      <c r="Z391" s="30">
        <f>Y391*'Guide &amp; drivers'!$C$35</f>
        <v>0.18365537013484237</v>
      </c>
      <c r="AB391" s="407" t="s">
        <v>170</v>
      </c>
      <c r="AC391" s="30">
        <v>1.0066826732270928</v>
      </c>
      <c r="AD391" s="30">
        <f>AC391*'Guide &amp; drivers'!$C$35</f>
        <v>1.2802263435223959</v>
      </c>
      <c r="AF391" s="407" t="s">
        <v>170</v>
      </c>
      <c r="AG391" s="131"/>
      <c r="AH391" s="131"/>
    </row>
    <row r="392" spans="2:34">
      <c r="B392" s="1202"/>
      <c r="D392" s="407" t="s">
        <v>171</v>
      </c>
      <c r="E392" s="449">
        <v>0</v>
      </c>
      <c r="F392" s="450">
        <f>E392*'Guide &amp; drivers'!$C$35</f>
        <v>0</v>
      </c>
      <c r="H392" s="407" t="s">
        <v>171</v>
      </c>
      <c r="I392" s="449">
        <v>0</v>
      </c>
      <c r="J392" s="450">
        <f>I392*'Guide &amp; drivers'!$C$35</f>
        <v>0</v>
      </c>
      <c r="L392" s="407" t="s">
        <v>171</v>
      </c>
      <c r="M392" s="449">
        <v>1.7947849260998152E-2</v>
      </c>
      <c r="N392" s="450">
        <f>M392*'Guide &amp; drivers'!$C$35</f>
        <v>2.282477889466511E-2</v>
      </c>
      <c r="P392" s="407" t="s">
        <v>171</v>
      </c>
      <c r="Q392" s="30">
        <v>0</v>
      </c>
      <c r="R392" s="30">
        <f>Q392*'Guide &amp; drivers'!$C$35</f>
        <v>0</v>
      </c>
      <c r="T392" s="407" t="s">
        <v>171</v>
      </c>
      <c r="U392" s="30">
        <v>0</v>
      </c>
      <c r="V392" s="30">
        <f>U392*'Guide &amp; drivers'!$C$35</f>
        <v>0</v>
      </c>
      <c r="X392" s="407" t="s">
        <v>171</v>
      </c>
      <c r="Y392" s="30">
        <v>0.10176575571101161</v>
      </c>
      <c r="Z392" s="30">
        <f>Y392*'Guide &amp; drivers'!$C$35</f>
        <v>0.1294183408482206</v>
      </c>
      <c r="AB392" s="407" t="s">
        <v>171</v>
      </c>
      <c r="AC392" s="30">
        <v>0</v>
      </c>
      <c r="AD392" s="30">
        <f>AC392*'Guide &amp; drivers'!$C$35</f>
        <v>0</v>
      </c>
      <c r="AF392" s="407" t="s">
        <v>171</v>
      </c>
      <c r="AG392" s="131"/>
      <c r="AH392" s="131"/>
    </row>
    <row r="393" spans="2:34">
      <c r="B393" s="1202"/>
      <c r="D393" s="407" t="s">
        <v>172</v>
      </c>
      <c r="E393" s="449">
        <v>0</v>
      </c>
      <c r="F393" s="450">
        <f>E393*'Guide &amp; drivers'!$C$35</f>
        <v>0</v>
      </c>
      <c r="H393" s="407" t="s">
        <v>172</v>
      </c>
      <c r="I393" s="449">
        <v>0</v>
      </c>
      <c r="J393" s="450">
        <f>I393*'Guide &amp; drivers'!$C$35</f>
        <v>0</v>
      </c>
      <c r="L393" s="407" t="s">
        <v>172</v>
      </c>
      <c r="M393" s="449">
        <v>2.4523939637669922E-2</v>
      </c>
      <c r="N393" s="450">
        <f>M393*'Guide &amp; drivers'!$C$35</f>
        <v>3.1187775856370177E-2</v>
      </c>
      <c r="P393" s="407" t="s">
        <v>172</v>
      </c>
      <c r="Q393" s="30">
        <v>4.8214209358719135E-4</v>
      </c>
      <c r="R393" s="30">
        <f>Q393*'Guide &amp; drivers'!$C$35</f>
        <v>6.1315350501927235E-4</v>
      </c>
      <c r="T393" s="407" t="s">
        <v>172</v>
      </c>
      <c r="U393" s="30">
        <v>0</v>
      </c>
      <c r="V393" s="30">
        <f>U393*'Guide &amp; drivers'!$C$35</f>
        <v>0</v>
      </c>
      <c r="X393" s="407" t="s">
        <v>172</v>
      </c>
      <c r="Y393" s="30">
        <v>0</v>
      </c>
      <c r="Z393" s="30">
        <f>Y393*'Guide &amp; drivers'!$C$35</f>
        <v>0</v>
      </c>
      <c r="AB393" s="407" t="s">
        <v>172</v>
      </c>
      <c r="AC393" s="30">
        <v>0</v>
      </c>
      <c r="AD393" s="30">
        <f>AC393*'Guide &amp; drivers'!$C$35</f>
        <v>0</v>
      </c>
      <c r="AF393" s="407" t="s">
        <v>172</v>
      </c>
      <c r="AG393" s="131"/>
      <c r="AH393" s="131"/>
    </row>
    <row r="394" spans="2:34">
      <c r="B394" s="1202"/>
      <c r="D394" s="407" t="s">
        <v>28</v>
      </c>
      <c r="E394" s="449">
        <v>0</v>
      </c>
      <c r="F394" s="450">
        <f>E394*'Guide &amp; drivers'!$C$35</f>
        <v>0</v>
      </c>
      <c r="H394" s="407" t="s">
        <v>28</v>
      </c>
      <c r="I394" s="449">
        <v>0</v>
      </c>
      <c r="J394" s="450">
        <f>I394*'Guide &amp; drivers'!$C$35</f>
        <v>0</v>
      </c>
      <c r="L394" s="407" t="s">
        <v>28</v>
      </c>
      <c r="M394" s="449">
        <v>0</v>
      </c>
      <c r="N394" s="450">
        <f>M394*'Guide &amp; drivers'!$C$35</f>
        <v>0</v>
      </c>
      <c r="P394" s="407" t="s">
        <v>28</v>
      </c>
      <c r="Q394" s="30">
        <v>0</v>
      </c>
      <c r="R394" s="30">
        <f>Q394*'Guide &amp; drivers'!$C$35</f>
        <v>0</v>
      </c>
      <c r="T394" s="407" t="s">
        <v>28</v>
      </c>
      <c r="U394" s="30">
        <v>0</v>
      </c>
      <c r="V394" s="30">
        <f>U394*'Guide &amp; drivers'!$C$35</f>
        <v>0</v>
      </c>
      <c r="X394" s="407" t="s">
        <v>28</v>
      </c>
      <c r="Y394" s="30">
        <v>0</v>
      </c>
      <c r="Z394" s="30">
        <f>Y394*'Guide &amp; drivers'!$C$35</f>
        <v>0</v>
      </c>
      <c r="AB394" s="407" t="s">
        <v>28</v>
      </c>
      <c r="AC394" s="30">
        <v>0</v>
      </c>
      <c r="AD394" s="30">
        <f>AC394*'Guide &amp; drivers'!$C$35</f>
        <v>0</v>
      </c>
      <c r="AF394" s="407" t="s">
        <v>28</v>
      </c>
      <c r="AG394" s="131"/>
      <c r="AH394" s="131"/>
    </row>
    <row r="395" spans="2:34">
      <c r="B395" s="1202"/>
      <c r="D395" s="407" t="s">
        <v>173</v>
      </c>
      <c r="E395" s="449">
        <v>0.52154226717495467</v>
      </c>
      <c r="F395" s="450">
        <f>E395*'Guide &amp; drivers'!$C$35</f>
        <v>0.66325980118180816</v>
      </c>
      <c r="H395" s="407" t="s">
        <v>173</v>
      </c>
      <c r="I395" s="449">
        <v>0</v>
      </c>
      <c r="J395" s="450">
        <f>I395*'Guide &amp; drivers'!$C$35</f>
        <v>0</v>
      </c>
      <c r="L395" s="407" t="s">
        <v>173</v>
      </c>
      <c r="M395" s="449">
        <v>0.27777389150552184</v>
      </c>
      <c r="N395" s="450">
        <f>M395*'Guide &amp; drivers'!$C$35</f>
        <v>0.35325278054912918</v>
      </c>
      <c r="P395" s="407" t="s">
        <v>173</v>
      </c>
      <c r="Q395" s="30">
        <v>0.27177782492993491</v>
      </c>
      <c r="R395" s="30">
        <f>Q395*'Guide &amp; drivers'!$C$35</f>
        <v>0.34562741598119362</v>
      </c>
      <c r="T395" s="407" t="s">
        <v>173</v>
      </c>
      <c r="U395" s="30">
        <v>0.92433630658507726</v>
      </c>
      <c r="V395" s="30">
        <f>U395*'Guide &amp; drivers'!$C$35</f>
        <v>1.1755041796546957</v>
      </c>
      <c r="X395" s="407" t="s">
        <v>173</v>
      </c>
      <c r="Y395" s="30">
        <v>4.6208114770691491E-2</v>
      </c>
      <c r="Z395" s="30">
        <f>Y395*'Guide &amp; drivers'!$C$35</f>
        <v>5.8764144240516465E-2</v>
      </c>
      <c r="AB395" s="407" t="s">
        <v>173</v>
      </c>
      <c r="AC395" s="30">
        <v>1.3106945612839779E-2</v>
      </c>
      <c r="AD395" s="30">
        <f>AC395*'Guide &amp; drivers'!$C$35</f>
        <v>1.6668467137595691E-2</v>
      </c>
      <c r="AF395" s="407" t="s">
        <v>173</v>
      </c>
      <c r="AG395" s="131"/>
      <c r="AH395" s="131"/>
    </row>
    <row r="396" spans="2:34" ht="35" thickBot="1">
      <c r="B396" s="1202"/>
      <c r="D396" s="452" t="s">
        <v>280</v>
      </c>
      <c r="E396" s="451">
        <f>SUM(E382:E395)</f>
        <v>1.1148077542293564</v>
      </c>
      <c r="F396" s="839">
        <f>E396*'Guide &amp; drivers'!$C$35</f>
        <v>1.4177320151466499</v>
      </c>
      <c r="H396" s="452" t="s">
        <v>281</v>
      </c>
      <c r="I396" s="451">
        <f>SUM(I382:I395)</f>
        <v>2.3099976004910916</v>
      </c>
      <c r="J396" s="450">
        <f>I396*'Guide &amp; drivers'!$C$35</f>
        <v>2.9376881715287957</v>
      </c>
      <c r="L396" s="452" t="s">
        <v>282</v>
      </c>
      <c r="M396" s="451">
        <f>SUM(M382:M395)</f>
        <v>1.3550739052608913</v>
      </c>
      <c r="N396" s="839">
        <f>M396*'Guide &amp; drivers'!D30</f>
        <v>1.6291734974512337</v>
      </c>
      <c r="P396" s="452" t="s">
        <v>1409</v>
      </c>
      <c r="Q396" s="451">
        <f>SUM(Q382:Q395)</f>
        <v>1.0303867457893687</v>
      </c>
      <c r="R396" s="451">
        <f>Q396*'Guide &amp; drivers'!D30</f>
        <v>1.2388097592668692</v>
      </c>
      <c r="T396" s="452" t="s">
        <v>283</v>
      </c>
      <c r="U396" s="451">
        <f>SUM(U382:U395)</f>
        <v>1.6484141625372679</v>
      </c>
      <c r="V396" s="85">
        <f>U396*'Guide &amp; drivers'!$C$35</f>
        <v>2.096334120016742</v>
      </c>
      <c r="X396" s="452" t="s">
        <v>284</v>
      </c>
      <c r="Y396" s="451">
        <f>SUM(Y382:Y395)</f>
        <v>0.76818857318269462</v>
      </c>
      <c r="Z396" s="85">
        <f>Y396*'Guide &amp; drivers'!$C$35</f>
        <v>0.97692676583846849</v>
      </c>
      <c r="AB396" s="452" t="s">
        <v>285</v>
      </c>
      <c r="AC396" s="451">
        <f>SUM(AC382:AC395)</f>
        <v>1.5751723787398146</v>
      </c>
      <c r="AD396" s="85">
        <f>AC396*'Guide &amp; drivers'!$C$35</f>
        <v>2.0031905072797822</v>
      </c>
      <c r="AF396" s="452" t="s">
        <v>286</v>
      </c>
      <c r="AG396" s="131"/>
      <c r="AH396" s="131"/>
    </row>
    <row r="397" spans="2:34">
      <c r="B397" s="1202"/>
      <c r="D397" s="56"/>
      <c r="H397" s="56"/>
      <c r="I397" s="56"/>
      <c r="J397" s="56"/>
    </row>
    <row r="398" spans="2:34" ht="16.5" thickBot="1">
      <c r="B398" s="1202"/>
      <c r="E398" s="255" t="s">
        <v>287</v>
      </c>
      <c r="F398" s="1"/>
      <c r="H398" s="209"/>
      <c r="I398" s="1"/>
      <c r="J398" s="1"/>
    </row>
    <row r="399" spans="2:34" ht="12" thickBot="1">
      <c r="B399" s="1202"/>
      <c r="D399" s="50"/>
      <c r="E399" s="444" t="s">
        <v>277</v>
      </c>
      <c r="F399" s="319" t="s">
        <v>1363</v>
      </c>
      <c r="I399" s="331"/>
      <c r="J399" s="76"/>
    </row>
    <row r="400" spans="2:34">
      <c r="B400" s="1202"/>
      <c r="D400" s="406" t="s">
        <v>161</v>
      </c>
      <c r="E400" s="453">
        <v>4.9059814565432418E-3</v>
      </c>
      <c r="F400" s="454">
        <f>E400*'Guide &amp; drivers'!$C$35</f>
        <v>6.2390730152978241E-3</v>
      </c>
      <c r="G400" s="263"/>
      <c r="H400" s="263"/>
      <c r="I400" s="336"/>
      <c r="J400" s="321"/>
      <c r="L400" s="321"/>
      <c r="M400" s="335"/>
      <c r="O400" s="321"/>
      <c r="P400" s="335"/>
      <c r="R400" s="321"/>
      <c r="S400" s="335"/>
      <c r="U400" s="321"/>
      <c r="V400" s="335"/>
      <c r="X400" s="321"/>
      <c r="Y400" s="335"/>
      <c r="AA400" s="321"/>
      <c r="AB400" s="335"/>
    </row>
    <row r="401" spans="2:28">
      <c r="B401" s="338"/>
      <c r="D401" s="407" t="s">
        <v>263</v>
      </c>
      <c r="E401" s="453"/>
      <c r="F401" s="454">
        <f>E401*'Guide &amp; drivers'!$C$35</f>
        <v>0</v>
      </c>
      <c r="I401" s="336"/>
      <c r="J401" s="321"/>
      <c r="L401" s="321"/>
      <c r="M401" s="335"/>
      <c r="O401" s="321"/>
      <c r="P401" s="335"/>
      <c r="R401" s="321"/>
      <c r="S401" s="335"/>
      <c r="U401" s="321"/>
      <c r="V401" s="335"/>
      <c r="X401" s="321"/>
      <c r="Y401" s="335"/>
      <c r="AA401" s="321"/>
      <c r="AB401" s="335"/>
    </row>
    <row r="402" spans="2:28">
      <c r="B402" s="338"/>
      <c r="D402" s="407" t="s">
        <v>264</v>
      </c>
      <c r="E402" s="453"/>
      <c r="F402" s="454">
        <f>E402*'Guide &amp; drivers'!$C$35</f>
        <v>0</v>
      </c>
      <c r="I402" s="336"/>
      <c r="J402" s="321"/>
      <c r="L402" s="321"/>
      <c r="M402" s="335"/>
      <c r="O402" s="321"/>
      <c r="P402" s="335"/>
      <c r="R402" s="321"/>
      <c r="S402" s="335"/>
      <c r="U402" s="321"/>
      <c r="V402" s="335"/>
      <c r="X402" s="321"/>
      <c r="Y402" s="335"/>
      <c r="AA402" s="321"/>
      <c r="AB402" s="335"/>
    </row>
    <row r="403" spans="2:28">
      <c r="B403" s="338"/>
      <c r="D403" s="407" t="s">
        <v>164</v>
      </c>
      <c r="E403" s="453">
        <v>2.6850000000000002E-2</v>
      </c>
      <c r="F403" s="454">
        <f>E403*'Guide &amp; drivers'!$C$35</f>
        <v>3.4145891488709515E-2</v>
      </c>
      <c r="I403" s="336"/>
      <c r="J403" s="321"/>
      <c r="L403" s="321"/>
      <c r="M403" s="335"/>
      <c r="O403" s="321"/>
      <c r="P403" s="335"/>
      <c r="R403" s="321"/>
      <c r="S403" s="335"/>
      <c r="U403" s="321"/>
      <c r="V403" s="335"/>
      <c r="X403" s="321"/>
      <c r="Y403" s="335"/>
      <c r="AA403" s="321"/>
      <c r="AB403" s="335"/>
    </row>
    <row r="404" spans="2:28">
      <c r="B404" s="338"/>
      <c r="D404" s="407" t="s">
        <v>165</v>
      </c>
      <c r="E404" s="453"/>
      <c r="F404" s="454">
        <f>E404*'Guide &amp; drivers'!$C$35</f>
        <v>0</v>
      </c>
      <c r="I404" s="336"/>
      <c r="J404" s="321"/>
      <c r="L404" s="321"/>
      <c r="M404" s="335"/>
      <c r="O404" s="321"/>
      <c r="P404" s="335"/>
      <c r="R404" s="321"/>
      <c r="S404" s="335"/>
      <c r="U404" s="321"/>
      <c r="V404" s="335"/>
      <c r="X404" s="321"/>
      <c r="Y404" s="335"/>
      <c r="AA404" s="321"/>
      <c r="AB404" s="335"/>
    </row>
    <row r="405" spans="2:28">
      <c r="B405" s="338"/>
      <c r="D405" s="407" t="s">
        <v>166</v>
      </c>
      <c r="E405" s="453"/>
      <c r="F405" s="454">
        <f>E405*'Guide &amp; drivers'!$C$35</f>
        <v>0</v>
      </c>
      <c r="I405" s="336"/>
      <c r="J405" s="321"/>
      <c r="L405" s="321"/>
      <c r="M405" s="335"/>
      <c r="O405" s="321"/>
      <c r="P405" s="335"/>
      <c r="R405" s="321"/>
      <c r="S405" s="335"/>
      <c r="U405" s="321"/>
      <c r="V405" s="335"/>
      <c r="X405" s="321"/>
      <c r="Y405" s="335"/>
      <c r="AA405" s="321"/>
      <c r="AB405" s="335"/>
    </row>
    <row r="406" spans="2:28">
      <c r="B406" s="338"/>
      <c r="D406" s="407" t="s">
        <v>167</v>
      </c>
      <c r="E406" s="453">
        <v>3.8955183653872905E-2</v>
      </c>
      <c r="F406" s="454">
        <f>E406*'Guide &amp; drivers'!$C$35</f>
        <v>4.9540390091914147E-2</v>
      </c>
      <c r="I406" s="336"/>
      <c r="J406" s="321"/>
      <c r="L406" s="321"/>
      <c r="M406" s="335"/>
      <c r="O406" s="321"/>
      <c r="P406" s="335"/>
      <c r="R406" s="321"/>
      <c r="S406" s="335"/>
      <c r="U406" s="321"/>
      <c r="V406" s="335"/>
      <c r="X406" s="321"/>
      <c r="Y406" s="335"/>
      <c r="AA406" s="321"/>
      <c r="AB406" s="335"/>
    </row>
    <row r="407" spans="2:28">
      <c r="B407" s="338"/>
      <c r="D407" s="407" t="s">
        <v>168</v>
      </c>
      <c r="E407" s="453"/>
      <c r="F407" s="454">
        <f>E407*'Guide &amp; drivers'!$C$35</f>
        <v>0</v>
      </c>
      <c r="I407" s="336"/>
      <c r="J407" s="321"/>
      <c r="L407" s="321"/>
      <c r="M407" s="335"/>
      <c r="O407" s="321"/>
      <c r="P407" s="335"/>
      <c r="R407" s="321"/>
      <c r="S407" s="335"/>
      <c r="U407" s="321"/>
      <c r="V407" s="335"/>
      <c r="X407" s="321"/>
      <c r="Y407" s="335"/>
      <c r="AA407" s="321"/>
      <c r="AB407" s="335"/>
    </row>
    <row r="408" spans="2:28">
      <c r="B408" s="338"/>
      <c r="D408" s="407" t="s">
        <v>169</v>
      </c>
      <c r="E408" s="453"/>
      <c r="F408" s="454">
        <f>E408*'Guide &amp; drivers'!$C$35</f>
        <v>0</v>
      </c>
      <c r="I408" s="336"/>
      <c r="J408" s="321"/>
      <c r="L408" s="321"/>
      <c r="M408" s="335"/>
      <c r="O408" s="321"/>
      <c r="P408" s="335"/>
      <c r="R408" s="321"/>
      <c r="S408" s="335"/>
      <c r="U408" s="321"/>
      <c r="V408" s="335"/>
      <c r="X408" s="321"/>
      <c r="Y408" s="335"/>
      <c r="AA408" s="321"/>
      <c r="AB408" s="335"/>
    </row>
    <row r="409" spans="2:28">
      <c r="B409" s="338"/>
      <c r="D409" s="407" t="s">
        <v>170</v>
      </c>
      <c r="E409" s="453"/>
      <c r="F409" s="454">
        <f>E409*'Guide &amp; drivers'!$C$35</f>
        <v>0</v>
      </c>
      <c r="I409" s="336"/>
      <c r="J409" s="321"/>
      <c r="L409" s="321"/>
      <c r="M409" s="335"/>
      <c r="O409" s="321"/>
      <c r="P409" s="335"/>
      <c r="R409" s="321"/>
      <c r="S409" s="335"/>
      <c r="U409" s="321"/>
      <c r="V409" s="335"/>
      <c r="X409" s="321"/>
      <c r="Y409" s="335"/>
      <c r="AA409" s="321"/>
      <c r="AB409" s="335"/>
    </row>
    <row r="410" spans="2:28">
      <c r="B410" s="338"/>
      <c r="D410" s="407" t="s">
        <v>171</v>
      </c>
      <c r="E410" s="453"/>
      <c r="F410" s="454">
        <f>E410*'Guide &amp; drivers'!$C$35</f>
        <v>0</v>
      </c>
      <c r="I410" s="336"/>
      <c r="J410" s="321"/>
      <c r="L410" s="321"/>
      <c r="M410" s="335"/>
      <c r="O410" s="321"/>
      <c r="P410" s="335"/>
      <c r="R410" s="321"/>
      <c r="S410" s="335"/>
      <c r="U410" s="321"/>
      <c r="V410" s="335"/>
      <c r="X410" s="321"/>
      <c r="Y410" s="335"/>
      <c r="AA410" s="321"/>
      <c r="AB410" s="335"/>
    </row>
    <row r="411" spans="2:28">
      <c r="B411" s="338"/>
      <c r="D411" s="407" t="s">
        <v>172</v>
      </c>
      <c r="E411" s="453"/>
      <c r="F411" s="454">
        <f>E411*'Guide &amp; drivers'!$C$35</f>
        <v>0</v>
      </c>
      <c r="I411" s="336"/>
      <c r="J411" s="321"/>
      <c r="L411" s="321"/>
      <c r="M411" s="335"/>
      <c r="O411" s="321"/>
      <c r="P411" s="335"/>
      <c r="R411" s="321"/>
      <c r="S411" s="335"/>
      <c r="U411" s="321"/>
      <c r="V411" s="335"/>
      <c r="X411" s="321"/>
      <c r="Y411" s="335"/>
      <c r="AA411" s="321"/>
      <c r="AB411" s="335"/>
    </row>
    <row r="412" spans="2:28">
      <c r="B412" s="338"/>
      <c r="D412" s="407" t="s">
        <v>28</v>
      </c>
      <c r="E412" s="453"/>
      <c r="F412" s="454">
        <f>E412*'Guide &amp; drivers'!$C$35</f>
        <v>0</v>
      </c>
      <c r="I412" s="336"/>
      <c r="J412" s="321"/>
      <c r="L412" s="321"/>
      <c r="M412" s="335"/>
      <c r="O412" s="321"/>
      <c r="P412" s="335"/>
      <c r="R412" s="321"/>
      <c r="S412" s="335"/>
      <c r="U412" s="321"/>
      <c r="V412" s="335"/>
      <c r="X412" s="321"/>
      <c r="Y412" s="335"/>
      <c r="AA412" s="321"/>
      <c r="AB412" s="335"/>
    </row>
    <row r="413" spans="2:28">
      <c r="B413" s="338"/>
      <c r="D413" s="407" t="s">
        <v>173</v>
      </c>
      <c r="E413" s="453"/>
      <c r="F413" s="454">
        <f>E413*'Guide &amp; drivers'!$C$35</f>
        <v>0</v>
      </c>
      <c r="I413" s="336"/>
      <c r="J413" s="321"/>
      <c r="L413" s="321"/>
      <c r="M413" s="335"/>
      <c r="O413" s="321"/>
      <c r="P413" s="335"/>
      <c r="R413" s="321"/>
      <c r="S413" s="335"/>
      <c r="U413" s="321"/>
      <c r="V413" s="335"/>
      <c r="X413" s="321"/>
      <c r="Y413" s="335"/>
      <c r="AA413" s="321"/>
      <c r="AB413" s="335"/>
    </row>
    <row r="414" spans="2:28" ht="46.5" thickBot="1">
      <c r="B414" s="338"/>
      <c r="D414" s="452" t="s">
        <v>288</v>
      </c>
      <c r="E414" s="455">
        <v>7.0711165110416155E-2</v>
      </c>
      <c r="F414" s="840">
        <f>E414*'Guide &amp; drivers'!$C$35</f>
        <v>8.9925354595921492E-2</v>
      </c>
      <c r="I414" s="336"/>
      <c r="J414" s="321"/>
      <c r="L414" s="321"/>
      <c r="M414" s="335"/>
      <c r="O414" s="321"/>
      <c r="P414" s="335"/>
      <c r="R414" s="321"/>
      <c r="S414" s="335"/>
      <c r="U414" s="321"/>
      <c r="V414" s="335"/>
      <c r="X414" s="321"/>
      <c r="Y414" s="335"/>
      <c r="AA414" s="321"/>
      <c r="AB414" s="335"/>
    </row>
    <row r="415" spans="2:28" ht="12" thickBot="1">
      <c r="B415" s="339"/>
      <c r="D415" s="2" t="s">
        <v>289</v>
      </c>
      <c r="H415" s="337"/>
      <c r="I415" s="336"/>
      <c r="J415" s="321"/>
      <c r="L415" s="321"/>
      <c r="M415" s="335"/>
      <c r="O415" s="321"/>
      <c r="P415" s="335"/>
      <c r="R415" s="321"/>
      <c r="S415" s="335"/>
      <c r="U415" s="321"/>
      <c r="V415" s="335"/>
      <c r="X415" s="321"/>
      <c r="Y415" s="335"/>
      <c r="AA415" s="321"/>
      <c r="AB415" s="335"/>
    </row>
    <row r="417" spans="2:21">
      <c r="B417" s="1200" t="s">
        <v>290</v>
      </c>
    </row>
    <row r="418" spans="2:21" ht="12" thickBot="1">
      <c r="B418" s="1200"/>
      <c r="D418" s="1" t="s">
        <v>75</v>
      </c>
    </row>
    <row r="419" spans="2:21">
      <c r="B419" s="1200"/>
      <c r="E419" s="1179" t="s">
        <v>291</v>
      </c>
      <c r="F419" s="1180"/>
      <c r="G419" s="1180"/>
      <c r="H419" s="1180"/>
      <c r="I419" s="1180"/>
      <c r="J419" s="1180"/>
      <c r="K419" s="1180"/>
      <c r="L419" s="1181"/>
      <c r="N419" s="1179" t="s">
        <v>292</v>
      </c>
      <c r="O419" s="1180"/>
      <c r="P419" s="1180"/>
      <c r="Q419" s="1180"/>
      <c r="R419" s="1180"/>
      <c r="S419" s="1180"/>
      <c r="T419" s="1180"/>
      <c r="U419" s="1181"/>
    </row>
    <row r="420" spans="2:21" ht="12" thickBot="1">
      <c r="B420" s="1200"/>
      <c r="E420" s="457" t="s">
        <v>137</v>
      </c>
      <c r="F420" s="78" t="s">
        <v>138</v>
      </c>
      <c r="G420" s="78" t="s">
        <v>139</v>
      </c>
      <c r="H420" s="78" t="s">
        <v>140</v>
      </c>
      <c r="I420" s="78" t="s">
        <v>141</v>
      </c>
      <c r="J420" s="78" t="s">
        <v>126</v>
      </c>
      <c r="K420" s="78" t="s">
        <v>142</v>
      </c>
      <c r="L420" s="458" t="s">
        <v>143</v>
      </c>
      <c r="N420" s="457" t="s">
        <v>137</v>
      </c>
      <c r="O420" s="78" t="s">
        <v>138</v>
      </c>
      <c r="P420" s="78" t="s">
        <v>139</v>
      </c>
      <c r="Q420" s="78" t="s">
        <v>140</v>
      </c>
      <c r="R420" s="78" t="s">
        <v>141</v>
      </c>
      <c r="S420" s="78" t="s">
        <v>126</v>
      </c>
      <c r="T420" s="78" t="s">
        <v>142</v>
      </c>
      <c r="U420" s="458" t="s">
        <v>143</v>
      </c>
    </row>
    <row r="421" spans="2:21">
      <c r="B421" s="1200"/>
      <c r="D421" s="186" t="s">
        <v>161</v>
      </c>
      <c r="E421" s="459">
        <f>'Ch4 expenditure drivers'!N474</f>
        <v>1.0231135969828125</v>
      </c>
      <c r="F421" s="31">
        <f>'Ch4 expenditure drivers'!O474</f>
        <v>0.90797460308216715</v>
      </c>
      <c r="G421" s="31">
        <f>'Ch4 expenditure drivers'!P474</f>
        <v>0.98702830005077447</v>
      </c>
      <c r="H421" s="31">
        <f>'Ch4 expenditure drivers'!Q474</f>
        <v>0.94229627814058525</v>
      </c>
      <c r="I421" s="31">
        <f>'Ch4 expenditure drivers'!R474</f>
        <v>0.98305482443418402</v>
      </c>
      <c r="J421" s="31">
        <f>'Ch4 expenditure drivers'!S474</f>
        <v>1.8296956712259498</v>
      </c>
      <c r="K421" s="31">
        <f>'Ch4 expenditure drivers'!T474</f>
        <v>1.8207371436328925</v>
      </c>
      <c r="L421" s="460">
        <f>'Ch4 expenditure drivers'!U474</f>
        <v>1.8000850708734804</v>
      </c>
      <c r="N421" s="399">
        <f>'Ch4 expenditure drivers'!W474</f>
        <v>6.1680912721397405E-2</v>
      </c>
      <c r="O421" s="25">
        <f>'Ch4 expenditure drivers'!X474</f>
        <v>8.2782268898683731E-3</v>
      </c>
      <c r="P421" s="25">
        <f>'Ch4 expenditure drivers'!Y474</f>
        <v>0.15136285222840734</v>
      </c>
      <c r="Q421" s="25">
        <f>'Ch4 expenditure drivers'!Z474</f>
        <v>0.62367327504445336</v>
      </c>
      <c r="R421" s="25">
        <f>'Ch4 expenditure drivers'!AA474</f>
        <v>1.4403735675211435</v>
      </c>
      <c r="S421" s="25">
        <f>'Ch4 expenditure drivers'!AB474</f>
        <v>0.98425312202869275</v>
      </c>
      <c r="T421" s="25">
        <f>'Ch4 expenditure drivers'!AC474</f>
        <v>0.29075524989060997</v>
      </c>
      <c r="U421" s="464"/>
    </row>
    <row r="422" spans="2:21">
      <c r="B422" s="1200"/>
      <c r="D422" s="187" t="s">
        <v>162</v>
      </c>
      <c r="E422" s="459">
        <f>'Ch4 expenditure drivers'!N475</f>
        <v>0.98632589963739714</v>
      </c>
      <c r="F422" s="31">
        <f>'Ch4 expenditure drivers'!O475</f>
        <v>0.94021961360228767</v>
      </c>
      <c r="G422" s="31">
        <f>'Ch4 expenditure drivers'!P475</f>
        <v>0.56899407756807274</v>
      </c>
      <c r="H422" s="31">
        <f>'Ch4 expenditure drivers'!Q475</f>
        <v>0.38075370681258947</v>
      </c>
      <c r="I422" s="31">
        <f>'Ch4 expenditure drivers'!R475</f>
        <v>0.35807304132116163</v>
      </c>
      <c r="J422" s="31">
        <f>'Ch4 expenditure drivers'!S475</f>
        <v>0.27818334386942528</v>
      </c>
      <c r="K422" s="31">
        <f>'Ch4 expenditure drivers'!T475</f>
        <v>0.24346541092742865</v>
      </c>
      <c r="L422" s="460">
        <f>'Ch4 expenditure drivers'!U475</f>
        <v>0.24366259539774912</v>
      </c>
      <c r="N422" s="399">
        <f>'Ch4 expenditure drivers'!W475</f>
        <v>0.8590293309405288</v>
      </c>
      <c r="O422" s="25">
        <f>'Ch4 expenditure drivers'!X475</f>
        <v>1.4122945291592788</v>
      </c>
      <c r="P422" s="25">
        <f>'Ch4 expenditure drivers'!Y475</f>
        <v>1.0932633940441985</v>
      </c>
      <c r="Q422" s="25">
        <f>'Ch4 expenditure drivers'!Z475</f>
        <v>0.71277749871801177</v>
      </c>
      <c r="R422" s="25">
        <f>'Ch4 expenditure drivers'!AA475</f>
        <v>0.36271086493985411</v>
      </c>
      <c r="S422" s="25">
        <f>'Ch4 expenditure drivers'!AB475</f>
        <v>0.32880013088368171</v>
      </c>
      <c r="T422" s="25">
        <f>'Ch4 expenditure drivers'!AC475</f>
        <v>0.14376096999999999</v>
      </c>
      <c r="U422" s="464"/>
    </row>
    <row r="423" spans="2:21">
      <c r="B423" s="1200"/>
      <c r="D423" s="187" t="s">
        <v>163</v>
      </c>
      <c r="E423" s="459">
        <f>'Ch4 expenditure drivers'!N476</f>
        <v>1.2644149561267246</v>
      </c>
      <c r="F423" s="31">
        <f>'Ch4 expenditure drivers'!O476</f>
        <v>1.2209757597084936</v>
      </c>
      <c r="G423" s="31">
        <f>'Ch4 expenditure drivers'!P476</f>
        <v>1.1803118935597876</v>
      </c>
      <c r="H423" s="31">
        <f>'Ch4 expenditure drivers'!Q476</f>
        <v>1.0185104595155632</v>
      </c>
      <c r="I423" s="31">
        <f>'Ch4 expenditure drivers'!R476</f>
        <v>0.51003941253026941</v>
      </c>
      <c r="J423" s="31">
        <f>'Ch4 expenditure drivers'!S476</f>
        <v>0.49050086694801265</v>
      </c>
      <c r="K423" s="31">
        <f>'Ch4 expenditure drivers'!T476</f>
        <v>0.40912932714813738</v>
      </c>
      <c r="L423" s="460">
        <f>'Ch4 expenditure drivers'!U476</f>
        <v>0.45319314745061035</v>
      </c>
      <c r="N423" s="399">
        <f>'Ch4 expenditure drivers'!W476</f>
        <v>0.80536300836807684</v>
      </c>
      <c r="O423" s="25">
        <f>'Ch4 expenditure drivers'!X476</f>
        <v>1.5766978513270038</v>
      </c>
      <c r="P423" s="25">
        <f>'Ch4 expenditure drivers'!Y476</f>
        <v>1.6906437959838381</v>
      </c>
      <c r="Q423" s="25">
        <f>'Ch4 expenditure drivers'!Z476</f>
        <v>1.4124466778469076</v>
      </c>
      <c r="R423" s="25">
        <f>'Ch4 expenditure drivers'!AA476</f>
        <v>0.49729663850506867</v>
      </c>
      <c r="S423" s="25">
        <f>'Ch4 expenditure drivers'!AB476</f>
        <v>0.70339109204955008</v>
      </c>
      <c r="T423" s="25">
        <f>'Ch4 expenditure drivers'!AC476</f>
        <v>0.44858133</v>
      </c>
      <c r="U423" s="464"/>
    </row>
    <row r="424" spans="2:21">
      <c r="B424" s="1200"/>
      <c r="D424" s="187" t="s">
        <v>164</v>
      </c>
      <c r="E424" s="459">
        <f>'Ch4 expenditure drivers'!N477</f>
        <v>0.29310526019539673</v>
      </c>
      <c r="F424" s="31">
        <f>'Ch4 expenditure drivers'!O477</f>
        <v>0.62025699754064401</v>
      </c>
      <c r="G424" s="31">
        <f>'Ch4 expenditure drivers'!P477</f>
        <v>0.94441472413524252</v>
      </c>
      <c r="H424" s="31">
        <f>'Ch4 expenditure drivers'!Q477</f>
        <v>1.0442780480239542</v>
      </c>
      <c r="I424" s="31">
        <f>'Ch4 expenditure drivers'!R477</f>
        <v>0.72090033588423452</v>
      </c>
      <c r="J424" s="31">
        <f>'Ch4 expenditure drivers'!S477</f>
        <v>0.39511377234710016</v>
      </c>
      <c r="K424" s="31">
        <f>'Ch4 expenditure drivers'!T477</f>
        <v>0.3971933414603101</v>
      </c>
      <c r="L424" s="460">
        <f>'Ch4 expenditure drivers'!U477</f>
        <v>0.16476167406358741</v>
      </c>
      <c r="N424" s="399">
        <f>'Ch4 expenditure drivers'!W477</f>
        <v>0.64862313738036415</v>
      </c>
      <c r="O424" s="25">
        <f>'Ch4 expenditure drivers'!X477</f>
        <v>1.5689881943605846</v>
      </c>
      <c r="P424" s="25">
        <f>'Ch4 expenditure drivers'!Y477</f>
        <v>1.0947372124492558</v>
      </c>
      <c r="Q424" s="25">
        <f>'Ch4 expenditure drivers'!Z477</f>
        <v>0.87172301735213975</v>
      </c>
      <c r="R424" s="25">
        <f>'Ch4 expenditure drivers'!AA477</f>
        <v>0.395047178315591</v>
      </c>
      <c r="S424" s="25">
        <f>'Ch4 expenditure drivers'!AB477</f>
        <v>1.057759707921011E-3</v>
      </c>
      <c r="T424" s="25">
        <f>'Ch4 expenditure drivers'!AC477</f>
        <v>8.8200000000000001E-2</v>
      </c>
      <c r="U424" s="464"/>
    </row>
    <row r="425" spans="2:21">
      <c r="B425" s="1200"/>
      <c r="D425" s="187" t="s">
        <v>165</v>
      </c>
      <c r="E425" s="459">
        <f>'Ch4 expenditure drivers'!N478</f>
        <v>0.52908068248688034</v>
      </c>
      <c r="F425" s="31">
        <f>'Ch4 expenditure drivers'!O478</f>
        <v>1.1798821167169296</v>
      </c>
      <c r="G425" s="31">
        <f>'Ch4 expenditure drivers'!P478</f>
        <v>1.7786734679560345</v>
      </c>
      <c r="H425" s="31">
        <f>'Ch4 expenditure drivers'!Q478</f>
        <v>1.9928920577143547</v>
      </c>
      <c r="I425" s="31">
        <f>'Ch4 expenditure drivers'!R478</f>
        <v>1.3940837045446857</v>
      </c>
      <c r="J425" s="31">
        <f>'Ch4 expenditure drivers'!S478</f>
        <v>0.79228189587602704</v>
      </c>
      <c r="K425" s="31">
        <f>'Ch4 expenditure drivers'!T478</f>
        <v>0.79475302353814059</v>
      </c>
      <c r="L425" s="460">
        <f>'Ch4 expenditure drivers'!U478</f>
        <v>0.35320850375509638</v>
      </c>
      <c r="N425" s="399">
        <f>'Ch4 expenditure drivers'!W478</f>
        <v>0.97545339798714881</v>
      </c>
      <c r="O425" s="25">
        <f>'Ch4 expenditure drivers'!X478</f>
        <v>2.0054444971923679</v>
      </c>
      <c r="P425" s="25">
        <f>'Ch4 expenditure drivers'!Y478</f>
        <v>1.9541602536121176</v>
      </c>
      <c r="Q425" s="25">
        <f>'Ch4 expenditure drivers'!Z478</f>
        <v>1.0954473195250398</v>
      </c>
      <c r="R425" s="25">
        <f>'Ch4 expenditure drivers'!AA478</f>
        <v>1.1517391719022028</v>
      </c>
      <c r="S425" s="25">
        <f>'Ch4 expenditure drivers'!AB478</f>
        <v>0.35868631695601488</v>
      </c>
      <c r="T425" s="25">
        <f>'Ch4 expenditure drivers'!AC478</f>
        <v>0.25559999999999999</v>
      </c>
      <c r="U425" s="464"/>
    </row>
    <row r="426" spans="2:21">
      <c r="B426" s="1200"/>
      <c r="D426" s="187" t="s">
        <v>166</v>
      </c>
      <c r="E426" s="459">
        <f>'Ch4 expenditure drivers'!N479</f>
        <v>0.11094996115045777</v>
      </c>
      <c r="F426" s="31">
        <f>'Ch4 expenditure drivers'!O479</f>
        <v>0.29136120529617182</v>
      </c>
      <c r="G426" s="31">
        <f>'Ch4 expenditure drivers'!P479</f>
        <v>0.42561223418389182</v>
      </c>
      <c r="H426" s="31">
        <f>'Ch4 expenditure drivers'!Q479</f>
        <v>0.49212527791163008</v>
      </c>
      <c r="I426" s="31">
        <f>'Ch4 expenditure drivers'!R479</f>
        <v>0.3584579340405768</v>
      </c>
      <c r="J426" s="31">
        <f>'Ch4 expenditure drivers'!S479</f>
        <v>0.22489993884116866</v>
      </c>
      <c r="K426" s="31">
        <f>'Ch4 expenditure drivers'!T479</f>
        <v>0.22611943614191093</v>
      </c>
      <c r="L426" s="460">
        <f>'Ch4 expenditure drivers'!U479</f>
        <v>0.11283034211285412</v>
      </c>
      <c r="N426" s="399">
        <f>'Ch4 expenditure drivers'!W479</f>
        <v>0.95986149564627488</v>
      </c>
      <c r="O426" s="25">
        <f>'Ch4 expenditure drivers'!X479</f>
        <v>1.2545329942035985</v>
      </c>
      <c r="P426" s="25">
        <f>'Ch4 expenditure drivers'!Y479</f>
        <v>1.2302211292505127</v>
      </c>
      <c r="Q426" s="25">
        <f>'Ch4 expenditure drivers'!Z479</f>
        <v>0.36211046846541572</v>
      </c>
      <c r="R426" s="25">
        <f>'Ch4 expenditure drivers'!AA479</f>
        <v>0.1049176787938426</v>
      </c>
      <c r="S426" s="25">
        <f>'Ch4 expenditure drivers'!AB479</f>
        <v>4.707030700248499E-2</v>
      </c>
      <c r="T426" s="25">
        <f>'Ch4 expenditure drivers'!AC479</f>
        <v>0</v>
      </c>
      <c r="U426" s="464"/>
    </row>
    <row r="427" spans="2:21">
      <c r="B427" s="1200"/>
      <c r="D427" s="187" t="s">
        <v>167</v>
      </c>
      <c r="E427" s="459">
        <f>'Ch4 expenditure drivers'!N480</f>
        <v>0.24685208931870709</v>
      </c>
      <c r="F427" s="31">
        <f>'Ch4 expenditure drivers'!O480</f>
        <v>0.64030984196443763</v>
      </c>
      <c r="G427" s="31">
        <f>'Ch4 expenditure drivers'!P480</f>
        <v>0.934709492122617</v>
      </c>
      <c r="H427" s="31">
        <f>'Ch4 expenditure drivers'!Q480</f>
        <v>1.0818558393062885</v>
      </c>
      <c r="I427" s="31">
        <f>'Ch4 expenditure drivers'!R480</f>
        <v>0.78952939310485248</v>
      </c>
      <c r="J427" s="31">
        <f>'Ch4 expenditure drivers'!S480</f>
        <v>0.49680531105875103</v>
      </c>
      <c r="K427" s="31">
        <f>'Ch4 expenditure drivers'!T480</f>
        <v>0.49539227963523441</v>
      </c>
      <c r="L427" s="460">
        <f>'Ch4 expenditure drivers'!U480</f>
        <v>0.25021463530500948</v>
      </c>
      <c r="N427" s="399">
        <f>'Ch4 expenditure drivers'!W480</f>
        <v>0.98852660841142048</v>
      </c>
      <c r="O427" s="25">
        <f>'Ch4 expenditure drivers'!X480</f>
        <v>1.5506704157106628</v>
      </c>
      <c r="P427" s="25">
        <f>'Ch4 expenditure drivers'!Y480</f>
        <v>2.3566504859807642</v>
      </c>
      <c r="Q427" s="25">
        <f>'Ch4 expenditure drivers'!Z480</f>
        <v>1.1092859361542915</v>
      </c>
      <c r="R427" s="25">
        <f>'Ch4 expenditure drivers'!AA480</f>
        <v>0.42202601000543621</v>
      </c>
      <c r="S427" s="25">
        <f>'Ch4 expenditure drivers'!AB480</f>
        <v>0.5270816624570398</v>
      </c>
      <c r="T427" s="25">
        <f>'Ch4 expenditure drivers'!AC480</f>
        <v>0.1462</v>
      </c>
      <c r="U427" s="464"/>
    </row>
    <row r="428" spans="2:21">
      <c r="B428" s="1200"/>
      <c r="D428" s="187" t="s">
        <v>168</v>
      </c>
      <c r="E428" s="459">
        <f>'Ch4 expenditure drivers'!N481</f>
        <v>0.44079192159919312</v>
      </c>
      <c r="F428" s="31">
        <f>'Ch4 expenditure drivers'!O481</f>
        <v>0.43854493791209298</v>
      </c>
      <c r="G428" s="31">
        <f>'Ch4 expenditure drivers'!P481</f>
        <v>0.37170456525466677</v>
      </c>
      <c r="H428" s="31">
        <f>'Ch4 expenditure drivers'!Q481</f>
        <v>0.34671846051418326</v>
      </c>
      <c r="I428" s="31">
        <f>'Ch4 expenditure drivers'!R481</f>
        <v>0.29669279311639896</v>
      </c>
      <c r="J428" s="31">
        <f>'Ch4 expenditure drivers'!S481</f>
        <v>0.20412028227639614</v>
      </c>
      <c r="K428" s="31">
        <f>'Ch4 expenditure drivers'!T481</f>
        <v>0.17812625429327988</v>
      </c>
      <c r="L428" s="460">
        <f>'Ch4 expenditure drivers'!U481</f>
        <v>0.16467546564618837</v>
      </c>
      <c r="N428" s="399">
        <f>'Ch4 expenditure drivers'!W481</f>
        <v>0</v>
      </c>
      <c r="O428" s="25">
        <f>'Ch4 expenditure drivers'!X481</f>
        <v>0.7285433238421084</v>
      </c>
      <c r="P428" s="25">
        <f>'Ch4 expenditure drivers'!Y481</f>
        <v>1.3759852747422321</v>
      </c>
      <c r="Q428" s="25">
        <f>'Ch4 expenditure drivers'!Z481</f>
        <v>1.1034318760701685</v>
      </c>
      <c r="R428" s="25">
        <f>'Ch4 expenditure drivers'!AA481</f>
        <v>0.41131378973926913</v>
      </c>
      <c r="S428" s="25">
        <f>'Ch4 expenditure drivers'!AB481</f>
        <v>0.25160346028548786</v>
      </c>
      <c r="T428" s="25">
        <f>'Ch4 expenditure drivers'!AC481</f>
        <v>0.34952613375183789</v>
      </c>
      <c r="U428" s="464"/>
    </row>
    <row r="429" spans="2:21">
      <c r="B429" s="1200"/>
      <c r="D429" s="187" t="s">
        <v>169</v>
      </c>
      <c r="E429" s="459">
        <f>'Ch4 expenditure drivers'!N482</f>
        <v>0.7362004982197079</v>
      </c>
      <c r="F429" s="31">
        <f>'Ch4 expenditure drivers'!O482</f>
        <v>0.80436574116317006</v>
      </c>
      <c r="G429" s="31">
        <f>'Ch4 expenditure drivers'!P482</f>
        <v>0.73717473597580563</v>
      </c>
      <c r="H429" s="31">
        <f>'Ch4 expenditure drivers'!Q482</f>
        <v>0.73575241223351096</v>
      </c>
      <c r="I429" s="31">
        <f>'Ch4 expenditure drivers'!R482</f>
        <v>0.6381312757485208</v>
      </c>
      <c r="J429" s="31">
        <f>'Ch4 expenditure drivers'!S482</f>
        <v>0.47678059487334468</v>
      </c>
      <c r="K429" s="31">
        <f>'Ch4 expenditure drivers'!T482</f>
        <v>0.44264414552108433</v>
      </c>
      <c r="L429" s="460">
        <f>'Ch4 expenditure drivers'!U482</f>
        <v>0.42420878694514824</v>
      </c>
      <c r="N429" s="399">
        <f>'Ch4 expenditure drivers'!W482</f>
        <v>0</v>
      </c>
      <c r="O429" s="25">
        <f>'Ch4 expenditure drivers'!X482</f>
        <v>0.58609460584030948</v>
      </c>
      <c r="P429" s="25">
        <f>'Ch4 expenditure drivers'!Y482</f>
        <v>1.225406656270015</v>
      </c>
      <c r="Q429" s="25">
        <f>'Ch4 expenditure drivers'!Z482</f>
        <v>2.3408300214314961</v>
      </c>
      <c r="R429" s="25">
        <f>'Ch4 expenditure drivers'!AA482</f>
        <v>0.96422646547149726</v>
      </c>
      <c r="S429" s="25">
        <f>'Ch4 expenditure drivers'!AB482</f>
        <v>0.94197623705630384</v>
      </c>
      <c r="T429" s="25">
        <f>'Ch4 expenditure drivers'!AC482</f>
        <v>1.2098628339399866</v>
      </c>
      <c r="U429" s="464"/>
    </row>
    <row r="430" spans="2:21">
      <c r="B430" s="1200"/>
      <c r="D430" s="187" t="s">
        <v>170</v>
      </c>
      <c r="E430" s="459">
        <f>'Ch4 expenditure drivers'!N483</f>
        <v>0.95853551031491802</v>
      </c>
      <c r="F430" s="31">
        <f>'Ch4 expenditure drivers'!O483</f>
        <v>0.97943290844055131</v>
      </c>
      <c r="G430" s="31">
        <f>'Ch4 expenditure drivers'!P483</f>
        <v>1.0107346664399752</v>
      </c>
      <c r="H430" s="31">
        <f>'Ch4 expenditure drivers'!Q483</f>
        <v>1.0432317742860142</v>
      </c>
      <c r="I430" s="31">
        <f>'Ch4 expenditure drivers'!R483</f>
        <v>0.89846257011822972</v>
      </c>
      <c r="J430" s="31">
        <f>'Ch4 expenditure drivers'!S483</f>
        <v>0.63228063375785493</v>
      </c>
      <c r="K430" s="31">
        <f>'Ch4 expenditure drivers'!T483</f>
        <v>0.61081833552455334</v>
      </c>
      <c r="L430" s="460">
        <f>'Ch4 expenditure drivers'!U483</f>
        <v>0.56145076537064964</v>
      </c>
      <c r="N430" s="399">
        <f>'Ch4 expenditure drivers'!W483</f>
        <v>4.4883075088965045E-2</v>
      </c>
      <c r="O430" s="25">
        <f>'Ch4 expenditure drivers'!X483</f>
        <v>0.83916229349953086</v>
      </c>
      <c r="P430" s="25">
        <f>'Ch4 expenditure drivers'!Y483</f>
        <v>0.69626532221068116</v>
      </c>
      <c r="Q430" s="25">
        <f>'Ch4 expenditure drivers'!Z483</f>
        <v>2.5388110358619231</v>
      </c>
      <c r="R430" s="25">
        <f>'Ch4 expenditure drivers'!AA483</f>
        <v>2.1147981773545483</v>
      </c>
      <c r="S430" s="25">
        <f>'Ch4 expenditure drivers'!AB483</f>
        <v>1.7978013541801714</v>
      </c>
      <c r="T430" s="25">
        <f>'Ch4 expenditure drivers'!AC483</f>
        <v>1.8065587659876983</v>
      </c>
      <c r="U430" s="464"/>
    </row>
    <row r="431" spans="2:21">
      <c r="B431" s="1200"/>
      <c r="D431" s="187" t="s">
        <v>171</v>
      </c>
      <c r="E431" s="459">
        <f>'Ch4 expenditure drivers'!N484</f>
        <v>0.30704088617963587</v>
      </c>
      <c r="F431" s="31">
        <f>'Ch4 expenditure drivers'!O484</f>
        <v>0.29486783544198109</v>
      </c>
      <c r="G431" s="31">
        <f>'Ch4 expenditure drivers'!P484</f>
        <v>0.30044919870599718</v>
      </c>
      <c r="H431" s="31">
        <f>'Ch4 expenditure drivers'!Q484</f>
        <v>0.29026623601143442</v>
      </c>
      <c r="I431" s="31">
        <f>'Ch4 expenditure drivers'!R484</f>
        <v>0.27735890293934623</v>
      </c>
      <c r="J431" s="31">
        <f>'Ch4 expenditure drivers'!S484</f>
        <v>0.27114917950538497</v>
      </c>
      <c r="K431" s="31">
        <f>'Ch4 expenditure drivers'!T484</f>
        <v>0.24181557626172767</v>
      </c>
      <c r="L431" s="460">
        <f>'Ch4 expenditure drivers'!U484</f>
        <v>0.22712921235501438</v>
      </c>
      <c r="N431" s="399">
        <f>'Ch4 expenditure drivers'!W484</f>
        <v>0</v>
      </c>
      <c r="O431" s="25">
        <f>'Ch4 expenditure drivers'!X484</f>
        <v>0</v>
      </c>
      <c r="P431" s="25">
        <f>'Ch4 expenditure drivers'!Y484</f>
        <v>0</v>
      </c>
      <c r="Q431" s="25">
        <f>'Ch4 expenditure drivers'!Z484</f>
        <v>0</v>
      </c>
      <c r="R431" s="25">
        <f>'Ch4 expenditure drivers'!AA484</f>
        <v>1.5038824993117175E-2</v>
      </c>
      <c r="S431" s="25">
        <f>'Ch4 expenditure drivers'!AB484</f>
        <v>4.1797088262962197E-3</v>
      </c>
      <c r="T431" s="25">
        <f>'Ch4 expenditure drivers'!AC484</f>
        <v>3.5271433959091991E-2</v>
      </c>
      <c r="U431" s="464"/>
    </row>
    <row r="432" spans="2:21">
      <c r="B432" s="1200"/>
      <c r="D432" s="187" t="s">
        <v>172</v>
      </c>
      <c r="E432" s="459">
        <f>'Ch4 expenditure drivers'!N485</f>
        <v>0.69361116614912077</v>
      </c>
      <c r="F432" s="31">
        <f>'Ch4 expenditure drivers'!O485</f>
        <v>0.81263595098687547</v>
      </c>
      <c r="G432" s="31">
        <f>'Ch4 expenditure drivers'!P485</f>
        <v>0.78221930595512124</v>
      </c>
      <c r="H432" s="31">
        <f>'Ch4 expenditure drivers'!Q485</f>
        <v>0.72793553494924201</v>
      </c>
      <c r="I432" s="31">
        <f>'Ch4 expenditure drivers'!R485</f>
        <v>0.66104449734158099</v>
      </c>
      <c r="J432" s="31">
        <f>'Ch4 expenditure drivers'!S485</f>
        <v>0.65872449804625777</v>
      </c>
      <c r="K432" s="31">
        <f>'Ch4 expenditure drivers'!T485</f>
        <v>0.54950002888237481</v>
      </c>
      <c r="L432" s="460">
        <f>'Ch4 expenditure drivers'!U485</f>
        <v>0.4340212635911494</v>
      </c>
      <c r="N432" s="399">
        <f>'Ch4 expenditure drivers'!W485</f>
        <v>0</v>
      </c>
      <c r="O432" s="25">
        <f>'Ch4 expenditure drivers'!X485</f>
        <v>0.1635909643562794</v>
      </c>
      <c r="P432" s="25">
        <f>'Ch4 expenditure drivers'!Y485</f>
        <v>0.128209327003448</v>
      </c>
      <c r="Q432" s="25">
        <f>'Ch4 expenditure drivers'!Z485</f>
        <v>0.24715873698885898</v>
      </c>
      <c r="R432" s="25">
        <f>'Ch4 expenditure drivers'!AA485</f>
        <v>0.32672083763997078</v>
      </c>
      <c r="S432" s="25">
        <f>'Ch4 expenditure drivers'!AB485</f>
        <v>0.1371977201915249</v>
      </c>
      <c r="T432" s="25">
        <f>'Ch4 expenditure drivers'!AC485</f>
        <v>0.18224608660432504</v>
      </c>
      <c r="U432" s="464"/>
    </row>
    <row r="433" spans="2:31">
      <c r="B433" s="1200"/>
      <c r="D433" s="187" t="s">
        <v>28</v>
      </c>
      <c r="E433" s="459">
        <f>'Ch4 expenditure drivers'!N486</f>
        <v>0.84539117845025213</v>
      </c>
      <c r="F433" s="31">
        <f>'Ch4 expenditure drivers'!O486</f>
        <v>0.83487286205075162</v>
      </c>
      <c r="G433" s="31">
        <f>'Ch4 expenditure drivers'!P486</f>
        <v>0.80669192384818356</v>
      </c>
      <c r="H433" s="31">
        <f>'Ch4 expenditure drivers'!Q486</f>
        <v>0.81011332868280883</v>
      </c>
      <c r="I433" s="31">
        <f>'Ch4 expenditure drivers'!R486</f>
        <v>0.44428206121493591</v>
      </c>
      <c r="J433" s="31">
        <f>'Ch4 expenditure drivers'!S486</f>
        <v>0.43976587231181896</v>
      </c>
      <c r="K433" s="31">
        <f>'Ch4 expenditure drivers'!T486</f>
        <v>0.44052672231257317</v>
      </c>
      <c r="L433" s="460">
        <f>'Ch4 expenditure drivers'!U486</f>
        <v>0.42762355501630284</v>
      </c>
      <c r="N433" s="399">
        <f>'Ch4 expenditure drivers'!W486</f>
        <v>1.1406076250901003</v>
      </c>
      <c r="O433" s="25">
        <f>'Ch4 expenditure drivers'!X486</f>
        <v>0.59286757580160887</v>
      </c>
      <c r="P433" s="25">
        <f>'Ch4 expenditure drivers'!Y486</f>
        <v>0.16194642716821625</v>
      </c>
      <c r="Q433" s="25">
        <f>'Ch4 expenditure drivers'!Z486</f>
        <v>0.88649839190159163</v>
      </c>
      <c r="R433" s="25">
        <f>'Ch4 expenditure drivers'!AA486</f>
        <v>1.9675094539467801E-2</v>
      </c>
      <c r="S433" s="25">
        <f>'Ch4 expenditure drivers'!AB486</f>
        <v>1.384398021246435E-2</v>
      </c>
      <c r="T433" s="25">
        <f>'Ch4 expenditure drivers'!AC486</f>
        <v>0</v>
      </c>
      <c r="U433" s="464"/>
    </row>
    <row r="434" spans="2:31">
      <c r="B434" s="1200"/>
      <c r="D434" s="187" t="s">
        <v>173</v>
      </c>
      <c r="E434" s="459">
        <f>'Ch4 expenditure drivers'!N487</f>
        <v>0.70525333665139067</v>
      </c>
      <c r="F434" s="31">
        <f>'Ch4 expenditure drivers'!O487</f>
        <v>0.45732390658814032</v>
      </c>
      <c r="G434" s="31">
        <f>'Ch4 expenditure drivers'!P487</f>
        <v>0.17771698505997899</v>
      </c>
      <c r="H434" s="31">
        <f>'Ch4 expenditure drivers'!Q487</f>
        <v>0.17000155880649284</v>
      </c>
      <c r="I434" s="31">
        <f>'Ch4 expenditure drivers'!R487</f>
        <v>0.16070942448368078</v>
      </c>
      <c r="J434" s="31">
        <f>'Ch4 expenditure drivers'!S487</f>
        <v>0.15055487611965171</v>
      </c>
      <c r="K434" s="31">
        <f>'Ch4 expenditure drivers'!T487</f>
        <v>0.14735995285926684</v>
      </c>
      <c r="L434" s="460">
        <f>'Ch4 expenditure drivers'!U487</f>
        <v>0.14981974705916196</v>
      </c>
      <c r="N434" s="399">
        <f>'Ch4 expenditure drivers'!W487</f>
        <v>0.72202501609278691</v>
      </c>
      <c r="O434" s="25">
        <f>'Ch4 expenditure drivers'!X487</f>
        <v>0.51866191396796879</v>
      </c>
      <c r="P434" s="25">
        <f>'Ch4 expenditure drivers'!Y487</f>
        <v>1.0269850106948506</v>
      </c>
      <c r="Q434" s="25">
        <f>'Ch4 expenditure drivers'!Z487</f>
        <v>0.31122433749558776</v>
      </c>
      <c r="R434" s="25">
        <f>'Ch4 expenditure drivers'!AA487</f>
        <v>0.19832826493060193</v>
      </c>
      <c r="S434" s="25">
        <f>'Ch4 expenditure drivers'!AB487</f>
        <v>0.11511405331277813</v>
      </c>
      <c r="T434" s="25">
        <f>'Ch4 expenditure drivers'!AC487</f>
        <v>0.13708236999999998</v>
      </c>
      <c r="U434" s="464"/>
    </row>
    <row r="435" spans="2:31" ht="12" thickBot="1">
      <c r="B435" s="1200"/>
      <c r="D435" s="456" t="s">
        <v>174</v>
      </c>
      <c r="E435" s="461">
        <f t="shared" ref="E435:L435" si="5">SUM(E421:E434)</f>
        <v>9.1406669434625947</v>
      </c>
      <c r="F435" s="462">
        <f t="shared" si="5"/>
        <v>10.423024280494694</v>
      </c>
      <c r="G435" s="462">
        <f t="shared" si="5"/>
        <v>11.00643557081615</v>
      </c>
      <c r="H435" s="462">
        <f t="shared" si="5"/>
        <v>11.076730972908653</v>
      </c>
      <c r="I435" s="462">
        <f t="shared" si="5"/>
        <v>8.4908201708226585</v>
      </c>
      <c r="J435" s="462">
        <f t="shared" si="5"/>
        <v>7.3408567370571456</v>
      </c>
      <c r="K435" s="462">
        <f t="shared" si="5"/>
        <v>6.9975809781389149</v>
      </c>
      <c r="L435" s="463">
        <f t="shared" si="5"/>
        <v>5.7668847649420014</v>
      </c>
      <c r="M435" s="1"/>
      <c r="N435" s="401">
        <f t="shared" ref="N435:S435" si="6">SUM(N421:N434)</f>
        <v>7.2060536077270632</v>
      </c>
      <c r="O435" s="402">
        <f t="shared" si="6"/>
        <v>12.80582738615117</v>
      </c>
      <c r="P435" s="843">
        <f t="shared" si="6"/>
        <v>14.18583714163854</v>
      </c>
      <c r="Q435" s="843">
        <f t="shared" si="6"/>
        <v>13.615418592855884</v>
      </c>
      <c r="R435" s="843">
        <f t="shared" si="6"/>
        <v>8.4242125646516097</v>
      </c>
      <c r="S435" s="843">
        <f t="shared" si="6"/>
        <v>6.2120569051504111</v>
      </c>
      <c r="T435" s="843">
        <f t="shared" ref="T435" si="7">SUM(T421:T434)</f>
        <v>5.0936451741335489</v>
      </c>
      <c r="U435" s="465"/>
      <c r="V435" s="1"/>
    </row>
    <row r="436" spans="2:31">
      <c r="B436" s="1200"/>
    </row>
    <row r="437" spans="2:31" ht="12" thickBot="1">
      <c r="B437" s="1200"/>
      <c r="D437" s="1" t="str">
        <f>'Ch4 expenditure drivers'!D551</f>
        <v>Flood Mitigation</v>
      </c>
      <c r="W437" s="1" t="s">
        <v>293</v>
      </c>
    </row>
    <row r="438" spans="2:31">
      <c r="B438" s="1200"/>
      <c r="E438" s="1179" t="s">
        <v>291</v>
      </c>
      <c r="F438" s="1180"/>
      <c r="G438" s="1180"/>
      <c r="H438" s="1180"/>
      <c r="I438" s="1180"/>
      <c r="J438" s="1180"/>
      <c r="K438" s="1180"/>
      <c r="L438" s="1181"/>
      <c r="N438" s="1179" t="s">
        <v>292</v>
      </c>
      <c r="O438" s="1180"/>
      <c r="P438" s="1180"/>
      <c r="Q438" s="1180"/>
      <c r="R438" s="1180"/>
      <c r="S438" s="1180"/>
      <c r="T438" s="1180"/>
      <c r="U438" s="1181"/>
      <c r="X438" s="1179" t="s">
        <v>294</v>
      </c>
      <c r="Y438" s="1180"/>
      <c r="Z438" s="1180"/>
      <c r="AA438" s="1180"/>
      <c r="AB438" s="1180"/>
      <c r="AC438" s="1180"/>
      <c r="AD438" s="1180"/>
      <c r="AE438" s="1181"/>
    </row>
    <row r="439" spans="2:31" ht="12" thickBot="1">
      <c r="B439" s="1200"/>
      <c r="E439" s="457" t="s">
        <v>137</v>
      </c>
      <c r="F439" s="78" t="s">
        <v>138</v>
      </c>
      <c r="G439" s="78" t="s">
        <v>139</v>
      </c>
      <c r="H439" s="78" t="s">
        <v>140</v>
      </c>
      <c r="I439" s="78" t="s">
        <v>141</v>
      </c>
      <c r="J439" s="78" t="s">
        <v>126</v>
      </c>
      <c r="K439" s="78" t="s">
        <v>142</v>
      </c>
      <c r="L439" s="458" t="s">
        <v>143</v>
      </c>
      <c r="N439" s="457" t="s">
        <v>137</v>
      </c>
      <c r="O439" s="78" t="s">
        <v>138</v>
      </c>
      <c r="P439" s="78" t="s">
        <v>139</v>
      </c>
      <c r="Q439" s="78" t="s">
        <v>140</v>
      </c>
      <c r="R439" s="78" t="s">
        <v>141</v>
      </c>
      <c r="S439" s="78" t="s">
        <v>126</v>
      </c>
      <c r="T439" s="78" t="s">
        <v>142</v>
      </c>
      <c r="U439" s="458" t="s">
        <v>143</v>
      </c>
      <c r="X439" s="457" t="s">
        <v>137</v>
      </c>
      <c r="Y439" s="78" t="s">
        <v>138</v>
      </c>
      <c r="Z439" s="78" t="s">
        <v>139</v>
      </c>
      <c r="AA439" s="78" t="s">
        <v>140</v>
      </c>
      <c r="AB439" s="78" t="s">
        <v>141</v>
      </c>
      <c r="AC439" s="78" t="s">
        <v>126</v>
      </c>
      <c r="AD439" s="78" t="s">
        <v>142</v>
      </c>
      <c r="AE439" s="458" t="s">
        <v>143</v>
      </c>
    </row>
    <row r="440" spans="2:31">
      <c r="B440" s="1200"/>
      <c r="D440" s="186" t="s">
        <v>161</v>
      </c>
      <c r="E440" s="459">
        <f>'Ch4 expenditure drivers'!N554</f>
        <v>2.084937721189033</v>
      </c>
      <c r="F440" s="31">
        <f>'Ch4 expenditure drivers'!O554</f>
        <v>1.9237243961172343</v>
      </c>
      <c r="G440" s="31">
        <f>'Ch4 expenditure drivers'!P554</f>
        <v>2.0238479128018305</v>
      </c>
      <c r="H440" s="31">
        <f>'Ch4 expenditure drivers'!Q554</f>
        <v>1.9527433296721786</v>
      </c>
      <c r="I440" s="31">
        <f>'Ch4 expenditure drivers'!R554</f>
        <v>1.5510540258385208</v>
      </c>
      <c r="J440" s="31">
        <f>'Ch4 expenditure drivers'!S554</f>
        <v>1.5272005803821314</v>
      </c>
      <c r="K440" s="31">
        <f>'Ch4 expenditure drivers'!T554</f>
        <v>1.2586124383993778</v>
      </c>
      <c r="L440" s="460">
        <f>'Ch4 expenditure drivers'!U554</f>
        <v>1.2204461726067735</v>
      </c>
      <c r="N440" s="399">
        <f>'Ch4 expenditure drivers'!W554</f>
        <v>7.2089534770629626E-2</v>
      </c>
      <c r="O440" s="25">
        <f>'Ch4 expenditure drivers'!X554</f>
        <v>3.7805797332454953</v>
      </c>
      <c r="P440" s="25">
        <f>'Ch4 expenditure drivers'!Y554</f>
        <v>3.3035409235619149</v>
      </c>
      <c r="Q440" s="25">
        <f>'Ch4 expenditure drivers'!Z554</f>
        <v>3.0542620336744317</v>
      </c>
      <c r="R440" s="25">
        <f>'Ch4 expenditure drivers'!AA554</f>
        <v>1.7080275913710996</v>
      </c>
      <c r="S440" s="25">
        <f>'Ch4 expenditure drivers'!AB554</f>
        <v>1.2572555208253615</v>
      </c>
      <c r="T440" s="25">
        <f>'Ch4 expenditure drivers'!AC554</f>
        <v>0.44370137956428501</v>
      </c>
      <c r="U440" s="464"/>
      <c r="W440" s="406" t="s">
        <v>161</v>
      </c>
      <c r="X440" s="72">
        <v>0</v>
      </c>
      <c r="Y440" s="72">
        <v>4</v>
      </c>
      <c r="Z440" s="72">
        <v>18</v>
      </c>
      <c r="AA440" s="72">
        <v>19</v>
      </c>
      <c r="AB440" s="72">
        <v>8</v>
      </c>
      <c r="AC440" s="72">
        <v>2</v>
      </c>
      <c r="AD440" s="72">
        <v>9</v>
      </c>
      <c r="AE440" s="464"/>
    </row>
    <row r="441" spans="2:31">
      <c r="B441" s="1200"/>
      <c r="D441" s="187" t="s">
        <v>162</v>
      </c>
      <c r="E441" s="459">
        <f>'Ch4 expenditure drivers'!N555</f>
        <v>4.8696161275504455</v>
      </c>
      <c r="F441" s="31">
        <f>'Ch4 expenditure drivers'!O555</f>
        <v>4.2850169336152382</v>
      </c>
      <c r="G441" s="31">
        <f>'Ch4 expenditure drivers'!P555</f>
        <v>2.7201325190641041</v>
      </c>
      <c r="H441" s="31">
        <f>'Ch4 expenditure drivers'!Q555</f>
        <v>2.6817565746989209</v>
      </c>
      <c r="I441" s="31">
        <f>'Ch4 expenditure drivers'!R555</f>
        <v>1.8937147685771412</v>
      </c>
      <c r="J441" s="31">
        <f>'Ch4 expenditure drivers'!S555</f>
        <v>1.6242609912136459</v>
      </c>
      <c r="K441" s="31">
        <f>'Ch4 expenditure drivers'!T555</f>
        <v>1.4269522512456823</v>
      </c>
      <c r="L441" s="460">
        <f>'Ch4 expenditure drivers'!U555</f>
        <v>1.4268860403669272</v>
      </c>
      <c r="N441" s="399">
        <f>'Ch4 expenditure drivers'!W555</f>
        <v>1.2362084147521328</v>
      </c>
      <c r="O441" s="25">
        <f>'Ch4 expenditure drivers'!X555</f>
        <v>1.6814937970727701</v>
      </c>
      <c r="P441" s="25">
        <f>'Ch4 expenditure drivers'!Y555</f>
        <v>1.8595475170627112</v>
      </c>
      <c r="Q441" s="25">
        <f>'Ch4 expenditure drivers'!Z555</f>
        <v>5.8080146809616764</v>
      </c>
      <c r="R441" s="25">
        <f>'Ch4 expenditure drivers'!AA555</f>
        <v>4.5131893867538313</v>
      </c>
      <c r="S441" s="25">
        <f>'Ch4 expenditure drivers'!AB555</f>
        <v>3.0117914039914071</v>
      </c>
      <c r="T441" s="25">
        <f>'Ch4 expenditure drivers'!AC555</f>
        <v>1.64677926</v>
      </c>
      <c r="U441" s="464"/>
      <c r="W441" s="407" t="s">
        <v>162</v>
      </c>
      <c r="X441" s="72">
        <v>1</v>
      </c>
      <c r="Y441" s="72">
        <v>20</v>
      </c>
      <c r="Z441" s="72">
        <v>25</v>
      </c>
      <c r="AA441" s="72">
        <v>13</v>
      </c>
      <c r="AB441" s="72">
        <v>12</v>
      </c>
      <c r="AC441" s="72">
        <v>7</v>
      </c>
      <c r="AD441" s="72">
        <v>5</v>
      </c>
      <c r="AE441" s="464"/>
    </row>
    <row r="442" spans="2:31">
      <c r="B442" s="1200"/>
      <c r="D442" s="187" t="s">
        <v>163</v>
      </c>
      <c r="E442" s="459">
        <f>'Ch4 expenditure drivers'!N556</f>
        <v>5.4775927485688927</v>
      </c>
      <c r="F442" s="31">
        <f>'Ch4 expenditure drivers'!O556</f>
        <v>5.3004376196510137</v>
      </c>
      <c r="G442" s="31">
        <f>'Ch4 expenditure drivers'!P556</f>
        <v>4.5437650628791619</v>
      </c>
      <c r="H442" s="31">
        <f>'Ch4 expenditure drivers'!Q556</f>
        <v>3.7930378654449766</v>
      </c>
      <c r="I442" s="31">
        <f>'Ch4 expenditure drivers'!R556</f>
        <v>2.2401090957697098</v>
      </c>
      <c r="J442" s="31">
        <f>'Ch4 expenditure drivers'!S556</f>
        <v>2.1545223894403494</v>
      </c>
      <c r="K442" s="31">
        <f>'Ch4 expenditure drivers'!T556</f>
        <v>1.7996606526837102</v>
      </c>
      <c r="L442" s="460">
        <f>'Ch4 expenditure drivers'!U556</f>
        <v>1.9914661294802591</v>
      </c>
      <c r="N442" s="399">
        <f>'Ch4 expenditure drivers'!W556</f>
        <v>5.2857259542806823</v>
      </c>
      <c r="O442" s="25">
        <f>'Ch4 expenditure drivers'!X556</f>
        <v>3.4866932316908006</v>
      </c>
      <c r="P442" s="25">
        <f>'Ch4 expenditure drivers'!Y556</f>
        <v>6.087117224210175</v>
      </c>
      <c r="Q442" s="25">
        <f>'Ch4 expenditure drivers'!Z556</f>
        <v>5.9583304051876711</v>
      </c>
      <c r="R442" s="25">
        <f>'Ch4 expenditure drivers'!AA556</f>
        <v>3.3140967302510074</v>
      </c>
      <c r="S442" s="25">
        <f>'Ch4 expenditure drivers'!AB556</f>
        <v>2.2825472155494677</v>
      </c>
      <c r="T442" s="25">
        <f>'Ch4 expenditure drivers'!AC556</f>
        <v>3.0610715799999997</v>
      </c>
      <c r="U442" s="464"/>
      <c r="W442" s="407" t="s">
        <v>163</v>
      </c>
      <c r="X442" s="72">
        <v>8</v>
      </c>
      <c r="Y442" s="72">
        <v>26</v>
      </c>
      <c r="Z442" s="72">
        <v>39</v>
      </c>
      <c r="AA442" s="72">
        <v>25</v>
      </c>
      <c r="AB442" s="72">
        <v>13</v>
      </c>
      <c r="AC442" s="72">
        <v>6</v>
      </c>
      <c r="AD442" s="72">
        <v>2</v>
      </c>
      <c r="AE442" s="464"/>
    </row>
    <row r="443" spans="2:31">
      <c r="B443" s="1200"/>
      <c r="D443" s="187" t="s">
        <v>164</v>
      </c>
      <c r="E443" s="459">
        <f>'Ch4 expenditure drivers'!N557</f>
        <v>3.7929730235013406E-2</v>
      </c>
      <c r="F443" s="31">
        <f>'Ch4 expenditure drivers'!O557</f>
        <v>7.8028065788695103E-2</v>
      </c>
      <c r="G443" s="31">
        <f>'Ch4 expenditure drivers'!P557</f>
        <v>0.22546417344096054</v>
      </c>
      <c r="H443" s="31">
        <f>'Ch4 expenditure drivers'!Q557</f>
        <v>0.11625619693211658</v>
      </c>
      <c r="I443" s="31">
        <f>'Ch4 expenditure drivers'!R557</f>
        <v>0.22733559224312863</v>
      </c>
      <c r="J443" s="31">
        <f>'Ch4 expenditure drivers'!S557</f>
        <v>0.5483834858647384</v>
      </c>
      <c r="K443" s="31">
        <f>'Ch4 expenditure drivers'!T557</f>
        <v>0.18987642031565818</v>
      </c>
      <c r="L443" s="460">
        <f>'Ch4 expenditure drivers'!U557</f>
        <v>0.11829774175845807</v>
      </c>
      <c r="N443" s="399">
        <f>'Ch4 expenditure drivers'!W557</f>
        <v>0.15232089209930891</v>
      </c>
      <c r="O443" s="25">
        <f>'Ch4 expenditure drivers'!X557</f>
        <v>4.8142879785050122E-2</v>
      </c>
      <c r="P443" s="25">
        <f>'Ch4 expenditure drivers'!Y557</f>
        <v>0.18336169191147583</v>
      </c>
      <c r="Q443" s="25">
        <f>'Ch4 expenditure drivers'!Z557</f>
        <v>0.32180275177545287</v>
      </c>
      <c r="R443" s="25">
        <f>'Ch4 expenditure drivers'!AA557</f>
        <v>0.12525886141713863</v>
      </c>
      <c r="S443" s="25">
        <f>'Ch4 expenditure drivers'!AB557</f>
        <v>0</v>
      </c>
      <c r="T443" s="25">
        <f>'Ch4 expenditure drivers'!AC557</f>
        <v>7.0599999999999996E-2</v>
      </c>
      <c r="U443" s="464"/>
      <c r="W443" s="407" t="s">
        <v>164</v>
      </c>
      <c r="X443" s="72">
        <v>0</v>
      </c>
      <c r="Y443" s="72">
        <v>1</v>
      </c>
      <c r="Z443" s="72">
        <v>5</v>
      </c>
      <c r="AA443" s="72">
        <v>6</v>
      </c>
      <c r="AB443" s="72">
        <v>2</v>
      </c>
      <c r="AC443" s="72">
        <v>2</v>
      </c>
      <c r="AD443" s="72">
        <v>0</v>
      </c>
      <c r="AE443" s="464"/>
    </row>
    <row r="444" spans="2:31">
      <c r="B444" s="1200"/>
      <c r="D444" s="187" t="s">
        <v>165</v>
      </c>
      <c r="E444" s="459">
        <f>'Ch4 expenditure drivers'!N558</f>
        <v>1.7295510171876438</v>
      </c>
      <c r="F444" s="31">
        <f>'Ch4 expenditure drivers'!O558</f>
        <v>2.2168083302539663</v>
      </c>
      <c r="G444" s="31">
        <f>'Ch4 expenditure drivers'!P558</f>
        <v>1.1820028198258903</v>
      </c>
      <c r="H444" s="31">
        <f>'Ch4 expenditure drivers'!Q558</f>
        <v>9.4590754027668048E-2</v>
      </c>
      <c r="I444" s="31">
        <f>'Ch4 expenditure drivers'!R558</f>
        <v>0.298243618832916</v>
      </c>
      <c r="J444" s="31">
        <f>'Ch4 expenditure drivers'!S558</f>
        <v>0.49474311147059918</v>
      </c>
      <c r="K444" s="31">
        <f>'Ch4 expenditure drivers'!T558</f>
        <v>0.24124676804910183</v>
      </c>
      <c r="L444" s="460">
        <f>'Ch4 expenditure drivers'!U558</f>
        <v>0.26280986858880206</v>
      </c>
      <c r="N444" s="399">
        <f>'Ch4 expenditure drivers'!W558</f>
        <v>1.2089721199693177</v>
      </c>
      <c r="O444" s="25">
        <f>'Ch4 expenditure drivers'!X558</f>
        <v>1.0532722723704868</v>
      </c>
      <c r="P444" s="25">
        <f>'Ch4 expenditure drivers'!Y558</f>
        <v>0.37917386907620004</v>
      </c>
      <c r="Q444" s="25">
        <f>'Ch4 expenditure drivers'!Z558</f>
        <v>0.37232468550129189</v>
      </c>
      <c r="R444" s="25">
        <f>'Ch4 expenditure drivers'!AA558</f>
        <v>0.37577658425141586</v>
      </c>
      <c r="S444" s="25">
        <f>'Ch4 expenditure drivers'!AB558</f>
        <v>0.45906771323771878</v>
      </c>
      <c r="T444" s="25">
        <f>'Ch4 expenditure drivers'!AC558</f>
        <v>3.3200000000000007E-2</v>
      </c>
      <c r="U444" s="464"/>
      <c r="W444" s="407" t="s">
        <v>165</v>
      </c>
      <c r="X444" s="72">
        <v>4</v>
      </c>
      <c r="Y444" s="72">
        <v>8</v>
      </c>
      <c r="Z444" s="72">
        <v>4</v>
      </c>
      <c r="AA444" s="72">
        <v>5</v>
      </c>
      <c r="AB444" s="72">
        <v>5</v>
      </c>
      <c r="AC444" s="72">
        <v>2</v>
      </c>
      <c r="AD444" s="72">
        <v>1</v>
      </c>
      <c r="AE444" s="464"/>
    </row>
    <row r="445" spans="2:31">
      <c r="B445" s="1200"/>
      <c r="D445" s="187" t="s">
        <v>166</v>
      </c>
      <c r="E445" s="459">
        <f>'Ch4 expenditure drivers'!N559</f>
        <v>4.8129779137744562</v>
      </c>
      <c r="F445" s="31">
        <f>'Ch4 expenditure drivers'!O559</f>
        <v>2.8137130020994978</v>
      </c>
      <c r="G445" s="31">
        <f>'Ch4 expenditure drivers'!P559</f>
        <v>1.4694962844204964</v>
      </c>
      <c r="H445" s="31">
        <f>'Ch4 expenditure drivers'!Q559</f>
        <v>7.8821164017164921E-2</v>
      </c>
      <c r="I445" s="31">
        <f>'Ch4 expenditure drivers'!R559</f>
        <v>0.22788562817012614</v>
      </c>
      <c r="J445" s="31">
        <f>'Ch4 expenditure drivers'!S559</f>
        <v>7.9311199147440489E-2</v>
      </c>
      <c r="K445" s="31">
        <f>'Ch4 expenditure drivers'!T559</f>
        <v>0.19016504132679965</v>
      </c>
      <c r="L445" s="460">
        <f>'Ch4 expenditure drivers'!U559</f>
        <v>0.39483505594346802</v>
      </c>
      <c r="N445" s="399">
        <f>'Ch4 expenditure drivers'!W559</f>
        <v>9.3551414045244835E-2</v>
      </c>
      <c r="O445" s="25">
        <f>'Ch4 expenditure drivers'!X559</f>
        <v>0.62820587036589781</v>
      </c>
      <c r="P445" s="25">
        <f>'Ch4 expenditure drivers'!Y559</f>
        <v>1.0639505580048598</v>
      </c>
      <c r="Q445" s="25">
        <f>'Ch4 expenditure drivers'!Z559</f>
        <v>0.43492795120504896</v>
      </c>
      <c r="R445" s="25">
        <f>'Ch4 expenditure drivers'!AA559</f>
        <v>0.14560004404043464</v>
      </c>
      <c r="S445" s="25">
        <f>'Ch4 expenditure drivers'!AB559</f>
        <v>0.49608930301495413</v>
      </c>
      <c r="T445" s="25">
        <f>'Ch4 expenditure drivers'!AC559</f>
        <v>0.71569999999999989</v>
      </c>
      <c r="U445" s="464"/>
      <c r="W445" s="407" t="s">
        <v>166</v>
      </c>
      <c r="X445" s="72">
        <v>0</v>
      </c>
      <c r="Y445" s="72">
        <v>5</v>
      </c>
      <c r="Z445" s="72">
        <v>9</v>
      </c>
      <c r="AA445" s="72">
        <v>3</v>
      </c>
      <c r="AB445" s="72">
        <v>2</v>
      </c>
      <c r="AC445" s="72">
        <v>1</v>
      </c>
      <c r="AD445" s="72">
        <v>3</v>
      </c>
      <c r="AE445" s="464"/>
    </row>
    <row r="446" spans="2:31">
      <c r="B446" s="1200"/>
      <c r="D446" s="187" t="s">
        <v>167</v>
      </c>
      <c r="E446" s="459">
        <f>'Ch4 expenditure drivers'!N560</f>
        <v>0.16927747937382462</v>
      </c>
      <c r="F446" s="31">
        <f>'Ch4 expenditure drivers'!O560</f>
        <v>7.6715494389459571E-2</v>
      </c>
      <c r="G446" s="31">
        <f>'Ch4 expenditure drivers'!P560</f>
        <v>7.6036022621648602E-2</v>
      </c>
      <c r="H446" s="31">
        <f>'Ch4 expenditure drivers'!Q560</f>
        <v>0.11798377860267205</v>
      </c>
      <c r="I446" s="31">
        <f>'Ch4 expenditure drivers'!R560</f>
        <v>9.7202335547849031E-2</v>
      </c>
      <c r="J446" s="31">
        <f>'Ch4 expenditure drivers'!S560</f>
        <v>0.62107598629846095</v>
      </c>
      <c r="K446" s="31">
        <f>'Ch4 expenditure drivers'!T560</f>
        <v>0.18995188941203539</v>
      </c>
      <c r="L446" s="460">
        <f>'Ch4 expenditure drivers'!U560</f>
        <v>0.18969032113049095</v>
      </c>
      <c r="N446" s="399">
        <f>'Ch4 expenditure drivers'!W560</f>
        <v>0.53971969641487405</v>
      </c>
      <c r="O446" s="25">
        <f>'Ch4 expenditure drivers'!X560</f>
        <v>0.32290955953387274</v>
      </c>
      <c r="P446" s="25">
        <f>'Ch4 expenditure drivers'!Y560</f>
        <v>0.28183371164171284</v>
      </c>
      <c r="Q446" s="25">
        <f>'Ch4 expenditure drivers'!Z560</f>
        <v>9.1159141287926918E-2</v>
      </c>
      <c r="R446" s="25">
        <f>'Ch4 expenditure drivers'!AA560</f>
        <v>1.820000550505433E-2</v>
      </c>
      <c r="S446" s="25">
        <f>'Ch4 expenditure drivers'!AB560</f>
        <v>0</v>
      </c>
      <c r="T446" s="25">
        <f>'Ch4 expenditure drivers'!AC560</f>
        <v>0</v>
      </c>
      <c r="U446" s="464"/>
      <c r="W446" s="407" t="s">
        <v>167</v>
      </c>
      <c r="X446" s="72">
        <v>0</v>
      </c>
      <c r="Y446" s="72">
        <v>5</v>
      </c>
      <c r="Z446" s="72">
        <v>5</v>
      </c>
      <c r="AA446" s="72">
        <v>2</v>
      </c>
      <c r="AB446" s="72">
        <v>2</v>
      </c>
      <c r="AC446" s="72">
        <v>1</v>
      </c>
      <c r="AD446" s="72">
        <v>0</v>
      </c>
      <c r="AE446" s="464"/>
    </row>
    <row r="447" spans="2:31">
      <c r="B447" s="1200"/>
      <c r="D447" s="187" t="s">
        <v>168</v>
      </c>
      <c r="E447" s="459">
        <f>'Ch4 expenditure drivers'!N561</f>
        <v>0.73208235957227108</v>
      </c>
      <c r="F447" s="31">
        <f>'Ch4 expenditure drivers'!O561</f>
        <v>0.72704193663010941</v>
      </c>
      <c r="G447" s="31">
        <f>'Ch4 expenditure drivers'!P561</f>
        <v>0.59818083707782843</v>
      </c>
      <c r="H447" s="31">
        <f>'Ch4 expenditure drivers'!Q561</f>
        <v>0.55314007875886373</v>
      </c>
      <c r="I447" s="31">
        <f>'Ch4 expenditure drivers'!R561</f>
        <v>0.56497009332136416</v>
      </c>
      <c r="J447" s="31">
        <f>'Ch4 expenditure drivers'!S561</f>
        <v>0.55793190868792397</v>
      </c>
      <c r="K447" s="31">
        <f>'Ch4 expenditure drivers'!T561</f>
        <v>0.50824796047886545</v>
      </c>
      <c r="L447" s="460">
        <f>'Ch4 expenditure drivers'!U561</f>
        <v>0.48326862423220801</v>
      </c>
      <c r="N447" s="399">
        <f>'Ch4 expenditure drivers'!W561</f>
        <v>0.1620893024540748</v>
      </c>
      <c r="O447" s="25">
        <f>'Ch4 expenditure drivers'!X561</f>
        <v>3.9687676706339622E-3</v>
      </c>
      <c r="P447" s="25">
        <f>'Ch4 expenditure drivers'!Y561</f>
        <v>7.2583864232127475E-4</v>
      </c>
      <c r="Q447" s="25">
        <f>'Ch4 expenditure drivers'!Z561</f>
        <v>0.15065409527336887</v>
      </c>
      <c r="R447" s="25">
        <f>'Ch4 expenditure drivers'!AA561</f>
        <v>0.29302464215017315</v>
      </c>
      <c r="S447" s="25">
        <f>'Ch4 expenditure drivers'!AB561</f>
        <v>0.3965275368116376</v>
      </c>
      <c r="T447" s="25">
        <f>'Ch4 expenditure drivers'!AC561</f>
        <v>0.16875613070229875</v>
      </c>
      <c r="U447" s="464"/>
      <c r="W447" s="407" t="s">
        <v>168</v>
      </c>
      <c r="X447" s="72">
        <v>6</v>
      </c>
      <c r="Y447" s="72">
        <v>1</v>
      </c>
      <c r="Z447" s="72">
        <v>2</v>
      </c>
      <c r="AA447" s="72">
        <v>6</v>
      </c>
      <c r="AB447" s="72">
        <v>2</v>
      </c>
      <c r="AC447" s="72">
        <v>2</v>
      </c>
      <c r="AD447" s="72">
        <v>4</v>
      </c>
      <c r="AE447" s="464"/>
    </row>
    <row r="448" spans="2:31">
      <c r="B448" s="1200"/>
      <c r="D448" s="187" t="s">
        <v>169</v>
      </c>
      <c r="E448" s="459">
        <f>'Ch4 expenditure drivers'!N562</f>
        <v>0.65290781555417865</v>
      </c>
      <c r="F448" s="31">
        <f>'Ch4 expenditure drivers'!O562</f>
        <v>0.71780638504807015</v>
      </c>
      <c r="G448" s="31">
        <f>'Ch4 expenditure drivers'!P562</f>
        <v>0.65566355832229573</v>
      </c>
      <c r="H448" s="31">
        <f>'Ch4 expenditure drivers'!Q562</f>
        <v>0.65439182020899755</v>
      </c>
      <c r="I448" s="31">
        <f>'Ch4 expenditure drivers'!R562</f>
        <v>0.59880376637898647</v>
      </c>
      <c r="J448" s="31">
        <f>'Ch4 expenditure drivers'!S562</f>
        <v>0.59243652450381645</v>
      </c>
      <c r="K448" s="31">
        <f>'Ch4 expenditure drivers'!T562</f>
        <v>0.50851145661416108</v>
      </c>
      <c r="L448" s="460">
        <f>'Ch4 expenditure drivers'!U562</f>
        <v>0.49237348978128354</v>
      </c>
      <c r="N448" s="399">
        <f>'Ch4 expenditure drivers'!W562</f>
        <v>0.14927487456774585</v>
      </c>
      <c r="O448" s="25">
        <f>'Ch4 expenditure drivers'!X562</f>
        <v>0.12967181767733646</v>
      </c>
      <c r="P448" s="25">
        <f>'Ch4 expenditure drivers'!Y562</f>
        <v>0.10027445793069112</v>
      </c>
      <c r="Q448" s="25">
        <f>'Ch4 expenditure drivers'!Z562</f>
        <v>1.1265876708659361</v>
      </c>
      <c r="R448" s="25">
        <f>'Ch4 expenditure drivers'!AA562</f>
        <v>0.43575855772195188</v>
      </c>
      <c r="S448" s="25">
        <f>'Ch4 expenditure drivers'!AB562</f>
        <v>0.43684692019765203</v>
      </c>
      <c r="T448" s="25">
        <f>'Ch4 expenditure drivers'!AC562</f>
        <v>0.42970974568635328</v>
      </c>
      <c r="U448" s="464"/>
      <c r="W448" s="407" t="s">
        <v>169</v>
      </c>
      <c r="X448" s="72">
        <v>1</v>
      </c>
      <c r="Y448" s="72">
        <v>1</v>
      </c>
      <c r="Z448" s="72">
        <v>5</v>
      </c>
      <c r="AA448" s="72">
        <v>3</v>
      </c>
      <c r="AB448" s="72">
        <v>5</v>
      </c>
      <c r="AC448" s="72">
        <v>4</v>
      </c>
      <c r="AD448" s="72">
        <v>4</v>
      </c>
      <c r="AE448" s="464"/>
    </row>
    <row r="449" spans="2:31">
      <c r="B449" s="1200"/>
      <c r="D449" s="187" t="s">
        <v>170</v>
      </c>
      <c r="E449" s="459">
        <f>'Ch4 expenditure drivers'!N563</f>
        <v>1.0002520481489758</v>
      </c>
      <c r="F449" s="31">
        <f>'Ch4 expenditure drivers'!O563</f>
        <v>1.1963438526518668</v>
      </c>
      <c r="G449" s="31">
        <f>'Ch4 expenditure drivers'!P563</f>
        <v>1.2369987201555477</v>
      </c>
      <c r="H449" s="31">
        <f>'Ch4 expenditure drivers'!Q563</f>
        <v>1.2790348076970504</v>
      </c>
      <c r="I449" s="31">
        <f>'Ch4 expenditure drivers'!R563</f>
        <v>1.254820046336621</v>
      </c>
      <c r="J449" s="31">
        <f>'Ch4 expenditure drivers'!S563</f>
        <v>1.1673915868632425</v>
      </c>
      <c r="K449" s="31">
        <f>'Ch4 expenditure drivers'!T563</f>
        <v>1.1424017925244945</v>
      </c>
      <c r="L449" s="460">
        <f>'Ch4 expenditure drivers'!U563</f>
        <v>1.080826705387786</v>
      </c>
      <c r="N449" s="399">
        <f>'Ch4 expenditure drivers'!W563</f>
        <v>-1.0743077990279964E-2</v>
      </c>
      <c r="O449" s="25">
        <f>'Ch4 expenditure drivers'!X563</f>
        <v>0.14379759696544264</v>
      </c>
      <c r="P449" s="25">
        <f>'Ch4 expenditure drivers'!Y563</f>
        <v>0.21060266303132985</v>
      </c>
      <c r="Q449" s="25">
        <f>'Ch4 expenditure drivers'!Z563</f>
        <v>0.28426320458414217</v>
      </c>
      <c r="R449" s="25">
        <f>'Ch4 expenditure drivers'!AA563</f>
        <v>0.17733204366612312</v>
      </c>
      <c r="S449" s="25">
        <f>'Ch4 expenditure drivers'!AB563</f>
        <v>0.46405238321054221</v>
      </c>
      <c r="T449" s="25">
        <f>'Ch4 expenditure drivers'!AC563</f>
        <v>0.2869804653379554</v>
      </c>
      <c r="U449" s="464"/>
      <c r="W449" s="407" t="s">
        <v>170</v>
      </c>
      <c r="X449" s="72">
        <v>2</v>
      </c>
      <c r="Y449" s="72">
        <v>0</v>
      </c>
      <c r="Z449" s="72">
        <v>5</v>
      </c>
      <c r="AA449" s="72">
        <v>8</v>
      </c>
      <c r="AB449" s="72">
        <v>2</v>
      </c>
      <c r="AC449" s="72">
        <v>5</v>
      </c>
      <c r="AD449" s="72">
        <v>3</v>
      </c>
      <c r="AE449" s="464"/>
    </row>
    <row r="450" spans="2:31">
      <c r="B450" s="1200"/>
      <c r="D450" s="187" t="s">
        <v>171</v>
      </c>
      <c r="E450" s="459">
        <f>'Ch4 expenditure drivers'!N564</f>
        <v>0.20125493957592738</v>
      </c>
      <c r="F450" s="31">
        <f>'Ch4 expenditure drivers'!O564</f>
        <v>0.19510150315345967</v>
      </c>
      <c r="G450" s="31">
        <f>'Ch4 expenditure drivers'!P564</f>
        <v>0.15632013944032244</v>
      </c>
      <c r="H450" s="31">
        <f>'Ch4 expenditure drivers'!Q564</f>
        <v>9.396717459683275E-2</v>
      </c>
      <c r="I450" s="31">
        <f>'Ch4 expenditure drivers'!R564</f>
        <v>9.0752853278559434E-2</v>
      </c>
      <c r="J450" s="31">
        <f>'Ch4 expenditure drivers'!S564</f>
        <v>8.7921745722704545E-2</v>
      </c>
      <c r="K450" s="31">
        <f>'Ch4 expenditure drivers'!T564</f>
        <v>7.6775191130372483E-2</v>
      </c>
      <c r="L450" s="460">
        <f>'Ch4 expenditure drivers'!U564</f>
        <v>7.2856782585151325E-2</v>
      </c>
      <c r="N450" s="399">
        <f>'Ch4 expenditure drivers'!W564</f>
        <v>0.62552458562010227</v>
      </c>
      <c r="O450" s="25">
        <f>'Ch4 expenditure drivers'!X564</f>
        <v>7.6120506127943487E-3</v>
      </c>
      <c r="P450" s="25">
        <f>'Ch4 expenditure drivers'!Y564</f>
        <v>0</v>
      </c>
      <c r="Q450" s="25">
        <f>'Ch4 expenditure drivers'!Z564</f>
        <v>0</v>
      </c>
      <c r="R450" s="25">
        <f>'Ch4 expenditure drivers'!AA564</f>
        <v>1.063051615664632E-2</v>
      </c>
      <c r="S450" s="25">
        <f>'Ch4 expenditure drivers'!AB564</f>
        <v>3.301433840496603E-2</v>
      </c>
      <c r="T450" s="25">
        <f>'Ch4 expenditure drivers'!AC564</f>
        <v>1.0623653145439895E-2</v>
      </c>
      <c r="U450" s="464"/>
      <c r="W450" s="407" t="s">
        <v>171</v>
      </c>
      <c r="X450" s="72">
        <v>11</v>
      </c>
      <c r="Y450" s="72">
        <v>0</v>
      </c>
      <c r="Z450" s="72">
        <v>0</v>
      </c>
      <c r="AA450" s="72">
        <v>0</v>
      </c>
      <c r="AB450" s="72">
        <v>0</v>
      </c>
      <c r="AC450" s="72">
        <v>2</v>
      </c>
      <c r="AD450" s="72">
        <v>2</v>
      </c>
      <c r="AE450" s="464"/>
    </row>
    <row r="451" spans="2:31">
      <c r="B451" s="1200"/>
      <c r="D451" s="187" t="s">
        <v>172</v>
      </c>
      <c r="E451" s="459">
        <f>'Ch4 expenditure drivers'!N565</f>
        <v>0.19544630742663205</v>
      </c>
      <c r="F451" s="31">
        <f>'Ch4 expenditure drivers'!O565</f>
        <v>0.20162228211492617</v>
      </c>
      <c r="G451" s="31">
        <f>'Ch4 expenditure drivers'!P565</f>
        <v>0.15395972664370669</v>
      </c>
      <c r="H451" s="31">
        <f>'Ch4 expenditure drivers'!Q565</f>
        <v>8.7385661083504845E-2</v>
      </c>
      <c r="I451" s="31">
        <f>'Ch4 expenditure drivers'!R565</f>
        <v>8.4706005249502808E-2</v>
      </c>
      <c r="J451" s="31">
        <f>'Ch4 expenditure drivers'!S565</f>
        <v>8.5261941173722045E-2</v>
      </c>
      <c r="K451" s="31">
        <f>'Ch4 expenditure drivers'!T565</f>
        <v>6.9467168219152733E-2</v>
      </c>
      <c r="L451" s="460">
        <f>'Ch4 expenditure drivers'!U565</f>
        <v>5.6433773723637108E-2</v>
      </c>
      <c r="N451" s="399">
        <f>'Ch4 expenditure drivers'!W565</f>
        <v>0.44235458631493113</v>
      </c>
      <c r="O451" s="25">
        <f>'Ch4 expenditure drivers'!X565</f>
        <v>1.89283712715856E-3</v>
      </c>
      <c r="P451" s="25">
        <f>'Ch4 expenditure drivers'!Y565</f>
        <v>0.35902672021185267</v>
      </c>
      <c r="Q451" s="25">
        <f>'Ch4 expenditure drivers'!Z565</f>
        <v>0</v>
      </c>
      <c r="R451" s="25">
        <f>'Ch4 expenditure drivers'!AA565</f>
        <v>0</v>
      </c>
      <c r="S451" s="25">
        <f>'Ch4 expenditure drivers'!AB565</f>
        <v>3.8906517576750674E-3</v>
      </c>
      <c r="T451" s="25">
        <f>'Ch4 expenditure drivers'!AC565</f>
        <v>4.7017666530229429E-2</v>
      </c>
      <c r="U451" s="464"/>
      <c r="W451" s="407" t="s">
        <v>172</v>
      </c>
      <c r="X451" s="72">
        <v>7</v>
      </c>
      <c r="Y451" s="72">
        <v>0</v>
      </c>
      <c r="Z451" s="72">
        <v>0</v>
      </c>
      <c r="AA451" s="72">
        <v>0</v>
      </c>
      <c r="AB451" s="72">
        <v>0</v>
      </c>
      <c r="AC451" s="72">
        <v>1</v>
      </c>
      <c r="AD451" s="72">
        <v>1</v>
      </c>
      <c r="AE451" s="464"/>
    </row>
    <row r="452" spans="2:31">
      <c r="B452" s="1200"/>
      <c r="D452" s="187" t="s">
        <v>28</v>
      </c>
      <c r="E452" s="459">
        <f>'Ch4 expenditure drivers'!N566</f>
        <v>0.10836522616524036</v>
      </c>
      <c r="F452" s="31">
        <f>'Ch4 expenditure drivers'!O566</f>
        <v>0.10675273515446849</v>
      </c>
      <c r="G452" s="31">
        <f>'Ch4 expenditure drivers'!P566</f>
        <v>0.10228879546517171</v>
      </c>
      <c r="H452" s="31">
        <f>'Ch4 expenditure drivers'!Q566</f>
        <v>0.10165336585746031</v>
      </c>
      <c r="I452" s="31">
        <f>'Ch4 expenditure drivers'!R566</f>
        <v>0.10175169018246122</v>
      </c>
      <c r="J452" s="31">
        <f>'Ch4 expenditure drivers'!S566</f>
        <v>0.10095512835400838</v>
      </c>
      <c r="K452" s="31">
        <f>'Ch4 expenditure drivers'!T566</f>
        <v>0.10100303517853983</v>
      </c>
      <c r="L452" s="460">
        <f>'Ch4 expenditure drivers'!U566</f>
        <v>9.8881230517421134E-2</v>
      </c>
      <c r="N452" s="399">
        <f>'Ch4 expenditure drivers'!W566</f>
        <v>0.92483968423446516</v>
      </c>
      <c r="O452" s="25">
        <f>'Ch4 expenditure drivers'!X566</f>
        <v>9.6759708608335354E-2</v>
      </c>
      <c r="P452" s="25">
        <f>'Ch4 expenditure drivers'!Y566</f>
        <v>0</v>
      </c>
      <c r="Q452" s="25">
        <f>'Ch4 expenditure drivers'!Z566</f>
        <v>1.0920425805130812E-2</v>
      </c>
      <c r="R452" s="25">
        <f>'Ch4 expenditure drivers'!AA566</f>
        <v>1.8976182210416942E-2</v>
      </c>
      <c r="S452" s="25">
        <f>'Ch4 expenditure drivers'!AB566</f>
        <v>1.6784636821261395E-3</v>
      </c>
      <c r="T452" s="25">
        <f>'Ch4 expenditure drivers'!AC566</f>
        <v>1.3919290000000001E-2</v>
      </c>
      <c r="U452" s="464"/>
      <c r="W452" s="407" t="s">
        <v>28</v>
      </c>
      <c r="X452" s="72">
        <v>2</v>
      </c>
      <c r="Y452" s="72">
        <v>1</v>
      </c>
      <c r="Z452" s="72">
        <v>0</v>
      </c>
      <c r="AA452" s="72">
        <v>0</v>
      </c>
      <c r="AB452" s="72">
        <v>0</v>
      </c>
      <c r="AC452" s="72">
        <v>1</v>
      </c>
      <c r="AD452" s="72">
        <v>0</v>
      </c>
      <c r="AE452" s="464"/>
    </row>
    <row r="453" spans="2:31">
      <c r="B453" s="1200"/>
      <c r="D453" s="187" t="s">
        <v>173</v>
      </c>
      <c r="E453" s="459">
        <f>'Ch4 expenditure drivers'!N567</f>
        <v>4.1979321172870492</v>
      </c>
      <c r="F453" s="31">
        <f>'Ch4 expenditure drivers'!O567</f>
        <v>3.9776178965267723</v>
      </c>
      <c r="G453" s="31">
        <f>'Ch4 expenditure drivers'!P567</f>
        <v>3.8216189425953297</v>
      </c>
      <c r="H453" s="31">
        <f>'Ch4 expenditure drivers'!Q567</f>
        <v>3.6633132831778372</v>
      </c>
      <c r="I453" s="31">
        <f>'Ch4 expenditure drivers'!R567</f>
        <v>2.5180517474084909</v>
      </c>
      <c r="J453" s="31">
        <f>'Ch4 expenditure drivers'!S567</f>
        <v>2.3738653286538041</v>
      </c>
      <c r="K453" s="31">
        <f>'Ch4 expenditure drivers'!T567</f>
        <v>2.3280685580359592</v>
      </c>
      <c r="L453" s="460">
        <f>'Ch4 expenditure drivers'!U567</f>
        <v>2.3624916498876751</v>
      </c>
      <c r="N453" s="399">
        <f>'Ch4 expenditure drivers'!W567</f>
        <v>1.3864799312346541</v>
      </c>
      <c r="O453" s="25">
        <f>'Ch4 expenditure drivers'!X567</f>
        <v>1.4654397878207646</v>
      </c>
      <c r="P453" s="25">
        <f>'Ch4 expenditure drivers'!Y567</f>
        <v>1.6843244860405662</v>
      </c>
      <c r="Q453" s="25">
        <f>'Ch4 expenditure drivers'!Z567</f>
        <v>0.85113559295155805</v>
      </c>
      <c r="R453" s="25">
        <f>'Ch4 expenditure drivers'!AA567</f>
        <v>6.3038709434719005</v>
      </c>
      <c r="S453" s="25">
        <f>'Ch4 expenditure drivers'!AB567</f>
        <v>3.6206549112244408</v>
      </c>
      <c r="T453" s="25">
        <f>'Ch4 expenditure drivers'!AC567</f>
        <v>1.5446119899999997</v>
      </c>
      <c r="U453" s="464"/>
      <c r="W453" s="407" t="s">
        <v>173</v>
      </c>
      <c r="X453" s="72">
        <v>6</v>
      </c>
      <c r="Y453" s="72">
        <v>5</v>
      </c>
      <c r="Z453" s="72">
        <v>17</v>
      </c>
      <c r="AA453" s="72">
        <v>0</v>
      </c>
      <c r="AB453" s="72">
        <v>3</v>
      </c>
      <c r="AC453" s="72">
        <v>3</v>
      </c>
      <c r="AD453" s="72">
        <v>2</v>
      </c>
      <c r="AE453" s="464"/>
    </row>
    <row r="454" spans="2:31" ht="12" thickBot="1">
      <c r="B454" s="1200"/>
      <c r="D454" s="456" t="s">
        <v>174</v>
      </c>
      <c r="E454" s="461">
        <f t="shared" ref="E454:L454" si="8">SUM(E440:E453)</f>
        <v>26.270123551609586</v>
      </c>
      <c r="F454" s="462">
        <f t="shared" si="8"/>
        <v>23.816730433194781</v>
      </c>
      <c r="G454" s="462">
        <f t="shared" si="8"/>
        <v>18.965775514754295</v>
      </c>
      <c r="H454" s="462">
        <f t="shared" si="8"/>
        <v>15.268075854776248</v>
      </c>
      <c r="I454" s="462">
        <f t="shared" si="8"/>
        <v>11.749401267135376</v>
      </c>
      <c r="J454" s="462">
        <f t="shared" si="8"/>
        <v>12.015261907776587</v>
      </c>
      <c r="K454" s="462">
        <f t="shared" si="8"/>
        <v>10.03094062361391</v>
      </c>
      <c r="L454" s="463">
        <f t="shared" si="8"/>
        <v>10.251563585990342</v>
      </c>
      <c r="M454" s="1"/>
      <c r="N454" s="401">
        <f t="shared" ref="N454:S454" si="9">SUM(N440:N453)</f>
        <v>12.268407912767881</v>
      </c>
      <c r="O454" s="402">
        <f t="shared" si="9"/>
        <v>12.850439910546839</v>
      </c>
      <c r="P454" s="843">
        <f t="shared" si="9"/>
        <v>15.51347966132581</v>
      </c>
      <c r="Q454" s="843">
        <f t="shared" si="9"/>
        <v>18.464382639073637</v>
      </c>
      <c r="R454" s="843">
        <f t="shared" si="9"/>
        <v>17.439742088967197</v>
      </c>
      <c r="S454" s="843">
        <f t="shared" si="9"/>
        <v>12.463416361907949</v>
      </c>
      <c r="T454" s="843">
        <f t="shared" ref="T454" si="10">SUM(T440:T453)</f>
        <v>8.472671160966561</v>
      </c>
      <c r="U454" s="465"/>
      <c r="V454" s="1"/>
      <c r="W454" s="408" t="s">
        <v>174</v>
      </c>
      <c r="X454" s="258">
        <f t="shared" ref="X454:AD454" si="11">SUM(X440:X453)</f>
        <v>48</v>
      </c>
      <c r="Y454" s="258">
        <f t="shared" si="11"/>
        <v>77</v>
      </c>
      <c r="Z454" s="258">
        <f t="shared" si="11"/>
        <v>134</v>
      </c>
      <c r="AA454" s="258">
        <f t="shared" si="11"/>
        <v>90</v>
      </c>
      <c r="AB454" s="258">
        <f t="shared" si="11"/>
        <v>56</v>
      </c>
      <c r="AC454" s="258">
        <f t="shared" si="11"/>
        <v>39</v>
      </c>
      <c r="AD454" s="258">
        <f t="shared" si="11"/>
        <v>36</v>
      </c>
      <c r="AE454" s="465"/>
    </row>
    <row r="455" spans="2:31">
      <c r="B455" s="1200"/>
      <c r="P455" s="9"/>
    </row>
    <row r="456" spans="2:31" ht="12" thickBot="1">
      <c r="B456" s="1200"/>
      <c r="D456" s="1" t="str">
        <f>'Ch4 expenditure drivers'!D571</f>
        <v>Physical Security</v>
      </c>
      <c r="P456" s="8"/>
    </row>
    <row r="457" spans="2:31">
      <c r="B457" s="1200"/>
      <c r="E457" s="1179" t="s">
        <v>291</v>
      </c>
      <c r="F457" s="1180"/>
      <c r="G457" s="1180"/>
      <c r="H457" s="1180"/>
      <c r="I457" s="1180"/>
      <c r="J457" s="1180"/>
      <c r="K457" s="1180"/>
      <c r="L457" s="1181"/>
      <c r="N457" s="1179" t="s">
        <v>292</v>
      </c>
      <c r="O457" s="1180"/>
      <c r="P457" s="1180"/>
      <c r="Q457" s="1180"/>
      <c r="R457" s="1180"/>
      <c r="S457" s="1180"/>
      <c r="T457" s="1180"/>
      <c r="U457" s="1181"/>
    </row>
    <row r="458" spans="2:31" ht="12" thickBot="1">
      <c r="B458" s="1200"/>
      <c r="E458" s="457" t="s">
        <v>137</v>
      </c>
      <c r="F458" s="78" t="s">
        <v>138</v>
      </c>
      <c r="G458" s="78" t="s">
        <v>139</v>
      </c>
      <c r="H458" s="78" t="s">
        <v>140</v>
      </c>
      <c r="I458" s="78" t="s">
        <v>141</v>
      </c>
      <c r="J458" s="78" t="s">
        <v>126</v>
      </c>
      <c r="K458" s="78" t="s">
        <v>142</v>
      </c>
      <c r="L458" s="458" t="s">
        <v>143</v>
      </c>
      <c r="N458" s="457" t="s">
        <v>137</v>
      </c>
      <c r="O458" s="78" t="s">
        <v>138</v>
      </c>
      <c r="P458" s="78" t="s">
        <v>139</v>
      </c>
      <c r="Q458" s="78" t="s">
        <v>140</v>
      </c>
      <c r="R458" s="78" t="s">
        <v>141</v>
      </c>
      <c r="S458" s="78" t="s">
        <v>126</v>
      </c>
      <c r="T458" s="78" t="s">
        <v>142</v>
      </c>
      <c r="U458" s="458" t="s">
        <v>143</v>
      </c>
    </row>
    <row r="459" spans="2:31">
      <c r="B459" s="1200"/>
      <c r="D459" s="186" t="s">
        <v>161</v>
      </c>
      <c r="E459" s="459">
        <f>'Ch4 expenditure drivers'!N574</f>
        <v>0</v>
      </c>
      <c r="F459" s="31">
        <f>'Ch4 expenditure drivers'!O574</f>
        <v>0</v>
      </c>
      <c r="G459" s="31">
        <f>'Ch4 expenditure drivers'!P574</f>
        <v>0</v>
      </c>
      <c r="H459" s="31">
        <f>'Ch4 expenditure drivers'!Q574</f>
        <v>0</v>
      </c>
      <c r="I459" s="31">
        <f>'Ch4 expenditure drivers'!R574</f>
        <v>0</v>
      </c>
      <c r="J459" s="31">
        <f>'Ch4 expenditure drivers'!S574</f>
        <v>0</v>
      </c>
      <c r="K459" s="31">
        <f>'Ch4 expenditure drivers'!T574</f>
        <v>0</v>
      </c>
      <c r="L459" s="460">
        <f>'Ch4 expenditure drivers'!U574</f>
        <v>0</v>
      </c>
      <c r="N459" s="399">
        <f>'Ch4 expenditure drivers'!W574</f>
        <v>0</v>
      </c>
      <c r="O459" s="25">
        <f>'Ch4 expenditure drivers'!X574</f>
        <v>0</v>
      </c>
      <c r="P459" s="25">
        <f>'Ch4 expenditure drivers'!Y574</f>
        <v>0</v>
      </c>
      <c r="Q459" s="25">
        <f>'Ch4 expenditure drivers'!Z574</f>
        <v>0</v>
      </c>
      <c r="R459" s="25">
        <f>'Ch4 expenditure drivers'!AA574</f>
        <v>0</v>
      </c>
      <c r="S459" s="25">
        <f>'Ch4 expenditure drivers'!AB574</f>
        <v>0</v>
      </c>
      <c r="T459" s="25">
        <f>'Ch4 expenditure drivers'!AC574</f>
        <v>0</v>
      </c>
      <c r="U459" s="464"/>
    </row>
    <row r="460" spans="2:31">
      <c r="B460" s="1200"/>
      <c r="D460" s="187" t="s">
        <v>162</v>
      </c>
      <c r="E460" s="459">
        <f>'Ch4 expenditure drivers'!N575</f>
        <v>0</v>
      </c>
      <c r="F460" s="31">
        <f>'Ch4 expenditure drivers'!O575</f>
        <v>0</v>
      </c>
      <c r="G460" s="31">
        <f>'Ch4 expenditure drivers'!P575</f>
        <v>0</v>
      </c>
      <c r="H460" s="31">
        <f>'Ch4 expenditure drivers'!Q575</f>
        <v>6.81005471789108E-2</v>
      </c>
      <c r="I460" s="31">
        <f>'Ch4 expenditure drivers'!R575</f>
        <v>0.9943836478103607</v>
      </c>
      <c r="J460" s="31">
        <f>'Ch4 expenditure drivers'!S575</f>
        <v>0</v>
      </c>
      <c r="K460" s="31">
        <f>'Ch4 expenditure drivers'!T575</f>
        <v>0</v>
      </c>
      <c r="L460" s="460">
        <f>'Ch4 expenditure drivers'!U575</f>
        <v>0</v>
      </c>
      <c r="N460" s="399">
        <f>'Ch4 expenditure drivers'!W575</f>
        <v>0</v>
      </c>
      <c r="O460" s="25">
        <f>'Ch4 expenditure drivers'!X575</f>
        <v>0</v>
      </c>
      <c r="P460" s="25">
        <f>'Ch4 expenditure drivers'!Y575</f>
        <v>0</v>
      </c>
      <c r="Q460" s="25">
        <f>'Ch4 expenditure drivers'!Z575</f>
        <v>0</v>
      </c>
      <c r="R460" s="25">
        <f>'Ch4 expenditure drivers'!AA575</f>
        <v>0.39633719093381603</v>
      </c>
      <c r="S460" s="25">
        <f>'Ch4 expenditure drivers'!AB575</f>
        <v>7.9205089239513624E-2</v>
      </c>
      <c r="T460" s="25">
        <f>'Ch4 expenditure drivers'!AC575</f>
        <v>1.8216139999999999E-2</v>
      </c>
      <c r="U460" s="464"/>
    </row>
    <row r="461" spans="2:31">
      <c r="B461" s="1200"/>
      <c r="D461" s="187" t="s">
        <v>163</v>
      </c>
      <c r="E461" s="459">
        <f>'Ch4 expenditure drivers'!N576</f>
        <v>1.141207526613301</v>
      </c>
      <c r="F461" s="31">
        <f>'Ch4 expenditure drivers'!O576</f>
        <v>0</v>
      </c>
      <c r="G461" s="31">
        <f>'Ch4 expenditure drivers'!P576</f>
        <v>0.65572227326572297</v>
      </c>
      <c r="H461" s="31">
        <f>'Ch4 expenditure drivers'!Q576</f>
        <v>0.1646806198344743</v>
      </c>
      <c r="I461" s="31">
        <f>'Ch4 expenditure drivers'!R576</f>
        <v>2.2287633238459179</v>
      </c>
      <c r="J461" s="31">
        <f>'Ch4 expenditure drivers'!S576</f>
        <v>8.0684775191580665E-3</v>
      </c>
      <c r="K461" s="31">
        <f>'Ch4 expenditure drivers'!T576</f>
        <v>8.0684775191580665E-3</v>
      </c>
      <c r="L461" s="460">
        <f>'Ch4 expenditure drivers'!U576</f>
        <v>8.0684775191580665E-3</v>
      </c>
      <c r="N461" s="399">
        <f>'Ch4 expenditure drivers'!W576</f>
        <v>0</v>
      </c>
      <c r="O461" s="25">
        <f>'Ch4 expenditure drivers'!X576</f>
        <v>4.2594978550955703E-2</v>
      </c>
      <c r="P461" s="25">
        <f>'Ch4 expenditure drivers'!Y576</f>
        <v>7.6560725461554138E-2</v>
      </c>
      <c r="Q461" s="25">
        <f>'Ch4 expenditure drivers'!Z576</f>
        <v>0.44278831384805223</v>
      </c>
      <c r="R461" s="25">
        <f>'Ch4 expenditure drivers'!AA576</f>
        <v>2.8204106736081482</v>
      </c>
      <c r="S461" s="25">
        <f>'Ch4 expenditure drivers'!AB576</f>
        <v>1.8176246542420467</v>
      </c>
      <c r="T461" s="25">
        <f>'Ch4 expenditure drivers'!AC576</f>
        <v>0.55735040999999996</v>
      </c>
      <c r="U461" s="464"/>
    </row>
    <row r="462" spans="2:31">
      <c r="B462" s="1200"/>
      <c r="D462" s="187" t="s">
        <v>164</v>
      </c>
      <c r="E462" s="459">
        <f>'Ch4 expenditure drivers'!N577</f>
        <v>0</v>
      </c>
      <c r="F462" s="31">
        <f>'Ch4 expenditure drivers'!O577</f>
        <v>0</v>
      </c>
      <c r="G462" s="31">
        <f>'Ch4 expenditure drivers'!P577</f>
        <v>0</v>
      </c>
      <c r="H462" s="31">
        <f>'Ch4 expenditure drivers'!Q577</f>
        <v>0</v>
      </c>
      <c r="I462" s="31">
        <f>'Ch4 expenditure drivers'!R577</f>
        <v>0</v>
      </c>
      <c r="J462" s="31">
        <f>'Ch4 expenditure drivers'!S577</f>
        <v>0</v>
      </c>
      <c r="K462" s="31">
        <f>'Ch4 expenditure drivers'!T577</f>
        <v>0</v>
      </c>
      <c r="L462" s="460">
        <f>'Ch4 expenditure drivers'!U577</f>
        <v>0</v>
      </c>
      <c r="N462" s="399">
        <f>'Ch4 expenditure drivers'!W577</f>
        <v>0</v>
      </c>
      <c r="O462" s="25">
        <f>'Ch4 expenditure drivers'!X577</f>
        <v>0</v>
      </c>
      <c r="P462" s="25">
        <f>'Ch4 expenditure drivers'!Y577</f>
        <v>0</v>
      </c>
      <c r="Q462" s="25">
        <f>'Ch4 expenditure drivers'!Z577</f>
        <v>0</v>
      </c>
      <c r="R462" s="25">
        <f>'Ch4 expenditure drivers'!AA577</f>
        <v>0</v>
      </c>
      <c r="S462" s="25">
        <f>'Ch4 expenditure drivers'!AB577</f>
        <v>0</v>
      </c>
      <c r="T462" s="25">
        <f>'Ch4 expenditure drivers'!AC577</f>
        <v>0</v>
      </c>
      <c r="U462" s="464"/>
    </row>
    <row r="463" spans="2:31">
      <c r="B463" s="1200"/>
      <c r="D463" s="187" t="s">
        <v>165</v>
      </c>
      <c r="E463" s="459">
        <f>'Ch4 expenditure drivers'!N578</f>
        <v>0</v>
      </c>
      <c r="F463" s="31">
        <f>'Ch4 expenditure drivers'!O578</f>
        <v>0</v>
      </c>
      <c r="G463" s="31">
        <f>'Ch4 expenditure drivers'!P578</f>
        <v>0</v>
      </c>
      <c r="H463" s="31">
        <f>'Ch4 expenditure drivers'!Q578</f>
        <v>0</v>
      </c>
      <c r="I463" s="31">
        <f>'Ch4 expenditure drivers'!R578</f>
        <v>0</v>
      </c>
      <c r="J463" s="31">
        <f>'Ch4 expenditure drivers'!S578</f>
        <v>0</v>
      </c>
      <c r="K463" s="31">
        <f>'Ch4 expenditure drivers'!T578</f>
        <v>0</v>
      </c>
      <c r="L463" s="460">
        <f>'Ch4 expenditure drivers'!U578</f>
        <v>0</v>
      </c>
      <c r="N463" s="399">
        <f>'Ch4 expenditure drivers'!W578</f>
        <v>0</v>
      </c>
      <c r="O463" s="25">
        <f>'Ch4 expenditure drivers'!X578</f>
        <v>0</v>
      </c>
      <c r="P463" s="25">
        <f>'Ch4 expenditure drivers'!Y578</f>
        <v>0</v>
      </c>
      <c r="Q463" s="25">
        <f>'Ch4 expenditure drivers'!Z578</f>
        <v>0</v>
      </c>
      <c r="R463" s="25">
        <f>'Ch4 expenditure drivers'!AA578</f>
        <v>0</v>
      </c>
      <c r="S463" s="25">
        <f>'Ch4 expenditure drivers'!AB578</f>
        <v>0</v>
      </c>
      <c r="T463" s="25">
        <f>'Ch4 expenditure drivers'!AC578</f>
        <v>0</v>
      </c>
      <c r="U463" s="464"/>
    </row>
    <row r="464" spans="2:31">
      <c r="B464" s="1200"/>
      <c r="D464" s="187" t="s">
        <v>166</v>
      </c>
      <c r="E464" s="459">
        <f>'Ch4 expenditure drivers'!N579</f>
        <v>0</v>
      </c>
      <c r="F464" s="31">
        <f>'Ch4 expenditure drivers'!O579</f>
        <v>0</v>
      </c>
      <c r="G464" s="31">
        <f>'Ch4 expenditure drivers'!P579</f>
        <v>0</v>
      </c>
      <c r="H464" s="31">
        <f>'Ch4 expenditure drivers'!Q579</f>
        <v>0</v>
      </c>
      <c r="I464" s="31">
        <f>'Ch4 expenditure drivers'!R579</f>
        <v>0</v>
      </c>
      <c r="J464" s="31">
        <f>'Ch4 expenditure drivers'!S579</f>
        <v>0</v>
      </c>
      <c r="K464" s="31">
        <f>'Ch4 expenditure drivers'!T579</f>
        <v>0</v>
      </c>
      <c r="L464" s="460">
        <f>'Ch4 expenditure drivers'!U579</f>
        <v>0</v>
      </c>
      <c r="N464" s="399">
        <f>'Ch4 expenditure drivers'!W579</f>
        <v>0</v>
      </c>
      <c r="O464" s="25">
        <f>'Ch4 expenditure drivers'!X579</f>
        <v>0</v>
      </c>
      <c r="P464" s="25">
        <f>'Ch4 expenditure drivers'!Y579</f>
        <v>0</v>
      </c>
      <c r="Q464" s="25">
        <f>'Ch4 expenditure drivers'!Z579</f>
        <v>0</v>
      </c>
      <c r="R464" s="25">
        <f>'Ch4 expenditure drivers'!AA579</f>
        <v>0</v>
      </c>
      <c r="S464" s="25">
        <f>'Ch4 expenditure drivers'!AB579</f>
        <v>0</v>
      </c>
      <c r="T464" s="25">
        <f>'Ch4 expenditure drivers'!AC579</f>
        <v>0</v>
      </c>
      <c r="U464" s="464"/>
    </row>
    <row r="465" spans="2:22">
      <c r="B465" s="1200"/>
      <c r="D465" s="187" t="s">
        <v>167</v>
      </c>
      <c r="E465" s="459">
        <f>'Ch4 expenditure drivers'!N580</f>
        <v>0</v>
      </c>
      <c r="F465" s="31">
        <f>'Ch4 expenditure drivers'!O580</f>
        <v>0</v>
      </c>
      <c r="G465" s="31">
        <f>'Ch4 expenditure drivers'!P580</f>
        <v>0</v>
      </c>
      <c r="H465" s="31">
        <f>'Ch4 expenditure drivers'!Q580</f>
        <v>0</v>
      </c>
      <c r="I465" s="31">
        <f>'Ch4 expenditure drivers'!R580</f>
        <v>0</v>
      </c>
      <c r="J465" s="31">
        <f>'Ch4 expenditure drivers'!S580</f>
        <v>0</v>
      </c>
      <c r="K465" s="31">
        <f>'Ch4 expenditure drivers'!T580</f>
        <v>0</v>
      </c>
      <c r="L465" s="460">
        <f>'Ch4 expenditure drivers'!U580</f>
        <v>0</v>
      </c>
      <c r="N465" s="399">
        <f>'Ch4 expenditure drivers'!W580</f>
        <v>0</v>
      </c>
      <c r="O465" s="25">
        <f>'Ch4 expenditure drivers'!X580</f>
        <v>0</v>
      </c>
      <c r="P465" s="25">
        <f>'Ch4 expenditure drivers'!Y580</f>
        <v>0</v>
      </c>
      <c r="Q465" s="25">
        <f>'Ch4 expenditure drivers'!Z580</f>
        <v>0</v>
      </c>
      <c r="R465" s="25">
        <f>'Ch4 expenditure drivers'!AA580</f>
        <v>0</v>
      </c>
      <c r="S465" s="25">
        <f>'Ch4 expenditure drivers'!AB580</f>
        <v>0</v>
      </c>
      <c r="T465" s="25">
        <f>'Ch4 expenditure drivers'!AC580</f>
        <v>0</v>
      </c>
      <c r="U465" s="464"/>
    </row>
    <row r="466" spans="2:22">
      <c r="B466" s="1200"/>
      <c r="D466" s="187" t="s">
        <v>168</v>
      </c>
      <c r="E466" s="459">
        <f>'Ch4 expenditure drivers'!N581</f>
        <v>0</v>
      </c>
      <c r="F466" s="31">
        <f>'Ch4 expenditure drivers'!O581</f>
        <v>0.64960151101690022</v>
      </c>
      <c r="G466" s="31">
        <f>'Ch4 expenditure drivers'!P581</f>
        <v>0</v>
      </c>
      <c r="H466" s="31">
        <f>'Ch4 expenditure drivers'!Q581</f>
        <v>0</v>
      </c>
      <c r="I466" s="31">
        <f>'Ch4 expenditure drivers'!R581</f>
        <v>0</v>
      </c>
      <c r="J466" s="31">
        <f>'Ch4 expenditure drivers'!S581</f>
        <v>0</v>
      </c>
      <c r="K466" s="31">
        <f>'Ch4 expenditure drivers'!T581</f>
        <v>0</v>
      </c>
      <c r="L466" s="460">
        <f>'Ch4 expenditure drivers'!U581</f>
        <v>0</v>
      </c>
      <c r="N466" s="399">
        <f>'Ch4 expenditure drivers'!W581</f>
        <v>7.1503104461808589E-2</v>
      </c>
      <c r="O466" s="25">
        <f>'Ch4 expenditure drivers'!X581</f>
        <v>0</v>
      </c>
      <c r="P466" s="25">
        <f>'Ch4 expenditure drivers'!Y581</f>
        <v>0</v>
      </c>
      <c r="Q466" s="25">
        <f>'Ch4 expenditure drivers'!Z581</f>
        <v>0</v>
      </c>
      <c r="R466" s="25">
        <f>'Ch4 expenditure drivers'!AA581</f>
        <v>0</v>
      </c>
      <c r="S466" s="25">
        <f>'Ch4 expenditure drivers'!AB581</f>
        <v>0</v>
      </c>
      <c r="T466" s="25">
        <f>'Ch4 expenditure drivers'!AC581</f>
        <v>0</v>
      </c>
      <c r="U466" s="464"/>
    </row>
    <row r="467" spans="2:22">
      <c r="B467" s="1200"/>
      <c r="D467" s="187" t="s">
        <v>169</v>
      </c>
      <c r="E467" s="459">
        <f>'Ch4 expenditure drivers'!N582</f>
        <v>0.65035113519122245</v>
      </c>
      <c r="F467" s="31">
        <f>'Ch4 expenditure drivers'!O582</f>
        <v>0.6563739233835566</v>
      </c>
      <c r="G467" s="31">
        <f>'Ch4 expenditure drivers'!P582</f>
        <v>0</v>
      </c>
      <c r="H467" s="31">
        <f>'Ch4 expenditure drivers'!Q582</f>
        <v>0</v>
      </c>
      <c r="I467" s="31">
        <f>'Ch4 expenditure drivers'!R582</f>
        <v>0</v>
      </c>
      <c r="J467" s="31">
        <f>'Ch4 expenditure drivers'!S582</f>
        <v>0</v>
      </c>
      <c r="K467" s="31">
        <f>'Ch4 expenditure drivers'!T582</f>
        <v>0</v>
      </c>
      <c r="L467" s="460">
        <f>'Ch4 expenditure drivers'!U582</f>
        <v>0</v>
      </c>
      <c r="N467" s="399">
        <f>'Ch4 expenditure drivers'!W582</f>
        <v>0</v>
      </c>
      <c r="O467" s="25">
        <f>'Ch4 expenditure drivers'!X582</f>
        <v>0</v>
      </c>
      <c r="P467" s="25">
        <f>'Ch4 expenditure drivers'!Y582</f>
        <v>0</v>
      </c>
      <c r="Q467" s="25">
        <f>'Ch4 expenditure drivers'!Z582</f>
        <v>0</v>
      </c>
      <c r="R467" s="25">
        <f>'Ch4 expenditure drivers'!AA582</f>
        <v>0</v>
      </c>
      <c r="S467" s="25">
        <f>'Ch4 expenditure drivers'!AB582</f>
        <v>0</v>
      </c>
      <c r="T467" s="25">
        <f>'Ch4 expenditure drivers'!AC582</f>
        <v>0</v>
      </c>
      <c r="U467" s="464"/>
    </row>
    <row r="468" spans="2:22">
      <c r="B468" s="1200"/>
      <c r="D468" s="187" t="s">
        <v>170</v>
      </c>
      <c r="E468" s="459">
        <f>'Ch4 expenditure drivers'!N583</f>
        <v>5.6993510332539202E-2</v>
      </c>
      <c r="F468" s="31">
        <f>'Ch4 expenditure drivers'!O583</f>
        <v>0.57521317270201533</v>
      </c>
      <c r="G468" s="31">
        <f>'Ch4 expenditure drivers'!P583</f>
        <v>0.78375541087302325</v>
      </c>
      <c r="H468" s="31">
        <f>'Ch4 expenditure drivers'!Q583</f>
        <v>0.7910663311654319</v>
      </c>
      <c r="I468" s="31">
        <f>'Ch4 expenditure drivers'!R583</f>
        <v>0</v>
      </c>
      <c r="J468" s="31">
        <f>'Ch4 expenditure drivers'!S583</f>
        <v>0</v>
      </c>
      <c r="K468" s="31">
        <f>'Ch4 expenditure drivers'!T583</f>
        <v>0</v>
      </c>
      <c r="L468" s="460">
        <f>'Ch4 expenditure drivers'!U583</f>
        <v>0</v>
      </c>
      <c r="N468" s="399">
        <f>'Ch4 expenditure drivers'!W583</f>
        <v>0.15617947878954314</v>
      </c>
      <c r="O468" s="25">
        <f>'Ch4 expenditure drivers'!X583</f>
        <v>7.3562411166251576E-2</v>
      </c>
      <c r="P468" s="25">
        <f>'Ch4 expenditure drivers'!Y583</f>
        <v>7.4483040932140704E-3</v>
      </c>
      <c r="Q468" s="25">
        <f>'Ch4 expenditure drivers'!Z583</f>
        <v>-4.7265914857259783E-2</v>
      </c>
      <c r="R468" s="25">
        <f>'Ch4 expenditure drivers'!AA583</f>
        <v>0</v>
      </c>
      <c r="S468" s="25">
        <f>'Ch4 expenditure drivers'!AB583</f>
        <v>0</v>
      </c>
      <c r="T468" s="25">
        <f>'Ch4 expenditure drivers'!AC583</f>
        <v>0</v>
      </c>
      <c r="U468" s="464"/>
    </row>
    <row r="469" spans="2:22">
      <c r="B469" s="1200"/>
      <c r="D469" s="187" t="s">
        <v>171</v>
      </c>
      <c r="E469" s="459">
        <f>'Ch4 expenditure drivers'!N584</f>
        <v>0</v>
      </c>
      <c r="F469" s="31">
        <f>'Ch4 expenditure drivers'!O584</f>
        <v>0</v>
      </c>
      <c r="G469" s="31">
        <f>'Ch4 expenditure drivers'!P584</f>
        <v>0</v>
      </c>
      <c r="H469" s="31">
        <f>'Ch4 expenditure drivers'!Q584</f>
        <v>0</v>
      </c>
      <c r="I469" s="31">
        <f>'Ch4 expenditure drivers'!R584</f>
        <v>0</v>
      </c>
      <c r="J469" s="31">
        <f>'Ch4 expenditure drivers'!S584</f>
        <v>0</v>
      </c>
      <c r="K469" s="31">
        <f>'Ch4 expenditure drivers'!T584</f>
        <v>0</v>
      </c>
      <c r="L469" s="460">
        <f>'Ch4 expenditure drivers'!U584</f>
        <v>0</v>
      </c>
      <c r="N469" s="399">
        <f>'Ch4 expenditure drivers'!W584</f>
        <v>0</v>
      </c>
      <c r="O469" s="25">
        <f>'Ch4 expenditure drivers'!X584</f>
        <v>0</v>
      </c>
      <c r="P469" s="25">
        <f>'Ch4 expenditure drivers'!Y584</f>
        <v>0</v>
      </c>
      <c r="Q469" s="25">
        <f>'Ch4 expenditure drivers'!Z584</f>
        <v>0</v>
      </c>
      <c r="R469" s="25">
        <f>'Ch4 expenditure drivers'!AA584</f>
        <v>0</v>
      </c>
      <c r="S469" s="25">
        <f>'Ch4 expenditure drivers'!AB584</f>
        <v>0</v>
      </c>
      <c r="T469" s="25">
        <f>'Ch4 expenditure drivers'!AC584</f>
        <v>0</v>
      </c>
      <c r="U469" s="464"/>
    </row>
    <row r="470" spans="2:22">
      <c r="B470" s="1200"/>
      <c r="D470" s="187" t="s">
        <v>172</v>
      </c>
      <c r="E470" s="459">
        <f>'Ch4 expenditure drivers'!N585</f>
        <v>0.27160956413057596</v>
      </c>
      <c r="F470" s="31">
        <f>'Ch4 expenditure drivers'!O585</f>
        <v>0.27262852102504748</v>
      </c>
      <c r="G470" s="31">
        <f>'Ch4 expenditure drivers'!P585</f>
        <v>0.27352355856791588</v>
      </c>
      <c r="H470" s="31">
        <f>'Ch4 expenditure drivers'!Q585</f>
        <v>0.27374964427032095</v>
      </c>
      <c r="I470" s="31">
        <f>'Ch4 expenditure drivers'!R585</f>
        <v>0.27531148497174052</v>
      </c>
      <c r="J470" s="31">
        <f>'Ch4 expenditure drivers'!S585</f>
        <v>0.27689702751126016</v>
      </c>
      <c r="K470" s="31">
        <f>'Ch4 expenditure drivers'!T585</f>
        <v>0.27850640523524889</v>
      </c>
      <c r="L470" s="460">
        <f>'Ch4 expenditure drivers'!U585</f>
        <v>0.28013975477377079</v>
      </c>
      <c r="N470" s="399">
        <f>'Ch4 expenditure drivers'!W585</f>
        <v>0</v>
      </c>
      <c r="O470" s="25">
        <f>'Ch4 expenditure drivers'!X585</f>
        <v>0</v>
      </c>
      <c r="P470" s="25">
        <f>'Ch4 expenditure drivers'!Y585</f>
        <v>0</v>
      </c>
      <c r="Q470" s="25">
        <f>'Ch4 expenditure drivers'!Z585</f>
        <v>0</v>
      </c>
      <c r="R470" s="25">
        <f>'Ch4 expenditure drivers'!AA585</f>
        <v>0</v>
      </c>
      <c r="S470" s="25">
        <f>'Ch4 expenditure drivers'!AB585</f>
        <v>0</v>
      </c>
      <c r="T470" s="25">
        <f>'Ch4 expenditure drivers'!AC585</f>
        <v>0</v>
      </c>
      <c r="U470" s="464"/>
    </row>
    <row r="471" spans="2:22">
      <c r="B471" s="1200"/>
      <c r="D471" s="187" t="s">
        <v>28</v>
      </c>
      <c r="E471" s="459">
        <f>'Ch4 expenditure drivers'!N586</f>
        <v>0</v>
      </c>
      <c r="F471" s="31">
        <f>'Ch4 expenditure drivers'!O586</f>
        <v>0</v>
      </c>
      <c r="G471" s="31">
        <f>'Ch4 expenditure drivers'!P586</f>
        <v>0</v>
      </c>
      <c r="H471" s="31">
        <f>'Ch4 expenditure drivers'!Q586</f>
        <v>0</v>
      </c>
      <c r="I471" s="31">
        <f>'Ch4 expenditure drivers'!R586</f>
        <v>0</v>
      </c>
      <c r="J471" s="31">
        <f>'Ch4 expenditure drivers'!S586</f>
        <v>0</v>
      </c>
      <c r="K471" s="31">
        <f>'Ch4 expenditure drivers'!T586</f>
        <v>0</v>
      </c>
      <c r="L471" s="460">
        <f>'Ch4 expenditure drivers'!U586</f>
        <v>0</v>
      </c>
      <c r="N471" s="399">
        <f>'Ch4 expenditure drivers'!W586</f>
        <v>0</v>
      </c>
      <c r="O471" s="25">
        <f>'Ch4 expenditure drivers'!X586</f>
        <v>0</v>
      </c>
      <c r="P471" s="25">
        <f>'Ch4 expenditure drivers'!Y586</f>
        <v>0</v>
      </c>
      <c r="Q471" s="25">
        <f>'Ch4 expenditure drivers'!Z586</f>
        <v>0</v>
      </c>
      <c r="R471" s="25">
        <f>'Ch4 expenditure drivers'!AA586</f>
        <v>0</v>
      </c>
      <c r="S471" s="25">
        <f>'Ch4 expenditure drivers'!AB586</f>
        <v>0</v>
      </c>
      <c r="T471" s="25">
        <f>'Ch4 expenditure drivers'!AC586</f>
        <v>0</v>
      </c>
      <c r="U471" s="464"/>
    </row>
    <row r="472" spans="2:22">
      <c r="B472" s="1200"/>
      <c r="D472" s="187" t="s">
        <v>173</v>
      </c>
      <c r="E472" s="459">
        <f>'Ch4 expenditure drivers'!N587</f>
        <v>0</v>
      </c>
      <c r="F472" s="31">
        <f>'Ch4 expenditure drivers'!O587</f>
        <v>0</v>
      </c>
      <c r="G472" s="31">
        <f>'Ch4 expenditure drivers'!P587</f>
        <v>0</v>
      </c>
      <c r="H472" s="31">
        <f>'Ch4 expenditure drivers'!Q587</f>
        <v>0</v>
      </c>
      <c r="I472" s="31">
        <f>'Ch4 expenditure drivers'!R587</f>
        <v>0</v>
      </c>
      <c r="J472" s="31">
        <f>'Ch4 expenditure drivers'!S587</f>
        <v>0</v>
      </c>
      <c r="K472" s="31">
        <f>'Ch4 expenditure drivers'!T587</f>
        <v>0</v>
      </c>
      <c r="L472" s="460">
        <f>'Ch4 expenditure drivers'!U587</f>
        <v>0</v>
      </c>
      <c r="N472" s="399">
        <f>'Ch4 expenditure drivers'!W587</f>
        <v>0</v>
      </c>
      <c r="O472" s="25">
        <f>'Ch4 expenditure drivers'!X587</f>
        <v>0</v>
      </c>
      <c r="P472" s="25">
        <f>'Ch4 expenditure drivers'!Y587</f>
        <v>0</v>
      </c>
      <c r="Q472" s="25">
        <f>'Ch4 expenditure drivers'!Z587</f>
        <v>0</v>
      </c>
      <c r="R472" s="25">
        <f>'Ch4 expenditure drivers'!AA587</f>
        <v>0</v>
      </c>
      <c r="S472" s="25">
        <f>'Ch4 expenditure drivers'!AB587</f>
        <v>0</v>
      </c>
      <c r="T472" s="25">
        <f>'Ch4 expenditure drivers'!AC587</f>
        <v>0</v>
      </c>
      <c r="U472" s="464"/>
    </row>
    <row r="473" spans="2:22" ht="12" thickBot="1">
      <c r="B473" s="1200"/>
      <c r="D473" s="456" t="s">
        <v>174</v>
      </c>
      <c r="E473" s="461">
        <f t="shared" ref="E473:L473" si="12">SUM(E459:E472)</f>
        <v>2.1201617362676384</v>
      </c>
      <c r="F473" s="462">
        <f t="shared" si="12"/>
        <v>2.1538171281275198</v>
      </c>
      <c r="G473" s="462">
        <f t="shared" si="12"/>
        <v>1.7130012427066621</v>
      </c>
      <c r="H473" s="462">
        <f t="shared" si="12"/>
        <v>1.2975971424491379</v>
      </c>
      <c r="I473" s="462">
        <f t="shared" si="12"/>
        <v>3.4984584566280192</v>
      </c>
      <c r="J473" s="462">
        <f t="shared" si="12"/>
        <v>0.28496550503041823</v>
      </c>
      <c r="K473" s="462">
        <f t="shared" si="12"/>
        <v>0.28657488275440696</v>
      </c>
      <c r="L473" s="463">
        <f t="shared" si="12"/>
        <v>0.28820823229292886</v>
      </c>
      <c r="M473" s="1"/>
      <c r="N473" s="401">
        <f t="shared" ref="N473:S473" si="13">SUM(N459:N472)</f>
        <v>0.22768258325135171</v>
      </c>
      <c r="O473" s="402">
        <f t="shared" si="13"/>
        <v>0.11615738971720728</v>
      </c>
      <c r="P473" s="843">
        <f t="shared" si="13"/>
        <v>8.4009029554768203E-2</v>
      </c>
      <c r="Q473" s="843">
        <f t="shared" si="13"/>
        <v>0.39552239899079245</v>
      </c>
      <c r="R473" s="843">
        <f t="shared" si="13"/>
        <v>3.216747864541964</v>
      </c>
      <c r="S473" s="843">
        <f t="shared" si="13"/>
        <v>1.8968297434815602</v>
      </c>
      <c r="T473" s="843">
        <f t="shared" ref="T473" si="14">SUM(T459:T472)</f>
        <v>0.57556655000000001</v>
      </c>
      <c r="U473" s="465"/>
      <c r="V473" s="1"/>
    </row>
    <row r="474" spans="2:22">
      <c r="B474" s="1200"/>
    </row>
    <row r="475" spans="2:22" ht="12" thickBot="1">
      <c r="B475" s="1200"/>
      <c r="D475" s="1" t="str">
        <f>'Ch4 expenditure drivers'!D711</f>
        <v>Tree Cutting</v>
      </c>
    </row>
    <row r="476" spans="2:22">
      <c r="B476" s="1200"/>
      <c r="E476" s="1179" t="s">
        <v>291</v>
      </c>
      <c r="F476" s="1180"/>
      <c r="G476" s="1180"/>
      <c r="H476" s="1180"/>
      <c r="I476" s="1180"/>
      <c r="J476" s="1180"/>
      <c r="K476" s="1180"/>
      <c r="L476" s="1181"/>
      <c r="N476" s="1179" t="s">
        <v>292</v>
      </c>
      <c r="O476" s="1180"/>
      <c r="P476" s="1180"/>
      <c r="Q476" s="1180"/>
      <c r="R476" s="1180"/>
      <c r="S476" s="1180"/>
      <c r="T476" s="1180"/>
      <c r="U476" s="1181"/>
    </row>
    <row r="477" spans="2:22" ht="12" thickBot="1">
      <c r="B477" s="1200"/>
      <c r="E477" s="457" t="s">
        <v>137</v>
      </c>
      <c r="F477" s="78" t="s">
        <v>138</v>
      </c>
      <c r="G477" s="78" t="s">
        <v>139</v>
      </c>
      <c r="H477" s="78" t="s">
        <v>140</v>
      </c>
      <c r="I477" s="78" t="s">
        <v>141</v>
      </c>
      <c r="J477" s="78" t="s">
        <v>126</v>
      </c>
      <c r="K477" s="78" t="s">
        <v>142</v>
      </c>
      <c r="L477" s="458" t="s">
        <v>143</v>
      </c>
      <c r="N477" s="457" t="s">
        <v>137</v>
      </c>
      <c r="O477" s="78" t="s">
        <v>138</v>
      </c>
      <c r="P477" s="78" t="s">
        <v>139</v>
      </c>
      <c r="Q477" s="78" t="s">
        <v>140</v>
      </c>
      <c r="R477" s="78" t="s">
        <v>141</v>
      </c>
      <c r="S477" s="78" t="s">
        <v>126</v>
      </c>
      <c r="T477" s="78" t="s">
        <v>142</v>
      </c>
      <c r="U477" s="458" t="s">
        <v>143</v>
      </c>
    </row>
    <row r="478" spans="2:22">
      <c r="B478" s="1200"/>
      <c r="D478" s="186" t="s">
        <v>161</v>
      </c>
      <c r="E478" s="459">
        <f>'Ch4 expenditure drivers'!N714</f>
        <v>5.8621170761486567</v>
      </c>
      <c r="F478" s="31">
        <f>'Ch4 expenditure drivers'!O714</f>
        <v>5.7924677416582506</v>
      </c>
      <c r="G478" s="31">
        <f>'Ch4 expenditure drivers'!P714</f>
        <v>5.6915696706524255</v>
      </c>
      <c r="H478" s="31">
        <f>'Ch4 expenditure drivers'!Q714</f>
        <v>5.5836927220559831</v>
      </c>
      <c r="I478" s="31">
        <f>'Ch4 expenditure drivers'!R714</f>
        <v>5.4863708210910902</v>
      </c>
      <c r="J478" s="31">
        <f>'Ch4 expenditure drivers'!S714</f>
        <v>5.3792692312666119</v>
      </c>
      <c r="K478" s="31">
        <f>'Ch4 expenditure drivers'!T714</f>
        <v>5.2648399370871353</v>
      </c>
      <c r="L478" s="460">
        <f>'Ch4 expenditure drivers'!U714</f>
        <v>5.15788634129495</v>
      </c>
      <c r="N478" s="399">
        <f>'Ch4 expenditure drivers'!W714</f>
        <v>4.2228747260188113</v>
      </c>
      <c r="O478" s="25">
        <f>'Ch4 expenditure drivers'!X714</f>
        <v>4.6909131355504021</v>
      </c>
      <c r="P478" s="25">
        <f>'Ch4 expenditure drivers'!Y714</f>
        <v>5.0684352535143633</v>
      </c>
      <c r="Q478" s="25">
        <f>'Ch4 expenditure drivers'!Z714</f>
        <v>4.5480137657385606</v>
      </c>
      <c r="R478" s="25">
        <f>'Ch4 expenditure drivers'!AA714</f>
        <v>5.5173205394970086</v>
      </c>
      <c r="S478" s="25">
        <f>'Ch4 expenditure drivers'!AB714</f>
        <v>5.5527790014576928</v>
      </c>
      <c r="T478" s="25">
        <f>'Ch4 expenditure drivers'!AC714</f>
        <v>5.2653743248595291</v>
      </c>
      <c r="U478" s="464"/>
    </row>
    <row r="479" spans="2:22">
      <c r="B479" s="1200"/>
      <c r="D479" s="187" t="s">
        <v>162</v>
      </c>
      <c r="E479" s="459">
        <f>'Ch4 expenditure drivers'!N715</f>
        <v>5.5184745088604137</v>
      </c>
      <c r="F479" s="31">
        <f>'Ch4 expenditure drivers'!O715</f>
        <v>5.3786454087124955</v>
      </c>
      <c r="G479" s="31">
        <f>'Ch4 expenditure drivers'!P715</f>
        <v>5.3367248997394885</v>
      </c>
      <c r="H479" s="31">
        <f>'Ch4 expenditure drivers'!Q715</f>
        <v>5.2927262621752593</v>
      </c>
      <c r="I479" s="31">
        <f>'Ch4 expenditure drivers'!R715</f>
        <v>5.392148339140717</v>
      </c>
      <c r="J479" s="31">
        <f>'Ch4 expenditure drivers'!S715</f>
        <v>5.4940968313433354</v>
      </c>
      <c r="K479" s="31">
        <f>'Ch4 expenditure drivers'!T715</f>
        <v>5.4759177588035444</v>
      </c>
      <c r="L479" s="460">
        <f>'Ch4 expenditure drivers'!U715</f>
        <v>5.4117600681936313</v>
      </c>
      <c r="N479" s="399">
        <f>'Ch4 expenditure drivers'!W715</f>
        <v>5.5279865302721207</v>
      </c>
      <c r="O479" s="25">
        <f>'Ch4 expenditure drivers'!X715</f>
        <v>4.853341736139889</v>
      </c>
      <c r="P479" s="25">
        <f>'Ch4 expenditure drivers'!Y715</f>
        <v>4.0160432207859502</v>
      </c>
      <c r="Q479" s="25">
        <f>'Ch4 expenditure drivers'!Z715</f>
        <v>3.8399966819960243</v>
      </c>
      <c r="R479" s="25">
        <f>'Ch4 expenditure drivers'!AA715</f>
        <v>4.0455227371032834</v>
      </c>
      <c r="S479" s="25">
        <f>'Ch4 expenditure drivers'!AB715</f>
        <v>4.3220309639871939</v>
      </c>
      <c r="T479" s="25">
        <f>'Ch4 expenditure drivers'!AC715</f>
        <v>4.1973049249227943</v>
      </c>
      <c r="U479" s="464"/>
    </row>
    <row r="480" spans="2:22">
      <c r="B480" s="1200"/>
      <c r="D480" s="187" t="s">
        <v>163</v>
      </c>
      <c r="E480" s="459">
        <f>'Ch4 expenditure drivers'!N716</f>
        <v>6.4977823149147653</v>
      </c>
      <c r="F480" s="31">
        <f>'Ch4 expenditure drivers'!O716</f>
        <v>6.3467844875740296</v>
      </c>
      <c r="G480" s="31">
        <f>'Ch4 expenditure drivers'!P716</f>
        <v>6.2938106146101056</v>
      </c>
      <c r="H480" s="31">
        <f>'Ch4 expenditure drivers'!Q716</f>
        <v>6.2612939605370563</v>
      </c>
      <c r="I480" s="31">
        <f>'Ch4 expenditure drivers'!R716</f>
        <v>6.3561751548961718</v>
      </c>
      <c r="J480" s="31">
        <f>'Ch4 expenditure drivers'!S716</f>
        <v>6.4688633778422231</v>
      </c>
      <c r="K480" s="31">
        <f>'Ch4 expenditure drivers'!T716</f>
        <v>6.4401837866849965</v>
      </c>
      <c r="L480" s="460">
        <f>'Ch4 expenditure drivers'!U716</f>
        <v>6.3813270042134649</v>
      </c>
      <c r="N480" s="399">
        <f>'Ch4 expenditure drivers'!W716</f>
        <v>8.5056446824118996</v>
      </c>
      <c r="O480" s="25">
        <f>'Ch4 expenditure drivers'!X716</f>
        <v>7.0420423383522017</v>
      </c>
      <c r="P480" s="25">
        <f>'Ch4 expenditure drivers'!Y716</f>
        <v>5.7758808919402949</v>
      </c>
      <c r="Q480" s="25">
        <f>'Ch4 expenditure drivers'!Z716</f>
        <v>3.9765847184095304</v>
      </c>
      <c r="R480" s="25">
        <f>'Ch4 expenditure drivers'!AA716</f>
        <v>3.6623884172354688</v>
      </c>
      <c r="S480" s="25">
        <f>'Ch4 expenditure drivers'!AB716</f>
        <v>4.7546320269921871</v>
      </c>
      <c r="T480" s="25">
        <f>'Ch4 expenditure drivers'!AC716</f>
        <v>5.2260543766859593</v>
      </c>
      <c r="U480" s="464"/>
    </row>
    <row r="481" spans="2:22">
      <c r="B481" s="1200"/>
      <c r="D481" s="187" t="s">
        <v>164</v>
      </c>
      <c r="E481" s="459">
        <f>'Ch4 expenditure drivers'!N717</f>
        <v>10.406321738142125</v>
      </c>
      <c r="F481" s="31">
        <f>'Ch4 expenditure drivers'!O717</f>
        <v>10.439080019721876</v>
      </c>
      <c r="G481" s="31">
        <f>'Ch4 expenditure drivers'!P717</f>
        <v>10.446895700787653</v>
      </c>
      <c r="H481" s="31">
        <f>'Ch4 expenditure drivers'!Q717</f>
        <v>10.518640219415012</v>
      </c>
      <c r="I481" s="31">
        <f>'Ch4 expenditure drivers'!R717</f>
        <v>10.591105369497823</v>
      </c>
      <c r="J481" s="31">
        <f>'Ch4 expenditure drivers'!S717</f>
        <v>10.664811603256121</v>
      </c>
      <c r="K481" s="31">
        <f>'Ch4 expenditure drivers'!T717</f>
        <v>10.736003540222338</v>
      </c>
      <c r="L481" s="460">
        <f>'Ch4 expenditure drivers'!U717</f>
        <v>10.812173198238026</v>
      </c>
      <c r="N481" s="399">
        <f>'Ch4 expenditure drivers'!W717</f>
        <v>18.029036614463077</v>
      </c>
      <c r="O481" s="25">
        <f>'Ch4 expenditure drivers'!X717</f>
        <v>21.643160004830332</v>
      </c>
      <c r="P481" s="25">
        <f>'Ch4 expenditure drivers'!Y717</f>
        <v>18.851166535713766</v>
      </c>
      <c r="Q481" s="25">
        <f>'Ch4 expenditure drivers'!Z717</f>
        <v>15.917704032360541</v>
      </c>
      <c r="R481" s="25">
        <f>'Ch4 expenditure drivers'!AA717</f>
        <v>14.011863061773592</v>
      </c>
      <c r="S481" s="25">
        <f>'Ch4 expenditure drivers'!AB717</f>
        <v>14.337932840869307</v>
      </c>
      <c r="T481" s="25">
        <f>'Ch4 expenditure drivers'!AC717</f>
        <v>13.915299999999998</v>
      </c>
      <c r="U481" s="464"/>
    </row>
    <row r="482" spans="2:22">
      <c r="B482" s="1200"/>
      <c r="D482" s="187" t="s">
        <v>165</v>
      </c>
      <c r="E482" s="459">
        <f>'Ch4 expenditure drivers'!N718</f>
        <v>8.0911934337602016</v>
      </c>
      <c r="F482" s="31">
        <f>'Ch4 expenditure drivers'!O718</f>
        <v>8.1195011978106191</v>
      </c>
      <c r="G482" s="31">
        <f>'Ch4 expenditure drivers'!P718</f>
        <v>8.1257703764224392</v>
      </c>
      <c r="H482" s="31">
        <f>'Ch4 expenditure drivers'!Q718</f>
        <v>8.1815494911861784</v>
      </c>
      <c r="I482" s="31">
        <f>'Ch4 expenditure drivers'!R718</f>
        <v>8.2397629673110675</v>
      </c>
      <c r="J482" s="31">
        <f>'Ch4 expenditure drivers'!S718</f>
        <v>8.2947786499176388</v>
      </c>
      <c r="K482" s="31">
        <f>'Ch4 expenditure drivers'!T718</f>
        <v>8.3534035950544361</v>
      </c>
      <c r="L482" s="460">
        <f>'Ch4 expenditure drivers'!U718</f>
        <v>8.4115312676429586</v>
      </c>
      <c r="N482" s="399">
        <f>'Ch4 expenditure drivers'!W718</f>
        <v>12.721792933050153</v>
      </c>
      <c r="O482" s="25">
        <f>'Ch4 expenditure drivers'!X718</f>
        <v>10.535071156865113</v>
      </c>
      <c r="P482" s="25">
        <f>'Ch4 expenditure drivers'!Y718</f>
        <v>15.109229785964759</v>
      </c>
      <c r="Q482" s="25">
        <f>'Ch4 expenditure drivers'!Z718</f>
        <v>10.438270828921175</v>
      </c>
      <c r="R482" s="25">
        <f>'Ch4 expenditure drivers'!AA718</f>
        <v>11.38142697201368</v>
      </c>
      <c r="S482" s="25">
        <f>'Ch4 expenditure drivers'!AB718</f>
        <v>14.641509877042633</v>
      </c>
      <c r="T482" s="25">
        <f>'Ch4 expenditure drivers'!AC718</f>
        <v>9.6685000000000016</v>
      </c>
      <c r="U482" s="464"/>
    </row>
    <row r="483" spans="2:22">
      <c r="B483" s="1200"/>
      <c r="D483" s="187" t="s">
        <v>166</v>
      </c>
      <c r="E483" s="459">
        <f>'Ch4 expenditure drivers'!N719</f>
        <v>10.026291909471082</v>
      </c>
      <c r="F483" s="31">
        <f>'Ch4 expenditure drivers'!O719</f>
        <v>10.060623414523388</v>
      </c>
      <c r="G483" s="31">
        <f>'Ch4 expenditure drivers'!P719</f>
        <v>10.065935751915443</v>
      </c>
      <c r="H483" s="31">
        <f>'Ch4 expenditure drivers'!Q719</f>
        <v>10.134725003522307</v>
      </c>
      <c r="I483" s="31">
        <f>'Ch4 expenditure drivers'!R719</f>
        <v>10.204713374130785</v>
      </c>
      <c r="J483" s="31">
        <f>'Ch4 expenditure drivers'!S719</f>
        <v>10.273826702211307</v>
      </c>
      <c r="K483" s="31">
        <f>'Ch4 expenditure drivers'!T719</f>
        <v>10.343745374352997</v>
      </c>
      <c r="L483" s="460">
        <f>'Ch4 expenditure drivers'!U719</f>
        <v>10.415807147290488</v>
      </c>
      <c r="N483" s="399">
        <f>'Ch4 expenditure drivers'!W719</f>
        <v>12.598257091426303</v>
      </c>
      <c r="O483" s="25">
        <f>'Ch4 expenditure drivers'!X719</f>
        <v>9.6591055880932259</v>
      </c>
      <c r="P483" s="25">
        <f>'Ch4 expenditure drivers'!Y719</f>
        <v>8.654219113303359</v>
      </c>
      <c r="Q483" s="25">
        <f>'Ch4 expenditure drivers'!Z719</f>
        <v>9.3520492538156361</v>
      </c>
      <c r="R483" s="25">
        <f>'Ch4 expenditure drivers'!AA719</f>
        <v>10.096720701068667</v>
      </c>
      <c r="S483" s="25">
        <f>'Ch4 expenditure drivers'!AB719</f>
        <v>9.1422171555612994</v>
      </c>
      <c r="T483" s="25">
        <f>'Ch4 expenditure drivers'!AC719</f>
        <v>8.8666</v>
      </c>
      <c r="U483" s="464"/>
    </row>
    <row r="484" spans="2:22">
      <c r="B484" s="1200"/>
      <c r="D484" s="187" t="s">
        <v>167</v>
      </c>
      <c r="E484" s="459">
        <f>'Ch4 expenditure drivers'!N720</f>
        <v>14.012124307783045</v>
      </c>
      <c r="F484" s="31">
        <f>'Ch4 expenditure drivers'!O720</f>
        <v>14.058094765003757</v>
      </c>
      <c r="G484" s="31">
        <f>'Ch4 expenditure drivers'!P720</f>
        <v>14.059303889359096</v>
      </c>
      <c r="H484" s="31">
        <f>'Ch4 expenditure drivers'!Q720</f>
        <v>14.147582921687491</v>
      </c>
      <c r="I484" s="31">
        <f>'Ch4 expenditure drivers'!R720</f>
        <v>14.239463819441111</v>
      </c>
      <c r="J484" s="31">
        <f>'Ch4 expenditure drivers'!S720</f>
        <v>14.330602184859533</v>
      </c>
      <c r="K484" s="31">
        <f>'Ch4 expenditure drivers'!T720</f>
        <v>14.422539314528931</v>
      </c>
      <c r="L484" s="460">
        <f>'Ch4 expenditure drivers'!U720</f>
        <v>14.512494449159947</v>
      </c>
      <c r="N484" s="399">
        <f>'Ch4 expenditure drivers'!W720</f>
        <v>17.396964881106104</v>
      </c>
      <c r="O484" s="25">
        <f>'Ch4 expenditure drivers'!X720</f>
        <v>14.927815383105903</v>
      </c>
      <c r="P484" s="25">
        <f>'Ch4 expenditure drivers'!Y720</f>
        <v>14.541034913498335</v>
      </c>
      <c r="Q484" s="25">
        <f>'Ch4 expenditure drivers'!Z720</f>
        <v>13.288366872802746</v>
      </c>
      <c r="R484" s="25">
        <f>'Ch4 expenditure drivers'!AA720</f>
        <v>15.000016301842129</v>
      </c>
      <c r="S484" s="25">
        <f>'Ch4 expenditure drivers'!AB720</f>
        <v>12.594744842215478</v>
      </c>
      <c r="T484" s="25">
        <f>'Ch4 expenditure drivers'!AC720</f>
        <v>12.776199999999999</v>
      </c>
      <c r="U484" s="464"/>
    </row>
    <row r="485" spans="2:22">
      <c r="B485" s="1200"/>
      <c r="D485" s="187" t="s">
        <v>168</v>
      </c>
      <c r="E485" s="459">
        <f>'Ch4 expenditure drivers'!N721</f>
        <v>2.1704465682830593E-2</v>
      </c>
      <c r="F485" s="31">
        <f>'Ch4 expenditure drivers'!O721</f>
        <v>2.1494190600206305E-2</v>
      </c>
      <c r="G485" s="31">
        <f>'Ch4 expenditure drivers'!P721</f>
        <v>2.1284691951784396E-2</v>
      </c>
      <c r="H485" s="31">
        <f>'Ch4 expenditure drivers'!Q721</f>
        <v>2.1075979354026029E-2</v>
      </c>
      <c r="I485" s="31">
        <f>'Ch4 expenditure drivers'!R721</f>
        <v>2.0868062543226863E-2</v>
      </c>
      <c r="J485" s="31">
        <f>'Ch4 expenditure drivers'!S721</f>
        <v>2.066095137701637E-2</v>
      </c>
      <c r="K485" s="31">
        <f>'Ch4 expenditure drivers'!T721</f>
        <v>2.045465583587585E-2</v>
      </c>
      <c r="L485" s="460">
        <f>'Ch4 expenditure drivers'!U721</f>
        <v>2.0249186024675535E-2</v>
      </c>
      <c r="N485" s="399">
        <f>'Ch4 expenditure drivers'!W721</f>
        <v>-8.4450000839044609E-4</v>
      </c>
      <c r="O485" s="25">
        <f>'Ch4 expenditure drivers'!X721</f>
        <v>0</v>
      </c>
      <c r="P485" s="25">
        <f>'Ch4 expenditure drivers'!Y721</f>
        <v>0</v>
      </c>
      <c r="Q485" s="25">
        <f>'Ch4 expenditure drivers'!Z721</f>
        <v>0</v>
      </c>
      <c r="R485" s="25">
        <f>'Ch4 expenditure drivers'!AA721</f>
        <v>0</v>
      </c>
      <c r="S485" s="25">
        <f>'Ch4 expenditure drivers'!AB721</f>
        <v>0</v>
      </c>
      <c r="T485" s="25">
        <f>'Ch4 expenditure drivers'!AC721</f>
        <v>0</v>
      </c>
      <c r="U485" s="464"/>
    </row>
    <row r="486" spans="2:22">
      <c r="B486" s="1200"/>
      <c r="D486" s="187" t="s">
        <v>169</v>
      </c>
      <c r="E486" s="459">
        <f>'Ch4 expenditure drivers'!N722</f>
        <v>9.6661785428823883</v>
      </c>
      <c r="F486" s="31">
        <f>'Ch4 expenditure drivers'!O722</f>
        <v>9.5896956160873419</v>
      </c>
      <c r="G486" s="31">
        <f>'Ch4 expenditure drivers'!P722</f>
        <v>9.5109519106321905</v>
      </c>
      <c r="H486" s="31">
        <f>'Ch4 expenditure drivers'!Q722</f>
        <v>9.4180924284541021</v>
      </c>
      <c r="I486" s="31">
        <f>'Ch4 expenditure drivers'!R722</f>
        <v>9.3876077687843615</v>
      </c>
      <c r="J486" s="31">
        <f>'Ch4 expenditure drivers'!S722</f>
        <v>9.178636277415249</v>
      </c>
      <c r="K486" s="31">
        <f>'Ch4 expenditure drivers'!T722</f>
        <v>8.9819325745833485</v>
      </c>
      <c r="L486" s="460">
        <f>'Ch4 expenditure drivers'!U722</f>
        <v>8.766637983632048</v>
      </c>
      <c r="N486" s="399">
        <f>'Ch4 expenditure drivers'!W722</f>
        <v>2.8724312103968948</v>
      </c>
      <c r="O486" s="25">
        <f>'Ch4 expenditure drivers'!X722</f>
        <v>6.9428587298028566</v>
      </c>
      <c r="P486" s="25">
        <f>'Ch4 expenditure drivers'!Y722</f>
        <v>5.9157091981176189</v>
      </c>
      <c r="Q486" s="25">
        <f>'Ch4 expenditure drivers'!Z722</f>
        <v>5.037446946938668</v>
      </c>
      <c r="R486" s="25">
        <f>'Ch4 expenditure drivers'!AA722</f>
        <v>5.419275644114915</v>
      </c>
      <c r="S486" s="25">
        <f>'Ch4 expenditure drivers'!AB722</f>
        <v>5.4663783455013943</v>
      </c>
      <c r="T486" s="25">
        <f>'Ch4 expenditure drivers'!AC722</f>
        <v>7.1232128079946015</v>
      </c>
      <c r="U486" s="464"/>
    </row>
    <row r="487" spans="2:22">
      <c r="B487" s="1200"/>
      <c r="D487" s="187" t="s">
        <v>170</v>
      </c>
      <c r="E487" s="459">
        <f>'Ch4 expenditure drivers'!N723</f>
        <v>20.298852885211534</v>
      </c>
      <c r="F487" s="31">
        <f>'Ch4 expenditure drivers'!O723</f>
        <v>20.215950239820856</v>
      </c>
      <c r="G487" s="31">
        <f>'Ch4 expenditure drivers'!P723</f>
        <v>20.219800921589798</v>
      </c>
      <c r="H487" s="31">
        <f>'Ch4 expenditure drivers'!Q723</f>
        <v>20.02052021972305</v>
      </c>
      <c r="I487" s="31">
        <f>'Ch4 expenditure drivers'!R723</f>
        <v>19.781887106228456</v>
      </c>
      <c r="J487" s="31">
        <f>'Ch4 expenditure drivers'!S723</f>
        <v>19.319525713772414</v>
      </c>
      <c r="K487" s="31">
        <f>'Ch4 expenditure drivers'!T723</f>
        <v>18.888431644499168</v>
      </c>
      <c r="L487" s="460">
        <f>'Ch4 expenditure drivers'!U723</f>
        <v>18.429944044509675</v>
      </c>
      <c r="N487" s="399">
        <f>'Ch4 expenditure drivers'!W723</f>
        <v>7.8817890471145224</v>
      </c>
      <c r="O487" s="25">
        <f>'Ch4 expenditure drivers'!X723</f>
        <v>12.648345142959805</v>
      </c>
      <c r="P487" s="25">
        <f>'Ch4 expenditure drivers'!Y723</f>
        <v>10.804661179078439</v>
      </c>
      <c r="Q487" s="25">
        <f>'Ch4 expenditure drivers'!Z723</f>
        <v>10.920045239892485</v>
      </c>
      <c r="R487" s="25">
        <f>'Ch4 expenditure drivers'!AA723</f>
        <v>14.486899926259261</v>
      </c>
      <c r="S487" s="25">
        <f>'Ch4 expenditure drivers'!AB723</f>
        <v>10.802782025002855</v>
      </c>
      <c r="T487" s="25">
        <f>'Ch4 expenditure drivers'!AC723</f>
        <v>12.459990018666339</v>
      </c>
      <c r="U487" s="464"/>
    </row>
    <row r="488" spans="2:22">
      <c r="B488" s="1200"/>
      <c r="D488" s="187" t="s">
        <v>171</v>
      </c>
      <c r="E488" s="459">
        <f>'Ch4 expenditure drivers'!N724</f>
        <v>8.4563014177895983</v>
      </c>
      <c r="F488" s="31">
        <f>'Ch4 expenditure drivers'!O724</f>
        <v>8.9595008982584279</v>
      </c>
      <c r="G488" s="31">
        <f>'Ch4 expenditure drivers'!P724</f>
        <v>9.3286806184196873</v>
      </c>
      <c r="H488" s="31">
        <f>'Ch4 expenditure drivers'!Q724</f>
        <v>8.2984559597449632</v>
      </c>
      <c r="I488" s="31">
        <f>'Ch4 expenditure drivers'!R724</f>
        <v>8.7868774853000993</v>
      </c>
      <c r="J488" s="31">
        <f>'Ch4 expenditure drivers'!S724</f>
        <v>9.1429443935182793</v>
      </c>
      <c r="K488" s="31">
        <f>'Ch4 expenditure drivers'!T724</f>
        <v>8.1431990960802061</v>
      </c>
      <c r="L488" s="460">
        <f>'Ch4 expenditure drivers'!U724</f>
        <v>8.6113601157364084</v>
      </c>
      <c r="N488" s="399">
        <f>'Ch4 expenditure drivers'!W724</f>
        <v>3.7557856399968497</v>
      </c>
      <c r="O488" s="25">
        <f>'Ch4 expenditure drivers'!X724</f>
        <v>3.8500760239530769</v>
      </c>
      <c r="P488" s="25">
        <f>'Ch4 expenditure drivers'!Y724</f>
        <v>4.0121084254483286</v>
      </c>
      <c r="Q488" s="25">
        <f>'Ch4 expenditure drivers'!Z724</f>
        <v>3.6633182748479989</v>
      </c>
      <c r="R488" s="25">
        <f>'Ch4 expenditure drivers'!AA724</f>
        <v>5.1875055526223113</v>
      </c>
      <c r="S488" s="25">
        <f>'Ch4 expenditure drivers'!AB724</f>
        <v>4.9963826697956826</v>
      </c>
      <c r="T488" s="25">
        <f>'Ch4 expenditure drivers'!AC724</f>
        <v>5.3029252269618903</v>
      </c>
      <c r="U488" s="464"/>
    </row>
    <row r="489" spans="2:22">
      <c r="B489" s="1200"/>
      <c r="D489" s="187" t="s">
        <v>172</v>
      </c>
      <c r="E489" s="459">
        <f>'Ch4 expenditure drivers'!N725</f>
        <v>13.628293386253077</v>
      </c>
      <c r="F489" s="31">
        <f>'Ch4 expenditure drivers'!O725</f>
        <v>13.916606607141132</v>
      </c>
      <c r="G489" s="31">
        <f>'Ch4 expenditure drivers'!P725</f>
        <v>13.270366125874341</v>
      </c>
      <c r="H489" s="31">
        <f>'Ch4 expenditure drivers'!Q725</f>
        <v>13.340020491256677</v>
      </c>
      <c r="I489" s="31">
        <f>'Ch4 expenditure drivers'!R725</f>
        <v>13.421025464190928</v>
      </c>
      <c r="J489" s="31">
        <f>'Ch4 expenditure drivers'!S725</f>
        <v>13.019364124357736</v>
      </c>
      <c r="K489" s="31">
        <f>'Ch4 expenditure drivers'!T725</f>
        <v>12.920608461134041</v>
      </c>
      <c r="L489" s="460">
        <f>'Ch4 expenditure drivers'!U725</f>
        <v>13.17115425157083</v>
      </c>
      <c r="N489" s="399">
        <f>'Ch4 expenditure drivers'!W725</f>
        <v>13.206237323252008</v>
      </c>
      <c r="O489" s="25">
        <f>'Ch4 expenditure drivers'!X725</f>
        <v>13.369812060657196</v>
      </c>
      <c r="P489" s="25">
        <f>'Ch4 expenditure drivers'!Y725</f>
        <v>10.994986301206035</v>
      </c>
      <c r="Q489" s="25">
        <f>'Ch4 expenditure drivers'!Z725</f>
        <v>10.206173347965324</v>
      </c>
      <c r="R489" s="25">
        <f>'Ch4 expenditure drivers'!AA725</f>
        <v>11.558352771023873</v>
      </c>
      <c r="S489" s="25">
        <f>'Ch4 expenditure drivers'!AB725</f>
        <v>9.7197263003186212</v>
      </c>
      <c r="T489" s="25">
        <f>'Ch4 expenditure drivers'!AC725</f>
        <v>10.706592090341562</v>
      </c>
      <c r="U489" s="464"/>
    </row>
    <row r="490" spans="2:22">
      <c r="B490" s="1200"/>
      <c r="D490" s="187" t="s">
        <v>28</v>
      </c>
      <c r="E490" s="459">
        <f>'Ch4 expenditure drivers'!N726</f>
        <v>9.8548240362453967</v>
      </c>
      <c r="F490" s="31">
        <f>'Ch4 expenditure drivers'!O726</f>
        <v>9.6989764974493529</v>
      </c>
      <c r="G490" s="31">
        <f>'Ch4 expenditure drivers'!P726</f>
        <v>9.5393953269457263</v>
      </c>
      <c r="H490" s="31">
        <f>'Ch4 expenditure drivers'!Q726</f>
        <v>9.3790336516896957</v>
      </c>
      <c r="I490" s="31">
        <f>'Ch4 expenditure drivers'!R726</f>
        <v>9.2246966810033122</v>
      </c>
      <c r="J490" s="31">
        <f>'Ch4 expenditure drivers'!S726</f>
        <v>9.0744176465362205</v>
      </c>
      <c r="K490" s="31">
        <f>'Ch4 expenditure drivers'!T726</f>
        <v>8.9250315246890519</v>
      </c>
      <c r="L490" s="460">
        <f>'Ch4 expenditure drivers'!U726</f>
        <v>8.7724856567167997</v>
      </c>
      <c r="N490" s="399">
        <f>'Ch4 expenditure drivers'!W726</f>
        <v>8.0082409176935858</v>
      </c>
      <c r="O490" s="25">
        <f>'Ch4 expenditure drivers'!X726</f>
        <v>7.8009022374997468</v>
      </c>
      <c r="P490" s="25">
        <f>'Ch4 expenditure drivers'!Y726</f>
        <v>8.1089434451464708</v>
      </c>
      <c r="Q490" s="25">
        <f>'Ch4 expenditure drivers'!Z726</f>
        <v>8.7567247674778823</v>
      </c>
      <c r="R490" s="25">
        <f>'Ch4 expenditure drivers'!AA726</f>
        <v>8.2331960685747418</v>
      </c>
      <c r="S490" s="25">
        <f>'Ch4 expenditure drivers'!AB726</f>
        <v>7.6394259518643457</v>
      </c>
      <c r="T490" s="25">
        <f>'Ch4 expenditure drivers'!AC726</f>
        <v>8.0388984800000003</v>
      </c>
      <c r="U490" s="464"/>
    </row>
    <row r="491" spans="2:22">
      <c r="B491" s="1200"/>
      <c r="D491" s="187" t="s">
        <v>173</v>
      </c>
      <c r="E491" s="459">
        <f>'Ch4 expenditure drivers'!N727</f>
        <v>18.834574981575297</v>
      </c>
      <c r="F491" s="31">
        <f>'Ch4 expenditure drivers'!O727</f>
        <v>17.961536161264593</v>
      </c>
      <c r="G491" s="31">
        <f>'Ch4 expenditure drivers'!P727</f>
        <v>17.326618918338475</v>
      </c>
      <c r="H491" s="31">
        <f>'Ch4 expenditure drivers'!Q727</f>
        <v>15.694827852529279</v>
      </c>
      <c r="I491" s="31">
        <f>'Ch4 expenditure drivers'!R727</f>
        <v>15.454257546580147</v>
      </c>
      <c r="J491" s="31">
        <f>'Ch4 expenditure drivers'!S727</f>
        <v>15.347983079297519</v>
      </c>
      <c r="K491" s="31">
        <f>'Ch4 expenditure drivers'!T727</f>
        <v>15.116585621246953</v>
      </c>
      <c r="L491" s="460">
        <f>'Ch4 expenditure drivers'!U727</f>
        <v>14.886857033866008</v>
      </c>
      <c r="N491" s="399">
        <f>'Ch4 expenditure drivers'!W727</f>
        <v>21.606778513142121</v>
      </c>
      <c r="O491" s="25">
        <f>'Ch4 expenditure drivers'!X727</f>
        <v>23.592025650289905</v>
      </c>
      <c r="P491" s="25">
        <f>'Ch4 expenditure drivers'!Y727</f>
        <v>11.971279890405716</v>
      </c>
      <c r="Q491" s="25">
        <f>'Ch4 expenditure drivers'!Z727</f>
        <v>13.672898402817651</v>
      </c>
      <c r="R491" s="25">
        <f>'Ch4 expenditure drivers'!AA727</f>
        <v>23.457530117131896</v>
      </c>
      <c r="S491" s="25">
        <f>'Ch4 expenditure drivers'!AB727</f>
        <v>21.630439936174685</v>
      </c>
      <c r="T491" s="25">
        <f>'Ch4 expenditure drivers'!AC727</f>
        <v>15.647180349999999</v>
      </c>
      <c r="U491" s="464"/>
    </row>
    <row r="492" spans="2:22" ht="12" thickBot="1">
      <c r="B492" s="1200"/>
      <c r="D492" s="456" t="s">
        <v>174</v>
      </c>
      <c r="E492" s="461">
        <f t="shared" ref="E492:L492" si="15">SUM(E478:E491)</f>
        <v>141.1750350047204</v>
      </c>
      <c r="F492" s="462">
        <f t="shared" si="15"/>
        <v>140.55895724562635</v>
      </c>
      <c r="G492" s="462">
        <f t="shared" si="15"/>
        <v>139.23710941723866</v>
      </c>
      <c r="H492" s="462">
        <f t="shared" si="15"/>
        <v>136.29223716333109</v>
      </c>
      <c r="I492" s="462">
        <f t="shared" si="15"/>
        <v>136.5869599601393</v>
      </c>
      <c r="J492" s="462">
        <f t="shared" si="15"/>
        <v>136.00978076697118</v>
      </c>
      <c r="K492" s="462">
        <f t="shared" si="15"/>
        <v>134.03287688480302</v>
      </c>
      <c r="L492" s="463">
        <f t="shared" si="15"/>
        <v>133.76166774808991</v>
      </c>
      <c r="M492" s="1"/>
      <c r="N492" s="401">
        <f t="shared" ref="N492:S492" si="16">SUM(N478:N491)</f>
        <v>136.33297561033606</v>
      </c>
      <c r="O492" s="402">
        <f t="shared" si="16"/>
        <v>141.55546918809964</v>
      </c>
      <c r="P492" s="843">
        <f t="shared" si="16"/>
        <v>123.82369815412343</v>
      </c>
      <c r="Q492" s="843">
        <f t="shared" si="16"/>
        <v>113.61759313398422</v>
      </c>
      <c r="R492" s="843">
        <f t="shared" si="16"/>
        <v>132.05801881026082</v>
      </c>
      <c r="S492" s="843">
        <f t="shared" si="16"/>
        <v>125.60098193678337</v>
      </c>
      <c r="T492" s="843">
        <f t="shared" ref="T492" si="17">SUM(T478:T491)</f>
        <v>119.19413260043267</v>
      </c>
      <c r="U492" s="465"/>
      <c r="V492" s="1"/>
    </row>
    <row r="493" spans="2:22">
      <c r="B493" s="1200"/>
      <c r="O493" s="9"/>
    </row>
    <row r="494" spans="2:22" ht="12" thickBot="1">
      <c r="B494" s="1200"/>
      <c r="D494" s="1" t="s">
        <v>295</v>
      </c>
      <c r="M494" s="9"/>
      <c r="O494" s="9"/>
    </row>
    <row r="495" spans="2:22">
      <c r="B495" s="1200"/>
      <c r="E495" s="1179" t="s">
        <v>291</v>
      </c>
      <c r="F495" s="1180"/>
      <c r="G495" s="1180"/>
      <c r="H495" s="1180"/>
      <c r="I495" s="1180"/>
      <c r="J495" s="1180"/>
      <c r="K495" s="1180"/>
      <c r="L495" s="1181"/>
      <c r="N495" s="1179" t="s">
        <v>292</v>
      </c>
      <c r="O495" s="1180"/>
      <c r="P495" s="1180"/>
      <c r="Q495" s="1180"/>
      <c r="R495" s="1180"/>
      <c r="S495" s="1180"/>
      <c r="T495" s="1180"/>
      <c r="U495" s="1181"/>
    </row>
    <row r="496" spans="2:22" ht="12" thickBot="1">
      <c r="B496" s="1200"/>
      <c r="E496" s="457" t="s">
        <v>137</v>
      </c>
      <c r="F496" s="78" t="s">
        <v>138</v>
      </c>
      <c r="G496" s="78" t="s">
        <v>139</v>
      </c>
      <c r="H496" s="78" t="s">
        <v>140</v>
      </c>
      <c r="I496" s="78" t="s">
        <v>141</v>
      </c>
      <c r="J496" s="78" t="s">
        <v>126</v>
      </c>
      <c r="K496" s="78" t="s">
        <v>142</v>
      </c>
      <c r="L496" s="458" t="s">
        <v>143</v>
      </c>
      <c r="N496" s="457" t="s">
        <v>137</v>
      </c>
      <c r="O496" s="78" t="s">
        <v>138</v>
      </c>
      <c r="P496" s="78" t="s">
        <v>139</v>
      </c>
      <c r="Q496" s="78" t="s">
        <v>140</v>
      </c>
      <c r="R496" s="78" t="s">
        <v>141</v>
      </c>
      <c r="S496" s="78" t="s">
        <v>126</v>
      </c>
      <c r="T496" s="78" t="s">
        <v>142</v>
      </c>
      <c r="U496" s="458" t="s">
        <v>143</v>
      </c>
    </row>
    <row r="497" spans="2:22">
      <c r="B497" s="1200"/>
      <c r="D497" s="186" t="s">
        <v>161</v>
      </c>
      <c r="E497" s="459">
        <f t="shared" ref="E497:L510" si="18">SUM(E478,E459,E440,E421)</f>
        <v>8.9701683943205026</v>
      </c>
      <c r="F497" s="31">
        <f t="shared" si="18"/>
        <v>8.6241667408576514</v>
      </c>
      <c r="G497" s="31">
        <f t="shared" si="18"/>
        <v>8.70244588350503</v>
      </c>
      <c r="H497" s="31">
        <f t="shared" si="18"/>
        <v>8.4787323298687465</v>
      </c>
      <c r="I497" s="31">
        <f t="shared" si="18"/>
        <v>8.0204796713637947</v>
      </c>
      <c r="J497" s="31">
        <f t="shared" si="18"/>
        <v>8.7361654828746929</v>
      </c>
      <c r="K497" s="31">
        <f t="shared" si="18"/>
        <v>8.3441895191194053</v>
      </c>
      <c r="L497" s="460">
        <f t="shared" si="18"/>
        <v>8.1784175847752039</v>
      </c>
      <c r="N497" s="399">
        <f t="shared" ref="N497:O510" si="19">SUM(N478,N459,N440,N421)</f>
        <v>4.356645173510838</v>
      </c>
      <c r="O497" s="25">
        <f t="shared" si="19"/>
        <v>8.4797710956857646</v>
      </c>
      <c r="P497" s="25">
        <f t="shared" ref="P497:Q510" si="20">SUM(P478,P459,P440,P421)</f>
        <v>8.5233390293046849</v>
      </c>
      <c r="Q497" s="25">
        <f t="shared" si="20"/>
        <v>8.2259490744574464</v>
      </c>
      <c r="R497" s="25">
        <f t="shared" ref="R497:S510" si="21">SUM(R478,R459,R440,R421)</f>
        <v>8.6657216983892518</v>
      </c>
      <c r="S497" s="25">
        <f t="shared" si="21"/>
        <v>7.7942876443117468</v>
      </c>
      <c r="T497" s="25">
        <f t="shared" ref="T497" si="22">SUM(T478,T459,T440,T421)</f>
        <v>5.9998309543144241</v>
      </c>
      <c r="U497" s="464"/>
    </row>
    <row r="498" spans="2:22">
      <c r="B498" s="1200"/>
      <c r="D498" s="187" t="s">
        <v>162</v>
      </c>
      <c r="E498" s="459">
        <f t="shared" si="18"/>
        <v>11.374416536048255</v>
      </c>
      <c r="F498" s="31">
        <f t="shared" si="18"/>
        <v>10.603881955930021</v>
      </c>
      <c r="G498" s="31">
        <f t="shared" si="18"/>
        <v>8.6258514963716646</v>
      </c>
      <c r="H498" s="31">
        <f t="shared" si="18"/>
        <v>8.4233370908656795</v>
      </c>
      <c r="I498" s="31">
        <f t="shared" si="18"/>
        <v>8.6383197968493803</v>
      </c>
      <c r="J498" s="31">
        <f t="shared" si="18"/>
        <v>7.3965411664264069</v>
      </c>
      <c r="K498" s="31">
        <f t="shared" si="18"/>
        <v>7.146335420976655</v>
      </c>
      <c r="L498" s="460">
        <f t="shared" si="18"/>
        <v>7.0823087039583079</v>
      </c>
      <c r="N498" s="399">
        <f t="shared" si="19"/>
        <v>7.6232242759647821</v>
      </c>
      <c r="O498" s="25">
        <f t="shared" si="19"/>
        <v>7.9471300623719383</v>
      </c>
      <c r="P498" s="25">
        <f t="shared" si="20"/>
        <v>6.9688541318928596</v>
      </c>
      <c r="Q498" s="25">
        <f t="shared" si="20"/>
        <v>10.360788861675712</v>
      </c>
      <c r="R498" s="25">
        <f t="shared" si="21"/>
        <v>9.3177601797307847</v>
      </c>
      <c r="S498" s="25">
        <f t="shared" si="21"/>
        <v>7.7418275881017964</v>
      </c>
      <c r="T498" s="25">
        <f t="shared" ref="T498" si="23">SUM(T479,T460,T441,T422)</f>
        <v>6.0060612949227936</v>
      </c>
      <c r="U498" s="464"/>
    </row>
    <row r="499" spans="2:22">
      <c r="B499" s="1200"/>
      <c r="D499" s="187" t="s">
        <v>163</v>
      </c>
      <c r="E499" s="459">
        <f t="shared" si="18"/>
        <v>14.380997546223684</v>
      </c>
      <c r="F499" s="31">
        <f t="shared" si="18"/>
        <v>12.868197866933539</v>
      </c>
      <c r="G499" s="31">
        <f t="shared" si="18"/>
        <v>12.673609844314777</v>
      </c>
      <c r="H499" s="31">
        <f t="shared" si="18"/>
        <v>11.237522905332069</v>
      </c>
      <c r="I499" s="31">
        <f t="shared" si="18"/>
        <v>11.335086987042068</v>
      </c>
      <c r="J499" s="31">
        <f t="shared" si="18"/>
        <v>9.1219551117497435</v>
      </c>
      <c r="K499" s="31">
        <f t="shared" si="18"/>
        <v>8.6570422440360026</v>
      </c>
      <c r="L499" s="460">
        <f t="shared" si="18"/>
        <v>8.834054758663493</v>
      </c>
      <c r="N499" s="399">
        <f t="shared" si="19"/>
        <v>14.59673364506066</v>
      </c>
      <c r="O499" s="25">
        <f t="shared" si="19"/>
        <v>12.148028399920964</v>
      </c>
      <c r="P499" s="25">
        <f t="shared" si="20"/>
        <v>13.630202637595863</v>
      </c>
      <c r="Q499" s="25">
        <f t="shared" si="20"/>
        <v>11.79015011529216</v>
      </c>
      <c r="R499" s="25">
        <f t="shared" si="21"/>
        <v>10.294192459599692</v>
      </c>
      <c r="S499" s="25">
        <f t="shared" si="21"/>
        <v>9.558194988833252</v>
      </c>
      <c r="T499" s="25">
        <f t="shared" ref="T499" si="24">SUM(T480,T461,T442,T423)</f>
        <v>9.2930576966859579</v>
      </c>
      <c r="U499" s="464"/>
    </row>
    <row r="500" spans="2:22">
      <c r="B500" s="1200"/>
      <c r="D500" s="187" t="s">
        <v>164</v>
      </c>
      <c r="E500" s="459">
        <f t="shared" si="18"/>
        <v>10.737356728572536</v>
      </c>
      <c r="F500" s="31">
        <f t="shared" si="18"/>
        <v>11.137365083051215</v>
      </c>
      <c r="G500" s="31">
        <f t="shared" si="18"/>
        <v>11.616774598363856</v>
      </c>
      <c r="H500" s="31">
        <f t="shared" si="18"/>
        <v>11.679174464371084</v>
      </c>
      <c r="I500" s="31">
        <f t="shared" si="18"/>
        <v>11.539341297625187</v>
      </c>
      <c r="J500" s="31">
        <f t="shared" si="18"/>
        <v>11.608308861467959</v>
      </c>
      <c r="K500" s="31">
        <f t="shared" si="18"/>
        <v>11.323073301998306</v>
      </c>
      <c r="L500" s="460">
        <f t="shared" si="18"/>
        <v>11.095232614060071</v>
      </c>
      <c r="N500" s="399">
        <f t="shared" si="19"/>
        <v>18.829980643942751</v>
      </c>
      <c r="O500" s="25">
        <f t="shared" si="19"/>
        <v>23.260291078975968</v>
      </c>
      <c r="P500" s="25">
        <f t="shared" si="20"/>
        <v>20.129265440074498</v>
      </c>
      <c r="Q500" s="25">
        <f t="shared" si="20"/>
        <v>17.111229801488133</v>
      </c>
      <c r="R500" s="25">
        <f t="shared" si="21"/>
        <v>14.532169101506323</v>
      </c>
      <c r="S500" s="25">
        <f t="shared" si="21"/>
        <v>14.338990600577228</v>
      </c>
      <c r="T500" s="25">
        <f t="shared" ref="T500" si="25">SUM(T481,T462,T443,T424)</f>
        <v>14.0741</v>
      </c>
      <c r="U500" s="464"/>
    </row>
    <row r="501" spans="2:22">
      <c r="B501" s="1200"/>
      <c r="D501" s="187" t="s">
        <v>165</v>
      </c>
      <c r="E501" s="459">
        <f t="shared" si="18"/>
        <v>10.349825133434726</v>
      </c>
      <c r="F501" s="31">
        <f t="shared" si="18"/>
        <v>11.516191644781514</v>
      </c>
      <c r="G501" s="31">
        <f t="shared" si="18"/>
        <v>11.086446664204363</v>
      </c>
      <c r="H501" s="31">
        <f t="shared" si="18"/>
        <v>10.269032302928203</v>
      </c>
      <c r="I501" s="31">
        <f t="shared" si="18"/>
        <v>9.9320902906886701</v>
      </c>
      <c r="J501" s="31">
        <f t="shared" si="18"/>
        <v>9.5818036572642651</v>
      </c>
      <c r="K501" s="31">
        <f t="shared" si="18"/>
        <v>9.3894033866416784</v>
      </c>
      <c r="L501" s="460">
        <f t="shared" si="18"/>
        <v>9.0275496399868569</v>
      </c>
      <c r="N501" s="399">
        <f t="shared" si="19"/>
        <v>14.90621845100662</v>
      </c>
      <c r="O501" s="25">
        <f t="shared" si="19"/>
        <v>13.593787926427968</v>
      </c>
      <c r="P501" s="25">
        <f t="shared" si="20"/>
        <v>17.442563908653074</v>
      </c>
      <c r="Q501" s="25">
        <f t="shared" si="20"/>
        <v>11.906042833947506</v>
      </c>
      <c r="R501" s="25">
        <f t="shared" si="21"/>
        <v>12.908942728167297</v>
      </c>
      <c r="S501" s="25">
        <f t="shared" si="21"/>
        <v>15.459263907236368</v>
      </c>
      <c r="T501" s="25">
        <f t="shared" ref="T501" si="26">SUM(T482,T463,T444,T425)</f>
        <v>9.9573000000000018</v>
      </c>
      <c r="U501" s="464"/>
    </row>
    <row r="502" spans="2:22">
      <c r="B502" s="1200"/>
      <c r="D502" s="187" t="s">
        <v>166</v>
      </c>
      <c r="E502" s="459">
        <f t="shared" si="18"/>
        <v>14.950219784395996</v>
      </c>
      <c r="F502" s="31">
        <f t="shared" si="18"/>
        <v>13.165697621919056</v>
      </c>
      <c r="G502" s="31">
        <f t="shared" si="18"/>
        <v>11.961044270519832</v>
      </c>
      <c r="H502" s="31">
        <f t="shared" si="18"/>
        <v>10.705671445451102</v>
      </c>
      <c r="I502" s="31">
        <f t="shared" si="18"/>
        <v>10.791056936341487</v>
      </c>
      <c r="J502" s="31">
        <f t="shared" si="18"/>
        <v>10.578037840199917</v>
      </c>
      <c r="K502" s="31">
        <f t="shared" si="18"/>
        <v>10.760029851821708</v>
      </c>
      <c r="L502" s="460">
        <f t="shared" si="18"/>
        <v>10.92347254534681</v>
      </c>
      <c r="N502" s="399">
        <f t="shared" si="19"/>
        <v>13.651670001117822</v>
      </c>
      <c r="O502" s="25">
        <f t="shared" si="19"/>
        <v>11.541844452662723</v>
      </c>
      <c r="P502" s="25">
        <f t="shared" si="20"/>
        <v>10.948390800558732</v>
      </c>
      <c r="Q502" s="25">
        <f t="shared" si="20"/>
        <v>10.1490876734861</v>
      </c>
      <c r="R502" s="25">
        <f t="shared" si="21"/>
        <v>10.347238423902946</v>
      </c>
      <c r="S502" s="25">
        <f t="shared" si="21"/>
        <v>9.6853767655787397</v>
      </c>
      <c r="T502" s="25">
        <f t="shared" ref="T502" si="27">SUM(T483,T464,T445,T426)</f>
        <v>9.5823</v>
      </c>
      <c r="U502" s="464"/>
    </row>
    <row r="503" spans="2:22">
      <c r="B503" s="1200"/>
      <c r="D503" s="187" t="s">
        <v>167</v>
      </c>
      <c r="E503" s="459">
        <f t="shared" si="18"/>
        <v>14.428253876475578</v>
      </c>
      <c r="F503" s="31">
        <f t="shared" si="18"/>
        <v>14.775120101357654</v>
      </c>
      <c r="G503" s="31">
        <f t="shared" si="18"/>
        <v>15.070049404103361</v>
      </c>
      <c r="H503" s="31">
        <f t="shared" si="18"/>
        <v>15.347422539596451</v>
      </c>
      <c r="I503" s="31">
        <f t="shared" si="18"/>
        <v>15.126195548093811</v>
      </c>
      <c r="J503" s="31">
        <f t="shared" si="18"/>
        <v>15.448483482216744</v>
      </c>
      <c r="K503" s="31">
        <f t="shared" si="18"/>
        <v>15.107883483576202</v>
      </c>
      <c r="L503" s="460">
        <f t="shared" si="18"/>
        <v>14.952399405595449</v>
      </c>
      <c r="N503" s="399">
        <f t="shared" si="19"/>
        <v>18.925211185932397</v>
      </c>
      <c r="O503" s="25">
        <f t="shared" si="19"/>
        <v>16.80139535835044</v>
      </c>
      <c r="P503" s="25">
        <f t="shared" si="20"/>
        <v>17.179519111120811</v>
      </c>
      <c r="Q503" s="25">
        <f t="shared" si="20"/>
        <v>14.488811950244964</v>
      </c>
      <c r="R503" s="25">
        <f t="shared" si="21"/>
        <v>15.440242317352618</v>
      </c>
      <c r="S503" s="25">
        <f t="shared" si="21"/>
        <v>13.121826504672518</v>
      </c>
      <c r="T503" s="25">
        <f t="shared" ref="T503" si="28">SUM(T484,T465,T446,T427)</f>
        <v>12.9224</v>
      </c>
      <c r="U503" s="464"/>
    </row>
    <row r="504" spans="2:22">
      <c r="B504" s="1200"/>
      <c r="D504" s="187" t="s">
        <v>168</v>
      </c>
      <c r="E504" s="459">
        <f t="shared" si="18"/>
        <v>1.1945787468542948</v>
      </c>
      <c r="F504" s="31">
        <f t="shared" si="18"/>
        <v>1.8366825761593089</v>
      </c>
      <c r="G504" s="31">
        <f t="shared" si="18"/>
        <v>0.9911700942842796</v>
      </c>
      <c r="H504" s="31">
        <f t="shared" si="18"/>
        <v>0.92093451862707298</v>
      </c>
      <c r="I504" s="31">
        <f t="shared" si="18"/>
        <v>0.88253094898098994</v>
      </c>
      <c r="J504" s="31">
        <f t="shared" si="18"/>
        <v>0.78271314234133649</v>
      </c>
      <c r="K504" s="31">
        <f t="shared" si="18"/>
        <v>0.70682887060802113</v>
      </c>
      <c r="L504" s="460">
        <f t="shared" si="18"/>
        <v>0.66819327590307198</v>
      </c>
      <c r="N504" s="399">
        <f t="shared" si="19"/>
        <v>0.23274790690749295</v>
      </c>
      <c r="O504" s="25">
        <f t="shared" si="19"/>
        <v>0.73251209151274232</v>
      </c>
      <c r="P504" s="25">
        <f t="shared" si="20"/>
        <v>1.3767111133845533</v>
      </c>
      <c r="Q504" s="25">
        <f t="shared" si="20"/>
        <v>1.2540859713435373</v>
      </c>
      <c r="R504" s="25">
        <f t="shared" si="21"/>
        <v>0.70433843188944234</v>
      </c>
      <c r="S504" s="25">
        <f t="shared" si="21"/>
        <v>0.64813099709712541</v>
      </c>
      <c r="T504" s="25">
        <f t="shared" ref="T504" si="29">SUM(T485,T466,T447,T428)</f>
        <v>0.51828226445413661</v>
      </c>
      <c r="U504" s="464"/>
    </row>
    <row r="505" spans="2:22">
      <c r="B505" s="1200"/>
      <c r="D505" s="187" t="s">
        <v>169</v>
      </c>
      <c r="E505" s="459">
        <f t="shared" si="18"/>
        <v>11.705637991847496</v>
      </c>
      <c r="F505" s="31">
        <f t="shared" si="18"/>
        <v>11.768241665682138</v>
      </c>
      <c r="G505" s="31">
        <f t="shared" si="18"/>
        <v>10.903790204930292</v>
      </c>
      <c r="H505" s="31">
        <f t="shared" si="18"/>
        <v>10.808236660896611</v>
      </c>
      <c r="I505" s="31">
        <f t="shared" si="18"/>
        <v>10.624542810911869</v>
      </c>
      <c r="J505" s="31">
        <f t="shared" si="18"/>
        <v>10.24785339679241</v>
      </c>
      <c r="K505" s="31">
        <f t="shared" si="18"/>
        <v>9.9330881767185932</v>
      </c>
      <c r="L505" s="460">
        <f t="shared" si="18"/>
        <v>9.6832202603584783</v>
      </c>
      <c r="N505" s="399">
        <f t="shared" si="19"/>
        <v>3.0217060849646407</v>
      </c>
      <c r="O505" s="25">
        <f t="shared" si="19"/>
        <v>7.6586251533205028</v>
      </c>
      <c r="P505" s="25">
        <f t="shared" si="20"/>
        <v>7.241390312318325</v>
      </c>
      <c r="Q505" s="25">
        <f t="shared" si="20"/>
        <v>8.5048646392361</v>
      </c>
      <c r="R505" s="25">
        <f t="shared" si="21"/>
        <v>6.819260667308364</v>
      </c>
      <c r="S505" s="25">
        <f t="shared" si="21"/>
        <v>6.8452015027553506</v>
      </c>
      <c r="T505" s="25">
        <f t="shared" ref="T505" si="30">SUM(T486,T467,T448,T429)</f>
        <v>8.7627853876209407</v>
      </c>
      <c r="U505" s="464"/>
    </row>
    <row r="506" spans="2:22">
      <c r="B506" s="1200"/>
      <c r="D506" s="187" t="s">
        <v>170</v>
      </c>
      <c r="E506" s="459">
        <f t="shared" si="18"/>
        <v>22.314633954007967</v>
      </c>
      <c r="F506" s="31">
        <f t="shared" si="18"/>
        <v>22.966940173615289</v>
      </c>
      <c r="G506" s="31">
        <f t="shared" si="18"/>
        <v>23.251289719058345</v>
      </c>
      <c r="H506" s="31">
        <f t="shared" si="18"/>
        <v>23.133853132871547</v>
      </c>
      <c r="I506" s="31">
        <f t="shared" si="18"/>
        <v>21.935169722683309</v>
      </c>
      <c r="J506" s="31">
        <f t="shared" si="18"/>
        <v>21.119197934393512</v>
      </c>
      <c r="K506" s="31">
        <f t="shared" si="18"/>
        <v>20.641651772548215</v>
      </c>
      <c r="L506" s="460">
        <f t="shared" si="18"/>
        <v>20.072221515268112</v>
      </c>
      <c r="N506" s="399">
        <f t="shared" si="19"/>
        <v>8.0721085230027505</v>
      </c>
      <c r="O506" s="25">
        <f t="shared" si="19"/>
        <v>13.704867444591031</v>
      </c>
      <c r="P506" s="25">
        <f t="shared" si="20"/>
        <v>11.718977468413664</v>
      </c>
      <c r="Q506" s="25">
        <f t="shared" si="20"/>
        <v>13.69585356548129</v>
      </c>
      <c r="R506" s="25">
        <f t="shared" si="21"/>
        <v>16.779030147279933</v>
      </c>
      <c r="S506" s="25">
        <f t="shared" si="21"/>
        <v>13.06463576239357</v>
      </c>
      <c r="T506" s="25">
        <f t="shared" ref="T506" si="31">SUM(T487,T468,T449,T430)</f>
        <v>14.553529249991993</v>
      </c>
      <c r="U506" s="464"/>
    </row>
    <row r="507" spans="2:22">
      <c r="B507" s="1200"/>
      <c r="D507" s="187" t="s">
        <v>171</v>
      </c>
      <c r="E507" s="459">
        <f t="shared" si="18"/>
        <v>8.9645972435451604</v>
      </c>
      <c r="F507" s="31">
        <f t="shared" si="18"/>
        <v>9.4494702368538679</v>
      </c>
      <c r="G507" s="31">
        <f t="shared" si="18"/>
        <v>9.7854499565660085</v>
      </c>
      <c r="H507" s="31">
        <f t="shared" si="18"/>
        <v>8.6826893703532306</v>
      </c>
      <c r="I507" s="31">
        <f t="shared" si="18"/>
        <v>9.1549892415180043</v>
      </c>
      <c r="J507" s="31">
        <f t="shared" si="18"/>
        <v>9.5020153187463681</v>
      </c>
      <c r="K507" s="31">
        <f t="shared" si="18"/>
        <v>8.4617898634723065</v>
      </c>
      <c r="L507" s="460">
        <f t="shared" si="18"/>
        <v>8.9113461106765754</v>
      </c>
      <c r="N507" s="399">
        <f t="shared" si="19"/>
        <v>4.3813102256169518</v>
      </c>
      <c r="O507" s="25">
        <f t="shared" si="19"/>
        <v>3.8576880745658713</v>
      </c>
      <c r="P507" s="25">
        <f t="shared" si="20"/>
        <v>4.0121084254483286</v>
      </c>
      <c r="Q507" s="25">
        <f t="shared" si="20"/>
        <v>3.6633182748479989</v>
      </c>
      <c r="R507" s="25">
        <f t="shared" si="21"/>
        <v>5.2131748937720745</v>
      </c>
      <c r="S507" s="25">
        <f t="shared" si="21"/>
        <v>5.0335767170269445</v>
      </c>
      <c r="T507" s="25">
        <f t="shared" ref="T507" si="32">SUM(T488,T469,T450,T431)</f>
        <v>5.3488203140664217</v>
      </c>
      <c r="U507" s="464"/>
    </row>
    <row r="508" spans="2:22">
      <c r="B508" s="1200"/>
      <c r="D508" s="187" t="s">
        <v>172</v>
      </c>
      <c r="E508" s="459">
        <f t="shared" si="18"/>
        <v>14.788960423959406</v>
      </c>
      <c r="F508" s="31">
        <f t="shared" si="18"/>
        <v>15.203493361267981</v>
      </c>
      <c r="G508" s="31">
        <f t="shared" si="18"/>
        <v>14.480068717041085</v>
      </c>
      <c r="H508" s="31">
        <f t="shared" si="18"/>
        <v>14.429091331559746</v>
      </c>
      <c r="I508" s="31">
        <f t="shared" si="18"/>
        <v>14.442087451753753</v>
      </c>
      <c r="J508" s="31">
        <f t="shared" si="18"/>
        <v>14.040247591088976</v>
      </c>
      <c r="K508" s="31">
        <f t="shared" si="18"/>
        <v>13.818082063470815</v>
      </c>
      <c r="L508" s="460">
        <f t="shared" si="18"/>
        <v>13.941749043659387</v>
      </c>
      <c r="N508" s="399">
        <f t="shared" si="19"/>
        <v>13.648591909566939</v>
      </c>
      <c r="O508" s="25">
        <f t="shared" si="19"/>
        <v>13.535295862140634</v>
      </c>
      <c r="P508" s="25">
        <f t="shared" si="20"/>
        <v>11.482222348421336</v>
      </c>
      <c r="Q508" s="25">
        <f t="shared" si="20"/>
        <v>10.453332084954182</v>
      </c>
      <c r="R508" s="25">
        <f t="shared" si="21"/>
        <v>11.885073608663845</v>
      </c>
      <c r="S508" s="25">
        <f t="shared" si="21"/>
        <v>9.8608146722678214</v>
      </c>
      <c r="T508" s="25">
        <f t="shared" ref="T508" si="33">SUM(T489,T470,T451,T432)</f>
        <v>10.935855843476116</v>
      </c>
      <c r="U508" s="464"/>
    </row>
    <row r="509" spans="2:22">
      <c r="B509" s="1200"/>
      <c r="D509" s="187" t="s">
        <v>28</v>
      </c>
      <c r="E509" s="459">
        <f t="shared" si="18"/>
        <v>10.80858044086089</v>
      </c>
      <c r="F509" s="31">
        <f t="shared" si="18"/>
        <v>10.640602094654573</v>
      </c>
      <c r="G509" s="31">
        <f t="shared" si="18"/>
        <v>10.448376046259082</v>
      </c>
      <c r="H509" s="31">
        <f t="shared" si="18"/>
        <v>10.290800346229965</v>
      </c>
      <c r="I509" s="31">
        <f t="shared" si="18"/>
        <v>9.7707304324007094</v>
      </c>
      <c r="J509" s="31">
        <f t="shared" si="18"/>
        <v>9.6151386472020484</v>
      </c>
      <c r="K509" s="31">
        <f t="shared" si="18"/>
        <v>9.4665612821801641</v>
      </c>
      <c r="L509" s="460">
        <f t="shared" si="18"/>
        <v>9.2989904422505241</v>
      </c>
      <c r="N509" s="399">
        <f t="shared" si="19"/>
        <v>10.073688227018151</v>
      </c>
      <c r="O509" s="25">
        <f t="shared" si="19"/>
        <v>8.490529521909691</v>
      </c>
      <c r="P509" s="25">
        <f t="shared" si="20"/>
        <v>8.2708898723146866</v>
      </c>
      <c r="Q509" s="25">
        <f t="shared" si="20"/>
        <v>9.6541435851846042</v>
      </c>
      <c r="R509" s="25">
        <f t="shared" si="21"/>
        <v>8.2718473453246268</v>
      </c>
      <c r="S509" s="25">
        <f t="shared" si="21"/>
        <v>7.6549483957589368</v>
      </c>
      <c r="T509" s="25">
        <f t="shared" ref="T509" si="34">SUM(T490,T471,T452,T433)</f>
        <v>8.0528177700000008</v>
      </c>
      <c r="U509" s="464"/>
    </row>
    <row r="510" spans="2:22">
      <c r="B510" s="1200"/>
      <c r="D510" s="187" t="s">
        <v>173</v>
      </c>
      <c r="E510" s="459">
        <f t="shared" si="18"/>
        <v>23.737760435513739</v>
      </c>
      <c r="F510" s="31">
        <f t="shared" si="18"/>
        <v>22.396477964379507</v>
      </c>
      <c r="G510" s="31">
        <f t="shared" si="18"/>
        <v>21.325954845993785</v>
      </c>
      <c r="H510" s="31">
        <f t="shared" si="18"/>
        <v>19.528142694513608</v>
      </c>
      <c r="I510" s="31">
        <f t="shared" si="18"/>
        <v>18.133018718472318</v>
      </c>
      <c r="J510" s="31">
        <f t="shared" si="18"/>
        <v>17.872403284070977</v>
      </c>
      <c r="K510" s="31">
        <f t="shared" si="18"/>
        <v>17.592014132142182</v>
      </c>
      <c r="L510" s="460">
        <f t="shared" si="18"/>
        <v>17.399168430812846</v>
      </c>
      <c r="N510" s="399">
        <f t="shared" si="19"/>
        <v>23.715283460469561</v>
      </c>
      <c r="O510" s="25">
        <f t="shared" si="19"/>
        <v>25.576127352078636</v>
      </c>
      <c r="P510" s="25">
        <f t="shared" si="20"/>
        <v>14.682589387141133</v>
      </c>
      <c r="Q510" s="25">
        <f t="shared" si="20"/>
        <v>14.835258333264797</v>
      </c>
      <c r="R510" s="25">
        <f t="shared" si="21"/>
        <v>29.959729325534397</v>
      </c>
      <c r="S510" s="25">
        <f t="shared" si="21"/>
        <v>25.366208900711904</v>
      </c>
      <c r="T510" s="25">
        <f t="shared" ref="T510" si="35">SUM(T491,T472,T453,T434)</f>
        <v>17.328874710000001</v>
      </c>
      <c r="U510" s="464"/>
    </row>
    <row r="511" spans="2:22" ht="12" thickBot="1">
      <c r="B511" s="1200"/>
      <c r="D511" s="456" t="s">
        <v>174</v>
      </c>
      <c r="E511" s="461">
        <f t="shared" ref="E511:L511" si="36">SUM(E497:E510)</f>
        <v>178.70598723606022</v>
      </c>
      <c r="F511" s="462">
        <f t="shared" si="36"/>
        <v>176.95252908744331</v>
      </c>
      <c r="G511" s="462">
        <f t="shared" si="36"/>
        <v>170.92232174551577</v>
      </c>
      <c r="H511" s="462">
        <f t="shared" si="36"/>
        <v>163.93464113346513</v>
      </c>
      <c r="I511" s="462">
        <f t="shared" si="36"/>
        <v>160.32563985472538</v>
      </c>
      <c r="J511" s="462">
        <f t="shared" si="36"/>
        <v>155.65086491683536</v>
      </c>
      <c r="K511" s="462">
        <f t="shared" si="36"/>
        <v>151.34797336931024</v>
      </c>
      <c r="L511" s="463">
        <f t="shared" si="36"/>
        <v>150.06832433131518</v>
      </c>
      <c r="M511" s="1"/>
      <c r="N511" s="401">
        <f t="shared" ref="N511:S511" si="37">SUM(N497:N510)</f>
        <v>156.03511971408236</v>
      </c>
      <c r="O511" s="402">
        <f t="shared" si="37"/>
        <v>167.32789387451484</v>
      </c>
      <c r="P511" s="843">
        <f t="shared" si="37"/>
        <v>153.60702398664256</v>
      </c>
      <c r="Q511" s="843">
        <f t="shared" si="37"/>
        <v>146.09291676490454</v>
      </c>
      <c r="R511" s="843">
        <f t="shared" si="37"/>
        <v>161.13872132842161</v>
      </c>
      <c r="S511" s="843">
        <f t="shared" si="37"/>
        <v>146.17328494732328</v>
      </c>
      <c r="T511" s="843">
        <f t="shared" ref="T511" si="38">SUM(T497:T510)</f>
        <v>133.33601548553278</v>
      </c>
      <c r="U511" s="465"/>
      <c r="V511" s="1"/>
    </row>
    <row r="512" spans="2:22">
      <c r="B512" s="1200"/>
    </row>
    <row r="513" spans="2:12" ht="12" thickBot="1">
      <c r="B513" s="1200"/>
      <c r="D513" s="1" t="s">
        <v>296</v>
      </c>
    </row>
    <row r="514" spans="2:12">
      <c r="B514" s="1200"/>
      <c r="E514" s="1210" t="str">
        <f>D418</f>
        <v>Blackstart</v>
      </c>
      <c r="F514" s="1211"/>
      <c r="G514" s="1212" t="str">
        <f>D437</f>
        <v>Flood Mitigation</v>
      </c>
      <c r="H514" s="1211"/>
      <c r="I514" s="1212" t="str">
        <f>D456</f>
        <v>Physical Security</v>
      </c>
      <c r="J514" s="1211"/>
      <c r="K514" s="1212" t="str">
        <f>D475</f>
        <v>Tree Cutting</v>
      </c>
      <c r="L514" s="1213"/>
    </row>
    <row r="515" spans="2:12" ht="12" thickBot="1">
      <c r="B515" s="1200"/>
      <c r="E515" s="466" t="s">
        <v>297</v>
      </c>
      <c r="F515" s="380" t="s">
        <v>298</v>
      </c>
      <c r="G515" s="380" t="s">
        <v>297</v>
      </c>
      <c r="H515" s="380" t="s">
        <v>298</v>
      </c>
      <c r="I515" s="380" t="s">
        <v>297</v>
      </c>
      <c r="J515" s="380" t="s">
        <v>298</v>
      </c>
      <c r="K515" s="380" t="s">
        <v>297</v>
      </c>
      <c r="L515" s="467" t="s">
        <v>298</v>
      </c>
    </row>
    <row r="516" spans="2:12">
      <c r="B516" s="1200"/>
      <c r="D516" s="406" t="s">
        <v>161</v>
      </c>
      <c r="E516" s="459">
        <f t="shared" ref="E516:E527" si="39">SUM(E421:K421)</f>
        <v>8.4939004175493658</v>
      </c>
      <c r="F516" s="25">
        <f>SUM(N421:T421)</f>
        <v>3.5603772063245729</v>
      </c>
      <c r="G516" s="31">
        <f t="shared" ref="G516:G529" si="40">SUM(E440:K440)</f>
        <v>12.322120404400305</v>
      </c>
      <c r="H516" s="25">
        <f t="shared" ref="H516:H529" si="41">SUM(N440:T440)</f>
        <v>13.619456717013218</v>
      </c>
      <c r="I516" s="31">
        <f t="shared" ref="I516:I529" si="42">SUM(E459:K459)</f>
        <v>0</v>
      </c>
      <c r="J516" s="25">
        <f t="shared" ref="J516:J529" si="43">SUM(N459:T459)</f>
        <v>0</v>
      </c>
      <c r="K516" s="31">
        <f t="shared" ref="K516:K529" si="44">SUM(E478:K478)</f>
        <v>39.060327199960156</v>
      </c>
      <c r="L516" s="417">
        <f t="shared" ref="L516:L529" si="45">SUM(N478:T478)</f>
        <v>34.865710746636367</v>
      </c>
    </row>
    <row r="517" spans="2:12">
      <c r="B517" s="1200"/>
      <c r="D517" s="407" t="s">
        <v>162</v>
      </c>
      <c r="E517" s="459">
        <f t="shared" si="39"/>
        <v>3.756015093738363</v>
      </c>
      <c r="F517" s="25">
        <f t="shared" ref="F517:F529" si="46">SUM(N422:T422)</f>
        <v>4.9126367186855529</v>
      </c>
      <c r="G517" s="31">
        <f t="shared" si="40"/>
        <v>19.501450165965181</v>
      </c>
      <c r="H517" s="25">
        <f t="shared" si="41"/>
        <v>19.757024460594529</v>
      </c>
      <c r="I517" s="31">
        <f t="shared" si="42"/>
        <v>1.0624841949892716</v>
      </c>
      <c r="J517" s="25">
        <f t="shared" si="43"/>
        <v>0.49375842017332966</v>
      </c>
      <c r="K517" s="31">
        <f t="shared" si="44"/>
        <v>37.888734008775252</v>
      </c>
      <c r="L517" s="417">
        <f t="shared" si="45"/>
        <v>30.80222679520725</v>
      </c>
    </row>
    <row r="518" spans="2:12">
      <c r="B518" s="1200"/>
      <c r="D518" s="407" t="s">
        <v>163</v>
      </c>
      <c r="E518" s="459">
        <f t="shared" si="39"/>
        <v>6.0938826755369888</v>
      </c>
      <c r="F518" s="25">
        <f t="shared" si="46"/>
        <v>7.1344203940804451</v>
      </c>
      <c r="G518" s="31">
        <f t="shared" si="40"/>
        <v>25.309125434437814</v>
      </c>
      <c r="H518" s="25">
        <f t="shared" si="41"/>
        <v>29.475582341169805</v>
      </c>
      <c r="I518" s="31">
        <f t="shared" si="42"/>
        <v>4.2065106985977323</v>
      </c>
      <c r="J518" s="25">
        <f t="shared" si="43"/>
        <v>5.7573297557107566</v>
      </c>
      <c r="K518" s="31">
        <f t="shared" si="44"/>
        <v>44.664893697059348</v>
      </c>
      <c r="L518" s="417">
        <f t="shared" si="45"/>
        <v>38.943227452027543</v>
      </c>
    </row>
    <row r="519" spans="2:12">
      <c r="B519" s="1200"/>
      <c r="D519" s="407" t="s">
        <v>164</v>
      </c>
      <c r="E519" s="459">
        <f t="shared" si="39"/>
        <v>4.4152624795868824</v>
      </c>
      <c r="F519" s="25">
        <f t="shared" si="46"/>
        <v>4.6683764995658557</v>
      </c>
      <c r="G519" s="31">
        <f t="shared" si="40"/>
        <v>1.4232736648203108</v>
      </c>
      <c r="H519" s="25">
        <f t="shared" si="41"/>
        <v>0.90148707698842634</v>
      </c>
      <c r="I519" s="31">
        <f t="shared" si="42"/>
        <v>0</v>
      </c>
      <c r="J519" s="25">
        <f t="shared" si="43"/>
        <v>0</v>
      </c>
      <c r="K519" s="31">
        <f t="shared" si="44"/>
        <v>73.802858191042944</v>
      </c>
      <c r="L519" s="417">
        <f t="shared" si="45"/>
        <v>116.70616309001062</v>
      </c>
    </row>
    <row r="520" spans="2:12">
      <c r="B520" s="1200"/>
      <c r="D520" s="407" t="s">
        <v>165</v>
      </c>
      <c r="E520" s="459">
        <f t="shared" si="39"/>
        <v>8.461646948833053</v>
      </c>
      <c r="F520" s="25">
        <f t="shared" si="46"/>
        <v>7.796530957174892</v>
      </c>
      <c r="G520" s="31">
        <f t="shared" si="40"/>
        <v>6.2571864196477858</v>
      </c>
      <c r="H520" s="25">
        <f t="shared" si="41"/>
        <v>3.8817872444064312</v>
      </c>
      <c r="I520" s="31">
        <f t="shared" si="42"/>
        <v>0</v>
      </c>
      <c r="J520" s="25">
        <f t="shared" si="43"/>
        <v>0</v>
      </c>
      <c r="K520" s="31">
        <f t="shared" si="44"/>
        <v>57.405959711462586</v>
      </c>
      <c r="L520" s="417">
        <f t="shared" si="45"/>
        <v>84.495801553857518</v>
      </c>
    </row>
    <row r="521" spans="2:12">
      <c r="B521" s="1200"/>
      <c r="D521" s="407" t="s">
        <v>166</v>
      </c>
      <c r="E521" s="459">
        <f t="shared" si="39"/>
        <v>2.1295259875658075</v>
      </c>
      <c r="F521" s="25">
        <f t="shared" si="46"/>
        <v>3.9587140733621293</v>
      </c>
      <c r="G521" s="31">
        <f t="shared" si="40"/>
        <v>9.6723702329559842</v>
      </c>
      <c r="H521" s="25">
        <f t="shared" si="41"/>
        <v>3.5780251406764401</v>
      </c>
      <c r="I521" s="31">
        <f t="shared" si="42"/>
        <v>0</v>
      </c>
      <c r="J521" s="25">
        <f t="shared" si="43"/>
        <v>0</v>
      </c>
      <c r="K521" s="31">
        <f t="shared" si="44"/>
        <v>71.109861530127304</v>
      </c>
      <c r="L521" s="417">
        <f t="shared" si="45"/>
        <v>68.369168903268488</v>
      </c>
    </row>
    <row r="522" spans="2:12">
      <c r="B522" s="1200"/>
      <c r="D522" s="407" t="s">
        <v>167</v>
      </c>
      <c r="E522" s="459">
        <f t="shared" si="39"/>
        <v>4.685454246510889</v>
      </c>
      <c r="F522" s="25">
        <f t="shared" si="46"/>
        <v>7.1004411187196155</v>
      </c>
      <c r="G522" s="31">
        <f t="shared" si="40"/>
        <v>1.3482429862459502</v>
      </c>
      <c r="H522" s="25">
        <f t="shared" si="41"/>
        <v>1.2538221143834409</v>
      </c>
      <c r="I522" s="31">
        <f t="shared" si="42"/>
        <v>0</v>
      </c>
      <c r="J522" s="25">
        <f t="shared" si="43"/>
        <v>0</v>
      </c>
      <c r="K522" s="31">
        <f t="shared" si="44"/>
        <v>99.269711202662961</v>
      </c>
      <c r="L522" s="417">
        <f t="shared" si="45"/>
        <v>100.5251431945707</v>
      </c>
    </row>
    <row r="523" spans="2:12">
      <c r="B523" s="1200"/>
      <c r="D523" s="407" t="s">
        <v>168</v>
      </c>
      <c r="E523" s="459">
        <f t="shared" si="39"/>
        <v>2.2766992149662113</v>
      </c>
      <c r="F523" s="25">
        <f t="shared" si="46"/>
        <v>4.2204038584311032</v>
      </c>
      <c r="G523" s="31">
        <f t="shared" si="40"/>
        <v>4.2415951745272267</v>
      </c>
      <c r="H523" s="25">
        <f t="shared" si="41"/>
        <v>1.1757463137045083</v>
      </c>
      <c r="I523" s="31">
        <f t="shared" si="42"/>
        <v>0.64960151101690022</v>
      </c>
      <c r="J523" s="25">
        <f t="shared" si="43"/>
        <v>7.1503104461808589E-2</v>
      </c>
      <c r="K523" s="31">
        <f t="shared" si="44"/>
        <v>0.1475429973449664</v>
      </c>
      <c r="L523" s="417">
        <f t="shared" si="45"/>
        <v>-8.4450000839044609E-4</v>
      </c>
    </row>
    <row r="524" spans="2:12">
      <c r="B524" s="1200"/>
      <c r="D524" s="407" t="s">
        <v>169</v>
      </c>
      <c r="E524" s="459">
        <f t="shared" si="39"/>
        <v>4.5710494037351452</v>
      </c>
      <c r="F524" s="25">
        <f t="shared" si="46"/>
        <v>7.2683968200096079</v>
      </c>
      <c r="G524" s="31">
        <f t="shared" si="40"/>
        <v>4.3805213266305065</v>
      </c>
      <c r="H524" s="25">
        <f t="shared" si="41"/>
        <v>2.8081240446476667</v>
      </c>
      <c r="I524" s="31">
        <f t="shared" si="42"/>
        <v>1.3067250585747789</v>
      </c>
      <c r="J524" s="25">
        <f t="shared" si="43"/>
        <v>0</v>
      </c>
      <c r="K524" s="31">
        <f t="shared" si="44"/>
        <v>65.733095118838989</v>
      </c>
      <c r="L524" s="417">
        <f t="shared" si="45"/>
        <v>38.777312882866951</v>
      </c>
    </row>
    <row r="525" spans="2:12">
      <c r="B525" s="1200"/>
      <c r="D525" s="407" t="s">
        <v>170</v>
      </c>
      <c r="E525" s="459">
        <f t="shared" si="39"/>
        <v>6.1334963988820963</v>
      </c>
      <c r="F525" s="25">
        <f t="shared" si="46"/>
        <v>9.8382800241835184</v>
      </c>
      <c r="G525" s="31">
        <f t="shared" si="40"/>
        <v>8.2772428543777998</v>
      </c>
      <c r="H525" s="25">
        <f t="shared" si="41"/>
        <v>1.5562852788052552</v>
      </c>
      <c r="I525" s="31">
        <f t="shared" si="42"/>
        <v>2.2070284250730094</v>
      </c>
      <c r="J525" s="25">
        <f t="shared" si="43"/>
        <v>0.18992427919174898</v>
      </c>
      <c r="K525" s="31">
        <f t="shared" si="44"/>
        <v>138.74496873084527</v>
      </c>
      <c r="L525" s="417">
        <f t="shared" si="45"/>
        <v>80.004512578973703</v>
      </c>
    </row>
    <row r="526" spans="2:12">
      <c r="B526" s="1200"/>
      <c r="D526" s="407" t="s">
        <v>171</v>
      </c>
      <c r="E526" s="459">
        <f t="shared" si="39"/>
        <v>1.9829478150455073</v>
      </c>
      <c r="F526" s="25">
        <f t="shared" si="46"/>
        <v>5.4489967778505385E-2</v>
      </c>
      <c r="G526" s="31">
        <f t="shared" si="40"/>
        <v>0.90209354689817867</v>
      </c>
      <c r="H526" s="25">
        <f t="shared" si="41"/>
        <v>0.68740514393994889</v>
      </c>
      <c r="I526" s="31">
        <f t="shared" si="42"/>
        <v>0</v>
      </c>
      <c r="J526" s="25">
        <f t="shared" si="43"/>
        <v>0</v>
      </c>
      <c r="K526" s="31">
        <f t="shared" si="44"/>
        <v>61.115959869111265</v>
      </c>
      <c r="L526" s="417">
        <f t="shared" si="45"/>
        <v>30.768101813626139</v>
      </c>
    </row>
    <row r="527" spans="2:12">
      <c r="B527" s="1200"/>
      <c r="D527" s="407" t="s">
        <v>172</v>
      </c>
      <c r="E527" s="459">
        <f t="shared" si="39"/>
        <v>4.8856709823105726</v>
      </c>
      <c r="F527" s="25">
        <f t="shared" si="46"/>
        <v>1.185123672784407</v>
      </c>
      <c r="G527" s="31">
        <f t="shared" si="40"/>
        <v>0.87784909191114746</v>
      </c>
      <c r="H527" s="25">
        <f t="shared" si="41"/>
        <v>0.85418246194184688</v>
      </c>
      <c r="I527" s="31">
        <f t="shared" si="42"/>
        <v>1.9222262057121098</v>
      </c>
      <c r="J527" s="25">
        <f t="shared" si="43"/>
        <v>0</v>
      </c>
      <c r="K527" s="31">
        <f t="shared" si="44"/>
        <v>93.51628466020793</v>
      </c>
      <c r="L527" s="417">
        <f t="shared" si="45"/>
        <v>79.761880194764629</v>
      </c>
    </row>
    <row r="528" spans="2:12">
      <c r="B528" s="1200"/>
      <c r="D528" s="407" t="s">
        <v>28</v>
      </c>
      <c r="E528" s="459">
        <f t="shared" ref="E528" si="47">SUM(E433:K433)</f>
        <v>4.6216439488713243</v>
      </c>
      <c r="F528" s="25">
        <f t="shared" si="46"/>
        <v>2.8154390947134491</v>
      </c>
      <c r="G528" s="31">
        <f t="shared" si="40"/>
        <v>0.7227699763573503</v>
      </c>
      <c r="H528" s="25">
        <f t="shared" si="41"/>
        <v>1.0670937545404742</v>
      </c>
      <c r="I528" s="31">
        <f t="shared" si="42"/>
        <v>0</v>
      </c>
      <c r="J528" s="25">
        <f t="shared" si="43"/>
        <v>0</v>
      </c>
      <c r="K528" s="31">
        <f t="shared" si="44"/>
        <v>65.696375364558747</v>
      </c>
      <c r="L528" s="417">
        <f t="shared" si="45"/>
        <v>56.586331868256778</v>
      </c>
    </row>
    <row r="529" spans="2:12">
      <c r="B529" s="1200"/>
      <c r="D529" s="407" t="s">
        <v>173</v>
      </c>
      <c r="E529" s="459">
        <f>SUM(E434:K434)</f>
        <v>1.9689200405686023</v>
      </c>
      <c r="F529" s="25">
        <f t="shared" si="46"/>
        <v>3.0294209664945742</v>
      </c>
      <c r="G529" s="31">
        <f t="shared" si="40"/>
        <v>22.880467873685241</v>
      </c>
      <c r="H529" s="25">
        <f t="shared" si="41"/>
        <v>16.856517642743885</v>
      </c>
      <c r="I529" s="31">
        <f t="shared" si="42"/>
        <v>0</v>
      </c>
      <c r="J529" s="25">
        <f t="shared" si="43"/>
        <v>0</v>
      </c>
      <c r="K529" s="31">
        <f t="shared" si="44"/>
        <v>115.73638416083227</v>
      </c>
      <c r="L529" s="417">
        <f t="shared" si="45"/>
        <v>131.57813285996195</v>
      </c>
    </row>
    <row r="530" spans="2:12" ht="12" thickBot="1">
      <c r="B530" s="1200"/>
      <c r="D530" s="408" t="s">
        <v>174</v>
      </c>
      <c r="E530" s="461">
        <f>SUM(E516:E529)</f>
        <v>64.476115653700802</v>
      </c>
      <c r="F530" s="402">
        <f>SUM(F516:F529)</f>
        <v>67.543051372308227</v>
      </c>
      <c r="G530" s="462">
        <f>SUM(G516:G529)</f>
        <v>118.11630915286077</v>
      </c>
      <c r="H530" s="402">
        <f>SUM(H516:H529)</f>
        <v>97.47253973555587</v>
      </c>
      <c r="I530" s="462">
        <f>SUM(I516:I529)</f>
        <v>11.354576093963804</v>
      </c>
      <c r="J530" s="843">
        <f>SUM(N473:R473)</f>
        <v>4.0401192660560836</v>
      </c>
      <c r="K530" s="462">
        <f>SUM(K516:K529)</f>
        <v>963.89295644283004</v>
      </c>
      <c r="L530" s="468">
        <f>SUM(L516:L529)</f>
        <v>892.1828694340204</v>
      </c>
    </row>
    <row r="531" spans="2:12">
      <c r="B531" s="1200"/>
      <c r="E531" s="9"/>
      <c r="F531" s="9"/>
      <c r="G531" s="9"/>
      <c r="H531" s="9"/>
      <c r="I531" s="9"/>
      <c r="J531" s="9"/>
      <c r="K531" s="9"/>
      <c r="L531" s="9"/>
    </row>
    <row r="532" spans="2:12" ht="12" thickBot="1">
      <c r="B532" s="1200"/>
      <c r="D532" s="133" t="s">
        <v>1364</v>
      </c>
      <c r="E532" s="9"/>
      <c r="F532" s="9"/>
      <c r="G532" s="9"/>
      <c r="H532" s="9"/>
      <c r="I532" s="9"/>
      <c r="J532" s="9"/>
      <c r="K532" s="9"/>
      <c r="L532" s="9"/>
    </row>
    <row r="533" spans="2:12">
      <c r="B533" s="1200"/>
      <c r="D533" s="469"/>
      <c r="E533" s="470" t="str">
        <f>E515</f>
        <v>Allowance</v>
      </c>
      <c r="F533" s="471" t="str">
        <f>F515</f>
        <v>Actual</v>
      </c>
      <c r="I533" s="9"/>
      <c r="J533" s="9"/>
      <c r="K533" s="9"/>
      <c r="L533" s="9"/>
    </row>
    <row r="534" spans="2:12">
      <c r="B534" s="1200"/>
      <c r="D534" s="407" t="str">
        <f>E514</f>
        <v>Blackstart</v>
      </c>
      <c r="E534" s="472">
        <f>E530</f>
        <v>64.476115653700802</v>
      </c>
      <c r="F534" s="473">
        <f>F530</f>
        <v>67.543051372308227</v>
      </c>
    </row>
    <row r="535" spans="2:12">
      <c r="B535" s="1200"/>
      <c r="D535" s="407" t="str">
        <f>G514</f>
        <v>Flood Mitigation</v>
      </c>
      <c r="E535" s="472">
        <f>G530</f>
        <v>118.11630915286077</v>
      </c>
      <c r="F535" s="473">
        <f>H530</f>
        <v>97.47253973555587</v>
      </c>
    </row>
    <row r="536" spans="2:12">
      <c r="B536" s="1200"/>
      <c r="D536" s="407" t="str">
        <f>I514</f>
        <v>Physical Security</v>
      </c>
      <c r="E536" s="472">
        <f>I530</f>
        <v>11.354576093963804</v>
      </c>
      <c r="F536" s="473">
        <f>J530</f>
        <v>4.0401192660560836</v>
      </c>
    </row>
    <row r="537" spans="2:12">
      <c r="B537" s="1200"/>
      <c r="D537" s="407" t="str">
        <f>K514</f>
        <v>Tree Cutting</v>
      </c>
      <c r="E537" s="472">
        <f>K530</f>
        <v>963.89295644283004</v>
      </c>
      <c r="F537" s="473">
        <f>L530</f>
        <v>892.1828694340204</v>
      </c>
    </row>
    <row r="538" spans="2:12" ht="12" thickBot="1">
      <c r="B538" s="1200"/>
      <c r="D538" s="408" t="s">
        <v>174</v>
      </c>
      <c r="E538" s="474">
        <f>SUM(E534:E537)</f>
        <v>1157.8399573433553</v>
      </c>
      <c r="F538" s="475">
        <f>SUM(F534:F537)</f>
        <v>1061.2385798079406</v>
      </c>
    </row>
    <row r="539" spans="2:12">
      <c r="B539" s="1200"/>
      <c r="E539" s="11"/>
      <c r="F539" s="11"/>
    </row>
    <row r="540" spans="2:12">
      <c r="B540" s="1200"/>
      <c r="E540" s="11"/>
      <c r="F540" s="11"/>
    </row>
    <row r="541" spans="2:12">
      <c r="B541" s="1200"/>
      <c r="E541" s="11"/>
      <c r="F541" s="11"/>
    </row>
    <row r="542" spans="2:12">
      <c r="B542" s="1200"/>
      <c r="E542" s="11"/>
      <c r="F542" s="11"/>
    </row>
    <row r="543" spans="2:12">
      <c r="B543" s="1200"/>
      <c r="E543" s="11"/>
      <c r="F543" s="11"/>
    </row>
    <row r="544" spans="2:12">
      <c r="B544" s="1200"/>
      <c r="E544" s="11"/>
      <c r="F544" s="11"/>
    </row>
    <row r="545" spans="2:6">
      <c r="B545" s="1200"/>
      <c r="E545" s="11"/>
      <c r="F545" s="11"/>
    </row>
    <row r="546" spans="2:6">
      <c r="B546" s="1200"/>
      <c r="E546" s="11"/>
      <c r="F546" s="11"/>
    </row>
    <row r="547" spans="2:6">
      <c r="B547" s="1200"/>
      <c r="E547" s="11"/>
      <c r="F547" s="11"/>
    </row>
    <row r="548" spans="2:6">
      <c r="B548" s="1200"/>
      <c r="E548" s="11"/>
      <c r="F548" s="11"/>
    </row>
    <row r="549" spans="2:6">
      <c r="B549" s="1200"/>
      <c r="E549" s="11"/>
      <c r="F549" s="11"/>
    </row>
    <row r="550" spans="2:6">
      <c r="B550" s="1200"/>
      <c r="E550" s="11"/>
      <c r="F550" s="11"/>
    </row>
    <row r="551" spans="2:6">
      <c r="B551" s="1200"/>
      <c r="E551" s="11"/>
      <c r="F551" s="11"/>
    </row>
    <row r="552" spans="2:6">
      <c r="B552" s="1200"/>
      <c r="E552" s="11"/>
      <c r="F552" s="11"/>
    </row>
    <row r="553" spans="2:6">
      <c r="B553" s="1200"/>
      <c r="E553" s="11"/>
      <c r="F553" s="11"/>
    </row>
    <row r="554" spans="2:6">
      <c r="B554" s="1200"/>
      <c r="E554" s="11"/>
      <c r="F554" s="11"/>
    </row>
    <row r="555" spans="2:6">
      <c r="B555" s="1200"/>
      <c r="E555" s="11"/>
      <c r="F555" s="11"/>
    </row>
    <row r="556" spans="2:6">
      <c r="B556" s="1200"/>
      <c r="E556" s="11"/>
      <c r="F556" s="11"/>
    </row>
    <row r="557" spans="2:6">
      <c r="B557" s="1200"/>
      <c r="E557" s="11"/>
      <c r="F557" s="11"/>
    </row>
    <row r="558" spans="2:6">
      <c r="E558" s="11"/>
      <c r="F558" s="11"/>
    </row>
    <row r="559" spans="2:6">
      <c r="E559" s="11"/>
      <c r="F559" s="11"/>
    </row>
    <row r="560" spans="2:6">
      <c r="E560" s="11"/>
      <c r="F560" s="11"/>
    </row>
    <row r="561" spans="2:6">
      <c r="E561" s="11"/>
      <c r="F561" s="11"/>
    </row>
    <row r="573" spans="2:6">
      <c r="B573" s="2"/>
    </row>
    <row r="574" spans="2:6">
      <c r="B574" s="2"/>
    </row>
    <row r="575" spans="2:6">
      <c r="B575" s="2"/>
    </row>
    <row r="576" spans="2:6">
      <c r="B576" s="2"/>
    </row>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sheetData>
  <mergeCells count="186">
    <mergeCell ref="X342:Y342"/>
    <mergeCell ref="Z342:AA342"/>
    <mergeCell ref="Q266:R266"/>
    <mergeCell ref="S266:T266"/>
    <mergeCell ref="U266:V266"/>
    <mergeCell ref="Q285:R285"/>
    <mergeCell ref="S285:T285"/>
    <mergeCell ref="U285:V285"/>
    <mergeCell ref="Z323:AA323"/>
    <mergeCell ref="M342:N342"/>
    <mergeCell ref="E419:L419"/>
    <mergeCell ref="N419:U419"/>
    <mergeCell ref="N457:U457"/>
    <mergeCell ref="J89:K89"/>
    <mergeCell ref="A52:A55"/>
    <mergeCell ref="E514:F514"/>
    <mergeCell ref="G514:H514"/>
    <mergeCell ref="I514:J514"/>
    <mergeCell ref="K514:L514"/>
    <mergeCell ref="E457:L457"/>
    <mergeCell ref="O226:P226"/>
    <mergeCell ref="B51:B203"/>
    <mergeCell ref="M304:N304"/>
    <mergeCell ref="I247:J247"/>
    <mergeCell ref="K247:L247"/>
    <mergeCell ref="M247:N247"/>
    <mergeCell ref="O247:P247"/>
    <mergeCell ref="E226:F226"/>
    <mergeCell ref="G226:H226"/>
    <mergeCell ref="E495:L495"/>
    <mergeCell ref="N495:U495"/>
    <mergeCell ref="J68:K68"/>
    <mergeCell ref="J69:K69"/>
    <mergeCell ref="B12:B45"/>
    <mergeCell ref="B362:B400"/>
    <mergeCell ref="B417:B557"/>
    <mergeCell ref="B206:B244"/>
    <mergeCell ref="E266:F266"/>
    <mergeCell ref="G266:H266"/>
    <mergeCell ref="I266:J266"/>
    <mergeCell ref="K266:L266"/>
    <mergeCell ref="E304:F304"/>
    <mergeCell ref="G304:H304"/>
    <mergeCell ref="I304:J304"/>
    <mergeCell ref="K304:L304"/>
    <mergeCell ref="E342:F342"/>
    <mergeCell ref="G342:H342"/>
    <mergeCell ref="I342:J342"/>
    <mergeCell ref="K342:L342"/>
    <mergeCell ref="E438:L438"/>
    <mergeCell ref="D68:G70"/>
    <mergeCell ref="E476:L476"/>
    <mergeCell ref="J72:L72"/>
    <mergeCell ref="B48:B50"/>
    <mergeCell ref="J71:O71"/>
    <mergeCell ref="J129:L129"/>
    <mergeCell ref="M129:O129"/>
    <mergeCell ref="N476:U476"/>
    <mergeCell ref="O342:P342"/>
    <mergeCell ref="Q30:X30"/>
    <mergeCell ref="Q12:X12"/>
    <mergeCell ref="E247:F247"/>
    <mergeCell ref="G247:H247"/>
    <mergeCell ref="Q247:R247"/>
    <mergeCell ref="S247:T247"/>
    <mergeCell ref="U247:V247"/>
    <mergeCell ref="Q342:R342"/>
    <mergeCell ref="S342:T342"/>
    <mergeCell ref="U342:V342"/>
    <mergeCell ref="I226:J226"/>
    <mergeCell ref="K226:L226"/>
    <mergeCell ref="M226:N226"/>
    <mergeCell ref="E285:F285"/>
    <mergeCell ref="G285:H285"/>
    <mergeCell ref="I285:J285"/>
    <mergeCell ref="K285:L285"/>
    <mergeCell ref="M285:N285"/>
    <mergeCell ref="M266:N266"/>
    <mergeCell ref="O323:P323"/>
    <mergeCell ref="N438:U438"/>
    <mergeCell ref="Q226:R226"/>
    <mergeCell ref="B9:E9"/>
    <mergeCell ref="B4:J4"/>
    <mergeCell ref="F5:J5"/>
    <mergeCell ref="F6:J6"/>
    <mergeCell ref="F7:J7"/>
    <mergeCell ref="F8:J8"/>
    <mergeCell ref="F9:J9"/>
    <mergeCell ref="B5:E5"/>
    <mergeCell ref="B6:E6"/>
    <mergeCell ref="B7:E7"/>
    <mergeCell ref="B8:E8"/>
    <mergeCell ref="S226:T226"/>
    <mergeCell ref="U226:V226"/>
    <mergeCell ref="O304:P304"/>
    <mergeCell ref="X266:Y266"/>
    <mergeCell ref="Z266:AA266"/>
    <mergeCell ref="Q304:R304"/>
    <mergeCell ref="S304:T304"/>
    <mergeCell ref="U304:V304"/>
    <mergeCell ref="X304:Y304"/>
    <mergeCell ref="Z304:AA304"/>
    <mergeCell ref="O285:P285"/>
    <mergeCell ref="X285:Y285"/>
    <mergeCell ref="Z285:AA285"/>
    <mergeCell ref="O266:P266"/>
    <mergeCell ref="X247:Y247"/>
    <mergeCell ref="Z247:AA247"/>
    <mergeCell ref="X226:Y226"/>
    <mergeCell ref="N12:N13"/>
    <mergeCell ref="N30:N31"/>
    <mergeCell ref="J107:K107"/>
    <mergeCell ref="J108:K108"/>
    <mergeCell ref="J70:K70"/>
    <mergeCell ref="J67:K67"/>
    <mergeCell ref="J90:O90"/>
    <mergeCell ref="J88:K88"/>
    <mergeCell ref="P90:U90"/>
    <mergeCell ref="J91:L91"/>
    <mergeCell ref="M91:O91"/>
    <mergeCell ref="P91:R91"/>
    <mergeCell ref="S91:U91"/>
    <mergeCell ref="E12:M12"/>
    <mergeCell ref="E30:M30"/>
    <mergeCell ref="J50:O50"/>
    <mergeCell ref="P50:U50"/>
    <mergeCell ref="J51:L51"/>
    <mergeCell ref="M51:O51"/>
    <mergeCell ref="P51:R51"/>
    <mergeCell ref="S51:U51"/>
    <mergeCell ref="P71:U71"/>
    <mergeCell ref="X438:AE438"/>
    <mergeCell ref="E208:F208"/>
    <mergeCell ref="G208:H208"/>
    <mergeCell ref="I208:J208"/>
    <mergeCell ref="K208:L208"/>
    <mergeCell ref="M208:N208"/>
    <mergeCell ref="O208:P208"/>
    <mergeCell ref="Q208:R208"/>
    <mergeCell ref="J126:K126"/>
    <mergeCell ref="X323:Y323"/>
    <mergeCell ref="E323:F323"/>
    <mergeCell ref="G323:H323"/>
    <mergeCell ref="I323:J323"/>
    <mergeCell ref="K323:L323"/>
    <mergeCell ref="M323:N323"/>
    <mergeCell ref="Q323:R323"/>
    <mergeCell ref="S323:T323"/>
    <mergeCell ref="U323:V323"/>
    <mergeCell ref="X208:Y208"/>
    <mergeCell ref="Z208:AA208"/>
    <mergeCell ref="S208:T208"/>
    <mergeCell ref="U208:V208"/>
    <mergeCell ref="J127:K127"/>
    <mergeCell ref="Z226:AA226"/>
    <mergeCell ref="J109:O109"/>
    <mergeCell ref="P109:U109"/>
    <mergeCell ref="J110:L110"/>
    <mergeCell ref="M110:O110"/>
    <mergeCell ref="P110:R110"/>
    <mergeCell ref="S110:U110"/>
    <mergeCell ref="J128:O128"/>
    <mergeCell ref="P128:U128"/>
    <mergeCell ref="M72:O72"/>
    <mergeCell ref="P72:R72"/>
    <mergeCell ref="S72:U72"/>
    <mergeCell ref="P129:R129"/>
    <mergeCell ref="S129:U129"/>
    <mergeCell ref="J185:O185"/>
    <mergeCell ref="P185:U185"/>
    <mergeCell ref="J186:L186"/>
    <mergeCell ref="M186:O186"/>
    <mergeCell ref="P186:R186"/>
    <mergeCell ref="S186:U186"/>
    <mergeCell ref="J147:O147"/>
    <mergeCell ref="P147:U147"/>
    <mergeCell ref="J148:L148"/>
    <mergeCell ref="M148:O148"/>
    <mergeCell ref="P148:R148"/>
    <mergeCell ref="S148:U148"/>
    <mergeCell ref="J166:O166"/>
    <mergeCell ref="P166:U166"/>
    <mergeCell ref="J167:L167"/>
    <mergeCell ref="M167:O167"/>
    <mergeCell ref="P167:R167"/>
    <mergeCell ref="S167:U167"/>
  </mergeCells>
  <conditionalFormatting sqref="N14:N27">
    <cfRule type="containsText" dxfId="254" priority="58" operator="containsText" text="RED">
      <formula>NOT(ISERROR(SEARCH("RED",N14)))</formula>
    </cfRule>
    <cfRule type="containsText" dxfId="253" priority="59" operator="containsText" text="AMBER">
      <formula>NOT(ISERROR(SEARCH("AMBER",N14)))</formula>
    </cfRule>
    <cfRule type="containsText" dxfId="252" priority="60" operator="containsText" text="GREEN">
      <formula>NOT(ISERROR(SEARCH("GREEN",N14)))</formula>
    </cfRule>
    <cfRule type="colorScale" priority="62">
      <colorScale>
        <cfvo type="min"/>
        <cfvo type="max"/>
        <color rgb="FF63BE7B"/>
        <color rgb="FFFFEF9C"/>
      </colorScale>
    </cfRule>
    <cfRule type="colorScale" priority="63">
      <colorScale>
        <cfvo type="min"/>
        <cfvo type="percentile" val="50"/>
        <cfvo type="max"/>
        <color rgb="FFF8696B"/>
        <color rgb="FFFFEB84"/>
        <color rgb="FF63BE7B"/>
      </colorScale>
    </cfRule>
  </conditionalFormatting>
  <conditionalFormatting sqref="N14:N27">
    <cfRule type="colorScale" priority="61">
      <colorScale>
        <cfvo type="min"/>
        <cfvo type="percentile" val="50"/>
        <cfvo type="max"/>
        <color rgb="FFF8696B"/>
        <color rgb="FFFFEB84"/>
        <color rgb="FF63BE7B"/>
      </colorScale>
    </cfRule>
  </conditionalFormatting>
  <conditionalFormatting sqref="N32:N45">
    <cfRule type="containsText" dxfId="251" priority="46" operator="containsText" text="RED">
      <formula>NOT(ISERROR(SEARCH("RED",N32)))</formula>
    </cfRule>
    <cfRule type="containsText" dxfId="250" priority="47" operator="containsText" text="AMBER">
      <formula>NOT(ISERROR(SEARCH("AMBER",N32)))</formula>
    </cfRule>
    <cfRule type="containsText" dxfId="249" priority="48" operator="containsText" text="GREEN">
      <formula>NOT(ISERROR(SEARCH("GREEN",N32)))</formula>
    </cfRule>
    <cfRule type="colorScale" priority="50">
      <colorScale>
        <cfvo type="min"/>
        <cfvo type="max"/>
        <color rgb="FF63BE7B"/>
        <color rgb="FFFFEF9C"/>
      </colorScale>
    </cfRule>
    <cfRule type="colorScale" priority="51">
      <colorScale>
        <cfvo type="min"/>
        <cfvo type="percentile" val="50"/>
        <cfvo type="max"/>
        <color rgb="FFF8696B"/>
        <color rgb="FFFFEB84"/>
        <color rgb="FF63BE7B"/>
      </colorScale>
    </cfRule>
  </conditionalFormatting>
  <conditionalFormatting sqref="N32:N45">
    <cfRule type="colorScale" priority="49">
      <colorScale>
        <cfvo type="min"/>
        <cfvo type="percentile" val="50"/>
        <cfvo type="max"/>
        <color rgb="FFF8696B"/>
        <color rgb="FFFFEB84"/>
        <color rgb="FF63BE7B"/>
      </colorScale>
    </cfRule>
  </conditionalFormatting>
  <conditionalFormatting sqref="J53:J66">
    <cfRule type="expression" dxfId="248" priority="43">
      <formula>J53&gt;K53</formula>
    </cfRule>
  </conditionalFormatting>
  <conditionalFormatting sqref="M53:M66">
    <cfRule type="expression" dxfId="247" priority="42">
      <formula>M53&gt;N53</formula>
    </cfRule>
  </conditionalFormatting>
  <conditionalFormatting sqref="P53:P66">
    <cfRule type="expression" dxfId="246" priority="41">
      <formula>P53&gt;Q53</formula>
    </cfRule>
  </conditionalFormatting>
  <conditionalFormatting sqref="S53:S66">
    <cfRule type="expression" dxfId="245" priority="40">
      <formula>S53&gt;T53</formula>
    </cfRule>
  </conditionalFormatting>
  <conditionalFormatting sqref="J74:J87">
    <cfRule type="expression" dxfId="244" priority="39">
      <formula>J74&gt;K74</formula>
    </cfRule>
  </conditionalFormatting>
  <conditionalFormatting sqref="M74:M87">
    <cfRule type="expression" dxfId="243" priority="38">
      <formula>M74&gt;N74</formula>
    </cfRule>
  </conditionalFormatting>
  <conditionalFormatting sqref="J93:J106">
    <cfRule type="expression" dxfId="242" priority="35">
      <formula>J93&gt;K93</formula>
    </cfRule>
  </conditionalFormatting>
  <conditionalFormatting sqref="M93:M106">
    <cfRule type="expression" dxfId="241" priority="34">
      <formula>M93&gt;N93</formula>
    </cfRule>
  </conditionalFormatting>
  <conditionalFormatting sqref="J112:J125">
    <cfRule type="expression" dxfId="240" priority="31">
      <formula>J112&gt;K112</formula>
    </cfRule>
  </conditionalFormatting>
  <conditionalFormatting sqref="M112:M125">
    <cfRule type="expression" dxfId="239" priority="30">
      <formula>M112&gt;N112</formula>
    </cfRule>
  </conditionalFormatting>
  <conditionalFormatting sqref="Y14:AB27 Y32:AB45">
    <cfRule type="cellIs" dxfId="238" priority="27" operator="greaterThan">
      <formula>4.58</formula>
    </cfRule>
  </conditionalFormatting>
  <conditionalFormatting sqref="J131:J144">
    <cfRule type="expression" dxfId="237" priority="20">
      <formula>J131&gt;K131</formula>
    </cfRule>
  </conditionalFormatting>
  <conditionalFormatting sqref="M131:M144">
    <cfRule type="expression" dxfId="236" priority="19">
      <formula>M131&gt;N131</formula>
    </cfRule>
  </conditionalFormatting>
  <conditionalFormatting sqref="J150:J163">
    <cfRule type="expression" dxfId="235" priority="17">
      <formula>J150&gt;K150</formula>
    </cfRule>
  </conditionalFormatting>
  <conditionalFormatting sqref="M150:M163">
    <cfRule type="expression" dxfId="234" priority="16">
      <formula>M150&gt;N150</formula>
    </cfRule>
  </conditionalFormatting>
  <conditionalFormatting sqref="P74:P87">
    <cfRule type="expression" dxfId="233" priority="14">
      <formula>P74&gt;Q74</formula>
    </cfRule>
  </conditionalFormatting>
  <conditionalFormatting sqref="S74:S87">
    <cfRule type="expression" dxfId="232" priority="13">
      <formula>S74&gt;T74</formula>
    </cfRule>
  </conditionalFormatting>
  <conditionalFormatting sqref="P93:P106">
    <cfRule type="expression" dxfId="231" priority="12">
      <formula>P93&gt;Q93</formula>
    </cfRule>
  </conditionalFormatting>
  <conditionalFormatting sqref="S93:S106">
    <cfRule type="expression" dxfId="230" priority="11">
      <formula>S93&gt;T93</formula>
    </cfRule>
  </conditionalFormatting>
  <conditionalFormatting sqref="P112:P125">
    <cfRule type="expression" dxfId="229" priority="10">
      <formula>P112&gt;Q112</formula>
    </cfRule>
  </conditionalFormatting>
  <conditionalFormatting sqref="S112:S125">
    <cfRule type="expression" dxfId="228" priority="9">
      <formula>S112&gt;T112</formula>
    </cfRule>
  </conditionalFormatting>
  <conditionalFormatting sqref="P131:P144">
    <cfRule type="expression" dxfId="227" priority="8">
      <formula>P131&gt;Q131</formula>
    </cfRule>
  </conditionalFormatting>
  <conditionalFormatting sqref="S131:S144">
    <cfRule type="expression" dxfId="226" priority="7">
      <formula>S131&gt;T131</formula>
    </cfRule>
  </conditionalFormatting>
  <conditionalFormatting sqref="P150:P163">
    <cfRule type="expression" dxfId="225" priority="6">
      <formula>P150&gt;Q150</formula>
    </cfRule>
  </conditionalFormatting>
  <conditionalFormatting sqref="S150:S163">
    <cfRule type="expression" dxfId="224" priority="5">
      <formula>S150&gt;T150</formula>
    </cfRule>
  </conditionalFormatting>
  <conditionalFormatting sqref="J169:J182">
    <cfRule type="expression" dxfId="223" priority="4">
      <formula>J169&gt;K169</formula>
    </cfRule>
  </conditionalFormatting>
  <conditionalFormatting sqref="M169:M182">
    <cfRule type="expression" dxfId="222" priority="3">
      <formula>M169&gt;N169</formula>
    </cfRule>
  </conditionalFormatting>
  <conditionalFormatting sqref="P169:P182">
    <cfRule type="expression" dxfId="221" priority="2">
      <formula>P169&gt;Q169</formula>
    </cfRule>
  </conditionalFormatting>
  <conditionalFormatting sqref="S169:S182">
    <cfRule type="expression" dxfId="220" priority="1">
      <formula>S169&gt;T169</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4" tint="-0.249977111117893"/>
  </sheetPr>
  <dimension ref="A1:DT100"/>
  <sheetViews>
    <sheetView topLeftCell="A69" zoomScale="85" zoomScaleNormal="110" workbookViewId="0">
      <selection activeCell="Q56" sqref="Q56"/>
    </sheetView>
  </sheetViews>
  <sheetFormatPr defaultColWidth="9.1796875" defaultRowHeight="11.5"/>
  <cols>
    <col min="1" max="1" width="10.54296875" style="2" bestFit="1" customWidth="1"/>
    <col min="2" max="2" width="29.1796875" style="2" customWidth="1"/>
    <col min="3" max="3" width="6.1796875" style="2" customWidth="1"/>
    <col min="4" max="4" width="23.26953125" style="2" customWidth="1"/>
    <col min="5" max="5" width="13.81640625" style="2" customWidth="1"/>
    <col min="6" max="6" width="11" style="2" bestFit="1" customWidth="1"/>
    <col min="7" max="7" width="11.81640625" style="2" customWidth="1"/>
    <col min="8" max="8" width="8" style="2" customWidth="1"/>
    <col min="9" max="9" width="12.81640625" style="2" customWidth="1"/>
    <col min="10" max="10" width="8.1796875" style="2" customWidth="1"/>
    <col min="11" max="11" width="11.1796875" style="2" customWidth="1"/>
    <col min="12" max="12" width="11.7265625" style="2" customWidth="1"/>
    <col min="13" max="13" width="12.1796875" style="2" customWidth="1"/>
    <col min="14" max="14" width="12.81640625" style="2" customWidth="1"/>
    <col min="15" max="18" width="10.1796875" style="2" customWidth="1"/>
    <col min="19" max="19" width="11.26953125" style="2" customWidth="1"/>
    <col min="20" max="20" width="10" style="2" customWidth="1"/>
    <col min="21" max="21" width="11.1796875" style="2" customWidth="1"/>
    <col min="22" max="23" width="9.1796875" style="2"/>
    <col min="24" max="24" width="7.81640625" style="2" customWidth="1"/>
    <col min="25" max="25" width="9.1796875" style="2" customWidth="1"/>
    <col min="26" max="26" width="13.1796875" style="2" bestFit="1" customWidth="1"/>
    <col min="27" max="27" width="9.1796875" style="2"/>
    <col min="28" max="28" width="11.1796875" style="2" customWidth="1"/>
    <col min="29" max="32" width="9.1796875" style="2"/>
    <col min="33" max="33" width="13" style="2" customWidth="1"/>
    <col min="34" max="34" width="9.1796875" style="2"/>
    <col min="35" max="35" width="12.1796875" style="2" customWidth="1"/>
    <col min="36" max="39" width="9.1796875" style="2"/>
    <col min="40" max="45" width="12.1796875" style="2" customWidth="1"/>
    <col min="46" max="60" width="13.81640625" style="2" customWidth="1"/>
    <col min="61" max="73" width="9.1796875" style="2"/>
    <col min="74" max="74" width="9.1796875" style="2" customWidth="1"/>
    <col min="75" max="16384" width="9.1796875" style="2"/>
  </cols>
  <sheetData>
    <row r="1" spans="1:12" ht="19.5">
      <c r="A1" s="885" t="s">
        <v>1368</v>
      </c>
      <c r="B1" s="885"/>
      <c r="C1" s="885"/>
      <c r="D1" s="885"/>
      <c r="E1" s="885"/>
      <c r="F1" s="885"/>
    </row>
    <row r="2" spans="1:12">
      <c r="B2" s="107" t="s">
        <v>212</v>
      </c>
      <c r="D2" s="1"/>
    </row>
    <row r="3" spans="1:12" ht="12.75" customHeight="1">
      <c r="D3" s="1"/>
    </row>
    <row r="4" spans="1:12" ht="27.75" customHeight="1">
      <c r="B4" s="1217" t="s">
        <v>308</v>
      </c>
      <c r="C4" s="1218"/>
      <c r="D4" s="1218"/>
      <c r="E4" s="1218"/>
      <c r="F4" s="1218"/>
      <c r="G4" s="1218"/>
      <c r="H4" s="1218"/>
      <c r="I4" s="1218"/>
    </row>
    <row r="5" spans="1:12" ht="12.75" customHeight="1">
      <c r="B5" s="1192" t="s">
        <v>214</v>
      </c>
      <c r="C5" s="1192"/>
      <c r="D5" s="1192"/>
      <c r="E5" s="1192"/>
      <c r="F5" s="1219" t="s">
        <v>215</v>
      </c>
      <c r="G5" s="1220"/>
      <c r="H5" s="1220"/>
      <c r="I5" s="1221"/>
    </row>
    <row r="6" spans="1:12" ht="29.25" customHeight="1">
      <c r="B6" s="1222" t="s">
        <v>309</v>
      </c>
      <c r="C6" s="1190"/>
      <c r="D6" s="1190"/>
      <c r="E6" s="1190"/>
      <c r="F6" s="1193" t="s">
        <v>310</v>
      </c>
      <c r="G6" s="1194"/>
      <c r="H6" s="1194"/>
      <c r="I6" s="1195"/>
    </row>
    <row r="7" spans="1:12" ht="40.5" customHeight="1">
      <c r="B7" s="1190" t="s">
        <v>311</v>
      </c>
      <c r="C7" s="1190"/>
      <c r="D7" s="1190"/>
      <c r="E7" s="1190"/>
      <c r="F7" s="1193" t="s">
        <v>312</v>
      </c>
      <c r="G7" s="1194"/>
      <c r="H7" s="1194"/>
      <c r="I7" s="1195"/>
    </row>
    <row r="8" spans="1:12" ht="40.5" customHeight="1">
      <c r="B8" s="1190" t="s">
        <v>313</v>
      </c>
      <c r="C8" s="1190"/>
      <c r="D8" s="1190"/>
      <c r="E8" s="1190"/>
      <c r="F8" s="1193" t="s">
        <v>314</v>
      </c>
      <c r="G8" s="1194"/>
      <c r="H8" s="1194"/>
      <c r="I8" s="1195"/>
    </row>
    <row r="9" spans="1:12" ht="52.5" customHeight="1">
      <c r="B9" s="1190" t="s">
        <v>315</v>
      </c>
      <c r="C9" s="1190"/>
      <c r="D9" s="1190"/>
      <c r="E9" s="1190"/>
      <c r="F9" s="1193" t="s">
        <v>316</v>
      </c>
      <c r="G9" s="1194"/>
      <c r="H9" s="1194"/>
      <c r="I9" s="1195"/>
    </row>
    <row r="11" spans="1:12">
      <c r="D11" s="1"/>
      <c r="E11" s="1"/>
      <c r="F11" s="1"/>
    </row>
    <row r="12" spans="1:12" ht="12" thickBot="1">
      <c r="B12" s="1223" t="s">
        <v>317</v>
      </c>
      <c r="C12" s="60"/>
      <c r="D12" s="1" t="s">
        <v>318</v>
      </c>
      <c r="E12" s="1"/>
      <c r="F12" s="1"/>
    </row>
    <row r="13" spans="1:12" ht="12" thickBot="1">
      <c r="B13" s="1223"/>
      <c r="C13" s="60"/>
      <c r="E13" s="617">
        <v>2016</v>
      </c>
      <c r="F13" s="618">
        <v>2017</v>
      </c>
      <c r="G13" s="618">
        <v>2018</v>
      </c>
      <c r="H13" s="618">
        <v>2019</v>
      </c>
      <c r="I13" s="618">
        <v>2020</v>
      </c>
      <c r="J13" s="618">
        <v>2021</v>
      </c>
      <c r="K13" s="618">
        <v>2022</v>
      </c>
      <c r="L13" s="619">
        <v>2023</v>
      </c>
    </row>
    <row r="14" spans="1:12">
      <c r="B14" s="1223"/>
      <c r="C14" s="60"/>
      <c r="D14" s="406" t="s">
        <v>319</v>
      </c>
      <c r="E14" s="620">
        <v>365.95107778000062</v>
      </c>
      <c r="F14" s="226">
        <v>60.385182369999931</v>
      </c>
      <c r="G14" s="226">
        <v>41.752304999999957</v>
      </c>
      <c r="H14" s="28">
        <v>64.306344999999936</v>
      </c>
      <c r="I14" s="28">
        <v>27.868729450104517</v>
      </c>
      <c r="J14" s="28">
        <v>45.609264299999921</v>
      </c>
      <c r="K14" s="28">
        <v>84.021519499823086</v>
      </c>
      <c r="L14" s="621"/>
    </row>
    <row r="15" spans="1:12">
      <c r="B15" s="1223"/>
      <c r="C15" s="60"/>
      <c r="D15" s="407" t="s">
        <v>320</v>
      </c>
      <c r="E15" s="620">
        <v>0.63915000000000344</v>
      </c>
      <c r="F15" s="226">
        <v>0.19042300000000001</v>
      </c>
      <c r="G15" s="226">
        <v>0.32350000000000001</v>
      </c>
      <c r="H15" s="28">
        <v>0.51100000000000001</v>
      </c>
      <c r="I15" s="28">
        <v>1.4233410000000342</v>
      </c>
      <c r="J15" s="28">
        <v>1.7620980000000595</v>
      </c>
      <c r="K15" s="28">
        <v>3.8777100000000799</v>
      </c>
      <c r="L15" s="621"/>
    </row>
    <row r="16" spans="1:12">
      <c r="B16" s="1223"/>
      <c r="C16" s="60"/>
      <c r="D16" s="407" t="s">
        <v>321</v>
      </c>
      <c r="E16" s="620">
        <v>3404.3641799999996</v>
      </c>
      <c r="F16" s="226">
        <v>3394.3850900000002</v>
      </c>
      <c r="G16" s="226">
        <v>1783.6005999999998</v>
      </c>
      <c r="H16" s="28">
        <v>941.92233999999996</v>
      </c>
      <c r="I16" s="972">
        <v>1186.5993559999999</v>
      </c>
      <c r="J16" s="28">
        <v>957.97217999999987</v>
      </c>
      <c r="K16" s="28">
        <v>1043.3754787157243</v>
      </c>
      <c r="L16" s="621"/>
    </row>
    <row r="17" spans="2:51">
      <c r="B17" s="1223"/>
      <c r="C17" s="60"/>
    </row>
    <row r="18" spans="2:51">
      <c r="B18" s="1223"/>
      <c r="C18" s="60"/>
    </row>
    <row r="19" spans="2:51">
      <c r="B19" s="1223"/>
      <c r="C19" s="60"/>
    </row>
    <row r="21" spans="2:51">
      <c r="B21" s="189" t="s">
        <v>322</v>
      </c>
      <c r="C21" s="60"/>
      <c r="D21" s="1"/>
    </row>
    <row r="22" spans="2:51" ht="12" thickBot="1">
      <c r="B22" s="189"/>
      <c r="C22" s="60"/>
      <c r="D22" s="1" t="s">
        <v>1359</v>
      </c>
    </row>
    <row r="23" spans="2:51">
      <c r="B23" s="190"/>
      <c r="C23" s="60"/>
      <c r="E23" s="1"/>
      <c r="F23" s="622" t="s">
        <v>323</v>
      </c>
      <c r="G23" s="1007"/>
      <c r="H23" s="1007"/>
      <c r="I23" s="622" t="s">
        <v>324</v>
      </c>
      <c r="J23" s="1007"/>
      <c r="K23" s="624"/>
    </row>
    <row r="24" spans="2:51" ht="35" thickBot="1">
      <c r="B24" s="190"/>
      <c r="C24" s="60"/>
      <c r="E24" s="1"/>
      <c r="F24" s="554" t="s">
        <v>325</v>
      </c>
      <c r="G24" s="100" t="s">
        <v>326</v>
      </c>
      <c r="H24" s="382" t="s">
        <v>327</v>
      </c>
      <c r="I24" s="554" t="s">
        <v>325</v>
      </c>
      <c r="J24" s="100" t="s">
        <v>326</v>
      </c>
      <c r="K24" s="548" t="s">
        <v>327</v>
      </c>
    </row>
    <row r="25" spans="2:51" ht="46.5" thickBot="1">
      <c r="B25" s="190"/>
      <c r="C25" s="60"/>
      <c r="E25" s="448" t="s">
        <v>328</v>
      </c>
      <c r="F25" s="399">
        <v>9.140409588054009</v>
      </c>
      <c r="G25" s="25">
        <v>46.382113602939704</v>
      </c>
      <c r="H25" s="629">
        <v>55.522523190993716</v>
      </c>
      <c r="I25" s="399">
        <v>14.45688561967498</v>
      </c>
      <c r="J25" s="25">
        <v>57.009324715965541</v>
      </c>
      <c r="K25" s="417">
        <v>71.466210335640511</v>
      </c>
    </row>
    <row r="26" spans="2:51" ht="14.25" customHeight="1">
      <c r="B26" s="190"/>
      <c r="C26" s="60"/>
      <c r="D26" s="633" t="s">
        <v>329</v>
      </c>
      <c r="E26" s="587">
        <v>2016</v>
      </c>
      <c r="F26" s="399">
        <f>E56</f>
        <v>4.9130187741674787</v>
      </c>
      <c r="G26" s="25">
        <f>G56</f>
        <v>35.719634415852525</v>
      </c>
      <c r="H26" s="629">
        <v>40.695030737332146</v>
      </c>
      <c r="I26" s="399">
        <f>I56</f>
        <v>7.4384190171695161</v>
      </c>
      <c r="J26" s="25">
        <f>K56</f>
        <v>43.160396904109561</v>
      </c>
      <c r="K26" s="417">
        <v>50.793622237040445</v>
      </c>
    </row>
    <row r="27" spans="2:51">
      <c r="B27" s="190"/>
      <c r="C27" s="60"/>
      <c r="D27" s="634"/>
      <c r="E27" s="587">
        <v>2017</v>
      </c>
      <c r="F27" s="399">
        <f>U56</f>
        <v>4.6411166244210005</v>
      </c>
      <c r="G27" s="25">
        <f>W56</f>
        <v>43.505554528024618</v>
      </c>
      <c r="H27" s="629">
        <v>48.146671152445613</v>
      </c>
      <c r="I27" s="399">
        <f>Y56</f>
        <v>7.1784337108840202</v>
      </c>
      <c r="J27" s="25">
        <f>AA56</f>
        <v>53.138716117801145</v>
      </c>
      <c r="K27" s="417">
        <v>60.31714982868516</v>
      </c>
      <c r="AY27" s="9"/>
    </row>
    <row r="28" spans="2:51">
      <c r="B28" s="190"/>
      <c r="C28" s="60"/>
      <c r="D28" s="634"/>
      <c r="E28" s="587">
        <v>2018</v>
      </c>
      <c r="F28" s="399">
        <f>AJ56</f>
        <v>4.9792608768401792</v>
      </c>
      <c r="G28" s="25">
        <f>AL56</f>
        <v>38.627184385188301</v>
      </c>
      <c r="H28" s="629">
        <v>43.60644526202848</v>
      </c>
      <c r="I28" s="399">
        <f>AN56</f>
        <v>8.9068179391928428</v>
      </c>
      <c r="J28" s="25">
        <f>AP56</f>
        <v>47.516355946608535</v>
      </c>
      <c r="K28" s="417">
        <v>56.423173885801383</v>
      </c>
      <c r="AY28" s="9"/>
    </row>
    <row r="29" spans="2:51">
      <c r="B29" s="190"/>
      <c r="C29" s="60"/>
      <c r="D29" s="634"/>
      <c r="E29" s="587">
        <v>2019</v>
      </c>
      <c r="F29" s="399">
        <f>AY56</f>
        <v>4.8298550347236295</v>
      </c>
      <c r="G29" s="25">
        <f>BA56</f>
        <v>36.176098761977883</v>
      </c>
      <c r="H29" s="629">
        <v>41.005953796701519</v>
      </c>
      <c r="I29" s="399">
        <f>BC56</f>
        <v>8.0012250286733462</v>
      </c>
      <c r="J29" s="25">
        <f>BE56</f>
        <v>44.717065551173867</v>
      </c>
      <c r="K29" s="417">
        <v>52.718290579847228</v>
      </c>
      <c r="AY29" s="9"/>
    </row>
    <row r="30" spans="2:51">
      <c r="B30" s="190"/>
      <c r="C30" s="60"/>
      <c r="D30" s="634"/>
      <c r="E30" s="587">
        <v>2020</v>
      </c>
      <c r="F30" s="399">
        <f>BN56</f>
        <v>4.1065802197887882</v>
      </c>
      <c r="G30" s="25">
        <f>BP56</f>
        <v>33.988451202661714</v>
      </c>
      <c r="H30" s="629">
        <v>38.095031422450496</v>
      </c>
      <c r="I30" s="399">
        <f>BR56</f>
        <v>6.260514906623956</v>
      </c>
      <c r="J30" s="25">
        <f>BT56</f>
        <v>41.34040033544742</v>
      </c>
      <c r="K30" s="417">
        <v>47.600915242071373</v>
      </c>
      <c r="AY30" s="9"/>
    </row>
    <row r="31" spans="2:51">
      <c r="B31" s="190"/>
      <c r="C31" s="60"/>
      <c r="D31" s="634"/>
      <c r="E31" s="587">
        <v>2021</v>
      </c>
      <c r="F31" s="399">
        <f>CC56</f>
        <v>3.6021550356482774</v>
      </c>
      <c r="G31" s="399">
        <f>CE56</f>
        <v>36.746883315423865</v>
      </c>
      <c r="H31" s="629">
        <v>40.349038351072139</v>
      </c>
      <c r="I31" s="399">
        <f>CG56</f>
        <v>6.1184236421256708</v>
      </c>
      <c r="J31" s="399">
        <f>CI56</f>
        <v>49.026079189050222</v>
      </c>
      <c r="K31" s="417">
        <v>55.144502831175892</v>
      </c>
      <c r="S31" s="9"/>
      <c r="AY31" s="9"/>
    </row>
    <row r="32" spans="2:51">
      <c r="B32" s="190"/>
      <c r="C32" s="60"/>
      <c r="D32" s="634"/>
      <c r="E32" s="587">
        <v>2022</v>
      </c>
      <c r="F32" s="399">
        <f>CR56</f>
        <v>3.7274409847347481</v>
      </c>
      <c r="G32" s="399">
        <f>CT56</f>
        <v>35.758336539741116</v>
      </c>
      <c r="H32" s="629">
        <v>39.485777524475864</v>
      </c>
      <c r="I32" s="399">
        <f>CV56</f>
        <v>6.9651048053432927</v>
      </c>
      <c r="J32" s="399">
        <f>CX56</f>
        <v>42.127420196972437</v>
      </c>
      <c r="K32" s="417">
        <v>49.092525002315732</v>
      </c>
      <c r="AY32" s="9"/>
    </row>
    <row r="33" spans="2:124" ht="12" thickBot="1">
      <c r="B33" s="190"/>
      <c r="C33" s="60"/>
      <c r="D33" s="635"/>
      <c r="E33" s="587">
        <v>2023</v>
      </c>
      <c r="F33" s="423"/>
      <c r="G33" s="132"/>
      <c r="H33" s="630"/>
      <c r="I33" s="423"/>
      <c r="J33" s="132"/>
      <c r="K33" s="424"/>
    </row>
    <row r="34" spans="2:124">
      <c r="B34" s="190"/>
      <c r="C34" s="60"/>
      <c r="E34" s="632" t="s">
        <v>330</v>
      </c>
      <c r="F34" s="625">
        <f>F25-F32</f>
        <v>5.4129686033192606</v>
      </c>
      <c r="G34" s="625">
        <f t="shared" ref="G34:K34" si="0">G25-G32</f>
        <v>10.623777063198588</v>
      </c>
      <c r="H34" s="625">
        <f t="shared" si="0"/>
        <v>16.036745666517852</v>
      </c>
      <c r="I34" s="625">
        <f t="shared" si="0"/>
        <v>7.4917808143316869</v>
      </c>
      <c r="J34" s="625">
        <f t="shared" si="0"/>
        <v>14.881904518993103</v>
      </c>
      <c r="K34" s="625">
        <f t="shared" si="0"/>
        <v>22.373685333324779</v>
      </c>
    </row>
    <row r="35" spans="2:124" ht="23.5" thickBot="1">
      <c r="B35" s="190"/>
      <c r="C35" s="60"/>
      <c r="E35" s="452" t="s">
        <v>331</v>
      </c>
      <c r="F35" s="626">
        <f t="shared" ref="F35:K35" si="1">F34/F25</f>
        <v>0.5922019742303124</v>
      </c>
      <c r="G35" s="627">
        <f t="shared" si="1"/>
        <v>0.22904900699750025</v>
      </c>
      <c r="H35" s="631">
        <f t="shared" si="1"/>
        <v>0.28883315715592633</v>
      </c>
      <c r="I35" s="626">
        <f t="shared" si="1"/>
        <v>0.51821540347084227</v>
      </c>
      <c r="J35" s="627">
        <f t="shared" si="1"/>
        <v>0.26104333971921972</v>
      </c>
      <c r="K35" s="628">
        <f t="shared" si="1"/>
        <v>0.31306662586762246</v>
      </c>
    </row>
    <row r="36" spans="2:124">
      <c r="B36" s="190"/>
      <c r="C36" s="60"/>
      <c r="E36" s="10"/>
      <c r="F36" s="10"/>
      <c r="G36" s="10"/>
      <c r="H36" s="10"/>
      <c r="I36" s="10"/>
      <c r="J36" s="10"/>
    </row>
    <row r="37" spans="2:124">
      <c r="B37" s="190"/>
      <c r="C37" s="60"/>
      <c r="E37" s="10"/>
      <c r="F37" s="10"/>
      <c r="G37" s="10"/>
      <c r="H37" s="10"/>
      <c r="I37" s="10"/>
      <c r="J37" s="10"/>
    </row>
    <row r="38" spans="2:124" ht="11.25" customHeight="1" thickBot="1">
      <c r="B38" s="190"/>
      <c r="C38" s="60"/>
      <c r="D38" s="140"/>
      <c r="E38" s="1" t="s">
        <v>137</v>
      </c>
      <c r="F38" s="1"/>
      <c r="G38" s="1"/>
      <c r="H38" s="1"/>
      <c r="I38" s="1"/>
      <c r="J38" s="1"/>
      <c r="K38" s="1"/>
      <c r="L38" s="1"/>
      <c r="M38" s="1"/>
      <c r="O38" s="636"/>
      <c r="P38" s="636"/>
      <c r="Q38" s="636"/>
      <c r="R38" s="636"/>
      <c r="U38" s="636" t="s">
        <v>138</v>
      </c>
      <c r="V38" s="636"/>
      <c r="W38" s="636"/>
      <c r="X38" s="636"/>
      <c r="Y38" s="636"/>
      <c r="Z38" s="636"/>
      <c r="AA38" s="636"/>
      <c r="AB38" s="636"/>
      <c r="AC38" s="636"/>
      <c r="AD38" s="636"/>
      <c r="AE38" s="636"/>
      <c r="AF38" s="636"/>
      <c r="AG38" s="636"/>
      <c r="AH38" s="636"/>
      <c r="AJ38" s="133" t="s">
        <v>139</v>
      </c>
      <c r="AK38" s="133"/>
      <c r="AL38" s="133"/>
      <c r="AM38" s="133"/>
      <c r="AN38" s="133"/>
      <c r="AO38" s="133"/>
      <c r="AP38" s="133"/>
      <c r="AQ38" s="133"/>
      <c r="AS38" s="133"/>
      <c r="AT38" s="133"/>
      <c r="AU38" s="133"/>
      <c r="AV38" s="133"/>
      <c r="AW38" s="133"/>
      <c r="AY38" s="133" t="s">
        <v>140</v>
      </c>
      <c r="AZ38" s="133"/>
      <c r="BA38" s="133"/>
      <c r="BB38" s="133"/>
      <c r="BC38" s="133"/>
      <c r="BD38" s="133"/>
      <c r="BE38" s="133"/>
      <c r="BF38" s="133"/>
      <c r="BG38" s="133"/>
      <c r="BH38" s="133"/>
      <c r="BI38" s="133"/>
      <c r="BJ38" s="133"/>
      <c r="BK38" s="133"/>
      <c r="BL38" s="133"/>
      <c r="BN38" s="133" t="s">
        <v>141</v>
      </c>
      <c r="BO38" s="133"/>
      <c r="BP38" s="133"/>
      <c r="BQ38" s="133"/>
      <c r="BR38" s="133"/>
      <c r="BS38" s="133"/>
      <c r="BT38" s="133"/>
      <c r="BU38" s="133"/>
      <c r="BV38" s="133"/>
      <c r="BW38" s="133"/>
      <c r="BX38" s="133"/>
      <c r="BY38" s="133"/>
      <c r="BZ38" s="133"/>
      <c r="CA38" s="133"/>
      <c r="CC38" s="133" t="s">
        <v>126</v>
      </c>
      <c r="CD38" s="133"/>
      <c r="CE38" s="133"/>
      <c r="CF38" s="133"/>
      <c r="CG38" s="133"/>
      <c r="CH38" s="133"/>
      <c r="CI38" s="133"/>
      <c r="CJ38" s="133"/>
      <c r="CK38" s="133"/>
      <c r="CL38" s="133"/>
      <c r="CM38" s="133"/>
      <c r="CN38" s="133"/>
      <c r="CO38" s="133"/>
      <c r="CP38" s="133"/>
      <c r="CR38" s="133" t="s">
        <v>332</v>
      </c>
      <c r="CS38" s="133"/>
      <c r="CT38" s="133"/>
      <c r="CU38" s="133"/>
      <c r="CV38" s="133"/>
      <c r="CW38" s="133"/>
      <c r="CX38" s="133"/>
      <c r="CY38" s="133"/>
      <c r="CZ38" s="133"/>
      <c r="DA38" s="133"/>
      <c r="DB38" s="133"/>
      <c r="DC38" s="133"/>
      <c r="DD38" s="133"/>
      <c r="DE38" s="133"/>
      <c r="DG38" s="133" t="s">
        <v>333</v>
      </c>
      <c r="DH38" s="133"/>
      <c r="DI38" s="133"/>
      <c r="DJ38" s="133"/>
      <c r="DK38" s="133"/>
      <c r="DL38" s="133"/>
      <c r="DM38" s="133"/>
      <c r="DN38" s="133"/>
      <c r="DO38" s="133"/>
      <c r="DP38" s="133"/>
      <c r="DQ38" s="133"/>
      <c r="DR38" s="133"/>
      <c r="DS38" s="133"/>
      <c r="DT38" s="133"/>
    </row>
    <row r="39" spans="2:124" ht="33.75" customHeight="1">
      <c r="B39" s="190"/>
      <c r="C39" s="60"/>
      <c r="D39" s="1"/>
      <c r="E39" s="1224" t="s">
        <v>323</v>
      </c>
      <c r="F39" s="1225"/>
      <c r="G39" s="1225"/>
      <c r="H39" s="1226"/>
      <c r="I39" s="1227" t="s">
        <v>324</v>
      </c>
      <c r="J39" s="1180"/>
      <c r="K39" s="1180"/>
      <c r="L39" s="1228"/>
      <c r="M39" s="1227" t="s">
        <v>334</v>
      </c>
      <c r="N39" s="1228"/>
      <c r="O39" s="1232" t="s">
        <v>335</v>
      </c>
      <c r="P39" s="1234"/>
      <c r="Q39" s="1234"/>
      <c r="R39" s="1235"/>
      <c r="U39" s="1224" t="s">
        <v>323</v>
      </c>
      <c r="V39" s="1225"/>
      <c r="W39" s="1225"/>
      <c r="X39" s="1226"/>
      <c r="Y39" s="1227" t="s">
        <v>324</v>
      </c>
      <c r="Z39" s="1180"/>
      <c r="AA39" s="1180"/>
      <c r="AB39" s="1228"/>
      <c r="AC39" s="1232" t="s">
        <v>336</v>
      </c>
      <c r="AD39" s="1233"/>
      <c r="AE39" s="1232" t="s">
        <v>335</v>
      </c>
      <c r="AF39" s="1234"/>
      <c r="AG39" s="1234"/>
      <c r="AH39" s="1235"/>
      <c r="AJ39" s="1224" t="s">
        <v>323</v>
      </c>
      <c r="AK39" s="1225"/>
      <c r="AL39" s="1225"/>
      <c r="AM39" s="1226"/>
      <c r="AN39" s="1227" t="s">
        <v>324</v>
      </c>
      <c r="AO39" s="1180"/>
      <c r="AP39" s="1180"/>
      <c r="AQ39" s="1228"/>
      <c r="AR39" s="1232" t="s">
        <v>336</v>
      </c>
      <c r="AS39" s="1233"/>
      <c r="AT39" s="1232" t="s">
        <v>335</v>
      </c>
      <c r="AU39" s="1234"/>
      <c r="AV39" s="1234"/>
      <c r="AW39" s="1235"/>
      <c r="AY39" s="1224" t="s">
        <v>323</v>
      </c>
      <c r="AZ39" s="1225"/>
      <c r="BA39" s="1225"/>
      <c r="BB39" s="1226"/>
      <c r="BC39" s="1227" t="s">
        <v>324</v>
      </c>
      <c r="BD39" s="1180"/>
      <c r="BE39" s="1180"/>
      <c r="BF39" s="1228"/>
      <c r="BG39" s="1232" t="s">
        <v>336</v>
      </c>
      <c r="BH39" s="1233"/>
      <c r="BI39" s="1232" t="s">
        <v>335</v>
      </c>
      <c r="BJ39" s="1234"/>
      <c r="BK39" s="1234"/>
      <c r="BL39" s="1235"/>
      <c r="BN39" s="1224" t="s">
        <v>323</v>
      </c>
      <c r="BO39" s="1225"/>
      <c r="BP39" s="1225"/>
      <c r="BQ39" s="1226"/>
      <c r="BR39" s="1227" t="s">
        <v>324</v>
      </c>
      <c r="BS39" s="1180"/>
      <c r="BT39" s="1180"/>
      <c r="BU39" s="1228"/>
      <c r="BV39" s="1232" t="s">
        <v>336</v>
      </c>
      <c r="BW39" s="1233"/>
      <c r="BX39" s="1232" t="s">
        <v>335</v>
      </c>
      <c r="BY39" s="1234"/>
      <c r="BZ39" s="1234"/>
      <c r="CA39" s="1235"/>
      <c r="CC39" s="1224" t="s">
        <v>323</v>
      </c>
      <c r="CD39" s="1225"/>
      <c r="CE39" s="1225"/>
      <c r="CF39" s="1226"/>
      <c r="CG39" s="1227" t="s">
        <v>324</v>
      </c>
      <c r="CH39" s="1180"/>
      <c r="CI39" s="1180"/>
      <c r="CJ39" s="1228"/>
      <c r="CK39" s="1232" t="s">
        <v>336</v>
      </c>
      <c r="CL39" s="1233"/>
      <c r="CM39" s="1232" t="s">
        <v>335</v>
      </c>
      <c r="CN39" s="1234"/>
      <c r="CO39" s="1234"/>
      <c r="CP39" s="1235"/>
      <c r="CR39" s="1224" t="s">
        <v>323</v>
      </c>
      <c r="CS39" s="1225"/>
      <c r="CT39" s="1225"/>
      <c r="CU39" s="1226"/>
      <c r="CV39" s="1227" t="s">
        <v>324</v>
      </c>
      <c r="CW39" s="1180"/>
      <c r="CX39" s="1180"/>
      <c r="CY39" s="1228"/>
      <c r="CZ39" s="1232" t="s">
        <v>336</v>
      </c>
      <c r="DA39" s="1233"/>
      <c r="DB39" s="1232" t="s">
        <v>335</v>
      </c>
      <c r="DC39" s="1234"/>
      <c r="DD39" s="1234"/>
      <c r="DE39" s="1235"/>
      <c r="DG39" s="1224" t="s">
        <v>323</v>
      </c>
      <c r="DH39" s="1225"/>
      <c r="DI39" s="1225"/>
      <c r="DJ39" s="1226"/>
      <c r="DK39" s="1227" t="s">
        <v>324</v>
      </c>
      <c r="DL39" s="1180"/>
      <c r="DM39" s="1180"/>
      <c r="DN39" s="1228"/>
      <c r="DO39" s="1232" t="s">
        <v>336</v>
      </c>
      <c r="DP39" s="1233"/>
      <c r="DQ39" s="1232" t="s">
        <v>335</v>
      </c>
      <c r="DR39" s="1234"/>
      <c r="DS39" s="1234"/>
      <c r="DT39" s="1235"/>
    </row>
    <row r="40" spans="2:124" ht="35" thickBot="1">
      <c r="B40" s="190"/>
      <c r="C40" s="60"/>
      <c r="D40" s="56"/>
      <c r="E40" s="639" t="s">
        <v>325</v>
      </c>
      <c r="F40" s="327" t="s">
        <v>63</v>
      </c>
      <c r="G40" s="74" t="s">
        <v>326</v>
      </c>
      <c r="H40" s="327" t="s">
        <v>63</v>
      </c>
      <c r="I40" s="74" t="s">
        <v>337</v>
      </c>
      <c r="J40" s="74" t="s">
        <v>63</v>
      </c>
      <c r="K40" s="75" t="s">
        <v>326</v>
      </c>
      <c r="L40" s="75" t="s">
        <v>63</v>
      </c>
      <c r="M40" s="57" t="s">
        <v>338</v>
      </c>
      <c r="N40" s="57" t="s">
        <v>1360</v>
      </c>
      <c r="O40" s="100" t="s">
        <v>339</v>
      </c>
      <c r="P40" s="100" t="s">
        <v>340</v>
      </c>
      <c r="Q40" s="100" t="s">
        <v>341</v>
      </c>
      <c r="R40" s="548" t="s">
        <v>342</v>
      </c>
      <c r="U40" s="639" t="s">
        <v>325</v>
      </c>
      <c r="V40" s="73" t="s">
        <v>63</v>
      </c>
      <c r="W40" s="74" t="s">
        <v>326</v>
      </c>
      <c r="X40" s="74" t="s">
        <v>343</v>
      </c>
      <c r="Y40" s="74" t="s">
        <v>337</v>
      </c>
      <c r="Z40" s="74" t="s">
        <v>343</v>
      </c>
      <c r="AA40" s="75" t="s">
        <v>326</v>
      </c>
      <c r="AB40" s="75" t="s">
        <v>343</v>
      </c>
      <c r="AC40" s="57" t="s">
        <v>338</v>
      </c>
      <c r="AD40" s="57" t="s">
        <v>1360</v>
      </c>
      <c r="AE40" s="100" t="s">
        <v>339</v>
      </c>
      <c r="AF40" s="100" t="s">
        <v>340</v>
      </c>
      <c r="AG40" s="100" t="s">
        <v>341</v>
      </c>
      <c r="AH40" s="548" t="s">
        <v>342</v>
      </c>
      <c r="AJ40" s="639" t="s">
        <v>325</v>
      </c>
      <c r="AK40" s="73" t="s">
        <v>63</v>
      </c>
      <c r="AL40" s="74" t="s">
        <v>326</v>
      </c>
      <c r="AM40" s="74" t="s">
        <v>63</v>
      </c>
      <c r="AN40" s="74" t="s">
        <v>337</v>
      </c>
      <c r="AO40" s="74" t="s">
        <v>63</v>
      </c>
      <c r="AP40" s="75" t="s">
        <v>326</v>
      </c>
      <c r="AQ40" s="75" t="s">
        <v>63</v>
      </c>
      <c r="AR40" s="57" t="s">
        <v>338</v>
      </c>
      <c r="AS40" s="57" t="s">
        <v>1360</v>
      </c>
      <c r="AT40" s="100" t="s">
        <v>339</v>
      </c>
      <c r="AU40" s="100" t="s">
        <v>340</v>
      </c>
      <c r="AV40" s="100" t="s">
        <v>341</v>
      </c>
      <c r="AW40" s="548" t="s">
        <v>342</v>
      </c>
      <c r="AY40" s="639" t="s">
        <v>325</v>
      </c>
      <c r="AZ40" s="73" t="s">
        <v>63</v>
      </c>
      <c r="BA40" s="74" t="s">
        <v>326</v>
      </c>
      <c r="BB40" s="74" t="s">
        <v>63</v>
      </c>
      <c r="BC40" s="74" t="s">
        <v>337</v>
      </c>
      <c r="BD40" s="74" t="s">
        <v>63</v>
      </c>
      <c r="BE40" s="75" t="s">
        <v>326</v>
      </c>
      <c r="BF40" s="75" t="s">
        <v>63</v>
      </c>
      <c r="BG40" s="57" t="s">
        <v>338</v>
      </c>
      <c r="BH40" s="57" t="s">
        <v>1360</v>
      </c>
      <c r="BI40" s="100" t="s">
        <v>339</v>
      </c>
      <c r="BJ40" s="100" t="s">
        <v>340</v>
      </c>
      <c r="BK40" s="100" t="s">
        <v>341</v>
      </c>
      <c r="BL40" s="548" t="s">
        <v>342</v>
      </c>
      <c r="BN40" s="639" t="s">
        <v>325</v>
      </c>
      <c r="BO40" s="73" t="s">
        <v>63</v>
      </c>
      <c r="BP40" s="74" t="s">
        <v>326</v>
      </c>
      <c r="BQ40" s="74" t="s">
        <v>63</v>
      </c>
      <c r="BR40" s="74" t="s">
        <v>337</v>
      </c>
      <c r="BS40" s="74" t="s">
        <v>63</v>
      </c>
      <c r="BT40" s="75" t="s">
        <v>326</v>
      </c>
      <c r="BU40" s="75" t="s">
        <v>63</v>
      </c>
      <c r="BV40" s="57" t="s">
        <v>338</v>
      </c>
      <c r="BW40" s="57" t="s">
        <v>1360</v>
      </c>
      <c r="BX40" s="100" t="s">
        <v>339</v>
      </c>
      <c r="BY40" s="100" t="s">
        <v>340</v>
      </c>
      <c r="BZ40" s="100" t="s">
        <v>341</v>
      </c>
      <c r="CA40" s="548" t="s">
        <v>342</v>
      </c>
      <c r="CC40" s="639" t="s">
        <v>325</v>
      </c>
      <c r="CD40" s="73" t="s">
        <v>63</v>
      </c>
      <c r="CE40" s="74" t="s">
        <v>326</v>
      </c>
      <c r="CF40" s="74" t="s">
        <v>63</v>
      </c>
      <c r="CG40" s="74" t="s">
        <v>337</v>
      </c>
      <c r="CH40" s="74" t="s">
        <v>63</v>
      </c>
      <c r="CI40" s="75" t="s">
        <v>326</v>
      </c>
      <c r="CJ40" s="75" t="s">
        <v>63</v>
      </c>
      <c r="CK40" s="57" t="s">
        <v>338</v>
      </c>
      <c r="CL40" s="57" t="s">
        <v>1360</v>
      </c>
      <c r="CM40" s="100" t="s">
        <v>339</v>
      </c>
      <c r="CN40" s="100" t="s">
        <v>340</v>
      </c>
      <c r="CO40" s="100" t="s">
        <v>341</v>
      </c>
      <c r="CP40" s="548" t="s">
        <v>342</v>
      </c>
      <c r="CR40" s="639" t="s">
        <v>325</v>
      </c>
      <c r="CS40" s="73" t="s">
        <v>63</v>
      </c>
      <c r="CT40" s="74" t="s">
        <v>326</v>
      </c>
      <c r="CU40" s="74" t="s">
        <v>63</v>
      </c>
      <c r="CV40" s="74" t="s">
        <v>337</v>
      </c>
      <c r="CW40" s="74" t="s">
        <v>63</v>
      </c>
      <c r="CX40" s="75" t="s">
        <v>326</v>
      </c>
      <c r="CY40" s="75" t="s">
        <v>63</v>
      </c>
      <c r="CZ40" s="57" t="s">
        <v>338</v>
      </c>
      <c r="DA40" s="57" t="s">
        <v>1360</v>
      </c>
      <c r="DB40" s="100" t="s">
        <v>339</v>
      </c>
      <c r="DC40" s="100" t="s">
        <v>340</v>
      </c>
      <c r="DD40" s="100" t="s">
        <v>341</v>
      </c>
      <c r="DE40" s="548" t="s">
        <v>342</v>
      </c>
      <c r="DG40" s="639" t="s">
        <v>325</v>
      </c>
      <c r="DH40" s="73" t="s">
        <v>63</v>
      </c>
      <c r="DI40" s="74" t="s">
        <v>326</v>
      </c>
      <c r="DJ40" s="74" t="s">
        <v>63</v>
      </c>
      <c r="DK40" s="74" t="s">
        <v>337</v>
      </c>
      <c r="DL40" s="74" t="s">
        <v>63</v>
      </c>
      <c r="DM40" s="75" t="s">
        <v>326</v>
      </c>
      <c r="DN40" s="75" t="s">
        <v>63</v>
      </c>
      <c r="DO40" s="57" t="s">
        <v>338</v>
      </c>
      <c r="DP40" s="57" t="s">
        <v>344</v>
      </c>
      <c r="DQ40" s="100" t="s">
        <v>339</v>
      </c>
      <c r="DR40" s="100" t="s">
        <v>340</v>
      </c>
      <c r="DS40" s="100" t="s">
        <v>341</v>
      </c>
      <c r="DT40" s="548" t="s">
        <v>342</v>
      </c>
    </row>
    <row r="41" spans="2:124" ht="12.75" customHeight="1" thickBot="1">
      <c r="B41" s="190"/>
      <c r="C41" s="60"/>
      <c r="D41" s="646"/>
      <c r="E41" s="387" t="s">
        <v>345</v>
      </c>
      <c r="F41" s="327"/>
      <c r="G41" s="327"/>
      <c r="H41" s="327"/>
      <c r="I41" s="327"/>
      <c r="J41" s="327"/>
      <c r="K41" s="327"/>
      <c r="L41" s="327"/>
      <c r="M41" s="57"/>
      <c r="N41" s="57"/>
      <c r="O41" s="100"/>
      <c r="P41" s="100"/>
      <c r="Q41" s="100"/>
      <c r="R41" s="548"/>
      <c r="U41" s="640" t="s">
        <v>345</v>
      </c>
      <c r="V41" s="327"/>
      <c r="W41" s="327"/>
      <c r="X41" s="327"/>
      <c r="Y41" s="327"/>
      <c r="Z41" s="327"/>
      <c r="AA41" s="327"/>
      <c r="AB41" s="327"/>
      <c r="AC41" s="57"/>
      <c r="AD41" s="57"/>
      <c r="AE41" s="100"/>
      <c r="AF41" s="100"/>
      <c r="AG41" s="100"/>
      <c r="AH41" s="548"/>
      <c r="AJ41" s="656" t="s">
        <v>345</v>
      </c>
      <c r="AK41" s="386"/>
      <c r="AL41" s="386"/>
      <c r="AM41" s="387"/>
      <c r="AN41" s="386"/>
      <c r="AO41" s="386"/>
      <c r="AP41" s="387"/>
      <c r="AQ41" s="387"/>
      <c r="AR41" s="57"/>
      <c r="AS41" s="57"/>
      <c r="AT41" s="100"/>
      <c r="AU41" s="100"/>
      <c r="AV41" s="100"/>
      <c r="AW41" s="548"/>
      <c r="AY41" s="656" t="s">
        <v>345</v>
      </c>
      <c r="AZ41" s="386"/>
      <c r="BA41" s="386"/>
      <c r="BB41" s="387"/>
      <c r="BC41" s="386"/>
      <c r="BD41" s="386"/>
      <c r="BE41" s="387"/>
      <c r="BF41" s="387"/>
      <c r="BG41" s="57"/>
      <c r="BH41" s="57"/>
      <c r="BI41" s="100"/>
      <c r="BJ41" s="100"/>
      <c r="BK41" s="100"/>
      <c r="BL41" s="548"/>
      <c r="BN41" s="656" t="s">
        <v>345</v>
      </c>
      <c r="BO41" s="386"/>
      <c r="BP41" s="386"/>
      <c r="BQ41" s="387"/>
      <c r="BR41" s="386"/>
      <c r="BS41" s="386"/>
      <c r="BT41" s="387"/>
      <c r="BU41" s="387"/>
      <c r="BV41" s="57"/>
      <c r="BW41" s="57"/>
      <c r="BX41" s="100"/>
      <c r="BY41" s="100"/>
      <c r="BZ41" s="100"/>
      <c r="CA41" s="548"/>
      <c r="CC41" s="656" t="s">
        <v>345</v>
      </c>
      <c r="CD41" s="386"/>
      <c r="CE41" s="386"/>
      <c r="CF41" s="387"/>
      <c r="CG41" s="386"/>
      <c r="CH41" s="386"/>
      <c r="CI41" s="387"/>
      <c r="CJ41" s="387"/>
      <c r="CK41" s="57"/>
      <c r="CL41" s="57"/>
      <c r="CM41" s="100"/>
      <c r="CN41" s="100"/>
      <c r="CO41" s="100"/>
      <c r="CP41" s="548"/>
      <c r="CR41" s="656" t="s">
        <v>345</v>
      </c>
      <c r="CS41" s="386"/>
      <c r="CT41" s="386"/>
      <c r="CU41" s="387"/>
      <c r="CV41" s="386"/>
      <c r="CW41" s="386"/>
      <c r="CX41" s="387"/>
      <c r="CY41" s="387"/>
      <c r="CZ41" s="57"/>
      <c r="DA41" s="57"/>
      <c r="DB41" s="100"/>
      <c r="DC41" s="100"/>
      <c r="DD41" s="100"/>
      <c r="DE41" s="548"/>
      <c r="DG41" s="656" t="s">
        <v>345</v>
      </c>
      <c r="DH41" s="386"/>
      <c r="DI41" s="386"/>
      <c r="DJ41" s="387"/>
      <c r="DK41" s="386"/>
      <c r="DL41" s="386"/>
      <c r="DM41" s="387"/>
      <c r="DN41" s="387"/>
      <c r="DO41" s="57"/>
      <c r="DP41" s="57"/>
      <c r="DQ41" s="100"/>
      <c r="DR41" s="100"/>
      <c r="DS41" s="100"/>
      <c r="DT41" s="548"/>
    </row>
    <row r="42" spans="2:124" ht="11.25" customHeight="1">
      <c r="B42" s="190"/>
      <c r="C42" s="60"/>
      <c r="D42" s="647" t="s">
        <v>161</v>
      </c>
      <c r="E42" s="235">
        <v>4.00244140625</v>
      </c>
      <c r="F42" s="322">
        <f>RANK(E42,$E$42:$E$55,1)</f>
        <v>5</v>
      </c>
      <c r="G42" s="235">
        <v>30.361990950226243</v>
      </c>
      <c r="H42" s="322">
        <f>RANK(G42,$G$42:$G$55,1)</f>
        <v>2</v>
      </c>
      <c r="I42" s="235">
        <v>7.4340770791075048</v>
      </c>
      <c r="J42" s="322">
        <f>RANK(I42,$I$42:$I$55,1)</f>
        <v>9</v>
      </c>
      <c r="K42" s="236">
        <v>36.881720430107528</v>
      </c>
      <c r="L42" s="322">
        <f>RANK(K42,$K$42:$K$55,1)</f>
        <v>2</v>
      </c>
      <c r="M42" s="139">
        <f>N42/'Guide &amp; drivers'!$C$35</f>
        <v>1.2</v>
      </c>
      <c r="N42" s="139">
        <v>1.5260733626238889</v>
      </c>
      <c r="O42" s="167" t="str">
        <f t="shared" ref="O42:O55" si="2">IF(SUM(IF(E42&lt;=$E$57,1,0),IF(G42&lt;=$G$57,1,0),IF(I42&lt;=$I$57,1,0),IF(K42&lt;=$K$57,1,0))=4,"Green",IF(SUM(IF(E42&gt;$E$59,1,0),IF(G42&gt;$G$59,1,0),IF(I42&gt;$I$59,1,0),IF(K42&gt;$K$59,1,0))&gt;=3,"Red","Amber"))</f>
        <v>Green</v>
      </c>
      <c r="P42" s="139">
        <f>AVERAGE(F42,H42,J42,L42)</f>
        <v>4.5</v>
      </c>
      <c r="Q42" s="183">
        <f>RANK(P42,$P$42:$P$55,1)</f>
        <v>3</v>
      </c>
      <c r="R42" s="641">
        <f>SUM(E42,G42,I42,K42)</f>
        <v>78.680229865691274</v>
      </c>
      <c r="T42" s="652" t="s">
        <v>161</v>
      </c>
      <c r="U42" s="235">
        <v>2.96</v>
      </c>
      <c r="V42" s="183">
        <f>RANK(U42,$U$42:$U$55,1)</f>
        <v>2</v>
      </c>
      <c r="W42" s="235">
        <v>31.910094637223974</v>
      </c>
      <c r="X42" s="183">
        <f>RANK(W42,$W$42:$W$55,1)</f>
        <v>2</v>
      </c>
      <c r="Y42" s="235">
        <v>7.9155636695572795</v>
      </c>
      <c r="Z42" s="183">
        <f>RANK(Y42,$Y$42:$Y$55,1)</f>
        <v>10</v>
      </c>
      <c r="AA42" s="236">
        <v>31.672000000000001</v>
      </c>
      <c r="AB42" s="183">
        <f>RANK(AA42,$AA$42:$AA$55,1)</f>
        <v>1</v>
      </c>
      <c r="AC42" s="139">
        <f>AD42/'Guide &amp; drivers'!$C$35</f>
        <v>1.2000000000000002</v>
      </c>
      <c r="AD42" s="139">
        <v>1.5260733626238892</v>
      </c>
      <c r="AE42" s="240" t="str">
        <f t="shared" ref="AE42:AE55" si="3">IF(SUM(IF(U42&lt;=$U$57,1,0),IF(W42&lt;=$W$57,1,0),IF(Y42&lt;=$Y$57,1,0),IF(AA42&lt;=$AA$57,1,0))=4,"Green",IF(SUM(IF(U42&gt;$U$59,1,0),IF(W42&gt;$W$59,1,0),IF(Y42&gt;$Y$59,1,0),IF(AA42&gt;$AA$59,1,0))&gt;=3,"Red","Amber"))</f>
        <v>Green</v>
      </c>
      <c r="AF42" s="139">
        <f>AVERAGE(V42,X42,Z42,AB42)</f>
        <v>3.75</v>
      </c>
      <c r="AG42" s="183">
        <f t="shared" ref="AG42:AG55" si="4">RANK(AF42,$AF$42:$AF$55,1)</f>
        <v>3</v>
      </c>
      <c r="AH42" s="650">
        <f>SUM(U42,W42,Y42,AA42)</f>
        <v>74.457658306781255</v>
      </c>
      <c r="AI42" s="652" t="s">
        <v>161</v>
      </c>
      <c r="AJ42" s="235">
        <v>3.7</v>
      </c>
      <c r="AK42" s="183">
        <f>RANK(AJ42,$AJ$42:$AJ$55,1)</f>
        <v>5</v>
      </c>
      <c r="AL42" s="235">
        <v>31.72</v>
      </c>
      <c r="AM42" s="183">
        <f>RANK(AL42,$AL$42:$AL$55,1)</f>
        <v>6</v>
      </c>
      <c r="AN42" s="235">
        <v>8.25</v>
      </c>
      <c r="AO42" s="183">
        <f>RANK(AN42,$AN$42:$AN$55,1)</f>
        <v>7</v>
      </c>
      <c r="AP42" s="236">
        <v>34.28</v>
      </c>
      <c r="AQ42" s="183">
        <f>RANK(AP42,$AP$42:$AP$55,1)</f>
        <v>3</v>
      </c>
      <c r="AR42" s="139">
        <f>AS42/'Guide &amp; drivers'!$C$35</f>
        <v>1.1999999999999997</v>
      </c>
      <c r="AS42" s="139">
        <v>1.5260733626238885</v>
      </c>
      <c r="AT42" s="240" t="str">
        <f>IF(SUM(IF(AJ42&lt;=$AJ$57,1,0),IF(AL42&lt;=$AL$57,1,0),IF(AN42&lt;=$AN$57,1,0),IF(AP42&lt;=$AP$57,1,0))=4,"Green",IF(SUM(IF(AJ42&gt;$AJ$59,1,0),IF(AL42&gt;$AL$59,1,0),IF(AN42&gt;$AN$59,1,0),IF(AP42&gt;$AP$59,1,0))&gt;=3,"Red","Amber"))</f>
        <v>Green</v>
      </c>
      <c r="AU42" s="139">
        <f>AVERAGE(AK42,AM42,AO42,AQ42)</f>
        <v>5.25</v>
      </c>
      <c r="AV42" s="183">
        <f t="shared" ref="AV42:AV55" si="5">RANK(AU42,$AU$42:$AU$55,1)</f>
        <v>6</v>
      </c>
      <c r="AW42" s="650">
        <f>SUM(AJ42,AL42,AN42,AP42)</f>
        <v>77.95</v>
      </c>
      <c r="AX42" s="652" t="s">
        <v>161</v>
      </c>
      <c r="AY42" s="235">
        <v>3.72</v>
      </c>
      <c r="AZ42" s="183">
        <f>RANK(AY42,$AY$42:$AY$55,1)</f>
        <v>6</v>
      </c>
      <c r="BA42" s="235">
        <v>32.869999999999997</v>
      </c>
      <c r="BB42" s="183">
        <f>RANK(BA42,$BA$42:$BA$55,1)</f>
        <v>7</v>
      </c>
      <c r="BC42" s="235">
        <v>6.79</v>
      </c>
      <c r="BD42" s="183">
        <f>RANK(BC42,$BC$42:$BC$55,1)</f>
        <v>7</v>
      </c>
      <c r="BE42" s="236">
        <v>35.67</v>
      </c>
      <c r="BF42" s="183">
        <f>RANK(BE42,$BE$42:$BE$55,1)</f>
        <v>5</v>
      </c>
      <c r="BG42" s="139">
        <f>BH42/'Guide &amp; drivers'!$C$35</f>
        <v>1.1763000000000001</v>
      </c>
      <c r="BH42" s="139">
        <v>1.4959334137120672</v>
      </c>
      <c r="BI42" s="240" t="str">
        <f>IF(SUM(IF(AY42&lt;=$AY$57,1,0),IF(BA42&lt;=$BA$57,1,0),IF(BC42&lt;=$BC$57,1,0),IF(BE42&lt;=$BE$57,1,0))=4,"Green",IF(SUM(IF(AY42&gt;$AY$59,1,0),IF(BA42&gt;$BA$59,1,0),IF(BC42&gt;$BC$59,1,0),IF(BE42&gt;$BE$59,1,0))&gt;=3,"Red","Amber"))</f>
        <v>Green</v>
      </c>
      <c r="BJ42" s="139">
        <f>AVERAGE(AZ42,BB42,BD42,BF42)</f>
        <v>6.25</v>
      </c>
      <c r="BK42" s="183">
        <f>RANK(BJ42,$BJ$42:$BJ$55,1)</f>
        <v>6</v>
      </c>
      <c r="BL42" s="650">
        <f>SUM(AY42,BA42,BC42,BE42)</f>
        <v>79.05</v>
      </c>
      <c r="BM42" s="652" t="s">
        <v>161</v>
      </c>
      <c r="BN42" s="235">
        <v>2.4607480476777641</v>
      </c>
      <c r="BO42" s="183">
        <f t="shared" ref="BO42:BO55" si="6">RANK(BN42,$BN$42:$BN$55,1)</f>
        <v>4</v>
      </c>
      <c r="BP42" s="235">
        <v>27.765625</v>
      </c>
      <c r="BQ42" s="183">
        <f t="shared" ref="BQ42:BQ55" si="7">RANK(BP42,$BP$42:$BP$55,1)</f>
        <v>5</v>
      </c>
      <c r="BR42" s="235">
        <v>4.9008158007728637</v>
      </c>
      <c r="BS42" s="183">
        <f t="shared" ref="BS42:BS55" si="8">RANK(BR42,$BR$42:$BR$55,1)</f>
        <v>7</v>
      </c>
      <c r="BT42" s="236">
        <v>27.617346938775512</v>
      </c>
      <c r="BU42" s="183">
        <f t="shared" ref="BU42:BU55" si="9">RANK(BT42,$BT$42:$BT$55,1)</f>
        <v>2</v>
      </c>
      <c r="BV42" s="139">
        <f>BW42/'Guide &amp; drivers'!$C$35</f>
        <v>1.1932711312500002</v>
      </c>
      <c r="BW42" s="139">
        <v>1.5175160731572497</v>
      </c>
      <c r="BX42" s="240" t="str">
        <f>IF(SUM(IF(BN42&lt;=$BN$57,1,0),IF(BP42&lt;=$BP$57,1,0),IF(BR42&lt;=$BR$57,1,0),IF(BT42&lt;=$BT$57,1,0))=4,"Green",IF(SUM(IF(BN42&gt;$BN$59,1,0),IF(BP42&gt;$BP$59,1,0),IF(BR42&gt;$BR$59,1,0),IF(BT42&gt;$BT$59,1,0))&gt;=3,"Red","Amber"))</f>
        <v>Green</v>
      </c>
      <c r="BY42" s="139">
        <f>AVERAGE(BO42,BQ42,BS42,BU42)</f>
        <v>4.5</v>
      </c>
      <c r="BZ42" s="183">
        <f t="shared" ref="BZ42:BZ55" si="10">RANK(BY42,$BY$42:$BY$55,1)</f>
        <v>6</v>
      </c>
      <c r="CA42" s="650">
        <f>SUM(BN42,BP42,BR42,BT42)</f>
        <v>62.744535787226141</v>
      </c>
      <c r="CB42" s="652" t="s">
        <v>161</v>
      </c>
      <c r="CC42" s="235">
        <v>2.64</v>
      </c>
      <c r="CD42" s="183">
        <f>RANK(CC42,$CC$42:$CC$55,1)</f>
        <v>4</v>
      </c>
      <c r="CE42" s="235">
        <v>27.83</v>
      </c>
      <c r="CF42" s="183">
        <f>RANK(CE42,$CE$42:$CE$55,1)</f>
        <v>2</v>
      </c>
      <c r="CG42" s="235">
        <v>5.01</v>
      </c>
      <c r="CH42" s="183">
        <f>RANK(CG42,$CG$42:$CG$55,1)</f>
        <v>7</v>
      </c>
      <c r="CI42" s="236">
        <v>28.78</v>
      </c>
      <c r="CJ42" s="183">
        <f>RANK(CI42,$CI$42:$CI$55,1)</f>
        <v>2</v>
      </c>
      <c r="CK42" s="139">
        <f>CL42/'Guide &amp; drivers'!$C$35</f>
        <v>1.1916315000000002</v>
      </c>
      <c r="CL42" s="139">
        <v>1.5154309085112907</v>
      </c>
      <c r="CM42" s="240" t="str">
        <f>IF(SUM(IF(CC42&lt;=$BN$57,1,0),IF(CE42&lt;=$BP$57,1,0),IF(CG42&lt;=$BR$57,1,0),IF(CI42&lt;=$BT$57,1,0))=4,"Green",IF(SUM(IF(CC42&gt;$BN$59,1,0),IF(CE42&gt;$BP$59,1,0),IF(CG42&gt;$BR$59,1,0),IF(CI42&gt;$BT$59,1,0))&gt;=3,"Red","Amber"))</f>
        <v>Green</v>
      </c>
      <c r="CN42" s="139">
        <f>AVERAGE(CD42,CF42,CH42,CJ42)</f>
        <v>3.75</v>
      </c>
      <c r="CO42" s="183">
        <f>RANK(CN42,$CN$42:$CN$55,1)</f>
        <v>4</v>
      </c>
      <c r="CP42" s="650">
        <f>SUM(CC42,CE42,CG42,CI42)</f>
        <v>64.259999999999991</v>
      </c>
      <c r="CQ42" s="652" t="s">
        <v>161</v>
      </c>
      <c r="CR42" s="235">
        <v>2.7530717399920728</v>
      </c>
      <c r="CS42" s="183">
        <f>RANK($CR42,$CR$42:$CR$55,1)</f>
        <v>6</v>
      </c>
      <c r="CT42" s="235">
        <v>27.808897876643073</v>
      </c>
      <c r="CU42" s="183">
        <f>RANK(CT42,$CT$42:$CT$55,1)</f>
        <v>2</v>
      </c>
      <c r="CV42" s="235">
        <v>5.436305732484076</v>
      </c>
      <c r="CW42" s="183">
        <f>RANK(CV42,$CV$42:$CV$55,1)</f>
        <v>8</v>
      </c>
      <c r="CX42" s="235">
        <v>32.445033112582784</v>
      </c>
      <c r="CY42" s="183">
        <f>RANK(CX42,$CX$42:$CX$55,1)</f>
        <v>2</v>
      </c>
      <c r="CZ42" s="139">
        <f>DA42/'Guide &amp; drivers'!$C$35</f>
        <v>1.1921613083426601</v>
      </c>
      <c r="DA42" s="139">
        <v>1.5161046805104819</v>
      </c>
      <c r="DB42" s="240" t="str">
        <f>IF(SUM(IF(CR42&lt;=$CR$57,1,0),IF(CT42&lt;=$CT$57,1,0),IF(CV42&lt;=$CV$57,1,0),IF(CX42&lt;=$CX$57,1,0))=4,"Green",IF(SUM(IF(CR42&gt;$CR$59,1,0),IF(CT42&gt;$CT$59,1,0),IF(CV42&gt;$CV$59,1,0),IF(CX42&gt;$CX$59,1,0))&gt;=3,"Red","Amber"))</f>
        <v>Green</v>
      </c>
      <c r="DC42" s="139">
        <f>AVERAGE(CS42,CU42,CW42,CY42)</f>
        <v>4.5</v>
      </c>
      <c r="DD42" s="183">
        <f>RANK(DC42,$DC$42:$DC$55,1)</f>
        <v>4</v>
      </c>
      <c r="DE42" s="650">
        <f>SUM(CR42,CT42,CV42,CX42)</f>
        <v>68.443308461702003</v>
      </c>
      <c r="DG42" s="657"/>
      <c r="DH42" s="141"/>
      <c r="DI42" s="141"/>
      <c r="DJ42" s="141"/>
      <c r="DK42" s="141"/>
      <c r="DL42" s="141"/>
      <c r="DM42" s="141"/>
      <c r="DN42" s="141"/>
      <c r="DO42" s="141"/>
      <c r="DP42" s="141"/>
      <c r="DQ42" s="141"/>
      <c r="DR42" s="141"/>
      <c r="DS42" s="141"/>
      <c r="DT42" s="658"/>
    </row>
    <row r="43" spans="2:124">
      <c r="B43" s="190"/>
      <c r="C43" s="60"/>
      <c r="D43" s="647" t="s">
        <v>162</v>
      </c>
      <c r="E43" s="235">
        <v>5.7158984007525868</v>
      </c>
      <c r="F43" s="322">
        <f t="shared" ref="F43:F55" si="11">RANK(E43,$E$42:$E$55,1)</f>
        <v>11</v>
      </c>
      <c r="G43" s="235">
        <v>40.146946564885496</v>
      </c>
      <c r="H43" s="322">
        <f t="shared" ref="H43:H55" si="12">RANK(G43,$G$42:$G$55,1)</f>
        <v>11</v>
      </c>
      <c r="I43" s="235">
        <v>9.5841708542713562</v>
      </c>
      <c r="J43" s="322">
        <f t="shared" ref="J43:J55" si="13">RANK(I43,$I$42:$I$55,1)</f>
        <v>12</v>
      </c>
      <c r="K43" s="236">
        <v>47.121052631578948</v>
      </c>
      <c r="L43" s="322">
        <f t="shared" ref="L43:L55" si="14">RANK(K43,$K$42:$K$55,1)</f>
        <v>12</v>
      </c>
      <c r="M43" s="139">
        <f>N43/'Guide &amp; drivers'!$C$35</f>
        <v>0.55024001607071116</v>
      </c>
      <c r="N43" s="139">
        <v>0.69975552631271065</v>
      </c>
      <c r="O43" s="167" t="str">
        <f t="shared" si="2"/>
        <v>Green</v>
      </c>
      <c r="P43" s="139">
        <f t="shared" ref="P43:P55" si="15">AVERAGE(F43,H43,J43,L43)</f>
        <v>11.5</v>
      </c>
      <c r="Q43" s="183">
        <f t="shared" ref="Q43:Q55" si="16">RANK(P43,$P$42:$P$55,1)</f>
        <v>12</v>
      </c>
      <c r="R43" s="641">
        <f t="shared" ref="R43:R55" si="17">SUM(E43,G43,I43,K43)</f>
        <v>102.56806845148839</v>
      </c>
      <c r="T43" s="653" t="s">
        <v>162</v>
      </c>
      <c r="U43" s="235">
        <v>5.5813492063492065</v>
      </c>
      <c r="V43" s="183">
        <f t="shared" ref="V43:V55" si="18">RANK(U43,$U$42:$U$55,1)</f>
        <v>13</v>
      </c>
      <c r="W43" s="235">
        <v>50.624161073825505</v>
      </c>
      <c r="X43" s="183">
        <f t="shared" ref="X43:X55" si="19">RANK(W43,$W$42:$W$55,1)</f>
        <v>10</v>
      </c>
      <c r="Y43" s="235">
        <v>9.4089219330855016</v>
      </c>
      <c r="Z43" s="183">
        <f t="shared" ref="Z43:Z55" si="20">RANK(Y43,$Y$42:$Y$55,1)</f>
        <v>13</v>
      </c>
      <c r="AA43" s="236">
        <v>57.691144708423323</v>
      </c>
      <c r="AB43" s="183">
        <f t="shared" ref="AB43:AB55" si="21">RANK(AA43,$AA$42:$AA$55,1)</f>
        <v>8</v>
      </c>
      <c r="AC43" s="139">
        <f>AD43/'Guide &amp; drivers'!$C$35</f>
        <v>0.40000000000000008</v>
      </c>
      <c r="AD43" s="139">
        <v>0.50869112087462975</v>
      </c>
      <c r="AE43" s="240" t="str">
        <f t="shared" si="3"/>
        <v>Amber</v>
      </c>
      <c r="AF43" s="139">
        <f t="shared" ref="AF43:AF55" si="22">AVERAGE(V43,X43,Z43,AB43)</f>
        <v>11</v>
      </c>
      <c r="AG43" s="183">
        <f t="shared" si="4"/>
        <v>12</v>
      </c>
      <c r="AH43" s="650">
        <f t="shared" ref="AH43:AH55" si="23">SUM(U43,W43,Y43,AA43)</f>
        <v>123.30557692168354</v>
      </c>
      <c r="AI43" s="653" t="s">
        <v>162</v>
      </c>
      <c r="AJ43" s="235">
        <v>7.99</v>
      </c>
      <c r="AK43" s="183">
        <f t="shared" ref="AK43:AK55" si="24">RANK(AJ43,$AJ$42:$AJ$55,1)</f>
        <v>14</v>
      </c>
      <c r="AL43" s="235">
        <v>53.75</v>
      </c>
      <c r="AM43" s="183">
        <f t="shared" ref="AM43:AM55" si="25">RANK(AL43,$AL$42:$AL$55,1)</f>
        <v>13</v>
      </c>
      <c r="AN43" s="235">
        <v>15.9</v>
      </c>
      <c r="AO43" s="183">
        <f t="shared" ref="AO43:AO55" si="26">RANK(AN43,$AN$42:$AN$55,1)</f>
        <v>13</v>
      </c>
      <c r="AP43" s="236">
        <v>63.01</v>
      </c>
      <c r="AQ43" s="183">
        <f t="shared" ref="AQ43:AQ55" si="27">RANK(AP43,$AP$42:$AP$55,1)</f>
        <v>11</v>
      </c>
      <c r="AR43" s="139">
        <f>AS43/'Guide &amp; drivers'!$C$35</f>
        <v>2.8600000000000077E-2</v>
      </c>
      <c r="AS43" s="139">
        <v>3.6371415142536119E-2</v>
      </c>
      <c r="AT43" s="240" t="str">
        <f t="shared" ref="AT43:AT55" si="28">IF(SUM(IF(AJ43&lt;=$AJ$57,1,0),IF(AL43&lt;=$AL$57,1,0),IF(AN43&lt;=$AN$57,1,0),IF(AP43&lt;=$AP$57,1,0))=4,"Green",IF(SUM(IF(AJ43&gt;$AJ$59,1,0),IF(AL43&gt;$AL$59,1,0),IF(AN43&gt;$AN$59,1,0),IF(AP43&gt;$AP$59,1,0))&gt;=3,"Red","Amber"))</f>
        <v>Red</v>
      </c>
      <c r="AU43" s="139">
        <f t="shared" ref="AU43:AU55" si="29">AVERAGE(AK43,AM43,AO43,AQ43)</f>
        <v>12.75</v>
      </c>
      <c r="AV43" s="183">
        <f t="shared" si="5"/>
        <v>14</v>
      </c>
      <c r="AW43" s="650">
        <f t="shared" ref="AW43:AW55" si="30">SUM(AJ43,AL43,AN43,AP43)</f>
        <v>140.65</v>
      </c>
      <c r="AX43" s="653" t="s">
        <v>162</v>
      </c>
      <c r="AY43" s="235">
        <v>6.3</v>
      </c>
      <c r="AZ43" s="183">
        <f t="shared" ref="AZ43:AZ55" si="31">RANK(AY43,$AY$42:$AY$55,1)</f>
        <v>11</v>
      </c>
      <c r="BA43" s="235">
        <v>41.15</v>
      </c>
      <c r="BB43" s="183">
        <f t="shared" ref="BB43:BB55" si="32">RANK(BA43,$BA$42:$BA$55,1)</f>
        <v>10</v>
      </c>
      <c r="BC43" s="235">
        <v>11.39</v>
      </c>
      <c r="BD43" s="183">
        <f t="shared" ref="BD43:BD55" si="33">RANK(BC43,$BC$42:$BC$55,1)</f>
        <v>13</v>
      </c>
      <c r="BE43" s="236">
        <v>50.75</v>
      </c>
      <c r="BF43" s="183">
        <f t="shared" ref="BF43:BF55" si="34">RANK(BE43,$BE$42:$BE$55,1)</f>
        <v>10</v>
      </c>
      <c r="BG43" s="139">
        <f>BH43/'Guide &amp; drivers'!$C$35</f>
        <v>0.30520000000000003</v>
      </c>
      <c r="BH43" s="139">
        <v>0.38813132522734245</v>
      </c>
      <c r="BI43" s="240" t="str">
        <f t="shared" ref="BI43:BI55" si="35">IF(SUM(IF(AY43&lt;=$AY$57,1,0),IF(BA43&lt;=$BA$57,1,0),IF(BC43&lt;=$BC$57,1,0),IF(BE43&lt;=$BE$57,1,0))=4,"Green",IF(SUM(IF(AY43&gt;$AY$59,1,0),IF(BA43&gt;$BA$59,1,0),IF(BC43&gt;$BC$59,1,0),IF(BE43&gt;$BE$59,1,0))&gt;=3,"Red","Amber"))</f>
        <v>Green</v>
      </c>
      <c r="BJ43" s="139">
        <f t="shared" ref="BJ43:BJ55" si="36">AVERAGE(AZ43,BB43,BD43,BF43)</f>
        <v>11</v>
      </c>
      <c r="BK43" s="183">
        <f t="shared" ref="BK43:BK55" si="37">RANK(BJ43,$BJ$42:$BJ$55,1)</f>
        <v>11</v>
      </c>
      <c r="BL43" s="650">
        <f t="shared" ref="BL43:BL55" si="38">SUM(AY43,BA43,BC43,BE43)</f>
        <v>109.59</v>
      </c>
      <c r="BM43" s="653" t="s">
        <v>162</v>
      </c>
      <c r="BN43" s="235">
        <v>7.5724508050089447</v>
      </c>
      <c r="BO43" s="183">
        <f t="shared" si="6"/>
        <v>14</v>
      </c>
      <c r="BP43" s="235">
        <v>40.452029520295206</v>
      </c>
      <c r="BQ43" s="183">
        <f t="shared" si="7"/>
        <v>12</v>
      </c>
      <c r="BR43" s="235">
        <v>14.298892988929889</v>
      </c>
      <c r="BS43" s="183">
        <f t="shared" si="8"/>
        <v>14</v>
      </c>
      <c r="BT43" s="236">
        <v>50.738578680203048</v>
      </c>
      <c r="BU43" s="183">
        <f t="shared" si="9"/>
        <v>12</v>
      </c>
      <c r="BV43" s="139">
        <f>BW43/'Guide &amp; drivers'!$C$35</f>
        <v>0</v>
      </c>
      <c r="BW43" s="139">
        <v>0</v>
      </c>
      <c r="BX43" s="240" t="str">
        <f t="shared" ref="BX43:BX55" si="39">IF(SUM(IF(BN43&lt;=$BN$57,1,0),IF(BP43&lt;=$BP$57,1,0),IF(BR43&lt;=$BR$57,1,0),IF(BT43&lt;=$BT$57,1,0))=4,"Green",IF(SUM(IF(BN43&gt;$BN$59,1,0),IF(BP43&gt;$BP$59,1,0),IF(BR43&gt;$BR$59,1,0),IF(BT43&gt;$BT$59,1,0))&gt;=3,"Red","Amber"))</f>
        <v>Red</v>
      </c>
      <c r="BY43" s="139">
        <f t="shared" ref="BY43:BY55" si="40">AVERAGE(BO43,BQ43,BS43,BU43)</f>
        <v>13</v>
      </c>
      <c r="BZ43" s="183">
        <f t="shared" si="10"/>
        <v>14</v>
      </c>
      <c r="CA43" s="650">
        <f t="shared" ref="CA43:CA55" si="41">SUM(BN43,BP43,BR43,BT43)</f>
        <v>113.06195199443709</v>
      </c>
      <c r="CB43" s="653" t="s">
        <v>162</v>
      </c>
      <c r="CC43" s="235">
        <v>7.0497470489038783</v>
      </c>
      <c r="CD43" s="183">
        <f t="shared" ref="CD43:CD55" si="42">RANK(CC43,$CC$42:$CC$55,1)</f>
        <v>14</v>
      </c>
      <c r="CE43" s="235">
        <v>51.862427745664739</v>
      </c>
      <c r="CF43" s="183">
        <f t="shared" ref="CF43:CF55" si="43">RANK(CE43,$CE$42:$CE$55,1)</f>
        <v>14</v>
      </c>
      <c r="CG43" s="235">
        <v>14.870573870573871</v>
      </c>
      <c r="CH43" s="183">
        <f t="shared" ref="CH43:CH55" si="44">RANK(CG43,$CG$42:$CG$55,1)</f>
        <v>14</v>
      </c>
      <c r="CI43" s="236">
        <v>91.133720930232556</v>
      </c>
      <c r="CJ43" s="183">
        <f t="shared" ref="CJ43:CJ55" si="45">RANK(CI43,$CI$42:$CI$55,1)</f>
        <v>14</v>
      </c>
      <c r="CK43" s="139">
        <f>CL43/'Guide &amp; drivers'!$C$35</f>
        <v>0</v>
      </c>
      <c r="CL43" s="139">
        <v>0</v>
      </c>
      <c r="CM43" s="240" t="str">
        <f t="shared" ref="CM43:CM55" si="46">IF(SUM(IF(CC43&lt;=$BN$57,1,0),IF(CE43&lt;=$BP$57,1,0),IF(CG43&lt;=$BR$57,1,0),IF(CI43&lt;=$BT$57,1,0))=4,"Green",IF(SUM(IF(CC43&gt;$BN$59,1,0),IF(CE43&gt;$BP$59,1,0),IF(CG43&gt;$BR$59,1,0),IF(CI43&gt;$BT$59,1,0))&gt;=3,"Red","Amber"))</f>
        <v>Red</v>
      </c>
      <c r="CN43" s="139">
        <f t="shared" ref="CN43:CN55" si="47">AVERAGE(CD43,CF43,CH43,CJ43)</f>
        <v>14</v>
      </c>
      <c r="CO43" s="183">
        <f t="shared" ref="CO43:CO55" si="48">RANK(CN43,$CN$42:$CN$55,1)</f>
        <v>14</v>
      </c>
      <c r="CP43" s="650">
        <f t="shared" ref="CP43:CP55" si="49">SUM(CC43,CE43,CG43,CI43)</f>
        <v>164.91646959537505</v>
      </c>
      <c r="CQ43" s="653" t="s">
        <v>162</v>
      </c>
      <c r="CR43" s="235">
        <v>9.2799999999999994</v>
      </c>
      <c r="CS43" s="183">
        <f t="shared" ref="CS43:CS55" si="50">RANK($CR43,$CR$42:$CR$55,1)</f>
        <v>14</v>
      </c>
      <c r="CT43" s="235">
        <v>50.07</v>
      </c>
      <c r="CU43" s="183">
        <f t="shared" ref="CU43:CU55" si="51">RANK(CT43,$CT$42:$CT$55,1)</f>
        <v>14</v>
      </c>
      <c r="CV43" s="235">
        <v>16.12</v>
      </c>
      <c r="CW43" s="183">
        <f t="shared" ref="CW43:CW55" si="52">RANK(CV43,$CV$42:$CV$55,1)</f>
        <v>14</v>
      </c>
      <c r="CX43" s="235">
        <v>61.63</v>
      </c>
      <c r="CY43" s="183">
        <f t="shared" ref="CY43:CY55" si="53">RANK(CX43,$CX$42:$CX$55,1)</f>
        <v>14</v>
      </c>
      <c r="CZ43" s="139">
        <f>DA43/'Guide &amp; drivers'!$C$35</f>
        <v>0</v>
      </c>
      <c r="DA43" s="139">
        <v>0</v>
      </c>
      <c r="DB43" s="240" t="str">
        <f t="shared" ref="DB43:DB55" si="54">IF(SUM(IF(CR43&lt;=$CR$57,1,0),IF(CT43&lt;=$CT$57,1,0),IF(CV43&lt;=$CV$57,1,0),IF(CX43&lt;=$CX$57,1,0))=4,"Green",IF(SUM(IF(CR43&gt;$CR$59,1,0),IF(CT43&gt;$CT$59,1,0),IF(CV43&gt;$CV$59,1,0),IF(CX43&gt;$CX$59,1,0))&gt;=3,"Red","Amber"))</f>
        <v>Red</v>
      </c>
      <c r="DC43" s="139">
        <f t="shared" ref="DC43:DC55" si="55">AVERAGE(CS43,CU43,CW43,CY43)</f>
        <v>14</v>
      </c>
      <c r="DD43" s="183">
        <f t="shared" ref="DD43:DD55" si="56">RANK(DC43,$DC$42:$DC$55,1)</f>
        <v>14</v>
      </c>
      <c r="DE43" s="650">
        <f t="shared" ref="DE43:DE55" si="57">SUM(CR43,CT43,CV43,CX43)</f>
        <v>137.1</v>
      </c>
      <c r="DG43" s="657"/>
      <c r="DH43" s="141"/>
      <c r="DI43" s="141"/>
      <c r="DJ43" s="141"/>
      <c r="DK43" s="141"/>
      <c r="DL43" s="141"/>
      <c r="DM43" s="141"/>
      <c r="DN43" s="141"/>
      <c r="DO43" s="141"/>
      <c r="DP43" s="141"/>
      <c r="DQ43" s="141"/>
      <c r="DR43" s="141"/>
      <c r="DS43" s="141"/>
      <c r="DT43" s="658"/>
    </row>
    <row r="44" spans="2:124">
      <c r="B44" s="190"/>
      <c r="C44" s="60"/>
      <c r="D44" s="647" t="s">
        <v>163</v>
      </c>
      <c r="E44" s="235">
        <v>5.9290519877675845</v>
      </c>
      <c r="F44" s="322">
        <f t="shared" si="11"/>
        <v>12</v>
      </c>
      <c r="G44" s="235">
        <v>43.396946564885496</v>
      </c>
      <c r="H44" s="322">
        <f t="shared" si="12"/>
        <v>14</v>
      </c>
      <c r="I44" s="235">
        <v>8.8116731517509734</v>
      </c>
      <c r="J44" s="322">
        <f t="shared" si="13"/>
        <v>11</v>
      </c>
      <c r="K44" s="236">
        <v>47.909604519774014</v>
      </c>
      <c r="L44" s="322">
        <f t="shared" si="14"/>
        <v>13</v>
      </c>
      <c r="M44" s="139">
        <f>N44/'Guide &amp; drivers'!$C$35</f>
        <v>0.69580790960451977</v>
      </c>
      <c r="N44" s="139">
        <v>0.88487826362539035</v>
      </c>
      <c r="O44" s="167" t="str">
        <f t="shared" si="2"/>
        <v>Amber</v>
      </c>
      <c r="P44" s="139">
        <f t="shared" si="15"/>
        <v>12.5</v>
      </c>
      <c r="Q44" s="183">
        <f t="shared" si="16"/>
        <v>14</v>
      </c>
      <c r="R44" s="641">
        <f t="shared" si="17"/>
        <v>106.04727622417806</v>
      </c>
      <c r="T44" s="653" t="s">
        <v>163</v>
      </c>
      <c r="U44" s="235">
        <v>5.4492113564668774</v>
      </c>
      <c r="V44" s="183">
        <f t="shared" si="18"/>
        <v>11</v>
      </c>
      <c r="W44" s="235">
        <v>47.312839059674502</v>
      </c>
      <c r="X44" s="183">
        <f t="shared" si="19"/>
        <v>9</v>
      </c>
      <c r="Y44" s="235">
        <v>8.4557556773688329</v>
      </c>
      <c r="Z44" s="183">
        <f t="shared" si="20"/>
        <v>12</v>
      </c>
      <c r="AA44" s="236">
        <v>55.858299595141702</v>
      </c>
      <c r="AB44" s="183">
        <f t="shared" si="21"/>
        <v>7</v>
      </c>
      <c r="AC44" s="139">
        <f>AD44/'Guide &amp; drivers'!$C$35</f>
        <v>0.60000000000000009</v>
      </c>
      <c r="AD44" s="139">
        <v>0.76303668131194458</v>
      </c>
      <c r="AE44" s="240" t="str">
        <f t="shared" si="3"/>
        <v>Amber</v>
      </c>
      <c r="AF44" s="139">
        <f t="shared" si="22"/>
        <v>9.75</v>
      </c>
      <c r="AG44" s="183">
        <f t="shared" si="4"/>
        <v>10</v>
      </c>
      <c r="AH44" s="650">
        <f t="shared" si="23"/>
        <v>117.07610568865192</v>
      </c>
      <c r="AI44" s="653" t="s">
        <v>163</v>
      </c>
      <c r="AJ44" s="235">
        <v>7.84</v>
      </c>
      <c r="AK44" s="183">
        <f t="shared" si="24"/>
        <v>13</v>
      </c>
      <c r="AL44" s="235">
        <v>47.07</v>
      </c>
      <c r="AM44" s="183">
        <f t="shared" si="25"/>
        <v>12</v>
      </c>
      <c r="AN44" s="235">
        <v>16.809999999999999</v>
      </c>
      <c r="AO44" s="183">
        <f t="shared" si="26"/>
        <v>14</v>
      </c>
      <c r="AP44" s="236">
        <v>55.51</v>
      </c>
      <c r="AQ44" s="183">
        <f t="shared" si="27"/>
        <v>10</v>
      </c>
      <c r="AR44" s="139">
        <f>AS44/'Guide &amp; drivers'!$C$35</f>
        <v>6.2900000000000164E-2</v>
      </c>
      <c r="AS44" s="139">
        <v>7.9991678757535725E-2</v>
      </c>
      <c r="AT44" s="240" t="str">
        <f>IF(SUM(IF(AJ44&lt;=$AJ$57,1,0),IF(AL44&lt;=$AL$57,1,0),IF(AN44&lt;=$AN$57,1,0),IF(AP44&lt;=$AP$57,1,0))=4,"Green",IF(SUM(IF(AJ44&gt;$AJ$59,1,0),IF(AL44&gt;$AL$59,1,0),IF(AN44&gt;$AN$59,1,0),IF(AP44&gt;$AP$59,1,0))&gt;=3,"Red","Amber"))</f>
        <v>Red</v>
      </c>
      <c r="AU44" s="139">
        <f t="shared" si="29"/>
        <v>12.25</v>
      </c>
      <c r="AV44" s="183">
        <f t="shared" si="5"/>
        <v>13</v>
      </c>
      <c r="AW44" s="650">
        <f t="shared" si="30"/>
        <v>127.22999999999999</v>
      </c>
      <c r="AX44" s="653" t="s">
        <v>163</v>
      </c>
      <c r="AY44" s="235">
        <v>6.81</v>
      </c>
      <c r="AZ44" s="183">
        <f t="shared" si="31"/>
        <v>12</v>
      </c>
      <c r="BA44" s="235">
        <v>41.36</v>
      </c>
      <c r="BB44" s="183">
        <f t="shared" si="32"/>
        <v>11</v>
      </c>
      <c r="BC44" s="235">
        <v>15.14</v>
      </c>
      <c r="BD44" s="183">
        <f t="shared" si="33"/>
        <v>14</v>
      </c>
      <c r="BE44" s="236">
        <v>48.04</v>
      </c>
      <c r="BF44" s="183">
        <f t="shared" si="34"/>
        <v>9</v>
      </c>
      <c r="BG44" s="139">
        <f>BH44/'Guide &amp; drivers'!$C$35</f>
        <v>0.35280000000000028</v>
      </c>
      <c r="BH44" s="139">
        <v>0.4486655686114237</v>
      </c>
      <c r="BI44" s="240" t="str">
        <f t="shared" si="35"/>
        <v>Amber</v>
      </c>
      <c r="BJ44" s="139">
        <f t="shared" si="36"/>
        <v>11.5</v>
      </c>
      <c r="BK44" s="183">
        <f t="shared" si="37"/>
        <v>13</v>
      </c>
      <c r="BL44" s="650">
        <f t="shared" si="38"/>
        <v>111.35</v>
      </c>
      <c r="BM44" s="653" t="s">
        <v>163</v>
      </c>
      <c r="BN44" s="235">
        <v>7.112997347480106</v>
      </c>
      <c r="BO44" s="183">
        <f t="shared" si="6"/>
        <v>13</v>
      </c>
      <c r="BP44" s="235">
        <v>37.803879310344826</v>
      </c>
      <c r="BQ44" s="183">
        <f t="shared" si="7"/>
        <v>11</v>
      </c>
      <c r="BR44" s="235">
        <v>13.947154471544716</v>
      </c>
      <c r="BS44" s="183">
        <f t="shared" si="8"/>
        <v>13</v>
      </c>
      <c r="BT44" s="236">
        <v>44.907773386034258</v>
      </c>
      <c r="BU44" s="183">
        <f t="shared" si="9"/>
        <v>11</v>
      </c>
      <c r="BV44" s="139">
        <f>BW44/'Guide &amp; drivers'!$C$35</f>
        <v>0.10084904113284268</v>
      </c>
      <c r="BW44" s="139">
        <v>0.12825252943249343</v>
      </c>
      <c r="BX44" s="240" t="str">
        <f t="shared" si="39"/>
        <v>Amber</v>
      </c>
      <c r="BY44" s="139">
        <f t="shared" si="40"/>
        <v>12</v>
      </c>
      <c r="BZ44" s="183">
        <f t="shared" si="10"/>
        <v>12</v>
      </c>
      <c r="CA44" s="650">
        <f t="shared" si="41"/>
        <v>103.7718045154039</v>
      </c>
      <c r="CB44" s="653" t="s">
        <v>163</v>
      </c>
      <c r="CC44" s="235">
        <v>6.3999194522754737</v>
      </c>
      <c r="CD44" s="183">
        <f t="shared" si="42"/>
        <v>13</v>
      </c>
      <c r="CE44" s="235">
        <v>46.836054421768708</v>
      </c>
      <c r="CF44" s="183">
        <f t="shared" si="43"/>
        <v>12</v>
      </c>
      <c r="CG44" s="235">
        <v>13.995535714285714</v>
      </c>
      <c r="CH44" s="183">
        <f t="shared" si="44"/>
        <v>13</v>
      </c>
      <c r="CI44" s="236">
        <v>71.034129692832764</v>
      </c>
      <c r="CJ44" s="183">
        <f t="shared" si="45"/>
        <v>13</v>
      </c>
      <c r="CK44" s="139">
        <f>CL44/'Guide &amp; drivers'!$C$35</f>
        <v>0</v>
      </c>
      <c r="CL44" s="139">
        <v>0</v>
      </c>
      <c r="CM44" s="240" t="str">
        <f t="shared" si="46"/>
        <v>Red</v>
      </c>
      <c r="CN44" s="139">
        <f t="shared" si="47"/>
        <v>12.75</v>
      </c>
      <c r="CO44" s="183">
        <f t="shared" si="48"/>
        <v>13</v>
      </c>
      <c r="CP44" s="650">
        <f t="shared" si="49"/>
        <v>138.26563928116266</v>
      </c>
      <c r="CQ44" s="653" t="s">
        <v>163</v>
      </c>
      <c r="CR44" s="235">
        <v>7.23</v>
      </c>
      <c r="CS44" s="183">
        <f t="shared" si="50"/>
        <v>13</v>
      </c>
      <c r="CT44" s="235">
        <v>43.68</v>
      </c>
      <c r="CU44" s="183">
        <f t="shared" si="51"/>
        <v>13</v>
      </c>
      <c r="CV44" s="235">
        <v>15.65</v>
      </c>
      <c r="CW44" s="183">
        <f t="shared" si="52"/>
        <v>13</v>
      </c>
      <c r="CX44" s="235">
        <v>50.47</v>
      </c>
      <c r="CY44" s="183">
        <f t="shared" si="53"/>
        <v>12</v>
      </c>
      <c r="CZ44" s="139">
        <f>DA44/'Guide &amp; drivers'!$C$35</f>
        <v>0</v>
      </c>
      <c r="DA44" s="139">
        <v>0</v>
      </c>
      <c r="DB44" s="240" t="str">
        <f t="shared" si="54"/>
        <v>Red</v>
      </c>
      <c r="DC44" s="139">
        <f t="shared" si="55"/>
        <v>12.75</v>
      </c>
      <c r="DD44" s="183">
        <f t="shared" si="56"/>
        <v>13</v>
      </c>
      <c r="DE44" s="650">
        <f t="shared" si="57"/>
        <v>117.03</v>
      </c>
      <c r="DG44" s="657"/>
      <c r="DH44" s="141"/>
      <c r="DI44" s="141"/>
      <c r="DJ44" s="141"/>
      <c r="DK44" s="141"/>
      <c r="DL44" s="141"/>
      <c r="DM44" s="141"/>
      <c r="DN44" s="141"/>
      <c r="DO44" s="141"/>
      <c r="DP44" s="141"/>
      <c r="DQ44" s="141"/>
      <c r="DR44" s="141"/>
      <c r="DS44" s="141"/>
      <c r="DT44" s="658"/>
    </row>
    <row r="45" spans="2:124">
      <c r="B45" s="190"/>
      <c r="C45" s="60"/>
      <c r="D45" s="647" t="s">
        <v>164</v>
      </c>
      <c r="E45" s="235">
        <v>4.8</v>
      </c>
      <c r="F45" s="322">
        <f t="shared" si="11"/>
        <v>7</v>
      </c>
      <c r="G45" s="235">
        <v>34.32</v>
      </c>
      <c r="H45" s="322">
        <f t="shared" si="12"/>
        <v>7</v>
      </c>
      <c r="I45" s="235">
        <v>6.11</v>
      </c>
      <c r="J45" s="322">
        <f t="shared" si="13"/>
        <v>4</v>
      </c>
      <c r="K45" s="236">
        <v>44.8</v>
      </c>
      <c r="L45" s="322">
        <f t="shared" si="14"/>
        <v>8</v>
      </c>
      <c r="M45" s="139">
        <f>N45/'Guide &amp; drivers'!$C$35</f>
        <v>1.3474000000000004</v>
      </c>
      <c r="N45" s="139">
        <v>1.7135260406661903</v>
      </c>
      <c r="O45" s="167" t="str">
        <f t="shared" si="2"/>
        <v>Green</v>
      </c>
      <c r="P45" s="139">
        <f t="shared" si="15"/>
        <v>6.5</v>
      </c>
      <c r="Q45" s="183">
        <f t="shared" si="16"/>
        <v>5</v>
      </c>
      <c r="R45" s="641">
        <f t="shared" si="17"/>
        <v>90.03</v>
      </c>
      <c r="T45" s="653" t="s">
        <v>164</v>
      </c>
      <c r="U45" s="235">
        <v>4.5167570114135698</v>
      </c>
      <c r="V45" s="183">
        <f t="shared" si="18"/>
        <v>6</v>
      </c>
      <c r="W45" s="235">
        <v>37.184478759765597</v>
      </c>
      <c r="X45" s="183">
        <f t="shared" si="19"/>
        <v>6</v>
      </c>
      <c r="Y45" s="235">
        <v>6.0833001136779803</v>
      </c>
      <c r="Z45" s="183">
        <f t="shared" si="20"/>
        <v>4</v>
      </c>
      <c r="AA45" s="236">
        <v>47.503597259521499</v>
      </c>
      <c r="AB45" s="183">
        <f t="shared" si="21"/>
        <v>6</v>
      </c>
      <c r="AC45" s="139">
        <f>AD45/'Guide &amp; drivers'!$C$35</f>
        <v>1.1517129318237314</v>
      </c>
      <c r="AD45" s="139">
        <v>1.4646653555380496</v>
      </c>
      <c r="AE45" s="240" t="str">
        <f t="shared" si="3"/>
        <v>Green</v>
      </c>
      <c r="AF45" s="139">
        <f t="shared" si="22"/>
        <v>5.5</v>
      </c>
      <c r="AG45" s="183">
        <f t="shared" si="4"/>
        <v>6</v>
      </c>
      <c r="AH45" s="650">
        <f t="shared" si="23"/>
        <v>95.288133144378634</v>
      </c>
      <c r="AI45" s="653" t="s">
        <v>164</v>
      </c>
      <c r="AJ45" s="235">
        <v>4.1399999999999997</v>
      </c>
      <c r="AK45" s="183">
        <f t="shared" si="24"/>
        <v>6</v>
      </c>
      <c r="AL45" s="235">
        <v>28.08</v>
      </c>
      <c r="AM45" s="183">
        <f t="shared" si="25"/>
        <v>3</v>
      </c>
      <c r="AN45" s="235">
        <v>4.47</v>
      </c>
      <c r="AO45" s="183">
        <f t="shared" si="26"/>
        <v>1</v>
      </c>
      <c r="AP45" s="236">
        <v>40.28</v>
      </c>
      <c r="AQ45" s="183">
        <f t="shared" si="27"/>
        <v>6</v>
      </c>
      <c r="AR45" s="139">
        <f>AS45/'Guide &amp; drivers'!$C$35</f>
        <v>1.5725999999999998</v>
      </c>
      <c r="AS45" s="139">
        <v>1.9999191417186062</v>
      </c>
      <c r="AT45" s="240" t="str">
        <f t="shared" si="28"/>
        <v>Green</v>
      </c>
      <c r="AU45" s="139">
        <f t="shared" si="29"/>
        <v>4</v>
      </c>
      <c r="AV45" s="183">
        <f t="shared" si="5"/>
        <v>3</v>
      </c>
      <c r="AW45" s="650">
        <f t="shared" si="30"/>
        <v>76.97</v>
      </c>
      <c r="AX45" s="653" t="s">
        <v>164</v>
      </c>
      <c r="AY45" s="235">
        <v>4.8674736022949201</v>
      </c>
      <c r="AZ45" s="183">
        <f t="shared" si="31"/>
        <v>8</v>
      </c>
      <c r="BA45" s="235">
        <v>29.9463195800781</v>
      </c>
      <c r="BB45" s="183">
        <f t="shared" si="32"/>
        <v>4</v>
      </c>
      <c r="BC45" s="235">
        <v>5.7056989669799796</v>
      </c>
      <c r="BD45" s="183">
        <f t="shared" si="33"/>
        <v>4</v>
      </c>
      <c r="BE45" s="236">
        <v>37.608497619628899</v>
      </c>
      <c r="BF45" s="183">
        <f t="shared" si="34"/>
        <v>6</v>
      </c>
      <c r="BG45" s="139">
        <f>BH45/'Guide &amp; drivers'!$C$35</f>
        <v>1.6</v>
      </c>
      <c r="BH45" s="139">
        <v>2.0347644834985186</v>
      </c>
      <c r="BI45" s="240" t="str">
        <f t="shared" si="35"/>
        <v>Green</v>
      </c>
      <c r="BJ45" s="139">
        <f t="shared" si="36"/>
        <v>5.5</v>
      </c>
      <c r="BK45" s="183">
        <f t="shared" si="37"/>
        <v>5</v>
      </c>
      <c r="BL45" s="650">
        <f t="shared" si="38"/>
        <v>78.127989768981905</v>
      </c>
      <c r="BM45" s="653" t="s">
        <v>164</v>
      </c>
      <c r="BN45" s="235">
        <v>2.27422046661377</v>
      </c>
      <c r="BO45" s="183">
        <f t="shared" si="6"/>
        <v>3</v>
      </c>
      <c r="BP45" s="235">
        <v>28.673145294189499</v>
      </c>
      <c r="BQ45" s="183">
        <f t="shared" si="7"/>
        <v>6</v>
      </c>
      <c r="BR45" s="235">
        <v>2.8124723434448202</v>
      </c>
      <c r="BS45" s="183">
        <f t="shared" si="8"/>
        <v>1</v>
      </c>
      <c r="BT45" s="236">
        <v>34.812282562255902</v>
      </c>
      <c r="BU45" s="183">
        <f t="shared" si="9"/>
        <v>6</v>
      </c>
      <c r="BV45" s="139">
        <f>BW45/'Guide &amp; drivers'!$C$35</f>
        <v>1.5254218849273655</v>
      </c>
      <c r="BW45" s="139">
        <v>1.9399214211259797</v>
      </c>
      <c r="BX45" s="240" t="str">
        <f t="shared" si="39"/>
        <v>Green</v>
      </c>
      <c r="BY45" s="139">
        <f t="shared" si="40"/>
        <v>4</v>
      </c>
      <c r="BZ45" s="183">
        <f t="shared" si="10"/>
        <v>4</v>
      </c>
      <c r="CA45" s="650">
        <f t="shared" si="41"/>
        <v>68.572120666503992</v>
      </c>
      <c r="CB45" s="653" t="s">
        <v>164</v>
      </c>
      <c r="CC45" s="235">
        <v>1.1024590730667101</v>
      </c>
      <c r="CD45" s="183">
        <f t="shared" si="42"/>
        <v>2</v>
      </c>
      <c r="CE45" s="235">
        <v>31.980798721313501</v>
      </c>
      <c r="CF45" s="183">
        <f t="shared" si="43"/>
        <v>5</v>
      </c>
      <c r="CG45" s="235">
        <v>2.1311604976654102</v>
      </c>
      <c r="CH45" s="183">
        <f t="shared" si="44"/>
        <v>1</v>
      </c>
      <c r="CI45" s="236">
        <v>37.995662689208999</v>
      </c>
      <c r="CJ45" s="183">
        <f t="shared" si="45"/>
        <v>4</v>
      </c>
      <c r="CK45" s="139">
        <f>CL45/'Guide &amp; drivers'!$C$35</f>
        <v>1.6</v>
      </c>
      <c r="CL45" s="139">
        <v>2.0347644834985186</v>
      </c>
      <c r="CM45" s="240" t="str">
        <f t="shared" si="46"/>
        <v>Green</v>
      </c>
      <c r="CN45" s="139">
        <f t="shared" si="47"/>
        <v>3</v>
      </c>
      <c r="CO45" s="183">
        <f t="shared" si="48"/>
        <v>2</v>
      </c>
      <c r="CP45" s="650">
        <f t="shared" si="49"/>
        <v>73.21008098125462</v>
      </c>
      <c r="CQ45" s="653" t="s">
        <v>164</v>
      </c>
      <c r="CR45" s="235">
        <v>1.5580579042434699</v>
      </c>
      <c r="CS45" s="183">
        <f t="shared" si="50"/>
        <v>2</v>
      </c>
      <c r="CT45" s="235">
        <v>33.607269287109403</v>
      </c>
      <c r="CU45" s="183">
        <f t="shared" si="51"/>
        <v>6</v>
      </c>
      <c r="CV45" s="235">
        <v>2.8879563808441202</v>
      </c>
      <c r="CW45" s="183">
        <f t="shared" si="52"/>
        <v>2</v>
      </c>
      <c r="CX45" s="235">
        <v>38.578441619872997</v>
      </c>
      <c r="CY45" s="183">
        <f t="shared" si="53"/>
        <v>3</v>
      </c>
      <c r="CZ45" s="139">
        <f>DA45/'Guide &amp; drivers'!$C$35</f>
        <v>1.5999914299181552</v>
      </c>
      <c r="DA45" s="139">
        <v>2.0347535846871696</v>
      </c>
      <c r="DB45" s="240" t="str">
        <f t="shared" si="54"/>
        <v>Green</v>
      </c>
      <c r="DC45" s="139">
        <f t="shared" si="55"/>
        <v>3.25</v>
      </c>
      <c r="DD45" s="183">
        <f t="shared" si="56"/>
        <v>1</v>
      </c>
      <c r="DE45" s="650">
        <f t="shared" si="57"/>
        <v>76.631725192069993</v>
      </c>
      <c r="DG45" s="657"/>
      <c r="DH45" s="141"/>
      <c r="DI45" s="141"/>
      <c r="DJ45" s="141"/>
      <c r="DK45" s="141"/>
      <c r="DL45" s="141"/>
      <c r="DM45" s="141"/>
      <c r="DN45" s="141"/>
      <c r="DO45" s="141"/>
      <c r="DP45" s="141"/>
      <c r="DQ45" s="141"/>
      <c r="DR45" s="141"/>
      <c r="DS45" s="141"/>
      <c r="DT45" s="658"/>
    </row>
    <row r="46" spans="2:124">
      <c r="B46" s="190"/>
      <c r="C46" s="60"/>
      <c r="D46" s="647" t="s">
        <v>165</v>
      </c>
      <c r="E46" s="235">
        <v>3.48</v>
      </c>
      <c r="F46" s="322">
        <f t="shared" si="11"/>
        <v>3</v>
      </c>
      <c r="G46" s="235">
        <v>31.89</v>
      </c>
      <c r="H46" s="322">
        <f t="shared" si="12"/>
        <v>4</v>
      </c>
      <c r="I46" s="235">
        <v>5.2</v>
      </c>
      <c r="J46" s="322">
        <f t="shared" si="13"/>
        <v>3</v>
      </c>
      <c r="K46" s="236">
        <v>41.25</v>
      </c>
      <c r="L46" s="322">
        <f t="shared" si="14"/>
        <v>5</v>
      </c>
      <c r="M46" s="139">
        <f>N46/'Guide &amp; drivers'!$C$35</f>
        <v>1.5435000000000003</v>
      </c>
      <c r="N46" s="139">
        <v>1.9629118626749775</v>
      </c>
      <c r="O46" s="167" t="str">
        <f t="shared" si="2"/>
        <v>Green</v>
      </c>
      <c r="P46" s="139">
        <f t="shared" si="15"/>
        <v>3.75</v>
      </c>
      <c r="Q46" s="183">
        <f t="shared" si="16"/>
        <v>2</v>
      </c>
      <c r="R46" s="641">
        <f t="shared" si="17"/>
        <v>81.819999999999993</v>
      </c>
      <c r="T46" s="653" t="s">
        <v>165</v>
      </c>
      <c r="U46" s="235">
        <v>3.4757647514343302</v>
      </c>
      <c r="V46" s="183">
        <f t="shared" si="18"/>
        <v>3</v>
      </c>
      <c r="W46" s="235">
        <v>34.4045600891113</v>
      </c>
      <c r="X46" s="183">
        <f t="shared" si="19"/>
        <v>4</v>
      </c>
      <c r="Y46" s="235">
        <v>4.7343630790710396</v>
      </c>
      <c r="Z46" s="183">
        <f t="shared" si="20"/>
        <v>1</v>
      </c>
      <c r="AA46" s="236">
        <v>45.776302337646499</v>
      </c>
      <c r="AB46" s="183">
        <f t="shared" si="21"/>
        <v>5</v>
      </c>
      <c r="AC46" s="139">
        <f>AD46/'Guide &amp; drivers'!$C$35</f>
        <v>1.3147285263061532</v>
      </c>
      <c r="AD46" s="139">
        <v>1.6719768192313176</v>
      </c>
      <c r="AE46" s="240" t="str">
        <f t="shared" si="3"/>
        <v>Green</v>
      </c>
      <c r="AF46" s="139">
        <f t="shared" si="22"/>
        <v>3.25</v>
      </c>
      <c r="AG46" s="183">
        <f t="shared" si="4"/>
        <v>1</v>
      </c>
      <c r="AH46" s="650">
        <f t="shared" si="23"/>
        <v>88.390990257263169</v>
      </c>
      <c r="AI46" s="653" t="s">
        <v>165</v>
      </c>
      <c r="AJ46" s="235">
        <v>3.51</v>
      </c>
      <c r="AK46" s="183">
        <f t="shared" si="24"/>
        <v>4</v>
      </c>
      <c r="AL46" s="235">
        <v>28.16</v>
      </c>
      <c r="AM46" s="183">
        <f t="shared" si="25"/>
        <v>4</v>
      </c>
      <c r="AN46" s="235">
        <v>4.91</v>
      </c>
      <c r="AO46" s="183">
        <f t="shared" si="26"/>
        <v>2</v>
      </c>
      <c r="AP46" s="236">
        <v>35.42</v>
      </c>
      <c r="AQ46" s="183">
        <f t="shared" si="27"/>
        <v>4</v>
      </c>
      <c r="AR46" s="139">
        <f>AS46/'Guide &amp; drivers'!$C$35</f>
        <v>1.5999999999999996</v>
      </c>
      <c r="AS46" s="139">
        <v>2.0347644834985181</v>
      </c>
      <c r="AT46" s="240" t="str">
        <f t="shared" si="28"/>
        <v>Green</v>
      </c>
      <c r="AU46" s="139">
        <f t="shared" si="29"/>
        <v>3.5</v>
      </c>
      <c r="AV46" s="183">
        <f t="shared" si="5"/>
        <v>1</v>
      </c>
      <c r="AW46" s="650">
        <f t="shared" si="30"/>
        <v>72</v>
      </c>
      <c r="AX46" s="653" t="s">
        <v>165</v>
      </c>
      <c r="AY46" s="235">
        <v>3.6325502395629901</v>
      </c>
      <c r="AZ46" s="183">
        <f t="shared" si="31"/>
        <v>5</v>
      </c>
      <c r="BA46" s="235">
        <v>30.381818771362301</v>
      </c>
      <c r="BB46" s="183">
        <f t="shared" si="32"/>
        <v>5</v>
      </c>
      <c r="BC46" s="235">
        <v>5.2938389778137198</v>
      </c>
      <c r="BD46" s="183">
        <f t="shared" si="33"/>
        <v>1</v>
      </c>
      <c r="BE46" s="236">
        <v>35.400505065917997</v>
      </c>
      <c r="BF46" s="183">
        <f t="shared" si="34"/>
        <v>4</v>
      </c>
      <c r="BG46" s="139">
        <f>BH46/'Guide &amp; drivers'!$C$35</f>
        <v>1.6</v>
      </c>
      <c r="BH46" s="139">
        <v>2.0347644834985186</v>
      </c>
      <c r="BI46" s="240" t="str">
        <f t="shared" si="35"/>
        <v>Green</v>
      </c>
      <c r="BJ46" s="139">
        <f t="shared" si="36"/>
        <v>3.75</v>
      </c>
      <c r="BK46" s="183">
        <f t="shared" si="37"/>
        <v>2</v>
      </c>
      <c r="BL46" s="650">
        <f t="shared" si="38"/>
        <v>74.708713054657011</v>
      </c>
      <c r="BM46" s="653" t="s">
        <v>165</v>
      </c>
      <c r="BN46" s="235">
        <v>2.2027416229247998</v>
      </c>
      <c r="BO46" s="183">
        <f t="shared" si="6"/>
        <v>2</v>
      </c>
      <c r="BP46" s="235">
        <v>27.5480766296387</v>
      </c>
      <c r="BQ46" s="183">
        <f t="shared" si="7"/>
        <v>4</v>
      </c>
      <c r="BR46" s="235">
        <v>3.4573614597320601</v>
      </c>
      <c r="BS46" s="183">
        <f t="shared" si="8"/>
        <v>2</v>
      </c>
      <c r="BT46" s="236">
        <v>33.983436584472699</v>
      </c>
      <c r="BU46" s="183">
        <f t="shared" si="9"/>
        <v>5</v>
      </c>
      <c r="BV46" s="139">
        <f>BW46/'Guide &amp; drivers'!$C$35</f>
        <v>1.5866877118774394</v>
      </c>
      <c r="BW46" s="139">
        <v>2.0178348765823402</v>
      </c>
      <c r="BX46" s="240" t="str">
        <f t="shared" si="39"/>
        <v>Green</v>
      </c>
      <c r="BY46" s="139">
        <f t="shared" si="40"/>
        <v>3.25</v>
      </c>
      <c r="BZ46" s="183">
        <f t="shared" si="10"/>
        <v>2</v>
      </c>
      <c r="CA46" s="650">
        <f t="shared" si="41"/>
        <v>67.19161629676826</v>
      </c>
      <c r="CB46" s="653" t="s">
        <v>165</v>
      </c>
      <c r="CC46" s="235">
        <v>1.5623478889465301</v>
      </c>
      <c r="CD46" s="183">
        <f t="shared" si="42"/>
        <v>3</v>
      </c>
      <c r="CE46" s="235">
        <v>31.685592651367202</v>
      </c>
      <c r="CF46" s="183">
        <f t="shared" si="43"/>
        <v>4</v>
      </c>
      <c r="CG46" s="235">
        <v>2.9107794761657702</v>
      </c>
      <c r="CH46" s="183">
        <f t="shared" si="44"/>
        <v>3</v>
      </c>
      <c r="CI46" s="236">
        <v>37.589900970458999</v>
      </c>
      <c r="CJ46" s="183">
        <f t="shared" si="45"/>
        <v>3</v>
      </c>
      <c r="CK46" s="139">
        <f>CL46/'Guide &amp; drivers'!$C$35</f>
        <v>1.6</v>
      </c>
      <c r="CL46" s="139">
        <v>2.0347644834985186</v>
      </c>
      <c r="CM46" s="240" t="str">
        <f t="shared" si="46"/>
        <v>Green</v>
      </c>
      <c r="CN46" s="139">
        <f t="shared" si="47"/>
        <v>3.25</v>
      </c>
      <c r="CO46" s="183">
        <f t="shared" si="48"/>
        <v>3</v>
      </c>
      <c r="CP46" s="650">
        <f t="shared" si="49"/>
        <v>73.748620986938505</v>
      </c>
      <c r="CQ46" s="653" t="s">
        <v>165</v>
      </c>
      <c r="CR46" s="235">
        <v>1.7726517915725699</v>
      </c>
      <c r="CS46" s="183">
        <f t="shared" si="50"/>
        <v>3</v>
      </c>
      <c r="CT46" s="235">
        <v>31.277286529541001</v>
      </c>
      <c r="CU46" s="183">
        <f t="shared" si="51"/>
        <v>3</v>
      </c>
      <c r="CV46" s="235">
        <v>3.4622547626495401</v>
      </c>
      <c r="CW46" s="183">
        <f t="shared" si="52"/>
        <v>3</v>
      </c>
      <c r="CX46" s="235">
        <v>39.017978668212898</v>
      </c>
      <c r="CY46" s="183">
        <f t="shared" si="53"/>
        <v>5</v>
      </c>
      <c r="CZ46" s="139">
        <f>DA46/'Guide &amp; drivers'!$C$35</f>
        <v>1.5999914299181552</v>
      </c>
      <c r="DA46" s="139">
        <v>2.0347535846871696</v>
      </c>
      <c r="DB46" s="240" t="str">
        <f t="shared" si="54"/>
        <v>Green</v>
      </c>
      <c r="DC46" s="139">
        <f t="shared" si="55"/>
        <v>3.5</v>
      </c>
      <c r="DD46" s="183">
        <f t="shared" si="56"/>
        <v>2</v>
      </c>
      <c r="DE46" s="650">
        <f t="shared" si="57"/>
        <v>75.530171751976013</v>
      </c>
      <c r="DG46" s="657"/>
      <c r="DH46" s="141"/>
      <c r="DI46" s="141"/>
      <c r="DJ46" s="141"/>
      <c r="DK46" s="141"/>
      <c r="DL46" s="141"/>
      <c r="DM46" s="141"/>
      <c r="DN46" s="141"/>
      <c r="DO46" s="141"/>
      <c r="DP46" s="141"/>
      <c r="DQ46" s="141"/>
      <c r="DR46" s="141"/>
      <c r="DS46" s="141"/>
      <c r="DT46" s="658"/>
    </row>
    <row r="47" spans="2:124">
      <c r="B47" s="190"/>
      <c r="C47" s="60"/>
      <c r="D47" s="647" t="s">
        <v>166</v>
      </c>
      <c r="E47" s="235">
        <v>8.3699999999999992</v>
      </c>
      <c r="F47" s="322">
        <f t="shared" si="11"/>
        <v>14</v>
      </c>
      <c r="G47" s="235">
        <v>30.26</v>
      </c>
      <c r="H47" s="322">
        <f t="shared" si="12"/>
        <v>1</v>
      </c>
      <c r="I47" s="235">
        <v>11.1</v>
      </c>
      <c r="J47" s="322">
        <f t="shared" si="13"/>
        <v>14</v>
      </c>
      <c r="K47" s="236">
        <v>34.549999999999997</v>
      </c>
      <c r="L47" s="322">
        <f t="shared" si="14"/>
        <v>1</v>
      </c>
      <c r="M47" s="139">
        <f>N47/'Guide &amp; drivers'!$C$35</f>
        <v>0.45710000000000023</v>
      </c>
      <c r="N47" s="139">
        <v>0.5813067783794833</v>
      </c>
      <c r="O47" s="167" t="str">
        <f t="shared" si="2"/>
        <v>Amber</v>
      </c>
      <c r="P47" s="139">
        <f t="shared" si="15"/>
        <v>7.5</v>
      </c>
      <c r="Q47" s="183">
        <f t="shared" si="16"/>
        <v>7</v>
      </c>
      <c r="R47" s="641">
        <f t="shared" si="17"/>
        <v>84.28</v>
      </c>
      <c r="T47" s="653" t="s">
        <v>166</v>
      </c>
      <c r="U47" s="235">
        <v>4.2988581657409703</v>
      </c>
      <c r="V47" s="183">
        <f t="shared" si="18"/>
        <v>5</v>
      </c>
      <c r="W47" s="235">
        <v>33.7554740905762</v>
      </c>
      <c r="X47" s="183">
        <f t="shared" si="19"/>
        <v>3</v>
      </c>
      <c r="Y47" s="235">
        <v>5.7782912254333496</v>
      </c>
      <c r="Z47" s="183">
        <f t="shared" si="20"/>
        <v>2</v>
      </c>
      <c r="AA47" s="236">
        <v>42.550689697265597</v>
      </c>
      <c r="AB47" s="183">
        <f t="shared" si="21"/>
        <v>3</v>
      </c>
      <c r="AC47" s="139">
        <f>AD47/'Guide &amp; drivers'!$C$35</f>
        <v>0.66798362121582</v>
      </c>
      <c r="AD47" s="139">
        <v>0.84949334250542385</v>
      </c>
      <c r="AE47" s="240" t="str">
        <f t="shared" si="3"/>
        <v>Green</v>
      </c>
      <c r="AF47" s="139">
        <f t="shared" si="22"/>
        <v>3.25</v>
      </c>
      <c r="AG47" s="183">
        <f t="shared" si="4"/>
        <v>1</v>
      </c>
      <c r="AH47" s="650">
        <f t="shared" si="23"/>
        <v>86.383313179016113</v>
      </c>
      <c r="AI47" s="653" t="s">
        <v>166</v>
      </c>
      <c r="AJ47" s="235">
        <v>3.3</v>
      </c>
      <c r="AK47" s="183">
        <f t="shared" si="24"/>
        <v>2</v>
      </c>
      <c r="AL47" s="235">
        <v>28.35</v>
      </c>
      <c r="AM47" s="183">
        <f t="shared" si="25"/>
        <v>5</v>
      </c>
      <c r="AN47" s="235">
        <v>4.93</v>
      </c>
      <c r="AO47" s="183">
        <f t="shared" si="26"/>
        <v>3</v>
      </c>
      <c r="AP47" s="236">
        <v>38.51</v>
      </c>
      <c r="AQ47" s="183">
        <f t="shared" si="27"/>
        <v>5</v>
      </c>
      <c r="AR47" s="139">
        <f>AS47/'Guide &amp; drivers'!$C$35</f>
        <v>0.7419</v>
      </c>
      <c r="AS47" s="139">
        <v>0.94349485644221931</v>
      </c>
      <c r="AT47" s="240" t="str">
        <f t="shared" si="28"/>
        <v>Green</v>
      </c>
      <c r="AU47" s="139">
        <f t="shared" si="29"/>
        <v>3.75</v>
      </c>
      <c r="AV47" s="183">
        <f t="shared" si="5"/>
        <v>2</v>
      </c>
      <c r="AW47" s="650">
        <f t="shared" si="30"/>
        <v>75.09</v>
      </c>
      <c r="AX47" s="653" t="s">
        <v>166</v>
      </c>
      <c r="AY47" s="235">
        <v>3.6122882366180402</v>
      </c>
      <c r="AZ47" s="183">
        <f t="shared" si="31"/>
        <v>4</v>
      </c>
      <c r="BA47" s="235">
        <v>27.127296447753899</v>
      </c>
      <c r="BB47" s="183">
        <f t="shared" si="32"/>
        <v>2</v>
      </c>
      <c r="BC47" s="235">
        <v>6.3678755760192898</v>
      </c>
      <c r="BD47" s="183">
        <f t="shared" si="33"/>
        <v>6</v>
      </c>
      <c r="BE47" s="236">
        <v>34.0645942687988</v>
      </c>
      <c r="BF47" s="183">
        <f t="shared" si="34"/>
        <v>3</v>
      </c>
      <c r="BG47" s="139">
        <f>BH47/'Guide &amp; drivers'!$C$35</f>
        <v>0.78635405731201213</v>
      </c>
      <c r="BH47" s="139">
        <v>1.0000283170459006</v>
      </c>
      <c r="BI47" s="240" t="str">
        <f t="shared" si="35"/>
        <v>Green</v>
      </c>
      <c r="BJ47" s="139">
        <f t="shared" si="36"/>
        <v>3.75</v>
      </c>
      <c r="BK47" s="183">
        <f t="shared" si="37"/>
        <v>2</v>
      </c>
      <c r="BL47" s="650">
        <f t="shared" si="38"/>
        <v>71.172054529190035</v>
      </c>
      <c r="BM47" s="653" t="s">
        <v>166</v>
      </c>
      <c r="BN47" s="235">
        <v>1.98315465450287</v>
      </c>
      <c r="BO47" s="183">
        <f t="shared" si="6"/>
        <v>1</v>
      </c>
      <c r="BP47" s="235">
        <v>24.604972839355501</v>
      </c>
      <c r="BQ47" s="183">
        <f t="shared" si="7"/>
        <v>2</v>
      </c>
      <c r="BR47" s="235">
        <v>3.6634304523468</v>
      </c>
      <c r="BS47" s="183">
        <f t="shared" si="8"/>
        <v>4</v>
      </c>
      <c r="BT47" s="236">
        <v>30.316490173339801</v>
      </c>
      <c r="BU47" s="183">
        <f t="shared" si="9"/>
        <v>3</v>
      </c>
      <c r="BV47" s="139">
        <f>BW47/'Guide &amp; drivers'!$C$35</f>
        <v>0.80000000000000016</v>
      </c>
      <c r="BW47" s="139">
        <v>1.0173822417492595</v>
      </c>
      <c r="BX47" s="240" t="str">
        <f t="shared" si="39"/>
        <v>Green</v>
      </c>
      <c r="BY47" s="139">
        <f t="shared" si="40"/>
        <v>2.5</v>
      </c>
      <c r="BZ47" s="183">
        <f t="shared" si="10"/>
        <v>1</v>
      </c>
      <c r="CA47" s="650">
        <f t="shared" si="41"/>
        <v>60.568048119544969</v>
      </c>
      <c r="CB47" s="653" t="s">
        <v>166</v>
      </c>
      <c r="CC47" s="235">
        <v>1.0591194629669201</v>
      </c>
      <c r="CD47" s="183">
        <f t="shared" si="42"/>
        <v>1</v>
      </c>
      <c r="CE47" s="235">
        <v>29.807895660400401</v>
      </c>
      <c r="CF47" s="183">
        <f t="shared" si="43"/>
        <v>3</v>
      </c>
      <c r="CG47" s="235">
        <v>2.3865284919738801</v>
      </c>
      <c r="CH47" s="183">
        <f t="shared" si="44"/>
        <v>2</v>
      </c>
      <c r="CI47" s="236">
        <v>39.310344696044901</v>
      </c>
      <c r="CJ47" s="183">
        <f t="shared" si="45"/>
        <v>5</v>
      </c>
      <c r="CK47" s="139">
        <f>CL47/'Guide &amp; drivers'!$C$35</f>
        <v>0.8</v>
      </c>
      <c r="CL47" s="139">
        <v>1.0173822417492593</v>
      </c>
      <c r="CM47" s="240" t="str">
        <f t="shared" si="46"/>
        <v>Green</v>
      </c>
      <c r="CN47" s="139">
        <f t="shared" si="47"/>
        <v>2.75</v>
      </c>
      <c r="CO47" s="183">
        <f t="shared" si="48"/>
        <v>1</v>
      </c>
      <c r="CP47" s="650">
        <f t="shared" si="49"/>
        <v>72.563888311386108</v>
      </c>
      <c r="CQ47" s="653" t="s">
        <v>166</v>
      </c>
      <c r="CR47" s="235">
        <v>1.1322603225707999</v>
      </c>
      <c r="CS47" s="183">
        <f t="shared" si="50"/>
        <v>1</v>
      </c>
      <c r="CT47" s="235">
        <v>32.674648284912102</v>
      </c>
      <c r="CU47" s="183">
        <f t="shared" si="51"/>
        <v>5</v>
      </c>
      <c r="CV47" s="235">
        <v>2.6936252117157</v>
      </c>
      <c r="CW47" s="183">
        <f t="shared" si="52"/>
        <v>1</v>
      </c>
      <c r="CX47" s="235">
        <v>40.073268890380902</v>
      </c>
      <c r="CY47" s="183">
        <f t="shared" si="53"/>
        <v>9</v>
      </c>
      <c r="CZ47" s="139">
        <f>DA47/'Guide &amp; drivers'!$C$35</f>
        <v>0.79999571495907762</v>
      </c>
      <c r="DA47" s="139">
        <v>1.0173767923435848</v>
      </c>
      <c r="DB47" s="240" t="str">
        <f t="shared" si="54"/>
        <v>Green</v>
      </c>
      <c r="DC47" s="139">
        <f t="shared" si="55"/>
        <v>4</v>
      </c>
      <c r="DD47" s="183">
        <f t="shared" si="56"/>
        <v>3</v>
      </c>
      <c r="DE47" s="650">
        <f t="shared" si="57"/>
        <v>76.573802709579496</v>
      </c>
      <c r="DG47" s="657"/>
      <c r="DH47" s="141"/>
      <c r="DI47" s="141"/>
      <c r="DJ47" s="141"/>
      <c r="DK47" s="141"/>
      <c r="DL47" s="141"/>
      <c r="DM47" s="141"/>
      <c r="DN47" s="141"/>
      <c r="DO47" s="141"/>
      <c r="DP47" s="141"/>
      <c r="DQ47" s="141"/>
      <c r="DR47" s="141"/>
      <c r="DS47" s="141"/>
      <c r="DT47" s="658"/>
    </row>
    <row r="48" spans="2:124">
      <c r="B48" s="190"/>
      <c r="C48" s="60"/>
      <c r="D48" s="647" t="s">
        <v>167</v>
      </c>
      <c r="E48" s="235">
        <v>6.64</v>
      </c>
      <c r="F48" s="322">
        <f t="shared" si="11"/>
        <v>13</v>
      </c>
      <c r="G48" s="235">
        <v>32.01</v>
      </c>
      <c r="H48" s="322">
        <f t="shared" si="12"/>
        <v>5</v>
      </c>
      <c r="I48" s="235">
        <v>7.87</v>
      </c>
      <c r="J48" s="322">
        <f t="shared" si="13"/>
        <v>10</v>
      </c>
      <c r="K48" s="236">
        <v>37.68</v>
      </c>
      <c r="L48" s="322">
        <f t="shared" si="14"/>
        <v>3</v>
      </c>
      <c r="M48" s="139">
        <f>N48/'Guide &amp; drivers'!$C$35</f>
        <v>1.1355000000000002</v>
      </c>
      <c r="N48" s="139">
        <v>1.4440469193828551</v>
      </c>
      <c r="O48" s="167" t="str">
        <f t="shared" si="2"/>
        <v>Green</v>
      </c>
      <c r="P48" s="139">
        <f t="shared" si="15"/>
        <v>7.75</v>
      </c>
      <c r="Q48" s="183">
        <f t="shared" si="16"/>
        <v>10</v>
      </c>
      <c r="R48" s="641">
        <f t="shared" si="17"/>
        <v>84.199999999999989</v>
      </c>
      <c r="T48" s="653" t="s">
        <v>167</v>
      </c>
      <c r="U48" s="235">
        <v>5.1552052497863796</v>
      </c>
      <c r="V48" s="183">
        <f t="shared" si="18"/>
        <v>8</v>
      </c>
      <c r="W48" s="235">
        <v>36.526821136474602</v>
      </c>
      <c r="X48" s="183">
        <f t="shared" si="19"/>
        <v>5</v>
      </c>
      <c r="Y48" s="235">
        <v>5.8632850646972701</v>
      </c>
      <c r="Z48" s="183">
        <f t="shared" si="20"/>
        <v>3</v>
      </c>
      <c r="AA48" s="236">
        <v>43.388607025146499</v>
      </c>
      <c r="AB48" s="183">
        <f t="shared" si="21"/>
        <v>4</v>
      </c>
      <c r="AC48" s="139">
        <f>AD48/'Guide &amp; drivers'!$C$35</f>
        <v>0.95282322540283193</v>
      </c>
      <c r="AD48" s="139">
        <v>1.2117317863138661</v>
      </c>
      <c r="AE48" s="240" t="str">
        <f t="shared" si="3"/>
        <v>Green</v>
      </c>
      <c r="AF48" s="139">
        <f t="shared" si="22"/>
        <v>5</v>
      </c>
      <c r="AG48" s="183">
        <f t="shared" si="4"/>
        <v>5</v>
      </c>
      <c r="AH48" s="650">
        <f t="shared" si="23"/>
        <v>90.933918476104751</v>
      </c>
      <c r="AI48" s="653" t="s">
        <v>167</v>
      </c>
      <c r="AJ48" s="235">
        <v>4.87</v>
      </c>
      <c r="AK48" s="183">
        <f t="shared" si="24"/>
        <v>9</v>
      </c>
      <c r="AL48" s="235">
        <v>25.73</v>
      </c>
      <c r="AM48" s="183">
        <f t="shared" si="25"/>
        <v>1</v>
      </c>
      <c r="AN48" s="235">
        <v>5.4</v>
      </c>
      <c r="AO48" s="183">
        <f t="shared" si="26"/>
        <v>4</v>
      </c>
      <c r="AP48" s="236">
        <v>29.92</v>
      </c>
      <c r="AQ48" s="183">
        <f t="shared" si="27"/>
        <v>2</v>
      </c>
      <c r="AR48" s="139">
        <f>AS48/'Guide &amp; drivers'!$C$35</f>
        <v>1.1999999999999997</v>
      </c>
      <c r="AS48" s="139">
        <v>1.5260733626238885</v>
      </c>
      <c r="AT48" s="240" t="str">
        <f t="shared" si="28"/>
        <v>Green</v>
      </c>
      <c r="AU48" s="139">
        <f t="shared" si="29"/>
        <v>4</v>
      </c>
      <c r="AV48" s="183">
        <f t="shared" si="5"/>
        <v>3</v>
      </c>
      <c r="AW48" s="650">
        <f t="shared" si="30"/>
        <v>65.92</v>
      </c>
      <c r="AX48" s="653" t="s">
        <v>167</v>
      </c>
      <c r="AY48" s="235">
        <v>5.3704643249511701</v>
      </c>
      <c r="AZ48" s="183">
        <f t="shared" si="31"/>
        <v>9</v>
      </c>
      <c r="BA48" s="235">
        <v>27.416389465331999</v>
      </c>
      <c r="BB48" s="183">
        <f t="shared" si="32"/>
        <v>3</v>
      </c>
      <c r="BC48" s="235">
        <v>5.6094117164611799</v>
      </c>
      <c r="BD48" s="183">
        <f t="shared" si="33"/>
        <v>3</v>
      </c>
      <c r="BE48" s="236">
        <v>33.393035888671903</v>
      </c>
      <c r="BF48" s="183">
        <f t="shared" si="34"/>
        <v>2</v>
      </c>
      <c r="BG48" s="139">
        <f>BH48/'Guide &amp; drivers'!$C$35</f>
        <v>1.2</v>
      </c>
      <c r="BH48" s="139">
        <v>1.5260733626238889</v>
      </c>
      <c r="BI48" s="240" t="str">
        <f t="shared" si="35"/>
        <v>Green</v>
      </c>
      <c r="BJ48" s="139">
        <f t="shared" si="36"/>
        <v>4.25</v>
      </c>
      <c r="BK48" s="183">
        <f t="shared" si="37"/>
        <v>4</v>
      </c>
      <c r="BL48" s="650">
        <f t="shared" si="38"/>
        <v>71.78930139541626</v>
      </c>
      <c r="BM48" s="653" t="s">
        <v>167</v>
      </c>
      <c r="BN48" s="235">
        <v>3.1163372993469198</v>
      </c>
      <c r="BO48" s="183">
        <f t="shared" si="6"/>
        <v>6</v>
      </c>
      <c r="BP48" s="235">
        <v>26.905122756958001</v>
      </c>
      <c r="BQ48" s="183">
        <f t="shared" si="7"/>
        <v>3</v>
      </c>
      <c r="BR48" s="235">
        <v>3.6569342613220202</v>
      </c>
      <c r="BS48" s="183">
        <f t="shared" si="8"/>
        <v>3</v>
      </c>
      <c r="BT48" s="236">
        <v>32.457553863525398</v>
      </c>
      <c r="BU48" s="183">
        <f t="shared" si="9"/>
        <v>4</v>
      </c>
      <c r="BV48" s="139">
        <f>BW48/'Guide &amp; drivers'!$C$35</f>
        <v>1.2</v>
      </c>
      <c r="BW48" s="139">
        <v>1.5260733626238889</v>
      </c>
      <c r="BX48" s="240" t="str">
        <f t="shared" si="39"/>
        <v>Green</v>
      </c>
      <c r="BY48" s="139">
        <f t="shared" si="40"/>
        <v>4</v>
      </c>
      <c r="BZ48" s="183">
        <f t="shared" si="10"/>
        <v>4</v>
      </c>
      <c r="CA48" s="650">
        <f t="shared" si="41"/>
        <v>66.135948181152344</v>
      </c>
      <c r="CB48" s="653" t="s">
        <v>167</v>
      </c>
      <c r="CC48" s="235">
        <v>2.78635931015015</v>
      </c>
      <c r="CD48" s="183">
        <f t="shared" si="42"/>
        <v>5</v>
      </c>
      <c r="CE48" s="235">
        <v>36.804920196533203</v>
      </c>
      <c r="CF48" s="183">
        <f t="shared" si="43"/>
        <v>9</v>
      </c>
      <c r="CG48" s="235">
        <v>3.6303949356079102</v>
      </c>
      <c r="CH48" s="183">
        <f t="shared" si="44"/>
        <v>4</v>
      </c>
      <c r="CI48" s="236">
        <v>45.597442626953097</v>
      </c>
      <c r="CJ48" s="183">
        <f t="shared" si="45"/>
        <v>8</v>
      </c>
      <c r="CK48" s="139">
        <f>CL48/'Guide &amp; drivers'!$C$35</f>
        <v>1.2</v>
      </c>
      <c r="CL48" s="139">
        <v>1.5260733626238889</v>
      </c>
      <c r="CM48" s="240" t="str">
        <f t="shared" si="46"/>
        <v>Green</v>
      </c>
      <c r="CN48" s="139">
        <f t="shared" si="47"/>
        <v>6.5</v>
      </c>
      <c r="CO48" s="183">
        <f t="shared" si="48"/>
        <v>6</v>
      </c>
      <c r="CP48" s="650">
        <f t="shared" si="49"/>
        <v>88.819117069244356</v>
      </c>
      <c r="CQ48" s="653" t="s">
        <v>167</v>
      </c>
      <c r="CR48" s="235">
        <v>3.0072338581085201</v>
      </c>
      <c r="CS48" s="183">
        <f t="shared" si="50"/>
        <v>7</v>
      </c>
      <c r="CT48" s="235">
        <v>40.914943695068402</v>
      </c>
      <c r="CU48" s="183">
        <f t="shared" si="51"/>
        <v>11</v>
      </c>
      <c r="CV48" s="235">
        <v>4.3457188606262198</v>
      </c>
      <c r="CW48" s="183">
        <f t="shared" si="52"/>
        <v>6</v>
      </c>
      <c r="CX48" s="235">
        <v>46.180461883544901</v>
      </c>
      <c r="CY48" s="183">
        <f t="shared" si="53"/>
        <v>11</v>
      </c>
      <c r="CZ48" s="139">
        <f>DA48/'Guide &amp; drivers'!$C$35</f>
        <v>1.1999935724386166</v>
      </c>
      <c r="DA48" s="139">
        <v>1.5260651885153773</v>
      </c>
      <c r="DB48" s="240" t="str">
        <f t="shared" si="54"/>
        <v>Amber</v>
      </c>
      <c r="DC48" s="139">
        <f t="shared" si="55"/>
        <v>8.75</v>
      </c>
      <c r="DD48" s="183">
        <f t="shared" si="56"/>
        <v>9</v>
      </c>
      <c r="DE48" s="650">
        <f t="shared" si="57"/>
        <v>94.448358297348051</v>
      </c>
      <c r="DG48" s="657"/>
      <c r="DH48" s="141"/>
      <c r="DI48" s="141"/>
      <c r="DJ48" s="141"/>
      <c r="DK48" s="141"/>
      <c r="DL48" s="141"/>
      <c r="DM48" s="141"/>
      <c r="DN48" s="141"/>
      <c r="DO48" s="141"/>
      <c r="DP48" s="141"/>
      <c r="DQ48" s="141"/>
      <c r="DR48" s="141"/>
      <c r="DS48" s="141"/>
      <c r="DT48" s="658"/>
    </row>
    <row r="49" spans="2:124">
      <c r="B49" s="190"/>
      <c r="C49" s="60"/>
      <c r="D49" s="647" t="s">
        <v>168</v>
      </c>
      <c r="E49" s="235">
        <v>3.6424489795918369</v>
      </c>
      <c r="F49" s="322">
        <f t="shared" si="11"/>
        <v>4</v>
      </c>
      <c r="G49" s="235">
        <v>41.295744680851065</v>
      </c>
      <c r="H49" s="322">
        <f t="shared" si="12"/>
        <v>12</v>
      </c>
      <c r="I49" s="235">
        <v>4.7296187683284456</v>
      </c>
      <c r="J49" s="322">
        <f t="shared" si="13"/>
        <v>1</v>
      </c>
      <c r="K49" s="236">
        <v>46.795423956931359</v>
      </c>
      <c r="L49" s="322">
        <f t="shared" si="14"/>
        <v>11</v>
      </c>
      <c r="M49" s="139">
        <f>N49/'Guide &amp; drivers'!$C$35</f>
        <v>0.74161918043584085</v>
      </c>
      <c r="N49" s="139">
        <v>0.9431377303950802</v>
      </c>
      <c r="O49" s="167" t="str">
        <f t="shared" si="2"/>
        <v>Green</v>
      </c>
      <c r="P49" s="139">
        <f t="shared" si="15"/>
        <v>7</v>
      </c>
      <c r="Q49" s="183">
        <f t="shared" si="16"/>
        <v>6</v>
      </c>
      <c r="R49" s="641">
        <f t="shared" si="17"/>
        <v>96.463236385702714</v>
      </c>
      <c r="T49" s="653" t="s">
        <v>168</v>
      </c>
      <c r="U49" s="235">
        <v>5.37</v>
      </c>
      <c r="V49" s="183">
        <f t="shared" si="18"/>
        <v>10</v>
      </c>
      <c r="W49" s="235">
        <v>59.64</v>
      </c>
      <c r="X49" s="183">
        <f t="shared" si="19"/>
        <v>14</v>
      </c>
      <c r="Y49" s="235">
        <v>8.3800000000000008</v>
      </c>
      <c r="Z49" s="183">
        <f t="shared" si="20"/>
        <v>11</v>
      </c>
      <c r="AA49" s="236">
        <v>57.85</v>
      </c>
      <c r="AB49" s="183">
        <f t="shared" si="21"/>
        <v>9</v>
      </c>
      <c r="AC49" s="139">
        <f>AD49/'Guide &amp; drivers'!$C$35</f>
        <v>0.60000000000000009</v>
      </c>
      <c r="AD49" s="139">
        <v>0.76303668131194458</v>
      </c>
      <c r="AE49" s="240" t="str">
        <f t="shared" si="3"/>
        <v>Amber</v>
      </c>
      <c r="AF49" s="139">
        <f t="shared" si="22"/>
        <v>11</v>
      </c>
      <c r="AG49" s="183">
        <f t="shared" si="4"/>
        <v>12</v>
      </c>
      <c r="AH49" s="650">
        <f t="shared" si="23"/>
        <v>131.24</v>
      </c>
      <c r="AI49" s="653" t="s">
        <v>168</v>
      </c>
      <c r="AJ49" s="235">
        <v>5.7340314136125654</v>
      </c>
      <c r="AK49" s="183">
        <f t="shared" si="24"/>
        <v>10</v>
      </c>
      <c r="AL49" s="235">
        <v>40.977272727272727</v>
      </c>
      <c r="AM49" s="183">
        <f t="shared" si="25"/>
        <v>8</v>
      </c>
      <c r="AN49" s="235">
        <v>7.3686337914308808</v>
      </c>
      <c r="AO49" s="183">
        <f t="shared" si="26"/>
        <v>6</v>
      </c>
      <c r="AP49" s="236">
        <v>45.043882978723403</v>
      </c>
      <c r="AQ49" s="183">
        <f t="shared" si="27"/>
        <v>7</v>
      </c>
      <c r="AR49" s="139">
        <f>AS49/'Guide &amp; drivers'!$C$35</f>
        <v>0.78620000000000001</v>
      </c>
      <c r="AS49" s="139">
        <v>0.99983239807908453</v>
      </c>
      <c r="AT49" s="240" t="str">
        <f t="shared" si="28"/>
        <v>Green</v>
      </c>
      <c r="AU49" s="139">
        <f t="shared" si="29"/>
        <v>7.75</v>
      </c>
      <c r="AV49" s="183">
        <f t="shared" si="5"/>
        <v>7</v>
      </c>
      <c r="AW49" s="650">
        <f t="shared" si="30"/>
        <v>99.123820911039573</v>
      </c>
      <c r="AX49" s="653" t="s">
        <v>168</v>
      </c>
      <c r="AY49" s="235">
        <v>5.3911602209944753</v>
      </c>
      <c r="AZ49" s="183">
        <f t="shared" si="31"/>
        <v>10</v>
      </c>
      <c r="BA49" s="235">
        <v>34.060109289617486</v>
      </c>
      <c r="BB49" s="183">
        <f t="shared" si="32"/>
        <v>8</v>
      </c>
      <c r="BC49" s="235">
        <v>6.9734748010610081</v>
      </c>
      <c r="BD49" s="183">
        <f t="shared" si="33"/>
        <v>8</v>
      </c>
      <c r="BE49" s="236">
        <v>43.083437110834375</v>
      </c>
      <c r="BF49" s="183">
        <f t="shared" si="34"/>
        <v>8</v>
      </c>
      <c r="BG49" s="139">
        <f>BH49/'Guide &amp; drivers'!$C$35</f>
        <v>1.0329279790947878</v>
      </c>
      <c r="BH49" s="139">
        <v>1.3136032286712342</v>
      </c>
      <c r="BI49" s="240" t="str">
        <f t="shared" si="35"/>
        <v>Green</v>
      </c>
      <c r="BJ49" s="139">
        <f t="shared" si="36"/>
        <v>8.5</v>
      </c>
      <c r="BK49" s="183">
        <f t="shared" si="37"/>
        <v>8</v>
      </c>
      <c r="BL49" s="650">
        <f t="shared" si="38"/>
        <v>89.508181422507349</v>
      </c>
      <c r="BM49" s="653" t="s">
        <v>168</v>
      </c>
      <c r="BN49" s="235">
        <v>5.2876543209876541</v>
      </c>
      <c r="BO49" s="183">
        <f t="shared" si="6"/>
        <v>11</v>
      </c>
      <c r="BP49" s="235">
        <v>35.410714285714278</v>
      </c>
      <c r="BQ49" s="183">
        <f t="shared" si="7"/>
        <v>8</v>
      </c>
      <c r="BR49" s="235">
        <v>6.5135900339750847</v>
      </c>
      <c r="BS49" s="183">
        <f t="shared" si="8"/>
        <v>10</v>
      </c>
      <c r="BT49" s="236">
        <v>44.005044136191678</v>
      </c>
      <c r="BU49" s="183">
        <f t="shared" si="9"/>
        <v>10</v>
      </c>
      <c r="BV49" s="139">
        <f>BW49/'Guide &amp; drivers'!$C$35</f>
        <v>0.34996338272463962</v>
      </c>
      <c r="BW49" s="139">
        <v>0.44505816355818478</v>
      </c>
      <c r="BX49" s="240" t="str">
        <f t="shared" si="39"/>
        <v>Amber</v>
      </c>
      <c r="BY49" s="139">
        <f t="shared" si="40"/>
        <v>9.75</v>
      </c>
      <c r="BZ49" s="183">
        <f t="shared" si="10"/>
        <v>9</v>
      </c>
      <c r="CA49" s="650">
        <f t="shared" si="41"/>
        <v>91.217002776868696</v>
      </c>
      <c r="CB49" s="653" t="s">
        <v>168</v>
      </c>
      <c r="CC49" s="235">
        <v>3.4110898661567877</v>
      </c>
      <c r="CD49" s="183">
        <f t="shared" si="42"/>
        <v>7</v>
      </c>
      <c r="CE49" s="235">
        <v>34.783950617283949</v>
      </c>
      <c r="CF49" s="183">
        <f t="shared" si="43"/>
        <v>7</v>
      </c>
      <c r="CG49" s="235">
        <v>4.9100391134289438</v>
      </c>
      <c r="CH49" s="183">
        <f t="shared" si="44"/>
        <v>6</v>
      </c>
      <c r="CI49" s="236">
        <v>44.519809825673534</v>
      </c>
      <c r="CJ49" s="183">
        <f t="shared" si="45"/>
        <v>7</v>
      </c>
      <c r="CK49" s="139">
        <f>CL49/'Guide &amp; drivers'!$C$35</f>
        <v>0.78150016595379257</v>
      </c>
      <c r="CL49" s="139">
        <v>0.99385548845685956</v>
      </c>
      <c r="CM49" s="240" t="str">
        <f t="shared" si="46"/>
        <v>Green</v>
      </c>
      <c r="CN49" s="139">
        <f t="shared" si="47"/>
        <v>6.75</v>
      </c>
      <c r="CO49" s="183">
        <f t="shared" si="48"/>
        <v>7</v>
      </c>
      <c r="CP49" s="650">
        <f t="shared" si="49"/>
        <v>87.62488942254322</v>
      </c>
      <c r="CQ49" s="653" t="s">
        <v>168</v>
      </c>
      <c r="CR49" s="235">
        <v>2.6098993288590604</v>
      </c>
      <c r="CS49" s="183">
        <f t="shared" si="50"/>
        <v>4</v>
      </c>
      <c r="CT49" s="235">
        <v>36.896755162241888</v>
      </c>
      <c r="CU49" s="183">
        <f t="shared" si="51"/>
        <v>9</v>
      </c>
      <c r="CV49" s="235">
        <v>4.2428734321550738</v>
      </c>
      <c r="CW49" s="183">
        <f t="shared" si="52"/>
        <v>5</v>
      </c>
      <c r="CX49" s="235">
        <v>39.452970297029701</v>
      </c>
      <c r="CY49" s="183">
        <f t="shared" si="53"/>
        <v>7</v>
      </c>
      <c r="CZ49" s="139">
        <f>DA49/'Guide &amp; drivers'!$C$35</f>
        <v>0.83773530099197935</v>
      </c>
      <c r="DA49" s="139">
        <v>1.0653712731446381</v>
      </c>
      <c r="DB49" s="240" t="str">
        <f t="shared" si="54"/>
        <v>Green</v>
      </c>
      <c r="DC49" s="139">
        <f t="shared" si="55"/>
        <v>6.25</v>
      </c>
      <c r="DD49" s="183">
        <f t="shared" si="56"/>
        <v>7</v>
      </c>
      <c r="DE49" s="650">
        <f t="shared" si="57"/>
        <v>83.202498220285719</v>
      </c>
      <c r="DG49" s="657"/>
      <c r="DH49" s="141"/>
      <c r="DI49" s="141"/>
      <c r="DJ49" s="141"/>
      <c r="DK49" s="141"/>
      <c r="DL49" s="141"/>
      <c r="DM49" s="141"/>
      <c r="DN49" s="141"/>
      <c r="DO49" s="141"/>
      <c r="DP49" s="141"/>
      <c r="DQ49" s="141"/>
      <c r="DR49" s="141"/>
      <c r="DS49" s="141"/>
      <c r="DT49" s="658"/>
    </row>
    <row r="50" spans="2:124">
      <c r="B50" s="190"/>
      <c r="C50" s="60"/>
      <c r="D50" s="647" t="s">
        <v>169</v>
      </c>
      <c r="E50" s="235">
        <v>4.6246872393661382</v>
      </c>
      <c r="F50" s="322">
        <f t="shared" si="11"/>
        <v>6</v>
      </c>
      <c r="G50" s="235">
        <v>37.656193895870736</v>
      </c>
      <c r="H50" s="322">
        <f t="shared" si="12"/>
        <v>10</v>
      </c>
      <c r="I50" s="235">
        <v>7.3452188006482979</v>
      </c>
      <c r="J50" s="322">
        <f t="shared" si="13"/>
        <v>8</v>
      </c>
      <c r="K50" s="236">
        <v>45.308280254777067</v>
      </c>
      <c r="L50" s="322">
        <f t="shared" si="14"/>
        <v>10</v>
      </c>
      <c r="M50" s="139">
        <f>N50/'Guide &amp; drivers'!$C$35</f>
        <v>0.88054857802833664</v>
      </c>
      <c r="N50" s="139">
        <v>1.1198181078544895</v>
      </c>
      <c r="O50" s="167" t="str">
        <f t="shared" si="2"/>
        <v>Green</v>
      </c>
      <c r="P50" s="139">
        <f t="shared" si="15"/>
        <v>8.5</v>
      </c>
      <c r="Q50" s="183">
        <f t="shared" si="16"/>
        <v>11</v>
      </c>
      <c r="R50" s="641">
        <f t="shared" si="17"/>
        <v>94.934380190662239</v>
      </c>
      <c r="T50" s="653" t="s">
        <v>169</v>
      </c>
      <c r="U50" s="235">
        <v>5.57</v>
      </c>
      <c r="V50" s="183">
        <f t="shared" si="18"/>
        <v>12</v>
      </c>
      <c r="W50" s="235">
        <v>52.91</v>
      </c>
      <c r="X50" s="183">
        <f t="shared" si="19"/>
        <v>12</v>
      </c>
      <c r="Y50" s="235">
        <v>6.52</v>
      </c>
      <c r="Z50" s="183">
        <f t="shared" si="20"/>
        <v>6</v>
      </c>
      <c r="AA50" s="236">
        <v>66.430000000000007</v>
      </c>
      <c r="AB50" s="183">
        <f t="shared" si="21"/>
        <v>13</v>
      </c>
      <c r="AC50" s="139">
        <f>AD50/'Guide &amp; drivers'!$C$35</f>
        <v>0.60000000000000009</v>
      </c>
      <c r="AD50" s="139">
        <v>0.76303668131194458</v>
      </c>
      <c r="AE50" s="240" t="str">
        <f t="shared" si="3"/>
        <v>Amber</v>
      </c>
      <c r="AF50" s="139">
        <f t="shared" si="22"/>
        <v>10.75</v>
      </c>
      <c r="AG50" s="183">
        <f t="shared" si="4"/>
        <v>11</v>
      </c>
      <c r="AH50" s="650">
        <f t="shared" si="23"/>
        <v>131.43</v>
      </c>
      <c r="AI50" s="653" t="s">
        <v>169</v>
      </c>
      <c r="AJ50" s="235">
        <v>5.7480650154798765</v>
      </c>
      <c r="AK50" s="183">
        <f t="shared" si="24"/>
        <v>11</v>
      </c>
      <c r="AL50" s="235">
        <v>36.509038322487349</v>
      </c>
      <c r="AM50" s="183">
        <f t="shared" si="25"/>
        <v>7</v>
      </c>
      <c r="AN50" s="235">
        <v>9.7978260869565226</v>
      </c>
      <c r="AO50" s="183">
        <f t="shared" si="26"/>
        <v>10</v>
      </c>
      <c r="AP50" s="236">
        <v>46.026806526806524</v>
      </c>
      <c r="AQ50" s="183">
        <f t="shared" si="27"/>
        <v>8</v>
      </c>
      <c r="AR50" s="139">
        <f>AS50/'Guide &amp; drivers'!$C$35</f>
        <v>0.90049999999999986</v>
      </c>
      <c r="AS50" s="139">
        <v>1.1451908858690099</v>
      </c>
      <c r="AT50" s="240" t="str">
        <f t="shared" si="28"/>
        <v>Green</v>
      </c>
      <c r="AU50" s="139">
        <f t="shared" si="29"/>
        <v>9</v>
      </c>
      <c r="AV50" s="183">
        <f t="shared" si="5"/>
        <v>10</v>
      </c>
      <c r="AW50" s="650">
        <f t="shared" si="30"/>
        <v>98.081735951730266</v>
      </c>
      <c r="AX50" s="653" t="s">
        <v>169</v>
      </c>
      <c r="AY50" s="235">
        <v>7.1222879684418148</v>
      </c>
      <c r="AZ50" s="183">
        <f t="shared" si="31"/>
        <v>13</v>
      </c>
      <c r="BA50" s="235">
        <v>39.255014326647562</v>
      </c>
      <c r="BB50" s="183">
        <f t="shared" si="32"/>
        <v>9</v>
      </c>
      <c r="BC50" s="235">
        <v>9.4005708848715503</v>
      </c>
      <c r="BD50" s="183">
        <f t="shared" si="33"/>
        <v>10</v>
      </c>
      <c r="BE50" s="236">
        <v>51.560636182902584</v>
      </c>
      <c r="BF50" s="183">
        <f t="shared" si="34"/>
        <v>11</v>
      </c>
      <c r="BG50" s="139">
        <f>BH50/'Guide &amp; drivers'!$C$35</f>
        <v>0.59244789190741298</v>
      </c>
      <c r="BH50" s="139">
        <v>0.75343245548548332</v>
      </c>
      <c r="BI50" s="240" t="str">
        <f t="shared" si="35"/>
        <v>Green</v>
      </c>
      <c r="BJ50" s="139">
        <f t="shared" si="36"/>
        <v>10.75</v>
      </c>
      <c r="BK50" s="183">
        <f t="shared" si="37"/>
        <v>10</v>
      </c>
      <c r="BL50" s="650">
        <f t="shared" si="38"/>
        <v>107.3385093628635</v>
      </c>
      <c r="BM50" s="653" t="s">
        <v>169</v>
      </c>
      <c r="BN50" s="235">
        <v>6.442512619181155</v>
      </c>
      <c r="BO50" s="183">
        <f t="shared" si="6"/>
        <v>12</v>
      </c>
      <c r="BP50" s="235">
        <v>36.441016333938293</v>
      </c>
      <c r="BQ50" s="183">
        <f t="shared" si="7"/>
        <v>9</v>
      </c>
      <c r="BR50" s="235">
        <v>7.1936353829557715</v>
      </c>
      <c r="BS50" s="183">
        <f t="shared" si="8"/>
        <v>11</v>
      </c>
      <c r="BT50" s="236">
        <v>43.565310492505354</v>
      </c>
      <c r="BU50" s="183">
        <f t="shared" si="9"/>
        <v>9</v>
      </c>
      <c r="BV50" s="139">
        <f>BW50/'Guide &amp; drivers'!$C$35</f>
        <v>0.24607984411279621</v>
      </c>
      <c r="BW50" s="139">
        <v>0.31294657931598108</v>
      </c>
      <c r="BX50" s="240" t="str">
        <f t="shared" si="39"/>
        <v>Amber</v>
      </c>
      <c r="BY50" s="139">
        <f t="shared" si="40"/>
        <v>10.25</v>
      </c>
      <c r="BZ50" s="183">
        <f t="shared" si="10"/>
        <v>10</v>
      </c>
      <c r="CA50" s="650">
        <f t="shared" si="41"/>
        <v>93.642474828580575</v>
      </c>
      <c r="CB50" s="653" t="s">
        <v>169</v>
      </c>
      <c r="CC50" s="235">
        <v>5.4460807600950121</v>
      </c>
      <c r="CD50" s="183">
        <f t="shared" si="42"/>
        <v>12</v>
      </c>
      <c r="CE50" s="235">
        <v>35.724653148345787</v>
      </c>
      <c r="CF50" s="183">
        <f t="shared" si="43"/>
        <v>8</v>
      </c>
      <c r="CG50" s="235">
        <v>6.7071509648127128</v>
      </c>
      <c r="CH50" s="183">
        <f t="shared" si="44"/>
        <v>11</v>
      </c>
      <c r="CI50" s="236">
        <v>46.761627906976742</v>
      </c>
      <c r="CJ50" s="183">
        <f t="shared" si="45"/>
        <v>9</v>
      </c>
      <c r="CK50" s="139">
        <f>CL50/'Guide &amp; drivers'!$C$35</f>
        <v>0.25975473966445872</v>
      </c>
      <c r="CL50" s="139">
        <v>0.33033732418102779</v>
      </c>
      <c r="CM50" s="240" t="str">
        <f t="shared" si="46"/>
        <v>Amber</v>
      </c>
      <c r="CN50" s="139">
        <f t="shared" si="47"/>
        <v>10</v>
      </c>
      <c r="CO50" s="183">
        <f t="shared" si="48"/>
        <v>10</v>
      </c>
      <c r="CP50" s="650">
        <f t="shared" si="49"/>
        <v>94.639512780230262</v>
      </c>
      <c r="CQ50" s="653" t="s">
        <v>169</v>
      </c>
      <c r="CR50" s="235">
        <v>3.348114380439287</v>
      </c>
      <c r="CS50" s="183">
        <f t="shared" si="50"/>
        <v>8</v>
      </c>
      <c r="CT50" s="235">
        <v>37.900299102691925</v>
      </c>
      <c r="CU50" s="183">
        <f t="shared" si="51"/>
        <v>10</v>
      </c>
      <c r="CV50" s="235">
        <v>6.1204545454545451</v>
      </c>
      <c r="CW50" s="183">
        <f t="shared" si="52"/>
        <v>9</v>
      </c>
      <c r="CX50" s="235">
        <v>42.02623294858342</v>
      </c>
      <c r="CY50" s="183">
        <f t="shared" si="53"/>
        <v>10</v>
      </c>
      <c r="CZ50" s="139">
        <f>DA50/'Guide &amp; drivers'!$C$35</f>
        <v>0.67801497726336268</v>
      </c>
      <c r="DA50" s="139">
        <v>0.86225049688471622</v>
      </c>
      <c r="DB50" s="240" t="str">
        <f t="shared" si="54"/>
        <v>Green</v>
      </c>
      <c r="DC50" s="139">
        <f t="shared" si="55"/>
        <v>9.25</v>
      </c>
      <c r="DD50" s="183">
        <f t="shared" si="56"/>
        <v>11</v>
      </c>
      <c r="DE50" s="650">
        <f t="shared" si="57"/>
        <v>89.395100977169164</v>
      </c>
      <c r="DG50" s="657"/>
      <c r="DH50" s="141"/>
      <c r="DI50" s="141"/>
      <c r="DJ50" s="141"/>
      <c r="DK50" s="141"/>
      <c r="DL50" s="141"/>
      <c r="DM50" s="141"/>
      <c r="DN50" s="141"/>
      <c r="DO50" s="141"/>
      <c r="DP50" s="141"/>
      <c r="DQ50" s="141"/>
      <c r="DR50" s="141"/>
      <c r="DS50" s="141"/>
      <c r="DT50" s="658"/>
    </row>
    <row r="51" spans="2:124">
      <c r="B51" s="190"/>
      <c r="C51" s="60"/>
      <c r="D51" s="647" t="s">
        <v>170</v>
      </c>
      <c r="E51" s="235">
        <v>5.56030216202136</v>
      </c>
      <c r="F51" s="322">
        <f t="shared" si="11"/>
        <v>9</v>
      </c>
      <c r="G51" s="235">
        <v>42.760344827586209</v>
      </c>
      <c r="H51" s="322">
        <f t="shared" si="12"/>
        <v>13</v>
      </c>
      <c r="I51" s="235">
        <v>9.7051377513030523</v>
      </c>
      <c r="J51" s="322">
        <f t="shared" si="13"/>
        <v>13</v>
      </c>
      <c r="K51" s="236">
        <v>51.006763285024157</v>
      </c>
      <c r="L51" s="322">
        <f t="shared" si="14"/>
        <v>14</v>
      </c>
      <c r="M51" s="139">
        <f>N51/'Guide &amp; drivers'!$C$35</f>
        <v>1.0677294685990339</v>
      </c>
      <c r="N51" s="139">
        <v>1.3578612504312881</v>
      </c>
      <c r="O51" s="167" t="str">
        <f t="shared" si="2"/>
        <v>Amber</v>
      </c>
      <c r="P51" s="139">
        <f t="shared" si="15"/>
        <v>12.25</v>
      </c>
      <c r="Q51" s="183">
        <f t="shared" si="16"/>
        <v>13</v>
      </c>
      <c r="R51" s="641">
        <f t="shared" si="17"/>
        <v>109.03254802593477</v>
      </c>
      <c r="T51" s="653" t="s">
        <v>170</v>
      </c>
      <c r="U51" s="235">
        <v>6.12</v>
      </c>
      <c r="V51" s="183">
        <f t="shared" si="18"/>
        <v>14</v>
      </c>
      <c r="W51" s="235">
        <v>54.17</v>
      </c>
      <c r="X51" s="183">
        <f t="shared" si="19"/>
        <v>13</v>
      </c>
      <c r="Y51" s="235">
        <v>9.76</v>
      </c>
      <c r="Z51" s="183">
        <f t="shared" si="20"/>
        <v>14</v>
      </c>
      <c r="AA51" s="236">
        <v>67.37</v>
      </c>
      <c r="AB51" s="183">
        <f t="shared" si="21"/>
        <v>14</v>
      </c>
      <c r="AC51" s="139">
        <f>AD51/'Guide &amp; drivers'!$C$35</f>
        <v>1.0000000000000002</v>
      </c>
      <c r="AD51" s="139">
        <v>1.2717278021865743</v>
      </c>
      <c r="AE51" s="240" t="str">
        <f t="shared" si="3"/>
        <v>Amber</v>
      </c>
      <c r="AF51" s="139">
        <f t="shared" si="22"/>
        <v>13.75</v>
      </c>
      <c r="AG51" s="183">
        <f t="shared" si="4"/>
        <v>14</v>
      </c>
      <c r="AH51" s="650">
        <f t="shared" si="23"/>
        <v>137.42000000000002</v>
      </c>
      <c r="AI51" s="653" t="s">
        <v>170</v>
      </c>
      <c r="AJ51" s="235">
        <v>7.2403183023872675</v>
      </c>
      <c r="AK51" s="183">
        <f t="shared" si="24"/>
        <v>12</v>
      </c>
      <c r="AL51" s="235">
        <v>43.229319852941174</v>
      </c>
      <c r="AM51" s="183">
        <f t="shared" si="25"/>
        <v>9</v>
      </c>
      <c r="AN51" s="235">
        <v>11.463622526636225</v>
      </c>
      <c r="AO51" s="183">
        <f t="shared" si="26"/>
        <v>12</v>
      </c>
      <c r="AP51" s="236">
        <v>49.013496932515338</v>
      </c>
      <c r="AQ51" s="183">
        <f t="shared" si="27"/>
        <v>9</v>
      </c>
      <c r="AR51" s="139">
        <f>AS51/'Guide &amp; drivers'!$C$35</f>
        <v>0.47810000000000025</v>
      </c>
      <c r="AS51" s="139">
        <v>0.60801306222540141</v>
      </c>
      <c r="AT51" s="240" t="str">
        <f t="shared" si="28"/>
        <v>Amber</v>
      </c>
      <c r="AU51" s="139">
        <f t="shared" si="29"/>
        <v>10.5</v>
      </c>
      <c r="AV51" s="183">
        <f t="shared" si="5"/>
        <v>11</v>
      </c>
      <c r="AW51" s="650">
        <f t="shared" si="30"/>
        <v>110.94675761448001</v>
      </c>
      <c r="AX51" s="653" t="s">
        <v>170</v>
      </c>
      <c r="AY51" s="235">
        <v>7.1449624060150372</v>
      </c>
      <c r="AZ51" s="183">
        <f t="shared" si="31"/>
        <v>14</v>
      </c>
      <c r="BA51" s="235">
        <v>41.901068015739177</v>
      </c>
      <c r="BB51" s="183">
        <f>RANK(BA51,$BA$42:$BA$55,1)</f>
        <v>12</v>
      </c>
      <c r="BC51" s="235">
        <v>9.9825375170532062</v>
      </c>
      <c r="BD51" s="183">
        <f t="shared" si="33"/>
        <v>12</v>
      </c>
      <c r="BE51" s="236">
        <v>52.477993858751276</v>
      </c>
      <c r="BF51" s="183">
        <f t="shared" si="34"/>
        <v>12</v>
      </c>
      <c r="BG51" s="139">
        <f>BH51/'Guide &amp; drivers'!$C$35</f>
        <v>0.79473661929908068</v>
      </c>
      <c r="BH51" s="139">
        <v>1.0106886541784079</v>
      </c>
      <c r="BI51" s="240" t="str">
        <f t="shared" si="35"/>
        <v>Green</v>
      </c>
      <c r="BJ51" s="139">
        <f t="shared" si="36"/>
        <v>12.5</v>
      </c>
      <c r="BK51" s="183">
        <f t="shared" si="37"/>
        <v>14</v>
      </c>
      <c r="BL51" s="650">
        <f t="shared" si="38"/>
        <v>111.5065617975587</v>
      </c>
      <c r="BM51" s="653" t="s">
        <v>170</v>
      </c>
      <c r="BN51" s="235">
        <v>4.7986820428336072</v>
      </c>
      <c r="BO51" s="183">
        <f t="shared" si="6"/>
        <v>10</v>
      </c>
      <c r="BP51" s="235">
        <v>36.590572033898304</v>
      </c>
      <c r="BQ51" s="183">
        <f t="shared" si="7"/>
        <v>10</v>
      </c>
      <c r="BR51" s="235">
        <v>5.6853731343283584</v>
      </c>
      <c r="BS51" s="183">
        <f t="shared" si="8"/>
        <v>9</v>
      </c>
      <c r="BT51" s="236">
        <v>42.709463532248343</v>
      </c>
      <c r="BU51" s="183">
        <f t="shared" si="9"/>
        <v>8</v>
      </c>
      <c r="BV51" s="139">
        <f>BW51/'Guide &amp; drivers'!$C$35</f>
        <v>0.76869270524372335</v>
      </c>
      <c r="BW51" s="139">
        <v>0.97756788459645239</v>
      </c>
      <c r="BX51" s="240" t="str">
        <f t="shared" si="39"/>
        <v>Green</v>
      </c>
      <c r="BY51" s="139">
        <f t="shared" si="40"/>
        <v>9.25</v>
      </c>
      <c r="BZ51" s="183">
        <f t="shared" si="10"/>
        <v>8</v>
      </c>
      <c r="CA51" s="650">
        <f t="shared" si="41"/>
        <v>89.78409074330861</v>
      </c>
      <c r="CB51" s="653" t="s">
        <v>170</v>
      </c>
      <c r="CC51" s="235">
        <v>4.1617436191568684</v>
      </c>
      <c r="CD51" s="183">
        <f t="shared" si="42"/>
        <v>10</v>
      </c>
      <c r="CE51" s="235">
        <v>34.242962056303547</v>
      </c>
      <c r="CF51" s="183">
        <f t="shared" si="43"/>
        <v>6</v>
      </c>
      <c r="CG51" s="235">
        <v>5.0365458296492776</v>
      </c>
      <c r="CH51" s="183">
        <f t="shared" si="44"/>
        <v>8</v>
      </c>
      <c r="CI51" s="236">
        <v>41.104968944099376</v>
      </c>
      <c r="CJ51" s="183">
        <f t="shared" si="45"/>
        <v>6</v>
      </c>
      <c r="CK51" s="139">
        <f>CL51/'Guide &amp; drivers'!$C$35</f>
        <v>1.1853077248253787</v>
      </c>
      <c r="CL51" s="139">
        <v>1.5073887878069474</v>
      </c>
      <c r="CM51" s="240" t="str">
        <f t="shared" si="46"/>
        <v>Green</v>
      </c>
      <c r="CN51" s="139">
        <f t="shared" si="47"/>
        <v>7.5</v>
      </c>
      <c r="CO51" s="183">
        <f t="shared" si="48"/>
        <v>8</v>
      </c>
      <c r="CP51" s="650">
        <f t="shared" si="49"/>
        <v>84.546220449209073</v>
      </c>
      <c r="CQ51" s="653" t="s">
        <v>170</v>
      </c>
      <c r="CR51" s="235">
        <v>2.6535264145883617</v>
      </c>
      <c r="CS51" s="183">
        <f t="shared" si="50"/>
        <v>5</v>
      </c>
      <c r="CT51" s="235">
        <v>31.726190476190474</v>
      </c>
      <c r="CU51" s="183">
        <f t="shared" si="51"/>
        <v>4</v>
      </c>
      <c r="CV51" s="235">
        <v>4.2383404864091556</v>
      </c>
      <c r="CW51" s="183">
        <f t="shared" si="52"/>
        <v>4</v>
      </c>
      <c r="CX51" s="235">
        <v>39.732495511669661</v>
      </c>
      <c r="CY51" s="183">
        <f t="shared" si="53"/>
        <v>8</v>
      </c>
      <c r="CZ51" s="139">
        <f>DA51/'Guide &amp; drivers'!$C$35</f>
        <v>1.6059482848521951</v>
      </c>
      <c r="DA51" s="139">
        <v>2.0423290827203804</v>
      </c>
      <c r="DB51" s="240" t="str">
        <f t="shared" si="54"/>
        <v>Green</v>
      </c>
      <c r="DC51" s="139">
        <f t="shared" si="55"/>
        <v>5.25</v>
      </c>
      <c r="DD51" s="183">
        <f t="shared" si="56"/>
        <v>6</v>
      </c>
      <c r="DE51" s="650">
        <f t="shared" si="57"/>
        <v>78.350552888857663</v>
      </c>
      <c r="DG51" s="657"/>
      <c r="DH51" s="141"/>
      <c r="DI51" s="141"/>
      <c r="DJ51" s="141"/>
      <c r="DK51" s="141"/>
      <c r="DL51" s="141"/>
      <c r="DM51" s="141"/>
      <c r="DN51" s="141"/>
      <c r="DO51" s="141"/>
      <c r="DP51" s="141"/>
      <c r="DQ51" s="141"/>
      <c r="DR51" s="141"/>
      <c r="DS51" s="141"/>
      <c r="DT51" s="658"/>
    </row>
    <row r="52" spans="2:124">
      <c r="B52" s="190"/>
      <c r="C52" s="60"/>
      <c r="D52" s="647" t="s">
        <v>171</v>
      </c>
      <c r="E52" s="235">
        <v>5.24955595026643</v>
      </c>
      <c r="F52" s="322">
        <f t="shared" si="11"/>
        <v>8</v>
      </c>
      <c r="G52" s="235">
        <v>35.737574552683895</v>
      </c>
      <c r="H52" s="322">
        <f t="shared" si="12"/>
        <v>9</v>
      </c>
      <c r="I52" s="235">
        <v>7.3259871441689626</v>
      </c>
      <c r="J52" s="322">
        <f t="shared" si="13"/>
        <v>7</v>
      </c>
      <c r="K52" s="236">
        <v>42.42203742203742</v>
      </c>
      <c r="L52" s="322">
        <f t="shared" si="14"/>
        <v>6</v>
      </c>
      <c r="M52" s="139">
        <f>N52/'Guide &amp; drivers'!$C$35</f>
        <v>0.96200459893724688</v>
      </c>
      <c r="N52" s="139">
        <v>1.2234079942998417</v>
      </c>
      <c r="O52" s="167" t="str">
        <f t="shared" si="2"/>
        <v>Green</v>
      </c>
      <c r="P52" s="139">
        <f t="shared" si="15"/>
        <v>7.5</v>
      </c>
      <c r="Q52" s="183">
        <f t="shared" si="16"/>
        <v>7</v>
      </c>
      <c r="R52" s="641">
        <f t="shared" si="17"/>
        <v>90.735155069156704</v>
      </c>
      <c r="T52" s="653" t="s">
        <v>171</v>
      </c>
      <c r="U52" s="235">
        <v>4.9217318900915901</v>
      </c>
      <c r="V52" s="183">
        <f t="shared" si="18"/>
        <v>7</v>
      </c>
      <c r="W52" s="235">
        <v>51.107391910739189</v>
      </c>
      <c r="X52" s="183">
        <f t="shared" si="19"/>
        <v>11</v>
      </c>
      <c r="Y52" s="235">
        <v>6.3099273607748181</v>
      </c>
      <c r="Z52" s="183">
        <f t="shared" si="20"/>
        <v>5</v>
      </c>
      <c r="AA52" s="236">
        <v>63.966887417218544</v>
      </c>
      <c r="AB52" s="183">
        <f t="shared" si="21"/>
        <v>12</v>
      </c>
      <c r="AC52" s="139">
        <f>AD52/'Guide &amp; drivers'!$C$35</f>
        <v>0.60000000000000009</v>
      </c>
      <c r="AD52" s="139">
        <v>0.76303668131194458</v>
      </c>
      <c r="AE52" s="240" t="str">
        <f t="shared" si="3"/>
        <v>Amber</v>
      </c>
      <c r="AF52" s="139">
        <f t="shared" si="22"/>
        <v>8.75</v>
      </c>
      <c r="AG52" s="183">
        <f t="shared" si="4"/>
        <v>9</v>
      </c>
      <c r="AH52" s="650">
        <f t="shared" si="23"/>
        <v>126.30593857882414</v>
      </c>
      <c r="AI52" s="653" t="s">
        <v>171</v>
      </c>
      <c r="AJ52" s="235">
        <v>3.2081268582755205</v>
      </c>
      <c r="AK52" s="183">
        <f t="shared" si="24"/>
        <v>1</v>
      </c>
      <c r="AL52" s="235">
        <v>58.93573667711599</v>
      </c>
      <c r="AM52" s="183">
        <f t="shared" si="25"/>
        <v>14</v>
      </c>
      <c r="AN52" s="235">
        <v>7.0064102564102564</v>
      </c>
      <c r="AO52" s="183">
        <f t="shared" si="26"/>
        <v>5</v>
      </c>
      <c r="AP52" s="236">
        <v>69.573692551505545</v>
      </c>
      <c r="AQ52" s="183">
        <f t="shared" si="27"/>
        <v>14</v>
      </c>
      <c r="AR52" s="139">
        <f>AS52/'Guide &amp; drivers'!$C$35</f>
        <v>0.59999999999999987</v>
      </c>
      <c r="AS52" s="139">
        <v>0.76303668131194424</v>
      </c>
      <c r="AT52" s="240" t="str">
        <f t="shared" si="28"/>
        <v>Amber</v>
      </c>
      <c r="AU52" s="139">
        <f t="shared" si="29"/>
        <v>8.5</v>
      </c>
      <c r="AV52" s="183">
        <f t="shared" si="5"/>
        <v>8</v>
      </c>
      <c r="AW52" s="650">
        <f t="shared" si="30"/>
        <v>138.72396634330732</v>
      </c>
      <c r="AX52" s="653" t="s">
        <v>171</v>
      </c>
      <c r="AY52" s="235">
        <v>2.850731707317073</v>
      </c>
      <c r="AZ52" s="183">
        <f t="shared" si="31"/>
        <v>1</v>
      </c>
      <c r="BA52" s="235">
        <v>54.303448275862067</v>
      </c>
      <c r="BB52" s="183">
        <f t="shared" si="32"/>
        <v>14</v>
      </c>
      <c r="BC52" s="235">
        <v>5.7443609022556394</v>
      </c>
      <c r="BD52" s="183">
        <f t="shared" si="33"/>
        <v>5</v>
      </c>
      <c r="BE52" s="236">
        <v>69.348314606741567</v>
      </c>
      <c r="BF52" s="183">
        <f t="shared" si="34"/>
        <v>14</v>
      </c>
      <c r="BG52" s="139">
        <f>BH52/'Guide &amp; drivers'!$C$35</f>
        <v>0.6</v>
      </c>
      <c r="BH52" s="139">
        <v>0.76303668131194446</v>
      </c>
      <c r="BI52" s="240" t="str">
        <f t="shared" si="35"/>
        <v>Amber</v>
      </c>
      <c r="BJ52" s="139">
        <f t="shared" si="36"/>
        <v>8.5</v>
      </c>
      <c r="BK52" s="183">
        <f>RANK(BJ52,$BJ$42:$BJ$55,1)</f>
        <v>8</v>
      </c>
      <c r="BL52" s="650">
        <f t="shared" si="38"/>
        <v>132.24685549217634</v>
      </c>
      <c r="BM52" s="653" t="s">
        <v>171</v>
      </c>
      <c r="BN52" s="235">
        <v>3.3252314814814814</v>
      </c>
      <c r="BO52" s="183">
        <f t="shared" si="6"/>
        <v>8</v>
      </c>
      <c r="BP52" s="235">
        <v>51.417624521072796</v>
      </c>
      <c r="BQ52" s="183">
        <f t="shared" si="7"/>
        <v>13</v>
      </c>
      <c r="BR52" s="235">
        <v>5.5066137566137563</v>
      </c>
      <c r="BS52" s="183">
        <f t="shared" si="8"/>
        <v>8</v>
      </c>
      <c r="BT52" s="236">
        <v>64.44222539229672</v>
      </c>
      <c r="BU52" s="183">
        <f t="shared" si="9"/>
        <v>13</v>
      </c>
      <c r="BV52" s="139">
        <f>BW52/'Guide &amp; drivers'!$C$35</f>
        <v>0.5978800878306878</v>
      </c>
      <c r="BW52" s="139">
        <v>0.76034073006803649</v>
      </c>
      <c r="BX52" s="240" t="str">
        <f t="shared" si="39"/>
        <v>Amber</v>
      </c>
      <c r="BY52" s="139">
        <f t="shared" si="40"/>
        <v>10.5</v>
      </c>
      <c r="BZ52" s="183">
        <f t="shared" si="10"/>
        <v>11</v>
      </c>
      <c r="CA52" s="650">
        <f t="shared" si="41"/>
        <v>124.69169515146476</v>
      </c>
      <c r="CB52" s="653" t="s">
        <v>171</v>
      </c>
      <c r="CC52" s="235">
        <v>3.0631768953068592</v>
      </c>
      <c r="CD52" s="183">
        <f t="shared" si="42"/>
        <v>6</v>
      </c>
      <c r="CE52" s="235">
        <v>48.237362637362637</v>
      </c>
      <c r="CF52" s="183">
        <f t="shared" si="43"/>
        <v>13</v>
      </c>
      <c r="CG52" s="235">
        <v>5.8606620477290221</v>
      </c>
      <c r="CH52" s="183">
        <f t="shared" si="44"/>
        <v>10</v>
      </c>
      <c r="CI52" s="236">
        <v>62.934306569343065</v>
      </c>
      <c r="CJ52" s="183">
        <f t="shared" si="45"/>
        <v>12</v>
      </c>
      <c r="CK52" s="139">
        <f>CL52/'Guide &amp; drivers'!$C$35</f>
        <v>0.55268228298691302</v>
      </c>
      <c r="CL52" s="139">
        <v>0.70286142505040505</v>
      </c>
      <c r="CM52" s="240" t="str">
        <f t="shared" si="46"/>
        <v>Amber</v>
      </c>
      <c r="CN52" s="139">
        <f t="shared" si="47"/>
        <v>10.25</v>
      </c>
      <c r="CO52" s="183">
        <f t="shared" si="48"/>
        <v>11</v>
      </c>
      <c r="CP52" s="650">
        <f t="shared" si="49"/>
        <v>120.09550814974159</v>
      </c>
      <c r="CQ52" s="653" t="s">
        <v>171</v>
      </c>
      <c r="CR52" s="235">
        <v>3.9736625514403294</v>
      </c>
      <c r="CS52" s="183">
        <f t="shared" si="50"/>
        <v>10</v>
      </c>
      <c r="CT52" s="235">
        <v>34.240506329113927</v>
      </c>
      <c r="CU52" s="183">
        <f t="shared" si="51"/>
        <v>7</v>
      </c>
      <c r="CV52" s="235">
        <v>7.347142857142857</v>
      </c>
      <c r="CW52" s="183">
        <f t="shared" si="52"/>
        <v>10</v>
      </c>
      <c r="CX52" s="235">
        <v>39.341977309562395</v>
      </c>
      <c r="CY52" s="183">
        <f t="shared" si="53"/>
        <v>6</v>
      </c>
      <c r="CZ52" s="139">
        <f>DA52/'Guide &amp; drivers'!$C$35</f>
        <v>0.55845566424761128</v>
      </c>
      <c r="DA52" s="139">
        <v>0.71020359451225812</v>
      </c>
      <c r="DB52" s="240" t="str">
        <f t="shared" si="54"/>
        <v>Green</v>
      </c>
      <c r="DC52" s="139">
        <f t="shared" si="55"/>
        <v>8.25</v>
      </c>
      <c r="DD52" s="183">
        <f t="shared" si="56"/>
        <v>8</v>
      </c>
      <c r="DE52" s="650">
        <f t="shared" si="57"/>
        <v>84.903289047259506</v>
      </c>
      <c r="DG52" s="657"/>
      <c r="DH52" s="141"/>
      <c r="DI52" s="141"/>
      <c r="DJ52" s="141"/>
      <c r="DK52" s="141"/>
      <c r="DL52" s="141"/>
      <c r="DM52" s="141"/>
      <c r="DN52" s="141"/>
      <c r="DO52" s="141"/>
      <c r="DP52" s="141"/>
      <c r="DQ52" s="141"/>
      <c r="DR52" s="141"/>
      <c r="DS52" s="141"/>
      <c r="DT52" s="658"/>
    </row>
    <row r="53" spans="2:124">
      <c r="B53" s="190"/>
      <c r="C53" s="60"/>
      <c r="D53" s="647" t="s">
        <v>172</v>
      </c>
      <c r="E53" s="235">
        <v>5.6078767123287667</v>
      </c>
      <c r="F53" s="322">
        <f t="shared" si="11"/>
        <v>10</v>
      </c>
      <c r="G53" s="235">
        <v>35.55913978494624</v>
      </c>
      <c r="H53" s="322">
        <f t="shared" si="12"/>
        <v>8</v>
      </c>
      <c r="I53" s="235">
        <v>6.8819826907946497</v>
      </c>
      <c r="J53" s="322">
        <f t="shared" si="13"/>
        <v>5</v>
      </c>
      <c r="K53" s="236">
        <v>43.460674157303373</v>
      </c>
      <c r="L53" s="322">
        <f t="shared" si="14"/>
        <v>7</v>
      </c>
      <c r="M53" s="139">
        <f>N53/'Guide &amp; drivers'!$C$35</f>
        <v>1.0081340425531915</v>
      </c>
      <c r="N53" s="139">
        <v>1.2820720902456364</v>
      </c>
      <c r="O53" s="167" t="str">
        <f t="shared" si="2"/>
        <v>Green</v>
      </c>
      <c r="P53" s="139">
        <f t="shared" si="15"/>
        <v>7.5</v>
      </c>
      <c r="Q53" s="183">
        <f t="shared" si="16"/>
        <v>7</v>
      </c>
      <c r="R53" s="641">
        <f t="shared" si="17"/>
        <v>91.509673345373031</v>
      </c>
      <c r="T53" s="653" t="s">
        <v>172</v>
      </c>
      <c r="U53" s="235">
        <v>5.3157051282051286</v>
      </c>
      <c r="V53" s="183">
        <f t="shared" si="18"/>
        <v>9</v>
      </c>
      <c r="W53" s="235">
        <v>45.259504132231406</v>
      </c>
      <c r="X53" s="183">
        <f t="shared" si="19"/>
        <v>8</v>
      </c>
      <c r="Y53" s="235">
        <v>6.8394598649662415</v>
      </c>
      <c r="Z53" s="183">
        <f t="shared" si="20"/>
        <v>7</v>
      </c>
      <c r="AA53" s="236">
        <v>59.762938230383973</v>
      </c>
      <c r="AB53" s="183">
        <f t="shared" si="21"/>
        <v>10</v>
      </c>
      <c r="AC53" s="139">
        <f>AD53/'Guide &amp; drivers'!$C$35</f>
        <v>0.60000000000000009</v>
      </c>
      <c r="AD53" s="139">
        <v>0.76303668131194458</v>
      </c>
      <c r="AE53" s="240" t="str">
        <f t="shared" si="3"/>
        <v>Amber</v>
      </c>
      <c r="AF53" s="139">
        <f t="shared" si="22"/>
        <v>8.5</v>
      </c>
      <c r="AG53" s="183">
        <f t="shared" si="4"/>
        <v>8</v>
      </c>
      <c r="AH53" s="650">
        <f t="shared" si="23"/>
        <v>117.17760735578676</v>
      </c>
      <c r="AI53" s="653" t="s">
        <v>172</v>
      </c>
      <c r="AJ53" s="235">
        <v>4.7924369747899158</v>
      </c>
      <c r="AK53" s="183">
        <f t="shared" si="24"/>
        <v>8</v>
      </c>
      <c r="AL53" s="235">
        <v>44.720893141945773</v>
      </c>
      <c r="AM53" s="183">
        <f t="shared" si="25"/>
        <v>10</v>
      </c>
      <c r="AN53" s="235">
        <v>10.090062111801242</v>
      </c>
      <c r="AO53" s="183">
        <f t="shared" si="26"/>
        <v>11</v>
      </c>
      <c r="AP53" s="236">
        <v>65.876363636363635</v>
      </c>
      <c r="AQ53" s="183">
        <f t="shared" si="27"/>
        <v>13</v>
      </c>
      <c r="AR53" s="139">
        <f>AS53/'Guide &amp; drivers'!$C$35</f>
        <v>0.59999999999999987</v>
      </c>
      <c r="AS53" s="139">
        <v>0.76303668131194424</v>
      </c>
      <c r="AT53" s="240" t="str">
        <f t="shared" si="28"/>
        <v>Amber</v>
      </c>
      <c r="AU53" s="139">
        <f t="shared" si="29"/>
        <v>10.5</v>
      </c>
      <c r="AV53" s="183">
        <f t="shared" si="5"/>
        <v>11</v>
      </c>
      <c r="AW53" s="650">
        <f t="shared" si="30"/>
        <v>125.47975586490057</v>
      </c>
      <c r="AX53" s="653" t="s">
        <v>172</v>
      </c>
      <c r="AY53" s="235">
        <v>4.8260517799352751</v>
      </c>
      <c r="AZ53" s="183">
        <f t="shared" si="31"/>
        <v>7</v>
      </c>
      <c r="BA53" s="235">
        <v>52.753918495297803</v>
      </c>
      <c r="BB53" s="183">
        <f t="shared" si="32"/>
        <v>13</v>
      </c>
      <c r="BC53" s="235">
        <v>9.6293810589112603</v>
      </c>
      <c r="BD53" s="183">
        <f t="shared" si="33"/>
        <v>11</v>
      </c>
      <c r="BE53" s="236">
        <v>66.551903114186857</v>
      </c>
      <c r="BF53" s="183">
        <f t="shared" si="34"/>
        <v>13</v>
      </c>
      <c r="BG53" s="139">
        <f>BH53/'Guide &amp; drivers'!$C$35</f>
        <v>0.6</v>
      </c>
      <c r="BH53" s="139">
        <v>0.76303668131194446</v>
      </c>
      <c r="BI53" s="240" t="str">
        <f t="shared" si="35"/>
        <v>Amber</v>
      </c>
      <c r="BJ53" s="139">
        <f t="shared" si="36"/>
        <v>11</v>
      </c>
      <c r="BK53" s="183">
        <f t="shared" si="37"/>
        <v>11</v>
      </c>
      <c r="BL53" s="650">
        <f t="shared" si="38"/>
        <v>133.76125444833121</v>
      </c>
      <c r="BM53" s="653" t="s">
        <v>172</v>
      </c>
      <c r="BN53" s="235">
        <v>4.6419327006039692</v>
      </c>
      <c r="BO53" s="183">
        <f t="shared" si="6"/>
        <v>9</v>
      </c>
      <c r="BP53" s="235">
        <v>55.80225080385852</v>
      </c>
      <c r="BQ53" s="183">
        <f t="shared" si="7"/>
        <v>14</v>
      </c>
      <c r="BR53" s="235">
        <v>7.3507692307692309</v>
      </c>
      <c r="BS53" s="183">
        <f t="shared" si="8"/>
        <v>12</v>
      </c>
      <c r="BT53" s="236">
        <v>73.234627831715216</v>
      </c>
      <c r="BU53" s="183">
        <f t="shared" si="9"/>
        <v>14</v>
      </c>
      <c r="BV53" s="139">
        <f>BW53/'Guide &amp; drivers'!$C$35</f>
        <v>0.10343532424503872</v>
      </c>
      <c r="BW53" s="139">
        <v>0.13154157757059876</v>
      </c>
      <c r="BX53" s="240" t="str">
        <f t="shared" si="39"/>
        <v>Amber</v>
      </c>
      <c r="BY53" s="139">
        <f t="shared" si="40"/>
        <v>12.25</v>
      </c>
      <c r="BZ53" s="183">
        <f t="shared" si="10"/>
        <v>13</v>
      </c>
      <c r="CA53" s="650">
        <f t="shared" si="41"/>
        <v>141.02958056694695</v>
      </c>
      <c r="CB53" s="653" t="s">
        <v>172</v>
      </c>
      <c r="CC53" s="235">
        <v>4.3971036585365857</v>
      </c>
      <c r="CD53" s="183">
        <f t="shared" si="42"/>
        <v>11</v>
      </c>
      <c r="CE53" s="235">
        <v>43.154213036565977</v>
      </c>
      <c r="CF53" s="183">
        <f t="shared" si="43"/>
        <v>11</v>
      </c>
      <c r="CG53" s="235">
        <v>8.2854046242774562</v>
      </c>
      <c r="CH53" s="183">
        <f t="shared" si="44"/>
        <v>12</v>
      </c>
      <c r="CI53" s="236">
        <v>60.576171875</v>
      </c>
      <c r="CJ53" s="183">
        <f t="shared" si="45"/>
        <v>11</v>
      </c>
      <c r="CK53" s="139">
        <f>CL53/'Guide &amp; drivers'!$C$35</f>
        <v>9.1035999999999895E-2</v>
      </c>
      <c r="CL53" s="139">
        <v>0.11577301219985683</v>
      </c>
      <c r="CM53" s="240" t="str">
        <f t="shared" si="46"/>
        <v>Red</v>
      </c>
      <c r="CN53" s="139">
        <f t="shared" si="47"/>
        <v>11.25</v>
      </c>
      <c r="CO53" s="183">
        <f t="shared" si="48"/>
        <v>12</v>
      </c>
      <c r="CP53" s="650">
        <f t="shared" si="49"/>
        <v>116.41289319438002</v>
      </c>
      <c r="CQ53" s="653" t="s">
        <v>172</v>
      </c>
      <c r="CR53" s="235">
        <v>4.9314759036144578</v>
      </c>
      <c r="CS53" s="183">
        <f t="shared" si="50"/>
        <v>12</v>
      </c>
      <c r="CT53" s="235">
        <v>35.683001531393565</v>
      </c>
      <c r="CU53" s="183">
        <f t="shared" si="51"/>
        <v>8</v>
      </c>
      <c r="CV53" s="235">
        <v>10.089480874316941</v>
      </c>
      <c r="CW53" s="183">
        <f t="shared" si="52"/>
        <v>12</v>
      </c>
      <c r="CX53" s="235">
        <v>38.980132450331126</v>
      </c>
      <c r="CY53" s="183">
        <f t="shared" si="53"/>
        <v>4</v>
      </c>
      <c r="CZ53" s="139">
        <f>DA53/'Guide &amp; drivers'!$C$35</f>
        <v>9.661476253125896E-2</v>
      </c>
      <c r="DA53" s="139">
        <v>0.12286767961265573</v>
      </c>
      <c r="DB53" s="240" t="str">
        <f t="shared" si="54"/>
        <v>Amber</v>
      </c>
      <c r="DC53" s="139">
        <f t="shared" si="55"/>
        <v>9</v>
      </c>
      <c r="DD53" s="183">
        <f t="shared" si="56"/>
        <v>10</v>
      </c>
      <c r="DE53" s="650">
        <f t="shared" si="57"/>
        <v>89.684090759656087</v>
      </c>
      <c r="DG53" s="657"/>
      <c r="DH53" s="141"/>
      <c r="DI53" s="141"/>
      <c r="DJ53" s="141"/>
      <c r="DK53" s="141"/>
      <c r="DL53" s="141"/>
      <c r="DM53" s="141"/>
      <c r="DN53" s="141"/>
      <c r="DO53" s="141"/>
      <c r="DP53" s="141"/>
      <c r="DQ53" s="141"/>
      <c r="DR53" s="141"/>
      <c r="DS53" s="141"/>
      <c r="DT53" s="658"/>
    </row>
    <row r="54" spans="2:124">
      <c r="B54" s="190"/>
      <c r="C54" s="60"/>
      <c r="D54" s="647" t="s">
        <v>28</v>
      </c>
      <c r="E54" s="235">
        <v>2.5</v>
      </c>
      <c r="F54" s="322">
        <f t="shared" si="11"/>
        <v>1</v>
      </c>
      <c r="G54" s="235">
        <v>31.5</v>
      </c>
      <c r="H54" s="322">
        <f t="shared" si="12"/>
        <v>3</v>
      </c>
      <c r="I54" s="235">
        <v>5.0999999999999996</v>
      </c>
      <c r="J54" s="322">
        <f t="shared" si="13"/>
        <v>2</v>
      </c>
      <c r="K54" s="236">
        <v>40.020000000000003</v>
      </c>
      <c r="L54" s="322">
        <f t="shared" si="14"/>
        <v>4</v>
      </c>
      <c r="M54" s="139">
        <f>N54/'Guide &amp; drivers'!$C$35</f>
        <v>0.8</v>
      </c>
      <c r="N54" s="139">
        <v>1.0173822417492593</v>
      </c>
      <c r="O54" s="167" t="str">
        <f t="shared" si="2"/>
        <v>Green</v>
      </c>
      <c r="P54" s="139">
        <f t="shared" si="15"/>
        <v>2.5</v>
      </c>
      <c r="Q54" s="183">
        <f t="shared" si="16"/>
        <v>1</v>
      </c>
      <c r="R54" s="641">
        <f t="shared" si="17"/>
        <v>79.12</v>
      </c>
      <c r="T54" s="653" t="s">
        <v>28</v>
      </c>
      <c r="U54" s="235">
        <v>3.5521472392638036</v>
      </c>
      <c r="V54" s="183">
        <f t="shared" si="18"/>
        <v>4</v>
      </c>
      <c r="W54" s="235">
        <v>29.979274611398964</v>
      </c>
      <c r="X54" s="183">
        <f t="shared" si="19"/>
        <v>1</v>
      </c>
      <c r="Y54" s="235">
        <v>7.2205607476635514</v>
      </c>
      <c r="Z54" s="183">
        <f t="shared" si="20"/>
        <v>8</v>
      </c>
      <c r="AA54" s="236">
        <v>40.437735849056601</v>
      </c>
      <c r="AB54" s="183">
        <f t="shared" si="21"/>
        <v>2</v>
      </c>
      <c r="AC54" s="139">
        <f>AD54/'Guide &amp; drivers'!$C$35</f>
        <v>0.80000000000000016</v>
      </c>
      <c r="AD54" s="139">
        <v>1.0173822417492595</v>
      </c>
      <c r="AE54" s="240" t="str">
        <f t="shared" si="3"/>
        <v>Green</v>
      </c>
      <c r="AF54" s="139">
        <f t="shared" si="22"/>
        <v>3.75</v>
      </c>
      <c r="AG54" s="183">
        <f t="shared" si="4"/>
        <v>3</v>
      </c>
      <c r="AH54" s="650">
        <f t="shared" si="23"/>
        <v>81.189718447382916</v>
      </c>
      <c r="AI54" s="653" t="s">
        <v>28</v>
      </c>
      <c r="AJ54" s="235">
        <v>4.222149410222805</v>
      </c>
      <c r="AK54" s="183">
        <f t="shared" si="24"/>
        <v>7</v>
      </c>
      <c r="AL54" s="235">
        <v>27.837047353760447</v>
      </c>
      <c r="AM54" s="183">
        <f t="shared" si="25"/>
        <v>2</v>
      </c>
      <c r="AN54" s="235">
        <v>9.015625</v>
      </c>
      <c r="AO54" s="183">
        <f t="shared" si="26"/>
        <v>8</v>
      </c>
      <c r="AP54" s="236">
        <v>28.759090909090908</v>
      </c>
      <c r="AQ54" s="183">
        <f t="shared" si="27"/>
        <v>1</v>
      </c>
      <c r="AR54" s="139">
        <f>AS54/'Guide &amp; drivers'!$C$35</f>
        <v>0.79999999999999982</v>
      </c>
      <c r="AS54" s="139">
        <v>1.0173822417492591</v>
      </c>
      <c r="AT54" s="240" t="str">
        <f t="shared" si="28"/>
        <v>Green</v>
      </c>
      <c r="AU54" s="139">
        <f t="shared" si="29"/>
        <v>4.5</v>
      </c>
      <c r="AV54" s="183">
        <f t="shared" si="5"/>
        <v>5</v>
      </c>
      <c r="AW54" s="650">
        <f t="shared" si="30"/>
        <v>69.833912673074167</v>
      </c>
      <c r="AX54" s="653" t="s">
        <v>28</v>
      </c>
      <c r="AY54" s="235">
        <v>2.86</v>
      </c>
      <c r="AZ54" s="183">
        <f t="shared" si="31"/>
        <v>2</v>
      </c>
      <c r="BA54" s="235">
        <v>22.1</v>
      </c>
      <c r="BB54" s="183">
        <f t="shared" si="32"/>
        <v>1</v>
      </c>
      <c r="BC54" s="235">
        <v>5.34</v>
      </c>
      <c r="BD54" s="183">
        <f t="shared" si="33"/>
        <v>2</v>
      </c>
      <c r="BE54" s="236">
        <v>27.8</v>
      </c>
      <c r="BF54" s="183">
        <f t="shared" si="34"/>
        <v>1</v>
      </c>
      <c r="BG54" s="139">
        <f>BH54/'Guide &amp; drivers'!$C$35</f>
        <v>0.8</v>
      </c>
      <c r="BH54" s="139">
        <v>1.0173822417492593</v>
      </c>
      <c r="BI54" s="240" t="str">
        <f t="shared" si="35"/>
        <v>Green</v>
      </c>
      <c r="BJ54" s="139">
        <f t="shared" si="36"/>
        <v>1.5</v>
      </c>
      <c r="BK54" s="183">
        <f t="shared" si="37"/>
        <v>1</v>
      </c>
      <c r="BL54" s="650">
        <f t="shared" si="38"/>
        <v>58.1</v>
      </c>
      <c r="BM54" s="653" t="s">
        <v>28</v>
      </c>
      <c r="BN54" s="235">
        <v>3.2615912994</v>
      </c>
      <c r="BO54" s="183">
        <f t="shared" si="6"/>
        <v>7</v>
      </c>
      <c r="BP54" s="235">
        <v>17.133848133800001</v>
      </c>
      <c r="BQ54" s="183">
        <f t="shared" si="7"/>
        <v>1</v>
      </c>
      <c r="BR54" s="235">
        <v>4.1318681319000001</v>
      </c>
      <c r="BS54" s="183">
        <f t="shared" si="8"/>
        <v>5</v>
      </c>
      <c r="BT54" s="236">
        <v>21.1097046414</v>
      </c>
      <c r="BU54" s="183">
        <f t="shared" si="9"/>
        <v>1</v>
      </c>
      <c r="BV54" s="139">
        <f>BW54/'Guide &amp; drivers'!$C$35</f>
        <v>0.80000000000000016</v>
      </c>
      <c r="BW54" s="139">
        <v>1.0173822417492595</v>
      </c>
      <c r="BX54" s="240" t="str">
        <f t="shared" si="39"/>
        <v>Green</v>
      </c>
      <c r="BY54" s="139">
        <f t="shared" si="40"/>
        <v>3.5</v>
      </c>
      <c r="BZ54" s="183">
        <f t="shared" si="10"/>
        <v>3</v>
      </c>
      <c r="CA54" s="650">
        <f t="shared" si="41"/>
        <v>45.637012206500003</v>
      </c>
      <c r="CB54" s="653" t="s">
        <v>28</v>
      </c>
      <c r="CC54" s="235">
        <v>3.7894736842105261</v>
      </c>
      <c r="CD54" s="183">
        <f t="shared" si="42"/>
        <v>9</v>
      </c>
      <c r="CE54" s="235">
        <v>19.512163892445582</v>
      </c>
      <c r="CF54" s="183">
        <f t="shared" si="43"/>
        <v>1</v>
      </c>
      <c r="CG54" s="235">
        <v>4.4558359621451107</v>
      </c>
      <c r="CH54" s="183">
        <f t="shared" si="44"/>
        <v>5</v>
      </c>
      <c r="CI54" s="236">
        <v>24.678571428571427</v>
      </c>
      <c r="CJ54" s="183">
        <f t="shared" si="45"/>
        <v>1</v>
      </c>
      <c r="CK54" s="139">
        <f>CL54/'Guide &amp; drivers'!$C$35</f>
        <v>0.74489909473684213</v>
      </c>
      <c r="CL54" s="139">
        <v>0.94730888860045293</v>
      </c>
      <c r="CM54" s="240" t="str">
        <f t="shared" si="46"/>
        <v>Green</v>
      </c>
      <c r="CN54" s="139">
        <f t="shared" si="47"/>
        <v>4</v>
      </c>
      <c r="CO54" s="183">
        <f t="shared" si="48"/>
        <v>5</v>
      </c>
      <c r="CP54" s="650">
        <f t="shared" si="49"/>
        <v>52.436044967372652</v>
      </c>
      <c r="CQ54" s="653" t="s">
        <v>28</v>
      </c>
      <c r="CR54" s="235">
        <v>3.9426554918394352</v>
      </c>
      <c r="CS54" s="183">
        <f t="shared" si="50"/>
        <v>9</v>
      </c>
      <c r="CT54" s="235">
        <v>22.71817192600653</v>
      </c>
      <c r="CU54" s="183">
        <f t="shared" si="51"/>
        <v>1</v>
      </c>
      <c r="CV54" s="235">
        <v>5.4113009198423123</v>
      </c>
      <c r="CW54" s="183">
        <f t="shared" si="52"/>
        <v>7</v>
      </c>
      <c r="CX54" s="235">
        <v>26.64855072463768</v>
      </c>
      <c r="CY54" s="183">
        <f t="shared" si="53"/>
        <v>1</v>
      </c>
      <c r="CZ54" s="139">
        <f>DA54/'Guide &amp; drivers'!$C$35</f>
        <v>0.72376607592980502</v>
      </c>
      <c r="DA54" s="139">
        <v>0.92043344103941205</v>
      </c>
      <c r="DB54" s="240" t="str">
        <f t="shared" si="54"/>
        <v>Green</v>
      </c>
      <c r="DC54" s="139">
        <f t="shared" si="55"/>
        <v>4.5</v>
      </c>
      <c r="DD54" s="183">
        <f t="shared" si="56"/>
        <v>4</v>
      </c>
      <c r="DE54" s="650">
        <f t="shared" si="57"/>
        <v>58.720679062325956</v>
      </c>
      <c r="DG54" s="657"/>
      <c r="DH54" s="141"/>
      <c r="DI54" s="141"/>
      <c r="DJ54" s="141"/>
      <c r="DK54" s="141"/>
      <c r="DL54" s="141"/>
      <c r="DM54" s="141"/>
      <c r="DN54" s="141"/>
      <c r="DO54" s="141"/>
      <c r="DP54" s="141"/>
      <c r="DQ54" s="141"/>
      <c r="DR54" s="141"/>
      <c r="DS54" s="141"/>
      <c r="DT54" s="658"/>
    </row>
    <row r="55" spans="2:124" ht="12" thickBot="1">
      <c r="B55" s="190"/>
      <c r="C55" s="60"/>
      <c r="D55" s="648" t="s">
        <v>173</v>
      </c>
      <c r="E55" s="235">
        <v>2.66</v>
      </c>
      <c r="F55" s="642">
        <f t="shared" si="11"/>
        <v>2</v>
      </c>
      <c r="G55" s="235">
        <v>33.18</v>
      </c>
      <c r="H55" s="642">
        <f t="shared" si="12"/>
        <v>6</v>
      </c>
      <c r="I55" s="235">
        <v>6.94</v>
      </c>
      <c r="J55" s="642">
        <f t="shared" si="13"/>
        <v>6</v>
      </c>
      <c r="K55" s="236">
        <v>45.04</v>
      </c>
      <c r="L55" s="642">
        <f t="shared" si="14"/>
        <v>9</v>
      </c>
      <c r="M55" s="139">
        <f>N55/'Guide &amp; drivers'!$C$35</f>
        <v>1.3858000000000001</v>
      </c>
      <c r="N55" s="139">
        <v>1.7623603882701546</v>
      </c>
      <c r="O55" s="644" t="str">
        <f t="shared" si="2"/>
        <v>Green</v>
      </c>
      <c r="P55" s="643">
        <f t="shared" si="15"/>
        <v>5.75</v>
      </c>
      <c r="Q55" s="183">
        <f t="shared" si="16"/>
        <v>4</v>
      </c>
      <c r="R55" s="641">
        <f t="shared" si="17"/>
        <v>87.82</v>
      </c>
      <c r="T55" s="654" t="s">
        <v>173</v>
      </c>
      <c r="U55" s="235">
        <v>2.6889027431421448</v>
      </c>
      <c r="V55" s="645">
        <f t="shared" si="18"/>
        <v>1</v>
      </c>
      <c r="W55" s="235">
        <v>44.293163891323402</v>
      </c>
      <c r="X55" s="645">
        <f t="shared" si="19"/>
        <v>7</v>
      </c>
      <c r="Y55" s="235">
        <v>7.2286432160804024</v>
      </c>
      <c r="Z55" s="645">
        <f t="shared" si="20"/>
        <v>9</v>
      </c>
      <c r="AA55" s="236">
        <v>63.683823529411768</v>
      </c>
      <c r="AB55" s="645">
        <f t="shared" si="21"/>
        <v>11</v>
      </c>
      <c r="AC55" s="139">
        <f>AD55/'Guide &amp; drivers'!$C$35</f>
        <v>0.80000000000000016</v>
      </c>
      <c r="AD55" s="139">
        <v>1.0173822417492595</v>
      </c>
      <c r="AE55" s="651" t="str">
        <f t="shared" si="3"/>
        <v>Amber</v>
      </c>
      <c r="AF55" s="643">
        <f t="shared" si="22"/>
        <v>7</v>
      </c>
      <c r="AG55" s="645">
        <f t="shared" si="4"/>
        <v>7</v>
      </c>
      <c r="AH55" s="650">
        <f t="shared" si="23"/>
        <v>117.89453337995772</v>
      </c>
      <c r="AI55" s="654" t="s">
        <v>173</v>
      </c>
      <c r="AJ55" s="235">
        <v>3.4145243009945583</v>
      </c>
      <c r="AK55" s="183">
        <f t="shared" si="24"/>
        <v>3</v>
      </c>
      <c r="AL55" s="235">
        <v>45.711273317112735</v>
      </c>
      <c r="AM55" s="183">
        <f t="shared" si="25"/>
        <v>11</v>
      </c>
      <c r="AN55" s="235">
        <v>9.2832713754646843</v>
      </c>
      <c r="AO55" s="183">
        <f t="shared" si="26"/>
        <v>9</v>
      </c>
      <c r="AP55" s="236">
        <v>64.005649717514117</v>
      </c>
      <c r="AQ55" s="183">
        <f t="shared" si="27"/>
        <v>12</v>
      </c>
      <c r="AR55" s="139">
        <f>AS55/'Guide &amp; drivers'!$C$35</f>
        <v>0.79999999999999982</v>
      </c>
      <c r="AS55" s="139">
        <v>1.0173822417492591</v>
      </c>
      <c r="AT55" s="240" t="str">
        <f t="shared" si="28"/>
        <v>Amber</v>
      </c>
      <c r="AU55" s="139">
        <f t="shared" si="29"/>
        <v>8.75</v>
      </c>
      <c r="AV55" s="183">
        <f t="shared" si="5"/>
        <v>9</v>
      </c>
      <c r="AW55" s="650">
        <f t="shared" si="30"/>
        <v>122.4147187110861</v>
      </c>
      <c r="AX55" s="654" t="s">
        <v>173</v>
      </c>
      <c r="AY55" s="235">
        <v>3.11</v>
      </c>
      <c r="AZ55" s="183">
        <f t="shared" si="31"/>
        <v>3</v>
      </c>
      <c r="BA55" s="235">
        <v>31.84</v>
      </c>
      <c r="BB55" s="183">
        <f t="shared" si="32"/>
        <v>6</v>
      </c>
      <c r="BC55" s="235">
        <v>8.65</v>
      </c>
      <c r="BD55" s="183">
        <f t="shared" si="33"/>
        <v>9</v>
      </c>
      <c r="BE55" s="236">
        <v>40.29</v>
      </c>
      <c r="BF55" s="183">
        <f t="shared" si="34"/>
        <v>7</v>
      </c>
      <c r="BG55" s="139">
        <f>BH55/'Guide &amp; drivers'!$C$35</f>
        <v>1.5723000000000003</v>
      </c>
      <c r="BH55" s="139">
        <v>1.9995376233779507</v>
      </c>
      <c r="BI55" s="240" t="str">
        <f t="shared" si="35"/>
        <v>Green</v>
      </c>
      <c r="BJ55" s="139">
        <f t="shared" si="36"/>
        <v>6.25</v>
      </c>
      <c r="BK55" s="183">
        <f t="shared" si="37"/>
        <v>6</v>
      </c>
      <c r="BL55" s="650">
        <f t="shared" si="38"/>
        <v>83.89</v>
      </c>
      <c r="BM55" s="654" t="s">
        <v>173</v>
      </c>
      <c r="BN55" s="235">
        <v>3.0118683690000001</v>
      </c>
      <c r="BO55" s="183">
        <f t="shared" si="6"/>
        <v>5</v>
      </c>
      <c r="BP55" s="235">
        <v>29.289439374200001</v>
      </c>
      <c r="BQ55" s="183">
        <f t="shared" si="7"/>
        <v>7</v>
      </c>
      <c r="BR55" s="235">
        <v>4.5282972441</v>
      </c>
      <c r="BS55" s="183">
        <f t="shared" si="8"/>
        <v>6</v>
      </c>
      <c r="BT55" s="236">
        <v>34.8657664813</v>
      </c>
      <c r="BU55" s="183">
        <f t="shared" si="9"/>
        <v>7</v>
      </c>
      <c r="BV55" s="139">
        <f>BW55/'Guide &amp; drivers'!$C$35</f>
        <v>1.5030046153424022</v>
      </c>
      <c r="BW55" s="139">
        <v>1.9114127561456704</v>
      </c>
      <c r="BX55" s="240" t="str">
        <f t="shared" si="39"/>
        <v>Green</v>
      </c>
      <c r="BY55" s="139">
        <f t="shared" si="40"/>
        <v>6.25</v>
      </c>
      <c r="BZ55" s="183">
        <f t="shared" si="10"/>
        <v>7</v>
      </c>
      <c r="CA55" s="650">
        <f t="shared" si="41"/>
        <v>71.695371468600001</v>
      </c>
      <c r="CB55" s="654" t="s">
        <v>173</v>
      </c>
      <c r="CC55" s="235">
        <v>3.5615497793035802</v>
      </c>
      <c r="CD55" s="183">
        <f t="shared" si="42"/>
        <v>8</v>
      </c>
      <c r="CE55" s="235">
        <v>41.993371630578878</v>
      </c>
      <c r="CF55" s="183">
        <f t="shared" si="43"/>
        <v>10</v>
      </c>
      <c r="CG55" s="235">
        <v>5.4673194614443084</v>
      </c>
      <c r="CH55" s="183">
        <f t="shared" si="44"/>
        <v>9</v>
      </c>
      <c r="CI55" s="236">
        <v>54.348450491307631</v>
      </c>
      <c r="CJ55" s="183">
        <f t="shared" si="45"/>
        <v>10</v>
      </c>
      <c r="CK55" s="139">
        <f>CL55/'Guide &amp; drivers'!$C$35</f>
        <v>0.75267327788131444</v>
      </c>
      <c r="CL55" s="139">
        <v>0.95719553344456854</v>
      </c>
      <c r="CM55" s="240" t="str">
        <f t="shared" si="46"/>
        <v>Amber</v>
      </c>
      <c r="CN55" s="139">
        <f t="shared" si="47"/>
        <v>9.25</v>
      </c>
      <c r="CO55" s="183">
        <f t="shared" si="48"/>
        <v>9</v>
      </c>
      <c r="CP55" s="650">
        <f t="shared" si="49"/>
        <v>105.3706913626344</v>
      </c>
      <c r="CQ55" s="654" t="s">
        <v>173</v>
      </c>
      <c r="CR55" s="235">
        <v>3.9915640990181163</v>
      </c>
      <c r="CS55" s="183">
        <f t="shared" si="50"/>
        <v>11</v>
      </c>
      <c r="CT55" s="235">
        <v>41.418741355463347</v>
      </c>
      <c r="CU55" s="183">
        <f t="shared" si="51"/>
        <v>12</v>
      </c>
      <c r="CV55" s="235">
        <v>9.4660132111655653</v>
      </c>
      <c r="CW55" s="183">
        <f t="shared" si="52"/>
        <v>11</v>
      </c>
      <c r="CX55" s="235">
        <v>55.20633934120572</v>
      </c>
      <c r="CY55" s="183">
        <f t="shared" si="53"/>
        <v>13</v>
      </c>
      <c r="CZ55" s="139">
        <f>DA55/'Guide &amp; drivers'!$C$35</f>
        <v>0.23404802327715674</v>
      </c>
      <c r="DA55" s="139">
        <v>0.29764537824837067</v>
      </c>
      <c r="DB55" s="240" t="str">
        <f t="shared" si="54"/>
        <v>Red</v>
      </c>
      <c r="DC55" s="139">
        <f t="shared" si="55"/>
        <v>11.75</v>
      </c>
      <c r="DD55" s="183">
        <f t="shared" si="56"/>
        <v>12</v>
      </c>
      <c r="DE55" s="650">
        <f t="shared" si="57"/>
        <v>110.08265800685274</v>
      </c>
      <c r="DG55" s="659"/>
      <c r="DH55" s="660"/>
      <c r="DI55" s="660"/>
      <c r="DJ55" s="660"/>
      <c r="DK55" s="660"/>
      <c r="DL55" s="660"/>
      <c r="DM55" s="660"/>
      <c r="DN55" s="660"/>
      <c r="DO55" s="660"/>
      <c r="DP55" s="660"/>
      <c r="DQ55" s="660"/>
      <c r="DR55" s="660"/>
      <c r="DS55" s="660"/>
      <c r="DT55" s="661"/>
    </row>
    <row r="56" spans="2:124" ht="35.25" customHeight="1">
      <c r="B56" s="190"/>
      <c r="C56" s="60"/>
      <c r="D56" s="326" t="s">
        <v>346</v>
      </c>
      <c r="E56" s="637">
        <f t="shared" ref="E56:K56" si="58">AVERAGE(E42:E55)</f>
        <v>4.9130187741674787</v>
      </c>
      <c r="F56" s="637"/>
      <c r="G56" s="637">
        <f t="shared" si="58"/>
        <v>35.719634415852525</v>
      </c>
      <c r="H56" s="637"/>
      <c r="I56" s="637">
        <f t="shared" si="58"/>
        <v>7.4384190171695161</v>
      </c>
      <c r="J56" s="637"/>
      <c r="K56" s="638">
        <f t="shared" si="58"/>
        <v>43.160396904109561</v>
      </c>
      <c r="L56" s="638"/>
      <c r="M56" s="637">
        <f>SUM(M42:M55)</f>
        <v>13.775383794228881</v>
      </c>
      <c r="N56" s="637">
        <f>SUM(N42:N55)</f>
        <v>17.518538556911246</v>
      </c>
      <c r="O56" s="40"/>
      <c r="P56" s="40"/>
      <c r="Q56" s="40"/>
      <c r="T56" s="325" t="s">
        <v>346</v>
      </c>
      <c r="U56" s="637">
        <f>AVERAGE(U42:U55)</f>
        <v>4.6411166244210005</v>
      </c>
      <c r="V56" s="637"/>
      <c r="W56" s="637">
        <f>AVERAGE(W42:W55)</f>
        <v>43.505554528024618</v>
      </c>
      <c r="X56" s="637"/>
      <c r="Y56" s="637">
        <f>AVERAGE(Y42:Y55)</f>
        <v>7.1784337108840202</v>
      </c>
      <c r="Z56" s="637"/>
      <c r="AA56" s="638">
        <f>AVERAGE(AA42:AA55)</f>
        <v>53.138716117801145</v>
      </c>
      <c r="AB56" s="638"/>
      <c r="AC56" s="649">
        <f>SUM(AC42:AC55)</f>
        <v>11.287248304748537</v>
      </c>
      <c r="AD56" s="649">
        <f>SUM(AD42:AD55)</f>
        <v>14.354307479331997</v>
      </c>
      <c r="AF56" s="1229" t="s">
        <v>346</v>
      </c>
      <c r="AG56" s="1229"/>
      <c r="AH56" s="1229"/>
      <c r="AI56" s="1230"/>
      <c r="AJ56" s="637">
        <f>AVERAGE(AJ42:AJ55)</f>
        <v>4.9792608768401792</v>
      </c>
      <c r="AK56" s="637"/>
      <c r="AL56" s="637">
        <f>AVERAGE(AL42:AL55)</f>
        <v>38.627184385188301</v>
      </c>
      <c r="AM56" s="637"/>
      <c r="AN56" s="637">
        <f>AVERAGE(AN42:AN55)</f>
        <v>8.9068179391928428</v>
      </c>
      <c r="AO56" s="637"/>
      <c r="AP56" s="638">
        <f>AVERAGE(AP42:AP55)</f>
        <v>47.516355946608535</v>
      </c>
      <c r="AQ56" s="638"/>
      <c r="AR56" s="649">
        <f>SUM(AR42:AR55)</f>
        <v>11.370799999999999</v>
      </c>
      <c r="AS56" s="649">
        <f>SUM(AS42:AS55)</f>
        <v>14.460562493103094</v>
      </c>
      <c r="AU56" s="1229" t="s">
        <v>346</v>
      </c>
      <c r="AV56" s="1229"/>
      <c r="AW56" s="1229"/>
      <c r="AX56" s="1230"/>
      <c r="AY56" s="637">
        <f>AVERAGE(AY42:AY55)</f>
        <v>4.8298550347236295</v>
      </c>
      <c r="AZ56" s="637"/>
      <c r="BA56" s="637">
        <f>AVERAGE(BA42:BA55)</f>
        <v>36.176098761977883</v>
      </c>
      <c r="BB56" s="637"/>
      <c r="BC56" s="637">
        <f>AVERAGE(BC42:BC55)</f>
        <v>8.0012250286733462</v>
      </c>
      <c r="BD56" s="637"/>
      <c r="BE56" s="638">
        <f>AVERAGE(BE42:BE55)</f>
        <v>44.717065551173867</v>
      </c>
      <c r="BF56" s="638"/>
      <c r="BG56" s="649">
        <f>SUM(BG42:BG55)</f>
        <v>13.013066547613294</v>
      </c>
      <c r="BH56" s="649">
        <f>SUM(BH42:BH55)</f>
        <v>16.549078520303883</v>
      </c>
      <c r="BI56" s="40"/>
      <c r="BJ56" s="40"/>
      <c r="BK56" s="40"/>
      <c r="BL56" s="40"/>
      <c r="BN56" s="637">
        <f>AVERAGE(BN42:BN55)</f>
        <v>4.1065802197887882</v>
      </c>
      <c r="BO56" s="637"/>
      <c r="BP56" s="637">
        <f>AVERAGE(BP42:BP55)</f>
        <v>33.988451202661714</v>
      </c>
      <c r="BQ56" s="637"/>
      <c r="BR56" s="637">
        <f>AVERAGE(BR42:BR55)</f>
        <v>6.260514906623956</v>
      </c>
      <c r="BS56" s="637"/>
      <c r="BT56" s="638">
        <f>AVERAGE(BT42:BT55)</f>
        <v>41.34040033544742</v>
      </c>
      <c r="BU56" s="638"/>
      <c r="BV56" s="649">
        <f>SUM(BV42:BV55)</f>
        <v>10.775285728686937</v>
      </c>
      <c r="BW56" s="649">
        <f>SUM(BW42:BW55)</f>
        <v>13.703230437675392</v>
      </c>
      <c r="BX56" s="40"/>
      <c r="BY56" s="40"/>
      <c r="BZ56" s="40"/>
      <c r="CA56" s="239"/>
      <c r="CC56" s="637">
        <f>AVERAGE(CC42:CC55)</f>
        <v>3.6021550356482774</v>
      </c>
      <c r="CD56" s="637"/>
      <c r="CE56" s="637">
        <f>AVERAGE(CE42:CE55)</f>
        <v>36.746883315423865</v>
      </c>
      <c r="CF56" s="637"/>
      <c r="CG56" s="637">
        <f>AVERAGE(CG42:CG55)</f>
        <v>6.1184236421256708</v>
      </c>
      <c r="CH56" s="637"/>
      <c r="CI56" s="638">
        <f>AVERAGE(CI42:CI55)</f>
        <v>49.026079189050222</v>
      </c>
      <c r="CJ56" s="638"/>
      <c r="CK56" s="649">
        <f>SUM(CK42:CK55)</f>
        <v>10.7594847860487</v>
      </c>
      <c r="CL56" s="649">
        <f>SUM(CL42:CL55)</f>
        <v>13.683135939621593</v>
      </c>
      <c r="CM56" s="40"/>
      <c r="CN56" s="40"/>
      <c r="CO56" s="40"/>
      <c r="CP56" s="239"/>
      <c r="CR56" s="637">
        <f>AVERAGE(CR42:CR55)</f>
        <v>3.7274409847347481</v>
      </c>
      <c r="CS56" s="637"/>
      <c r="CT56" s="637">
        <f>AVERAGE(CT42:CT55)</f>
        <v>35.758336539741116</v>
      </c>
      <c r="CU56" s="637"/>
      <c r="CV56" s="637">
        <f>AVERAGE(CV42:CV55)</f>
        <v>6.9651048053432927</v>
      </c>
      <c r="CW56" s="637"/>
      <c r="CX56" s="638">
        <f>AVERAGE(CX42:CX55)</f>
        <v>42.127420196972437</v>
      </c>
      <c r="CY56" s="638"/>
      <c r="CZ56" s="649">
        <f>SUM(CZ42:CZ55)</f>
        <v>11.126716544670035</v>
      </c>
      <c r="DA56" s="649">
        <f>SUM(DA42:DA55)</f>
        <v>14.150154776906213</v>
      </c>
      <c r="DB56" s="40"/>
      <c r="DC56" s="40"/>
      <c r="DD56" s="40"/>
      <c r="DE56" s="239"/>
      <c r="DG56" s="655"/>
      <c r="DH56" s="655"/>
      <c r="DI56" s="655"/>
      <c r="DJ56" s="655"/>
      <c r="DK56" s="655"/>
      <c r="DL56" s="655"/>
      <c r="DM56" s="655"/>
      <c r="DN56" s="655"/>
      <c r="DO56" s="655"/>
      <c r="DP56" s="655"/>
      <c r="DQ56" s="40"/>
      <c r="DR56" s="40"/>
      <c r="DS56" s="40"/>
      <c r="DT56" s="40"/>
    </row>
    <row r="57" spans="2:124">
      <c r="B57" s="190"/>
      <c r="C57" s="60"/>
      <c r="D57" s="1" t="s">
        <v>240</v>
      </c>
      <c r="E57" s="238">
        <v>8.2100000000000009</v>
      </c>
      <c r="F57" s="238"/>
      <c r="G57" s="238">
        <v>42.08</v>
      </c>
      <c r="H57" s="238"/>
      <c r="I57" s="238">
        <v>11.73</v>
      </c>
      <c r="J57" s="238"/>
      <c r="K57" s="238">
        <v>52.7</v>
      </c>
      <c r="L57" s="329"/>
      <c r="M57" s="239"/>
      <c r="N57" s="239"/>
      <c r="O57" s="239"/>
      <c r="P57" s="40"/>
      <c r="Q57" s="40"/>
      <c r="T57" s="233" t="s">
        <v>240</v>
      </c>
      <c r="U57" s="241">
        <v>8.2100000000000009</v>
      </c>
      <c r="V57" s="241"/>
      <c r="W57" s="241">
        <v>42.08</v>
      </c>
      <c r="X57" s="241"/>
      <c r="Y57" s="241">
        <v>11.73</v>
      </c>
      <c r="Z57" s="241"/>
      <c r="AA57" s="241">
        <v>52.7</v>
      </c>
      <c r="AB57" s="329"/>
      <c r="AC57" s="239"/>
      <c r="AD57" s="239"/>
      <c r="AE57" s="239"/>
      <c r="AF57" s="239"/>
      <c r="AG57" s="239"/>
      <c r="AH57" s="239"/>
      <c r="AI57" s="1" t="s">
        <v>240</v>
      </c>
      <c r="AJ57" s="238">
        <v>8.2100000000000009</v>
      </c>
      <c r="AK57" s="238"/>
      <c r="AL57" s="238">
        <v>42.08</v>
      </c>
      <c r="AM57" s="238"/>
      <c r="AN57" s="238">
        <v>11.73</v>
      </c>
      <c r="AO57" s="238"/>
      <c r="AP57" s="238">
        <v>52.7</v>
      </c>
      <c r="AR57" s="40"/>
      <c r="AS57" s="40"/>
      <c r="AT57" s="40"/>
      <c r="AU57" s="239"/>
      <c r="AV57" s="239"/>
      <c r="AW57" s="239"/>
      <c r="AX57" s="1" t="s">
        <v>240</v>
      </c>
      <c r="AY57" s="238">
        <v>8.2100000000000009</v>
      </c>
      <c r="AZ57" s="238"/>
      <c r="BA57" s="238">
        <v>42.08</v>
      </c>
      <c r="BB57" s="238"/>
      <c r="BC57" s="238">
        <v>11.73</v>
      </c>
      <c r="BD57" s="238"/>
      <c r="BE57" s="238">
        <v>52.7</v>
      </c>
      <c r="BG57" s="40"/>
      <c r="BH57" s="40"/>
      <c r="BI57" s="40"/>
      <c r="BJ57" s="40"/>
      <c r="BK57" s="40"/>
      <c r="BL57" s="40"/>
      <c r="BN57" s="238">
        <v>4.84</v>
      </c>
      <c r="BO57" s="238"/>
      <c r="BP57" s="238">
        <v>39.28</v>
      </c>
      <c r="BQ57" s="238"/>
      <c r="BR57" s="238">
        <v>7.84</v>
      </c>
      <c r="BS57" s="238"/>
      <c r="BT57" s="238">
        <v>47.94</v>
      </c>
      <c r="BV57" s="40"/>
      <c r="BW57" s="40"/>
      <c r="BX57" s="40"/>
      <c r="BY57" s="40"/>
      <c r="BZ57" s="40"/>
      <c r="CA57" s="40"/>
      <c r="CC57" s="238">
        <v>4.84</v>
      </c>
      <c r="CD57" s="238"/>
      <c r="CE57" s="238">
        <v>39.28</v>
      </c>
      <c r="CF57" s="238"/>
      <c r="CG57" s="238">
        <v>7.84</v>
      </c>
      <c r="CH57" s="238"/>
      <c r="CI57" s="238">
        <v>47.94</v>
      </c>
      <c r="CJ57" s="328"/>
      <c r="CK57" s="40"/>
      <c r="CL57" s="40"/>
      <c r="CM57" s="40"/>
      <c r="CN57" s="40"/>
      <c r="CO57" s="40"/>
      <c r="CP57" s="40"/>
      <c r="CR57" s="138">
        <v>4.84</v>
      </c>
      <c r="CS57" s="138"/>
      <c r="CT57" s="138">
        <v>39.28</v>
      </c>
      <c r="CU57" s="138"/>
      <c r="CV57" s="138">
        <v>7.84</v>
      </c>
      <c r="CW57" s="138"/>
      <c r="CX57" s="138">
        <v>47.94</v>
      </c>
      <c r="CY57" s="328"/>
      <c r="CZ57" s="40"/>
      <c r="DA57" s="40"/>
      <c r="DB57" s="40"/>
      <c r="DC57" s="40"/>
      <c r="DD57" s="40"/>
      <c r="DE57" s="40"/>
      <c r="DG57" s="138"/>
      <c r="DH57" s="138"/>
      <c r="DI57" s="138"/>
      <c r="DJ57" s="138"/>
      <c r="DK57" s="138"/>
      <c r="DL57" s="138"/>
      <c r="DM57" s="138"/>
      <c r="DN57" s="328"/>
      <c r="DO57" s="40"/>
      <c r="DP57" s="40"/>
      <c r="DQ57" s="40"/>
      <c r="DR57" s="40"/>
      <c r="DS57" s="40"/>
      <c r="DT57" s="40"/>
    </row>
    <row r="58" spans="2:124" ht="29.25" hidden="1" customHeight="1">
      <c r="B58" s="190"/>
      <c r="C58" s="60"/>
      <c r="D58" s="58" t="s">
        <v>347</v>
      </c>
      <c r="E58" s="237">
        <v>6.4</v>
      </c>
      <c r="F58" s="237"/>
      <c r="G58" s="237">
        <v>32.47</v>
      </c>
      <c r="H58" s="237"/>
      <c r="I58" s="237">
        <v>10.119999999999999</v>
      </c>
      <c r="J58" s="237"/>
      <c r="K58" s="237">
        <v>39.909999999999997</v>
      </c>
      <c r="L58" s="329"/>
      <c r="M58" s="239"/>
      <c r="N58" s="239"/>
      <c r="O58" s="239"/>
      <c r="P58" s="40"/>
      <c r="Q58" s="40"/>
      <c r="T58" s="234" t="s">
        <v>347</v>
      </c>
      <c r="U58" s="237">
        <v>6.4</v>
      </c>
      <c r="V58" s="237"/>
      <c r="W58" s="237">
        <v>32.47</v>
      </c>
      <c r="X58" s="237"/>
      <c r="Y58" s="237">
        <v>10.119999999999999</v>
      </c>
      <c r="Z58" s="237"/>
      <c r="AA58" s="237">
        <v>39.909999999999997</v>
      </c>
      <c r="AB58" s="329"/>
      <c r="AC58" s="239"/>
      <c r="AD58" s="239"/>
      <c r="AE58" s="239"/>
      <c r="AF58" s="239"/>
      <c r="AG58" s="239"/>
      <c r="AH58" s="239"/>
      <c r="AI58" s="2" t="s">
        <v>347</v>
      </c>
      <c r="AJ58" s="138">
        <f>E58</f>
        <v>6.4</v>
      </c>
      <c r="AK58" s="138">
        <f>G58</f>
        <v>32.47</v>
      </c>
      <c r="AL58" s="138">
        <f>I58</f>
        <v>10.119999999999999</v>
      </c>
      <c r="AM58" s="138">
        <f>K58</f>
        <v>39.909999999999997</v>
      </c>
      <c r="AN58" s="40"/>
      <c r="AO58" s="40"/>
      <c r="AP58" s="40"/>
      <c r="AQ58" s="40"/>
      <c r="AR58" s="40"/>
      <c r="AT58" s="138">
        <f>U58</f>
        <v>6.4</v>
      </c>
      <c r="AU58" s="239"/>
      <c r="AV58" s="239"/>
      <c r="AW58" s="239"/>
      <c r="AX58" s="2" t="s">
        <v>347</v>
      </c>
      <c r="AY58" s="40"/>
      <c r="AZ58" s="40"/>
      <c r="BA58" s="40"/>
      <c r="BB58" s="40"/>
      <c r="BD58" s="138">
        <f>AJ58</f>
        <v>6.4</v>
      </c>
      <c r="BE58" s="138">
        <f>AK58</f>
        <v>32.47</v>
      </c>
      <c r="BF58" s="138">
        <f>AL58</f>
        <v>10.119999999999999</v>
      </c>
      <c r="BG58" s="138">
        <f>AM58</f>
        <v>39.909999999999997</v>
      </c>
      <c r="BH58" s="40"/>
      <c r="BI58" s="40"/>
      <c r="BJ58" s="40"/>
      <c r="BK58" s="40"/>
      <c r="BL58" s="40"/>
      <c r="BN58" s="138"/>
      <c r="BO58" s="138"/>
      <c r="BP58" s="138"/>
      <c r="BQ58" s="138"/>
      <c r="BR58" s="40"/>
      <c r="BS58" s="40">
        <f>AY58</f>
        <v>0</v>
      </c>
      <c r="BT58" s="40">
        <f>AZ58</f>
        <v>0</v>
      </c>
      <c r="BU58" s="40">
        <f>BA58</f>
        <v>0</v>
      </c>
      <c r="BV58" s="40">
        <f>BB58</f>
        <v>0</v>
      </c>
      <c r="BX58" s="138"/>
      <c r="BY58" s="138"/>
      <c r="BZ58" s="138"/>
      <c r="CA58" s="138"/>
      <c r="CB58" s="40"/>
      <c r="CC58" s="40"/>
      <c r="CD58" s="40"/>
      <c r="CE58" s="40"/>
      <c r="CF58" s="40"/>
      <c r="CH58" s="138">
        <f>BN58</f>
        <v>0</v>
      </c>
      <c r="CI58" s="138">
        <f>BO58</f>
        <v>0</v>
      </c>
      <c r="CJ58" s="138">
        <f>BP58</f>
        <v>0</v>
      </c>
      <c r="CK58" s="138">
        <f>BQ58</f>
        <v>0</v>
      </c>
      <c r="CL58" s="40"/>
      <c r="CM58" s="40"/>
      <c r="CN58" s="40"/>
      <c r="CO58" s="40"/>
      <c r="CP58" s="40"/>
      <c r="CQ58" s="40"/>
    </row>
    <row r="59" spans="2:124" ht="14.25" customHeight="1">
      <c r="B59" s="190"/>
      <c r="C59" s="60"/>
      <c r="D59" s="109" t="s">
        <v>348</v>
      </c>
      <c r="E59" s="254">
        <f>E57*1.05</f>
        <v>8.6205000000000016</v>
      </c>
      <c r="F59" s="254"/>
      <c r="G59" s="254">
        <f>G57*1.05</f>
        <v>44.183999999999997</v>
      </c>
      <c r="H59" s="254"/>
      <c r="I59" s="254">
        <f>I57*1.05</f>
        <v>12.316500000000001</v>
      </c>
      <c r="J59" s="254"/>
      <c r="K59" s="254">
        <f>K57*1.05</f>
        <v>55.335000000000008</v>
      </c>
      <c r="L59" s="9"/>
      <c r="T59" s="109" t="s">
        <v>348</v>
      </c>
      <c r="U59" s="254">
        <f>U57*1.05</f>
        <v>8.6205000000000016</v>
      </c>
      <c r="V59" s="254"/>
      <c r="W59" s="254">
        <f>W57*1.05</f>
        <v>44.183999999999997</v>
      </c>
      <c r="X59" s="254"/>
      <c r="Y59" s="254">
        <f>Y57*1.05</f>
        <v>12.316500000000001</v>
      </c>
      <c r="Z59" s="254"/>
      <c r="AA59" s="254">
        <f>AA57*1.05</f>
        <v>55.335000000000008</v>
      </c>
      <c r="AB59" s="9"/>
      <c r="AH59" s="1231" t="s">
        <v>348</v>
      </c>
      <c r="AI59" s="1231"/>
      <c r="AJ59" s="254">
        <f>AJ57*1.05</f>
        <v>8.6205000000000016</v>
      </c>
      <c r="AK59" s="254"/>
      <c r="AL59" s="254">
        <f>AL57*1.05</f>
        <v>44.183999999999997</v>
      </c>
      <c r="AM59" s="254"/>
      <c r="AN59" s="254">
        <f>AN57*1.05</f>
        <v>12.316500000000001</v>
      </c>
      <c r="AO59" s="254"/>
      <c r="AP59" s="254">
        <f>AP57*1.05</f>
        <v>55.335000000000008</v>
      </c>
      <c r="AW59" s="1231" t="s">
        <v>348</v>
      </c>
      <c r="AX59" s="1231"/>
      <c r="AY59" s="254">
        <f>AY57*1.05</f>
        <v>8.6205000000000016</v>
      </c>
      <c r="AZ59" s="254"/>
      <c r="BA59" s="254">
        <f>BA57*1.05</f>
        <v>44.183999999999997</v>
      </c>
      <c r="BB59" s="254"/>
      <c r="BC59" s="254">
        <f>BC57*1.05</f>
        <v>12.316500000000001</v>
      </c>
      <c r="BD59" s="254"/>
      <c r="BE59" s="254">
        <f>BE57*1.05</f>
        <v>55.335000000000008</v>
      </c>
      <c r="BN59" s="254">
        <f>BN57*1.05</f>
        <v>5.0819999999999999</v>
      </c>
      <c r="BO59" s="254"/>
      <c r="BP59" s="254">
        <f>BP57*1.05</f>
        <v>41.244</v>
      </c>
      <c r="BQ59" s="254"/>
      <c r="BR59" s="254">
        <f>BR57*1.05</f>
        <v>8.2319999999999993</v>
      </c>
      <c r="BS59" s="254"/>
      <c r="BT59" s="254">
        <f>BT57*1.05</f>
        <v>50.336999999999996</v>
      </c>
      <c r="CB59" s="2" t="s">
        <v>348</v>
      </c>
      <c r="CC59" s="254">
        <f>CC57*1.05</f>
        <v>5.0819999999999999</v>
      </c>
      <c r="CD59" s="254"/>
      <c r="CE59" s="254">
        <f>CE57*1.05</f>
        <v>41.244</v>
      </c>
      <c r="CF59" s="254"/>
      <c r="CG59" s="254">
        <f>CG57*1.05</f>
        <v>8.2319999999999993</v>
      </c>
      <c r="CH59" s="254"/>
      <c r="CI59" s="254">
        <f>CI57*1.05</f>
        <v>50.336999999999996</v>
      </c>
      <c r="CQ59" s="2" t="s">
        <v>348</v>
      </c>
      <c r="CR59" s="254">
        <f>CR57*1.05</f>
        <v>5.0819999999999999</v>
      </c>
      <c r="CS59" s="254"/>
      <c r="CT59" s="254">
        <f t="shared" ref="CT59:CX59" si="59">CT57*1.05</f>
        <v>41.244</v>
      </c>
      <c r="CU59" s="254"/>
      <c r="CV59" s="254">
        <f t="shared" si="59"/>
        <v>8.2319999999999993</v>
      </c>
      <c r="CW59" s="254"/>
      <c r="CX59" s="254">
        <f t="shared" si="59"/>
        <v>50.336999999999996</v>
      </c>
    </row>
    <row r="60" spans="2:124">
      <c r="B60" s="190"/>
      <c r="C60" s="60"/>
      <c r="D60" s="109"/>
      <c r="E60" s="109"/>
      <c r="F60" s="109"/>
      <c r="G60" s="109"/>
      <c r="H60" s="109"/>
      <c r="I60" s="109"/>
      <c r="J60" s="109"/>
      <c r="K60" s="109"/>
      <c r="L60" s="109"/>
      <c r="M60" s="109"/>
      <c r="N60" s="109"/>
      <c r="O60" s="109"/>
      <c r="P60" s="109"/>
      <c r="Q60" s="109"/>
      <c r="R60" s="109"/>
      <c r="S60" s="109"/>
      <c r="T60" s="109"/>
      <c r="U60" s="109"/>
      <c r="V60" s="109"/>
      <c r="W60" s="512"/>
      <c r="X60" s="512"/>
      <c r="Y60" s="512"/>
      <c r="Z60" s="512"/>
      <c r="AA60" s="512"/>
      <c r="AB60" s="109"/>
      <c r="AC60" s="109"/>
      <c r="AD60" s="109"/>
      <c r="AE60" s="109"/>
      <c r="AF60" s="109"/>
      <c r="AG60" s="109"/>
      <c r="AH60" s="109"/>
      <c r="AI60" s="109"/>
      <c r="AJ60" s="109"/>
      <c r="AK60" s="109"/>
      <c r="AL60" s="109"/>
      <c r="AM60" s="109"/>
    </row>
    <row r="61" spans="2:124">
      <c r="B61" s="190"/>
      <c r="C61" s="60"/>
      <c r="D61" s="1" t="s">
        <v>349</v>
      </c>
      <c r="E61" s="1"/>
      <c r="L61" s="133"/>
      <c r="W61" s="44"/>
      <c r="X61" s="44"/>
      <c r="Y61" s="44"/>
      <c r="Z61" s="44"/>
      <c r="AA61" s="44"/>
      <c r="BD61" s="1"/>
      <c r="BN61" s="1"/>
      <c r="BX61" s="1"/>
    </row>
    <row r="62" spans="2:124" ht="12" thickBot="1">
      <c r="B62" s="190"/>
      <c r="C62" s="60"/>
      <c r="D62" s="1"/>
      <c r="E62" s="1216" t="s">
        <v>137</v>
      </c>
      <c r="F62" s="1216"/>
      <c r="G62" s="1216"/>
      <c r="H62" s="1216"/>
      <c r="I62" s="1216"/>
      <c r="J62" s="1216"/>
      <c r="L62" s="1216" t="s">
        <v>138</v>
      </c>
      <c r="M62" s="1216"/>
      <c r="N62" s="1216"/>
      <c r="O62" s="1216"/>
      <c r="P62" s="1216"/>
      <c r="Q62" s="1216"/>
      <c r="S62" s="1216" t="s">
        <v>139</v>
      </c>
      <c r="T62" s="1216"/>
      <c r="U62" s="1216"/>
      <c r="V62" s="1216"/>
      <c r="W62" s="1216"/>
      <c r="X62" s="1216"/>
      <c r="Z62" s="1215" t="s">
        <v>140</v>
      </c>
      <c r="AA62" s="1215"/>
      <c r="AB62" s="1215"/>
      <c r="AC62" s="1215"/>
      <c r="AD62" s="1215"/>
      <c r="AE62" s="1215"/>
      <c r="AG62" s="1215" t="s">
        <v>141</v>
      </c>
      <c r="AH62" s="1215"/>
      <c r="AI62" s="1215"/>
      <c r="AJ62" s="1215"/>
      <c r="AK62" s="1215"/>
      <c r="AL62" s="1215"/>
      <c r="AN62" s="1215" t="s">
        <v>126</v>
      </c>
      <c r="AO62" s="1215"/>
      <c r="AP62" s="1215"/>
      <c r="AQ62" s="1215"/>
      <c r="AR62" s="1215"/>
      <c r="AS62" s="1215"/>
      <c r="AU62" s="1215" t="s">
        <v>142</v>
      </c>
      <c r="AV62" s="1215"/>
      <c r="AW62" s="1215"/>
      <c r="AX62" s="1215"/>
      <c r="AY62" s="1215"/>
      <c r="AZ62" s="1215"/>
      <c r="BB62" s="1215" t="s">
        <v>143</v>
      </c>
      <c r="BC62" s="1215"/>
      <c r="BD62" s="1215"/>
      <c r="BE62" s="1215"/>
      <c r="BF62" s="1215"/>
      <c r="BG62" s="1215"/>
      <c r="BL62" s="1"/>
      <c r="BV62" s="1"/>
    </row>
    <row r="63" spans="2:124">
      <c r="B63" s="190"/>
      <c r="C63" s="60"/>
      <c r="D63" s="56"/>
      <c r="E63" s="622" t="s">
        <v>323</v>
      </c>
      <c r="F63" s="1007"/>
      <c r="G63" s="623"/>
      <c r="H63" s="318" t="s">
        <v>324</v>
      </c>
      <c r="I63" s="318"/>
      <c r="J63" s="319"/>
      <c r="L63" s="622" t="s">
        <v>323</v>
      </c>
      <c r="M63" s="1007"/>
      <c r="N63" s="623"/>
      <c r="O63" s="318" t="s">
        <v>324</v>
      </c>
      <c r="P63" s="318"/>
      <c r="Q63" s="319"/>
      <c r="S63" s="622" t="s">
        <v>323</v>
      </c>
      <c r="T63" s="1007"/>
      <c r="U63" s="623"/>
      <c r="V63" s="318" t="s">
        <v>324</v>
      </c>
      <c r="W63" s="318"/>
      <c r="X63" s="319"/>
      <c r="Z63" s="622" t="s">
        <v>323</v>
      </c>
      <c r="AA63" s="1007"/>
      <c r="AB63" s="623"/>
      <c r="AC63" s="318" t="s">
        <v>324</v>
      </c>
      <c r="AD63" s="318"/>
      <c r="AE63" s="319"/>
      <c r="AG63" s="622" t="s">
        <v>323</v>
      </c>
      <c r="AH63" s="1007"/>
      <c r="AI63" s="623"/>
      <c r="AJ63" s="318" t="s">
        <v>324</v>
      </c>
      <c r="AK63" s="318"/>
      <c r="AL63" s="319"/>
      <c r="AN63" s="622" t="s">
        <v>323</v>
      </c>
      <c r="AO63" s="1007"/>
      <c r="AP63" s="623"/>
      <c r="AQ63" s="318" t="s">
        <v>324</v>
      </c>
      <c r="AR63" s="318"/>
      <c r="AS63" s="319"/>
      <c r="AU63" s="622" t="s">
        <v>323</v>
      </c>
      <c r="AV63" s="1007"/>
      <c r="AW63" s="623"/>
      <c r="AX63" s="318" t="s">
        <v>324</v>
      </c>
      <c r="AY63" s="318"/>
      <c r="AZ63" s="319"/>
      <c r="BB63" s="622" t="s">
        <v>323</v>
      </c>
      <c r="BC63" s="1007"/>
      <c r="BD63" s="623"/>
      <c r="BE63" s="318" t="s">
        <v>324</v>
      </c>
      <c r="BF63" s="318"/>
      <c r="BG63" s="319"/>
      <c r="CO63" s="9"/>
    </row>
    <row r="64" spans="2:124" ht="49.5" customHeight="1" thickBot="1">
      <c r="B64" s="190"/>
      <c r="C64" s="60"/>
      <c r="D64" s="56"/>
      <c r="E64" s="554" t="s">
        <v>325</v>
      </c>
      <c r="F64" s="100" t="s">
        <v>326</v>
      </c>
      <c r="G64" s="100" t="s">
        <v>327</v>
      </c>
      <c r="H64" s="100" t="s">
        <v>325</v>
      </c>
      <c r="I64" s="100" t="s">
        <v>326</v>
      </c>
      <c r="J64" s="548" t="s">
        <v>327</v>
      </c>
      <c r="L64" s="554" t="s">
        <v>325</v>
      </c>
      <c r="M64" s="100" t="s">
        <v>326</v>
      </c>
      <c r="N64" s="100" t="s">
        <v>327</v>
      </c>
      <c r="O64" s="100" t="s">
        <v>325</v>
      </c>
      <c r="P64" s="100" t="s">
        <v>326</v>
      </c>
      <c r="Q64" s="548" t="s">
        <v>327</v>
      </c>
      <c r="S64" s="554" t="s">
        <v>325</v>
      </c>
      <c r="T64" s="100" t="s">
        <v>326</v>
      </c>
      <c r="U64" s="100" t="s">
        <v>327</v>
      </c>
      <c r="V64" s="100" t="s">
        <v>325</v>
      </c>
      <c r="W64" s="100" t="s">
        <v>326</v>
      </c>
      <c r="X64" s="548" t="s">
        <v>327</v>
      </c>
      <c r="Z64" s="554" t="s">
        <v>325</v>
      </c>
      <c r="AA64" s="100" t="s">
        <v>326</v>
      </c>
      <c r="AB64" s="100" t="s">
        <v>327</v>
      </c>
      <c r="AC64" s="100" t="s">
        <v>325</v>
      </c>
      <c r="AD64" s="100" t="s">
        <v>326</v>
      </c>
      <c r="AE64" s="548" t="s">
        <v>327</v>
      </c>
      <c r="AG64" s="554" t="s">
        <v>325</v>
      </c>
      <c r="AH64" s="100" t="s">
        <v>326</v>
      </c>
      <c r="AI64" s="100" t="s">
        <v>327</v>
      </c>
      <c r="AJ64" s="100" t="s">
        <v>325</v>
      </c>
      <c r="AK64" s="100" t="s">
        <v>326</v>
      </c>
      <c r="AL64" s="548" t="s">
        <v>327</v>
      </c>
      <c r="AN64" s="554" t="s">
        <v>325</v>
      </c>
      <c r="AO64" s="100" t="s">
        <v>326</v>
      </c>
      <c r="AP64" s="100" t="s">
        <v>327</v>
      </c>
      <c r="AQ64" s="100" t="s">
        <v>325</v>
      </c>
      <c r="AR64" s="100" t="s">
        <v>326</v>
      </c>
      <c r="AS64" s="548" t="s">
        <v>327</v>
      </c>
      <c r="AU64" s="554" t="s">
        <v>325</v>
      </c>
      <c r="AV64" s="100" t="s">
        <v>326</v>
      </c>
      <c r="AW64" s="100" t="s">
        <v>327</v>
      </c>
      <c r="AX64" s="100" t="s">
        <v>325</v>
      </c>
      <c r="AY64" s="100" t="s">
        <v>326</v>
      </c>
      <c r="AZ64" s="548" t="s">
        <v>327</v>
      </c>
      <c r="BB64" s="554" t="s">
        <v>325</v>
      </c>
      <c r="BC64" s="100" t="s">
        <v>326</v>
      </c>
      <c r="BD64" s="100" t="s">
        <v>327</v>
      </c>
      <c r="BE64" s="100" t="s">
        <v>325</v>
      </c>
      <c r="BF64" s="100" t="s">
        <v>326</v>
      </c>
      <c r="BG64" s="548" t="s">
        <v>327</v>
      </c>
      <c r="CE64" s="9"/>
      <c r="CI64" s="9"/>
    </row>
    <row r="65" spans="2:87">
      <c r="B65" s="190"/>
      <c r="C65" s="60"/>
      <c r="D65" s="646" t="s">
        <v>161</v>
      </c>
      <c r="E65" s="662">
        <v>3.5233351965259416</v>
      </c>
      <c r="F65" s="242">
        <v>43.793410551795716</v>
      </c>
      <c r="G65" s="242">
        <v>47.316745748321665</v>
      </c>
      <c r="H65" s="242">
        <v>4.0838184112289309</v>
      </c>
      <c r="I65" s="243">
        <v>45.792159013478248</v>
      </c>
      <c r="J65" s="663">
        <v>49.875977424707173</v>
      </c>
      <c r="L65" s="662">
        <v>4.5657766027759417</v>
      </c>
      <c r="M65" s="242">
        <v>42.245306864797982</v>
      </c>
      <c r="N65" s="242">
        <v>46.811083467573937</v>
      </c>
      <c r="O65" s="242">
        <v>3.6023318207791561</v>
      </c>
      <c r="P65" s="243">
        <v>51.001879443585779</v>
      </c>
      <c r="Q65" s="663">
        <v>54.60421126436492</v>
      </c>
      <c r="S65" s="662">
        <v>3.8257766027759414</v>
      </c>
      <c r="T65" s="242">
        <v>42.435401502021961</v>
      </c>
      <c r="U65" s="242">
        <v>46.261178104797906</v>
      </c>
      <c r="V65" s="242">
        <v>3.2678954903364357</v>
      </c>
      <c r="W65" s="243">
        <v>48.393879443585774</v>
      </c>
      <c r="X65" s="663">
        <v>51.661774933922203</v>
      </c>
      <c r="Z65" s="935">
        <v>3.8057766027759414</v>
      </c>
      <c r="AA65" s="936">
        <v>41.285401502021962</v>
      </c>
      <c r="AB65" s="936">
        <v>45.091178104797912</v>
      </c>
      <c r="AC65" s="936">
        <v>4.7278954903364356</v>
      </c>
      <c r="AD65" s="936">
        <v>47.003879443585774</v>
      </c>
      <c r="AE65" s="937">
        <v>51.731774933922203</v>
      </c>
      <c r="AG65" s="935">
        <v>5.0650285550981771</v>
      </c>
      <c r="AH65" s="936">
        <v>46.389776502021959</v>
      </c>
      <c r="AI65" s="936">
        <v>51.45480505712014</v>
      </c>
      <c r="AJ65" s="936">
        <v>6.617079689563572</v>
      </c>
      <c r="AK65" s="936">
        <v>55.056532504810264</v>
      </c>
      <c r="AL65" s="937">
        <v>61.673612194373831</v>
      </c>
      <c r="AN65" s="935">
        <v>4.8857766027759411</v>
      </c>
      <c r="AO65" s="936">
        <v>46.325401502021961</v>
      </c>
      <c r="AP65" s="936">
        <v>51.211178104797909</v>
      </c>
      <c r="AQ65" s="936">
        <v>6.5078954903364359</v>
      </c>
      <c r="AR65" s="936">
        <v>53.893879443585774</v>
      </c>
      <c r="AS65" s="937">
        <v>60.401774933922205</v>
      </c>
      <c r="AU65" s="935">
        <v>4.7727048627838684</v>
      </c>
      <c r="AV65" s="936">
        <v>46.346503625378887</v>
      </c>
      <c r="AW65" s="936">
        <v>51.119208488162762</v>
      </c>
      <c r="AX65" s="936">
        <v>6.0815897578523597</v>
      </c>
      <c r="AY65" s="936">
        <v>50.228846331002991</v>
      </c>
      <c r="AZ65" s="937">
        <v>56.31043608885534</v>
      </c>
      <c r="BB65" s="668"/>
      <c r="BC65" s="142"/>
      <c r="BD65" s="142"/>
      <c r="BE65" s="142"/>
      <c r="BF65" s="142"/>
      <c r="BG65" s="669"/>
      <c r="CE65" s="9"/>
      <c r="CI65" s="9"/>
    </row>
    <row r="66" spans="2:87">
      <c r="B66" s="190"/>
      <c r="C66" s="60"/>
      <c r="D66" s="647" t="s">
        <v>162</v>
      </c>
      <c r="E66" s="662">
        <v>5.4070923764340639</v>
      </c>
      <c r="F66" s="242">
        <v>11.479720101781169</v>
      </c>
      <c r="G66" s="242">
        <v>16.886812478215234</v>
      </c>
      <c r="H66" s="242">
        <v>10.234492862389885</v>
      </c>
      <c r="I66" s="243">
        <v>5.5706140350877149</v>
      </c>
      <c r="J66" s="663">
        <v>15.805106897477593</v>
      </c>
      <c r="L66" s="662">
        <v>5.5416415708374442</v>
      </c>
      <c r="M66" s="242">
        <v>1.0025055928411604</v>
      </c>
      <c r="N66" s="242">
        <v>6.5441471636786019</v>
      </c>
      <c r="O66" s="242">
        <v>10.40974178357574</v>
      </c>
      <c r="P66" s="243">
        <v>-4.9994780417566602</v>
      </c>
      <c r="Q66" s="663">
        <v>5.4102637418190795</v>
      </c>
      <c r="S66" s="662">
        <v>3.1329907771866505</v>
      </c>
      <c r="T66" s="242">
        <v>-2.1233333333333348</v>
      </c>
      <c r="U66" s="242">
        <v>1.0096574438533139</v>
      </c>
      <c r="V66" s="242">
        <v>3.918663716661241</v>
      </c>
      <c r="W66" s="243">
        <v>-10.318333333333335</v>
      </c>
      <c r="X66" s="663">
        <v>-6.3996696166720994</v>
      </c>
      <c r="Z66" s="935">
        <v>4.8229907771866509</v>
      </c>
      <c r="AA66" s="936">
        <v>10.476666666666667</v>
      </c>
      <c r="AB66" s="936">
        <v>15.29965744385332</v>
      </c>
      <c r="AC66" s="936">
        <v>8.4286637166612408</v>
      </c>
      <c r="AD66" s="936">
        <v>1.9416666666666629</v>
      </c>
      <c r="AE66" s="937">
        <v>10.370330383327897</v>
      </c>
      <c r="AG66" s="935">
        <v>3.550539972177706</v>
      </c>
      <c r="AH66" s="936">
        <v>11.17463714637146</v>
      </c>
      <c r="AI66" s="936">
        <v>14.725177118549162</v>
      </c>
      <c r="AJ66" s="936">
        <v>5.5197707277313519</v>
      </c>
      <c r="AK66" s="936">
        <v>1.9530879864636148</v>
      </c>
      <c r="AL66" s="937">
        <v>7.4728587141949561</v>
      </c>
      <c r="AN66" s="935">
        <v>4.0732437282827725</v>
      </c>
      <c r="AO66" s="936">
        <v>-0.23576107899807397</v>
      </c>
      <c r="AP66" s="936">
        <v>3.8374826492847021</v>
      </c>
      <c r="AQ66" s="936">
        <v>4.9480898460873703</v>
      </c>
      <c r="AR66" s="936">
        <v>-38.442054263565893</v>
      </c>
      <c r="AS66" s="937">
        <v>-33.493964417478537</v>
      </c>
      <c r="AU66" s="935">
        <v>1.8429907771866514</v>
      </c>
      <c r="AV66" s="936">
        <v>1.5566666666666649</v>
      </c>
      <c r="AW66" s="936">
        <v>3.3996574438533145</v>
      </c>
      <c r="AX66" s="936">
        <v>3.6986637166612404</v>
      </c>
      <c r="AY66" s="936">
        <v>-8.9383333333333397</v>
      </c>
      <c r="AZ66" s="937">
        <v>-5.2396696166721028</v>
      </c>
      <c r="BB66" s="668"/>
      <c r="BC66" s="142"/>
      <c r="BD66" s="142"/>
      <c r="BE66" s="142"/>
      <c r="BF66" s="142"/>
      <c r="BG66" s="669"/>
      <c r="CE66" s="9"/>
      <c r="CI66" s="9"/>
    </row>
    <row r="67" spans="2:87">
      <c r="B67" s="190"/>
      <c r="C67" s="60"/>
      <c r="D67" s="647" t="s">
        <v>163</v>
      </c>
      <c r="E67" s="662">
        <v>5.1939387894190663</v>
      </c>
      <c r="F67" s="242">
        <v>4.2347201017811713</v>
      </c>
      <c r="G67" s="242">
        <v>9.4286588912002358</v>
      </c>
      <c r="H67" s="242">
        <v>10.506990564910268</v>
      </c>
      <c r="I67" s="243">
        <v>11.718728813559316</v>
      </c>
      <c r="J67" s="663">
        <v>22.225719378469577</v>
      </c>
      <c r="L67" s="662">
        <v>5.6737794207197734</v>
      </c>
      <c r="M67" s="242">
        <v>0.31882760699216561</v>
      </c>
      <c r="N67" s="242">
        <v>5.9926070277119408</v>
      </c>
      <c r="O67" s="242">
        <v>10.862908039292408</v>
      </c>
      <c r="P67" s="243">
        <v>3.7700337381916285</v>
      </c>
      <c r="Q67" s="663">
        <v>14.632941777484035</v>
      </c>
      <c r="S67" s="662">
        <v>3.2829907771866509</v>
      </c>
      <c r="T67" s="242">
        <v>0.56166666666666742</v>
      </c>
      <c r="U67" s="242">
        <v>3.8446574438533219</v>
      </c>
      <c r="V67" s="242">
        <v>2.5086637166612427</v>
      </c>
      <c r="W67" s="243">
        <v>4.1183333333333323</v>
      </c>
      <c r="X67" s="663">
        <v>6.6269970499945714</v>
      </c>
      <c r="Z67" s="935">
        <v>4.3129907771866511</v>
      </c>
      <c r="AA67" s="936">
        <v>6.2716666666666683</v>
      </c>
      <c r="AB67" s="936">
        <v>10.584657443853317</v>
      </c>
      <c r="AC67" s="936">
        <v>4.1786637166612408</v>
      </c>
      <c r="AD67" s="936">
        <v>11.588333333333331</v>
      </c>
      <c r="AE67" s="937">
        <v>15.766997049994565</v>
      </c>
      <c r="AG67" s="935">
        <v>4.0099934297065447</v>
      </c>
      <c r="AH67" s="936">
        <v>9.8277873563218421</v>
      </c>
      <c r="AI67" s="936">
        <v>13.837780786028389</v>
      </c>
      <c r="AJ67" s="936">
        <v>5.3715092451165258</v>
      </c>
      <c r="AK67" s="936">
        <v>14.720559947299073</v>
      </c>
      <c r="AL67" s="937">
        <v>20.092069192415593</v>
      </c>
      <c r="AN67" s="935">
        <v>4.7230713249111771</v>
      </c>
      <c r="AO67" s="936">
        <v>0.7956122448979599</v>
      </c>
      <c r="AP67" s="936">
        <v>5.5186835698091343</v>
      </c>
      <c r="AQ67" s="936">
        <v>5.3231280023755279</v>
      </c>
      <c r="AR67" s="936">
        <v>-11.405796359499433</v>
      </c>
      <c r="AS67" s="937">
        <v>-6.0826683571239073</v>
      </c>
      <c r="AU67" s="935">
        <v>3.8929907771866503</v>
      </c>
      <c r="AV67" s="936">
        <v>3.951666666666668</v>
      </c>
      <c r="AW67" s="936">
        <v>7.8446574438533219</v>
      </c>
      <c r="AX67" s="936">
        <v>3.668663716661241</v>
      </c>
      <c r="AY67" s="936">
        <v>9.1583333333333314</v>
      </c>
      <c r="AZ67" s="937">
        <v>12.82699704999456</v>
      </c>
      <c r="BB67" s="668"/>
      <c r="BC67" s="142"/>
      <c r="BD67" s="142"/>
      <c r="BE67" s="142"/>
      <c r="BF67" s="142"/>
      <c r="BG67" s="669"/>
      <c r="CE67" s="9"/>
      <c r="CI67" s="9"/>
    </row>
    <row r="68" spans="2:87">
      <c r="B68" s="190"/>
      <c r="C68" s="60"/>
      <c r="D68" s="647" t="s">
        <v>164</v>
      </c>
      <c r="E68" s="662">
        <v>4.2729907771866502</v>
      </c>
      <c r="F68" s="242">
        <v>17.82</v>
      </c>
      <c r="G68" s="242">
        <v>22.09299077718665</v>
      </c>
      <c r="H68" s="242">
        <v>11.041997049994574</v>
      </c>
      <c r="I68" s="243">
        <v>11.720000000000006</v>
      </c>
      <c r="J68" s="663">
        <v>22.761997049994577</v>
      </c>
      <c r="L68" s="662">
        <v>4.5562337657730803</v>
      </c>
      <c r="M68" s="242">
        <v>14.955521240234404</v>
      </c>
      <c r="N68" s="242">
        <v>19.511755006007483</v>
      </c>
      <c r="O68" s="242">
        <v>11.068696936316593</v>
      </c>
      <c r="P68" s="243">
        <v>9.0164027404785045</v>
      </c>
      <c r="Q68" s="663">
        <v>20.085099676795096</v>
      </c>
      <c r="S68" s="662">
        <v>4.9329907771866504</v>
      </c>
      <c r="T68" s="242">
        <v>24.060000000000002</v>
      </c>
      <c r="U68" s="242">
        <v>28.992990777186648</v>
      </c>
      <c r="V68" s="242">
        <v>12.681997049994575</v>
      </c>
      <c r="W68" s="243">
        <v>16.240000000000002</v>
      </c>
      <c r="X68" s="663">
        <v>28.921997049994573</v>
      </c>
      <c r="Z68" s="935">
        <v>4.2055171748917299</v>
      </c>
      <c r="AA68" s="936">
        <v>22.1936804199219</v>
      </c>
      <c r="AB68" s="936">
        <v>26.399197594813629</v>
      </c>
      <c r="AC68" s="936">
        <v>11.446298083014593</v>
      </c>
      <c r="AD68" s="936">
        <v>18.911502380371104</v>
      </c>
      <c r="AE68" s="937">
        <v>30.357800463385693</v>
      </c>
      <c r="AG68" s="935">
        <v>6.7987703105728805</v>
      </c>
      <c r="AH68" s="936">
        <v>23.466854705810501</v>
      </c>
      <c r="AI68" s="936">
        <v>30.265625016383378</v>
      </c>
      <c r="AJ68" s="936">
        <v>14.339524706549753</v>
      </c>
      <c r="AK68" s="936">
        <v>21.707717437744101</v>
      </c>
      <c r="AL68" s="937">
        <v>36.047242144293854</v>
      </c>
      <c r="AN68" s="935">
        <v>7.9705317041199404</v>
      </c>
      <c r="AO68" s="936">
        <v>20.159201278686499</v>
      </c>
      <c r="AP68" s="936">
        <v>28.129732982806438</v>
      </c>
      <c r="AQ68" s="936">
        <v>15.020836552329163</v>
      </c>
      <c r="AR68" s="936">
        <v>18.524337310791005</v>
      </c>
      <c r="AS68" s="937">
        <v>33.545173863120162</v>
      </c>
      <c r="AU68" s="935">
        <v>7.5149328729431799</v>
      </c>
      <c r="AV68" s="936">
        <v>18.532730712890597</v>
      </c>
      <c r="AW68" s="936">
        <v>26.047663585833774</v>
      </c>
      <c r="AX68" s="936">
        <v>14.264040669150454</v>
      </c>
      <c r="AY68" s="936">
        <v>17.941558380127006</v>
      </c>
      <c r="AZ68" s="937">
        <v>32.205599049277453</v>
      </c>
      <c r="BB68" s="668"/>
      <c r="BC68" s="142"/>
      <c r="BD68" s="142"/>
      <c r="BE68" s="142"/>
      <c r="BF68" s="142"/>
      <c r="BG68" s="669"/>
      <c r="CE68" s="9"/>
      <c r="CF68" s="9"/>
      <c r="CI68" s="9"/>
    </row>
    <row r="69" spans="2:87">
      <c r="B69" s="190"/>
      <c r="C69" s="60"/>
      <c r="D69" s="647" t="s">
        <v>165</v>
      </c>
      <c r="E69" s="662">
        <v>4.7629907771866495</v>
      </c>
      <c r="F69" s="242">
        <v>12.329999999999998</v>
      </c>
      <c r="G69" s="242">
        <v>17.09299077718665</v>
      </c>
      <c r="H69" s="242">
        <v>9.1919970499945762</v>
      </c>
      <c r="I69" s="243">
        <v>13.850000000000001</v>
      </c>
      <c r="J69" s="663">
        <v>23.041997049994578</v>
      </c>
      <c r="L69" s="662">
        <v>4.7672260257523202</v>
      </c>
      <c r="M69" s="242">
        <v>9.8154399108886992</v>
      </c>
      <c r="N69" s="242">
        <v>14.582665936641014</v>
      </c>
      <c r="O69" s="242">
        <v>9.6576339709235359</v>
      </c>
      <c r="P69" s="243">
        <v>9.3236976623535028</v>
      </c>
      <c r="Q69" s="663">
        <v>18.981331633277044</v>
      </c>
      <c r="S69" s="662">
        <v>4.7329907771866502</v>
      </c>
      <c r="T69" s="242">
        <v>16.059999999999999</v>
      </c>
      <c r="U69" s="242">
        <v>20.792990777186645</v>
      </c>
      <c r="V69" s="242">
        <v>9.4819970499945754</v>
      </c>
      <c r="W69" s="243">
        <v>19.68</v>
      </c>
      <c r="X69" s="663">
        <v>29.161997049994582</v>
      </c>
      <c r="Z69" s="935">
        <v>4.6104405376236599</v>
      </c>
      <c r="AA69" s="936">
        <v>13.838181228637698</v>
      </c>
      <c r="AB69" s="936">
        <v>18.448621766261354</v>
      </c>
      <c r="AC69" s="936">
        <v>9.0981580721808548</v>
      </c>
      <c r="AD69" s="936">
        <v>19.699494934082004</v>
      </c>
      <c r="AE69" s="937">
        <v>28.797653006262863</v>
      </c>
      <c r="AG69" s="935">
        <v>6.0402491542618506</v>
      </c>
      <c r="AH69" s="936">
        <v>16.671923370361299</v>
      </c>
      <c r="AI69" s="936">
        <v>22.712172524623146</v>
      </c>
      <c r="AJ69" s="936">
        <v>10.934635590262516</v>
      </c>
      <c r="AK69" s="936">
        <v>21.116563415527303</v>
      </c>
      <c r="AL69" s="937">
        <v>32.051199005789819</v>
      </c>
      <c r="AN69" s="935">
        <v>6.6806428882401203</v>
      </c>
      <c r="AO69" s="936">
        <v>12.534407348632797</v>
      </c>
      <c r="AP69" s="936">
        <v>19.215050236872912</v>
      </c>
      <c r="AQ69" s="936">
        <v>11.481217573828806</v>
      </c>
      <c r="AR69" s="936">
        <v>17.510099029541003</v>
      </c>
      <c r="AS69" s="937">
        <v>28.99131660336981</v>
      </c>
      <c r="AU69" s="935">
        <v>6.4703389856140801</v>
      </c>
      <c r="AV69" s="936">
        <v>12.942713470458997</v>
      </c>
      <c r="AW69" s="936">
        <v>19.413052456073075</v>
      </c>
      <c r="AX69" s="936">
        <v>10.929742287345036</v>
      </c>
      <c r="AY69" s="936">
        <v>16.082021331787104</v>
      </c>
      <c r="AZ69" s="937">
        <v>27.01176361913214</v>
      </c>
      <c r="BB69" s="668"/>
      <c r="BC69" s="142"/>
      <c r="BD69" s="142"/>
      <c r="BE69" s="142"/>
      <c r="BF69" s="142"/>
      <c r="BG69" s="669"/>
      <c r="CE69" s="9"/>
      <c r="CI69" s="9"/>
    </row>
    <row r="70" spans="2:87">
      <c r="B70" s="190"/>
      <c r="C70" s="60"/>
      <c r="D70" s="647" t="s">
        <v>166</v>
      </c>
      <c r="E70" s="662">
        <v>-1.2570092228133491</v>
      </c>
      <c r="F70" s="242">
        <v>11.809999999999999</v>
      </c>
      <c r="G70" s="242">
        <v>10.55299077718665</v>
      </c>
      <c r="H70" s="242">
        <v>-1.248002950005425</v>
      </c>
      <c r="I70" s="243">
        <v>21.550000000000004</v>
      </c>
      <c r="J70" s="663">
        <v>20.301997049994576</v>
      </c>
      <c r="L70" s="662">
        <v>2.8141326114456797</v>
      </c>
      <c r="M70" s="242">
        <v>8.3145259094238</v>
      </c>
      <c r="N70" s="242">
        <v>11.128658520869486</v>
      </c>
      <c r="O70" s="242">
        <v>4.073705824561225</v>
      </c>
      <c r="P70" s="243">
        <v>13.549310302734405</v>
      </c>
      <c r="Q70" s="663">
        <v>17.623016127295628</v>
      </c>
      <c r="S70" s="662">
        <v>3.8129907771866502</v>
      </c>
      <c r="T70" s="242">
        <v>13.719999999999999</v>
      </c>
      <c r="U70" s="242">
        <v>17.532990777186651</v>
      </c>
      <c r="V70" s="242">
        <v>4.9219970499945749</v>
      </c>
      <c r="W70" s="243">
        <v>17.590000000000003</v>
      </c>
      <c r="X70" s="663">
        <v>22.511997049994577</v>
      </c>
      <c r="Z70" s="935">
        <v>3.5007025405686099</v>
      </c>
      <c r="AA70" s="936">
        <v>14.942703552246101</v>
      </c>
      <c r="AB70" s="936">
        <v>18.443406092814712</v>
      </c>
      <c r="AC70" s="936">
        <v>3.4841214739752848</v>
      </c>
      <c r="AD70" s="936">
        <v>22.035405731201202</v>
      </c>
      <c r="AE70" s="937">
        <v>25.519527205176487</v>
      </c>
      <c r="AG70" s="935">
        <v>5.1298361226837805</v>
      </c>
      <c r="AH70" s="936">
        <v>17.4650271606445</v>
      </c>
      <c r="AI70" s="936">
        <v>22.594863283328284</v>
      </c>
      <c r="AJ70" s="936">
        <v>6.1885665976477746</v>
      </c>
      <c r="AK70" s="936">
        <v>25.7835098266602</v>
      </c>
      <c r="AL70" s="937">
        <v>31.972076424307971</v>
      </c>
      <c r="AN70" s="935">
        <v>6.0538713142197302</v>
      </c>
      <c r="AO70" s="936">
        <v>12.262104339599599</v>
      </c>
      <c r="AP70" s="936">
        <v>18.315975653819333</v>
      </c>
      <c r="AQ70" s="936">
        <v>7.4654685580206941</v>
      </c>
      <c r="AR70" s="936">
        <v>16.789655303955101</v>
      </c>
      <c r="AS70" s="937">
        <v>24.255123861975797</v>
      </c>
      <c r="AU70" s="935">
        <v>5.9807304546158502</v>
      </c>
      <c r="AV70" s="936">
        <v>9.395351715087898</v>
      </c>
      <c r="AW70" s="936">
        <v>15.37608216970375</v>
      </c>
      <c r="AX70" s="936">
        <v>7.1583718382788746</v>
      </c>
      <c r="AY70" s="936">
        <v>16.026731109619099</v>
      </c>
      <c r="AZ70" s="937">
        <v>23.185102947897974</v>
      </c>
      <c r="BB70" s="668"/>
      <c r="BC70" s="142"/>
      <c r="BD70" s="142"/>
      <c r="BE70" s="142"/>
      <c r="BF70" s="142"/>
      <c r="BG70" s="669"/>
      <c r="CE70" s="9"/>
      <c r="CI70" s="9"/>
    </row>
    <row r="71" spans="2:87">
      <c r="B71" s="190"/>
      <c r="C71" s="60"/>
      <c r="D71" s="647" t="s">
        <v>167</v>
      </c>
      <c r="E71" s="662">
        <v>0.87299077718664986</v>
      </c>
      <c r="F71" s="242">
        <v>11.590000000000003</v>
      </c>
      <c r="G71" s="242">
        <v>12.462990777186654</v>
      </c>
      <c r="H71" s="242">
        <v>2.2519970499945741</v>
      </c>
      <c r="I71" s="243">
        <v>19.79</v>
      </c>
      <c r="J71" s="663">
        <v>22.041997049994578</v>
      </c>
      <c r="L71" s="662">
        <v>2.3577855274002699</v>
      </c>
      <c r="M71" s="242">
        <v>7.0731788635253992</v>
      </c>
      <c r="N71" s="242">
        <v>9.4309643909256735</v>
      </c>
      <c r="O71" s="242">
        <v>4.2587119852973041</v>
      </c>
      <c r="P71" s="243">
        <v>14.0813929748535</v>
      </c>
      <c r="Q71" s="663">
        <v>18.340104960150803</v>
      </c>
      <c r="S71" s="662">
        <v>2.6429907771866494</v>
      </c>
      <c r="T71" s="242">
        <v>17.87</v>
      </c>
      <c r="U71" s="242">
        <v>20.512990777186651</v>
      </c>
      <c r="V71" s="242">
        <v>4.7219970499945738</v>
      </c>
      <c r="W71" s="243">
        <v>27.549999999999997</v>
      </c>
      <c r="X71" s="663">
        <v>32.271997049994575</v>
      </c>
      <c r="Z71" s="935">
        <v>2.1425264522354794</v>
      </c>
      <c r="AA71" s="936">
        <v>16.183610534668002</v>
      </c>
      <c r="AB71" s="936">
        <v>18.326136986903485</v>
      </c>
      <c r="AC71" s="936">
        <v>4.5125853335333943</v>
      </c>
      <c r="AD71" s="936">
        <v>24.076964111328095</v>
      </c>
      <c r="AE71" s="937">
        <v>28.58954944486149</v>
      </c>
      <c r="AG71" s="935">
        <v>4.3966534778397293</v>
      </c>
      <c r="AH71" s="936">
        <v>16.694877243042001</v>
      </c>
      <c r="AI71" s="936">
        <v>21.091530720881732</v>
      </c>
      <c r="AJ71" s="936">
        <v>6.4650627886725545</v>
      </c>
      <c r="AK71" s="936">
        <v>25.012446136474601</v>
      </c>
      <c r="AL71" s="937">
        <v>31.477508925147156</v>
      </c>
      <c r="AN71" s="935">
        <v>4.7266314670364995</v>
      </c>
      <c r="AO71" s="936">
        <v>6.7950798034667983</v>
      </c>
      <c r="AP71" s="936">
        <v>11.521711270503303</v>
      </c>
      <c r="AQ71" s="936">
        <v>6.491602114386664</v>
      </c>
      <c r="AR71" s="936">
        <v>11.872557373046902</v>
      </c>
      <c r="AS71" s="937">
        <v>18.364159487433568</v>
      </c>
      <c r="AU71" s="935">
        <v>4.505756919078129</v>
      </c>
      <c r="AV71" s="936">
        <v>2.6850563049315994</v>
      </c>
      <c r="AW71" s="936">
        <v>7.1908132240097302</v>
      </c>
      <c r="AX71" s="936">
        <v>5.7762781893683544</v>
      </c>
      <c r="AY71" s="936">
        <v>11.289538116455098</v>
      </c>
      <c r="AZ71" s="937">
        <v>17.065816305823454</v>
      </c>
      <c r="BB71" s="668"/>
      <c r="BC71" s="142"/>
      <c r="BD71" s="142"/>
      <c r="BE71" s="142"/>
      <c r="BF71" s="142"/>
      <c r="BG71" s="669"/>
      <c r="CE71" s="9"/>
      <c r="CI71" s="9"/>
    </row>
    <row r="72" spans="2:87">
      <c r="B72" s="190"/>
      <c r="C72" s="60"/>
      <c r="D72" s="647" t="s">
        <v>168</v>
      </c>
      <c r="E72" s="662">
        <v>6.0775510204081638</v>
      </c>
      <c r="F72" s="242">
        <v>7.7342553191489358</v>
      </c>
      <c r="G72" s="242">
        <v>13.811806339557094</v>
      </c>
      <c r="H72" s="242">
        <v>11.370381231671555</v>
      </c>
      <c r="I72" s="243">
        <v>23.024576043068635</v>
      </c>
      <c r="J72" s="663">
        <v>34.394957274740186</v>
      </c>
      <c r="L72" s="662">
        <v>4.3500000000000005</v>
      </c>
      <c r="M72" s="242">
        <v>-10.61</v>
      </c>
      <c r="N72" s="242">
        <v>-6.2600000000000051</v>
      </c>
      <c r="O72" s="242">
        <v>7.7200000000000006</v>
      </c>
      <c r="P72" s="243">
        <v>11.969999999999992</v>
      </c>
      <c r="Q72" s="663">
        <v>19.689999999999984</v>
      </c>
      <c r="S72" s="662">
        <v>3.9859685863874352</v>
      </c>
      <c r="T72" s="242">
        <v>8.0527272727272745</v>
      </c>
      <c r="U72" s="242">
        <v>12.038695859114711</v>
      </c>
      <c r="V72" s="242">
        <v>8.7313662085691206</v>
      </c>
      <c r="W72" s="243">
        <v>24.77611702127659</v>
      </c>
      <c r="X72" s="663">
        <v>33.507483229845704</v>
      </c>
      <c r="Z72" s="935">
        <v>4.3288397790055253</v>
      </c>
      <c r="AA72" s="936">
        <v>14.969890710382515</v>
      </c>
      <c r="AB72" s="936">
        <v>19.298730489388035</v>
      </c>
      <c r="AC72" s="936">
        <v>9.1265251989389924</v>
      </c>
      <c r="AD72" s="936">
        <v>26.736562889165619</v>
      </c>
      <c r="AE72" s="937">
        <v>35.863088088104604</v>
      </c>
      <c r="AG72" s="935">
        <v>4.4323456790123466</v>
      </c>
      <c r="AH72" s="936">
        <v>13.619285714285724</v>
      </c>
      <c r="AI72" s="936">
        <v>18.051631393298067</v>
      </c>
      <c r="AJ72" s="936">
        <v>9.5864099660249167</v>
      </c>
      <c r="AK72" s="936">
        <v>25.814955863808315</v>
      </c>
      <c r="AL72" s="937">
        <v>35.401365829833225</v>
      </c>
      <c r="AN72" s="935">
        <v>6.308910133843213</v>
      </c>
      <c r="AO72" s="936">
        <v>14.246049382716052</v>
      </c>
      <c r="AP72" s="936">
        <v>20.554959516559265</v>
      </c>
      <c r="AQ72" s="936">
        <v>11.189960886571058</v>
      </c>
      <c r="AR72" s="936">
        <v>25.30019017432646</v>
      </c>
      <c r="AS72" s="937">
        <v>36.49015106089751</v>
      </c>
      <c r="AU72" s="935">
        <v>7.1101006711409402</v>
      </c>
      <c r="AV72" s="936">
        <v>12.133244837758113</v>
      </c>
      <c r="AW72" s="936">
        <v>19.243345508899054</v>
      </c>
      <c r="AX72" s="936">
        <v>11.857126567844928</v>
      </c>
      <c r="AY72" s="936">
        <v>30.367029702970292</v>
      </c>
      <c r="AZ72" s="937">
        <v>42.224156270815214</v>
      </c>
      <c r="BB72" s="668"/>
      <c r="BC72" s="142"/>
      <c r="BD72" s="142"/>
      <c r="BE72" s="142"/>
      <c r="BF72" s="142"/>
      <c r="BG72" s="669"/>
      <c r="CE72" s="9"/>
      <c r="CI72" s="9"/>
    </row>
    <row r="73" spans="2:87">
      <c r="B73" s="190"/>
      <c r="C73" s="60"/>
      <c r="D73" s="647" t="s">
        <v>169</v>
      </c>
      <c r="E73" s="662">
        <v>5.7753127606338621</v>
      </c>
      <c r="F73" s="242">
        <v>11.433806104129268</v>
      </c>
      <c r="G73" s="242">
        <v>17.209118864763127</v>
      </c>
      <c r="H73" s="242">
        <v>10.544781199351704</v>
      </c>
      <c r="I73" s="243">
        <v>18.231719745222932</v>
      </c>
      <c r="J73" s="663">
        <v>28.776500944574643</v>
      </c>
      <c r="L73" s="662">
        <v>4.83</v>
      </c>
      <c r="M73" s="242">
        <v>-3.8199999999999932</v>
      </c>
      <c r="N73" s="242">
        <v>1.0100000000000051</v>
      </c>
      <c r="O73" s="242">
        <v>11.370000000000001</v>
      </c>
      <c r="P73" s="243">
        <v>-2.8900000000000077</v>
      </c>
      <c r="Q73" s="663">
        <v>8.480000000000004</v>
      </c>
      <c r="S73" s="662">
        <v>4.6519349845201239</v>
      </c>
      <c r="T73" s="242">
        <v>12.580961677512654</v>
      </c>
      <c r="U73" s="242">
        <v>17.232896662032779</v>
      </c>
      <c r="V73" s="242">
        <v>8.092173913043478</v>
      </c>
      <c r="W73" s="243">
        <v>17.513193473193475</v>
      </c>
      <c r="X73" s="663">
        <v>25.605367386236964</v>
      </c>
      <c r="Z73" s="935">
        <v>3.2777120315581856</v>
      </c>
      <c r="AA73" s="936">
        <v>9.8349856733524419</v>
      </c>
      <c r="AB73" s="936">
        <v>13.112697704910623</v>
      </c>
      <c r="AC73" s="936">
        <v>8.4894291151284502</v>
      </c>
      <c r="AD73" s="936">
        <v>11.979363817097415</v>
      </c>
      <c r="AE73" s="937">
        <v>20.468792932225874</v>
      </c>
      <c r="AG73" s="935">
        <v>3.9574873808188453</v>
      </c>
      <c r="AH73" s="936">
        <v>12.64898366606171</v>
      </c>
      <c r="AI73" s="936">
        <v>16.60647104688055</v>
      </c>
      <c r="AJ73" s="936">
        <v>10.696364617044228</v>
      </c>
      <c r="AK73" s="936">
        <v>19.974689507494645</v>
      </c>
      <c r="AL73" s="937">
        <v>30.671054124538884</v>
      </c>
      <c r="AN73" s="935">
        <v>4.9539192399049883</v>
      </c>
      <c r="AO73" s="936">
        <v>13.365346851654216</v>
      </c>
      <c r="AP73" s="936">
        <v>18.3192660915592</v>
      </c>
      <c r="AQ73" s="936">
        <v>11.182849035187289</v>
      </c>
      <c r="AR73" s="936">
        <v>16.778372093023258</v>
      </c>
      <c r="AS73" s="937">
        <v>27.961221128210553</v>
      </c>
      <c r="AU73" s="935">
        <v>7.0518856195607134</v>
      </c>
      <c r="AV73" s="936">
        <v>11.189700897308079</v>
      </c>
      <c r="AW73" s="936">
        <v>18.241586516868793</v>
      </c>
      <c r="AX73" s="936">
        <v>11.769545454545455</v>
      </c>
      <c r="AY73" s="936">
        <v>21.513767051416579</v>
      </c>
      <c r="AZ73" s="937">
        <v>33.283312505962044</v>
      </c>
      <c r="BB73" s="668"/>
      <c r="BC73" s="142"/>
      <c r="BD73" s="142"/>
      <c r="BE73" s="142"/>
      <c r="BF73" s="142"/>
      <c r="BG73" s="669"/>
      <c r="CE73" s="9"/>
      <c r="CI73" s="9"/>
    </row>
    <row r="74" spans="2:87">
      <c r="B74" s="190"/>
      <c r="C74" s="60"/>
      <c r="D74" s="647" t="s">
        <v>170</v>
      </c>
      <c r="E74" s="662">
        <v>4.4996978379786405</v>
      </c>
      <c r="F74" s="242">
        <v>-0.51034482758620925</v>
      </c>
      <c r="G74" s="242">
        <v>3.9893530103924348</v>
      </c>
      <c r="H74" s="242">
        <v>5.9148622486969469</v>
      </c>
      <c r="I74" s="243">
        <v>2.6932367149758463</v>
      </c>
      <c r="J74" s="663">
        <v>8.608098963672802</v>
      </c>
      <c r="L74" s="662">
        <v>3.9400000000000004</v>
      </c>
      <c r="M74" s="242">
        <v>-11.920000000000002</v>
      </c>
      <c r="N74" s="242">
        <v>-7.9799999999999969</v>
      </c>
      <c r="O74" s="242">
        <v>5.8599999999999994</v>
      </c>
      <c r="P74" s="243">
        <v>-13.670000000000002</v>
      </c>
      <c r="Q74" s="663">
        <v>-7.8100000000000023</v>
      </c>
      <c r="S74" s="662">
        <v>2.819681697612733</v>
      </c>
      <c r="T74" s="242">
        <v>-0.97931985294117396</v>
      </c>
      <c r="U74" s="242">
        <v>1.8403618446715626</v>
      </c>
      <c r="V74" s="242">
        <v>4.1563774733637739</v>
      </c>
      <c r="W74" s="243">
        <v>4.6865030674846651</v>
      </c>
      <c r="X74" s="663">
        <v>8.8428805408484408</v>
      </c>
      <c r="Z74" s="935">
        <v>2.9150375939849633</v>
      </c>
      <c r="AA74" s="936">
        <v>0.3489319842608225</v>
      </c>
      <c r="AB74" s="936">
        <v>3.2639695782457849</v>
      </c>
      <c r="AC74" s="936">
        <v>5.637462482946793</v>
      </c>
      <c r="AD74" s="936">
        <v>1.2220061412487269</v>
      </c>
      <c r="AE74" s="937">
        <v>6.8594686241955287</v>
      </c>
      <c r="AG74" s="935">
        <v>5.2613179571663933</v>
      </c>
      <c r="AH74" s="936">
        <v>5.6594279661016955</v>
      </c>
      <c r="AI74" s="936">
        <v>10.920745923268093</v>
      </c>
      <c r="AJ74" s="936">
        <v>9.9346268656716408</v>
      </c>
      <c r="AK74" s="936">
        <v>10.99053646775166</v>
      </c>
      <c r="AL74" s="937">
        <v>20.925163333423306</v>
      </c>
      <c r="AN74" s="935">
        <v>5.8982563808431321</v>
      </c>
      <c r="AO74" s="936">
        <v>8.0070379436964529</v>
      </c>
      <c r="AP74" s="936">
        <v>13.905294324539589</v>
      </c>
      <c r="AQ74" s="936">
        <v>10.583454170350722</v>
      </c>
      <c r="AR74" s="936">
        <v>12.595031055900627</v>
      </c>
      <c r="AS74" s="937">
        <v>23.178485226251354</v>
      </c>
      <c r="AU74" s="935">
        <v>7.4064735854116392</v>
      </c>
      <c r="AV74" s="936">
        <v>10.523809523809526</v>
      </c>
      <c r="AW74" s="936">
        <v>17.930283109221165</v>
      </c>
      <c r="AX74" s="936">
        <v>11.381659513590844</v>
      </c>
      <c r="AY74" s="936">
        <v>13.967504488330341</v>
      </c>
      <c r="AZ74" s="937">
        <v>25.349164001921189</v>
      </c>
      <c r="BB74" s="668"/>
      <c r="BC74" s="142"/>
      <c r="BD74" s="142"/>
      <c r="BE74" s="142"/>
      <c r="BF74" s="142"/>
      <c r="BG74" s="669"/>
      <c r="CE74" s="9"/>
      <c r="CI74" s="9"/>
    </row>
    <row r="75" spans="2:87">
      <c r="B75" s="190"/>
      <c r="C75" s="60"/>
      <c r="D75" s="647" t="s">
        <v>171</v>
      </c>
      <c r="E75" s="662">
        <v>4.5744341569058697</v>
      </c>
      <c r="F75" s="242">
        <v>6.3914087553585901</v>
      </c>
      <c r="G75" s="242">
        <v>10.965842912264463</v>
      </c>
      <c r="H75" s="242">
        <v>6.1717192778493857</v>
      </c>
      <c r="I75" s="243">
        <v>2.5986344125879057</v>
      </c>
      <c r="J75" s="663">
        <v>8.7703536904372896</v>
      </c>
      <c r="L75" s="662">
        <v>4.9022582170807096</v>
      </c>
      <c r="M75" s="242">
        <v>-8.9784086026967032</v>
      </c>
      <c r="N75" s="242">
        <v>-4.0761503856159962</v>
      </c>
      <c r="O75" s="242">
        <v>7.1877790612435302</v>
      </c>
      <c r="P75" s="243">
        <v>-18.946215582593219</v>
      </c>
      <c r="Q75" s="663">
        <v>-11.758436521349694</v>
      </c>
      <c r="S75" s="662">
        <v>6.6158632488967797</v>
      </c>
      <c r="T75" s="242">
        <v>-16.806753369073505</v>
      </c>
      <c r="U75" s="242">
        <v>-10.190890120176725</v>
      </c>
      <c r="V75" s="242">
        <v>6.4912961656080919</v>
      </c>
      <c r="W75" s="243">
        <v>-24.553020716880219</v>
      </c>
      <c r="X75" s="663">
        <v>-18.061724551272135</v>
      </c>
      <c r="Z75" s="935">
        <v>6.9732583998552267</v>
      </c>
      <c r="AA75" s="936">
        <v>-12.174464967819581</v>
      </c>
      <c r="AB75" s="936">
        <v>-5.2012065679643555</v>
      </c>
      <c r="AC75" s="936">
        <v>7.7533455197627088</v>
      </c>
      <c r="AD75" s="936">
        <v>-24.327642772116242</v>
      </c>
      <c r="AE75" s="937">
        <v>-16.574297252353531</v>
      </c>
      <c r="AG75" s="935">
        <v>6.4987586256908187</v>
      </c>
      <c r="AH75" s="936">
        <v>-9.28864121303031</v>
      </c>
      <c r="AI75" s="936">
        <v>-2.7898825873394912</v>
      </c>
      <c r="AJ75" s="936">
        <v>7.991092665404592</v>
      </c>
      <c r="AK75" s="936">
        <v>-19.421553557671395</v>
      </c>
      <c r="AL75" s="937">
        <v>-11.430460892266808</v>
      </c>
      <c r="AN75" s="935">
        <v>6.7608132118654405</v>
      </c>
      <c r="AO75" s="936">
        <v>-6.1083793293201509</v>
      </c>
      <c r="AP75" s="936">
        <v>0.65243388254528867</v>
      </c>
      <c r="AQ75" s="936">
        <v>7.6370443742893261</v>
      </c>
      <c r="AR75" s="936">
        <v>-17.913634734717739</v>
      </c>
      <c r="AS75" s="937">
        <v>-10.276590360428415</v>
      </c>
      <c r="AU75" s="935">
        <v>5.8503275557319707</v>
      </c>
      <c r="AV75" s="936">
        <v>7.8884769789285585</v>
      </c>
      <c r="AW75" s="936">
        <v>13.738804534660531</v>
      </c>
      <c r="AX75" s="936">
        <v>6.1505635648754913</v>
      </c>
      <c r="AY75" s="936">
        <v>5.6786945250629302</v>
      </c>
      <c r="AZ75" s="937">
        <v>11.829258089938421</v>
      </c>
      <c r="BB75" s="668"/>
      <c r="BC75" s="142"/>
      <c r="BD75" s="142"/>
      <c r="BE75" s="142"/>
      <c r="BF75" s="142"/>
      <c r="BG75" s="669"/>
      <c r="CE75" s="9"/>
      <c r="CI75" s="9"/>
    </row>
    <row r="76" spans="2:87">
      <c r="B76" s="190"/>
      <c r="C76" s="60"/>
      <c r="D76" s="647" t="s">
        <v>172</v>
      </c>
      <c r="E76" s="662">
        <v>3.6688909644389094</v>
      </c>
      <c r="F76" s="242">
        <v>1.2697456153677322</v>
      </c>
      <c r="G76" s="242">
        <v>4.9386365798066407</v>
      </c>
      <c r="H76" s="242">
        <v>4.1616140394505825</v>
      </c>
      <c r="I76" s="243">
        <v>2.5083180907586424</v>
      </c>
      <c r="J76" s="663">
        <v>6.6699321302092258</v>
      </c>
      <c r="L76" s="662">
        <v>3.9610625485625475</v>
      </c>
      <c r="M76" s="242">
        <v>-8.4306187319174342</v>
      </c>
      <c r="N76" s="242">
        <v>-4.4695561833548894</v>
      </c>
      <c r="O76" s="242">
        <v>4.2041368652789908</v>
      </c>
      <c r="P76" s="243">
        <v>-13.793945982321958</v>
      </c>
      <c r="Q76" s="663">
        <v>-9.5898091170429609</v>
      </c>
      <c r="S76" s="662">
        <v>4.4843307019777603</v>
      </c>
      <c r="T76" s="242">
        <v>-7.8920077416318009</v>
      </c>
      <c r="U76" s="242">
        <v>-3.4076770396540397</v>
      </c>
      <c r="V76" s="242">
        <v>0.95353461844399057</v>
      </c>
      <c r="W76" s="243">
        <v>-19.90737138830162</v>
      </c>
      <c r="X76" s="663">
        <v>-18.953836769857631</v>
      </c>
      <c r="Z76" s="935">
        <v>4.450715896832401</v>
      </c>
      <c r="AA76" s="936">
        <v>-15.925033094983831</v>
      </c>
      <c r="AB76" s="936">
        <v>-11.474317198151432</v>
      </c>
      <c r="AC76" s="936">
        <v>1.414215671333972</v>
      </c>
      <c r="AD76" s="936">
        <v>-20.582910866124841</v>
      </c>
      <c r="AE76" s="937">
        <v>-19.168695194790871</v>
      </c>
      <c r="AG76" s="935">
        <v>4.6348349761637069</v>
      </c>
      <c r="AH76" s="936">
        <v>-18.973365403544548</v>
      </c>
      <c r="AI76" s="936">
        <v>-14.338530427380839</v>
      </c>
      <c r="AJ76" s="936">
        <v>3.6928274994760013</v>
      </c>
      <c r="AK76" s="936">
        <v>-27.2656355836532</v>
      </c>
      <c r="AL76" s="937">
        <v>-23.572808084177197</v>
      </c>
      <c r="AN76" s="935">
        <v>4.8796640182310904</v>
      </c>
      <c r="AO76" s="936">
        <v>-6.3253276362520054</v>
      </c>
      <c r="AP76" s="936">
        <v>-1.4456636180209159</v>
      </c>
      <c r="AQ76" s="936">
        <v>2.7581921059677761</v>
      </c>
      <c r="AR76" s="936">
        <v>-14.607179626937985</v>
      </c>
      <c r="AS76" s="937">
        <v>-11.848987520970212</v>
      </c>
      <c r="AU76" s="935">
        <v>4.3452917731532184</v>
      </c>
      <c r="AV76" s="936">
        <v>1.1458838689204072</v>
      </c>
      <c r="AW76" s="936">
        <v>5.4911756420736282</v>
      </c>
      <c r="AX76" s="936">
        <v>0.95411585592829162</v>
      </c>
      <c r="AY76" s="936">
        <v>6.9888597977308891</v>
      </c>
      <c r="AZ76" s="937">
        <v>7.9429756536591825</v>
      </c>
      <c r="BB76" s="668"/>
      <c r="BC76" s="142"/>
      <c r="BD76" s="142"/>
      <c r="BE76" s="142"/>
      <c r="BF76" s="142"/>
      <c r="BG76" s="669"/>
      <c r="CE76" s="9"/>
      <c r="CI76" s="9"/>
    </row>
    <row r="77" spans="2:87">
      <c r="B77" s="190"/>
      <c r="C77" s="60"/>
      <c r="D77" s="647" t="s">
        <v>28</v>
      </c>
      <c r="E77" s="662">
        <v>6.2780273556897441</v>
      </c>
      <c r="F77" s="242">
        <v>3.581850533807831</v>
      </c>
      <c r="G77" s="242">
        <v>9.8598778894975752</v>
      </c>
      <c r="H77" s="242">
        <v>8.5996004643084287</v>
      </c>
      <c r="I77" s="243">
        <v>12.68906630581867</v>
      </c>
      <c r="J77" s="663">
        <v>21.288666770127094</v>
      </c>
      <c r="L77" s="662">
        <v>5.225880116425941</v>
      </c>
      <c r="M77" s="242">
        <v>5.1025759224088674</v>
      </c>
      <c r="N77" s="242">
        <v>10.328456038834808</v>
      </c>
      <c r="O77" s="242">
        <v>6.479039716644877</v>
      </c>
      <c r="P77" s="243">
        <v>12.271330456762072</v>
      </c>
      <c r="Q77" s="663">
        <v>18.750370173406949</v>
      </c>
      <c r="S77" s="662">
        <v>4.5558779454669391</v>
      </c>
      <c r="T77" s="242">
        <v>7.2448031800473842</v>
      </c>
      <c r="U77" s="242">
        <v>11.800681125514323</v>
      </c>
      <c r="V77" s="242">
        <v>4.6839754643084284</v>
      </c>
      <c r="W77" s="243">
        <v>23.949975396727766</v>
      </c>
      <c r="X77" s="663">
        <v>28.63395086103619</v>
      </c>
      <c r="Z77" s="935">
        <v>5.9180273556897447</v>
      </c>
      <c r="AA77" s="936">
        <v>12.98185053380783</v>
      </c>
      <c r="AB77" s="936">
        <v>18.899877889497574</v>
      </c>
      <c r="AC77" s="936">
        <v>8.3596004643084285</v>
      </c>
      <c r="AD77" s="936">
        <v>24.909066305818673</v>
      </c>
      <c r="AE77" s="937">
        <v>33.268666770127098</v>
      </c>
      <c r="AG77" s="935">
        <v>5.5164360562897441</v>
      </c>
      <c r="AH77" s="936">
        <v>17.94800240000783</v>
      </c>
      <c r="AI77" s="936">
        <v>23.464438456297575</v>
      </c>
      <c r="AJ77" s="936">
        <v>9.5677323324084291</v>
      </c>
      <c r="AK77" s="936">
        <v>31.599361664418673</v>
      </c>
      <c r="AL77" s="937">
        <v>41.167093996827099</v>
      </c>
      <c r="AN77" s="935">
        <v>4.9885536714792185</v>
      </c>
      <c r="AO77" s="936">
        <v>15.569686641362249</v>
      </c>
      <c r="AP77" s="936">
        <v>20.558240312841466</v>
      </c>
      <c r="AQ77" s="936">
        <v>9.2437645021633177</v>
      </c>
      <c r="AR77" s="936">
        <v>28.030494877247246</v>
      </c>
      <c r="AS77" s="937">
        <v>37.274259379410559</v>
      </c>
      <c r="AU77" s="935">
        <v>4.8353718638503089</v>
      </c>
      <c r="AV77" s="936">
        <v>12.363678607801301</v>
      </c>
      <c r="AW77" s="936">
        <v>17.19905047165161</v>
      </c>
      <c r="AX77" s="936">
        <v>8.2882995444661169</v>
      </c>
      <c r="AY77" s="936">
        <v>26.060515581180994</v>
      </c>
      <c r="AZ77" s="937">
        <v>34.348815125647107</v>
      </c>
      <c r="BB77" s="668"/>
      <c r="BC77" s="142"/>
      <c r="BD77" s="142"/>
      <c r="BE77" s="142"/>
      <c r="BF77" s="142"/>
      <c r="BG77" s="669"/>
      <c r="CE77" s="9"/>
      <c r="CI77" s="9"/>
    </row>
    <row r="78" spans="2:87">
      <c r="B78" s="190"/>
      <c r="C78" s="60"/>
      <c r="D78" s="647" t="s">
        <v>173</v>
      </c>
      <c r="E78" s="662">
        <v>5.5332278272305473</v>
      </c>
      <c r="F78" s="242">
        <v>6.3161363636363674</v>
      </c>
      <c r="G78" s="242">
        <v>11.849364190866908</v>
      </c>
      <c r="H78" s="242">
        <v>5.4322839352404744</v>
      </c>
      <c r="I78" s="243">
        <v>2.1479361914257211</v>
      </c>
      <c r="J78" s="663">
        <v>7.5802201266661982</v>
      </c>
      <c r="L78" s="662">
        <v>5.5043250840884026</v>
      </c>
      <c r="M78" s="242">
        <v>-4.7970275276870353</v>
      </c>
      <c r="N78" s="242">
        <v>0.7072975564013646</v>
      </c>
      <c r="O78" s="242">
        <v>5.1436407191600724</v>
      </c>
      <c r="P78" s="243">
        <v>-16.495887337986048</v>
      </c>
      <c r="Q78" s="663">
        <v>-11.352246618825973</v>
      </c>
      <c r="S78" s="662">
        <v>4.7787035262359892</v>
      </c>
      <c r="T78" s="242">
        <v>-6.2151369534763674</v>
      </c>
      <c r="U78" s="242">
        <v>-1.4364334272403809</v>
      </c>
      <c r="V78" s="242">
        <v>3.0890125597757905</v>
      </c>
      <c r="W78" s="243">
        <v>-16.817713526088397</v>
      </c>
      <c r="X78" s="663">
        <v>-13.728700966312601</v>
      </c>
      <c r="Z78" s="935">
        <v>5.083227827230548</v>
      </c>
      <c r="AA78" s="936">
        <v>7.6561363636363673</v>
      </c>
      <c r="AB78" s="936">
        <v>12.739364190866908</v>
      </c>
      <c r="AC78" s="936">
        <v>3.7222839352404744</v>
      </c>
      <c r="AD78" s="936">
        <v>6.8979361914257211</v>
      </c>
      <c r="AE78" s="937">
        <v>10.620220126666197</v>
      </c>
      <c r="AG78" s="935">
        <v>5.1813594582305473</v>
      </c>
      <c r="AH78" s="936">
        <v>10.206696989436367</v>
      </c>
      <c r="AI78" s="936">
        <v>15.388056447666912</v>
      </c>
      <c r="AJ78" s="936">
        <v>7.8439866911404748</v>
      </c>
      <c r="AK78" s="936">
        <v>12.322169710125721</v>
      </c>
      <c r="AL78" s="937">
        <v>20.166156401266193</v>
      </c>
      <c r="AN78" s="935">
        <v>4.6316780479269672</v>
      </c>
      <c r="AO78" s="936">
        <v>-2.4972352669425106</v>
      </c>
      <c r="AP78" s="936">
        <v>2.1344427809844504</v>
      </c>
      <c r="AQ78" s="936">
        <v>6.9049644737961664</v>
      </c>
      <c r="AR78" s="936">
        <v>-7.1605142998819105</v>
      </c>
      <c r="AS78" s="937">
        <v>-0.25554982608574051</v>
      </c>
      <c r="AU78" s="935">
        <v>4.2016637282124307</v>
      </c>
      <c r="AV78" s="936">
        <v>-1.9226049918269794</v>
      </c>
      <c r="AW78" s="936">
        <v>2.2790587363854513</v>
      </c>
      <c r="AX78" s="936">
        <v>2.9062707240749095</v>
      </c>
      <c r="AY78" s="936">
        <v>-8.0184031497799992</v>
      </c>
      <c r="AZ78" s="937">
        <v>-5.1121324257050844</v>
      </c>
      <c r="BB78" s="668"/>
      <c r="BC78" s="142"/>
      <c r="BD78" s="142"/>
      <c r="BE78" s="142"/>
      <c r="BF78" s="142"/>
      <c r="BG78" s="669"/>
      <c r="CI78" s="9"/>
    </row>
    <row r="79" spans="2:87" ht="12" thickBot="1">
      <c r="B79" s="113"/>
      <c r="C79" s="60"/>
      <c r="D79" s="667" t="s">
        <v>350</v>
      </c>
      <c r="E79" s="664">
        <f t="shared" ref="E79:J79" si="60">AVERAGE(E65:E78)</f>
        <v>4.2273908138865286</v>
      </c>
      <c r="F79" s="665">
        <f t="shared" si="60"/>
        <v>10.662479187087182</v>
      </c>
      <c r="G79" s="665">
        <f t="shared" si="60"/>
        <v>14.889870000973715</v>
      </c>
      <c r="H79" s="665">
        <f t="shared" si="60"/>
        <v>7.0184666025054625</v>
      </c>
      <c r="I79" s="665">
        <f t="shared" si="60"/>
        <v>13.848927811855974</v>
      </c>
      <c r="J79" s="666">
        <f t="shared" si="60"/>
        <v>20.867394414361438</v>
      </c>
      <c r="L79" s="664">
        <f t="shared" ref="L79:Q79" si="61">AVERAGE(L65:L78)</f>
        <v>4.4992929636330068</v>
      </c>
      <c r="M79" s="665">
        <f t="shared" si="61"/>
        <v>2.8765590749150927</v>
      </c>
      <c r="N79" s="665">
        <f t="shared" si="61"/>
        <v>7.3758520385481035</v>
      </c>
      <c r="O79" s="665">
        <f t="shared" si="61"/>
        <v>7.2784519087909603</v>
      </c>
      <c r="P79" s="665">
        <f t="shared" si="61"/>
        <v>3.8706085981643912</v>
      </c>
      <c r="Q79" s="666">
        <f t="shared" si="61"/>
        <v>11.149060506955351</v>
      </c>
      <c r="S79" s="664">
        <v>4.1611487112138299</v>
      </c>
      <c r="T79" s="665">
        <v>7.7549292177514033</v>
      </c>
      <c r="U79" s="665">
        <v>11.916077928965237</v>
      </c>
      <c r="V79" s="665">
        <v>5.5500676804821349</v>
      </c>
      <c r="W79" s="665">
        <v>9.4929687693570202</v>
      </c>
      <c r="X79" s="666">
        <v>15.043036449839128</v>
      </c>
      <c r="Z79" s="961">
        <v>4.3105545533303804</v>
      </c>
      <c r="AA79" s="962">
        <v>10.206014840961821</v>
      </c>
      <c r="AB79" s="962">
        <v>14.516569394292198</v>
      </c>
      <c r="AC79" s="962">
        <v>6.4556605910016351</v>
      </c>
      <c r="AD79" s="962">
        <v>12.292259164791673</v>
      </c>
      <c r="AE79" s="963">
        <v>18.747919755793284</v>
      </c>
      <c r="AG79" s="964">
        <v>5.0338293682652209</v>
      </c>
      <c r="AH79" s="965">
        <v>12.393662400277989</v>
      </c>
      <c r="AI79" s="965">
        <v>17.42749176854322</v>
      </c>
      <c r="AJ79" s="965">
        <v>8.1963707130510244</v>
      </c>
      <c r="AK79" s="965">
        <v>15.668924380518114</v>
      </c>
      <c r="AL79" s="966">
        <v>23.865295093569138</v>
      </c>
      <c r="AN79" s="966">
        <v>5.5382545524057321</v>
      </c>
      <c r="AO79" s="965">
        <v>9.6352302875158387</v>
      </c>
      <c r="AP79" s="965">
        <v>15.173484839921578</v>
      </c>
      <c r="AQ79" s="965">
        <v>8.3384619775493114</v>
      </c>
      <c r="AR79" s="965">
        <v>7.9832455269153186</v>
      </c>
      <c r="AS79" s="966">
        <v>16.321707504464619</v>
      </c>
      <c r="AU79" s="966">
        <v>5.4129686033192606</v>
      </c>
      <c r="AV79" s="965">
        <v>10.623777063198588</v>
      </c>
      <c r="AW79" s="965">
        <v>16.036745666517852</v>
      </c>
      <c r="AX79" s="965">
        <v>7.491780814331686</v>
      </c>
      <c r="AY79" s="965">
        <v>14.881904518993103</v>
      </c>
      <c r="AZ79" s="966">
        <v>22.373685333324779</v>
      </c>
      <c r="BB79" s="670"/>
      <c r="BC79" s="671"/>
      <c r="BD79" s="671"/>
      <c r="BE79" s="671"/>
      <c r="BF79" s="671"/>
      <c r="BG79" s="672"/>
      <c r="CI79" s="9"/>
    </row>
    <row r="80" spans="2:87">
      <c r="D80" s="11" t="s">
        <v>351</v>
      </c>
      <c r="E80" s="7"/>
      <c r="F80" s="54"/>
      <c r="G80" s="54"/>
      <c r="H80" s="54"/>
      <c r="I80" s="55"/>
      <c r="J80" s="54"/>
      <c r="L80" s="11" t="s">
        <v>352</v>
      </c>
      <c r="S80" s="11" t="s">
        <v>353</v>
      </c>
      <c r="Z80" s="1" t="s">
        <v>354</v>
      </c>
      <c r="AG80" s="1" t="s">
        <v>355</v>
      </c>
      <c r="AN80" s="1" t="s">
        <v>356</v>
      </c>
      <c r="AU80" s="1" t="s">
        <v>1361</v>
      </c>
    </row>
    <row r="81" spans="2:80">
      <c r="C81" s="61"/>
      <c r="D81" s="1"/>
      <c r="E81" s="7"/>
      <c r="F81" s="7"/>
      <c r="G81" s="7"/>
      <c r="H81" s="7"/>
      <c r="I81" s="7"/>
      <c r="J81" s="7"/>
      <c r="T81" s="909"/>
      <c r="W81" s="909"/>
    </row>
    <row r="82" spans="2:80" ht="14.25" customHeight="1">
      <c r="B82" s="1200" t="s">
        <v>357</v>
      </c>
      <c r="C82" s="61"/>
      <c r="D82" s="140" t="s">
        <v>358</v>
      </c>
      <c r="E82" s="7"/>
      <c r="F82" s="7"/>
      <c r="G82" s="7"/>
      <c r="H82" s="7"/>
      <c r="I82" s="7"/>
      <c r="J82" s="7"/>
      <c r="L82" s="133"/>
      <c r="M82" s="7"/>
      <c r="N82" s="7"/>
      <c r="O82" s="7"/>
      <c r="P82" s="7"/>
      <c r="Q82" s="7"/>
      <c r="T82" s="1"/>
      <c r="U82" s="7"/>
      <c r="V82" s="7"/>
      <c r="W82" s="7"/>
      <c r="X82" s="7"/>
      <c r="AA82" s="1"/>
      <c r="AB82" s="7"/>
      <c r="AC82" s="7"/>
      <c r="AD82" s="7"/>
      <c r="AE82" s="7"/>
      <c r="AH82" s="1"/>
      <c r="AI82" s="7"/>
      <c r="AJ82" s="7"/>
      <c r="AK82" s="7"/>
      <c r="AL82" s="7"/>
      <c r="AO82" s="1"/>
      <c r="AP82" s="7"/>
      <c r="AQ82" s="7"/>
      <c r="AR82" s="7"/>
      <c r="AS82" s="7"/>
      <c r="AT82" s="7"/>
      <c r="AV82" s="1"/>
      <c r="AW82" s="7"/>
      <c r="AX82" s="7"/>
      <c r="AY82" s="7"/>
      <c r="AZ82" s="7"/>
      <c r="BA82" s="7"/>
      <c r="BC82" s="1"/>
      <c r="BD82" s="7"/>
      <c r="BE82" s="7"/>
      <c r="BF82" s="7"/>
      <c r="BG82" s="7"/>
    </row>
    <row r="83" spans="2:80" ht="12" thickBot="1">
      <c r="B83" s="1200"/>
      <c r="C83" s="60"/>
      <c r="D83" s="1"/>
      <c r="E83" s="1216" t="s">
        <v>137</v>
      </c>
      <c r="F83" s="1216"/>
      <c r="G83" s="1216"/>
      <c r="H83" s="1216"/>
      <c r="I83" s="1216"/>
      <c r="J83" s="1216"/>
      <c r="L83" s="1216" t="s">
        <v>138</v>
      </c>
      <c r="M83" s="1216"/>
      <c r="N83" s="1216"/>
      <c r="O83" s="1216"/>
      <c r="P83" s="1216"/>
      <c r="Q83" s="1216"/>
      <c r="S83" s="1215" t="s">
        <v>139</v>
      </c>
      <c r="T83" s="1215"/>
      <c r="U83" s="1215"/>
      <c r="V83" s="1215"/>
      <c r="W83" s="1215"/>
      <c r="X83" s="1215"/>
      <c r="Z83" s="1215" t="s">
        <v>140</v>
      </c>
      <c r="AA83" s="1215"/>
      <c r="AB83" s="1215"/>
      <c r="AC83" s="1215"/>
      <c r="AD83" s="1215"/>
      <c r="AE83" s="1215"/>
      <c r="AG83" s="1215" t="s">
        <v>141</v>
      </c>
      <c r="AH83" s="1215"/>
      <c r="AI83" s="1215"/>
      <c r="AJ83" s="1215"/>
      <c r="AK83" s="1215"/>
      <c r="AL83" s="1215"/>
      <c r="AN83" s="1215" t="s">
        <v>126</v>
      </c>
      <c r="AO83" s="1215"/>
      <c r="AP83" s="1215"/>
      <c r="AQ83" s="1215"/>
      <c r="AR83" s="1215"/>
      <c r="AS83" s="1215"/>
      <c r="AU83" s="1215" t="s">
        <v>142</v>
      </c>
      <c r="AV83" s="1215"/>
      <c r="AW83" s="1215"/>
      <c r="AX83" s="1215"/>
      <c r="AY83" s="1215"/>
      <c r="AZ83" s="1215"/>
      <c r="BB83" s="1216" t="s">
        <v>143</v>
      </c>
      <c r="BC83" s="1216"/>
      <c r="BD83" s="1216"/>
      <c r="BE83" s="1216"/>
      <c r="BF83" s="1216"/>
      <c r="BG83" s="1216"/>
    </row>
    <row r="84" spans="2:80" ht="127" thickBot="1">
      <c r="B84" s="1200"/>
      <c r="C84" s="61"/>
      <c r="D84" s="56"/>
      <c r="E84" s="674" t="s">
        <v>359</v>
      </c>
      <c r="F84" s="179" t="s">
        <v>360</v>
      </c>
      <c r="G84" s="179" t="s">
        <v>1404</v>
      </c>
      <c r="H84" s="179" t="s">
        <v>361</v>
      </c>
      <c r="I84" s="179" t="s">
        <v>339</v>
      </c>
      <c r="J84" s="415" t="s">
        <v>63</v>
      </c>
      <c r="K84" s="56"/>
      <c r="L84" s="674" t="s">
        <v>362</v>
      </c>
      <c r="M84" s="179" t="s">
        <v>360</v>
      </c>
      <c r="N84" s="179" t="s">
        <v>1404</v>
      </c>
      <c r="O84" s="179" t="s">
        <v>361</v>
      </c>
      <c r="P84" s="179" t="s">
        <v>339</v>
      </c>
      <c r="Q84" s="415" t="s">
        <v>63</v>
      </c>
      <c r="R84" s="56"/>
      <c r="S84" s="674" t="s">
        <v>362</v>
      </c>
      <c r="T84" s="179" t="s">
        <v>360</v>
      </c>
      <c r="U84" s="179" t="s">
        <v>1404</v>
      </c>
      <c r="V84" s="179" t="s">
        <v>361</v>
      </c>
      <c r="W84" s="179" t="s">
        <v>339</v>
      </c>
      <c r="X84" s="415" t="s">
        <v>63</v>
      </c>
      <c r="Y84" s="56"/>
      <c r="Z84" s="674" t="s">
        <v>362</v>
      </c>
      <c r="AA84" s="179" t="s">
        <v>360</v>
      </c>
      <c r="AB84" s="179" t="s">
        <v>1404</v>
      </c>
      <c r="AC84" s="179" t="s">
        <v>361</v>
      </c>
      <c r="AD84" s="179" t="s">
        <v>339</v>
      </c>
      <c r="AE84" s="415" t="s">
        <v>63</v>
      </c>
      <c r="AF84" s="56"/>
      <c r="AG84" s="674" t="s">
        <v>362</v>
      </c>
      <c r="AH84" s="179" t="s">
        <v>360</v>
      </c>
      <c r="AI84" s="179" t="s">
        <v>1404</v>
      </c>
      <c r="AJ84" s="179" t="s">
        <v>361</v>
      </c>
      <c r="AK84" s="179" t="s">
        <v>339</v>
      </c>
      <c r="AL84" s="415" t="s">
        <v>63</v>
      </c>
      <c r="AM84" s="56"/>
      <c r="AN84" s="674" t="s">
        <v>362</v>
      </c>
      <c r="AO84" s="179" t="s">
        <v>360</v>
      </c>
      <c r="AP84" s="179" t="s">
        <v>1404</v>
      </c>
      <c r="AQ84" s="179" t="s">
        <v>361</v>
      </c>
      <c r="AR84" s="179" t="s">
        <v>339</v>
      </c>
      <c r="AS84" s="415" t="s">
        <v>63</v>
      </c>
      <c r="AT84" s="56"/>
      <c r="AU84" s="674" t="s">
        <v>362</v>
      </c>
      <c r="AV84" s="179" t="s">
        <v>360</v>
      </c>
      <c r="AW84" s="179" t="s">
        <v>1404</v>
      </c>
      <c r="AX84" s="179" t="s">
        <v>361</v>
      </c>
      <c r="AY84" s="179" t="s">
        <v>339</v>
      </c>
      <c r="AZ84" s="415" t="s">
        <v>63</v>
      </c>
      <c r="BA84" s="56"/>
      <c r="BB84" s="674" t="s">
        <v>362</v>
      </c>
      <c r="BC84" s="179" t="s">
        <v>360</v>
      </c>
      <c r="BD84" s="179" t="s">
        <v>363</v>
      </c>
      <c r="BE84" s="179" t="s">
        <v>361</v>
      </c>
      <c r="BF84" s="179" t="s">
        <v>339</v>
      </c>
      <c r="BG84" s="415" t="s">
        <v>63</v>
      </c>
      <c r="CB84" s="1"/>
    </row>
    <row r="85" spans="2:80">
      <c r="B85" s="1200"/>
      <c r="C85" s="61"/>
      <c r="D85" s="646" t="s">
        <v>161</v>
      </c>
      <c r="E85" s="680">
        <v>21541</v>
      </c>
      <c r="F85" s="680">
        <v>338</v>
      </c>
      <c r="G85" s="52">
        <v>114547.24649524156</v>
      </c>
      <c r="H85" s="114">
        <f>F85/E85</f>
        <v>1.5691007845503924E-2</v>
      </c>
      <c r="I85" s="126" t="str">
        <f>IF(H85&lt;=2%,"Green",IF(H85:H85&gt;5%,"Red","Amber"))</f>
        <v>Green</v>
      </c>
      <c r="J85" s="675">
        <f>RANK(H85,$H$85:$H$98,1)</f>
        <v>14</v>
      </c>
      <c r="K85" s="7"/>
      <c r="L85" s="488">
        <v>19435</v>
      </c>
      <c r="M85" s="52">
        <v>179</v>
      </c>
      <c r="N85" s="52">
        <v>49933.881022823334</v>
      </c>
      <c r="O85" s="114">
        <f>M85/L85</f>
        <v>9.210187805505532E-3</v>
      </c>
      <c r="P85" s="126" t="str">
        <f>IF(O85&lt;=2%,"Green",IF(O85:O85&gt;5%,"Red","Amber"))</f>
        <v>Green</v>
      </c>
      <c r="Q85" s="675">
        <f>RANK(O85,O$85:O$98,1)</f>
        <v>14</v>
      </c>
      <c r="R85" s="7"/>
      <c r="S85" s="488">
        <v>19960</v>
      </c>
      <c r="T85" s="488">
        <v>59</v>
      </c>
      <c r="U85" s="488">
        <v>11743.14679820158</v>
      </c>
      <c r="V85" s="845">
        <f>T85/S85</f>
        <v>2.9559118236472948E-3</v>
      </c>
      <c r="W85" s="126" t="str">
        <f>IF(V85&lt;=2%,"Green",IF(V85:V85&gt;5%,"Red","Amber"))</f>
        <v>Green</v>
      </c>
      <c r="X85" s="675">
        <f>RANK(V85,V$85:V$98,1)</f>
        <v>9</v>
      </c>
      <c r="Y85" s="7"/>
      <c r="Z85" s="488">
        <v>20857</v>
      </c>
      <c r="AA85" s="488">
        <v>22</v>
      </c>
      <c r="AB85" s="488">
        <v>7084.0992841712923</v>
      </c>
      <c r="AC85" s="845">
        <f>AA85/Z85</f>
        <v>1.0548017452174331E-3</v>
      </c>
      <c r="AD85" s="126" t="str">
        <f>IF(AC85&lt;=2%,"Green",IF(AC85:AC85&gt;5%,"Red","Amber"))</f>
        <v>Green</v>
      </c>
      <c r="AE85" s="675">
        <f>RANK(AC85,AC$85:AC$98,1)</f>
        <v>7</v>
      </c>
      <c r="AF85" s="7"/>
      <c r="AG85" s="488">
        <v>19630</v>
      </c>
      <c r="AH85" s="488">
        <v>23</v>
      </c>
      <c r="AI85" s="488">
        <v>7215.8132685571954</v>
      </c>
      <c r="AJ85" s="845">
        <f>AH85/AG85</f>
        <v>1.1716760061130922E-3</v>
      </c>
      <c r="AK85" s="126" t="str">
        <f>IF(AJ85&lt;=2%,"Green",IF(AJ85:AJ85&gt;5%,"Red","Amber"))</f>
        <v>Green</v>
      </c>
      <c r="AL85" s="675">
        <f>RANK(AJ85,AJ$85:AJ$98,1)</f>
        <v>8</v>
      </c>
      <c r="AM85" s="7"/>
      <c r="AN85" s="488">
        <v>19633</v>
      </c>
      <c r="AO85" s="488">
        <v>39</v>
      </c>
      <c r="AP85" s="488">
        <v>17532.479849881194</v>
      </c>
      <c r="AQ85" s="845">
        <f t="shared" ref="AQ85:AQ98" si="62">AO85/AN85</f>
        <v>1.9864513828757703E-3</v>
      </c>
      <c r="AR85" s="126" t="str">
        <f t="shared" ref="AR85:AR98" si="63">IF(AQ85&lt;=2%,"Green",IF(AQ85:AQ85&gt;5%,"Red","Amber"))</f>
        <v>Green</v>
      </c>
      <c r="AS85" s="675">
        <f t="shared" ref="AS85:AS98" si="64">RANK(AQ85,AQ$85:AQ$98,1)</f>
        <v>9</v>
      </c>
      <c r="AT85" s="7"/>
      <c r="AU85" s="488">
        <v>23267</v>
      </c>
      <c r="AV85" s="488">
        <v>110</v>
      </c>
      <c r="AW85" s="488">
        <v>19450</v>
      </c>
      <c r="AX85" s="845">
        <f t="shared" ref="AX85:AX98" si="65">AV85/AU85</f>
        <v>4.7277259638114069E-3</v>
      </c>
      <c r="AY85" s="126" t="str">
        <f t="shared" ref="AY85:AY98" si="66">IF(AX85&lt;=2%,"Green",IF(AX85:AX85&gt;5%,"Red","Amber"))</f>
        <v>Green</v>
      </c>
      <c r="AZ85" s="675">
        <f t="shared" ref="AZ85:AZ98" si="67">RANK(AX85,AX$85:AX$98,1)</f>
        <v>9</v>
      </c>
      <c r="BA85" s="7"/>
      <c r="BB85" s="668"/>
      <c r="BC85" s="142"/>
      <c r="BD85" s="142"/>
      <c r="BE85" s="142"/>
      <c r="BF85" s="126"/>
      <c r="BG85" s="675"/>
    </row>
    <row r="86" spans="2:80">
      <c r="B86" s="1200"/>
      <c r="C86" s="61"/>
      <c r="D86" s="647" t="s">
        <v>162</v>
      </c>
      <c r="E86" s="680">
        <v>25025</v>
      </c>
      <c r="F86" s="680">
        <v>32</v>
      </c>
      <c r="G86" s="52">
        <v>4881.4961859131263</v>
      </c>
      <c r="H86" s="114">
        <f t="shared" ref="H86:H98" si="68">F86/E86</f>
        <v>1.2787212787212787E-3</v>
      </c>
      <c r="I86" s="126" t="str">
        <f t="shared" ref="I86:I98" si="69">IF(H86&lt;=2%,"Green",IF(H86:H86&gt;5%,"Red","Amber"))</f>
        <v>Green</v>
      </c>
      <c r="J86" s="675">
        <f t="shared" ref="J86:J98" si="70">RANK(H86,$H$85:$H$98,1)</f>
        <v>9</v>
      </c>
      <c r="K86" s="7"/>
      <c r="L86" s="488">
        <v>21151</v>
      </c>
      <c r="M86" s="52">
        <v>66</v>
      </c>
      <c r="N86" s="52">
        <v>11084.675763796644</v>
      </c>
      <c r="O86" s="114">
        <f t="shared" ref="O86:O98" si="71">M86/L86</f>
        <v>3.1204198383055176E-3</v>
      </c>
      <c r="P86" s="126" t="str">
        <f t="shared" ref="P86:P98" si="72">IF(O86&lt;=2%,"Green",IF(O86:O86&gt;5%,"Red","Amber"))</f>
        <v>Green</v>
      </c>
      <c r="Q86" s="675">
        <f>RANK(O86,O$85:O$98,1)</f>
        <v>10</v>
      </c>
      <c r="R86" s="7"/>
      <c r="S86" s="488">
        <v>22582</v>
      </c>
      <c r="T86" s="488">
        <v>110</v>
      </c>
      <c r="U86" s="488">
        <v>29638.004714304421</v>
      </c>
      <c r="V86" s="845">
        <f t="shared" ref="V86:V98" si="73">T86/S86</f>
        <v>4.8711363032503761E-3</v>
      </c>
      <c r="W86" s="126" t="str">
        <f t="shared" ref="W86:W98" si="74">IF(V86&lt;=2%,"Green",IF(V86:V86&gt;5%,"Red","Amber"))</f>
        <v>Green</v>
      </c>
      <c r="X86" s="675">
        <f>RANK(V86,V$85:V$98,1)</f>
        <v>11</v>
      </c>
      <c r="Y86" s="7"/>
      <c r="Z86" s="488">
        <v>18686</v>
      </c>
      <c r="AA86" s="488">
        <v>84</v>
      </c>
      <c r="AB86" s="488">
        <v>24157.327714007373</v>
      </c>
      <c r="AC86" s="845">
        <f t="shared" ref="AC86:AC98" si="75">AA86/Z86</f>
        <v>4.4953441078882583E-3</v>
      </c>
      <c r="AD86" s="126" t="str">
        <f t="shared" ref="AD86:AD98" si="76">IF(AC86&lt;=2%,"Green",IF(AC86:AC86&gt;5%,"Red","Amber"))</f>
        <v>Green</v>
      </c>
      <c r="AE86" s="675">
        <f>RANK(AC86,AC$85:AC$98,1)</f>
        <v>10</v>
      </c>
      <c r="AF86" s="7"/>
      <c r="AG86" s="488">
        <v>16874</v>
      </c>
      <c r="AH86" s="488">
        <v>222</v>
      </c>
      <c r="AI86" s="488">
        <v>30238.968215192577</v>
      </c>
      <c r="AJ86" s="845">
        <f t="shared" ref="AJ86:AJ94" si="77">AH86/AG86</f>
        <v>1.3156335190233496E-2</v>
      </c>
      <c r="AK86" s="126" t="str">
        <f t="shared" ref="AK86:AK98" si="78">IF(AJ86&lt;=2%,"Green",IF(AJ86:AJ86&gt;5%,"Red","Amber"))</f>
        <v>Green</v>
      </c>
      <c r="AL86" s="675">
        <f t="shared" ref="AL86:AL94" si="79">RANK(AJ86,AJ$85:AJ$98,1)</f>
        <v>14</v>
      </c>
      <c r="AM86" s="7"/>
      <c r="AN86" s="488">
        <v>15559</v>
      </c>
      <c r="AO86" s="488">
        <v>137</v>
      </c>
      <c r="AP86" s="488">
        <v>31415.665251370825</v>
      </c>
      <c r="AQ86" s="845">
        <f t="shared" si="62"/>
        <v>8.8051931358056439E-3</v>
      </c>
      <c r="AR86" s="126" t="str">
        <f t="shared" si="63"/>
        <v>Green</v>
      </c>
      <c r="AS86" s="675">
        <f t="shared" si="64"/>
        <v>13</v>
      </c>
      <c r="AT86" s="7"/>
      <c r="AU86" s="488">
        <v>13831</v>
      </c>
      <c r="AV86" s="488">
        <v>613</v>
      </c>
      <c r="AW86" s="488">
        <v>145025</v>
      </c>
      <c r="AX86" s="845">
        <f t="shared" si="65"/>
        <v>4.4320728797628516E-2</v>
      </c>
      <c r="AY86" s="126" t="str">
        <f>IF(AX86&lt;=2%,"Green",IF(AX86:AX86&gt;5%,"Red","Amber"))</f>
        <v>Amber</v>
      </c>
      <c r="AZ86" s="675">
        <f t="shared" si="67"/>
        <v>14</v>
      </c>
      <c r="BA86" s="7"/>
      <c r="BB86" s="668"/>
      <c r="BC86" s="142"/>
      <c r="BD86" s="142"/>
      <c r="BE86" s="142"/>
      <c r="BF86" s="126"/>
      <c r="BG86" s="675"/>
    </row>
    <row r="87" spans="2:80">
      <c r="B87" s="1200"/>
      <c r="C87" s="61"/>
      <c r="D87" s="647" t="s">
        <v>163</v>
      </c>
      <c r="E87" s="680">
        <v>35257</v>
      </c>
      <c r="F87" s="52">
        <v>29</v>
      </c>
      <c r="G87" s="52">
        <v>10746.487917882459</v>
      </c>
      <c r="H87" s="114">
        <f t="shared" si="68"/>
        <v>8.2253169583345156E-4</v>
      </c>
      <c r="I87" s="126" t="str">
        <f>IF(H87&lt;=2%,"Green",IF(H87:H87&gt;5%,"Red","Amber"))</f>
        <v>Green</v>
      </c>
      <c r="J87" s="675">
        <f t="shared" si="70"/>
        <v>7</v>
      </c>
      <c r="K87" s="7"/>
      <c r="L87" s="488">
        <v>30076</v>
      </c>
      <c r="M87" s="52">
        <v>50</v>
      </c>
      <c r="N87" s="52">
        <v>16174.937356599447</v>
      </c>
      <c r="O87" s="114">
        <f t="shared" si="71"/>
        <v>1.6624551137119298E-3</v>
      </c>
      <c r="P87" s="126" t="str">
        <f t="shared" si="72"/>
        <v>Green</v>
      </c>
      <c r="Q87" s="675">
        <f t="shared" ref="Q87:Q98" si="80">RANK(O87,O$85:O$98,1)</f>
        <v>8</v>
      </c>
      <c r="R87" s="7"/>
      <c r="S87" s="488">
        <v>29262</v>
      </c>
      <c r="T87" s="488">
        <v>176</v>
      </c>
      <c r="U87" s="488">
        <v>39762.578026103278</v>
      </c>
      <c r="V87" s="845">
        <f t="shared" si="73"/>
        <v>6.0146264780261086E-3</v>
      </c>
      <c r="W87" s="126" t="str">
        <f t="shared" si="74"/>
        <v>Green</v>
      </c>
      <c r="X87" s="675">
        <f t="shared" ref="X87:X98" si="81">RANK(V87,V$85:V$98,1)</f>
        <v>12</v>
      </c>
      <c r="Y87" s="7"/>
      <c r="Z87" s="488">
        <v>27120</v>
      </c>
      <c r="AA87" s="488">
        <v>173</v>
      </c>
      <c r="AB87" s="488">
        <v>41450.218137151096</v>
      </c>
      <c r="AC87" s="845">
        <f t="shared" si="75"/>
        <v>6.37905604719764E-3</v>
      </c>
      <c r="AD87" s="126" t="str">
        <f t="shared" si="76"/>
        <v>Green</v>
      </c>
      <c r="AE87" s="675">
        <f t="shared" ref="AE87:AE98" si="82">RANK(AC87,AC$85:AC$98,1)</f>
        <v>12</v>
      </c>
      <c r="AF87" s="7"/>
      <c r="AG87" s="488">
        <v>25661</v>
      </c>
      <c r="AH87" s="488">
        <v>189</v>
      </c>
      <c r="AI87" s="488">
        <v>46040.956916068571</v>
      </c>
      <c r="AJ87" s="845">
        <f t="shared" si="77"/>
        <v>7.3652624605432373E-3</v>
      </c>
      <c r="AK87" s="126" t="str">
        <f t="shared" si="78"/>
        <v>Green</v>
      </c>
      <c r="AL87" s="675">
        <f t="shared" si="79"/>
        <v>13</v>
      </c>
      <c r="AM87" s="7"/>
      <c r="AN87" s="488">
        <v>24923</v>
      </c>
      <c r="AO87" s="488">
        <v>186</v>
      </c>
      <c r="AP87" s="488">
        <v>50344.396890201831</v>
      </c>
      <c r="AQ87" s="845">
        <f t="shared" si="62"/>
        <v>7.4629859968703607E-3</v>
      </c>
      <c r="AR87" s="126" t="str">
        <f t="shared" si="63"/>
        <v>Green</v>
      </c>
      <c r="AS87" s="675">
        <f t="shared" si="64"/>
        <v>11</v>
      </c>
      <c r="AT87" s="7"/>
      <c r="AU87" s="488">
        <v>22883</v>
      </c>
      <c r="AV87" s="488">
        <v>767</v>
      </c>
      <c r="AW87" s="488">
        <v>133345</v>
      </c>
      <c r="AX87" s="845">
        <f t="shared" si="65"/>
        <v>3.3518332386487784E-2</v>
      </c>
      <c r="AY87" s="126" t="str">
        <f>IF(AX87&lt;=2%,"Green",IF(AX87:AX87&gt;5%,"Red","Amber"))</f>
        <v>Amber</v>
      </c>
      <c r="AZ87" s="675">
        <f t="shared" si="67"/>
        <v>13</v>
      </c>
      <c r="BA87" s="7"/>
      <c r="BB87" s="668"/>
      <c r="BC87" s="142"/>
      <c r="BD87" s="142"/>
      <c r="BE87" s="142"/>
      <c r="BF87" s="126"/>
      <c r="BG87" s="675"/>
    </row>
    <row r="88" spans="2:80">
      <c r="B88" s="1200"/>
      <c r="C88" s="61"/>
      <c r="D88" s="647" t="s">
        <v>164</v>
      </c>
      <c r="E88" s="680">
        <v>36475</v>
      </c>
      <c r="F88" s="52">
        <v>0</v>
      </c>
      <c r="G88" s="52">
        <v>0</v>
      </c>
      <c r="H88" s="114">
        <f t="shared" si="68"/>
        <v>0</v>
      </c>
      <c r="I88" s="126" t="str">
        <f t="shared" si="69"/>
        <v>Green</v>
      </c>
      <c r="J88" s="675">
        <f t="shared" si="70"/>
        <v>1</v>
      </c>
      <c r="K88" s="7"/>
      <c r="L88" s="488">
        <v>33786</v>
      </c>
      <c r="M88" s="52">
        <v>0</v>
      </c>
      <c r="N88" s="52">
        <v>0</v>
      </c>
      <c r="O88" s="114">
        <f t="shared" si="71"/>
        <v>0</v>
      </c>
      <c r="P88" s="126" t="str">
        <f t="shared" si="72"/>
        <v>Green</v>
      </c>
      <c r="Q88" s="675">
        <f t="shared" si="80"/>
        <v>1</v>
      </c>
      <c r="R88" s="7"/>
      <c r="S88" s="488">
        <v>37789</v>
      </c>
      <c r="T88" s="488">
        <v>0</v>
      </c>
      <c r="U88" s="488">
        <v>0</v>
      </c>
      <c r="V88" s="845">
        <f t="shared" si="73"/>
        <v>0</v>
      </c>
      <c r="W88" s="126" t="str">
        <f t="shared" si="74"/>
        <v>Green</v>
      </c>
      <c r="X88" s="675">
        <f t="shared" si="81"/>
        <v>1</v>
      </c>
      <c r="Y88" s="7"/>
      <c r="Z88" s="488">
        <v>36158</v>
      </c>
      <c r="AA88" s="488">
        <v>1</v>
      </c>
      <c r="AB88" s="488">
        <v>142.78029564996402</v>
      </c>
      <c r="AC88" s="845">
        <f t="shared" si="75"/>
        <v>2.765639692460866E-5</v>
      </c>
      <c r="AD88" s="126" t="str">
        <f t="shared" si="76"/>
        <v>Green</v>
      </c>
      <c r="AE88" s="675">
        <f t="shared" si="82"/>
        <v>3</v>
      </c>
      <c r="AF88" s="7"/>
      <c r="AG88" s="488">
        <v>35222</v>
      </c>
      <c r="AH88" s="488">
        <v>0</v>
      </c>
      <c r="AI88" s="488">
        <v>0</v>
      </c>
      <c r="AJ88" s="845">
        <f t="shared" si="77"/>
        <v>0</v>
      </c>
      <c r="AK88" s="126" t="str">
        <f t="shared" si="78"/>
        <v>Green</v>
      </c>
      <c r="AL88" s="675">
        <f t="shared" si="79"/>
        <v>1</v>
      </c>
      <c r="AM88" s="7"/>
      <c r="AN88" s="488">
        <v>36632</v>
      </c>
      <c r="AO88" s="488">
        <v>1</v>
      </c>
      <c r="AP88" s="488">
        <v>253.86396162723901</v>
      </c>
      <c r="AQ88" s="845">
        <f t="shared" si="62"/>
        <v>2.7298536798427603E-5</v>
      </c>
      <c r="AR88" s="126" t="str">
        <f t="shared" si="63"/>
        <v>Green</v>
      </c>
      <c r="AS88" s="675">
        <f t="shared" si="64"/>
        <v>2</v>
      </c>
      <c r="AT88" s="7"/>
      <c r="AU88" s="488">
        <v>39994</v>
      </c>
      <c r="AV88" s="488">
        <v>6</v>
      </c>
      <c r="AW88" s="488">
        <v>1040</v>
      </c>
      <c r="AX88" s="845">
        <f t="shared" si="65"/>
        <v>1.5002250337550632E-4</v>
      </c>
      <c r="AY88" s="126" t="str">
        <f t="shared" si="66"/>
        <v>Green</v>
      </c>
      <c r="AZ88" s="675">
        <f t="shared" si="67"/>
        <v>3</v>
      </c>
      <c r="BA88" s="7"/>
      <c r="BB88" s="668"/>
      <c r="BC88" s="142"/>
      <c r="BD88" s="142"/>
      <c r="BE88" s="142"/>
      <c r="BF88" s="126"/>
      <c r="BG88" s="675"/>
    </row>
    <row r="89" spans="2:80">
      <c r="B89" s="1200"/>
      <c r="C89" s="61"/>
      <c r="D89" s="647" t="s">
        <v>165</v>
      </c>
      <c r="E89" s="680">
        <v>36477</v>
      </c>
      <c r="F89" s="52">
        <v>3</v>
      </c>
      <c r="G89" s="52">
        <v>311.84005118855356</v>
      </c>
      <c r="H89" s="114">
        <f t="shared" si="68"/>
        <v>8.2243605559667737E-5</v>
      </c>
      <c r="I89" s="126" t="str">
        <f t="shared" si="69"/>
        <v>Green</v>
      </c>
      <c r="J89" s="675">
        <f t="shared" si="70"/>
        <v>4</v>
      </c>
      <c r="K89" s="7"/>
      <c r="L89" s="488">
        <v>35861</v>
      </c>
      <c r="M89" s="52">
        <v>0</v>
      </c>
      <c r="N89" s="52">
        <v>0</v>
      </c>
      <c r="O89" s="114">
        <f t="shared" si="71"/>
        <v>0</v>
      </c>
      <c r="P89" s="126" t="str">
        <f t="shared" si="72"/>
        <v>Green</v>
      </c>
      <c r="Q89" s="675">
        <f t="shared" si="80"/>
        <v>1</v>
      </c>
      <c r="R89" s="7"/>
      <c r="S89" s="488">
        <v>37198</v>
      </c>
      <c r="T89" s="488">
        <v>0</v>
      </c>
      <c r="U89" s="488">
        <v>0</v>
      </c>
      <c r="V89" s="845">
        <f t="shared" si="73"/>
        <v>0</v>
      </c>
      <c r="W89" s="126" t="str">
        <f t="shared" si="74"/>
        <v>Green</v>
      </c>
      <c r="X89" s="675">
        <f t="shared" si="81"/>
        <v>1</v>
      </c>
      <c r="Y89" s="7"/>
      <c r="Z89" s="488">
        <v>38018</v>
      </c>
      <c r="AA89" s="488">
        <v>0</v>
      </c>
      <c r="AB89" s="488">
        <v>0</v>
      </c>
      <c r="AC89" s="845">
        <f t="shared" si="75"/>
        <v>0</v>
      </c>
      <c r="AD89" s="126" t="str">
        <f t="shared" si="76"/>
        <v>Green</v>
      </c>
      <c r="AE89" s="675">
        <f t="shared" si="82"/>
        <v>1</v>
      </c>
      <c r="AF89" s="7"/>
      <c r="AG89" s="488">
        <v>37309</v>
      </c>
      <c r="AH89" s="488">
        <v>1</v>
      </c>
      <c r="AI89" s="488">
        <v>214.11908808775058</v>
      </c>
      <c r="AJ89" s="845">
        <f t="shared" si="77"/>
        <v>2.6803184218285131E-5</v>
      </c>
      <c r="AK89" s="126" t="str">
        <f t="shared" si="78"/>
        <v>Green</v>
      </c>
      <c r="AL89" s="675">
        <f t="shared" si="79"/>
        <v>3</v>
      </c>
      <c r="AM89" s="7"/>
      <c r="AN89" s="488">
        <v>37222</v>
      </c>
      <c r="AO89" s="488">
        <v>1</v>
      </c>
      <c r="AP89" s="488">
        <v>0</v>
      </c>
      <c r="AQ89" s="845">
        <f t="shared" si="62"/>
        <v>2.686583203481812E-5</v>
      </c>
      <c r="AR89" s="126" t="str">
        <f t="shared" si="63"/>
        <v>Green</v>
      </c>
      <c r="AS89" s="675">
        <f t="shared" si="64"/>
        <v>1</v>
      </c>
      <c r="AT89" s="7"/>
      <c r="AU89" s="488">
        <v>41395</v>
      </c>
      <c r="AV89" s="488">
        <v>1</v>
      </c>
      <c r="AW89" s="488">
        <v>120</v>
      </c>
      <c r="AX89" s="845">
        <f t="shared" si="65"/>
        <v>2.4157506945283247E-5</v>
      </c>
      <c r="AY89" s="126" t="str">
        <f t="shared" si="66"/>
        <v>Green</v>
      </c>
      <c r="AZ89" s="675">
        <f t="shared" si="67"/>
        <v>2</v>
      </c>
      <c r="BA89" s="7"/>
      <c r="BB89" s="668"/>
      <c r="BC89" s="142"/>
      <c r="BD89" s="142"/>
      <c r="BE89" s="142"/>
      <c r="BF89" s="126"/>
      <c r="BG89" s="675"/>
    </row>
    <row r="90" spans="2:80">
      <c r="B90" s="1200"/>
      <c r="C90" s="61"/>
      <c r="D90" s="647" t="s">
        <v>166</v>
      </c>
      <c r="E90" s="680">
        <v>17189</v>
      </c>
      <c r="F90" s="52">
        <v>0</v>
      </c>
      <c r="G90" s="52">
        <v>0</v>
      </c>
      <c r="H90" s="114">
        <f t="shared" si="68"/>
        <v>0</v>
      </c>
      <c r="I90" s="126" t="str">
        <f t="shared" si="69"/>
        <v>Green</v>
      </c>
      <c r="J90" s="675">
        <f t="shared" si="70"/>
        <v>1</v>
      </c>
      <c r="K90" s="7"/>
      <c r="L90" s="488">
        <v>17373</v>
      </c>
      <c r="M90" s="52">
        <v>0</v>
      </c>
      <c r="N90" s="52">
        <v>0</v>
      </c>
      <c r="O90" s="114">
        <f t="shared" si="71"/>
        <v>0</v>
      </c>
      <c r="P90" s="126" t="str">
        <f t="shared" si="72"/>
        <v>Green</v>
      </c>
      <c r="Q90" s="675">
        <f t="shared" si="80"/>
        <v>1</v>
      </c>
      <c r="R90" s="7"/>
      <c r="S90" s="488">
        <v>16412</v>
      </c>
      <c r="T90" s="488">
        <v>0</v>
      </c>
      <c r="U90" s="488">
        <v>0</v>
      </c>
      <c r="V90" s="845">
        <f t="shared" si="73"/>
        <v>0</v>
      </c>
      <c r="W90" s="126" t="str">
        <f t="shared" si="74"/>
        <v>Green</v>
      </c>
      <c r="X90" s="675">
        <f t="shared" si="81"/>
        <v>1</v>
      </c>
      <c r="Y90" s="7"/>
      <c r="Z90" s="488">
        <v>15416</v>
      </c>
      <c r="AA90" s="488">
        <v>0</v>
      </c>
      <c r="AB90" s="488">
        <v>0</v>
      </c>
      <c r="AC90" s="845">
        <f t="shared" si="75"/>
        <v>0</v>
      </c>
      <c r="AD90" s="126" t="str">
        <f t="shared" si="76"/>
        <v>Green</v>
      </c>
      <c r="AE90" s="675">
        <f t="shared" si="82"/>
        <v>1</v>
      </c>
      <c r="AF90" s="7"/>
      <c r="AG90" s="488">
        <v>15766</v>
      </c>
      <c r="AH90" s="488">
        <v>0</v>
      </c>
      <c r="AI90" s="488">
        <v>0</v>
      </c>
      <c r="AJ90" s="845">
        <f t="shared" si="77"/>
        <v>0</v>
      </c>
      <c r="AK90" s="126" t="str">
        <f t="shared" si="78"/>
        <v>Green</v>
      </c>
      <c r="AL90" s="675">
        <f t="shared" si="79"/>
        <v>1</v>
      </c>
      <c r="AM90" s="7"/>
      <c r="AN90" s="488">
        <v>16693</v>
      </c>
      <c r="AO90" s="488">
        <v>1</v>
      </c>
      <c r="AP90" s="488">
        <v>15.866497601702438</v>
      </c>
      <c r="AQ90" s="845">
        <f t="shared" si="62"/>
        <v>5.9905349547714609E-5</v>
      </c>
      <c r="AR90" s="126" t="str">
        <f t="shared" si="63"/>
        <v>Green</v>
      </c>
      <c r="AS90" s="675">
        <f t="shared" si="64"/>
        <v>3</v>
      </c>
      <c r="AT90" s="7"/>
      <c r="AU90" s="488">
        <v>17926</v>
      </c>
      <c r="AV90" s="488">
        <v>0</v>
      </c>
      <c r="AW90" s="488">
        <v>0</v>
      </c>
      <c r="AX90" s="845">
        <f t="shared" si="65"/>
        <v>0</v>
      </c>
      <c r="AY90" s="126" t="str">
        <f t="shared" si="66"/>
        <v>Green</v>
      </c>
      <c r="AZ90" s="675">
        <f t="shared" si="67"/>
        <v>1</v>
      </c>
      <c r="BA90" s="7"/>
      <c r="BB90" s="668"/>
      <c r="BC90" s="142"/>
      <c r="BD90" s="142"/>
      <c r="BE90" s="142"/>
      <c r="BF90" s="126"/>
      <c r="BG90" s="675"/>
    </row>
    <row r="91" spans="2:80">
      <c r="B91" s="1200"/>
      <c r="C91" s="61"/>
      <c r="D91" s="647" t="s">
        <v>167</v>
      </c>
      <c r="E91" s="680">
        <v>34727</v>
      </c>
      <c r="F91" s="52">
        <v>1</v>
      </c>
      <c r="G91" s="52">
        <v>77.96001279713839</v>
      </c>
      <c r="H91" s="114">
        <f t="shared" si="68"/>
        <v>2.8796037665217265E-5</v>
      </c>
      <c r="I91" s="126" t="str">
        <f t="shared" si="69"/>
        <v>Green</v>
      </c>
      <c r="J91" s="675">
        <f t="shared" si="70"/>
        <v>3</v>
      </c>
      <c r="K91" s="7"/>
      <c r="L91" s="488">
        <v>35009</v>
      </c>
      <c r="M91" s="52">
        <v>0</v>
      </c>
      <c r="N91" s="52">
        <v>0</v>
      </c>
      <c r="O91" s="114">
        <f t="shared" si="71"/>
        <v>0</v>
      </c>
      <c r="P91" s="126" t="str">
        <f t="shared" si="72"/>
        <v>Green</v>
      </c>
      <c r="Q91" s="675">
        <f t="shared" si="80"/>
        <v>1</v>
      </c>
      <c r="R91" s="7"/>
      <c r="S91" s="488">
        <v>36429</v>
      </c>
      <c r="T91" s="488">
        <v>0</v>
      </c>
      <c r="U91" s="488">
        <v>0</v>
      </c>
      <c r="V91" s="845">
        <f t="shared" si="73"/>
        <v>0</v>
      </c>
      <c r="W91" s="126" t="str">
        <f t="shared" si="74"/>
        <v>Green</v>
      </c>
      <c r="X91" s="675">
        <f t="shared" si="81"/>
        <v>1</v>
      </c>
      <c r="Y91" s="7"/>
      <c r="Z91" s="488">
        <v>35922</v>
      </c>
      <c r="AA91" s="488">
        <v>1</v>
      </c>
      <c r="AB91" s="488">
        <v>32.949298996145544</v>
      </c>
      <c r="AC91" s="845">
        <f t="shared" si="75"/>
        <v>2.7838093647347028E-5</v>
      </c>
      <c r="AD91" s="126" t="str">
        <f t="shared" si="76"/>
        <v>Green</v>
      </c>
      <c r="AE91" s="675">
        <f t="shared" si="82"/>
        <v>4</v>
      </c>
      <c r="AF91" s="7"/>
      <c r="AG91" s="488">
        <v>35406</v>
      </c>
      <c r="AH91" s="488">
        <v>7</v>
      </c>
      <c r="AI91" s="488">
        <v>3645.3774746939539</v>
      </c>
      <c r="AJ91" s="845">
        <f t="shared" si="77"/>
        <v>1.9770660340055358E-4</v>
      </c>
      <c r="AK91" s="126" t="str">
        <f t="shared" si="78"/>
        <v>Green</v>
      </c>
      <c r="AL91" s="675">
        <f t="shared" si="79"/>
        <v>4</v>
      </c>
      <c r="AM91" s="7"/>
      <c r="AN91" s="488">
        <v>36469</v>
      </c>
      <c r="AO91" s="488">
        <v>5</v>
      </c>
      <c r="AP91" s="488">
        <v>296.17462189844548</v>
      </c>
      <c r="AQ91" s="845">
        <f t="shared" si="62"/>
        <v>1.3710274479695084E-4</v>
      </c>
      <c r="AR91" s="126" t="str">
        <f t="shared" si="63"/>
        <v>Green</v>
      </c>
      <c r="AS91" s="675">
        <f t="shared" si="64"/>
        <v>4</v>
      </c>
      <c r="AT91" s="7"/>
      <c r="AU91" s="488">
        <v>41978</v>
      </c>
      <c r="AV91" s="488">
        <v>10</v>
      </c>
      <c r="AW91" s="488">
        <v>7015</v>
      </c>
      <c r="AX91" s="845">
        <f t="shared" si="65"/>
        <v>2.3822002001048167E-4</v>
      </c>
      <c r="AY91" s="126" t="str">
        <f t="shared" si="66"/>
        <v>Green</v>
      </c>
      <c r="AZ91" s="675">
        <f t="shared" si="67"/>
        <v>4</v>
      </c>
      <c r="BA91" s="7"/>
      <c r="BB91" s="668"/>
      <c r="BC91" s="142"/>
      <c r="BD91" s="142"/>
      <c r="BE91" s="142"/>
      <c r="BF91" s="126"/>
      <c r="BG91" s="675"/>
    </row>
    <row r="92" spans="2:80">
      <c r="B92" s="1200"/>
      <c r="C92" s="61"/>
      <c r="D92" s="647" t="s">
        <v>168</v>
      </c>
      <c r="E92" s="680">
        <v>23103</v>
      </c>
      <c r="F92" s="52">
        <v>59</v>
      </c>
      <c r="G92" s="52">
        <v>23927.727004660166</v>
      </c>
      <c r="H92" s="114">
        <f t="shared" si="68"/>
        <v>2.5537808942561573E-3</v>
      </c>
      <c r="I92" s="126" t="str">
        <f t="shared" si="69"/>
        <v>Green</v>
      </c>
      <c r="J92" s="675">
        <f t="shared" si="70"/>
        <v>11</v>
      </c>
      <c r="K92" s="7"/>
      <c r="L92" s="488">
        <v>24042</v>
      </c>
      <c r="M92" s="52">
        <v>33</v>
      </c>
      <c r="N92" s="52">
        <v>3411.121090448014</v>
      </c>
      <c r="O92" s="114">
        <f t="shared" si="71"/>
        <v>1.3725979535812328E-3</v>
      </c>
      <c r="P92" s="126" t="str">
        <f t="shared" si="72"/>
        <v>Green</v>
      </c>
      <c r="Q92" s="675">
        <f t="shared" si="80"/>
        <v>7</v>
      </c>
      <c r="R92" s="7"/>
      <c r="S92" s="488">
        <v>22392</v>
      </c>
      <c r="T92" s="488">
        <v>20</v>
      </c>
      <c r="U92" s="488">
        <v>6644.0743812475439</v>
      </c>
      <c r="V92" s="845">
        <f t="shared" si="73"/>
        <v>8.9317613433369063E-4</v>
      </c>
      <c r="W92" s="126" t="str">
        <f t="shared" si="74"/>
        <v>Green</v>
      </c>
      <c r="X92" s="675">
        <f t="shared" si="81"/>
        <v>6</v>
      </c>
      <c r="Y92" s="7"/>
      <c r="Z92" s="488">
        <v>21455</v>
      </c>
      <c r="AA92" s="488">
        <v>4</v>
      </c>
      <c r="AB92" s="488">
        <v>450.30708628065577</v>
      </c>
      <c r="AC92" s="845">
        <f t="shared" si="75"/>
        <v>1.8643672803542297E-4</v>
      </c>
      <c r="AD92" s="126" t="str">
        <f t="shared" si="76"/>
        <v>Green</v>
      </c>
      <c r="AE92" s="675">
        <f t="shared" si="82"/>
        <v>5</v>
      </c>
      <c r="AF92" s="7"/>
      <c r="AG92" s="488">
        <v>20903</v>
      </c>
      <c r="AH92" s="488">
        <v>19</v>
      </c>
      <c r="AI92" s="488">
        <v>8950.1778820679756</v>
      </c>
      <c r="AJ92" s="845">
        <f t="shared" si="77"/>
        <v>9.0896043630100942E-4</v>
      </c>
      <c r="AK92" s="126" t="str">
        <f t="shared" si="78"/>
        <v>Green</v>
      </c>
      <c r="AL92" s="675">
        <f t="shared" si="79"/>
        <v>6</v>
      </c>
      <c r="AM92" s="7"/>
      <c r="AN92" s="488">
        <v>19344</v>
      </c>
      <c r="AO92" s="488">
        <v>11</v>
      </c>
      <c r="AP92" s="488">
        <v>2982.901549120058</v>
      </c>
      <c r="AQ92" s="845">
        <f t="shared" si="62"/>
        <v>5.6865177832919774E-4</v>
      </c>
      <c r="AR92" s="126" t="str">
        <f t="shared" si="63"/>
        <v>Green</v>
      </c>
      <c r="AS92" s="675">
        <f t="shared" si="64"/>
        <v>6</v>
      </c>
      <c r="AT92" s="7"/>
      <c r="AU92" s="488">
        <v>21287</v>
      </c>
      <c r="AV92" s="488">
        <v>6</v>
      </c>
      <c r="AW92" s="488">
        <v>3050</v>
      </c>
      <c r="AX92" s="845">
        <f t="shared" si="65"/>
        <v>2.8186216939916382E-4</v>
      </c>
      <c r="AY92" s="126" t="str">
        <f t="shared" si="66"/>
        <v>Green</v>
      </c>
      <c r="AZ92" s="675">
        <f t="shared" si="67"/>
        <v>5</v>
      </c>
      <c r="BA92" s="7"/>
      <c r="BB92" s="668"/>
      <c r="BC92" s="142"/>
      <c r="BD92" s="142"/>
      <c r="BE92" s="142"/>
      <c r="BF92" s="126"/>
      <c r="BG92" s="675"/>
    </row>
    <row r="93" spans="2:80">
      <c r="B93" s="1200"/>
      <c r="C93" s="61"/>
      <c r="D93" s="647" t="s">
        <v>169</v>
      </c>
      <c r="E93" s="680">
        <v>28093</v>
      </c>
      <c r="F93" s="52">
        <v>106</v>
      </c>
      <c r="G93" s="52">
        <v>52898.867144889053</v>
      </c>
      <c r="H93" s="114">
        <f t="shared" si="68"/>
        <v>3.773181931441996E-3</v>
      </c>
      <c r="I93" s="126" t="str">
        <f t="shared" si="69"/>
        <v>Green</v>
      </c>
      <c r="J93" s="675">
        <f t="shared" si="70"/>
        <v>12</v>
      </c>
      <c r="K93" s="7"/>
      <c r="L93" s="488">
        <v>28894</v>
      </c>
      <c r="M93" s="52">
        <v>148</v>
      </c>
      <c r="N93" s="52">
        <v>37921.568198285233</v>
      </c>
      <c r="O93" s="114">
        <f t="shared" si="71"/>
        <v>5.122170692877414E-3</v>
      </c>
      <c r="P93" s="126" t="str">
        <f t="shared" si="72"/>
        <v>Green</v>
      </c>
      <c r="Q93" s="675">
        <f t="shared" si="80"/>
        <v>13</v>
      </c>
      <c r="R93" s="7"/>
      <c r="S93" s="488">
        <v>29614</v>
      </c>
      <c r="T93" s="488">
        <v>65</v>
      </c>
      <c r="U93" s="488">
        <v>20718.872495525775</v>
      </c>
      <c r="V93" s="845">
        <f t="shared" si="73"/>
        <v>2.1949078138718174E-3</v>
      </c>
      <c r="W93" s="126" t="str">
        <f t="shared" si="74"/>
        <v>Green</v>
      </c>
      <c r="X93" s="675">
        <f t="shared" si="81"/>
        <v>7</v>
      </c>
      <c r="Y93" s="7"/>
      <c r="Z93" s="488">
        <v>28627</v>
      </c>
      <c r="AA93" s="488">
        <v>42</v>
      </c>
      <c r="AB93" s="488">
        <v>15085.287390401969</v>
      </c>
      <c r="AC93" s="845">
        <f t="shared" si="75"/>
        <v>1.4671464002515109E-3</v>
      </c>
      <c r="AD93" s="126" t="str">
        <f t="shared" si="76"/>
        <v>Green</v>
      </c>
      <c r="AE93" s="675">
        <f t="shared" si="82"/>
        <v>9</v>
      </c>
      <c r="AF93" s="7"/>
      <c r="AG93" s="488">
        <v>27565</v>
      </c>
      <c r="AH93" s="488">
        <v>45</v>
      </c>
      <c r="AI93" s="488">
        <v>7130.1656333220953</v>
      </c>
      <c r="AJ93" s="845">
        <f t="shared" si="77"/>
        <v>1.6325049882096863E-3</v>
      </c>
      <c r="AK93" s="126" t="str">
        <f t="shared" si="78"/>
        <v>Green</v>
      </c>
      <c r="AL93" s="675">
        <f t="shared" si="79"/>
        <v>9</v>
      </c>
      <c r="AM93" s="7"/>
      <c r="AN93" s="488">
        <v>26971</v>
      </c>
      <c r="AO93" s="488">
        <v>18</v>
      </c>
      <c r="AP93" s="488">
        <v>3273.787338484603</v>
      </c>
      <c r="AQ93" s="845">
        <f t="shared" si="62"/>
        <v>6.6738348596640841E-4</v>
      </c>
      <c r="AR93" s="126" t="str">
        <f t="shared" si="63"/>
        <v>Green</v>
      </c>
      <c r="AS93" s="675">
        <f t="shared" si="64"/>
        <v>7</v>
      </c>
      <c r="AT93" s="7"/>
      <c r="AU93" s="488">
        <v>28487</v>
      </c>
      <c r="AV93" s="488">
        <v>25</v>
      </c>
      <c r="AW93" s="488">
        <v>3650</v>
      </c>
      <c r="AX93" s="845">
        <f t="shared" si="65"/>
        <v>8.7759328816653206E-4</v>
      </c>
      <c r="AY93" s="126" t="str">
        <f t="shared" si="66"/>
        <v>Green</v>
      </c>
      <c r="AZ93" s="675">
        <f t="shared" si="67"/>
        <v>7</v>
      </c>
      <c r="BA93" s="7"/>
      <c r="BB93" s="668"/>
      <c r="BC93" s="142"/>
      <c r="BD93" s="142"/>
      <c r="BE93" s="142"/>
      <c r="BF93" s="126"/>
      <c r="BG93" s="675"/>
    </row>
    <row r="94" spans="2:80">
      <c r="B94" s="1200"/>
      <c r="C94" s="61"/>
      <c r="D94" s="647" t="s">
        <v>170</v>
      </c>
      <c r="E94" s="680">
        <v>48149</v>
      </c>
      <c r="F94" s="52">
        <v>183</v>
      </c>
      <c r="G94" s="52">
        <v>56095.227669571723</v>
      </c>
      <c r="H94" s="114">
        <f t="shared" si="68"/>
        <v>3.8007019875802199E-3</v>
      </c>
      <c r="I94" s="126" t="str">
        <f t="shared" si="69"/>
        <v>Green</v>
      </c>
      <c r="J94" s="675">
        <f t="shared" si="70"/>
        <v>13</v>
      </c>
      <c r="K94" s="7"/>
      <c r="L94" s="488">
        <v>51074</v>
      </c>
      <c r="M94" s="52">
        <v>241</v>
      </c>
      <c r="N94" s="52">
        <v>56726.767600531341</v>
      </c>
      <c r="O94" s="114">
        <f t="shared" si="71"/>
        <v>4.7186435368289153E-3</v>
      </c>
      <c r="P94" s="126" t="str">
        <f t="shared" si="72"/>
        <v>Green</v>
      </c>
      <c r="Q94" s="675">
        <f t="shared" si="80"/>
        <v>12</v>
      </c>
      <c r="R94" s="7"/>
      <c r="S94" s="488">
        <v>51254</v>
      </c>
      <c r="T94" s="488">
        <v>113</v>
      </c>
      <c r="U94" s="488">
        <v>18777.716181413416</v>
      </c>
      <c r="V94" s="845">
        <f t="shared" si="73"/>
        <v>2.20470597416787E-3</v>
      </c>
      <c r="W94" s="126" t="str">
        <f t="shared" si="74"/>
        <v>Green</v>
      </c>
      <c r="X94" s="675">
        <f t="shared" si="81"/>
        <v>8</v>
      </c>
      <c r="Y94" s="7"/>
      <c r="Z94" s="488">
        <v>52745</v>
      </c>
      <c r="AA94" s="488">
        <v>70</v>
      </c>
      <c r="AB94" s="488">
        <v>9643.1615062052624</v>
      </c>
      <c r="AC94" s="845">
        <f t="shared" si="75"/>
        <v>1.3271400132714001E-3</v>
      </c>
      <c r="AD94" s="126" t="str">
        <f t="shared" si="76"/>
        <v>Green</v>
      </c>
      <c r="AE94" s="675">
        <f t="shared" si="82"/>
        <v>8</v>
      </c>
      <c r="AF94" s="7"/>
      <c r="AG94" s="488">
        <v>48337</v>
      </c>
      <c r="AH94" s="488">
        <v>55</v>
      </c>
      <c r="AI94" s="488">
        <v>13708.974614818231</v>
      </c>
      <c r="AJ94" s="845">
        <f t="shared" si="77"/>
        <v>1.1378447152285E-3</v>
      </c>
      <c r="AK94" s="126" t="str">
        <f t="shared" si="78"/>
        <v>Green</v>
      </c>
      <c r="AL94" s="675">
        <f t="shared" si="79"/>
        <v>7</v>
      </c>
      <c r="AM94" s="7"/>
      <c r="AN94" s="488">
        <v>47039</v>
      </c>
      <c r="AO94" s="488">
        <v>19</v>
      </c>
      <c r="AP94" s="488">
        <v>2744.9040850945216</v>
      </c>
      <c r="AQ94" s="845">
        <f t="shared" si="62"/>
        <v>4.0392015136376196E-4</v>
      </c>
      <c r="AR94" s="126" t="str">
        <f t="shared" si="63"/>
        <v>Green</v>
      </c>
      <c r="AS94" s="675">
        <f t="shared" si="64"/>
        <v>5</v>
      </c>
      <c r="AT94" s="7"/>
      <c r="AU94" s="488">
        <v>49445</v>
      </c>
      <c r="AV94" s="488">
        <v>15</v>
      </c>
      <c r="AW94" s="488">
        <v>1705</v>
      </c>
      <c r="AX94" s="845">
        <f t="shared" si="65"/>
        <v>3.0336737789463038E-4</v>
      </c>
      <c r="AY94" s="126" t="str">
        <f t="shared" si="66"/>
        <v>Green</v>
      </c>
      <c r="AZ94" s="675">
        <f t="shared" si="67"/>
        <v>6</v>
      </c>
      <c r="BA94" s="7"/>
      <c r="BB94" s="668"/>
      <c r="BC94" s="142"/>
      <c r="BD94" s="142"/>
      <c r="BE94" s="142"/>
      <c r="BF94" s="126"/>
      <c r="BG94" s="675"/>
    </row>
    <row r="95" spans="2:80">
      <c r="B95" s="1200"/>
      <c r="C95" s="61"/>
      <c r="D95" s="647" t="s">
        <v>171</v>
      </c>
      <c r="E95" s="680">
        <v>14518</v>
      </c>
      <c r="F95" s="52">
        <v>23</v>
      </c>
      <c r="G95" s="52">
        <v>3034.4435750270786</v>
      </c>
      <c r="H95" s="114">
        <f t="shared" si="68"/>
        <v>1.5842402534784405E-3</v>
      </c>
      <c r="I95" s="126" t="str">
        <f t="shared" si="69"/>
        <v>Green</v>
      </c>
      <c r="J95" s="675">
        <f t="shared" si="70"/>
        <v>10</v>
      </c>
      <c r="K95" s="7"/>
      <c r="L95" s="488">
        <v>14270</v>
      </c>
      <c r="M95" s="52">
        <v>54</v>
      </c>
      <c r="N95" s="52">
        <v>9299.8550899649817</v>
      </c>
      <c r="O95" s="114">
        <f t="shared" si="71"/>
        <v>3.7841625788367205E-3</v>
      </c>
      <c r="P95" s="126" t="str">
        <f t="shared" si="72"/>
        <v>Green</v>
      </c>
      <c r="Q95" s="675">
        <f t="shared" si="80"/>
        <v>11</v>
      </c>
      <c r="R95" s="7"/>
      <c r="S95" s="488">
        <v>13973</v>
      </c>
      <c r="T95" s="488">
        <v>55</v>
      </c>
      <c r="U95" s="488">
        <v>12365.675062202627</v>
      </c>
      <c r="V95" s="845">
        <f t="shared" si="73"/>
        <v>3.9361625992986472E-3</v>
      </c>
      <c r="W95" s="126" t="str">
        <f t="shared" si="74"/>
        <v>Green</v>
      </c>
      <c r="X95" s="675">
        <f t="shared" si="81"/>
        <v>10</v>
      </c>
      <c r="Y95" s="7"/>
      <c r="Z95" s="488">
        <v>12718</v>
      </c>
      <c r="AA95" s="488">
        <v>133</v>
      </c>
      <c r="AB95" s="488">
        <v>55887.502647295536</v>
      </c>
      <c r="AC95" s="845">
        <f t="shared" si="75"/>
        <v>1.0457619122503538E-2</v>
      </c>
      <c r="AD95" s="126" t="str">
        <f t="shared" si="76"/>
        <v>Green</v>
      </c>
      <c r="AE95" s="675">
        <f t="shared" si="82"/>
        <v>13</v>
      </c>
      <c r="AF95" s="7"/>
      <c r="AG95" s="488">
        <v>12813</v>
      </c>
      <c r="AH95" s="488">
        <v>70</v>
      </c>
      <c r="AI95" s="488">
        <v>23959.925957019292</v>
      </c>
      <c r="AJ95" s="845">
        <f>AH95/AG95</f>
        <v>5.4632014360415206E-3</v>
      </c>
      <c r="AK95" s="126" t="str">
        <f t="shared" si="78"/>
        <v>Green</v>
      </c>
      <c r="AL95" s="675">
        <f>RANK(AJ95,AJ$85:AJ$98,1)</f>
        <v>12</v>
      </c>
      <c r="AM95" s="7"/>
      <c r="AN95" s="488">
        <v>11603</v>
      </c>
      <c r="AO95" s="488">
        <v>101</v>
      </c>
      <c r="AP95" s="488">
        <v>22710.246900570088</v>
      </c>
      <c r="AQ95" s="845">
        <f t="shared" si="62"/>
        <v>8.704645350340429E-3</v>
      </c>
      <c r="AR95" s="126" t="str">
        <f t="shared" si="63"/>
        <v>Green</v>
      </c>
      <c r="AS95" s="675">
        <f t="shared" si="64"/>
        <v>12</v>
      </c>
      <c r="AT95" s="7"/>
      <c r="AU95" s="488">
        <v>14103</v>
      </c>
      <c r="AV95" s="488">
        <v>166</v>
      </c>
      <c r="AW95" s="488">
        <v>39480</v>
      </c>
      <c r="AX95" s="845">
        <f t="shared" si="65"/>
        <v>1.1770545274055166E-2</v>
      </c>
      <c r="AY95" s="126" t="str">
        <f t="shared" si="66"/>
        <v>Green</v>
      </c>
      <c r="AZ95" s="675">
        <f t="shared" si="67"/>
        <v>11</v>
      </c>
      <c r="BA95" s="7"/>
      <c r="BB95" s="668"/>
      <c r="BC95" s="142"/>
      <c r="BD95" s="142"/>
      <c r="BE95" s="142"/>
      <c r="BF95" s="126"/>
      <c r="BG95" s="675"/>
    </row>
    <row r="96" spans="2:80">
      <c r="B96" s="1200"/>
      <c r="C96" s="61"/>
      <c r="D96" s="647" t="s">
        <v>172</v>
      </c>
      <c r="E96" s="680">
        <v>17438</v>
      </c>
      <c r="F96" s="52">
        <v>12</v>
      </c>
      <c r="G96" s="52">
        <v>11544.078818037799</v>
      </c>
      <c r="H96" s="114">
        <f t="shared" si="68"/>
        <v>6.8815231104484465E-4</v>
      </c>
      <c r="I96" s="126" t="str">
        <f t="shared" si="69"/>
        <v>Green</v>
      </c>
      <c r="J96" s="675">
        <f t="shared" si="70"/>
        <v>5</v>
      </c>
      <c r="K96" s="7"/>
      <c r="L96" s="488">
        <v>16411</v>
      </c>
      <c r="M96" s="52">
        <v>18</v>
      </c>
      <c r="N96" s="52">
        <v>3651.837036589784</v>
      </c>
      <c r="O96" s="114">
        <f t="shared" si="71"/>
        <v>1.096825300103589E-3</v>
      </c>
      <c r="P96" s="126" t="str">
        <f t="shared" si="72"/>
        <v>Green</v>
      </c>
      <c r="Q96" s="675">
        <f t="shared" si="80"/>
        <v>6</v>
      </c>
      <c r="R96" s="7"/>
      <c r="S96" s="488">
        <v>15272</v>
      </c>
      <c r="T96" s="488">
        <v>96</v>
      </c>
      <c r="U96" s="488">
        <v>28873.992753939499</v>
      </c>
      <c r="V96" s="845">
        <f t="shared" si="73"/>
        <v>6.2860136196961763E-3</v>
      </c>
      <c r="W96" s="126" t="str">
        <f t="shared" si="74"/>
        <v>Green</v>
      </c>
      <c r="X96" s="675">
        <f t="shared" si="81"/>
        <v>13</v>
      </c>
      <c r="Y96" s="7"/>
      <c r="Z96" s="488">
        <v>13664</v>
      </c>
      <c r="AA96" s="488">
        <v>64</v>
      </c>
      <c r="AB96" s="488">
        <v>45739.118556482703</v>
      </c>
      <c r="AC96" s="845">
        <f t="shared" si="75"/>
        <v>4.6838407494145199E-3</v>
      </c>
      <c r="AD96" s="126" t="str">
        <f t="shared" si="76"/>
        <v>Green</v>
      </c>
      <c r="AE96" s="675">
        <f t="shared" si="82"/>
        <v>11</v>
      </c>
      <c r="AF96" s="7"/>
      <c r="AG96" s="488">
        <v>12464</v>
      </c>
      <c r="AH96" s="488">
        <v>35</v>
      </c>
      <c r="AI96" s="488">
        <v>7718.9931255634092</v>
      </c>
      <c r="AJ96" s="845">
        <f>AH96/AG96</f>
        <v>2.8080872913992297E-3</v>
      </c>
      <c r="AK96" s="126" t="str">
        <f t="shared" si="78"/>
        <v>Green</v>
      </c>
      <c r="AL96" s="675">
        <f>RANK(AJ96,AJ$85:AJ$98,1)</f>
        <v>10</v>
      </c>
      <c r="AM96" s="7"/>
      <c r="AN96" s="488">
        <v>12471</v>
      </c>
      <c r="AO96" s="488">
        <v>37</v>
      </c>
      <c r="AP96" s="488">
        <v>16638.667151651956</v>
      </c>
      <c r="AQ96" s="845">
        <f t="shared" si="62"/>
        <v>2.9668831689519688E-3</v>
      </c>
      <c r="AR96" s="126" t="str">
        <f t="shared" si="63"/>
        <v>Green</v>
      </c>
      <c r="AS96" s="675">
        <f t="shared" si="64"/>
        <v>10</v>
      </c>
      <c r="AT96" s="7"/>
      <c r="AU96" s="488">
        <v>13964</v>
      </c>
      <c r="AV96" s="488">
        <v>81</v>
      </c>
      <c r="AW96" s="488">
        <v>16150</v>
      </c>
      <c r="AX96" s="845">
        <f t="shared" si="65"/>
        <v>5.8006301919220852E-3</v>
      </c>
      <c r="AY96" s="126" t="str">
        <f t="shared" si="66"/>
        <v>Green</v>
      </c>
      <c r="AZ96" s="675">
        <f t="shared" si="67"/>
        <v>10</v>
      </c>
      <c r="BA96" s="7"/>
      <c r="BB96" s="668"/>
      <c r="BC96" s="142"/>
      <c r="BD96" s="142"/>
      <c r="BE96" s="142"/>
      <c r="BF96" s="126"/>
      <c r="BG96" s="675"/>
    </row>
    <row r="97" spans="2:59">
      <c r="B97" s="1200"/>
      <c r="C97" s="61"/>
      <c r="D97" s="647" t="s">
        <v>28</v>
      </c>
      <c r="E97" s="680">
        <v>17111</v>
      </c>
      <c r="F97" s="52">
        <v>16</v>
      </c>
      <c r="G97" s="52">
        <v>10158.789359873263</v>
      </c>
      <c r="H97" s="114">
        <f t="shared" si="68"/>
        <v>9.3507100695459065E-4</v>
      </c>
      <c r="I97" s="126" t="str">
        <f t="shared" si="69"/>
        <v>Green</v>
      </c>
      <c r="J97" s="675">
        <f t="shared" si="70"/>
        <v>8</v>
      </c>
      <c r="K97" s="7"/>
      <c r="L97" s="488">
        <v>16147</v>
      </c>
      <c r="M97" s="52">
        <v>10</v>
      </c>
      <c r="N97" s="52">
        <v>6681.3352855935282</v>
      </c>
      <c r="O97" s="114">
        <f t="shared" si="71"/>
        <v>6.193100885613427E-4</v>
      </c>
      <c r="P97" s="126" t="str">
        <f t="shared" si="72"/>
        <v>Green</v>
      </c>
      <c r="Q97" s="675">
        <f t="shared" si="80"/>
        <v>5</v>
      </c>
      <c r="R97" s="7"/>
      <c r="S97" s="488">
        <v>15972</v>
      </c>
      <c r="T97" s="488">
        <v>14</v>
      </c>
      <c r="U97" s="488">
        <v>47363.082194770614</v>
      </c>
      <c r="V97" s="845">
        <f t="shared" si="73"/>
        <v>8.7653393438517403E-4</v>
      </c>
      <c r="W97" s="126" t="str">
        <f t="shared" si="74"/>
        <v>Green</v>
      </c>
      <c r="X97" s="675">
        <f t="shared" si="81"/>
        <v>5</v>
      </c>
      <c r="Y97" s="7"/>
      <c r="Z97" s="488">
        <v>16295</v>
      </c>
      <c r="AA97" s="488">
        <v>17</v>
      </c>
      <c r="AB97" s="488">
        <v>16315.394552924736</v>
      </c>
      <c r="AC97" s="845">
        <f t="shared" si="75"/>
        <v>1.0432648051549554E-3</v>
      </c>
      <c r="AD97" s="126" t="str">
        <f t="shared" si="76"/>
        <v>Green</v>
      </c>
      <c r="AE97" s="675">
        <f t="shared" si="82"/>
        <v>6</v>
      </c>
      <c r="AF97" s="7"/>
      <c r="AG97" s="488">
        <v>14958</v>
      </c>
      <c r="AH97" s="488">
        <v>12</v>
      </c>
      <c r="AI97" s="488">
        <v>5224.505749341115</v>
      </c>
      <c r="AJ97" s="845">
        <f>AH97/AG97</f>
        <v>8.0224628961091051E-4</v>
      </c>
      <c r="AK97" s="126" t="str">
        <f t="shared" si="78"/>
        <v>Green</v>
      </c>
      <c r="AL97" s="675">
        <f>RANK(AJ97,AJ$85:AJ$98,1)</f>
        <v>5</v>
      </c>
      <c r="AM97" s="7"/>
      <c r="AN97" s="488">
        <v>13546</v>
      </c>
      <c r="AO97" s="488">
        <v>15</v>
      </c>
      <c r="AP97" s="488">
        <v>17373.814873864168</v>
      </c>
      <c r="AQ97" s="845">
        <f t="shared" si="62"/>
        <v>1.1073379595452533E-3</v>
      </c>
      <c r="AR97" s="126" t="str">
        <f t="shared" si="63"/>
        <v>Green</v>
      </c>
      <c r="AS97" s="675">
        <f t="shared" si="64"/>
        <v>8</v>
      </c>
      <c r="AT97" s="7"/>
      <c r="AU97" s="488">
        <v>16036</v>
      </c>
      <c r="AV97" s="488">
        <v>48</v>
      </c>
      <c r="AW97" s="488">
        <v>6695</v>
      </c>
      <c r="AX97" s="845">
        <f t="shared" si="65"/>
        <v>2.9932651534048389E-3</v>
      </c>
      <c r="AY97" s="126" t="str">
        <f t="shared" si="66"/>
        <v>Green</v>
      </c>
      <c r="AZ97" s="675">
        <f t="shared" si="67"/>
        <v>8</v>
      </c>
      <c r="BA97" s="7"/>
      <c r="BB97" s="668"/>
      <c r="BC97" s="142"/>
      <c r="BD97" s="142"/>
      <c r="BE97" s="142"/>
      <c r="BF97" s="126"/>
      <c r="BG97" s="675"/>
    </row>
    <row r="98" spans="2:59" ht="12" thickBot="1">
      <c r="B98" s="1200"/>
      <c r="C98" s="61"/>
      <c r="D98" s="647" t="s">
        <v>173</v>
      </c>
      <c r="E98" s="681">
        <v>50730</v>
      </c>
      <c r="F98" s="481">
        <v>38</v>
      </c>
      <c r="G98" s="481">
        <v>14308.660810305553</v>
      </c>
      <c r="H98" s="679">
        <f t="shared" si="68"/>
        <v>7.4906367041198505E-4</v>
      </c>
      <c r="I98" s="676" t="str">
        <f t="shared" si="69"/>
        <v>Green</v>
      </c>
      <c r="J98" s="677">
        <f t="shared" si="70"/>
        <v>6</v>
      </c>
      <c r="K98" s="7"/>
      <c r="L98" s="523">
        <v>46064</v>
      </c>
      <c r="M98" s="481">
        <v>121</v>
      </c>
      <c r="N98" s="481">
        <v>38725.911725637001</v>
      </c>
      <c r="O98" s="679">
        <f t="shared" si="71"/>
        <v>2.6267801319902746E-3</v>
      </c>
      <c r="P98" s="676" t="str">
        <f t="shared" si="72"/>
        <v>Green</v>
      </c>
      <c r="Q98" s="677">
        <f t="shared" si="80"/>
        <v>9</v>
      </c>
      <c r="R98" s="7"/>
      <c r="S98" s="523">
        <v>48229</v>
      </c>
      <c r="T98" s="523">
        <v>307</v>
      </c>
      <c r="U98" s="523">
        <v>73571.522109214711</v>
      </c>
      <c r="V98" s="845">
        <f t="shared" si="73"/>
        <v>6.3654647618652674E-3</v>
      </c>
      <c r="W98" s="676" t="str">
        <f t="shared" si="74"/>
        <v>Green</v>
      </c>
      <c r="X98" s="677">
        <f t="shared" si="81"/>
        <v>14</v>
      </c>
      <c r="Y98" s="7"/>
      <c r="Z98" s="523">
        <v>49956</v>
      </c>
      <c r="AA98" s="523">
        <v>869</v>
      </c>
      <c r="AB98" s="523">
        <v>657333.0234232709</v>
      </c>
      <c r="AC98" s="845">
        <f t="shared" si="75"/>
        <v>1.7395307870926417E-2</v>
      </c>
      <c r="AD98" s="676" t="str">
        <f t="shared" si="76"/>
        <v>Green</v>
      </c>
      <c r="AE98" s="677">
        <f t="shared" si="82"/>
        <v>14</v>
      </c>
      <c r="AF98" s="7"/>
      <c r="AG98" s="523">
        <v>46817</v>
      </c>
      <c r="AH98" s="523">
        <v>229</v>
      </c>
      <c r="AI98" s="523">
        <v>72506.076203714547</v>
      </c>
      <c r="AJ98" s="845">
        <f>AH98/AG98</f>
        <v>4.8913856077920414E-3</v>
      </c>
      <c r="AK98" s="676" t="str">
        <f t="shared" si="78"/>
        <v>Green</v>
      </c>
      <c r="AL98" s="677">
        <f>RANK(AJ98,AJ$85:AJ$98,1)</f>
        <v>11</v>
      </c>
      <c r="AM98" s="7"/>
      <c r="AN98" s="523">
        <v>46137</v>
      </c>
      <c r="AO98" s="523">
        <v>416</v>
      </c>
      <c r="AP98" s="523">
        <v>90724.633286534532</v>
      </c>
      <c r="AQ98" s="845">
        <f t="shared" si="62"/>
        <v>9.0166244012397853E-3</v>
      </c>
      <c r="AR98" s="126" t="str">
        <f t="shared" si="63"/>
        <v>Green</v>
      </c>
      <c r="AS98" s="675">
        <f t="shared" si="64"/>
        <v>14</v>
      </c>
      <c r="AT98" s="7"/>
      <c r="AU98" s="523">
        <v>52630</v>
      </c>
      <c r="AV98" s="523">
        <v>862</v>
      </c>
      <c r="AW98" s="523">
        <v>252015</v>
      </c>
      <c r="AX98" s="845">
        <f t="shared" si="65"/>
        <v>1.6378491354740642E-2</v>
      </c>
      <c r="AY98" s="126" t="str">
        <f t="shared" si="66"/>
        <v>Green</v>
      </c>
      <c r="AZ98" s="675">
        <f t="shared" si="67"/>
        <v>12</v>
      </c>
      <c r="BA98" s="7"/>
      <c r="BB98" s="670"/>
      <c r="BC98" s="671"/>
      <c r="BD98" s="671"/>
      <c r="BE98" s="671"/>
      <c r="BF98" s="676"/>
      <c r="BG98" s="677"/>
    </row>
    <row r="99" spans="2:59" ht="12" thickBot="1">
      <c r="B99" s="1200"/>
      <c r="C99" s="61"/>
      <c r="D99" s="667" t="s">
        <v>174</v>
      </c>
      <c r="E99" s="682">
        <f>SUM(E85:E98)</f>
        <v>405833</v>
      </c>
      <c r="F99" s="678">
        <f>SUM(F85:F98)</f>
        <v>840</v>
      </c>
      <c r="G99" s="678">
        <f>SUM(G85:G98)</f>
        <v>302532.82504538749</v>
      </c>
      <c r="H99" s="1"/>
      <c r="L99" s="678">
        <f>SUM(L85:L98)</f>
        <v>389593</v>
      </c>
      <c r="M99" s="678">
        <f>SUM(M85:M98)</f>
        <v>920</v>
      </c>
      <c r="N99" s="678">
        <f>SUM(N85:N98)</f>
        <v>233611.8901702693</v>
      </c>
      <c r="O99" s="1"/>
      <c r="P99" s="1"/>
      <c r="S99" s="678">
        <f>SUM(S85:S98)</f>
        <v>396338</v>
      </c>
      <c r="T99" s="678">
        <f>SUM(T85:T98)</f>
        <v>1015</v>
      </c>
      <c r="U99" s="678">
        <f>SUM(U85:U98)</f>
        <v>289458.66471692349</v>
      </c>
      <c r="V99" s="1"/>
      <c r="W99" s="1"/>
      <c r="Z99" s="678">
        <f>SUM(Z85:Z98)</f>
        <v>387637</v>
      </c>
      <c r="AA99" s="678">
        <f>SUM(AA85:AA98)</f>
        <v>1480</v>
      </c>
      <c r="AB99" s="678">
        <f>SUM(AB85:AB98)</f>
        <v>873321.16989283764</v>
      </c>
      <c r="AC99" s="1"/>
      <c r="AD99" s="1"/>
      <c r="AG99" s="678">
        <f>SUM(AG85:AG98)</f>
        <v>369725</v>
      </c>
      <c r="AH99" s="678">
        <f>SUM(AH85:AH98)</f>
        <v>907</v>
      </c>
      <c r="AI99" s="678">
        <f>SUM(AI85:AI98)</f>
        <v>226554.05412844667</v>
      </c>
      <c r="AJ99" s="1"/>
      <c r="AK99" s="1"/>
      <c r="AN99" s="678">
        <f>SUM(AN85:AN98)</f>
        <v>364242</v>
      </c>
      <c r="AO99" s="678">
        <f>SUM(AO85:AO98)</f>
        <v>987</v>
      </c>
      <c r="AP99" s="678">
        <f>SUM(AP85:AP98)</f>
        <v>256307.40225790115</v>
      </c>
      <c r="AQ99" s="1"/>
      <c r="AR99" s="1"/>
      <c r="AU99" s="678">
        <f>SUM(AU85:AU98)</f>
        <v>397226</v>
      </c>
      <c r="AV99" s="678">
        <f>SUM(AV85:AV98)</f>
        <v>2710</v>
      </c>
      <c r="AW99" s="678">
        <f>SUM(AW85:AW98)</f>
        <v>628740</v>
      </c>
      <c r="AX99" s="1"/>
      <c r="AY99" s="1"/>
      <c r="BB99" s="673">
        <f>SUM(BB85:BB98)</f>
        <v>0</v>
      </c>
      <c r="BC99" s="673">
        <f>SUM(BC85:BC98)</f>
        <v>0</v>
      </c>
      <c r="BD99" s="673">
        <f>SUM(BD85:BD98)</f>
        <v>0</v>
      </c>
      <c r="BE99" s="1"/>
      <c r="BF99" s="1"/>
    </row>
    <row r="100" spans="2:59">
      <c r="B100" s="1200"/>
      <c r="D100" s="1"/>
      <c r="E100" s="53"/>
      <c r="F100" s="53"/>
      <c r="G100" s="53"/>
      <c r="L100" s="1"/>
      <c r="M100" s="53"/>
      <c r="N100" s="53"/>
      <c r="O100" s="53"/>
      <c r="T100" s="1"/>
      <c r="U100" s="53"/>
      <c r="V100" s="53"/>
      <c r="W100" s="53"/>
      <c r="AA100" s="1"/>
      <c r="AB100" s="53"/>
      <c r="AC100" s="53"/>
      <c r="AD100" s="53"/>
      <c r="AH100" s="1"/>
      <c r="AI100" s="53"/>
      <c r="AJ100" s="53"/>
      <c r="AK100" s="53"/>
      <c r="AO100" s="1"/>
      <c r="AP100" s="53"/>
      <c r="AQ100" s="53"/>
      <c r="AR100" s="53"/>
      <c r="AV100" s="1"/>
      <c r="AW100" s="53"/>
      <c r="AX100" s="53"/>
      <c r="AY100" s="53"/>
      <c r="BC100" s="1"/>
      <c r="BD100" s="53"/>
      <c r="BE100" s="53"/>
      <c r="BF100" s="53"/>
    </row>
  </sheetData>
  <mergeCells count="65">
    <mergeCell ref="AU56:AX56"/>
    <mergeCell ref="AW59:AX59"/>
    <mergeCell ref="DB39:DE39"/>
    <mergeCell ref="DG39:DJ39"/>
    <mergeCell ref="DK39:DN39"/>
    <mergeCell ref="BR39:BU39"/>
    <mergeCell ref="BV39:BW39"/>
    <mergeCell ref="BX39:CA39"/>
    <mergeCell ref="CC39:CF39"/>
    <mergeCell ref="CG39:CJ39"/>
    <mergeCell ref="AY39:BB39"/>
    <mergeCell ref="BC39:BF39"/>
    <mergeCell ref="BG39:BH39"/>
    <mergeCell ref="BI39:BL39"/>
    <mergeCell ref="BN39:BQ39"/>
    <mergeCell ref="DO39:DP39"/>
    <mergeCell ref="DQ39:DT39"/>
    <mergeCell ref="CK39:CL39"/>
    <mergeCell ref="CM39:CP39"/>
    <mergeCell ref="CR39:CU39"/>
    <mergeCell ref="CV39:CY39"/>
    <mergeCell ref="CZ39:DA39"/>
    <mergeCell ref="AN39:AQ39"/>
    <mergeCell ref="AR39:AS39"/>
    <mergeCell ref="AT39:AW39"/>
    <mergeCell ref="O39:R39"/>
    <mergeCell ref="AE39:AH39"/>
    <mergeCell ref="Y39:AB39"/>
    <mergeCell ref="U39:X39"/>
    <mergeCell ref="AC39:AD39"/>
    <mergeCell ref="B82:B100"/>
    <mergeCell ref="B12:B19"/>
    <mergeCell ref="B9:E9"/>
    <mergeCell ref="F9:I9"/>
    <mergeCell ref="AJ39:AM39"/>
    <mergeCell ref="E62:J62"/>
    <mergeCell ref="E83:J83"/>
    <mergeCell ref="E39:H39"/>
    <mergeCell ref="I39:L39"/>
    <mergeCell ref="M39:N39"/>
    <mergeCell ref="AF56:AI56"/>
    <mergeCell ref="AH59:AI59"/>
    <mergeCell ref="B4:I4"/>
    <mergeCell ref="F5:I5"/>
    <mergeCell ref="F6:I6"/>
    <mergeCell ref="F7:I7"/>
    <mergeCell ref="F8:I8"/>
    <mergeCell ref="B5:E5"/>
    <mergeCell ref="B6:E6"/>
    <mergeCell ref="B7:E7"/>
    <mergeCell ref="B8:E8"/>
    <mergeCell ref="AN62:AS62"/>
    <mergeCell ref="AU62:AZ62"/>
    <mergeCell ref="BB62:BG62"/>
    <mergeCell ref="L62:Q62"/>
    <mergeCell ref="S62:X62"/>
    <mergeCell ref="Z62:AE62"/>
    <mergeCell ref="AG62:AL62"/>
    <mergeCell ref="AU83:AZ83"/>
    <mergeCell ref="BB83:BG83"/>
    <mergeCell ref="L83:Q83"/>
    <mergeCell ref="S83:X83"/>
    <mergeCell ref="Z83:AE83"/>
    <mergeCell ref="AG83:AL83"/>
    <mergeCell ref="AN83:AS83"/>
  </mergeCells>
  <conditionalFormatting sqref="I85:I98">
    <cfRule type="containsText" dxfId="219" priority="210" operator="containsText" text="Red">
      <formula>NOT(ISERROR(SEARCH("Red",I85)))</formula>
    </cfRule>
    <cfRule type="containsText" dxfId="218" priority="211" operator="containsText" text="Amber">
      <formula>NOT(ISERROR(SEARCH("Amber",I85)))</formula>
    </cfRule>
    <cfRule type="containsText" dxfId="217" priority="212" operator="containsText" text="Green">
      <formula>NOT(ISERROR(SEARCH("Green",I85)))</formula>
    </cfRule>
  </conditionalFormatting>
  <conditionalFormatting sqref="P85:P98">
    <cfRule type="containsText" dxfId="216" priority="207" operator="containsText" text="Red">
      <formula>NOT(ISERROR(SEARCH("Red",P85)))</formula>
    </cfRule>
    <cfRule type="containsText" dxfId="215" priority="208" operator="containsText" text="Amber">
      <formula>NOT(ISERROR(SEARCH("Amber",P85)))</formula>
    </cfRule>
    <cfRule type="containsText" dxfId="214" priority="209" operator="containsText" text="Green">
      <formula>NOT(ISERROR(SEARCH("Green",P85)))</formula>
    </cfRule>
  </conditionalFormatting>
  <conditionalFormatting sqref="O42:O55">
    <cfRule type="containsText" dxfId="213" priority="204" operator="containsText" text="Amber">
      <formula>NOT(ISERROR(SEARCH("Amber",O42)))</formula>
    </cfRule>
    <cfRule type="containsText" dxfId="212" priority="205" operator="containsText" text="Red">
      <formula>NOT(ISERROR(SEARCH("Red",O42)))</formula>
    </cfRule>
    <cfRule type="containsText" dxfId="211" priority="206" operator="containsText" text="Green">
      <formula>NOT(ISERROR(SEARCH("Green",O42)))</formula>
    </cfRule>
  </conditionalFormatting>
  <conditionalFormatting sqref="DG42:DN56">
    <cfRule type="cellIs" dxfId="210" priority="196" operator="greaterThan">
      <formula>52.7</formula>
    </cfRule>
  </conditionalFormatting>
  <conditionalFormatting sqref="BF85:BF98">
    <cfRule type="containsText" dxfId="209" priority="160" operator="containsText" text="Red">
      <formula>NOT(ISERROR(SEARCH("Red",BF85)))</formula>
    </cfRule>
    <cfRule type="containsText" dxfId="208" priority="161" operator="containsText" text="Amber">
      <formula>NOT(ISERROR(SEARCH("Amber",BF85)))</formula>
    </cfRule>
    <cfRule type="containsText" dxfId="207" priority="162" operator="containsText" text="Green">
      <formula>NOT(ISERROR(SEARCH("Green",BF85)))</formula>
    </cfRule>
  </conditionalFormatting>
  <conditionalFormatting sqref="AE42:AE55">
    <cfRule type="containsText" dxfId="206" priority="157" operator="containsText" text="Amber">
      <formula>NOT(ISERROR(SEARCH("Amber",AE42)))</formula>
    </cfRule>
    <cfRule type="containsText" dxfId="205" priority="158" operator="containsText" text="Red">
      <formula>NOT(ISERROR(SEARCH("Red",AE42)))</formula>
    </cfRule>
    <cfRule type="containsText" dxfId="204" priority="159" operator="containsText" text="Green">
      <formula>NOT(ISERROR(SEARCH("Green",AE42)))</formula>
    </cfRule>
  </conditionalFormatting>
  <conditionalFormatting sqref="W42:W55">
    <cfRule type="cellIs" dxfId="203" priority="140" operator="between">
      <formula>$W$57</formula>
      <formula>$W$59</formula>
    </cfRule>
    <cfRule type="cellIs" dxfId="202" priority="141" operator="greaterThan">
      <formula>$W$59</formula>
    </cfRule>
    <cfRule type="cellIs" dxfId="201" priority="142" operator="lessThanOrEqual">
      <formula>$W$57</formula>
    </cfRule>
  </conditionalFormatting>
  <conditionalFormatting sqref="Y42:Y55">
    <cfRule type="cellIs" dxfId="200" priority="136" operator="greaterThan">
      <formula>$Y$59</formula>
    </cfRule>
    <cfRule type="cellIs" dxfId="199" priority="139" operator="lessThanOrEqual">
      <formula>$Y$57</formula>
    </cfRule>
  </conditionalFormatting>
  <conditionalFormatting sqref="AA42:AA55">
    <cfRule type="cellIs" dxfId="198" priority="135" operator="between">
      <formula>$AA$57</formula>
      <formula>$AA$59</formula>
    </cfRule>
    <cfRule type="cellIs" dxfId="197" priority="137" operator="greaterThan">
      <formula>$AA$59</formula>
    </cfRule>
    <cfRule type="cellIs" dxfId="196" priority="138" operator="lessThanOrEqual">
      <formula>$AA$57</formula>
    </cfRule>
  </conditionalFormatting>
  <conditionalFormatting sqref="DO42:DT55">
    <cfRule type="cellIs" dxfId="195" priority="126" operator="greaterThan">
      <formula>52.7</formula>
    </cfRule>
  </conditionalFormatting>
  <conditionalFormatting sqref="DO56:DP56">
    <cfRule type="cellIs" dxfId="194" priority="125" operator="greaterThan">
      <formula>8.2</formula>
    </cfRule>
  </conditionalFormatting>
  <conditionalFormatting sqref="AT42:AT55">
    <cfRule type="containsText" dxfId="193" priority="107" operator="containsText" text="Amber">
      <formula>NOT(ISERROR(SEARCH("Amber",AT42)))</formula>
    </cfRule>
    <cfRule type="containsText" dxfId="192" priority="108" operator="containsText" text="Red">
      <formula>NOT(ISERROR(SEARCH("Red",AT42)))</formula>
    </cfRule>
    <cfRule type="containsText" dxfId="191" priority="109" operator="containsText" text="Green">
      <formula>NOT(ISERROR(SEARCH("Green",AT42)))</formula>
    </cfRule>
  </conditionalFormatting>
  <conditionalFormatting sqref="AL42:AL55">
    <cfRule type="cellIs" dxfId="190" priority="103" operator="between">
      <formula>$AL$57</formula>
      <formula>$AL$59</formula>
    </cfRule>
    <cfRule type="cellIs" dxfId="189" priority="104" operator="greaterThan">
      <formula>$AL$59</formula>
    </cfRule>
    <cfRule type="cellIs" dxfId="188" priority="105" operator="lessThanOrEqual">
      <formula>$AL$57</formula>
    </cfRule>
  </conditionalFormatting>
  <conditionalFormatting sqref="AN42:AN55">
    <cfRule type="cellIs" dxfId="187" priority="99" operator="greaterThan">
      <formula>$Y$59</formula>
    </cfRule>
    <cfRule type="cellIs" dxfId="186" priority="102" operator="lessThanOrEqual">
      <formula>$Y$57</formula>
    </cfRule>
  </conditionalFormatting>
  <conditionalFormatting sqref="AP42:AP55">
    <cfRule type="cellIs" dxfId="185" priority="98" operator="between">
      <formula>$AP$57</formula>
      <formula>$AP$59</formula>
    </cfRule>
    <cfRule type="cellIs" dxfId="184" priority="100" operator="greaterThan">
      <formula>$AP$59</formula>
    </cfRule>
    <cfRule type="cellIs" dxfId="183" priority="101" operator="lessThanOrEqual">
      <formula>$AP$57</formula>
    </cfRule>
  </conditionalFormatting>
  <conditionalFormatting sqref="W85:W98">
    <cfRule type="containsText" dxfId="182" priority="95" operator="containsText" text="Red">
      <formula>NOT(ISERROR(SEARCH("Red",W85)))</formula>
    </cfRule>
    <cfRule type="containsText" dxfId="181" priority="96" operator="containsText" text="Amber">
      <formula>NOT(ISERROR(SEARCH("Amber",W85)))</formula>
    </cfRule>
    <cfRule type="containsText" dxfId="180" priority="97" operator="containsText" text="Green">
      <formula>NOT(ISERROR(SEARCH("Green",W85)))</formula>
    </cfRule>
  </conditionalFormatting>
  <conditionalFormatting sqref="U42:U55">
    <cfRule type="cellIs" dxfId="179" priority="92" operator="between">
      <formula>$U$57</formula>
      <formula>$U$59</formula>
    </cfRule>
    <cfRule type="cellIs" dxfId="178" priority="93" operator="greaterThan">
      <formula>$U$59</formula>
    </cfRule>
    <cfRule type="cellIs" dxfId="177" priority="94" operator="lessThanOrEqual">
      <formula>$U$57</formula>
    </cfRule>
  </conditionalFormatting>
  <conditionalFormatting sqref="E42:E55">
    <cfRule type="cellIs" dxfId="176" priority="89" operator="between">
      <formula>$E$57</formula>
      <formula>$E$59</formula>
    </cfRule>
    <cfRule type="cellIs" dxfId="175" priority="90" operator="greaterThan">
      <formula>$E$59</formula>
    </cfRule>
    <cfRule type="cellIs" dxfId="174" priority="91" operator="lessThanOrEqual">
      <formula>$E$57</formula>
    </cfRule>
  </conditionalFormatting>
  <conditionalFormatting sqref="G42:G55">
    <cfRule type="cellIs" dxfId="173" priority="86" operator="between">
      <formula>$G$57</formula>
      <formula>$G$59</formula>
    </cfRule>
    <cfRule type="cellIs" dxfId="172" priority="87" operator="greaterThan">
      <formula>$G$59</formula>
    </cfRule>
    <cfRule type="cellIs" dxfId="171" priority="88" operator="lessThanOrEqual">
      <formula>$G$57</formula>
    </cfRule>
  </conditionalFormatting>
  <conditionalFormatting sqref="I42:I55">
    <cfRule type="cellIs" dxfId="170" priority="84" operator="greaterThan">
      <formula>$I$59</formula>
    </cfRule>
    <cfRule type="cellIs" dxfId="169" priority="85" operator="lessThanOrEqual">
      <formula>$I$57</formula>
    </cfRule>
  </conditionalFormatting>
  <conditionalFormatting sqref="K42:K55">
    <cfRule type="cellIs" dxfId="168" priority="81" operator="between">
      <formula>$K$57</formula>
      <formula>$K$59</formula>
    </cfRule>
    <cfRule type="cellIs" dxfId="167" priority="82" operator="greaterThan">
      <formula>$K$59</formula>
    </cfRule>
    <cfRule type="cellIs" dxfId="166" priority="83" operator="lessThanOrEqual">
      <formula>$K$57</formula>
    </cfRule>
  </conditionalFormatting>
  <conditionalFormatting sqref="BI42:BI55">
    <cfRule type="containsText" dxfId="165" priority="78" operator="containsText" text="Amber">
      <formula>NOT(ISERROR(SEARCH("Amber",BI42)))</formula>
    </cfRule>
    <cfRule type="containsText" dxfId="164" priority="79" operator="containsText" text="Red">
      <formula>NOT(ISERROR(SEARCH("Red",BI42)))</formula>
    </cfRule>
    <cfRule type="containsText" dxfId="163" priority="80" operator="containsText" text="Green">
      <formula>NOT(ISERROR(SEARCH("Green",BI42)))</formula>
    </cfRule>
  </conditionalFormatting>
  <conditionalFormatting sqref="AD85:AD98">
    <cfRule type="containsText" dxfId="162" priority="75" operator="containsText" text="Red">
      <formula>NOT(ISERROR(SEARCH("Red",AD85)))</formula>
    </cfRule>
    <cfRule type="containsText" dxfId="161" priority="76" operator="containsText" text="Amber">
      <formula>NOT(ISERROR(SEARCH("Amber",AD85)))</formula>
    </cfRule>
    <cfRule type="containsText" dxfId="160" priority="77" operator="containsText" text="Green">
      <formula>NOT(ISERROR(SEARCH("Green",AD85)))</formula>
    </cfRule>
  </conditionalFormatting>
  <conditionalFormatting sqref="BX42:BX55">
    <cfRule type="containsText" dxfId="159" priority="71" operator="containsText" text="Amber">
      <formula>NOT(ISERROR(SEARCH("Amber",BX42)))</formula>
    </cfRule>
    <cfRule type="containsText" dxfId="158" priority="72" operator="containsText" text="Red">
      <formula>NOT(ISERROR(SEARCH("Red",BX42)))</formula>
    </cfRule>
    <cfRule type="containsText" dxfId="157" priority="73" operator="containsText" text="Green">
      <formula>NOT(ISERROR(SEARCH("Green",BX42)))</formula>
    </cfRule>
  </conditionalFormatting>
  <conditionalFormatting sqref="AK85:AK98">
    <cfRule type="containsText" dxfId="156" priority="68" operator="containsText" text="Red">
      <formula>NOT(ISERROR(SEARCH("Red",AK85)))</formula>
    </cfRule>
    <cfRule type="containsText" dxfId="155" priority="69" operator="containsText" text="Amber">
      <formula>NOT(ISERROR(SEARCH("Amber",AK85)))</formula>
    </cfRule>
    <cfRule type="containsText" dxfId="154" priority="70" operator="containsText" text="Green">
      <formula>NOT(ISERROR(SEARCH("Green",AK85)))</formula>
    </cfRule>
  </conditionalFormatting>
  <conditionalFormatting sqref="AJ42:AJ55">
    <cfRule type="cellIs" dxfId="153" priority="65" operator="between">
      <formula>$U$57</formula>
      <formula>$U$59</formula>
    </cfRule>
    <cfRule type="cellIs" dxfId="152" priority="66" operator="greaterThan">
      <formula>$U$59</formula>
    </cfRule>
    <cfRule type="cellIs" dxfId="151" priority="67" operator="lessThanOrEqual">
      <formula>$U$57</formula>
    </cfRule>
  </conditionalFormatting>
  <conditionalFormatting sqref="AY42:AY55">
    <cfRule type="cellIs" dxfId="150" priority="62" operator="between">
      <formula>$U$57</formula>
      <formula>$U$59</formula>
    </cfRule>
    <cfRule type="cellIs" dxfId="149" priority="63" operator="greaterThan">
      <formula>$U$59</formula>
    </cfRule>
    <cfRule type="cellIs" dxfId="148" priority="64" operator="lessThanOrEqual">
      <formula>$U$57</formula>
    </cfRule>
  </conditionalFormatting>
  <conditionalFormatting sqref="BA42:BA55">
    <cfRule type="cellIs" dxfId="147" priority="59" operator="between">
      <formula>$AL$57</formula>
      <formula>$AL$59</formula>
    </cfRule>
    <cfRule type="cellIs" dxfId="146" priority="60" operator="greaterThan">
      <formula>$AL$59</formula>
    </cfRule>
    <cfRule type="cellIs" dxfId="145" priority="61" operator="lessThanOrEqual">
      <formula>$AL$57</formula>
    </cfRule>
  </conditionalFormatting>
  <conditionalFormatting sqref="BC42:BC55">
    <cfRule type="cellIs" dxfId="144" priority="57" operator="greaterThan">
      <formula>$Y$59</formula>
    </cfRule>
    <cfRule type="cellIs" dxfId="143" priority="58" operator="lessThanOrEqual">
      <formula>$Y$57</formula>
    </cfRule>
  </conditionalFormatting>
  <conditionalFormatting sqref="BN42:BN55">
    <cfRule type="cellIs" dxfId="142" priority="51" operator="between">
      <formula>$BN$57</formula>
      <formula>$BN$59</formula>
    </cfRule>
    <cfRule type="cellIs" dxfId="141" priority="52" operator="greaterThan">
      <formula>$BN$59</formula>
    </cfRule>
    <cfRule type="cellIs" dxfId="140" priority="53" operator="lessThanOrEqual">
      <formula>$BN$57</formula>
    </cfRule>
  </conditionalFormatting>
  <conditionalFormatting sqref="BP42:BP55">
    <cfRule type="cellIs" dxfId="139" priority="48" operator="between">
      <formula>$BP$57</formula>
      <formula>$BP$59</formula>
    </cfRule>
    <cfRule type="cellIs" dxfId="138" priority="49" operator="greaterThan">
      <formula>$BP$59</formula>
    </cfRule>
    <cfRule type="cellIs" dxfId="137" priority="50" operator="lessThanOrEqual">
      <formula>$BP$57</formula>
    </cfRule>
  </conditionalFormatting>
  <conditionalFormatting sqref="BR42:BR55">
    <cfRule type="cellIs" dxfId="136" priority="46" operator="greaterThan">
      <formula>$BR$59</formula>
    </cfRule>
    <cfRule type="cellIs" dxfId="135" priority="47" operator="lessThanOrEqual">
      <formula>$BR$57</formula>
    </cfRule>
  </conditionalFormatting>
  <conditionalFormatting sqref="BE42:BE55">
    <cfRule type="cellIs" dxfId="134" priority="43" operator="between">
      <formula>$AP$57</formula>
      <formula>$AP$59</formula>
    </cfRule>
    <cfRule type="cellIs" dxfId="133" priority="44" operator="greaterThan">
      <formula>$AP$59</formula>
    </cfRule>
    <cfRule type="cellIs" dxfId="132" priority="45" operator="lessThanOrEqual">
      <formula>$AP$57</formula>
    </cfRule>
  </conditionalFormatting>
  <conditionalFormatting sqref="BT42:BT55">
    <cfRule type="cellIs" dxfId="131" priority="40" operator="between">
      <formula>$BT$57</formula>
      <formula>$BT$59</formula>
    </cfRule>
    <cfRule type="cellIs" dxfId="130" priority="41" operator="greaterThan">
      <formula>$BT$59</formula>
    </cfRule>
    <cfRule type="cellIs" dxfId="129" priority="42" operator="lessThanOrEqual">
      <formula>$BT$57</formula>
    </cfRule>
  </conditionalFormatting>
  <conditionalFormatting sqref="CC42:CC55">
    <cfRule type="cellIs" dxfId="128" priority="34" operator="between">
      <formula>$CC$57</formula>
      <formula>$CC$59</formula>
    </cfRule>
    <cfRule type="cellIs" dxfId="127" priority="35" operator="greaterThan">
      <formula>$CC$59</formula>
    </cfRule>
    <cfRule type="cellIs" dxfId="126" priority="36" operator="lessThanOrEqual">
      <formula>$CC$57</formula>
    </cfRule>
  </conditionalFormatting>
  <conditionalFormatting sqref="CE42:CE55">
    <cfRule type="cellIs" dxfId="125" priority="31" operator="between">
      <formula>$CE$57</formula>
      <formula>$CE$59</formula>
    </cfRule>
    <cfRule type="cellIs" dxfId="124" priority="32" operator="greaterThan">
      <formula>$CE$59</formula>
    </cfRule>
    <cfRule type="cellIs" dxfId="123" priority="33" operator="lessThanOrEqual">
      <formula>$CE$57</formula>
    </cfRule>
  </conditionalFormatting>
  <conditionalFormatting sqref="CG42:CG55">
    <cfRule type="cellIs" dxfId="122" priority="29" operator="greaterThan">
      <formula>$CG$59</formula>
    </cfRule>
    <cfRule type="cellIs" dxfId="121" priority="30" operator="lessThanOrEqual">
      <formula>$CG$57</formula>
    </cfRule>
  </conditionalFormatting>
  <conditionalFormatting sqref="CI42:CI55">
    <cfRule type="cellIs" dxfId="120" priority="26" operator="between">
      <formula>$CI$57</formula>
      <formula>$CI$59</formula>
    </cfRule>
    <cfRule type="cellIs" dxfId="119" priority="27" operator="greaterThan">
      <formula>$CI$59</formula>
    </cfRule>
    <cfRule type="cellIs" dxfId="118" priority="28" operator="lessThanOrEqual">
      <formula>$CI$57</formula>
    </cfRule>
  </conditionalFormatting>
  <conditionalFormatting sqref="CM42:CM55">
    <cfRule type="containsText" dxfId="117" priority="23" operator="containsText" text="Amber">
      <formula>NOT(ISERROR(SEARCH("Amber",CM42)))</formula>
    </cfRule>
    <cfRule type="containsText" dxfId="116" priority="24" operator="containsText" text="Red">
      <formula>NOT(ISERROR(SEARCH("Red",CM42)))</formula>
    </cfRule>
    <cfRule type="containsText" dxfId="115" priority="25" operator="containsText" text="Green">
      <formula>NOT(ISERROR(SEARCH("Green",CM42)))</formula>
    </cfRule>
  </conditionalFormatting>
  <conditionalFormatting sqref="AR85:AR98">
    <cfRule type="containsText" dxfId="114" priority="20" operator="containsText" text="Red">
      <formula>NOT(ISERROR(SEARCH("Red",AR85)))</formula>
    </cfRule>
    <cfRule type="containsText" dxfId="113" priority="21" operator="containsText" text="Amber">
      <formula>NOT(ISERROR(SEARCH("Amber",AR85)))</formula>
    </cfRule>
    <cfRule type="containsText" dxfId="112" priority="22" operator="containsText" text="Green">
      <formula>NOT(ISERROR(SEARCH("Green",AR85)))</formula>
    </cfRule>
  </conditionalFormatting>
  <conditionalFormatting sqref="CE64:CI77">
    <cfRule type="cellIs" dxfId="111" priority="19" operator="lessThan">
      <formula>0</formula>
    </cfRule>
  </conditionalFormatting>
  <conditionalFormatting sqref="CR42:CR55">
    <cfRule type="cellIs" dxfId="110" priority="16" operator="between">
      <formula>$CR$57</formula>
      <formula>$CR$59</formula>
    </cfRule>
    <cfRule type="cellIs" dxfId="109" priority="17" operator="greaterThan">
      <formula>$CR$59</formula>
    </cfRule>
    <cfRule type="cellIs" dxfId="108" priority="18" operator="lessThanOrEqual">
      <formula>$CR$57</formula>
    </cfRule>
  </conditionalFormatting>
  <conditionalFormatting sqref="CT42:CT55">
    <cfRule type="cellIs" dxfId="107" priority="13" operator="between">
      <formula>$CT$57</formula>
      <formula>$CT$59</formula>
    </cfRule>
    <cfRule type="cellIs" dxfId="106" priority="14" operator="greaterThan">
      <formula>$CT$59</formula>
    </cfRule>
    <cfRule type="cellIs" dxfId="105" priority="15" operator="lessThanOrEqual">
      <formula>$CT$57</formula>
    </cfRule>
  </conditionalFormatting>
  <conditionalFormatting sqref="CV42:CV55">
    <cfRule type="cellIs" dxfId="104" priority="10" operator="between">
      <formula>$CV$57</formula>
      <formula>$CV$59</formula>
    </cfRule>
    <cfRule type="cellIs" dxfId="103" priority="11" operator="greaterThan">
      <formula>$CV$59</formula>
    </cfRule>
    <cfRule type="cellIs" dxfId="102" priority="12" operator="lessThanOrEqual">
      <formula>$CV$57</formula>
    </cfRule>
  </conditionalFormatting>
  <conditionalFormatting sqref="CX42:CX55">
    <cfRule type="cellIs" dxfId="101" priority="7" operator="between">
      <formula>$CX$57</formula>
      <formula>$CX$59</formula>
    </cfRule>
    <cfRule type="cellIs" dxfId="100" priority="8" operator="greaterThan">
      <formula>$CX$59</formula>
    </cfRule>
    <cfRule type="cellIs" dxfId="99" priority="9" operator="lessThanOrEqual">
      <formula>$CX$57</formula>
    </cfRule>
  </conditionalFormatting>
  <conditionalFormatting sqref="DB42:DB55">
    <cfRule type="containsText" dxfId="98" priority="4" operator="containsText" text="Amber">
      <formula>NOT(ISERROR(SEARCH("Amber",DB42)))</formula>
    </cfRule>
    <cfRule type="containsText" dxfId="97" priority="5" operator="containsText" text="Red">
      <formula>NOT(ISERROR(SEARCH("Red",DB42)))</formula>
    </cfRule>
    <cfRule type="containsText" dxfId="96" priority="6" operator="containsText" text="Green">
      <formula>NOT(ISERROR(SEARCH("Green",DB42)))</formula>
    </cfRule>
  </conditionalFormatting>
  <conditionalFormatting sqref="AY85:AY98">
    <cfRule type="containsText" dxfId="95" priority="1" operator="containsText" text="Red">
      <formula>NOT(ISERROR(SEARCH("Red",AY85)))</formula>
    </cfRule>
    <cfRule type="containsText" dxfId="94" priority="2" operator="containsText" text="Amber">
      <formula>NOT(ISERROR(SEARCH("Amber",AY85)))</formula>
    </cfRule>
    <cfRule type="containsText" dxfId="93" priority="3" operator="containsText" text="Green">
      <formula>NOT(ISERROR(SEARCH("Green",AY85)))</formula>
    </cfRule>
  </conditionalFormatting>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92D050"/>
  </sheetPr>
  <dimension ref="A1:V248"/>
  <sheetViews>
    <sheetView topLeftCell="A94" zoomScale="110" zoomScaleNormal="110" workbookViewId="0">
      <selection activeCell="E108" sqref="E108"/>
    </sheetView>
  </sheetViews>
  <sheetFormatPr defaultColWidth="9.1796875" defaultRowHeight="11.5"/>
  <cols>
    <col min="1" max="1" width="20" style="2" bestFit="1" customWidth="1"/>
    <col min="2" max="2" width="16.54296875" style="2" bestFit="1" customWidth="1"/>
    <col min="3" max="3" width="6.453125" style="1" customWidth="1"/>
    <col min="4" max="4" width="37.81640625" style="1" customWidth="1"/>
    <col min="5" max="5" width="11.1796875" style="1" customWidth="1"/>
    <col min="6" max="6" width="12.81640625" style="1" customWidth="1"/>
    <col min="7" max="8" width="11.1796875" style="1" customWidth="1"/>
    <col min="9" max="9" width="12.81640625" style="1" customWidth="1"/>
    <col min="10" max="11" width="11.1796875" style="1" customWidth="1"/>
    <col min="12" max="12" width="13.453125" style="1" customWidth="1"/>
    <col min="13" max="13" width="10.1796875" style="2" customWidth="1"/>
    <col min="14" max="15" width="10.54296875" style="2" customWidth="1"/>
    <col min="16" max="16" width="18.6328125" style="2" bestFit="1" customWidth="1"/>
    <col min="17" max="20" width="10.54296875" style="2" customWidth="1"/>
    <col min="21" max="16384" width="9.1796875" style="2"/>
  </cols>
  <sheetData>
    <row r="1" spans="1:20" ht="20" thickBot="1">
      <c r="A1" s="885" t="s">
        <v>20</v>
      </c>
      <c r="B1" s="885"/>
      <c r="C1" s="885"/>
      <c r="D1" s="885"/>
      <c r="E1" s="885"/>
      <c r="F1" s="885"/>
      <c r="G1" s="2"/>
      <c r="H1" s="2"/>
      <c r="I1" s="2"/>
      <c r="J1" s="2"/>
      <c r="K1" s="2"/>
      <c r="L1" s="2"/>
    </row>
    <row r="2" spans="1:20" ht="12" customHeight="1" thickBot="1">
      <c r="A2" s="37" t="s">
        <v>1352</v>
      </c>
      <c r="E2" s="1240" t="s">
        <v>1392</v>
      </c>
      <c r="F2" s="1241"/>
      <c r="G2" s="1241"/>
      <c r="H2" s="1241"/>
      <c r="I2" s="1242" t="s">
        <v>1393</v>
      </c>
      <c r="J2" s="1243"/>
      <c r="K2" s="1243"/>
      <c r="L2" s="1243"/>
      <c r="M2" s="1240" t="s">
        <v>600</v>
      </c>
      <c r="N2" s="1241"/>
      <c r="O2" s="1241"/>
      <c r="P2" s="1244"/>
    </row>
    <row r="3" spans="1:20" ht="32.25" customHeight="1">
      <c r="B3" s="193" t="s">
        <v>601</v>
      </c>
      <c r="C3" s="2"/>
      <c r="E3" s="1009" t="s">
        <v>297</v>
      </c>
      <c r="F3" s="1010" t="s">
        <v>298</v>
      </c>
      <c r="G3" s="1010" t="s">
        <v>602</v>
      </c>
      <c r="H3" s="1010" t="s">
        <v>602</v>
      </c>
      <c r="I3" s="347" t="s">
        <v>297</v>
      </c>
      <c r="J3" s="348" t="s">
        <v>603</v>
      </c>
      <c r="K3" s="348" t="s">
        <v>602</v>
      </c>
      <c r="L3" s="349" t="s">
        <v>602</v>
      </c>
      <c r="M3" s="344" t="s">
        <v>297</v>
      </c>
      <c r="N3" s="67" t="s">
        <v>604</v>
      </c>
      <c r="O3" s="67" t="s">
        <v>602</v>
      </c>
      <c r="P3" s="345" t="s">
        <v>602</v>
      </c>
    </row>
    <row r="4" spans="1:20" ht="12" customHeight="1" thickBot="1">
      <c r="B4" s="193"/>
      <c r="C4" s="2"/>
      <c r="D4" s="2"/>
      <c r="E4" s="316" t="s">
        <v>605</v>
      </c>
      <c r="F4" s="223" t="s">
        <v>605</v>
      </c>
      <c r="G4" s="223" t="s">
        <v>605</v>
      </c>
      <c r="H4" s="223" t="s">
        <v>606</v>
      </c>
      <c r="I4" s="350" t="s">
        <v>605</v>
      </c>
      <c r="J4" s="340" t="s">
        <v>605</v>
      </c>
      <c r="K4" s="340" t="s">
        <v>605</v>
      </c>
      <c r="L4" s="351" t="s">
        <v>606</v>
      </c>
      <c r="M4" s="344" t="s">
        <v>605</v>
      </c>
      <c r="N4" s="67" t="s">
        <v>605</v>
      </c>
      <c r="O4" s="67" t="s">
        <v>605</v>
      </c>
      <c r="P4" s="1053" t="s">
        <v>606</v>
      </c>
    </row>
    <row r="5" spans="1:20">
      <c r="B5" s="193"/>
      <c r="C5" s="60"/>
      <c r="D5" s="159" t="s">
        <v>161</v>
      </c>
      <c r="E5" s="352">
        <f t="shared" ref="E5:F18" si="0">E128</f>
        <v>314.29989152659925</v>
      </c>
      <c r="F5" s="341">
        <f t="shared" si="0"/>
        <v>264.17710060360514</v>
      </c>
      <c r="G5" s="341">
        <f t="shared" ref="G5:G18" si="1">F5-E5</f>
        <v>-50.122790922994113</v>
      </c>
      <c r="H5" s="343">
        <f t="shared" ref="H5:H19" si="2">G5/E5</f>
        <v>-0.15947441368668819</v>
      </c>
      <c r="I5" s="352">
        <f>I128</f>
        <v>2085.0127522983307</v>
      </c>
      <c r="J5" s="341">
        <f>J128</f>
        <v>1916.9273903074281</v>
      </c>
      <c r="K5" s="341">
        <f t="shared" ref="K5:K18" si="3">J5-I5</f>
        <v>-168.08536199090258</v>
      </c>
      <c r="L5" s="353">
        <f t="shared" ref="L5:L19" si="4">K5/I5</f>
        <v>-8.0615987506848757E-2</v>
      </c>
      <c r="M5" s="346">
        <f>M128</f>
        <v>2380.9591413155226</v>
      </c>
      <c r="N5" s="342">
        <f>N128</f>
        <v>2211.177713376986</v>
      </c>
      <c r="O5" s="1050">
        <f t="shared" ref="O5:O18" si="5">N5-M5</f>
        <v>-169.78142793853658</v>
      </c>
      <c r="P5" s="93">
        <f t="shared" ref="P5:P19" si="6">O5/M5</f>
        <v>-7.1307997265643672E-2</v>
      </c>
    </row>
    <row r="6" spans="1:20">
      <c r="B6" s="193"/>
      <c r="C6" s="60"/>
      <c r="D6" s="159" t="s">
        <v>162</v>
      </c>
      <c r="E6" s="352">
        <f t="shared" si="0"/>
        <v>182.38781366471173</v>
      </c>
      <c r="F6" s="341">
        <f t="shared" si="0"/>
        <v>205.33640353041304</v>
      </c>
      <c r="G6" s="341">
        <f t="shared" si="1"/>
        <v>22.948589865701308</v>
      </c>
      <c r="H6" s="343">
        <f t="shared" si="2"/>
        <v>0.12582304379111808</v>
      </c>
      <c r="I6" s="352">
        <f t="shared" ref="I6:I18" si="7">I129</f>
        <v>1472.0886170740189</v>
      </c>
      <c r="J6" s="341">
        <f t="shared" ref="J6:J18" si="8">J129</f>
        <v>1514.7033224446532</v>
      </c>
      <c r="K6" s="341">
        <f t="shared" si="3"/>
        <v>42.614705370634283</v>
      </c>
      <c r="L6" s="353">
        <f t="shared" si="4"/>
        <v>2.8948464702713988E-2</v>
      </c>
      <c r="M6" s="346">
        <f t="shared" ref="M6:M18" si="9">M129</f>
        <v>1685.2711746018624</v>
      </c>
      <c r="N6" s="342">
        <f t="shared" ref="N6:N18" si="10">N129</f>
        <v>1691.3876893705799</v>
      </c>
      <c r="O6" s="1050">
        <f t="shared" si="5"/>
        <v>6.1165147687174795</v>
      </c>
      <c r="P6" s="93">
        <f t="shared" si="6"/>
        <v>3.6293949964239305E-3</v>
      </c>
      <c r="S6" s="224"/>
      <c r="T6" s="224"/>
    </row>
    <row r="7" spans="1:20">
      <c r="B7" s="193"/>
      <c r="C7" s="60"/>
      <c r="D7" s="159" t="s">
        <v>163</v>
      </c>
      <c r="E7" s="352">
        <f t="shared" si="0"/>
        <v>249.68891564320504</v>
      </c>
      <c r="F7" s="341">
        <f t="shared" si="0"/>
        <v>280.38473500706385</v>
      </c>
      <c r="G7" s="341">
        <f t="shared" si="1"/>
        <v>30.695819363858817</v>
      </c>
      <c r="H7" s="343">
        <f t="shared" si="2"/>
        <v>0.12293625163450128</v>
      </c>
      <c r="I7" s="352">
        <f t="shared" si="7"/>
        <v>1952.824626572203</v>
      </c>
      <c r="J7" s="341">
        <f t="shared" si="8"/>
        <v>1920.5479262181611</v>
      </c>
      <c r="K7" s="341">
        <f t="shared" si="3"/>
        <v>-32.27670035404185</v>
      </c>
      <c r="L7" s="353">
        <f t="shared" si="4"/>
        <v>-1.6528212474817672E-2</v>
      </c>
      <c r="M7" s="346">
        <f t="shared" si="9"/>
        <v>2238.0841861708927</v>
      </c>
      <c r="N7" s="342">
        <f t="shared" si="10"/>
        <v>2247.0603014700787</v>
      </c>
      <c r="O7" s="1050">
        <f t="shared" si="5"/>
        <v>8.976115299185949</v>
      </c>
      <c r="P7" s="93">
        <f t="shared" si="6"/>
        <v>4.0106245129871813E-3</v>
      </c>
      <c r="S7" s="224"/>
      <c r="T7" s="224"/>
    </row>
    <row r="8" spans="1:20">
      <c r="B8" s="193"/>
      <c r="C8" s="60"/>
      <c r="D8" s="159" t="s">
        <v>164</v>
      </c>
      <c r="E8" s="352">
        <f t="shared" si="0"/>
        <v>333.7184336711083</v>
      </c>
      <c r="F8" s="341">
        <f t="shared" si="0"/>
        <v>349.4748775023474</v>
      </c>
      <c r="G8" s="341">
        <f t="shared" si="1"/>
        <v>15.756443831239096</v>
      </c>
      <c r="H8" s="343">
        <f t="shared" si="2"/>
        <v>4.7214784205680552E-2</v>
      </c>
      <c r="I8" s="352">
        <f t="shared" si="7"/>
        <v>2318.0641912166989</v>
      </c>
      <c r="J8" s="341">
        <f t="shared" si="8"/>
        <v>2328.8575841136262</v>
      </c>
      <c r="K8" s="341">
        <f t="shared" si="3"/>
        <v>10.793392896927344</v>
      </c>
      <c r="L8" s="353">
        <f t="shared" si="4"/>
        <v>4.6562096674562488E-3</v>
      </c>
      <c r="M8" s="346">
        <f t="shared" si="9"/>
        <v>2657.1196925675022</v>
      </c>
      <c r="N8" s="342">
        <f t="shared" si="10"/>
        <v>2676.1444675031398</v>
      </c>
      <c r="O8" s="1050">
        <f t="shared" si="5"/>
        <v>19.024774935637652</v>
      </c>
      <c r="P8" s="93">
        <f t="shared" si="6"/>
        <v>7.1599239540671693E-3</v>
      </c>
    </row>
    <row r="9" spans="1:20">
      <c r="B9" s="193"/>
      <c r="C9" s="60"/>
      <c r="D9" s="159" t="s">
        <v>165</v>
      </c>
      <c r="E9" s="352">
        <f t="shared" si="0"/>
        <v>345.31213598615403</v>
      </c>
      <c r="F9" s="341">
        <f t="shared" si="0"/>
        <v>317.80340000417584</v>
      </c>
      <c r="G9" s="341">
        <f t="shared" si="1"/>
        <v>-27.508735981978191</v>
      </c>
      <c r="H9" s="343">
        <f t="shared" si="2"/>
        <v>-7.9663391798894687E-2</v>
      </c>
      <c r="I9" s="352">
        <f t="shared" si="7"/>
        <v>2345.7496287822278</v>
      </c>
      <c r="J9" s="341">
        <f t="shared" si="8"/>
        <v>2312.1848665690386</v>
      </c>
      <c r="K9" s="341">
        <f t="shared" si="3"/>
        <v>-33.564762213189169</v>
      </c>
      <c r="L9" s="353">
        <f t="shared" si="4"/>
        <v>-1.4308757337676305E-2</v>
      </c>
      <c r="M9" s="346">
        <f t="shared" si="9"/>
        <v>2682.246281867021</v>
      </c>
      <c r="N9" s="342">
        <f t="shared" si="10"/>
        <v>2656.9235628978167</v>
      </c>
      <c r="O9" s="1050">
        <f t="shared" si="5"/>
        <v>-25.322718969204288</v>
      </c>
      <c r="P9" s="93">
        <f t="shared" si="6"/>
        <v>-9.4408627352362291E-3</v>
      </c>
    </row>
    <row r="10" spans="1:20">
      <c r="B10" s="193"/>
      <c r="C10" s="60"/>
      <c r="D10" s="159" t="s">
        <v>166</v>
      </c>
      <c r="E10" s="352">
        <f t="shared" si="0"/>
        <v>153.42656264854816</v>
      </c>
      <c r="F10" s="341">
        <f t="shared" si="0"/>
        <v>166.79459154369209</v>
      </c>
      <c r="G10" s="341">
        <f t="shared" si="1"/>
        <v>13.368028895143937</v>
      </c>
      <c r="H10" s="343">
        <f t="shared" si="2"/>
        <v>8.7129820706248057E-2</v>
      </c>
      <c r="I10" s="352">
        <f t="shared" si="7"/>
        <v>1228.3449331308952</v>
      </c>
      <c r="J10" s="341">
        <f t="shared" si="8"/>
        <v>1163.297467161055</v>
      </c>
      <c r="K10" s="341">
        <f t="shared" si="3"/>
        <v>-65.047465969840232</v>
      </c>
      <c r="L10" s="353">
        <f t="shared" si="4"/>
        <v>-5.2955374516865147E-2</v>
      </c>
      <c r="M10" s="346">
        <f t="shared" si="9"/>
        <v>1385.5913675110787</v>
      </c>
      <c r="N10" s="342">
        <f t="shared" si="10"/>
        <v>1342.5325889114483</v>
      </c>
      <c r="O10" s="1050">
        <f t="shared" si="5"/>
        <v>-43.058778599630386</v>
      </c>
      <c r="P10" s="93">
        <f t="shared" si="6"/>
        <v>-3.1076101951310768E-2</v>
      </c>
      <c r="S10" s="224"/>
      <c r="T10" s="224"/>
    </row>
    <row r="11" spans="1:20">
      <c r="B11" s="193"/>
      <c r="C11" s="60"/>
      <c r="D11" s="159" t="s">
        <v>167</v>
      </c>
      <c r="E11" s="352">
        <f t="shared" si="0"/>
        <v>267.88499090331271</v>
      </c>
      <c r="F11" s="341">
        <f t="shared" si="0"/>
        <v>238.37711022269144</v>
      </c>
      <c r="G11" s="341">
        <f t="shared" si="1"/>
        <v>-29.50788068062127</v>
      </c>
      <c r="H11" s="343">
        <f t="shared" si="2"/>
        <v>-0.11015130254636588</v>
      </c>
      <c r="I11" s="352">
        <f t="shared" si="7"/>
        <v>1889.8712357362335</v>
      </c>
      <c r="J11" s="341">
        <f t="shared" si="8"/>
        <v>1830.5035310690728</v>
      </c>
      <c r="K11" s="341">
        <f t="shared" si="3"/>
        <v>-59.367704667160751</v>
      </c>
      <c r="L11" s="353">
        <f t="shared" si="4"/>
        <v>-3.1413624137219584E-2</v>
      </c>
      <c r="M11" s="346">
        <f t="shared" si="9"/>
        <v>2172.1662685943352</v>
      </c>
      <c r="N11" s="342">
        <f t="shared" si="10"/>
        <v>2134.3339688603987</v>
      </c>
      <c r="O11" s="1050">
        <f t="shared" si="5"/>
        <v>-37.832299733936452</v>
      </c>
      <c r="P11" s="93">
        <f t="shared" si="6"/>
        <v>-1.7416852605127098E-2</v>
      </c>
      <c r="S11" s="224"/>
      <c r="T11" s="224"/>
    </row>
    <row r="12" spans="1:20">
      <c r="B12" s="193"/>
      <c r="C12" s="60"/>
      <c r="D12" s="159" t="s">
        <v>168</v>
      </c>
      <c r="E12" s="352">
        <f t="shared" si="0"/>
        <v>255.38109991132197</v>
      </c>
      <c r="F12" s="341">
        <f t="shared" si="0"/>
        <v>253.58585868941921</v>
      </c>
      <c r="G12" s="341">
        <f t="shared" si="1"/>
        <v>-1.7952412219027565</v>
      </c>
      <c r="H12" s="343">
        <f t="shared" si="2"/>
        <v>-7.0296557675024992E-3</v>
      </c>
      <c r="I12" s="352">
        <f t="shared" si="7"/>
        <v>2007.4330244756575</v>
      </c>
      <c r="J12" s="341">
        <f t="shared" si="8"/>
        <v>1740.5724914144191</v>
      </c>
      <c r="K12" s="341">
        <f t="shared" si="3"/>
        <v>-266.86053306123836</v>
      </c>
      <c r="L12" s="353">
        <f t="shared" si="4"/>
        <v>-0.13293620748863713</v>
      </c>
      <c r="M12" s="346">
        <f t="shared" si="9"/>
        <v>2250.8111398175902</v>
      </c>
      <c r="N12" s="342">
        <f t="shared" si="10"/>
        <v>1960.617234192614</v>
      </c>
      <c r="O12" s="1050">
        <f t="shared" si="5"/>
        <v>-290.1939056249762</v>
      </c>
      <c r="P12" s="93">
        <f t="shared" si="6"/>
        <v>-0.12892858956104777</v>
      </c>
    </row>
    <row r="13" spans="1:20">
      <c r="B13" s="193"/>
      <c r="C13" s="60"/>
      <c r="D13" s="159" t="s">
        <v>169</v>
      </c>
      <c r="E13" s="352">
        <f t="shared" si="0"/>
        <v>258.06156400658494</v>
      </c>
      <c r="F13" s="341">
        <f t="shared" si="0"/>
        <v>238.5925083962272</v>
      </c>
      <c r="G13" s="341">
        <f t="shared" si="1"/>
        <v>-19.469055610357742</v>
      </c>
      <c r="H13" s="343">
        <f t="shared" si="2"/>
        <v>-7.544345352359777E-2</v>
      </c>
      <c r="I13" s="352">
        <f t="shared" si="7"/>
        <v>1941.2665443156475</v>
      </c>
      <c r="J13" s="341">
        <f t="shared" si="8"/>
        <v>1657.1361763803384</v>
      </c>
      <c r="K13" s="341">
        <f t="shared" si="3"/>
        <v>-284.1303679353091</v>
      </c>
      <c r="L13" s="353">
        <f t="shared" si="4"/>
        <v>-0.14636339804407089</v>
      </c>
      <c r="M13" s="346">
        <f t="shared" si="9"/>
        <v>2194.137265346254</v>
      </c>
      <c r="N13" s="342">
        <f t="shared" si="10"/>
        <v>1889.5725004735968</v>
      </c>
      <c r="O13" s="1050">
        <f t="shared" si="5"/>
        <v>-304.56476487265718</v>
      </c>
      <c r="P13" s="93">
        <f t="shared" si="6"/>
        <v>-0.13880843723083761</v>
      </c>
    </row>
    <row r="14" spans="1:20">
      <c r="B14" s="193"/>
      <c r="C14" s="60"/>
      <c r="D14" s="159" t="s">
        <v>170</v>
      </c>
      <c r="E14" s="352">
        <f t="shared" si="0"/>
        <v>393.20021769593268</v>
      </c>
      <c r="F14" s="341">
        <f t="shared" si="0"/>
        <v>382.81013964467286</v>
      </c>
      <c r="G14" s="341">
        <f t="shared" si="1"/>
        <v>-10.39007805125982</v>
      </c>
      <c r="H14" s="343">
        <f t="shared" si="2"/>
        <v>-2.6424395469929814E-2</v>
      </c>
      <c r="I14" s="352">
        <f t="shared" si="7"/>
        <v>2889.3232822194818</v>
      </c>
      <c r="J14" s="341">
        <f t="shared" si="8"/>
        <v>2621.8049640262784</v>
      </c>
      <c r="K14" s="341">
        <f t="shared" si="3"/>
        <v>-267.51831819320341</v>
      </c>
      <c r="L14" s="353">
        <f t="shared" si="4"/>
        <v>-9.2588572500514638E-2</v>
      </c>
      <c r="M14" s="346">
        <f t="shared" si="9"/>
        <v>3267.27722415776</v>
      </c>
      <c r="N14" s="342">
        <f t="shared" si="10"/>
        <v>3010.9551378748929</v>
      </c>
      <c r="O14" s="1050">
        <f t="shared" si="5"/>
        <v>-256.32208628286708</v>
      </c>
      <c r="P14" s="93">
        <f t="shared" si="6"/>
        <v>-7.8451281815837312E-2</v>
      </c>
    </row>
    <row r="15" spans="1:20">
      <c r="B15" s="193"/>
      <c r="C15" s="60"/>
      <c r="D15" s="159" t="s">
        <v>171</v>
      </c>
      <c r="E15" s="352">
        <f t="shared" si="0"/>
        <v>235.03445780538499</v>
      </c>
      <c r="F15" s="341">
        <f t="shared" si="0"/>
        <v>242.90577148796288</v>
      </c>
      <c r="G15" s="341">
        <f t="shared" si="1"/>
        <v>7.8713136825778918</v>
      </c>
      <c r="H15" s="343">
        <f t="shared" si="2"/>
        <v>3.3490041230871591E-2</v>
      </c>
      <c r="I15" s="352">
        <f t="shared" si="7"/>
        <v>1747.0942970913939</v>
      </c>
      <c r="J15" s="341">
        <f t="shared" si="8"/>
        <v>1791.745865843001</v>
      </c>
      <c r="K15" s="341">
        <f t="shared" si="3"/>
        <v>44.651568751607101</v>
      </c>
      <c r="L15" s="353">
        <f t="shared" si="4"/>
        <v>2.5557618055272773E-2</v>
      </c>
      <c r="M15" s="346">
        <f t="shared" si="9"/>
        <v>1985.507770597</v>
      </c>
      <c r="N15" s="342">
        <f t="shared" si="10"/>
        <v>2049.3247693252265</v>
      </c>
      <c r="O15" s="1050">
        <f t="shared" si="5"/>
        <v>63.816998728226508</v>
      </c>
      <c r="P15" s="93">
        <f t="shared" si="6"/>
        <v>3.2141399632517227E-2</v>
      </c>
    </row>
    <row r="16" spans="1:20">
      <c r="B16" s="193"/>
      <c r="C16" s="60"/>
      <c r="D16" s="159" t="s">
        <v>172</v>
      </c>
      <c r="E16" s="352">
        <f t="shared" si="0"/>
        <v>259.63119134170529</v>
      </c>
      <c r="F16" s="341">
        <f t="shared" si="0"/>
        <v>266.02569500649952</v>
      </c>
      <c r="G16" s="341">
        <f t="shared" si="1"/>
        <v>6.3945036647942288</v>
      </c>
      <c r="H16" s="343">
        <f t="shared" si="2"/>
        <v>2.4629181231072914E-2</v>
      </c>
      <c r="I16" s="352">
        <f t="shared" si="7"/>
        <v>1951.8867009029896</v>
      </c>
      <c r="J16" s="341">
        <f t="shared" si="8"/>
        <v>2036.5733342662993</v>
      </c>
      <c r="K16" s="341">
        <f t="shared" si="3"/>
        <v>84.686633363309738</v>
      </c>
      <c r="L16" s="353">
        <f t="shared" si="4"/>
        <v>4.338706407709611E-2</v>
      </c>
      <c r="M16" s="346">
        <f t="shared" si="9"/>
        <v>2194.5046665667419</v>
      </c>
      <c r="N16" s="342">
        <f t="shared" si="10"/>
        <v>2316.1148029163933</v>
      </c>
      <c r="O16" s="1050">
        <f t="shared" si="5"/>
        <v>121.61013634965138</v>
      </c>
      <c r="P16" s="93">
        <f t="shared" si="6"/>
        <v>5.5415756549703758E-2</v>
      </c>
    </row>
    <row r="17" spans="2:20">
      <c r="B17" s="193"/>
      <c r="C17" s="60"/>
      <c r="D17" s="159" t="s">
        <v>28</v>
      </c>
      <c r="E17" s="352">
        <f t="shared" si="0"/>
        <v>220.47329113900599</v>
      </c>
      <c r="F17" s="341">
        <f t="shared" si="0"/>
        <v>274.89966435286476</v>
      </c>
      <c r="G17" s="341">
        <f t="shared" si="1"/>
        <v>54.426373213858767</v>
      </c>
      <c r="H17" s="343">
        <f t="shared" si="2"/>
        <v>0.24686152654900739</v>
      </c>
      <c r="I17" s="352">
        <f t="shared" si="7"/>
        <v>1492.4409708464127</v>
      </c>
      <c r="J17" s="341">
        <f t="shared" si="8"/>
        <v>1518.9101804566712</v>
      </c>
      <c r="K17" s="341">
        <f t="shared" si="3"/>
        <v>26.469209610258531</v>
      </c>
      <c r="L17" s="353">
        <f t="shared" si="4"/>
        <v>1.7735515258098928E-2</v>
      </c>
      <c r="M17" s="346">
        <f t="shared" si="9"/>
        <v>1711.2566112728546</v>
      </c>
      <c r="N17" s="342">
        <f t="shared" si="10"/>
        <v>1771.732047840248</v>
      </c>
      <c r="O17" s="1050">
        <f t="shared" si="5"/>
        <v>60.475436567393444</v>
      </c>
      <c r="P17" s="93">
        <f t="shared" si="6"/>
        <v>3.5339782572066172E-2</v>
      </c>
    </row>
    <row r="18" spans="2:20" ht="12" thickBot="1">
      <c r="B18" s="193"/>
      <c r="C18" s="60"/>
      <c r="D18" s="159" t="s">
        <v>173</v>
      </c>
      <c r="E18" s="354">
        <f t="shared" si="0"/>
        <v>363.70457432710828</v>
      </c>
      <c r="F18" s="355">
        <f t="shared" si="0"/>
        <v>365.26276604256975</v>
      </c>
      <c r="G18" s="355">
        <f t="shared" si="1"/>
        <v>1.5581917154614757</v>
      </c>
      <c r="H18" s="356">
        <f t="shared" si="2"/>
        <v>4.2842235854313746E-3</v>
      </c>
      <c r="I18" s="354">
        <f t="shared" si="7"/>
        <v>2635.1960775981984</v>
      </c>
      <c r="J18" s="355">
        <f t="shared" si="8"/>
        <v>2669.6359130060032</v>
      </c>
      <c r="K18" s="355">
        <f t="shared" si="3"/>
        <v>34.439835407804821</v>
      </c>
      <c r="L18" s="357">
        <f t="shared" si="4"/>
        <v>1.3069173751652813E-2</v>
      </c>
      <c r="M18" s="358">
        <f t="shared" si="9"/>
        <v>3001.9716021904578</v>
      </c>
      <c r="N18" s="359">
        <f t="shared" si="10"/>
        <v>3066.3495941497576</v>
      </c>
      <c r="O18" s="1051">
        <f t="shared" si="5"/>
        <v>64.377991959299834</v>
      </c>
      <c r="P18" s="1054">
        <f t="shared" si="6"/>
        <v>2.144523682779842E-2</v>
      </c>
    </row>
    <row r="19" spans="2:20" ht="12" thickBot="1">
      <c r="B19" s="193"/>
      <c r="C19" s="60"/>
      <c r="D19" s="195" t="s">
        <v>174</v>
      </c>
      <c r="E19" s="360">
        <f>SUM(E5:E18)</f>
        <v>3832.2051402706834</v>
      </c>
      <c r="F19" s="361">
        <f>SUM(F5:F18)</f>
        <v>3846.4306220342046</v>
      </c>
      <c r="G19" s="361">
        <f>SUM(G5:G18)</f>
        <v>14.225481763521628</v>
      </c>
      <c r="H19" s="1030">
        <f t="shared" si="2"/>
        <v>3.7120877517837752E-3</v>
      </c>
      <c r="I19" s="360">
        <f>SUM(I5:I18)</f>
        <v>27956.596882260383</v>
      </c>
      <c r="J19" s="361">
        <f>SUM(J5:J18)</f>
        <v>27023.401013276049</v>
      </c>
      <c r="K19" s="361">
        <f>SUM(K5:K18)</f>
        <v>-933.19586898434363</v>
      </c>
      <c r="L19" s="362">
        <f t="shared" si="4"/>
        <v>-3.3380166867752602E-2</v>
      </c>
      <c r="M19" s="364">
        <f>SUM(M5:M18)</f>
        <v>31806.904392576875</v>
      </c>
      <c r="N19" s="365">
        <f>SUM(N5:N18)</f>
        <v>31024.226379163178</v>
      </c>
      <c r="O19" s="1052">
        <f>SUM(O5:O18)</f>
        <v>-782.67801341369591</v>
      </c>
      <c r="P19" s="1055">
        <f t="shared" si="6"/>
        <v>-2.4607173453709566E-2</v>
      </c>
      <c r="Q19" s="1"/>
    </row>
    <row r="20" spans="2:20" ht="12" thickBot="1">
      <c r="B20" s="193"/>
      <c r="C20" s="60"/>
      <c r="D20" s="2"/>
      <c r="E20" s="908"/>
      <c r="F20" s="908"/>
      <c r="G20" s="908"/>
      <c r="H20" s="2"/>
      <c r="I20" s="908"/>
      <c r="J20" s="908"/>
      <c r="K20" s="908"/>
      <c r="L20" s="13"/>
      <c r="M20" s="908"/>
      <c r="N20" s="908"/>
      <c r="O20" s="908"/>
    </row>
    <row r="21" spans="2:20" ht="12" customHeight="1" thickBot="1">
      <c r="B21" s="193"/>
      <c r="E21" s="1240" t="s">
        <v>1392</v>
      </c>
      <c r="F21" s="1241"/>
      <c r="G21" s="1241"/>
      <c r="H21" s="1241"/>
      <c r="I21" s="1240" t="s">
        <v>1393</v>
      </c>
      <c r="J21" s="1241"/>
      <c r="K21" s="1241"/>
      <c r="L21" s="1244"/>
      <c r="M21" s="1240" t="s">
        <v>600</v>
      </c>
      <c r="N21" s="1241"/>
      <c r="O21" s="1241"/>
      <c r="P21" s="1244"/>
    </row>
    <row r="22" spans="2:20" ht="32.25" customHeight="1">
      <c r="B22" s="193"/>
      <c r="C22" s="2"/>
      <c r="E22" s="1009" t="s">
        <v>297</v>
      </c>
      <c r="F22" s="1010" t="s">
        <v>298</v>
      </c>
      <c r="G22" s="1010" t="s">
        <v>602</v>
      </c>
      <c r="H22" s="1010" t="s">
        <v>602</v>
      </c>
      <c r="I22" s="1009" t="s">
        <v>297</v>
      </c>
      <c r="J22" s="1010" t="s">
        <v>603</v>
      </c>
      <c r="K22" s="1010" t="s">
        <v>602</v>
      </c>
      <c r="L22" s="1011" t="s">
        <v>602</v>
      </c>
      <c r="M22" s="1009" t="s">
        <v>297</v>
      </c>
      <c r="N22" s="1010" t="s">
        <v>604</v>
      </c>
      <c r="O22" s="1010" t="s">
        <v>602</v>
      </c>
      <c r="P22" s="1011" t="s">
        <v>602</v>
      </c>
    </row>
    <row r="23" spans="2:20" ht="12" customHeight="1" thickBot="1">
      <c r="B23" s="193"/>
      <c r="C23" s="2"/>
      <c r="D23" s="2"/>
      <c r="E23" s="316" t="s">
        <v>605</v>
      </c>
      <c r="F23" s="223" t="s">
        <v>605</v>
      </c>
      <c r="G23" s="223" t="s">
        <v>605</v>
      </c>
      <c r="H23" s="223" t="s">
        <v>606</v>
      </c>
      <c r="I23" s="316" t="s">
        <v>605</v>
      </c>
      <c r="J23" s="223" t="s">
        <v>605</v>
      </c>
      <c r="K23" s="223" t="s">
        <v>605</v>
      </c>
      <c r="L23" s="366" t="s">
        <v>606</v>
      </c>
      <c r="M23" s="316" t="s">
        <v>605</v>
      </c>
      <c r="N23" s="223" t="s">
        <v>605</v>
      </c>
      <c r="O23" s="223" t="s">
        <v>605</v>
      </c>
      <c r="P23" s="366" t="s">
        <v>606</v>
      </c>
    </row>
    <row r="24" spans="2:20">
      <c r="B24" s="193"/>
      <c r="C24" s="60"/>
      <c r="D24" s="159" t="s">
        <v>161</v>
      </c>
      <c r="E24" s="352">
        <f>E5</f>
        <v>314.29989152659925</v>
      </c>
      <c r="F24" s="341">
        <f>F5</f>
        <v>264.17710060360514</v>
      </c>
      <c r="G24" s="341">
        <f t="shared" ref="G24:G30" si="11">F24-E24</f>
        <v>-50.122790922994113</v>
      </c>
      <c r="H24" s="343">
        <f t="shared" ref="H24:H30" si="12">G24/E24</f>
        <v>-0.15947441368668819</v>
      </c>
      <c r="I24" s="352">
        <f>I5</f>
        <v>2085.0127522983307</v>
      </c>
      <c r="J24" s="341">
        <f>J5</f>
        <v>1916.9273903074281</v>
      </c>
      <c r="K24" s="341">
        <f t="shared" ref="K24:K29" si="13">J24-I24</f>
        <v>-168.08536199090258</v>
      </c>
      <c r="L24" s="1129">
        <f t="shared" ref="L24:L29" si="14">K24/I24</f>
        <v>-8.0615987506848757E-2</v>
      </c>
      <c r="M24" s="346">
        <f>M5</f>
        <v>2380.9591413155226</v>
      </c>
      <c r="N24" s="342">
        <f>N5</f>
        <v>2211.177713376986</v>
      </c>
      <c r="O24" s="342">
        <f t="shared" ref="O24:O29" si="15">N24-M24</f>
        <v>-169.78142793853658</v>
      </c>
      <c r="P24" s="1126">
        <f t="shared" ref="P24:P29" si="16">O24/M24</f>
        <v>-7.1307997265643672E-2</v>
      </c>
    </row>
    <row r="25" spans="2:20">
      <c r="B25" s="193"/>
      <c r="C25" s="60"/>
      <c r="D25" s="159" t="s">
        <v>187</v>
      </c>
      <c r="E25" s="352">
        <f>SUM(E6:E7)</f>
        <v>432.07672930791676</v>
      </c>
      <c r="F25" s="341">
        <f>SUM(F6:F7)</f>
        <v>485.72113853747692</v>
      </c>
      <c r="G25" s="341">
        <f t="shared" si="11"/>
        <v>53.644409229560154</v>
      </c>
      <c r="H25" s="343">
        <f t="shared" si="12"/>
        <v>0.1241548215648772</v>
      </c>
      <c r="I25" s="352">
        <f>SUM(I6:I7)</f>
        <v>3424.9132436462219</v>
      </c>
      <c r="J25" s="341">
        <f>SUM(J6:J7)</f>
        <v>3435.2512486628143</v>
      </c>
      <c r="K25" s="341">
        <f t="shared" si="13"/>
        <v>10.338005016592433</v>
      </c>
      <c r="L25" s="1129">
        <f t="shared" si="14"/>
        <v>3.0184720841531197E-3</v>
      </c>
      <c r="M25" s="346">
        <f>SUM(M6:M7)</f>
        <v>3923.3553607727554</v>
      </c>
      <c r="N25" s="342">
        <f>SUM(N6:N7)</f>
        <v>3938.4479908406583</v>
      </c>
      <c r="O25" s="342">
        <f t="shared" si="15"/>
        <v>15.092630067902974</v>
      </c>
      <c r="P25" s="1126">
        <f t="shared" si="16"/>
        <v>3.8468679688832179E-3</v>
      </c>
      <c r="S25" s="224"/>
      <c r="T25" s="224"/>
    </row>
    <row r="26" spans="2:20">
      <c r="B26" s="193"/>
      <c r="C26" s="60"/>
      <c r="D26" s="159" t="s">
        <v>1410</v>
      </c>
      <c r="E26" s="352">
        <f>SUM(E8:E11)</f>
        <v>1100.3421232091232</v>
      </c>
      <c r="F26" s="341">
        <f>SUM(F8:F11)</f>
        <v>1072.4499792729068</v>
      </c>
      <c r="G26" s="341">
        <f t="shared" si="11"/>
        <v>-27.892143936216371</v>
      </c>
      <c r="H26" s="343">
        <f t="shared" si="12"/>
        <v>-2.5348610534757642E-2</v>
      </c>
      <c r="I26" s="352">
        <f>SUM(I8:I11)</f>
        <v>7782.0299888660547</v>
      </c>
      <c r="J26" s="341">
        <f>SUM(J8:J11)</f>
        <v>7634.8434489127922</v>
      </c>
      <c r="K26" s="341">
        <f t="shared" si="13"/>
        <v>-147.18653995326258</v>
      </c>
      <c r="L26" s="1129">
        <f t="shared" si="14"/>
        <v>-1.8913643376322894E-2</v>
      </c>
      <c r="M26" s="346">
        <f>SUM(M8:M11)</f>
        <v>8897.1236105399366</v>
      </c>
      <c r="N26" s="342">
        <f>SUM(N8:N11)</f>
        <v>8809.9345881728041</v>
      </c>
      <c r="O26" s="342">
        <f t="shared" si="15"/>
        <v>-87.189022367132566</v>
      </c>
      <c r="P26" s="1126">
        <f>O26/M26</f>
        <v>-9.7996865260863066E-3</v>
      </c>
      <c r="S26" s="224"/>
      <c r="T26" s="224"/>
    </row>
    <row r="27" spans="2:20">
      <c r="B27" s="193"/>
      <c r="C27" s="60"/>
      <c r="D27" s="159" t="s">
        <v>188</v>
      </c>
      <c r="E27" s="352">
        <f>SUM(E12:E14)</f>
        <v>906.64288161383956</v>
      </c>
      <c r="F27" s="341">
        <f>SUM(F12:F14)</f>
        <v>874.98850673031927</v>
      </c>
      <c r="G27" s="341">
        <f t="shared" si="11"/>
        <v>-31.65437488352029</v>
      </c>
      <c r="H27" s="343">
        <f t="shared" si="12"/>
        <v>-3.4913829386908075E-2</v>
      </c>
      <c r="I27" s="352">
        <f>SUM(I12:I14)</f>
        <v>6838.0228510107863</v>
      </c>
      <c r="J27" s="341">
        <f>SUM(J12:J14)</f>
        <v>6019.5136318210352</v>
      </c>
      <c r="K27" s="341">
        <f t="shared" si="13"/>
        <v>-818.50921918975109</v>
      </c>
      <c r="L27" s="1129">
        <f t="shared" si="14"/>
        <v>-0.11969969054267789</v>
      </c>
      <c r="M27" s="346">
        <f>SUM(M12:M14)</f>
        <v>7712.2256293216051</v>
      </c>
      <c r="N27" s="342">
        <f>SUM(N12:N14)</f>
        <v>6861.1448725411037</v>
      </c>
      <c r="O27" s="342">
        <f t="shared" si="15"/>
        <v>-851.08075678050136</v>
      </c>
      <c r="P27" s="1126">
        <f t="shared" si="16"/>
        <v>-0.11035475330814011</v>
      </c>
    </row>
    <row r="28" spans="2:20">
      <c r="B28" s="193"/>
      <c r="C28" s="60"/>
      <c r="D28" s="159" t="s">
        <v>189</v>
      </c>
      <c r="E28" s="352">
        <f>SUM(E15:E16)</f>
        <v>494.66564914709028</v>
      </c>
      <c r="F28" s="341">
        <f>SUM(F15:F16)</f>
        <v>508.93146649446237</v>
      </c>
      <c r="G28" s="341">
        <f t="shared" si="11"/>
        <v>14.265817347372092</v>
      </c>
      <c r="H28" s="343">
        <f t="shared" si="12"/>
        <v>2.8839312719549908E-2</v>
      </c>
      <c r="I28" s="352">
        <f>SUM(I15:I16)</f>
        <v>3698.9809979943834</v>
      </c>
      <c r="J28" s="341">
        <f>SUM(J15:J16)</f>
        <v>3828.3192001093003</v>
      </c>
      <c r="K28" s="341">
        <f t="shared" si="13"/>
        <v>129.33820211491684</v>
      </c>
      <c r="L28" s="1129">
        <f t="shared" si="14"/>
        <v>3.4965900658869301E-2</v>
      </c>
      <c r="M28" s="346">
        <f>SUM(M15:M16)</f>
        <v>4180.0124371637421</v>
      </c>
      <c r="N28" s="342">
        <f>SUM(N15:N16)</f>
        <v>4365.4395722416193</v>
      </c>
      <c r="O28" s="342">
        <f t="shared" si="15"/>
        <v>185.42713507787721</v>
      </c>
      <c r="P28" s="1126">
        <f t="shared" si="16"/>
        <v>4.4360426641145312E-2</v>
      </c>
    </row>
    <row r="29" spans="2:20" ht="12" thickBot="1">
      <c r="B29" s="193"/>
      <c r="C29" s="60"/>
      <c r="D29" s="159" t="s">
        <v>190</v>
      </c>
      <c r="E29" s="354">
        <f>SUM(E17:E18)</f>
        <v>584.17786546611433</v>
      </c>
      <c r="F29" s="355">
        <f>SUM(F17:F18)</f>
        <v>640.16243039543451</v>
      </c>
      <c r="G29" s="355">
        <f t="shared" si="11"/>
        <v>55.984564929320186</v>
      </c>
      <c r="H29" s="356">
        <f t="shared" si="12"/>
        <v>9.5834793200612306E-2</v>
      </c>
      <c r="I29" s="354">
        <f>SUM(I17:I18)</f>
        <v>4127.6370484446106</v>
      </c>
      <c r="J29" s="355">
        <f>SUM(J17:J18)</f>
        <v>4188.5460934626744</v>
      </c>
      <c r="K29" s="355">
        <f t="shared" si="13"/>
        <v>60.909045018063807</v>
      </c>
      <c r="L29" s="1130">
        <f t="shared" si="14"/>
        <v>1.4756395560752065E-2</v>
      </c>
      <c r="M29" s="358">
        <f>SUM(M17:M18)</f>
        <v>4713.2282134633124</v>
      </c>
      <c r="N29" s="359">
        <f>SUM(N17:N18)</f>
        <v>4838.0816419900057</v>
      </c>
      <c r="O29" s="359">
        <f t="shared" si="15"/>
        <v>124.85342852669328</v>
      </c>
      <c r="P29" s="1127">
        <f t="shared" si="16"/>
        <v>2.6490002790454766E-2</v>
      </c>
      <c r="S29" s="224"/>
      <c r="T29" s="224"/>
    </row>
    <row r="30" spans="2:20" ht="12" thickBot="1">
      <c r="B30" s="193"/>
      <c r="C30" s="60"/>
      <c r="D30" s="195" t="s">
        <v>174</v>
      </c>
      <c r="E30" s="360">
        <f>SUM(E24:E29)</f>
        <v>3832.2051402706834</v>
      </c>
      <c r="F30" s="361">
        <f>SUM(F24:F29)</f>
        <v>3846.430622034205</v>
      </c>
      <c r="G30" s="361">
        <f t="shared" si="11"/>
        <v>14.225481763521657</v>
      </c>
      <c r="H30" s="362">
        <f t="shared" si="12"/>
        <v>3.7120877517837826E-3</v>
      </c>
      <c r="I30" s="360">
        <f>SUM(I24:I29)</f>
        <v>27956.596882260383</v>
      </c>
      <c r="J30" s="361">
        <f>SUM(J24:J29)</f>
        <v>27023.401013276049</v>
      </c>
      <c r="K30" s="361">
        <f>J30-I30</f>
        <v>-933.19586898433408</v>
      </c>
      <c r="L30" s="1131">
        <f>K30/I30</f>
        <v>-3.3380166867752255E-2</v>
      </c>
      <c r="M30" s="364">
        <f>SUM(M24:M29)</f>
        <v>31806.904392576878</v>
      </c>
      <c r="N30" s="365">
        <f>SUM(N24:N29)</f>
        <v>31024.226379163178</v>
      </c>
      <c r="O30" s="365">
        <f>N30-M30</f>
        <v>-782.67801341370068</v>
      </c>
      <c r="P30" s="1128">
        <f>O30/M30</f>
        <v>-2.4607173453709715E-2</v>
      </c>
    </row>
    <row r="31" spans="2:20">
      <c r="B31" s="193"/>
      <c r="C31" s="60"/>
      <c r="D31" s="2"/>
      <c r="E31" s="2"/>
      <c r="F31" s="2"/>
      <c r="G31" s="2"/>
      <c r="H31" s="2"/>
      <c r="I31" s="2"/>
      <c r="J31" s="2"/>
      <c r="K31" s="2"/>
      <c r="L31" s="2"/>
    </row>
    <row r="32" spans="2:20" ht="12" thickBot="1">
      <c r="B32" s="193"/>
      <c r="C32" s="60"/>
      <c r="D32" s="2"/>
      <c r="E32" s="2"/>
      <c r="F32" s="2"/>
      <c r="G32" s="2"/>
      <c r="H32" s="2"/>
      <c r="I32" s="2"/>
      <c r="J32" s="2"/>
      <c r="K32" s="224"/>
      <c r="L32" s="8"/>
      <c r="O32" s="224"/>
      <c r="T32" s="1"/>
    </row>
    <row r="33" spans="2:15" ht="25.5" customHeight="1" thickBot="1">
      <c r="B33" s="193"/>
      <c r="C33" s="60"/>
      <c r="E33" s="953"/>
      <c r="F33" s="1250" t="s">
        <v>1392</v>
      </c>
      <c r="G33" s="1248"/>
      <c r="H33" s="1248"/>
      <c r="I33" s="1248" t="s">
        <v>1393</v>
      </c>
      <c r="J33" s="1248"/>
      <c r="K33" s="1248"/>
      <c r="L33" s="1248" t="s">
        <v>600</v>
      </c>
      <c r="M33" s="1248"/>
      <c r="N33" s="1249"/>
      <c r="O33" s="8"/>
    </row>
    <row r="34" spans="2:15" ht="23.5" thickBot="1">
      <c r="B34" s="193"/>
      <c r="C34" s="60"/>
      <c r="D34" s="2"/>
      <c r="E34" s="377" t="s">
        <v>607</v>
      </c>
      <c r="F34" s="378" t="s">
        <v>608</v>
      </c>
      <c r="G34" s="379" t="s">
        <v>609</v>
      </c>
      <c r="H34" s="379" t="s">
        <v>610</v>
      </c>
      <c r="I34" s="379" t="s">
        <v>608</v>
      </c>
      <c r="J34" s="379" t="s">
        <v>609</v>
      </c>
      <c r="K34" s="379" t="s">
        <v>610</v>
      </c>
      <c r="L34" s="379" t="s">
        <v>608</v>
      </c>
      <c r="M34" s="379" t="s">
        <v>609</v>
      </c>
      <c r="N34" s="379" t="s">
        <v>610</v>
      </c>
    </row>
    <row r="35" spans="2:15" ht="12" customHeight="1">
      <c r="B35" s="193"/>
      <c r="C35" s="60"/>
      <c r="D35" s="159" t="s">
        <v>161</v>
      </c>
      <c r="E35" s="367">
        <f>E57</f>
        <v>0.58114666186475283</v>
      </c>
      <c r="F35" s="352">
        <f t="shared" ref="F35:F48" si="17">G5</f>
        <v>-50.122790922994113</v>
      </c>
      <c r="G35" s="341">
        <f>F35*(1-$E$35)</f>
        <v>-20.994098294751151</v>
      </c>
      <c r="H35" s="341">
        <f>F35*$E$35</f>
        <v>-29.128692628242963</v>
      </c>
      <c r="I35" s="341">
        <f t="shared" ref="I35:I48" si="18">K5</f>
        <v>-168.08536199090258</v>
      </c>
      <c r="J35" s="341">
        <f>I35*(1-$E$35)</f>
        <v>-70.403114961560945</v>
      </c>
      <c r="K35" s="341">
        <f>I35*$E$35</f>
        <v>-97.682247029341639</v>
      </c>
      <c r="L35" s="375">
        <f t="shared" ref="L35:L48" si="19">O5</f>
        <v>-169.78142793853658</v>
      </c>
      <c r="M35" s="375">
        <f>L35*(1-$E$35)</f>
        <v>-71.113517845424965</v>
      </c>
      <c r="N35" s="376">
        <f>L35*$E$35</f>
        <v>-98.667910093111615</v>
      </c>
    </row>
    <row r="36" spans="2:15" ht="12" customHeight="1">
      <c r="B36" s="193"/>
      <c r="C36" s="60"/>
      <c r="D36" s="159" t="s">
        <v>162</v>
      </c>
      <c r="E36" s="367">
        <f>F57</f>
        <v>0.55843703457782867</v>
      </c>
      <c r="F36" s="369">
        <f t="shared" si="17"/>
        <v>22.948589865701308</v>
      </c>
      <c r="G36" s="28">
        <f>F36*(1-$E$36)</f>
        <v>10.133247393356259</v>
      </c>
      <c r="H36" s="28">
        <f>F36*$E$36</f>
        <v>12.81534247234505</v>
      </c>
      <c r="I36" s="28">
        <f t="shared" si="18"/>
        <v>42.614705370634283</v>
      </c>
      <c r="J36" s="28">
        <f>I36*(1-$E$36)</f>
        <v>18.817075674049406</v>
      </c>
      <c r="K36" s="28">
        <f>I36*$E$36</f>
        <v>23.797629696584877</v>
      </c>
      <c r="L36" s="342">
        <f t="shared" si="19"/>
        <v>6.1165147687174795</v>
      </c>
      <c r="M36" s="342">
        <f>L36*(1-$E$36)</f>
        <v>2.7008263993233967</v>
      </c>
      <c r="N36" s="370">
        <f>L36*$E$36</f>
        <v>3.4156883693940827</v>
      </c>
    </row>
    <row r="37" spans="2:15">
      <c r="B37" s="193"/>
      <c r="C37" s="60"/>
      <c r="D37" s="159" t="s">
        <v>163</v>
      </c>
      <c r="E37" s="367">
        <f>G57</f>
        <v>0.55843703457782867</v>
      </c>
      <c r="F37" s="369">
        <f>G7</f>
        <v>30.695819363858817</v>
      </c>
      <c r="G37" s="28">
        <f>F37*(1-$E$37)</f>
        <v>13.554137024368808</v>
      </c>
      <c r="H37" s="28">
        <f>F37*$E$37</f>
        <v>17.141682339490011</v>
      </c>
      <c r="I37" s="28">
        <f t="shared" si="18"/>
        <v>-32.27670035404185</v>
      </c>
      <c r="J37" s="28">
        <f>I37*(1-$E$37)</f>
        <v>-14.252195522373567</v>
      </c>
      <c r="K37" s="28">
        <f>I37*$E$37</f>
        <v>-18.024504831668285</v>
      </c>
      <c r="L37" s="342">
        <f t="shared" si="19"/>
        <v>8.976115299185949</v>
      </c>
      <c r="M37" s="342">
        <f>L37*(1-$E$37)</f>
        <v>3.9635200894798683</v>
      </c>
      <c r="N37" s="370">
        <f>L37*$E$37</f>
        <v>5.0125952097060811</v>
      </c>
    </row>
    <row r="38" spans="2:15">
      <c r="B38" s="193"/>
      <c r="C38" s="60"/>
      <c r="D38" s="159" t="s">
        <v>164</v>
      </c>
      <c r="E38" s="367">
        <f>H57</f>
        <v>0.7</v>
      </c>
      <c r="F38" s="369">
        <f t="shared" si="17"/>
        <v>15.756443831239096</v>
      </c>
      <c r="G38" s="28">
        <f>F38*(1-$E$38)</f>
        <v>4.7269331493717299</v>
      </c>
      <c r="H38" s="28">
        <f>F38*$E$38</f>
        <v>11.029510681867366</v>
      </c>
      <c r="I38" s="28">
        <f t="shared" si="18"/>
        <v>10.793392896927344</v>
      </c>
      <c r="J38" s="28">
        <f>I38*(1-$E$38)</f>
        <v>3.2380178690782038</v>
      </c>
      <c r="K38" s="28">
        <f>I38*$E$38</f>
        <v>7.5553750278491405</v>
      </c>
      <c r="L38" s="342">
        <f t="shared" si="19"/>
        <v>19.024774935637652</v>
      </c>
      <c r="M38" s="342">
        <f>L38*(1-$E$38)</f>
        <v>5.7074324806912964</v>
      </c>
      <c r="N38" s="370">
        <f>L38*$E$38</f>
        <v>13.317342454946356</v>
      </c>
    </row>
    <row r="39" spans="2:15">
      <c r="B39" s="193"/>
      <c r="C39" s="60"/>
      <c r="D39" s="159" t="s">
        <v>165</v>
      </c>
      <c r="E39" s="367">
        <f>I57</f>
        <v>0.7</v>
      </c>
      <c r="F39" s="369">
        <f t="shared" si="17"/>
        <v>-27.508735981978191</v>
      </c>
      <c r="G39" s="28">
        <f>F39*(1-$E$38)</f>
        <v>-8.252620794593458</v>
      </c>
      <c r="H39" s="28">
        <f>F39*$E$38</f>
        <v>-19.256115187384733</v>
      </c>
      <c r="I39" s="28">
        <f t="shared" si="18"/>
        <v>-33.564762213189169</v>
      </c>
      <c r="J39" s="28">
        <f>I39*(1-$E$38)</f>
        <v>-10.069428663956753</v>
      </c>
      <c r="K39" s="28">
        <f>I39*$E$38</f>
        <v>-23.495333549232416</v>
      </c>
      <c r="L39" s="342">
        <f t="shared" si="19"/>
        <v>-25.322718969204288</v>
      </c>
      <c r="M39" s="342">
        <f>L39*(1-$E$38)</f>
        <v>-7.5968156907612876</v>
      </c>
      <c r="N39" s="370">
        <f>L39*$E$38</f>
        <v>-17.725903278442999</v>
      </c>
    </row>
    <row r="40" spans="2:15">
      <c r="B40" s="193"/>
      <c r="C40" s="60"/>
      <c r="D40" s="159" t="s">
        <v>166</v>
      </c>
      <c r="E40" s="367">
        <f>J57</f>
        <v>0.7</v>
      </c>
      <c r="F40" s="369">
        <f t="shared" si="17"/>
        <v>13.368028895143937</v>
      </c>
      <c r="G40" s="28">
        <f>F40*(1-$E$38)</f>
        <v>4.0104086685431817</v>
      </c>
      <c r="H40" s="28">
        <f>F40*$E$38</f>
        <v>9.3576202266007549</v>
      </c>
      <c r="I40" s="28">
        <f t="shared" si="18"/>
        <v>-65.047465969840232</v>
      </c>
      <c r="J40" s="28">
        <f>I40*(1-$E$38)</f>
        <v>-19.514239790952072</v>
      </c>
      <c r="K40" s="28">
        <f>I40*$E$38</f>
        <v>-45.533226178888157</v>
      </c>
      <c r="L40" s="342">
        <f t="shared" si="19"/>
        <v>-43.058778599630386</v>
      </c>
      <c r="M40" s="342">
        <f>L40*(1-$E$38)</f>
        <v>-12.917633579889118</v>
      </c>
      <c r="N40" s="370">
        <f>L40*$E$38</f>
        <v>-30.14114501974127</v>
      </c>
    </row>
    <row r="41" spans="2:15">
      <c r="B41" s="193"/>
      <c r="C41" s="60"/>
      <c r="D41" s="159" t="s">
        <v>167</v>
      </c>
      <c r="E41" s="367">
        <f>K57</f>
        <v>0.7</v>
      </c>
      <c r="F41" s="369">
        <f t="shared" si="17"/>
        <v>-29.50788068062127</v>
      </c>
      <c r="G41" s="28">
        <f>F41*(1-$E$38)</f>
        <v>-8.852364204186383</v>
      </c>
      <c r="H41" s="28">
        <f>F41*$E$38</f>
        <v>-20.655516476434887</v>
      </c>
      <c r="I41" s="28">
        <f t="shared" si="18"/>
        <v>-59.367704667160751</v>
      </c>
      <c r="J41" s="28">
        <f>I41*(1-$E$38)</f>
        <v>-17.81031140014823</v>
      </c>
      <c r="K41" s="28">
        <f>I41*$E$38</f>
        <v>-41.557393267012522</v>
      </c>
      <c r="L41" s="342">
        <f t="shared" si="19"/>
        <v>-37.832299733936452</v>
      </c>
      <c r="M41" s="342">
        <f>L41*(1-$E$38)</f>
        <v>-11.349689920180937</v>
      </c>
      <c r="N41" s="370">
        <f>L41*$E$38</f>
        <v>-26.482609813755516</v>
      </c>
    </row>
    <row r="42" spans="2:15">
      <c r="B42" s="193"/>
      <c r="C42" s="60"/>
      <c r="D42" s="159" t="s">
        <v>168</v>
      </c>
      <c r="E42" s="367">
        <f>L57</f>
        <v>0.53284185719504162</v>
      </c>
      <c r="F42" s="369">
        <f t="shared" si="17"/>
        <v>-1.7952412219027565</v>
      </c>
      <c r="G42" s="28">
        <f>F42*(1-$E$42)</f>
        <v>-0.83866155511099583</v>
      </c>
      <c r="H42" s="28">
        <f>F42*$E$42</f>
        <v>-0.95657966679176065</v>
      </c>
      <c r="I42" s="28">
        <f t="shared" si="18"/>
        <v>-266.86053306123836</v>
      </c>
      <c r="J42" s="28">
        <f>I42*(1-$E$42)</f>
        <v>-124.66607101282931</v>
      </c>
      <c r="K42" s="28">
        <f>I42*$E$42</f>
        <v>-142.19446204840906</v>
      </c>
      <c r="L42" s="342">
        <f t="shared" si="19"/>
        <v>-290.1939056249762</v>
      </c>
      <c r="M42" s="342">
        <f>L42*(1-$E$42)</f>
        <v>-135.56644600508125</v>
      </c>
      <c r="N42" s="370">
        <f>L42*$E$42</f>
        <v>-154.62745961989495</v>
      </c>
    </row>
    <row r="43" spans="2:15">
      <c r="B43" s="193"/>
      <c r="C43" s="60"/>
      <c r="D43" s="159" t="s">
        <v>169</v>
      </c>
      <c r="E43" s="367">
        <f>M57</f>
        <v>0.53284185719504162</v>
      </c>
      <c r="F43" s="369">
        <f t="shared" si="17"/>
        <v>-19.469055610357742</v>
      </c>
      <c r="G43" s="28">
        <f>F43*(1-$E$42)</f>
        <v>-9.0951278611011777</v>
      </c>
      <c r="H43" s="28">
        <f>F43*$E$42</f>
        <v>-10.373927749256564</v>
      </c>
      <c r="I43" s="28">
        <f t="shared" si="18"/>
        <v>-284.1303679353091</v>
      </c>
      <c r="J43" s="28">
        <f>I43*(1-$E$42)</f>
        <v>-132.73381499914851</v>
      </c>
      <c r="K43" s="28">
        <f>I43*$E$42</f>
        <v>-151.39655293616059</v>
      </c>
      <c r="L43" s="342">
        <f t="shared" si="19"/>
        <v>-304.56476487265718</v>
      </c>
      <c r="M43" s="342">
        <f>L43*(1-$E$42)</f>
        <v>-142.27990992173935</v>
      </c>
      <c r="N43" s="370">
        <f>L43*$E$42</f>
        <v>-162.28485495091783</v>
      </c>
    </row>
    <row r="44" spans="2:15">
      <c r="B44" s="193"/>
      <c r="C44" s="60"/>
      <c r="D44" s="159" t="s">
        <v>170</v>
      </c>
      <c r="E44" s="367">
        <f>N57</f>
        <v>0.53284185719504162</v>
      </c>
      <c r="F44" s="369">
        <f t="shared" si="17"/>
        <v>-10.39007805125982</v>
      </c>
      <c r="G44" s="28">
        <f>F44*(1-$E$42)</f>
        <v>-4.8538095660250988</v>
      </c>
      <c r="H44" s="28">
        <f>F44*$E$42</f>
        <v>-5.5362684852347215</v>
      </c>
      <c r="I44" s="28">
        <f t="shared" si="18"/>
        <v>-267.51831819320341</v>
      </c>
      <c r="J44" s="28">
        <f>I44*(1-$E$42)</f>
        <v>-124.97336069344281</v>
      </c>
      <c r="K44" s="28">
        <f>I44*$E$42</f>
        <v>-142.54495749976059</v>
      </c>
      <c r="L44" s="342">
        <f t="shared" si="19"/>
        <v>-256.32208628286708</v>
      </c>
      <c r="M44" s="342">
        <f>L44*(1-$E$42)</f>
        <v>-119.74294978779648</v>
      </c>
      <c r="N44" s="370">
        <f>L44*$E$42</f>
        <v>-136.5791364950706</v>
      </c>
    </row>
    <row r="45" spans="2:15" ht="11.25" customHeight="1">
      <c r="B45" s="193"/>
      <c r="C45" s="60"/>
      <c r="D45" s="159" t="s">
        <v>171</v>
      </c>
      <c r="E45" s="367">
        <f>O57</f>
        <v>0.53504574557495777</v>
      </c>
      <c r="F45" s="369">
        <f t="shared" si="17"/>
        <v>7.8713136825778918</v>
      </c>
      <c r="G45" s="28">
        <f>F45*(1-$E$45)</f>
        <v>3.6598007846286373</v>
      </c>
      <c r="H45" s="28">
        <f>F45*$E$45</f>
        <v>4.2115128979492544</v>
      </c>
      <c r="I45" s="28">
        <f t="shared" si="18"/>
        <v>44.651568751607101</v>
      </c>
      <c r="J45" s="28">
        <f>I45*(1-$E$45)</f>
        <v>20.760936857811995</v>
      </c>
      <c r="K45" s="28">
        <f>I45*$E$45</f>
        <v>23.890631893795106</v>
      </c>
      <c r="L45" s="342">
        <f t="shared" si="19"/>
        <v>63.816998728226508</v>
      </c>
      <c r="M45" s="342">
        <f>L45*(1-$E$45)</f>
        <v>29.671985063326424</v>
      </c>
      <c r="N45" s="370">
        <f>L45*$E$45</f>
        <v>34.145013664900084</v>
      </c>
    </row>
    <row r="46" spans="2:15">
      <c r="B46" s="193"/>
      <c r="C46" s="60"/>
      <c r="D46" s="159" t="s">
        <v>172</v>
      </c>
      <c r="E46" s="367">
        <f>P57</f>
        <v>0.53504574557495777</v>
      </c>
      <c r="F46" s="369">
        <f t="shared" si="17"/>
        <v>6.3945036647942288</v>
      </c>
      <c r="G46" s="28">
        <f>F46*(1-$E$45)</f>
        <v>2.9731516838826009</v>
      </c>
      <c r="H46" s="28">
        <f>F46*$E$45</f>
        <v>3.421351980911628</v>
      </c>
      <c r="I46" s="28">
        <f t="shared" si="18"/>
        <v>84.686633363309738</v>
      </c>
      <c r="J46" s="28">
        <f>I46*(1-$E$45)</f>
        <v>39.375410475204589</v>
      </c>
      <c r="K46" s="28">
        <f>I46*$E$45</f>
        <v>45.311222888105149</v>
      </c>
      <c r="L46" s="342">
        <f t="shared" si="19"/>
        <v>121.61013634965138</v>
      </c>
      <c r="M46" s="342">
        <f>L46*(1-$E$45)</f>
        <v>56.543150276979887</v>
      </c>
      <c r="N46" s="370">
        <f>L46*$E$45</f>
        <v>65.066986072671497</v>
      </c>
    </row>
    <row r="47" spans="2:15">
      <c r="B47" s="193"/>
      <c r="C47" s="60"/>
      <c r="D47" s="159" t="s">
        <v>28</v>
      </c>
      <c r="E47" s="367">
        <f>Q57</f>
        <v>0.56471375271214463</v>
      </c>
      <c r="F47" s="369">
        <f t="shared" si="17"/>
        <v>54.426373213858767</v>
      </c>
      <c r="G47" s="28">
        <f>F47*(1-$E$47)</f>
        <v>23.691051749748834</v>
      </c>
      <c r="H47" s="28">
        <f>F47*$E$47</f>
        <v>30.735321464109933</v>
      </c>
      <c r="I47" s="28">
        <f t="shared" si="18"/>
        <v>26.469209610258531</v>
      </c>
      <c r="J47" s="28">
        <f>I47*(1-$E$47)</f>
        <v>11.521682919925073</v>
      </c>
      <c r="K47" s="28">
        <f>I47*$E$47</f>
        <v>14.947526690333458</v>
      </c>
      <c r="L47" s="342">
        <f t="shared" si="19"/>
        <v>60.475436567393444</v>
      </c>
      <c r="M47" s="342">
        <f>L47*(1-$E$47)</f>
        <v>26.324125836515435</v>
      </c>
      <c r="N47" s="370">
        <f>L47*$E$47</f>
        <v>34.151310730878009</v>
      </c>
    </row>
    <row r="48" spans="2:15" ht="12" thickBot="1">
      <c r="B48" s="193"/>
      <c r="C48" s="60"/>
      <c r="D48" s="159" t="s">
        <v>173</v>
      </c>
      <c r="E48" s="367">
        <f>R57</f>
        <v>0.56471375271214463</v>
      </c>
      <c r="F48" s="371">
        <f t="shared" si="17"/>
        <v>1.5581917154614757</v>
      </c>
      <c r="G48" s="372">
        <f>F48*(1-$E$47)</f>
        <v>0.67825942437825149</v>
      </c>
      <c r="H48" s="372">
        <f>F48*$E$47</f>
        <v>0.87993229108322424</v>
      </c>
      <c r="I48" s="372">
        <f t="shared" si="18"/>
        <v>34.439835407804821</v>
      </c>
      <c r="J48" s="372">
        <f>I48*(1-$E$47)</f>
        <v>14.991186711874766</v>
      </c>
      <c r="K48" s="372">
        <f>I48*$E$47</f>
        <v>19.448648695930054</v>
      </c>
      <c r="L48" s="359">
        <f t="shared" si="19"/>
        <v>64.377991959299834</v>
      </c>
      <c r="M48" s="359">
        <f>L48*(1-$E$47)</f>
        <v>28.022854527891351</v>
      </c>
      <c r="N48" s="373">
        <f>L48*$E$47</f>
        <v>36.35513743140848</v>
      </c>
    </row>
    <row r="49" spans="1:22" ht="12" thickBot="1">
      <c r="A49" s="103"/>
      <c r="B49" s="193"/>
      <c r="C49" s="60"/>
      <c r="D49" s="195" t="s">
        <v>174</v>
      </c>
      <c r="E49" s="368"/>
      <c r="F49" s="360">
        <f t="shared" ref="F49:N49" si="20">SUM(F35:F48)</f>
        <v>14.225481763521628</v>
      </c>
      <c r="G49" s="361">
        <f t="shared" si="20"/>
        <v>10.540307602510039</v>
      </c>
      <c r="H49" s="361">
        <f t="shared" si="20"/>
        <v>3.6851741610115907</v>
      </c>
      <c r="I49" s="361">
        <f t="shared" si="20"/>
        <v>-933.19586898434363</v>
      </c>
      <c r="J49" s="361">
        <f t="shared" si="20"/>
        <v>-405.71822653646814</v>
      </c>
      <c r="K49" s="361">
        <f t="shared" si="20"/>
        <v>-527.4776424478755</v>
      </c>
      <c r="L49" s="365">
        <f t="shared" si="20"/>
        <v>-782.67801341369591</v>
      </c>
      <c r="M49" s="365">
        <f t="shared" si="20"/>
        <v>-347.63306807666572</v>
      </c>
      <c r="N49" s="374">
        <f t="shared" si="20"/>
        <v>-435.0449453370303</v>
      </c>
    </row>
    <row r="50" spans="1:22">
      <c r="A50" s="103"/>
      <c r="B50" s="193"/>
      <c r="C50" s="60"/>
      <c r="D50" s="2"/>
      <c r="E50" s="2"/>
      <c r="F50" s="2"/>
      <c r="G50" s="2"/>
      <c r="H50" s="2"/>
      <c r="I50" s="2"/>
      <c r="J50" s="2"/>
      <c r="K50" s="2"/>
      <c r="L50" s="2"/>
      <c r="O50" s="8"/>
    </row>
    <row r="51" spans="1:22">
      <c r="A51" s="103"/>
      <c r="B51" s="193"/>
      <c r="C51" s="2"/>
      <c r="D51" s="2"/>
      <c r="E51" s="2"/>
      <c r="F51" s="2"/>
      <c r="G51" s="2"/>
      <c r="H51" s="2"/>
      <c r="I51" s="2"/>
      <c r="J51" s="2"/>
      <c r="K51" s="2"/>
      <c r="L51" s="2"/>
      <c r="O51" s="125"/>
      <c r="P51" s="125"/>
      <c r="Q51" s="122"/>
    </row>
    <row r="52" spans="1:22" s="1" customFormat="1" ht="12" thickBot="1">
      <c r="A52" s="207"/>
      <c r="B52" s="193"/>
      <c r="D52" s="140" t="s">
        <v>611</v>
      </c>
      <c r="E52" s="1" t="s">
        <v>137</v>
      </c>
      <c r="M52" s="208"/>
      <c r="N52" s="208"/>
      <c r="O52" s="208"/>
      <c r="P52" s="208"/>
      <c r="Q52" s="208"/>
      <c r="R52" s="208"/>
    </row>
    <row r="53" spans="1:22" ht="12" thickBot="1">
      <c r="A53" s="103"/>
      <c r="B53" s="193"/>
      <c r="C53" s="2"/>
      <c r="D53" s="2"/>
      <c r="E53" s="781" t="s">
        <v>161</v>
      </c>
      <c r="F53" s="782" t="s">
        <v>162</v>
      </c>
      <c r="G53" s="782" t="s">
        <v>163</v>
      </c>
      <c r="H53" s="782" t="s">
        <v>164</v>
      </c>
      <c r="I53" s="782" t="s">
        <v>165</v>
      </c>
      <c r="J53" s="782" t="s">
        <v>166</v>
      </c>
      <c r="K53" s="783" t="s">
        <v>167</v>
      </c>
      <c r="L53" s="781" t="s">
        <v>168</v>
      </c>
      <c r="M53" s="782" t="s">
        <v>169</v>
      </c>
      <c r="N53" s="782" t="s">
        <v>170</v>
      </c>
      <c r="O53" s="782" t="s">
        <v>171</v>
      </c>
      <c r="P53" s="782" t="s">
        <v>172</v>
      </c>
      <c r="Q53" s="782" t="s">
        <v>28</v>
      </c>
      <c r="R53" s="852" t="s">
        <v>173</v>
      </c>
      <c r="S53" s="855"/>
      <c r="U53" s="996"/>
      <c r="V53" s="996"/>
    </row>
    <row r="54" spans="1:22">
      <c r="A54" s="103"/>
      <c r="B54" s="193"/>
      <c r="C54" s="2"/>
      <c r="D54" s="469" t="s">
        <v>612</v>
      </c>
      <c r="E54" s="104">
        <v>301.87346100614377</v>
      </c>
      <c r="F54" s="104">
        <v>233.00177265685329</v>
      </c>
      <c r="G54" s="104">
        <v>307.36345191589129</v>
      </c>
      <c r="H54" s="104">
        <v>331.21096045064189</v>
      </c>
      <c r="I54" s="104">
        <v>362.5893268996</v>
      </c>
      <c r="J54" s="104">
        <v>186.84444740452849</v>
      </c>
      <c r="K54" s="104">
        <v>273.00086274751908</v>
      </c>
      <c r="L54" s="104">
        <v>314.35795066480654</v>
      </c>
      <c r="M54" s="104">
        <v>283.46034161206234</v>
      </c>
      <c r="N54" s="104">
        <v>424.67248560458847</v>
      </c>
      <c r="O54" s="104">
        <v>260.80363292337768</v>
      </c>
      <c r="P54" s="104">
        <v>300.51616552263732</v>
      </c>
      <c r="Q54" s="104">
        <v>205.1175413608012</v>
      </c>
      <c r="R54" s="104">
        <v>391.09642872990474</v>
      </c>
      <c r="U54" s="112"/>
      <c r="V54" s="112"/>
    </row>
    <row r="55" spans="1:22">
      <c r="A55" s="103"/>
      <c r="B55" s="193"/>
      <c r="C55" s="2"/>
      <c r="D55" s="784" t="s">
        <v>613</v>
      </c>
      <c r="E55" s="1116">
        <v>293.15141527205401</v>
      </c>
      <c r="F55" s="1116">
        <v>226.15238928983544</v>
      </c>
      <c r="G55" s="1116">
        <v>299.28442563515034</v>
      </c>
      <c r="H55" s="1116">
        <v>374.02107204480535</v>
      </c>
      <c r="I55" s="1116">
        <v>369.29588607154835</v>
      </c>
      <c r="J55" s="1116">
        <v>170.30759070203101</v>
      </c>
      <c r="K55" s="1116">
        <v>267.63884168783466</v>
      </c>
      <c r="L55" s="1116">
        <v>226.72122338777444</v>
      </c>
      <c r="M55" s="1116">
        <v>207.45004016973718</v>
      </c>
      <c r="N55" s="1116">
        <v>336.88757074038125</v>
      </c>
      <c r="O55" s="1116">
        <v>231.44466693213451</v>
      </c>
      <c r="P55" s="1116">
        <v>287.99643360118461</v>
      </c>
      <c r="Q55" s="1116">
        <v>181.49509966876872</v>
      </c>
      <c r="R55" s="1116">
        <v>336.79685610322178</v>
      </c>
      <c r="U55" s="112"/>
      <c r="V55" s="112"/>
    </row>
    <row r="56" spans="1:22" s="9" customFormat="1">
      <c r="A56" s="259"/>
      <c r="B56" s="193"/>
      <c r="D56" s="785" t="s">
        <v>614</v>
      </c>
      <c r="E56" s="261">
        <f>E55-E54</f>
        <v>-8.722045734089761</v>
      </c>
      <c r="F56" s="261">
        <f t="shared" ref="F56:R56" si="21">F55-F54</f>
        <v>-6.8493833670178503</v>
      </c>
      <c r="G56" s="261">
        <f t="shared" si="21"/>
        <v>-8.0790262807409476</v>
      </c>
      <c r="H56" s="261">
        <f t="shared" si="21"/>
        <v>42.810111594163459</v>
      </c>
      <c r="I56" s="261">
        <f t="shared" si="21"/>
        <v>6.7065591719483564</v>
      </c>
      <c r="J56" s="261">
        <f t="shared" si="21"/>
        <v>-16.536856702497488</v>
      </c>
      <c r="K56" s="261">
        <f t="shared" si="21"/>
        <v>-5.3620210596844231</v>
      </c>
      <c r="L56" s="261">
        <f t="shared" si="21"/>
        <v>-87.636727277032094</v>
      </c>
      <c r="M56" s="261">
        <f t="shared" si="21"/>
        <v>-76.010301442325158</v>
      </c>
      <c r="N56" s="261">
        <f t="shared" si="21"/>
        <v>-87.784914864207224</v>
      </c>
      <c r="O56" s="261">
        <f t="shared" si="21"/>
        <v>-29.358965991243167</v>
      </c>
      <c r="P56" s="261">
        <f t="shared" si="21"/>
        <v>-12.519731921452717</v>
      </c>
      <c r="Q56" s="261">
        <f t="shared" si="21"/>
        <v>-23.622441692032481</v>
      </c>
      <c r="R56" s="261">
        <f t="shared" si="21"/>
        <v>-54.299572626682959</v>
      </c>
      <c r="S56" s="2"/>
      <c r="T56" s="2"/>
    </row>
    <row r="57" spans="1:22">
      <c r="A57" s="103"/>
      <c r="B57" s="260"/>
      <c r="C57" s="2"/>
      <c r="D57" s="784" t="s">
        <v>615</v>
      </c>
      <c r="E57" s="105">
        <v>0.58114666186475283</v>
      </c>
      <c r="F57" s="105">
        <v>0.55843703457782867</v>
      </c>
      <c r="G57" s="105">
        <v>0.55843703457782867</v>
      </c>
      <c r="H57" s="105">
        <v>0.7</v>
      </c>
      <c r="I57" s="105">
        <v>0.7</v>
      </c>
      <c r="J57" s="105">
        <v>0.7</v>
      </c>
      <c r="K57" s="105">
        <v>0.7</v>
      </c>
      <c r="L57" s="105">
        <v>0.53284185719504162</v>
      </c>
      <c r="M57" s="105">
        <v>0.53284185719504162</v>
      </c>
      <c r="N57" s="105">
        <v>0.53284185719504162</v>
      </c>
      <c r="O57" s="105">
        <v>0.53504574557495777</v>
      </c>
      <c r="P57" s="105">
        <v>0.53504574557495777</v>
      </c>
      <c r="Q57" s="105">
        <v>0.56471375271214463</v>
      </c>
      <c r="R57" s="105">
        <v>0.56471375271214463</v>
      </c>
      <c r="U57" s="112"/>
      <c r="V57" s="112"/>
    </row>
    <row r="58" spans="1:22" ht="12" thickBot="1">
      <c r="A58" s="103"/>
      <c r="B58" s="193"/>
      <c r="C58" s="2"/>
      <c r="D58" s="786" t="s">
        <v>616</v>
      </c>
      <c r="E58" s="104">
        <f t="shared" ref="E58:R58" si="22">(E57*-E56)+E55</f>
        <v>298.22020303505201</v>
      </c>
      <c r="F58" s="104">
        <f t="shared" si="22"/>
        <v>229.97733862599958</v>
      </c>
      <c r="G58" s="104">
        <f t="shared" si="22"/>
        <v>303.79605311364367</v>
      </c>
      <c r="H58" s="104">
        <f t="shared" si="22"/>
        <v>344.05399392889092</v>
      </c>
      <c r="I58" s="104">
        <f t="shared" si="22"/>
        <v>364.6012946511845</v>
      </c>
      <c r="J58" s="104">
        <f t="shared" si="22"/>
        <v>181.88339039377925</v>
      </c>
      <c r="K58" s="104">
        <f t="shared" si="22"/>
        <v>271.39225642961372</v>
      </c>
      <c r="L58" s="104">
        <f t="shared" si="22"/>
        <v>273.41773990856359</v>
      </c>
      <c r="M58" s="104">
        <f t="shared" si="22"/>
        <v>247.95151035622067</v>
      </c>
      <c r="N58" s="104">
        <f t="shared" si="22"/>
        <v>383.66304781033404</v>
      </c>
      <c r="O58" s="104">
        <f t="shared" si="22"/>
        <v>247.15305678022904</v>
      </c>
      <c r="P58" s="104">
        <f t="shared" si="22"/>
        <v>294.6950629014969</v>
      </c>
      <c r="Q58" s="104">
        <f t="shared" si="22"/>
        <v>194.83501736490021</v>
      </c>
      <c r="R58" s="104">
        <f t="shared" si="22"/>
        <v>367.46057153190156</v>
      </c>
      <c r="U58" s="112"/>
      <c r="V58" s="112"/>
    </row>
    <row r="59" spans="1:22">
      <c r="A59" s="103"/>
      <c r="B59" s="193"/>
      <c r="C59" s="2"/>
      <c r="D59" s="2"/>
      <c r="E59" s="9"/>
      <c r="F59" s="9"/>
      <c r="G59" s="9"/>
      <c r="H59" s="9"/>
      <c r="I59" s="9"/>
      <c r="J59" s="9"/>
      <c r="K59" s="9"/>
      <c r="L59" s="2"/>
    </row>
    <row r="60" spans="1:22">
      <c r="A60" s="103"/>
      <c r="B60" s="193"/>
      <c r="C60" s="2"/>
      <c r="D60" s="2"/>
      <c r="E60" s="257"/>
      <c r="F60" s="257"/>
      <c r="G60" s="171"/>
      <c r="H60" s="171"/>
      <c r="I60" s="171"/>
      <c r="J60" s="171"/>
      <c r="K60" s="171"/>
      <c r="L60" s="2"/>
    </row>
    <row r="61" spans="1:22">
      <c r="A61" s="103"/>
      <c r="B61" s="193"/>
      <c r="C61" s="2"/>
      <c r="D61" s="2"/>
      <c r="E61" s="208" t="s">
        <v>138</v>
      </c>
      <c r="F61" s="208"/>
      <c r="G61" s="208"/>
      <c r="H61" s="208"/>
      <c r="I61" s="208"/>
      <c r="J61" s="208"/>
      <c r="K61" s="208"/>
      <c r="L61" s="2"/>
      <c r="T61" s="1"/>
      <c r="U61" s="1"/>
      <c r="V61" s="1"/>
    </row>
    <row r="62" spans="1:22" ht="12" thickBot="1">
      <c r="A62" s="103"/>
      <c r="B62" s="193"/>
      <c r="C62" s="2"/>
      <c r="D62" s="103"/>
      <c r="E62" s="856" t="s">
        <v>161</v>
      </c>
      <c r="F62" s="380" t="s">
        <v>162</v>
      </c>
      <c r="G62" s="380" t="s">
        <v>163</v>
      </c>
      <c r="H62" s="380" t="s">
        <v>164</v>
      </c>
      <c r="I62" s="380" t="s">
        <v>165</v>
      </c>
      <c r="J62" s="380" t="s">
        <v>166</v>
      </c>
      <c r="K62" s="380" t="s">
        <v>167</v>
      </c>
      <c r="L62" s="380" t="s">
        <v>168</v>
      </c>
      <c r="M62" s="380" t="s">
        <v>169</v>
      </c>
      <c r="N62" s="380" t="s">
        <v>170</v>
      </c>
      <c r="O62" s="380" t="s">
        <v>171</v>
      </c>
      <c r="P62" s="380" t="s">
        <v>172</v>
      </c>
      <c r="Q62" s="380" t="s">
        <v>28</v>
      </c>
      <c r="R62" s="380" t="s">
        <v>173</v>
      </c>
      <c r="U62" s="996"/>
      <c r="V62" s="996"/>
    </row>
    <row r="63" spans="1:22">
      <c r="A63" s="103"/>
      <c r="B63" s="193"/>
      <c r="C63" s="2"/>
      <c r="D63" s="469" t="s">
        <v>617</v>
      </c>
      <c r="E63" s="104">
        <v>288.51641461593755</v>
      </c>
      <c r="F63" s="104">
        <v>228.86321811532517</v>
      </c>
      <c r="G63" s="104">
        <v>289.80276319326106</v>
      </c>
      <c r="H63" s="104">
        <v>332.36394927064146</v>
      </c>
      <c r="I63" s="104">
        <v>355.09376556347479</v>
      </c>
      <c r="J63" s="104">
        <v>188.52806218585917</v>
      </c>
      <c r="K63" s="104">
        <v>273.80532842777171</v>
      </c>
      <c r="L63" s="104">
        <v>308.47688704861355</v>
      </c>
      <c r="M63" s="104">
        <v>310.52821908291014</v>
      </c>
      <c r="N63" s="104">
        <v>438.60197064137367</v>
      </c>
      <c r="O63" s="104">
        <v>259.30687439251801</v>
      </c>
      <c r="P63" s="104">
        <v>312.36542774722517</v>
      </c>
      <c r="Q63" s="104">
        <v>213.02007499490506</v>
      </c>
      <c r="R63" s="104">
        <v>399.74627155084198</v>
      </c>
      <c r="U63" s="112"/>
      <c r="V63" s="112"/>
    </row>
    <row r="64" spans="1:22">
      <c r="A64" s="103"/>
      <c r="B64" s="193"/>
      <c r="C64" s="2"/>
      <c r="D64" s="784" t="s">
        <v>618</v>
      </c>
      <c r="E64" s="1116">
        <v>248.47412178639325</v>
      </c>
      <c r="F64" s="1116">
        <v>221.47358479840952</v>
      </c>
      <c r="G64" s="1116">
        <v>258.10647031489032</v>
      </c>
      <c r="H64" s="1116">
        <v>376.67411861792056</v>
      </c>
      <c r="I64" s="1116">
        <v>372.67227109120273</v>
      </c>
      <c r="J64" s="1116">
        <v>177.04544040952177</v>
      </c>
      <c r="K64" s="1116">
        <v>306.5427417318258</v>
      </c>
      <c r="L64" s="1116">
        <v>244.24287282557077</v>
      </c>
      <c r="M64" s="1116">
        <v>242.01288824180875</v>
      </c>
      <c r="N64" s="1116">
        <v>365.34277472381899</v>
      </c>
      <c r="O64" s="1116">
        <v>249.56083905698563</v>
      </c>
      <c r="P64" s="1116">
        <v>301.32026631748334</v>
      </c>
      <c r="Q64" s="1116">
        <v>204.24379206833947</v>
      </c>
      <c r="R64" s="1116">
        <v>361.86941954004357</v>
      </c>
      <c r="U64" s="112"/>
      <c r="V64" s="112"/>
    </row>
    <row r="65" spans="1:22" s="9" customFormat="1">
      <c r="A65" s="259"/>
      <c r="B65" s="193"/>
      <c r="D65" s="785" t="s">
        <v>614</v>
      </c>
      <c r="E65" s="261">
        <f>E64-E63</f>
        <v>-40.042292829544294</v>
      </c>
      <c r="F65" s="261">
        <f t="shared" ref="F65:K65" si="23">F64-F63</f>
        <v>-7.3896333169156492</v>
      </c>
      <c r="G65" s="261">
        <f t="shared" si="23"/>
        <v>-31.696292878370741</v>
      </c>
      <c r="H65" s="261">
        <f t="shared" si="23"/>
        <v>44.3101693472791</v>
      </c>
      <c r="I65" s="261">
        <f t="shared" si="23"/>
        <v>17.578505527727941</v>
      </c>
      <c r="J65" s="261">
        <f t="shared" si="23"/>
        <v>-11.482621776337396</v>
      </c>
      <c r="K65" s="261">
        <f t="shared" si="23"/>
        <v>32.737413304054087</v>
      </c>
      <c r="L65" s="261">
        <f>L64-L63</f>
        <v>-64.234014223042777</v>
      </c>
      <c r="M65" s="261">
        <f t="shared" ref="M65:R65" si="24">M64-M63</f>
        <v>-68.515330841101388</v>
      </c>
      <c r="N65" s="261">
        <f t="shared" si="24"/>
        <v>-73.259195917554678</v>
      </c>
      <c r="O65" s="261">
        <f t="shared" si="24"/>
        <v>-9.7460353355323832</v>
      </c>
      <c r="P65" s="261">
        <f t="shared" si="24"/>
        <v>-11.045161429741825</v>
      </c>
      <c r="Q65" s="261">
        <f t="shared" si="24"/>
        <v>-8.7762829265655853</v>
      </c>
      <c r="R65" s="261">
        <f t="shared" si="24"/>
        <v>-37.876852010798416</v>
      </c>
      <c r="S65" s="2"/>
      <c r="T65" s="2"/>
    </row>
    <row r="66" spans="1:22">
      <c r="A66" s="103"/>
      <c r="B66" s="260"/>
      <c r="C66" s="2"/>
      <c r="D66" s="784" t="s">
        <v>615</v>
      </c>
      <c r="E66" s="105">
        <f>E57</f>
        <v>0.58114666186475283</v>
      </c>
      <c r="F66" s="105">
        <f t="shared" ref="F66:K66" si="25">F57</f>
        <v>0.55843703457782867</v>
      </c>
      <c r="G66" s="105">
        <f t="shared" si="25"/>
        <v>0.55843703457782867</v>
      </c>
      <c r="H66" s="105">
        <f t="shared" si="25"/>
        <v>0.7</v>
      </c>
      <c r="I66" s="105">
        <f t="shared" si="25"/>
        <v>0.7</v>
      </c>
      <c r="J66" s="105">
        <f t="shared" si="25"/>
        <v>0.7</v>
      </c>
      <c r="K66" s="105">
        <f t="shared" si="25"/>
        <v>0.7</v>
      </c>
      <c r="L66" s="105">
        <f>L57</f>
        <v>0.53284185719504162</v>
      </c>
      <c r="M66" s="105">
        <f t="shared" ref="M66:R66" si="26">M57</f>
        <v>0.53284185719504162</v>
      </c>
      <c r="N66" s="105">
        <f t="shared" si="26"/>
        <v>0.53284185719504162</v>
      </c>
      <c r="O66" s="105">
        <f t="shared" si="26"/>
        <v>0.53504574557495777</v>
      </c>
      <c r="P66" s="105">
        <f t="shared" si="26"/>
        <v>0.53504574557495777</v>
      </c>
      <c r="Q66" s="105">
        <f t="shared" si="26"/>
        <v>0.56471375271214463</v>
      </c>
      <c r="R66" s="105">
        <f t="shared" si="26"/>
        <v>0.56471375271214463</v>
      </c>
      <c r="U66" s="112"/>
      <c r="V66" s="112"/>
    </row>
    <row r="67" spans="1:22" ht="12" thickBot="1">
      <c r="A67" s="103"/>
      <c r="B67" s="193"/>
      <c r="C67" s="2"/>
      <c r="D67" s="786" t="s">
        <v>616</v>
      </c>
      <c r="E67" s="104">
        <f>(E66*-E65)+E64</f>
        <v>271.74456659769385</v>
      </c>
      <c r="F67" s="104">
        <f t="shared" ref="F67:R67" si="27">(F66*-F65)+F64</f>
        <v>225.60022971452543</v>
      </c>
      <c r="G67" s="104">
        <f t="shared" si="27"/>
        <v>275.80685411699801</v>
      </c>
      <c r="H67" s="104">
        <f t="shared" si="27"/>
        <v>345.65700007482519</v>
      </c>
      <c r="I67" s="104">
        <f t="shared" si="27"/>
        <v>360.3673172217932</v>
      </c>
      <c r="J67" s="104">
        <f t="shared" si="27"/>
        <v>185.08327565295795</v>
      </c>
      <c r="K67" s="104">
        <f t="shared" si="27"/>
        <v>283.62655241898796</v>
      </c>
      <c r="L67" s="104">
        <f t="shared" si="27"/>
        <v>278.46944425926961</v>
      </c>
      <c r="M67" s="104">
        <f t="shared" si="27"/>
        <v>278.52072437351393</v>
      </c>
      <c r="N67" s="104">
        <f t="shared" si="27"/>
        <v>404.37834073314423</v>
      </c>
      <c r="O67" s="104">
        <f t="shared" si="27"/>
        <v>254.77541379948545</v>
      </c>
      <c r="P67" s="104">
        <f t="shared" si="27"/>
        <v>307.22993294965534</v>
      </c>
      <c r="Q67" s="104">
        <f t="shared" si="27"/>
        <v>209.19987973466385</v>
      </c>
      <c r="R67" s="104">
        <f t="shared" si="27"/>
        <v>383.2589987799841</v>
      </c>
      <c r="U67" s="112"/>
      <c r="V67" s="112"/>
    </row>
    <row r="68" spans="1:22">
      <c r="A68" s="103"/>
      <c r="B68" s="193"/>
      <c r="C68" s="2"/>
      <c r="D68" s="2"/>
      <c r="E68" s="2"/>
      <c r="F68" s="2"/>
      <c r="G68" s="2"/>
      <c r="H68" s="2"/>
      <c r="I68" s="2"/>
      <c r="J68" s="2"/>
      <c r="K68" s="2"/>
      <c r="L68" s="2"/>
    </row>
    <row r="69" spans="1:22">
      <c r="A69" s="103"/>
      <c r="B69" s="193"/>
      <c r="C69" s="2"/>
      <c r="D69" s="2"/>
      <c r="E69" s="2"/>
      <c r="F69" s="2"/>
      <c r="G69" s="2"/>
      <c r="H69" s="2"/>
      <c r="I69" s="2"/>
      <c r="J69" s="2"/>
      <c r="K69" s="2"/>
      <c r="L69" s="2"/>
    </row>
    <row r="70" spans="1:22">
      <c r="A70" s="103"/>
      <c r="B70" s="193"/>
      <c r="C70" s="2"/>
      <c r="D70" s="2"/>
      <c r="E70" s="208" t="s">
        <v>139</v>
      </c>
      <c r="F70" s="208"/>
      <c r="G70" s="208"/>
      <c r="H70" s="208"/>
      <c r="I70" s="2"/>
      <c r="J70" s="2"/>
      <c r="K70" s="2"/>
      <c r="L70" s="171"/>
      <c r="M70" s="171"/>
      <c r="N70" s="171"/>
      <c r="O70" s="171"/>
      <c r="P70" s="171"/>
      <c r="Q70" s="171"/>
      <c r="R70" s="171"/>
      <c r="T70" s="1"/>
      <c r="U70" s="1"/>
      <c r="V70" s="1"/>
    </row>
    <row r="71" spans="1:22" ht="12" thickBot="1">
      <c r="A71" s="103"/>
      <c r="B71" s="193"/>
      <c r="C71" s="2"/>
      <c r="D71" s="2"/>
      <c r="E71" s="380" t="s">
        <v>161</v>
      </c>
      <c r="F71" s="380" t="s">
        <v>162</v>
      </c>
      <c r="G71" s="380" t="s">
        <v>163</v>
      </c>
      <c r="H71" s="380" t="s">
        <v>164</v>
      </c>
      <c r="I71" s="380" t="s">
        <v>165</v>
      </c>
      <c r="J71" s="380" t="s">
        <v>166</v>
      </c>
      <c r="K71" s="380" t="s">
        <v>167</v>
      </c>
      <c r="L71" s="380" t="s">
        <v>168</v>
      </c>
      <c r="M71" s="380" t="s">
        <v>169</v>
      </c>
      <c r="N71" s="380" t="s">
        <v>170</v>
      </c>
      <c r="O71" s="380" t="s">
        <v>171</v>
      </c>
      <c r="P71" s="380" t="s">
        <v>172</v>
      </c>
      <c r="Q71" s="380" t="s">
        <v>28</v>
      </c>
      <c r="R71" s="380" t="s">
        <v>173</v>
      </c>
      <c r="U71" s="996"/>
      <c r="V71" s="996"/>
    </row>
    <row r="72" spans="1:22">
      <c r="A72" s="103"/>
      <c r="B72" s="193"/>
      <c r="C72" s="2"/>
      <c r="D72" s="469" t="s">
        <v>619</v>
      </c>
      <c r="E72" s="104">
        <v>291.09643654236214</v>
      </c>
      <c r="F72" s="104">
        <v>213.62488976306801</v>
      </c>
      <c r="G72" s="104">
        <v>284.97050799372431</v>
      </c>
      <c r="H72" s="104">
        <v>321.77650538573533</v>
      </c>
      <c r="I72" s="104">
        <v>316.03412320842483</v>
      </c>
      <c r="J72" s="104">
        <v>178.46476266408251</v>
      </c>
      <c r="K72" s="104">
        <v>268.74440770410911</v>
      </c>
      <c r="L72" s="104">
        <v>292.26300950469721</v>
      </c>
      <c r="M72" s="104">
        <v>291.87648867149221</v>
      </c>
      <c r="N72" s="104">
        <v>417.096362583558</v>
      </c>
      <c r="O72" s="104">
        <v>265.30586436634758</v>
      </c>
      <c r="P72" s="104">
        <v>286.32303980841584</v>
      </c>
      <c r="Q72" s="104">
        <v>211.13425364045091</v>
      </c>
      <c r="R72" s="104">
        <v>386.72442349586044</v>
      </c>
      <c r="U72" s="112"/>
      <c r="V72" s="112"/>
    </row>
    <row r="73" spans="1:22">
      <c r="A73" s="103"/>
      <c r="B73" s="193"/>
      <c r="C73" s="2"/>
      <c r="D73" s="784" t="s">
        <v>620</v>
      </c>
      <c r="E73" s="1116">
        <v>288.19413832001061</v>
      </c>
      <c r="F73" s="1116">
        <v>200.03702720418104</v>
      </c>
      <c r="G73" s="1116">
        <v>250.16925848601696</v>
      </c>
      <c r="H73" s="1116">
        <v>318.39139237344864</v>
      </c>
      <c r="I73" s="1116">
        <v>323.91397488687119</v>
      </c>
      <c r="J73" s="1116">
        <v>155.65755124332503</v>
      </c>
      <c r="K73" s="1116">
        <v>264.40959708848055</v>
      </c>
      <c r="L73" s="1116">
        <v>266.11808940875665</v>
      </c>
      <c r="M73" s="1116">
        <v>242.4371991794178</v>
      </c>
      <c r="N73" s="1116">
        <v>391.13391382207038</v>
      </c>
      <c r="O73" s="1116">
        <v>254.08786346571719</v>
      </c>
      <c r="P73" s="1116">
        <v>306.10397105291844</v>
      </c>
      <c r="Q73" s="1116">
        <v>193.4773249410197</v>
      </c>
      <c r="R73" s="1116">
        <v>407.08659053855689</v>
      </c>
      <c r="U73" s="112"/>
      <c r="V73" s="112"/>
    </row>
    <row r="74" spans="1:22">
      <c r="A74" s="103"/>
      <c r="B74" s="193"/>
      <c r="C74" s="2"/>
      <c r="D74" s="785" t="s">
        <v>614</v>
      </c>
      <c r="E74" s="261">
        <f>E73-E72</f>
        <v>-2.9022982223515328</v>
      </c>
      <c r="F74" s="261">
        <f t="shared" ref="F74:K74" si="28">F73-F72</f>
        <v>-13.587862558886968</v>
      </c>
      <c r="G74" s="261">
        <f t="shared" si="28"/>
        <v>-34.801249507707354</v>
      </c>
      <c r="H74" s="261">
        <f t="shared" si="28"/>
        <v>-3.3851130122866948</v>
      </c>
      <c r="I74" s="261">
        <f t="shared" si="28"/>
        <v>7.8798516784463573</v>
      </c>
      <c r="J74" s="261">
        <f t="shared" si="28"/>
        <v>-22.807211420757483</v>
      </c>
      <c r="K74" s="261">
        <f t="shared" si="28"/>
        <v>-4.3348106156285553</v>
      </c>
      <c r="L74" s="261">
        <f>L73-L72</f>
        <v>-26.144920095940563</v>
      </c>
      <c r="M74" s="261">
        <f t="shared" ref="M74:R74" si="29">M73-M72</f>
        <v>-49.439289492074408</v>
      </c>
      <c r="N74" s="261">
        <f t="shared" si="29"/>
        <v>-25.962448761487622</v>
      </c>
      <c r="O74" s="261">
        <f t="shared" si="29"/>
        <v>-11.218000900630386</v>
      </c>
      <c r="P74" s="261">
        <f t="shared" si="29"/>
        <v>19.780931244502597</v>
      </c>
      <c r="Q74" s="261">
        <f t="shared" si="29"/>
        <v>-17.656928699431205</v>
      </c>
      <c r="R74" s="261">
        <f t="shared" si="29"/>
        <v>20.362167042696456</v>
      </c>
      <c r="U74" s="9"/>
      <c r="V74" s="9"/>
    </row>
    <row r="75" spans="1:22">
      <c r="A75" s="103"/>
      <c r="B75" s="193"/>
      <c r="C75" s="2"/>
      <c r="D75" s="784" t="s">
        <v>615</v>
      </c>
      <c r="E75" s="105">
        <f>E57</f>
        <v>0.58114666186475283</v>
      </c>
      <c r="F75" s="105">
        <f t="shared" ref="F75:R75" si="30">F57</f>
        <v>0.55843703457782867</v>
      </c>
      <c r="G75" s="105">
        <f t="shared" si="30"/>
        <v>0.55843703457782867</v>
      </c>
      <c r="H75" s="105">
        <f t="shared" si="30"/>
        <v>0.7</v>
      </c>
      <c r="I75" s="105">
        <f t="shared" si="30"/>
        <v>0.7</v>
      </c>
      <c r="J75" s="105">
        <f t="shared" si="30"/>
        <v>0.7</v>
      </c>
      <c r="K75" s="105">
        <f t="shared" si="30"/>
        <v>0.7</v>
      </c>
      <c r="L75" s="105">
        <f t="shared" si="30"/>
        <v>0.53284185719504162</v>
      </c>
      <c r="M75" s="105">
        <f t="shared" si="30"/>
        <v>0.53284185719504162</v>
      </c>
      <c r="N75" s="105">
        <f t="shared" si="30"/>
        <v>0.53284185719504162</v>
      </c>
      <c r="O75" s="105">
        <f t="shared" si="30"/>
        <v>0.53504574557495777</v>
      </c>
      <c r="P75" s="105">
        <f t="shared" si="30"/>
        <v>0.53504574557495777</v>
      </c>
      <c r="Q75" s="105">
        <f t="shared" si="30"/>
        <v>0.56471375271214463</v>
      </c>
      <c r="R75" s="105">
        <f t="shared" si="30"/>
        <v>0.56471375271214463</v>
      </c>
      <c r="U75" s="112"/>
      <c r="V75" s="112"/>
    </row>
    <row r="76" spans="1:22" ht="12" thickBot="1">
      <c r="A76" s="103"/>
      <c r="B76" s="193"/>
      <c r="C76" s="2"/>
      <c r="D76" s="786" t="s">
        <v>616</v>
      </c>
      <c r="E76" s="104">
        <f>(E75*-E74)+E73</f>
        <v>289.88079924366622</v>
      </c>
      <c r="F76" s="104">
        <f t="shared" ref="F76:R76" si="31">(F75*-F74)+F73</f>
        <v>207.62499287781699</v>
      </c>
      <c r="G76" s="104">
        <f t="shared" si="31"/>
        <v>269.60356506070417</v>
      </c>
      <c r="H76" s="104">
        <f t="shared" si="31"/>
        <v>320.76097148204934</v>
      </c>
      <c r="I76" s="104">
        <f t="shared" si="31"/>
        <v>318.39807871195876</v>
      </c>
      <c r="J76" s="104">
        <f t="shared" si="31"/>
        <v>171.62259923785527</v>
      </c>
      <c r="K76" s="104">
        <f t="shared" si="31"/>
        <v>267.44396451942055</v>
      </c>
      <c r="L76" s="104">
        <f t="shared" si="31"/>
        <v>280.04919718889357</v>
      </c>
      <c r="M76" s="104">
        <f t="shared" si="31"/>
        <v>268.78052201077804</v>
      </c>
      <c r="N76" s="104">
        <f t="shared" si="31"/>
        <v>404.96779323747256</v>
      </c>
      <c r="O76" s="104">
        <f t="shared" si="31"/>
        <v>260.09000712145553</v>
      </c>
      <c r="P76" s="104">
        <f t="shared" si="31"/>
        <v>295.52026794703659</v>
      </c>
      <c r="Q76" s="104">
        <f t="shared" si="31"/>
        <v>203.44843540824627</v>
      </c>
      <c r="R76" s="104">
        <f t="shared" si="31"/>
        <v>395.58779477452424</v>
      </c>
      <c r="U76" s="112"/>
      <c r="V76" s="112"/>
    </row>
    <row r="77" spans="1:22">
      <c r="A77" s="103"/>
      <c r="B77" s="193"/>
      <c r="C77" s="2"/>
      <c r="D77" s="2"/>
      <c r="E77" s="2"/>
      <c r="F77" s="2"/>
      <c r="G77" s="2"/>
      <c r="H77" s="2"/>
      <c r="I77" s="2"/>
      <c r="J77" s="2"/>
      <c r="K77" s="2"/>
      <c r="L77" s="2"/>
    </row>
    <row r="78" spans="1:22">
      <c r="A78" s="103"/>
      <c r="B78" s="193"/>
      <c r="C78" s="2"/>
      <c r="D78" s="2"/>
      <c r="E78" s="2"/>
      <c r="F78" s="2"/>
      <c r="G78" s="2"/>
      <c r="H78" s="2"/>
      <c r="I78" s="2"/>
      <c r="J78" s="2"/>
      <c r="K78" s="2"/>
      <c r="L78" s="2"/>
    </row>
    <row r="79" spans="1:22">
      <c r="A79" s="103"/>
      <c r="B79" s="193"/>
      <c r="C79" s="2"/>
      <c r="D79" s="2"/>
      <c r="E79" s="1" t="s">
        <v>140</v>
      </c>
      <c r="F79" s="2"/>
      <c r="G79" s="2"/>
      <c r="H79" s="2"/>
      <c r="I79" s="2"/>
      <c r="J79" s="2"/>
      <c r="K79" s="2"/>
      <c r="L79" s="2"/>
      <c r="T79" s="1"/>
      <c r="U79" s="1"/>
      <c r="V79" s="1"/>
    </row>
    <row r="80" spans="1:22" ht="12" thickBot="1">
      <c r="A80" s="103"/>
      <c r="B80" s="193"/>
      <c r="C80" s="2"/>
      <c r="D80" s="2"/>
      <c r="E80" s="380" t="s">
        <v>161</v>
      </c>
      <c r="F80" s="380" t="s">
        <v>162</v>
      </c>
      <c r="G80" s="380" t="s">
        <v>163</v>
      </c>
      <c r="H80" s="380" t="s">
        <v>164</v>
      </c>
      <c r="I80" s="380" t="s">
        <v>165</v>
      </c>
      <c r="J80" s="380" t="s">
        <v>166</v>
      </c>
      <c r="K80" s="380" t="s">
        <v>167</v>
      </c>
      <c r="L80" s="380" t="s">
        <v>168</v>
      </c>
      <c r="M80" s="380" t="s">
        <v>169</v>
      </c>
      <c r="N80" s="380" t="s">
        <v>170</v>
      </c>
      <c r="O80" s="380" t="s">
        <v>171</v>
      </c>
      <c r="P80" s="380" t="s">
        <v>172</v>
      </c>
      <c r="Q80" s="380" t="s">
        <v>28</v>
      </c>
      <c r="R80" s="380" t="s">
        <v>173</v>
      </c>
      <c r="U80" s="996"/>
      <c r="V80" s="996"/>
    </row>
    <row r="81" spans="1:22">
      <c r="A81" s="103"/>
      <c r="B81" s="193"/>
      <c r="C81" s="2"/>
      <c r="D81" s="469" t="s">
        <v>621</v>
      </c>
      <c r="E81" s="104">
        <v>294.06625586241353</v>
      </c>
      <c r="F81" s="104">
        <v>210.53287527134191</v>
      </c>
      <c r="G81" s="104">
        <v>287.61856247454432</v>
      </c>
      <c r="H81" s="104">
        <v>327.56823781053492</v>
      </c>
      <c r="I81" s="104">
        <v>322.28806784565512</v>
      </c>
      <c r="J81" s="104">
        <v>189.95214992316619</v>
      </c>
      <c r="K81" s="104">
        <v>272.53212590136781</v>
      </c>
      <c r="L81" s="104">
        <v>280.56237232448888</v>
      </c>
      <c r="M81" s="104">
        <v>276.6367078990674</v>
      </c>
      <c r="N81" s="104">
        <v>415.28819819154972</v>
      </c>
      <c r="O81" s="104">
        <v>252.01987186796529</v>
      </c>
      <c r="P81" s="104">
        <v>263.68644346843428</v>
      </c>
      <c r="Q81" s="104">
        <v>215.83254152787904</v>
      </c>
      <c r="R81" s="104">
        <v>390.44854232367049</v>
      </c>
      <c r="U81" s="112"/>
      <c r="V81" s="112"/>
    </row>
    <row r="82" spans="1:22">
      <c r="A82" s="103"/>
      <c r="B82" s="193"/>
      <c r="C82" s="2"/>
      <c r="D82" s="784" t="s">
        <v>622</v>
      </c>
      <c r="E82" s="1116">
        <v>295.90136826950197</v>
      </c>
      <c r="F82" s="1116">
        <v>205.38342691430455</v>
      </c>
      <c r="G82" s="1116">
        <v>263.18008329283123</v>
      </c>
      <c r="H82" s="1116">
        <v>287.81445035226676</v>
      </c>
      <c r="I82" s="1116">
        <v>292.3373715539272</v>
      </c>
      <c r="J82" s="1116">
        <v>162.45492534979596</v>
      </c>
      <c r="K82" s="1116">
        <v>243.91078011422195</v>
      </c>
      <c r="L82" s="1116">
        <v>251.05159275631789</v>
      </c>
      <c r="M82" s="1116">
        <v>249.9843488728965</v>
      </c>
      <c r="N82" s="1116">
        <v>374.47990408755402</v>
      </c>
      <c r="O82" s="1116">
        <v>280.22737336517105</v>
      </c>
      <c r="P82" s="1116">
        <v>319.48398921620293</v>
      </c>
      <c r="Q82" s="1116">
        <v>208.7896619284025</v>
      </c>
      <c r="R82" s="1116">
        <v>380.88083590800142</v>
      </c>
      <c r="U82" s="112"/>
      <c r="V82" s="112"/>
    </row>
    <row r="83" spans="1:22">
      <c r="A83" s="103"/>
      <c r="B83" s="193"/>
      <c r="C83" s="2"/>
      <c r="D83" s="785" t="s">
        <v>614</v>
      </c>
      <c r="E83" s="925">
        <f>E82-E81</f>
        <v>1.8351124070884453</v>
      </c>
      <c r="F83" s="925">
        <f t="shared" ref="F83:K83" si="32">F82-F81</f>
        <v>-5.1494483570373575</v>
      </c>
      <c r="G83" s="925">
        <f t="shared" si="32"/>
        <v>-24.438479181713092</v>
      </c>
      <c r="H83" s="925">
        <f t="shared" si="32"/>
        <v>-39.753787458268164</v>
      </c>
      <c r="I83" s="925">
        <f t="shared" si="32"/>
        <v>-29.950696291727922</v>
      </c>
      <c r="J83" s="925">
        <f t="shared" si="32"/>
        <v>-27.497224573370232</v>
      </c>
      <c r="K83" s="925">
        <f t="shared" si="32"/>
        <v>-28.621345787145856</v>
      </c>
      <c r="L83" s="925">
        <f>L82-L81</f>
        <v>-29.510779568170989</v>
      </c>
      <c r="M83" s="925">
        <f t="shared" ref="M83:R83" si="33">M82-M81</f>
        <v>-26.652359026170899</v>
      </c>
      <c r="N83" s="925">
        <f t="shared" si="33"/>
        <v>-40.808294103995706</v>
      </c>
      <c r="O83" s="925">
        <f t="shared" si="33"/>
        <v>28.207501497205755</v>
      </c>
      <c r="P83" s="925">
        <f t="shared" si="33"/>
        <v>55.797545747768652</v>
      </c>
      <c r="Q83" s="925">
        <f t="shared" si="33"/>
        <v>-7.0428795994765494</v>
      </c>
      <c r="R83" s="925">
        <f t="shared" si="33"/>
        <v>-9.567706415669079</v>
      </c>
      <c r="U83" s="9"/>
      <c r="V83" s="9"/>
    </row>
    <row r="84" spans="1:22">
      <c r="A84" s="103"/>
      <c r="B84" s="193"/>
      <c r="C84" s="2"/>
      <c r="D84" s="784" t="s">
        <v>615</v>
      </c>
      <c r="E84" s="926">
        <f>E66</f>
        <v>0.58114666186475283</v>
      </c>
      <c r="F84" s="926">
        <f t="shared" ref="F84:R84" si="34">F66</f>
        <v>0.55843703457782867</v>
      </c>
      <c r="G84" s="926">
        <f t="shared" si="34"/>
        <v>0.55843703457782867</v>
      </c>
      <c r="H84" s="926">
        <f t="shared" si="34"/>
        <v>0.7</v>
      </c>
      <c r="I84" s="926">
        <f t="shared" si="34"/>
        <v>0.7</v>
      </c>
      <c r="J84" s="926">
        <f t="shared" si="34"/>
        <v>0.7</v>
      </c>
      <c r="K84" s="926">
        <f t="shared" si="34"/>
        <v>0.7</v>
      </c>
      <c r="L84" s="926">
        <f t="shared" si="34"/>
        <v>0.53284185719504162</v>
      </c>
      <c r="M84" s="926">
        <f t="shared" si="34"/>
        <v>0.53284185719504162</v>
      </c>
      <c r="N84" s="926">
        <f t="shared" si="34"/>
        <v>0.53284185719504162</v>
      </c>
      <c r="O84" s="926">
        <f t="shared" si="34"/>
        <v>0.53504574557495777</v>
      </c>
      <c r="P84" s="926">
        <f t="shared" si="34"/>
        <v>0.53504574557495777</v>
      </c>
      <c r="Q84" s="926">
        <f t="shared" si="34"/>
        <v>0.56471375271214463</v>
      </c>
      <c r="R84" s="926">
        <f t="shared" si="34"/>
        <v>0.56471375271214463</v>
      </c>
      <c r="U84" s="112"/>
      <c r="V84" s="112"/>
    </row>
    <row r="85" spans="1:22" ht="12" thickBot="1">
      <c r="A85" s="103"/>
      <c r="B85" s="193"/>
      <c r="C85" s="2"/>
      <c r="D85" s="786" t="s">
        <v>616</v>
      </c>
      <c r="E85" s="927">
        <f>(E84*-E83)+E82</f>
        <v>294.83489881997593</v>
      </c>
      <c r="F85" s="927">
        <f t="shared" ref="F85:R85" si="35">(F84*-F83)+F82</f>
        <v>208.25906958452018</v>
      </c>
      <c r="G85" s="927">
        <f t="shared" si="35"/>
        <v>276.82743513665906</v>
      </c>
      <c r="H85" s="927">
        <f t="shared" si="35"/>
        <v>315.64210157305445</v>
      </c>
      <c r="I85" s="927">
        <f t="shared" si="35"/>
        <v>313.30285895813677</v>
      </c>
      <c r="J85" s="927">
        <f t="shared" si="35"/>
        <v>181.70298255115512</v>
      </c>
      <c r="K85" s="927">
        <f t="shared" si="35"/>
        <v>263.94572216522403</v>
      </c>
      <c r="L85" s="927">
        <f t="shared" si="35"/>
        <v>266.77617134869558</v>
      </c>
      <c r="M85" s="927">
        <f t="shared" si="35"/>
        <v>264.18584135503045</v>
      </c>
      <c r="N85" s="927">
        <f t="shared" si="35"/>
        <v>396.22427130688857</v>
      </c>
      <c r="O85" s="927">
        <f t="shared" si="35"/>
        <v>265.13506969579186</v>
      </c>
      <c r="P85" s="927">
        <f t="shared" si="35"/>
        <v>289.62974975033524</v>
      </c>
      <c r="Q85" s="927">
        <f t="shared" si="35"/>
        <v>212.76687289692271</v>
      </c>
      <c r="R85" s="927">
        <f t="shared" si="35"/>
        <v>386.28385130284198</v>
      </c>
      <c r="U85" s="112"/>
      <c r="V85" s="112"/>
    </row>
    <row r="86" spans="1:22">
      <c r="A86" s="103"/>
      <c r="B86" s="193"/>
      <c r="C86" s="2"/>
      <c r="D86" s="2"/>
      <c r="E86" s="2"/>
      <c r="F86" s="2"/>
      <c r="G86" s="2"/>
      <c r="H86" s="2"/>
      <c r="I86" s="2"/>
      <c r="J86" s="2"/>
      <c r="K86" s="2"/>
      <c r="L86" s="2"/>
    </row>
    <row r="87" spans="1:22">
      <c r="A87" s="103"/>
      <c r="B87" s="193"/>
      <c r="C87" s="2"/>
      <c r="D87" s="2"/>
      <c r="E87" s="2"/>
      <c r="F87" s="2"/>
      <c r="G87" s="2"/>
      <c r="H87" s="2"/>
      <c r="I87" s="2"/>
      <c r="J87" s="2"/>
      <c r="K87" s="2"/>
      <c r="L87" s="2"/>
    </row>
    <row r="88" spans="1:22">
      <c r="A88" s="103"/>
      <c r="B88" s="193"/>
      <c r="C88" s="2"/>
      <c r="D88" s="2"/>
      <c r="E88" s="1" t="s">
        <v>141</v>
      </c>
      <c r="F88" s="2"/>
      <c r="G88" s="2"/>
      <c r="H88" s="2"/>
      <c r="I88" s="2"/>
      <c r="J88" s="2"/>
      <c r="K88" s="2"/>
      <c r="L88" s="2"/>
      <c r="T88" s="1"/>
      <c r="U88" s="1"/>
      <c r="V88" s="1"/>
    </row>
    <row r="89" spans="1:22" ht="12" thickBot="1">
      <c r="A89" s="103"/>
      <c r="B89" s="193"/>
      <c r="C89" s="2"/>
      <c r="D89" s="2"/>
      <c r="E89" s="380" t="s">
        <v>161</v>
      </c>
      <c r="F89" s="380" t="s">
        <v>162</v>
      </c>
      <c r="G89" s="380" t="s">
        <v>163</v>
      </c>
      <c r="H89" s="380" t="s">
        <v>164</v>
      </c>
      <c r="I89" s="380" t="s">
        <v>165</v>
      </c>
      <c r="J89" s="380" t="s">
        <v>166</v>
      </c>
      <c r="K89" s="380" t="s">
        <v>167</v>
      </c>
      <c r="L89" s="380" t="s">
        <v>168</v>
      </c>
      <c r="M89" s="380" t="s">
        <v>169</v>
      </c>
      <c r="N89" s="380" t="s">
        <v>170</v>
      </c>
      <c r="O89" s="380" t="s">
        <v>171</v>
      </c>
      <c r="P89" s="380" t="s">
        <v>172</v>
      </c>
      <c r="Q89" s="380" t="s">
        <v>28</v>
      </c>
      <c r="R89" s="380" t="s">
        <v>173</v>
      </c>
      <c r="U89" s="996"/>
      <c r="V89" s="996"/>
    </row>
    <row r="90" spans="1:22">
      <c r="A90" s="103"/>
      <c r="B90" s="193"/>
      <c r="C90" s="2"/>
      <c r="D90" s="469" t="s">
        <v>623</v>
      </c>
      <c r="E90" s="104">
        <v>294.34248948224803</v>
      </c>
      <c r="F90" s="104">
        <v>209.46013354972649</v>
      </c>
      <c r="G90" s="104">
        <v>273.32585122556657</v>
      </c>
      <c r="H90" s="104">
        <v>336.78272656456994</v>
      </c>
      <c r="I90" s="104">
        <v>317.77804500738574</v>
      </c>
      <c r="J90" s="104">
        <v>173.42945563217108</v>
      </c>
      <c r="K90" s="104">
        <v>267.23881914387334</v>
      </c>
      <c r="L90" s="104">
        <v>285.25916969683476</v>
      </c>
      <c r="M90" s="104">
        <v>264.6578534706951</v>
      </c>
      <c r="N90" s="104">
        <v>409.99190790488967</v>
      </c>
      <c r="O90" s="104">
        <v>243.23198975490428</v>
      </c>
      <c r="P90" s="104">
        <v>262.58246759894166</v>
      </c>
      <c r="Q90" s="104">
        <v>221.43773502180079</v>
      </c>
      <c r="R90" s="104">
        <v>349.20591355258347</v>
      </c>
      <c r="U90" s="112"/>
      <c r="V90" s="112"/>
    </row>
    <row r="91" spans="1:22">
      <c r="A91" s="103"/>
      <c r="B91" s="193"/>
      <c r="C91" s="2"/>
      <c r="D91" s="784" t="s">
        <v>624</v>
      </c>
      <c r="E91" s="1116">
        <v>270.47184557614565</v>
      </c>
      <c r="F91" s="1116">
        <v>230.59931481234182</v>
      </c>
      <c r="G91" s="1116">
        <v>288.35221241254862</v>
      </c>
      <c r="H91" s="1116">
        <v>287.89198339516167</v>
      </c>
      <c r="I91" s="1116">
        <v>312.79054049380335</v>
      </c>
      <c r="J91" s="1116">
        <v>153.57912442301978</v>
      </c>
      <c r="K91" s="1116">
        <v>259.79524837008972</v>
      </c>
      <c r="L91" s="1116">
        <v>251.27105200931155</v>
      </c>
      <c r="M91" s="1116">
        <v>243.00691232756617</v>
      </c>
      <c r="N91" s="1116">
        <v>389.03268385463633</v>
      </c>
      <c r="O91" s="1116">
        <v>269.4931389460221</v>
      </c>
      <c r="P91" s="1116">
        <v>291.51071288244037</v>
      </c>
      <c r="Q91" s="1116">
        <v>216.26855739674397</v>
      </c>
      <c r="R91" s="1116">
        <v>415.00212925872518</v>
      </c>
      <c r="U91" s="112"/>
      <c r="V91" s="112"/>
    </row>
    <row r="92" spans="1:22">
      <c r="A92" s="103"/>
      <c r="B92" s="193"/>
      <c r="C92" s="2"/>
      <c r="D92" s="785" t="s">
        <v>614</v>
      </c>
      <c r="E92" s="925">
        <f>E91-E90</f>
        <v>-23.870643906102373</v>
      </c>
      <c r="F92" s="925">
        <f t="shared" ref="F92:K92" si="36">F91-F90</f>
        <v>21.139181262615324</v>
      </c>
      <c r="G92" s="925">
        <f t="shared" si="36"/>
        <v>15.026361186982058</v>
      </c>
      <c r="H92" s="925">
        <f t="shared" si="36"/>
        <v>-48.890743169408267</v>
      </c>
      <c r="I92" s="925">
        <f t="shared" si="36"/>
        <v>-4.9875045135823939</v>
      </c>
      <c r="J92" s="925">
        <f t="shared" si="36"/>
        <v>-19.850331209151307</v>
      </c>
      <c r="K92" s="925">
        <f t="shared" si="36"/>
        <v>-7.4435707737836196</v>
      </c>
      <c r="L92" s="925">
        <f>L91-L90</f>
        <v>-33.988117687523214</v>
      </c>
      <c r="M92" s="925">
        <f t="shared" ref="M92:R92" si="37">M91-M90</f>
        <v>-21.650941143128932</v>
      </c>
      <c r="N92" s="925">
        <f t="shared" si="37"/>
        <v>-20.95922405025334</v>
      </c>
      <c r="O92" s="925">
        <f t="shared" si="37"/>
        <v>26.261149191117823</v>
      </c>
      <c r="P92" s="925">
        <f t="shared" si="37"/>
        <v>28.928245283498711</v>
      </c>
      <c r="Q92" s="925">
        <f t="shared" si="37"/>
        <v>-5.1691776250568182</v>
      </c>
      <c r="R92" s="925">
        <f t="shared" si="37"/>
        <v>65.796215706141709</v>
      </c>
      <c r="U92" s="9"/>
      <c r="V92" s="9"/>
    </row>
    <row r="93" spans="1:22">
      <c r="A93" s="103"/>
      <c r="B93" s="193"/>
      <c r="C93" s="2"/>
      <c r="D93" s="784" t="s">
        <v>615</v>
      </c>
      <c r="E93" s="926">
        <f>E75</f>
        <v>0.58114666186475283</v>
      </c>
      <c r="F93" s="926">
        <f t="shared" ref="F93:R93" si="38">F75</f>
        <v>0.55843703457782867</v>
      </c>
      <c r="G93" s="926">
        <f t="shared" si="38"/>
        <v>0.55843703457782867</v>
      </c>
      <c r="H93" s="926">
        <f t="shared" si="38"/>
        <v>0.7</v>
      </c>
      <c r="I93" s="926">
        <f t="shared" si="38"/>
        <v>0.7</v>
      </c>
      <c r="J93" s="926">
        <f t="shared" si="38"/>
        <v>0.7</v>
      </c>
      <c r="K93" s="926">
        <f t="shared" si="38"/>
        <v>0.7</v>
      </c>
      <c r="L93" s="926">
        <f t="shared" si="38"/>
        <v>0.53284185719504162</v>
      </c>
      <c r="M93" s="926">
        <f t="shared" si="38"/>
        <v>0.53284185719504162</v>
      </c>
      <c r="N93" s="926">
        <f t="shared" si="38"/>
        <v>0.53284185719504162</v>
      </c>
      <c r="O93" s="926">
        <f t="shared" si="38"/>
        <v>0.53504574557495777</v>
      </c>
      <c r="P93" s="926">
        <f t="shared" si="38"/>
        <v>0.53504574557495777</v>
      </c>
      <c r="Q93" s="926">
        <f t="shared" si="38"/>
        <v>0.56471375271214463</v>
      </c>
      <c r="R93" s="926">
        <f t="shared" si="38"/>
        <v>0.56471375271214463</v>
      </c>
      <c r="U93" s="112"/>
      <c r="V93" s="112"/>
    </row>
    <row r="94" spans="1:22" ht="12" thickBot="1">
      <c r="A94" s="103"/>
      <c r="B94" s="193"/>
      <c r="C94" s="2"/>
      <c r="D94" s="786" t="s">
        <v>616</v>
      </c>
      <c r="E94" s="927">
        <f>(E93*-E92)+E91</f>
        <v>284.34419059873926</v>
      </c>
      <c r="F94" s="927">
        <f t="shared" ref="F94:R94" si="39">(F93*-F92)+F91</f>
        <v>218.7944131146437</v>
      </c>
      <c r="G94" s="927">
        <f t="shared" si="39"/>
        <v>279.96093583079499</v>
      </c>
      <c r="H94" s="927">
        <f t="shared" si="39"/>
        <v>322.11550361374748</v>
      </c>
      <c r="I94" s="927">
        <f t="shared" si="39"/>
        <v>316.28179365331101</v>
      </c>
      <c r="J94" s="927">
        <f t="shared" si="39"/>
        <v>167.4743562694257</v>
      </c>
      <c r="K94" s="927">
        <f t="shared" si="39"/>
        <v>265.00574791173824</v>
      </c>
      <c r="L94" s="927">
        <f t="shared" si="39"/>
        <v>269.38134376049504</v>
      </c>
      <c r="M94" s="927">
        <f t="shared" si="39"/>
        <v>254.54344001629153</v>
      </c>
      <c r="N94" s="927">
        <f t="shared" si="39"/>
        <v>400.20063572294032</v>
      </c>
      <c r="O94" s="927">
        <f t="shared" si="39"/>
        <v>255.44222279740526</v>
      </c>
      <c r="P94" s="927">
        <f t="shared" si="39"/>
        <v>276.03277831655555</v>
      </c>
      <c r="Q94" s="927">
        <f t="shared" si="39"/>
        <v>219.18766309182547</v>
      </c>
      <c r="R94" s="927">
        <f t="shared" si="39"/>
        <v>377.84610137305214</v>
      </c>
      <c r="U94" s="112"/>
      <c r="V94" s="112"/>
    </row>
    <row r="95" spans="1:22">
      <c r="A95" s="103"/>
      <c r="B95" s="193"/>
      <c r="C95" s="2"/>
      <c r="D95" s="2"/>
      <c r="E95" s="2"/>
      <c r="F95" s="2"/>
      <c r="G95" s="2"/>
      <c r="H95" s="2"/>
      <c r="I95" s="2"/>
      <c r="J95" s="2"/>
      <c r="K95" s="2"/>
      <c r="L95" s="2"/>
    </row>
    <row r="96" spans="1:22">
      <c r="A96" s="103"/>
      <c r="B96" s="193"/>
      <c r="C96" s="2"/>
      <c r="D96" s="2"/>
      <c r="E96" s="2"/>
      <c r="F96" s="2"/>
      <c r="G96" s="2"/>
      <c r="H96" s="2"/>
      <c r="I96" s="2"/>
      <c r="J96" s="2"/>
      <c r="K96" s="2"/>
      <c r="L96" s="2"/>
    </row>
    <row r="97" spans="1:18">
      <c r="A97" s="103"/>
      <c r="B97" s="193"/>
      <c r="C97" s="2"/>
      <c r="D97" s="2"/>
      <c r="E97" s="1" t="s">
        <v>126</v>
      </c>
      <c r="F97" s="2"/>
      <c r="G97" s="2"/>
      <c r="H97" s="2"/>
      <c r="I97" s="2"/>
      <c r="J97" s="2"/>
      <c r="K97" s="2"/>
      <c r="L97" s="2"/>
    </row>
    <row r="98" spans="1:18" ht="12" thickBot="1">
      <c r="A98" s="103"/>
      <c r="B98" s="193"/>
      <c r="C98" s="2"/>
      <c r="D98" s="2"/>
      <c r="E98" s="380" t="s">
        <v>161</v>
      </c>
      <c r="F98" s="380" t="s">
        <v>162</v>
      </c>
      <c r="G98" s="380" t="s">
        <v>163</v>
      </c>
      <c r="H98" s="380" t="s">
        <v>164</v>
      </c>
      <c r="I98" s="380" t="s">
        <v>165</v>
      </c>
      <c r="J98" s="380" t="s">
        <v>166</v>
      </c>
      <c r="K98" s="380" t="s">
        <v>167</v>
      </c>
      <c r="L98" s="380" t="s">
        <v>168</v>
      </c>
      <c r="M98" s="380" t="s">
        <v>169</v>
      </c>
      <c r="N98" s="380" t="s">
        <v>170</v>
      </c>
      <c r="O98" s="380" t="s">
        <v>171</v>
      </c>
      <c r="P98" s="380" t="s">
        <v>172</v>
      </c>
      <c r="Q98" s="380" t="s">
        <v>28</v>
      </c>
      <c r="R98" s="380" t="s">
        <v>173</v>
      </c>
    </row>
    <row r="99" spans="1:18">
      <c r="A99" s="103"/>
      <c r="B99" s="193"/>
      <c r="C99" s="2"/>
      <c r="D99" s="469" t="s">
        <v>625</v>
      </c>
      <c r="E99" s="1031">
        <v>300.81780326262634</v>
      </c>
      <c r="F99" s="1031">
        <v>194.21791405299226</v>
      </c>
      <c r="G99" s="1031">
        <v>260.05457412601027</v>
      </c>
      <c r="H99" s="1031">
        <v>334.64337806346703</v>
      </c>
      <c r="I99" s="1031">
        <v>326.65416427153332</v>
      </c>
      <c r="J99" s="1031">
        <v>157.69949267253949</v>
      </c>
      <c r="K99" s="1031">
        <v>266.66470090827983</v>
      </c>
      <c r="L99" s="1031">
        <v>271.13253532489449</v>
      </c>
      <c r="M99" s="1031">
        <v>256.04536957283545</v>
      </c>
      <c r="N99" s="1031">
        <v>390.47213959758955</v>
      </c>
      <c r="O99" s="1031">
        <v>231.39160598089606</v>
      </c>
      <c r="P99" s="1031">
        <v>266.78196541563</v>
      </c>
      <c r="Q99" s="1031">
        <v>205.4255331615696</v>
      </c>
      <c r="R99" s="1031">
        <v>354.26992361822926</v>
      </c>
    </row>
    <row r="100" spans="1:18">
      <c r="A100" s="103"/>
      <c r="B100" s="193"/>
      <c r="C100" s="2"/>
      <c r="D100" s="784" t="s">
        <v>626</v>
      </c>
      <c r="E100" s="1117">
        <v>256.55740047971778</v>
      </c>
      <c r="F100" s="1117">
        <v>225.72117589516776</v>
      </c>
      <c r="G100" s="1117">
        <v>281.07074106965985</v>
      </c>
      <c r="H100" s="1117">
        <v>334.58968982767612</v>
      </c>
      <c r="I100" s="1117">
        <v>323.37142246751006</v>
      </c>
      <c r="J100" s="1117">
        <v>177.45824348966934</v>
      </c>
      <c r="K100" s="1117">
        <v>249.82921185392854</v>
      </c>
      <c r="L100" s="1117">
        <v>247.58180233726867</v>
      </c>
      <c r="M100" s="1117">
        <v>233.65227919268469</v>
      </c>
      <c r="N100" s="1117">
        <v>382.1179771531443</v>
      </c>
      <c r="O100" s="1117">
        <v>264.02621258900734</v>
      </c>
      <c r="P100" s="1117">
        <v>264.13226618957009</v>
      </c>
      <c r="Q100" s="1117">
        <v>239.73608010053192</v>
      </c>
      <c r="R100" s="1117">
        <v>402.73731561488484</v>
      </c>
    </row>
    <row r="101" spans="1:18">
      <c r="A101" s="103"/>
      <c r="B101" s="193"/>
      <c r="C101" s="2"/>
      <c r="D101" s="785" t="s">
        <v>614</v>
      </c>
      <c r="E101" s="925">
        <f>E100-E99</f>
        <v>-44.260402782908557</v>
      </c>
      <c r="F101" s="925">
        <f t="shared" ref="F101:K101" si="40">F100-F99</f>
        <v>31.503261842175505</v>
      </c>
      <c r="G101" s="925">
        <f t="shared" si="40"/>
        <v>21.01616694364958</v>
      </c>
      <c r="H101" s="925">
        <f t="shared" si="40"/>
        <v>-5.3688235790900762E-2</v>
      </c>
      <c r="I101" s="925">
        <f t="shared" si="40"/>
        <v>-3.2827418040232601</v>
      </c>
      <c r="J101" s="925">
        <f t="shared" si="40"/>
        <v>19.758750817129851</v>
      </c>
      <c r="K101" s="925">
        <f t="shared" si="40"/>
        <v>-16.835489054351285</v>
      </c>
      <c r="L101" s="925">
        <f>L100-L99</f>
        <v>-23.550732987625821</v>
      </c>
      <c r="M101" s="925">
        <f t="shared" ref="M101:R101" si="41">M100-M99</f>
        <v>-22.393090380150767</v>
      </c>
      <c r="N101" s="925">
        <f t="shared" si="41"/>
        <v>-8.3541624444452509</v>
      </c>
      <c r="O101" s="925">
        <f t="shared" si="41"/>
        <v>32.634606608111284</v>
      </c>
      <c r="P101" s="925">
        <f t="shared" si="41"/>
        <v>-2.6496992260599086</v>
      </c>
      <c r="Q101" s="925">
        <f t="shared" si="41"/>
        <v>34.310546938962318</v>
      </c>
      <c r="R101" s="925">
        <f t="shared" si="41"/>
        <v>48.467391996655579</v>
      </c>
    </row>
    <row r="102" spans="1:18">
      <c r="A102" s="103"/>
      <c r="B102" s="193"/>
      <c r="C102" s="2"/>
      <c r="D102" s="784" t="s">
        <v>615</v>
      </c>
      <c r="E102" s="997">
        <f>E84</f>
        <v>0.58114666186475283</v>
      </c>
      <c r="F102" s="997">
        <f t="shared" ref="F102:R102" si="42">F84</f>
        <v>0.55843703457782867</v>
      </c>
      <c r="G102" s="997">
        <f t="shared" si="42"/>
        <v>0.55843703457782867</v>
      </c>
      <c r="H102" s="997">
        <f t="shared" si="42"/>
        <v>0.7</v>
      </c>
      <c r="I102" s="997">
        <f t="shared" si="42"/>
        <v>0.7</v>
      </c>
      <c r="J102" s="997">
        <f t="shared" si="42"/>
        <v>0.7</v>
      </c>
      <c r="K102" s="997">
        <f t="shared" si="42"/>
        <v>0.7</v>
      </c>
      <c r="L102" s="997">
        <f t="shared" si="42"/>
        <v>0.53284185719504162</v>
      </c>
      <c r="M102" s="997">
        <f t="shared" si="42"/>
        <v>0.53284185719504162</v>
      </c>
      <c r="N102" s="997">
        <f t="shared" si="42"/>
        <v>0.53284185719504162</v>
      </c>
      <c r="O102" s="997">
        <f t="shared" si="42"/>
        <v>0.53504574557495777</v>
      </c>
      <c r="P102" s="997">
        <f t="shared" si="42"/>
        <v>0.53504574557495777</v>
      </c>
      <c r="Q102" s="997">
        <f t="shared" si="42"/>
        <v>0.56471375271214463</v>
      </c>
      <c r="R102" s="997">
        <f t="shared" si="42"/>
        <v>0.56471375271214463</v>
      </c>
    </row>
    <row r="103" spans="1:18" ht="12" thickBot="1">
      <c r="A103" s="103"/>
      <c r="B103" s="193"/>
      <c r="C103" s="2"/>
      <c r="D103" s="786" t="s">
        <v>616</v>
      </c>
      <c r="E103" s="927">
        <f>(E102*-E101)+E100</f>
        <v>282.27918580979451</v>
      </c>
      <c r="F103" s="927">
        <f t="shared" ref="F103:R103" si="43">(F102*-F101)+F100</f>
        <v>208.1285877724944</v>
      </c>
      <c r="G103" s="927">
        <f t="shared" si="43"/>
        <v>269.33453512345557</v>
      </c>
      <c r="H103" s="927">
        <f t="shared" si="43"/>
        <v>334.62727159272976</v>
      </c>
      <c r="I103" s="927">
        <f t="shared" si="43"/>
        <v>325.66934173032632</v>
      </c>
      <c r="J103" s="927">
        <f t="shared" si="43"/>
        <v>163.62711791767845</v>
      </c>
      <c r="K103" s="927">
        <f t="shared" si="43"/>
        <v>261.61405419197445</v>
      </c>
      <c r="L103" s="927">
        <f t="shared" si="43"/>
        <v>260.13061864069977</v>
      </c>
      <c r="M103" s="927">
        <f t="shared" si="43"/>
        <v>245.58425505918063</v>
      </c>
      <c r="N103" s="927">
        <f t="shared" si="43"/>
        <v>386.56942458535156</v>
      </c>
      <c r="O103" s="927">
        <f t="shared" si="43"/>
        <v>246.56520516482499</v>
      </c>
      <c r="P103" s="927">
        <f t="shared" si="43"/>
        <v>265.54997648752669</v>
      </c>
      <c r="Q103" s="927">
        <f t="shared" si="43"/>
        <v>220.36044238102431</v>
      </c>
      <c r="R103" s="927">
        <f t="shared" si="43"/>
        <v>375.36711279628292</v>
      </c>
    </row>
    <row r="104" spans="1:18">
      <c r="A104" s="103"/>
      <c r="B104" s="193"/>
      <c r="C104" s="2"/>
      <c r="D104" s="2"/>
      <c r="E104" s="2"/>
      <c r="F104" s="2"/>
      <c r="G104" s="2"/>
      <c r="H104" s="2"/>
      <c r="I104" s="2"/>
      <c r="J104" s="2"/>
      <c r="K104" s="2"/>
      <c r="L104" s="2"/>
    </row>
    <row r="105" spans="1:18">
      <c r="A105" s="103"/>
      <c r="B105" s="193"/>
      <c r="C105" s="2"/>
      <c r="D105" s="2"/>
      <c r="E105" s="2"/>
      <c r="F105" s="2"/>
      <c r="G105" s="2"/>
      <c r="H105" s="2"/>
      <c r="I105" s="1121"/>
      <c r="J105" s="2"/>
      <c r="K105" s="2"/>
      <c r="L105" s="2"/>
    </row>
    <row r="106" spans="1:18">
      <c r="A106" s="103"/>
      <c r="B106" s="193"/>
      <c r="C106" s="2"/>
      <c r="D106" s="2"/>
      <c r="E106" s="1" t="s">
        <v>142</v>
      </c>
      <c r="F106" s="2"/>
      <c r="G106" s="2"/>
      <c r="H106" s="2"/>
      <c r="I106" s="2"/>
      <c r="J106" s="2"/>
      <c r="K106" s="2"/>
      <c r="L106" s="2"/>
    </row>
    <row r="107" spans="1:18" ht="12" thickBot="1">
      <c r="A107" s="103"/>
      <c r="B107" s="193"/>
      <c r="C107" s="2"/>
      <c r="D107" s="2"/>
      <c r="E107" s="380" t="s">
        <v>161</v>
      </c>
      <c r="F107" s="380" t="s">
        <v>162</v>
      </c>
      <c r="G107" s="380" t="s">
        <v>163</v>
      </c>
      <c r="H107" s="380" t="s">
        <v>164</v>
      </c>
      <c r="I107" s="380" t="s">
        <v>165</v>
      </c>
      <c r="J107" s="380" t="s">
        <v>166</v>
      </c>
      <c r="K107" s="380" t="s">
        <v>167</v>
      </c>
      <c r="L107" s="380" t="s">
        <v>168</v>
      </c>
      <c r="M107" s="380" t="s">
        <v>169</v>
      </c>
      <c r="N107" s="380" t="s">
        <v>170</v>
      </c>
      <c r="O107" s="380" t="s">
        <v>171</v>
      </c>
      <c r="P107" s="380" t="s">
        <v>172</v>
      </c>
      <c r="Q107" s="380" t="s">
        <v>28</v>
      </c>
      <c r="R107" s="380" t="s">
        <v>173</v>
      </c>
    </row>
    <row r="108" spans="1:18">
      <c r="A108" s="103"/>
      <c r="B108" s="193"/>
      <c r="C108" s="2"/>
      <c r="D108" s="469" t="s">
        <v>1406</v>
      </c>
      <c r="E108" s="1031">
        <v>314.29989152659925</v>
      </c>
      <c r="F108" s="1031">
        <v>182.38781366471173</v>
      </c>
      <c r="G108" s="1031">
        <v>249.68891564320504</v>
      </c>
      <c r="H108" s="1031">
        <v>333.7184336711083</v>
      </c>
      <c r="I108" s="1031">
        <v>345.31213598615403</v>
      </c>
      <c r="J108" s="1031">
        <v>153.42656264854816</v>
      </c>
      <c r="K108" s="1031">
        <v>267.88499090331271</v>
      </c>
      <c r="L108" s="1031">
        <v>255.38109991132197</v>
      </c>
      <c r="M108" s="1031">
        <v>258.06156400658494</v>
      </c>
      <c r="N108" s="1031">
        <v>393.20021769593268</v>
      </c>
      <c r="O108" s="1031">
        <v>235.03445780538499</v>
      </c>
      <c r="P108" s="1031">
        <v>259.63119134170529</v>
      </c>
      <c r="Q108" s="1031">
        <v>220.47329113900599</v>
      </c>
      <c r="R108" s="1031">
        <v>363.70457432710828</v>
      </c>
    </row>
    <row r="109" spans="1:18">
      <c r="A109" s="103"/>
      <c r="B109" s="193"/>
      <c r="C109" s="2"/>
      <c r="D109" s="784" t="s">
        <v>1407</v>
      </c>
      <c r="E109" s="1117">
        <v>264.17710060360514</v>
      </c>
      <c r="F109" s="1117">
        <v>205.33640353041304</v>
      </c>
      <c r="G109" s="1117">
        <v>280.38473500706385</v>
      </c>
      <c r="H109" s="1117">
        <v>349.4748775023474</v>
      </c>
      <c r="I109" s="1117">
        <v>317.80340000417584</v>
      </c>
      <c r="J109" s="1117">
        <v>166.79459154369209</v>
      </c>
      <c r="K109" s="1117">
        <v>238.37711022269144</v>
      </c>
      <c r="L109" s="1117">
        <v>253.58585868941921</v>
      </c>
      <c r="M109" s="1117">
        <v>238.5925083962272</v>
      </c>
      <c r="N109" s="1117">
        <v>382.81013964467286</v>
      </c>
      <c r="O109" s="1117">
        <v>242.90577148796288</v>
      </c>
      <c r="P109" s="1117">
        <v>266.02569500649952</v>
      </c>
      <c r="Q109" s="1117">
        <v>274.89966435286476</v>
      </c>
      <c r="R109" s="1117">
        <v>365.26276604256975</v>
      </c>
    </row>
    <row r="110" spans="1:18">
      <c r="A110" s="103"/>
      <c r="B110" s="193"/>
      <c r="C110" s="2"/>
      <c r="D110" s="785" t="s">
        <v>614</v>
      </c>
      <c r="E110" s="925">
        <f>E109-E108</f>
        <v>-50.122790922994113</v>
      </c>
      <c r="F110" s="925">
        <f t="shared" ref="F110:R110" si="44">F109-F108</f>
        <v>22.948589865701308</v>
      </c>
      <c r="G110" s="925">
        <f t="shared" si="44"/>
        <v>30.695819363858817</v>
      </c>
      <c r="H110" s="925">
        <f t="shared" si="44"/>
        <v>15.756443831239096</v>
      </c>
      <c r="I110" s="925">
        <f t="shared" si="44"/>
        <v>-27.508735981978191</v>
      </c>
      <c r="J110" s="925">
        <f t="shared" si="44"/>
        <v>13.368028895143937</v>
      </c>
      <c r="K110" s="925">
        <f t="shared" si="44"/>
        <v>-29.50788068062127</v>
      </c>
      <c r="L110" s="925">
        <f t="shared" si="44"/>
        <v>-1.7952412219027565</v>
      </c>
      <c r="M110" s="925">
        <f t="shared" si="44"/>
        <v>-19.469055610357742</v>
      </c>
      <c r="N110" s="925">
        <f t="shared" si="44"/>
        <v>-10.39007805125982</v>
      </c>
      <c r="O110" s="925">
        <f t="shared" si="44"/>
        <v>7.8713136825778918</v>
      </c>
      <c r="P110" s="925">
        <f t="shared" si="44"/>
        <v>6.3945036647942288</v>
      </c>
      <c r="Q110" s="925">
        <f t="shared" si="44"/>
        <v>54.426373213858767</v>
      </c>
      <c r="R110" s="925">
        <f t="shared" si="44"/>
        <v>1.5581917154614757</v>
      </c>
    </row>
    <row r="111" spans="1:18">
      <c r="A111" s="103"/>
      <c r="B111" s="193"/>
      <c r="C111" s="2"/>
      <c r="D111" s="784" t="s">
        <v>615</v>
      </c>
      <c r="E111" s="997">
        <f>E93</f>
        <v>0.58114666186475283</v>
      </c>
      <c r="F111" s="997">
        <f t="shared" ref="F111:R111" si="45">F93</f>
        <v>0.55843703457782867</v>
      </c>
      <c r="G111" s="997">
        <f t="shared" si="45"/>
        <v>0.55843703457782867</v>
      </c>
      <c r="H111" s="997">
        <f t="shared" si="45"/>
        <v>0.7</v>
      </c>
      <c r="I111" s="997">
        <f t="shared" si="45"/>
        <v>0.7</v>
      </c>
      <c r="J111" s="997">
        <f t="shared" si="45"/>
        <v>0.7</v>
      </c>
      <c r="K111" s="997">
        <f t="shared" si="45"/>
        <v>0.7</v>
      </c>
      <c r="L111" s="997">
        <f t="shared" si="45"/>
        <v>0.53284185719504162</v>
      </c>
      <c r="M111" s="997">
        <f t="shared" si="45"/>
        <v>0.53284185719504162</v>
      </c>
      <c r="N111" s="997">
        <f t="shared" si="45"/>
        <v>0.53284185719504162</v>
      </c>
      <c r="O111" s="997">
        <f t="shared" si="45"/>
        <v>0.53504574557495777</v>
      </c>
      <c r="P111" s="997">
        <f t="shared" si="45"/>
        <v>0.53504574557495777</v>
      </c>
      <c r="Q111" s="997">
        <f t="shared" si="45"/>
        <v>0.56471375271214463</v>
      </c>
      <c r="R111" s="997">
        <f t="shared" si="45"/>
        <v>0.56471375271214463</v>
      </c>
    </row>
    <row r="112" spans="1:18" ht="12" thickBot="1">
      <c r="A112" s="103"/>
      <c r="B112" s="193"/>
      <c r="C112" s="2"/>
      <c r="D112" s="786" t="s">
        <v>616</v>
      </c>
      <c r="E112" s="927">
        <f>(E111*-E110)+E109</f>
        <v>293.3057932318481</v>
      </c>
      <c r="F112" s="927">
        <f t="shared" ref="F112:R112" si="46">(F111*-F110)+F109</f>
        <v>192.521061058068</v>
      </c>
      <c r="G112" s="927">
        <f t="shared" si="46"/>
        <v>263.24305266757386</v>
      </c>
      <c r="H112" s="927">
        <f t="shared" si="46"/>
        <v>338.44536682048005</v>
      </c>
      <c r="I112" s="927">
        <f t="shared" si="46"/>
        <v>337.05951519156059</v>
      </c>
      <c r="J112" s="927">
        <f t="shared" si="46"/>
        <v>157.43697131709135</v>
      </c>
      <c r="K112" s="927">
        <f t="shared" si="46"/>
        <v>259.03262669912635</v>
      </c>
      <c r="L112" s="927">
        <f t="shared" si="46"/>
        <v>254.54243835621097</v>
      </c>
      <c r="M112" s="927">
        <f t="shared" si="46"/>
        <v>248.96643614548375</v>
      </c>
      <c r="N112" s="927">
        <f t="shared" si="46"/>
        <v>388.34640812990756</v>
      </c>
      <c r="O112" s="927">
        <f t="shared" si="46"/>
        <v>238.69425859001362</v>
      </c>
      <c r="P112" s="927">
        <f t="shared" si="46"/>
        <v>262.60434302558787</v>
      </c>
      <c r="Q112" s="927">
        <f t="shared" si="46"/>
        <v>244.16434288875482</v>
      </c>
      <c r="R112" s="927">
        <f t="shared" si="46"/>
        <v>364.38283375148654</v>
      </c>
    </row>
    <row r="113" spans="1:18">
      <c r="A113" s="103"/>
      <c r="B113" s="193"/>
      <c r="C113" s="2"/>
      <c r="D113" s="2"/>
      <c r="E113" s="2"/>
      <c r="F113" s="2"/>
      <c r="G113" s="2"/>
      <c r="H113" s="2"/>
      <c r="I113" s="2"/>
      <c r="J113" s="2"/>
      <c r="K113" s="2"/>
      <c r="L113" s="2"/>
    </row>
    <row r="114" spans="1:18">
      <c r="A114" s="103"/>
      <c r="B114" s="193"/>
      <c r="C114" s="2"/>
      <c r="D114" s="2"/>
      <c r="E114" s="2"/>
      <c r="F114" s="2"/>
      <c r="G114" s="2"/>
      <c r="H114" s="2"/>
      <c r="I114" s="2"/>
      <c r="J114" s="2"/>
      <c r="K114" s="2"/>
      <c r="L114" s="2"/>
    </row>
    <row r="115" spans="1:18">
      <c r="A115" s="103"/>
      <c r="B115" s="193"/>
      <c r="C115" s="2"/>
      <c r="D115" s="2"/>
      <c r="E115" s="1" t="s">
        <v>143</v>
      </c>
      <c r="F115" s="2"/>
      <c r="G115" s="2"/>
      <c r="H115" s="2"/>
      <c r="I115" s="2"/>
      <c r="J115" s="2"/>
      <c r="K115" s="2"/>
      <c r="L115" s="2"/>
      <c r="P115" s="9"/>
    </row>
    <row r="116" spans="1:18" ht="12" thickBot="1">
      <c r="A116" s="103"/>
      <c r="B116" s="193"/>
      <c r="C116" s="2"/>
      <c r="D116" s="2"/>
      <c r="E116" s="380" t="s">
        <v>161</v>
      </c>
      <c r="F116" s="380" t="s">
        <v>162</v>
      </c>
      <c r="G116" s="380" t="s">
        <v>163</v>
      </c>
      <c r="H116" s="380" t="s">
        <v>164</v>
      </c>
      <c r="I116" s="380" t="s">
        <v>165</v>
      </c>
      <c r="J116" s="380" t="s">
        <v>166</v>
      </c>
      <c r="K116" s="380" t="s">
        <v>167</v>
      </c>
      <c r="L116" s="380" t="s">
        <v>168</v>
      </c>
      <c r="M116" s="380" t="s">
        <v>169</v>
      </c>
      <c r="N116" s="380" t="s">
        <v>170</v>
      </c>
      <c r="O116" s="380" t="s">
        <v>171</v>
      </c>
      <c r="P116" s="380" t="s">
        <v>172</v>
      </c>
      <c r="Q116" s="380" t="s">
        <v>28</v>
      </c>
      <c r="R116" s="380" t="s">
        <v>173</v>
      </c>
    </row>
    <row r="117" spans="1:18">
      <c r="A117" s="103"/>
      <c r="B117" s="193"/>
      <c r="C117" s="2"/>
      <c r="D117" s="469" t="s">
        <v>627</v>
      </c>
      <c r="E117" s="143"/>
      <c r="F117" s="143"/>
      <c r="G117" s="143"/>
      <c r="H117" s="143"/>
      <c r="I117" s="143"/>
      <c r="J117" s="143"/>
      <c r="K117" s="143"/>
      <c r="L117" s="143"/>
      <c r="M117" s="143"/>
      <c r="N117" s="143"/>
      <c r="O117" s="143"/>
      <c r="P117" s="143"/>
      <c r="Q117" s="143"/>
      <c r="R117" s="143"/>
    </row>
    <row r="118" spans="1:18">
      <c r="A118" s="103"/>
      <c r="B118" s="193"/>
      <c r="C118" s="2"/>
      <c r="D118" s="784" t="s">
        <v>628</v>
      </c>
      <c r="E118" s="144"/>
      <c r="F118" s="144"/>
      <c r="G118" s="144"/>
      <c r="H118" s="144"/>
      <c r="I118" s="144"/>
      <c r="J118" s="144"/>
      <c r="K118" s="144"/>
      <c r="L118" s="144"/>
      <c r="M118" s="144"/>
      <c r="N118" s="144"/>
      <c r="O118" s="144"/>
      <c r="P118" s="144"/>
      <c r="Q118" s="144"/>
      <c r="R118" s="144"/>
    </row>
    <row r="119" spans="1:18">
      <c r="A119" s="103"/>
      <c r="B119" s="193"/>
      <c r="C119" s="2"/>
      <c r="D119" s="785" t="s">
        <v>614</v>
      </c>
      <c r="E119" s="62"/>
      <c r="F119" s="62"/>
      <c r="G119" s="62"/>
      <c r="H119" s="62"/>
      <c r="I119" s="62"/>
      <c r="J119" s="62"/>
      <c r="K119" s="62"/>
      <c r="L119" s="62"/>
      <c r="M119" s="62"/>
      <c r="N119" s="62"/>
      <c r="O119" s="62"/>
      <c r="P119" s="62"/>
      <c r="Q119" s="62"/>
      <c r="R119" s="62"/>
    </row>
    <row r="120" spans="1:18">
      <c r="A120" s="103"/>
      <c r="B120" s="193"/>
      <c r="C120" s="2"/>
      <c r="D120" s="784" t="s">
        <v>615</v>
      </c>
      <c r="E120" s="145"/>
      <c r="F120" s="145"/>
      <c r="G120" s="145"/>
      <c r="H120" s="145"/>
      <c r="I120" s="145"/>
      <c r="J120" s="145"/>
      <c r="K120" s="145"/>
      <c r="L120" s="145"/>
      <c r="M120" s="145"/>
      <c r="N120" s="145"/>
      <c r="O120" s="145"/>
      <c r="P120" s="145"/>
      <c r="Q120" s="145"/>
      <c r="R120" s="145"/>
    </row>
    <row r="121" spans="1:18" ht="12" thickBot="1">
      <c r="A121" s="103"/>
      <c r="B121" s="193"/>
      <c r="C121" s="2"/>
      <c r="D121" s="786" t="s">
        <v>616</v>
      </c>
      <c r="E121" s="143"/>
      <c r="F121" s="143"/>
      <c r="G121" s="143"/>
      <c r="H121" s="143"/>
      <c r="I121" s="143"/>
      <c r="J121" s="143"/>
      <c r="K121" s="143"/>
      <c r="L121" s="143"/>
      <c r="M121" s="143"/>
      <c r="N121" s="143"/>
      <c r="O121" s="143"/>
      <c r="P121" s="143"/>
      <c r="Q121" s="143"/>
      <c r="R121" s="143"/>
    </row>
    <row r="122" spans="1:18">
      <c r="A122" s="103"/>
      <c r="B122" s="193"/>
      <c r="C122" s="2"/>
      <c r="D122" s="2"/>
      <c r="E122" s="2"/>
      <c r="F122" s="2"/>
      <c r="G122" s="2"/>
      <c r="H122" s="2"/>
      <c r="I122" s="2"/>
      <c r="J122" s="2"/>
      <c r="K122" s="2"/>
      <c r="L122" s="2"/>
    </row>
    <row r="123" spans="1:18">
      <c r="A123" s="103"/>
      <c r="B123" s="193"/>
      <c r="C123" s="61"/>
      <c r="D123" s="14"/>
      <c r="E123" s="15"/>
      <c r="F123" s="65"/>
      <c r="G123" s="15"/>
      <c r="H123" s="12"/>
      <c r="I123" s="2"/>
      <c r="J123" s="2"/>
      <c r="K123" s="2"/>
      <c r="L123" s="2"/>
    </row>
    <row r="124" spans="1:18" ht="12" thickBot="1">
      <c r="A124" s="103"/>
      <c r="B124" s="193"/>
      <c r="C124" s="61"/>
      <c r="D124" s="133" t="s">
        <v>629</v>
      </c>
      <c r="E124" s="108"/>
      <c r="F124" s="7"/>
      <c r="G124" s="13"/>
      <c r="H124" s="7"/>
      <c r="I124" s="2"/>
      <c r="J124" s="140"/>
      <c r="K124" s="108"/>
      <c r="L124" s="7"/>
    </row>
    <row r="125" spans="1:18">
      <c r="A125" s="103"/>
      <c r="B125" s="193"/>
      <c r="C125" s="61"/>
      <c r="D125" s="2"/>
      <c r="E125" s="1179" t="s">
        <v>332</v>
      </c>
      <c r="F125" s="1180"/>
      <c r="G125" s="1180"/>
      <c r="H125" s="1228"/>
      <c r="I125" s="1227" t="s">
        <v>631</v>
      </c>
      <c r="J125" s="1180"/>
      <c r="K125" s="1180"/>
      <c r="L125" s="1228"/>
      <c r="M125" s="1236" t="s">
        <v>632</v>
      </c>
      <c r="N125" s="1237"/>
      <c r="O125" s="1237"/>
      <c r="P125" s="1238"/>
    </row>
    <row r="126" spans="1:18">
      <c r="A126" s="103"/>
      <c r="B126" s="193"/>
      <c r="C126" s="61"/>
      <c r="E126" s="196" t="s">
        <v>297</v>
      </c>
      <c r="F126" s="102" t="s">
        <v>298</v>
      </c>
      <c r="G126" s="102" t="s">
        <v>602</v>
      </c>
      <c r="H126" s="102"/>
      <c r="I126" s="102" t="s">
        <v>297</v>
      </c>
      <c r="J126" s="102" t="s">
        <v>298</v>
      </c>
      <c r="K126" s="102" t="s">
        <v>602</v>
      </c>
      <c r="L126" s="102"/>
      <c r="M126" s="102" t="s">
        <v>297</v>
      </c>
      <c r="N126" s="102" t="s">
        <v>298</v>
      </c>
      <c r="O126" s="102" t="s">
        <v>602</v>
      </c>
      <c r="P126" s="197"/>
    </row>
    <row r="127" spans="1:18" ht="12" thickBot="1">
      <c r="A127" s="170"/>
      <c r="B127" s="193"/>
      <c r="C127" s="61"/>
      <c r="D127" s="2"/>
      <c r="E127" s="788"/>
      <c r="F127" s="787"/>
      <c r="G127" s="101" t="s">
        <v>633</v>
      </c>
      <c r="H127" s="101" t="s">
        <v>606</v>
      </c>
      <c r="I127" s="102"/>
      <c r="J127" s="102"/>
      <c r="K127" s="102" t="s">
        <v>633</v>
      </c>
      <c r="L127" s="102" t="s">
        <v>606</v>
      </c>
      <c r="M127" s="102"/>
      <c r="N127" s="102"/>
      <c r="O127" s="102" t="s">
        <v>633</v>
      </c>
      <c r="P127" s="197" t="s">
        <v>606</v>
      </c>
    </row>
    <row r="128" spans="1:18">
      <c r="B128" s="193"/>
      <c r="C128" s="61"/>
      <c r="D128" s="406" t="s">
        <v>161</v>
      </c>
      <c r="E128" s="352" cm="1">
        <f t="array" ref="E128:E141">TRANSPOSE(E108:R108)</f>
        <v>314.29989152659925</v>
      </c>
      <c r="F128" s="352" cm="1">
        <f t="array" ref="F128:F141">TRANSPOSE(E109:R109)</f>
        <v>264.17710060360514</v>
      </c>
      <c r="G128" s="341">
        <f t="shared" ref="G128:G142" si="47">F128-E128</f>
        <v>-50.122790922994113</v>
      </c>
      <c r="H128" s="343">
        <f t="shared" ref="H128:H142" si="48">G128/E128</f>
        <v>-0.15947441368668819</v>
      </c>
      <c r="I128" s="352" cm="1">
        <f t="array" ref="I128">SUM(INDEX($E$54:$R$112,MATCH({"Allowed Totex16","Allowed Totex17","Allowed Totex18","Allowed Totex19","Allowed Totex20","Allowed Totex21","Allowed Totex22"},$D$54:$D$112,0),MATCH($D128,$E$53:$R$53,0)))</f>
        <v>2085.0127522983307</v>
      </c>
      <c r="J128" s="352" cm="1">
        <f t="array" ref="J128">SUM(INDEX($E$54:$R$112,MATCH({"Actual Totex16","Actual Totex17","Actual Totex18","Actual Totex19","Actual Totex20","Actual Totex21","Actual Totex22"},$D$54:$D$112,0),MATCH($D128,$E$53:$R$53,0)))</f>
        <v>1916.9273903074281</v>
      </c>
      <c r="K128" s="341">
        <f t="shared" ref="K128:K142" si="49">J128-I128</f>
        <v>-168.08536199090258</v>
      </c>
      <c r="L128" s="1129">
        <f t="shared" ref="L128:L142" si="50">K128/I128</f>
        <v>-8.0615987506848757E-2</v>
      </c>
      <c r="M128" s="346">
        <v>2380.9591413155226</v>
      </c>
      <c r="N128" s="346">
        <v>2211.177713376986</v>
      </c>
      <c r="O128" s="342">
        <f t="shared" ref="O128:O141" si="51">N128-M128</f>
        <v>-169.78142793853658</v>
      </c>
      <c r="P128" s="1126">
        <f t="shared" ref="P128:P142" si="52">O128/M128</f>
        <v>-7.1307997265643672E-2</v>
      </c>
    </row>
    <row r="129" spans="2:19">
      <c r="B129" s="193"/>
      <c r="C129" s="61"/>
      <c r="D129" s="407" t="s">
        <v>162</v>
      </c>
      <c r="E129" s="352">
        <v>182.38781366471173</v>
      </c>
      <c r="F129" s="341">
        <v>205.33640353041304</v>
      </c>
      <c r="G129" s="341">
        <f t="shared" si="47"/>
        <v>22.948589865701308</v>
      </c>
      <c r="H129" s="343">
        <f t="shared" si="48"/>
        <v>0.12582304379111808</v>
      </c>
      <c r="I129" s="352" cm="1">
        <f t="array" ref="I129">SUM(INDEX($E$54:$R$112,MATCH({"Allowed Totex16","Allowed Totex17","Allowed Totex18","Allowed Totex19","Allowed Totex20","Allowed Totex21","Allowed Totex22"},$D$54:$D$112,0),MATCH($D129,$E$53:$R$53,0)))</f>
        <v>1472.0886170740189</v>
      </c>
      <c r="J129" s="352" cm="1">
        <f t="array" ref="J129">SUM(INDEX($E$54:$R$112,MATCH({"Actual Totex16","Actual Totex17","Actual Totex18","Actual Totex19","Actual Totex20","Actual Totex21","Actual Totex22"},$D$54:$D$112,0),MATCH($D129,$E$53:$R$53,0)))</f>
        <v>1514.7033224446532</v>
      </c>
      <c r="K129" s="341">
        <f t="shared" si="49"/>
        <v>42.614705370634283</v>
      </c>
      <c r="L129" s="1129">
        <f t="shared" si="50"/>
        <v>2.8948464702713988E-2</v>
      </c>
      <c r="M129" s="346">
        <v>1685.2711746018624</v>
      </c>
      <c r="N129" s="346">
        <v>1691.3876893705799</v>
      </c>
      <c r="O129" s="342">
        <f t="shared" si="51"/>
        <v>6.1165147687174795</v>
      </c>
      <c r="P129" s="1126">
        <f t="shared" si="52"/>
        <v>3.6293949964239305E-3</v>
      </c>
    </row>
    <row r="130" spans="2:19">
      <c r="B130" s="193"/>
      <c r="C130" s="61"/>
      <c r="D130" s="407" t="s">
        <v>163</v>
      </c>
      <c r="E130" s="352">
        <v>249.68891564320504</v>
      </c>
      <c r="F130" s="341">
        <v>280.38473500706385</v>
      </c>
      <c r="G130" s="341">
        <f t="shared" si="47"/>
        <v>30.695819363858817</v>
      </c>
      <c r="H130" s="343">
        <f t="shared" si="48"/>
        <v>0.12293625163450128</v>
      </c>
      <c r="I130" s="352" cm="1">
        <f t="array" ref="I130">SUM(INDEX($E$54:$R$112,MATCH({"Allowed Totex16","Allowed Totex17","Allowed Totex18","Allowed Totex19","Allowed Totex20","Allowed Totex21","Allowed Totex22"},$D$54:$D$112,0),MATCH($D130,$E$53:$R$53,0)))</f>
        <v>1952.824626572203</v>
      </c>
      <c r="J130" s="352" cm="1">
        <f t="array" ref="J130">SUM(INDEX($E$54:$R$112,MATCH({"Actual Totex16","Actual Totex17","Actual Totex18","Actual Totex19","Actual Totex20","Actual Totex21","Actual Totex22"},$D$54:$D$112,0),MATCH($D130,$E$53:$R$53,0)))</f>
        <v>1920.5479262181611</v>
      </c>
      <c r="K130" s="341">
        <f t="shared" si="49"/>
        <v>-32.27670035404185</v>
      </c>
      <c r="L130" s="1129">
        <f t="shared" si="50"/>
        <v>-1.6528212474817672E-2</v>
      </c>
      <c r="M130" s="346">
        <v>2238.0841861708927</v>
      </c>
      <c r="N130" s="346">
        <v>2247.0603014700787</v>
      </c>
      <c r="O130" s="342">
        <f t="shared" si="51"/>
        <v>8.976115299185949</v>
      </c>
      <c r="P130" s="1126">
        <f t="shared" si="52"/>
        <v>4.0106245129871813E-3</v>
      </c>
    </row>
    <row r="131" spans="2:19">
      <c r="B131" s="193"/>
      <c r="C131" s="120"/>
      <c r="D131" s="407" t="s">
        <v>164</v>
      </c>
      <c r="E131" s="352">
        <v>333.7184336711083</v>
      </c>
      <c r="F131" s="341">
        <v>349.4748775023474</v>
      </c>
      <c r="G131" s="341">
        <f t="shared" si="47"/>
        <v>15.756443831239096</v>
      </c>
      <c r="H131" s="343">
        <f t="shared" si="48"/>
        <v>4.7214784205680552E-2</v>
      </c>
      <c r="I131" s="352" cm="1">
        <f t="array" ref="I131">SUM(INDEX($E$54:$R$112,MATCH({"Allowed Totex16","Allowed Totex17","Allowed Totex18","Allowed Totex19","Allowed Totex20","Allowed Totex21","Allowed Totex22"},$D$54:$D$112,0),MATCH($D131,$E$53:$R$53,0)))</f>
        <v>2318.0641912166989</v>
      </c>
      <c r="J131" s="352" cm="1">
        <f t="array" ref="J131">SUM(INDEX($E$54:$R$112,MATCH({"Actual Totex16","Actual Totex17","Actual Totex18","Actual Totex19","Actual Totex20","Actual Totex21","Actual Totex22"},$D$54:$D$112,0),MATCH($D131,$E$53:$R$53,0)))</f>
        <v>2328.8575841136262</v>
      </c>
      <c r="K131" s="341">
        <f t="shared" si="49"/>
        <v>10.793392896927344</v>
      </c>
      <c r="L131" s="1129">
        <f t="shared" si="50"/>
        <v>4.6562096674562488E-3</v>
      </c>
      <c r="M131" s="346">
        <v>2657.1196925675022</v>
      </c>
      <c r="N131" s="346">
        <v>2676.1444675031398</v>
      </c>
      <c r="O131" s="342">
        <f t="shared" si="51"/>
        <v>19.024774935637652</v>
      </c>
      <c r="P131" s="1126">
        <f t="shared" si="52"/>
        <v>7.1599239540671693E-3</v>
      </c>
    </row>
    <row r="132" spans="2:19">
      <c r="B132" s="193"/>
      <c r="C132" s="121"/>
      <c r="D132" s="407" t="s">
        <v>165</v>
      </c>
      <c r="E132" s="352">
        <v>345.31213598615403</v>
      </c>
      <c r="F132" s="341">
        <v>317.80340000417584</v>
      </c>
      <c r="G132" s="341">
        <f t="shared" si="47"/>
        <v>-27.508735981978191</v>
      </c>
      <c r="H132" s="343">
        <f t="shared" si="48"/>
        <v>-7.9663391798894687E-2</v>
      </c>
      <c r="I132" s="352" cm="1">
        <f t="array" ref="I132">SUM(INDEX($E$54:$R$112,MATCH({"Allowed Totex16","Allowed Totex17","Allowed Totex18","Allowed Totex19","Allowed Totex20","Allowed Totex21","Allowed Totex22"},$D$54:$D$112,0),MATCH($D132,$E$53:$R$53,0)))</f>
        <v>2345.7496287822278</v>
      </c>
      <c r="J132" s="352" cm="1">
        <f t="array" ref="J132">SUM(INDEX($E$54:$R$112,MATCH({"Actual Totex16","Actual Totex17","Actual Totex18","Actual Totex19","Actual Totex20","Actual Totex21","Actual Totex22"},$D$54:$D$112,0),MATCH($D132,$E$53:$R$53,0)))</f>
        <v>2312.1848665690386</v>
      </c>
      <c r="K132" s="341">
        <f t="shared" si="49"/>
        <v>-33.564762213189169</v>
      </c>
      <c r="L132" s="1129">
        <f t="shared" si="50"/>
        <v>-1.4308757337676305E-2</v>
      </c>
      <c r="M132" s="346">
        <v>2682.246281867021</v>
      </c>
      <c r="N132" s="346">
        <v>2656.9235628978167</v>
      </c>
      <c r="O132" s="342">
        <f t="shared" si="51"/>
        <v>-25.322718969204288</v>
      </c>
      <c r="P132" s="1126">
        <f t="shared" si="52"/>
        <v>-9.4408627352362291E-3</v>
      </c>
    </row>
    <row r="133" spans="2:19">
      <c r="B133" s="193"/>
      <c r="C133" s="61"/>
      <c r="D133" s="407" t="s">
        <v>166</v>
      </c>
      <c r="E133" s="352">
        <v>153.42656264854816</v>
      </c>
      <c r="F133" s="341">
        <v>166.79459154369209</v>
      </c>
      <c r="G133" s="341">
        <f t="shared" si="47"/>
        <v>13.368028895143937</v>
      </c>
      <c r="H133" s="343">
        <f t="shared" si="48"/>
        <v>8.7129820706248057E-2</v>
      </c>
      <c r="I133" s="352" cm="1">
        <f t="array" ref="I133">SUM(INDEX($E$54:$R$112,MATCH({"Allowed Totex16","Allowed Totex17","Allowed Totex18","Allowed Totex19","Allowed Totex20","Allowed Totex21","Allowed Totex22"},$D$54:$D$112,0),MATCH($D133,$E$53:$R$53,0)))</f>
        <v>1228.3449331308952</v>
      </c>
      <c r="J133" s="352" cm="1">
        <f t="array" ref="J133">SUM(INDEX($E$54:$R$112,MATCH({"Actual Totex16","Actual Totex17","Actual Totex18","Actual Totex19","Actual Totex20","Actual Totex21","Actual Totex22"},$D$54:$D$112,0),MATCH($D133,$E$53:$R$53,0)))</f>
        <v>1163.297467161055</v>
      </c>
      <c r="K133" s="341">
        <f t="shared" si="49"/>
        <v>-65.047465969840232</v>
      </c>
      <c r="L133" s="1129">
        <f t="shared" si="50"/>
        <v>-5.2955374516865147E-2</v>
      </c>
      <c r="M133" s="346">
        <v>1385.5913675110787</v>
      </c>
      <c r="N133" s="346">
        <v>1342.5325889114483</v>
      </c>
      <c r="O133" s="342">
        <f t="shared" si="51"/>
        <v>-43.058778599630386</v>
      </c>
      <c r="P133" s="1126">
        <f t="shared" si="52"/>
        <v>-3.1076101951310768E-2</v>
      </c>
      <c r="S133" s="112"/>
    </row>
    <row r="134" spans="2:19">
      <c r="B134" s="193"/>
      <c r="C134" s="61"/>
      <c r="D134" s="407" t="s">
        <v>167</v>
      </c>
      <c r="E134" s="352">
        <v>267.88499090331271</v>
      </c>
      <c r="F134" s="341">
        <v>238.37711022269144</v>
      </c>
      <c r="G134" s="341">
        <f t="shared" si="47"/>
        <v>-29.50788068062127</v>
      </c>
      <c r="H134" s="343">
        <f t="shared" si="48"/>
        <v>-0.11015130254636588</v>
      </c>
      <c r="I134" s="352" cm="1">
        <f t="array" ref="I134">SUM(INDEX($E$54:$R$112,MATCH({"Allowed Totex16","Allowed Totex17","Allowed Totex18","Allowed Totex19","Allowed Totex20","Allowed Totex21","Allowed Totex22"},$D$54:$D$112,0),MATCH($D134,$E$53:$R$53,0)))</f>
        <v>1889.8712357362335</v>
      </c>
      <c r="J134" s="352" cm="1">
        <f t="array" ref="J134">SUM(INDEX($E$54:$R$112,MATCH({"Actual Totex16","Actual Totex17","Actual Totex18","Actual Totex19","Actual Totex20","Actual Totex21","Actual Totex22"},$D$54:$D$112,0),MATCH($D134,$E$53:$R$53,0)))</f>
        <v>1830.5035310690728</v>
      </c>
      <c r="K134" s="341">
        <f t="shared" si="49"/>
        <v>-59.367704667160751</v>
      </c>
      <c r="L134" s="1129">
        <f t="shared" si="50"/>
        <v>-3.1413624137219584E-2</v>
      </c>
      <c r="M134" s="346">
        <v>2172.1662685943352</v>
      </c>
      <c r="N134" s="346">
        <v>2134.3339688603987</v>
      </c>
      <c r="O134" s="342">
        <f t="shared" si="51"/>
        <v>-37.832299733936452</v>
      </c>
      <c r="P134" s="1126">
        <f t="shared" si="52"/>
        <v>-1.7416852605127098E-2</v>
      </c>
    </row>
    <row r="135" spans="2:19">
      <c r="B135" s="193"/>
      <c r="C135" s="121"/>
      <c r="D135" s="407" t="s">
        <v>168</v>
      </c>
      <c r="E135" s="352">
        <v>255.38109991132197</v>
      </c>
      <c r="F135" s="341">
        <v>253.58585868941921</v>
      </c>
      <c r="G135" s="341">
        <f t="shared" si="47"/>
        <v>-1.7952412219027565</v>
      </c>
      <c r="H135" s="343">
        <f t="shared" si="48"/>
        <v>-7.0296557675024992E-3</v>
      </c>
      <c r="I135" s="352" cm="1">
        <f t="array" ref="I135">SUM(INDEX($E$54:$R$112,MATCH({"Allowed Totex16","Allowed Totex17","Allowed Totex18","Allowed Totex19","Allowed Totex20","Allowed Totex21","Allowed Totex22"},$D$54:$D$112,0),MATCH($D135,$E$53:$R$53,0)))</f>
        <v>2007.4330244756575</v>
      </c>
      <c r="J135" s="352" cm="1">
        <f t="array" ref="J135">SUM(INDEX($E$54:$R$112,MATCH({"Actual Totex16","Actual Totex17","Actual Totex18","Actual Totex19","Actual Totex20","Actual Totex21","Actual Totex22"},$D$54:$D$112,0),MATCH($D135,$E$53:$R$53,0)))</f>
        <v>1740.5724914144191</v>
      </c>
      <c r="K135" s="341">
        <f t="shared" si="49"/>
        <v>-266.86053306123836</v>
      </c>
      <c r="L135" s="1129">
        <f t="shared" si="50"/>
        <v>-0.13293620748863713</v>
      </c>
      <c r="M135" s="346">
        <v>2250.8111398175902</v>
      </c>
      <c r="N135" s="346">
        <v>1960.617234192614</v>
      </c>
      <c r="O135" s="342">
        <f t="shared" si="51"/>
        <v>-290.1939056249762</v>
      </c>
      <c r="P135" s="1126">
        <f t="shared" si="52"/>
        <v>-0.12892858956104777</v>
      </c>
    </row>
    <row r="136" spans="2:19">
      <c r="B136" s="193"/>
      <c r="C136" s="2"/>
      <c r="D136" s="407" t="s">
        <v>169</v>
      </c>
      <c r="E136" s="352">
        <v>258.06156400658494</v>
      </c>
      <c r="F136" s="341">
        <v>238.5925083962272</v>
      </c>
      <c r="G136" s="341">
        <f t="shared" si="47"/>
        <v>-19.469055610357742</v>
      </c>
      <c r="H136" s="343">
        <f t="shared" si="48"/>
        <v>-7.544345352359777E-2</v>
      </c>
      <c r="I136" s="352" cm="1">
        <f t="array" ref="I136">SUM(INDEX($E$54:$R$112,MATCH({"Allowed Totex16","Allowed Totex17","Allowed Totex18","Allowed Totex19","Allowed Totex20","Allowed Totex21","Allowed Totex22"},$D$54:$D$112,0),MATCH($D136,$E$53:$R$53,0)))</f>
        <v>1941.2665443156475</v>
      </c>
      <c r="J136" s="352" cm="1">
        <f t="array" ref="J136">SUM(INDEX($E$54:$R$112,MATCH({"Actual Totex16","Actual Totex17","Actual Totex18","Actual Totex19","Actual Totex20","Actual Totex21","Actual Totex22"},$D$54:$D$112,0),MATCH($D136,$E$53:$R$53,0)))</f>
        <v>1657.1361763803384</v>
      </c>
      <c r="K136" s="341">
        <f t="shared" si="49"/>
        <v>-284.1303679353091</v>
      </c>
      <c r="L136" s="1129">
        <f t="shared" si="50"/>
        <v>-0.14636339804407089</v>
      </c>
      <c r="M136" s="346">
        <v>2194.137265346254</v>
      </c>
      <c r="N136" s="346">
        <v>1889.5725004735968</v>
      </c>
      <c r="O136" s="342">
        <f t="shared" si="51"/>
        <v>-304.56476487265718</v>
      </c>
      <c r="P136" s="1126">
        <f t="shared" si="52"/>
        <v>-0.13880843723083761</v>
      </c>
    </row>
    <row r="137" spans="2:19">
      <c r="B137" s="193"/>
      <c r="C137" s="122"/>
      <c r="D137" s="407" t="s">
        <v>170</v>
      </c>
      <c r="E137" s="352">
        <v>393.20021769593268</v>
      </c>
      <c r="F137" s="341">
        <v>382.81013964467286</v>
      </c>
      <c r="G137" s="341">
        <f t="shared" si="47"/>
        <v>-10.39007805125982</v>
      </c>
      <c r="H137" s="343">
        <f t="shared" si="48"/>
        <v>-2.6424395469929814E-2</v>
      </c>
      <c r="I137" s="352" cm="1">
        <f t="array" ref="I137">SUM(INDEX($E$54:$R$112,MATCH({"Allowed Totex16","Allowed Totex17","Allowed Totex18","Allowed Totex19","Allowed Totex20","Allowed Totex21","Allowed Totex22"},$D$54:$D$112,0),MATCH($D137,$E$53:$R$53,0)))</f>
        <v>2889.3232822194818</v>
      </c>
      <c r="J137" s="352" cm="1">
        <f t="array" ref="J137">SUM(INDEX($E$54:$R$112,MATCH({"Actual Totex16","Actual Totex17","Actual Totex18","Actual Totex19","Actual Totex20","Actual Totex21","Actual Totex22"},$D$54:$D$112,0),MATCH($D137,$E$53:$R$53,0)))</f>
        <v>2621.8049640262784</v>
      </c>
      <c r="K137" s="341">
        <f t="shared" si="49"/>
        <v>-267.51831819320341</v>
      </c>
      <c r="L137" s="1129">
        <f t="shared" si="50"/>
        <v>-9.2588572500514638E-2</v>
      </c>
      <c r="M137" s="346">
        <v>3267.27722415776</v>
      </c>
      <c r="N137" s="346">
        <v>3010.9551378748929</v>
      </c>
      <c r="O137" s="342">
        <f t="shared" si="51"/>
        <v>-256.32208628286708</v>
      </c>
      <c r="P137" s="1126">
        <f t="shared" si="52"/>
        <v>-7.8451281815837312E-2</v>
      </c>
    </row>
    <row r="138" spans="2:19">
      <c r="B138" s="193"/>
      <c r="C138" s="2"/>
      <c r="D138" s="407" t="s">
        <v>171</v>
      </c>
      <c r="E138" s="352">
        <v>235.03445780538499</v>
      </c>
      <c r="F138" s="341">
        <v>242.90577148796288</v>
      </c>
      <c r="G138" s="341">
        <f t="shared" si="47"/>
        <v>7.8713136825778918</v>
      </c>
      <c r="H138" s="343">
        <f t="shared" si="48"/>
        <v>3.3490041230871591E-2</v>
      </c>
      <c r="I138" s="352" cm="1">
        <f t="array" ref="I138">SUM(INDEX($E$54:$R$112,MATCH({"Allowed Totex16","Allowed Totex17","Allowed Totex18","Allowed Totex19","Allowed Totex20","Allowed Totex21","Allowed Totex22"},$D$54:$D$112,0),MATCH($D138,$E$53:$R$53,0)))</f>
        <v>1747.0942970913939</v>
      </c>
      <c r="J138" s="352" cm="1">
        <f t="array" ref="J138">SUM(INDEX($E$54:$R$112,MATCH({"Actual Totex16","Actual Totex17","Actual Totex18","Actual Totex19","Actual Totex20","Actual Totex21","Actual Totex22"},$D$54:$D$112,0),MATCH($D138,$E$53:$R$53,0)))</f>
        <v>1791.745865843001</v>
      </c>
      <c r="K138" s="341">
        <f t="shared" si="49"/>
        <v>44.651568751607101</v>
      </c>
      <c r="L138" s="1129">
        <f t="shared" si="50"/>
        <v>2.5557618055272773E-2</v>
      </c>
      <c r="M138" s="346">
        <v>1985.507770597</v>
      </c>
      <c r="N138" s="346">
        <v>2049.3247693252265</v>
      </c>
      <c r="O138" s="342">
        <f t="shared" si="51"/>
        <v>63.816998728226508</v>
      </c>
      <c r="P138" s="1126">
        <f t="shared" si="52"/>
        <v>3.2141399632517227E-2</v>
      </c>
      <c r="R138" s="125"/>
    </row>
    <row r="139" spans="2:19">
      <c r="B139" s="193"/>
      <c r="C139" s="2"/>
      <c r="D139" s="407" t="s">
        <v>172</v>
      </c>
      <c r="E139" s="352">
        <v>259.63119134170529</v>
      </c>
      <c r="F139" s="341">
        <v>266.02569500649952</v>
      </c>
      <c r="G139" s="341">
        <f t="shared" si="47"/>
        <v>6.3945036647942288</v>
      </c>
      <c r="H139" s="343">
        <f t="shared" si="48"/>
        <v>2.4629181231072914E-2</v>
      </c>
      <c r="I139" s="352" cm="1">
        <f t="array" ref="I139">SUM(INDEX($E$54:$R$112,MATCH({"Allowed Totex16","Allowed Totex17","Allowed Totex18","Allowed Totex19","Allowed Totex20","Allowed Totex21","Allowed Totex22"},$D$54:$D$112,0),MATCH($D139,$E$53:$R$53,0)))</f>
        <v>1951.8867009029896</v>
      </c>
      <c r="J139" s="352" cm="1">
        <f t="array" ref="J139">SUM(INDEX($E$54:$R$112,MATCH({"Actual Totex16","Actual Totex17","Actual Totex18","Actual Totex19","Actual Totex20","Actual Totex21","Actual Totex22"},$D$54:$D$112,0),MATCH($D139,$E$53:$R$53,0)))</f>
        <v>2036.5733342662993</v>
      </c>
      <c r="K139" s="341">
        <f t="shared" si="49"/>
        <v>84.686633363309738</v>
      </c>
      <c r="L139" s="1129">
        <f t="shared" si="50"/>
        <v>4.338706407709611E-2</v>
      </c>
      <c r="M139" s="346">
        <v>2194.5046665667419</v>
      </c>
      <c r="N139" s="346">
        <v>2316.1148029163933</v>
      </c>
      <c r="O139" s="342">
        <f t="shared" si="51"/>
        <v>121.61013634965138</v>
      </c>
      <c r="P139" s="1126">
        <f t="shared" si="52"/>
        <v>5.5415756549703758E-2</v>
      </c>
      <c r="S139" s="112"/>
    </row>
    <row r="140" spans="2:19">
      <c r="B140" s="193"/>
      <c r="C140" s="2"/>
      <c r="D140" s="407" t="s">
        <v>28</v>
      </c>
      <c r="E140" s="352">
        <v>220.47329113900599</v>
      </c>
      <c r="F140" s="341">
        <v>274.89966435286476</v>
      </c>
      <c r="G140" s="341">
        <f t="shared" si="47"/>
        <v>54.426373213858767</v>
      </c>
      <c r="H140" s="343">
        <f t="shared" si="48"/>
        <v>0.24686152654900739</v>
      </c>
      <c r="I140" s="352" cm="1">
        <f t="array" ref="I140">SUM(INDEX($E$54:$R$112,MATCH({"Allowed Totex16","Allowed Totex17","Allowed Totex18","Allowed Totex19","Allowed Totex20","Allowed Totex21","Allowed Totex22"},$D$54:$D$112,0),MATCH($D140,$E$53:$R$53,0)))</f>
        <v>1492.4409708464127</v>
      </c>
      <c r="J140" s="352" cm="1">
        <f t="array" ref="J140">SUM(INDEX($E$54:$R$112,MATCH({"Actual Totex16","Actual Totex17","Actual Totex18","Actual Totex19","Actual Totex20","Actual Totex21","Actual Totex22"},$D$54:$D$112,0),MATCH($D140,$E$53:$R$53,0)))</f>
        <v>1518.9101804566712</v>
      </c>
      <c r="K140" s="341">
        <f t="shared" si="49"/>
        <v>26.469209610258531</v>
      </c>
      <c r="L140" s="1129">
        <f t="shared" si="50"/>
        <v>1.7735515258098928E-2</v>
      </c>
      <c r="M140" s="346">
        <v>1711.2566112728546</v>
      </c>
      <c r="N140" s="346">
        <v>1771.732047840248</v>
      </c>
      <c r="O140" s="342">
        <f t="shared" si="51"/>
        <v>60.475436567393444</v>
      </c>
      <c r="P140" s="1126">
        <f t="shared" si="52"/>
        <v>3.5339782572066172E-2</v>
      </c>
    </row>
    <row r="141" spans="2:19" ht="12" thickBot="1">
      <c r="B141" s="193"/>
      <c r="C141" s="2"/>
      <c r="D141" s="407" t="s">
        <v>173</v>
      </c>
      <c r="E141" s="354">
        <v>363.70457432710828</v>
      </c>
      <c r="F141" s="355">
        <v>365.26276604256975</v>
      </c>
      <c r="G141" s="355">
        <f t="shared" si="47"/>
        <v>1.5581917154614757</v>
      </c>
      <c r="H141" s="356">
        <f t="shared" si="48"/>
        <v>4.2842235854313746E-3</v>
      </c>
      <c r="I141" s="352" cm="1">
        <f t="array" ref="I141">SUM(INDEX($E$54:$R$112,MATCH({"Allowed Totex16","Allowed Totex17","Allowed Totex18","Allowed Totex19","Allowed Totex20","Allowed Totex21","Allowed Totex22"},$D$54:$D$112,0),MATCH($D141,$E$53:$R$53,0)))</f>
        <v>2635.1960775981984</v>
      </c>
      <c r="J141" s="352" cm="1">
        <f t="array" ref="J141">SUM(INDEX($E$54:$R$112,MATCH({"Actual Totex16","Actual Totex17","Actual Totex18","Actual Totex19","Actual Totex20","Actual Totex21","Actual Totex22"},$D$54:$D$112,0),MATCH($D141,$E$53:$R$53,0)))</f>
        <v>2669.6359130060032</v>
      </c>
      <c r="K141" s="355">
        <f t="shared" si="49"/>
        <v>34.439835407804821</v>
      </c>
      <c r="L141" s="1130">
        <f t="shared" si="50"/>
        <v>1.3069173751652813E-2</v>
      </c>
      <c r="M141" s="346">
        <v>3001.9716021904578</v>
      </c>
      <c r="N141" s="346">
        <v>3066.3495941497576</v>
      </c>
      <c r="O141" s="359">
        <f t="shared" si="51"/>
        <v>64.377991959299834</v>
      </c>
      <c r="P141" s="1127">
        <f t="shared" si="52"/>
        <v>2.144523682779842E-2</v>
      </c>
      <c r="R141" s="112"/>
    </row>
    <row r="142" spans="2:19" ht="12" thickBot="1">
      <c r="B142" s="193"/>
      <c r="C142" s="2"/>
      <c r="D142" s="408" t="s">
        <v>174</v>
      </c>
      <c r="E142" s="360">
        <f>SUM(E128:E141)</f>
        <v>3832.2051402706834</v>
      </c>
      <c r="F142" s="361">
        <f>SUM(F128:F141)</f>
        <v>3846.4306220342046</v>
      </c>
      <c r="G142" s="361">
        <f t="shared" si="47"/>
        <v>14.225481763521202</v>
      </c>
      <c r="H142" s="362">
        <f t="shared" si="48"/>
        <v>3.7120877517836642E-3</v>
      </c>
      <c r="I142" s="360">
        <f>SUM(I128:I141)</f>
        <v>27956.596882260383</v>
      </c>
      <c r="J142" s="361">
        <f>SUM(J128:J141)</f>
        <v>27023.401013276049</v>
      </c>
      <c r="K142" s="361">
        <f t="shared" si="49"/>
        <v>-933.19586898433408</v>
      </c>
      <c r="L142" s="1131">
        <f t="shared" si="50"/>
        <v>-3.3380166867752255E-2</v>
      </c>
      <c r="M142" s="364">
        <f>SUM(M128:M141)</f>
        <v>31806.904392576875</v>
      </c>
      <c r="N142" s="365">
        <f>SUM(N128:N141)</f>
        <v>31024.226379163178</v>
      </c>
      <c r="O142" s="365">
        <f>N142-M142</f>
        <v>-782.67801341369704</v>
      </c>
      <c r="P142" s="1128">
        <f t="shared" si="52"/>
        <v>-2.4607173453709604E-2</v>
      </c>
    </row>
    <row r="143" spans="2:19" ht="12" thickBot="1">
      <c r="B143" s="193"/>
      <c r="C143" s="2"/>
      <c r="D143" s="2"/>
      <c r="E143" s="2"/>
      <c r="F143" s="2"/>
      <c r="G143" s="2"/>
      <c r="H143" s="2"/>
      <c r="I143" s="2"/>
      <c r="J143" s="2"/>
      <c r="K143" s="2"/>
      <c r="L143" s="2"/>
    </row>
    <row r="144" spans="2:19">
      <c r="B144" s="193"/>
      <c r="C144" s="2"/>
      <c r="D144" s="2"/>
      <c r="E144" s="1179" t="s">
        <v>630</v>
      </c>
      <c r="F144" s="1180"/>
      <c r="G144" s="1180"/>
      <c r="H144" s="1228"/>
      <c r="I144" s="1227" t="s">
        <v>631</v>
      </c>
      <c r="J144" s="1180"/>
      <c r="K144" s="1180"/>
      <c r="L144" s="1228"/>
      <c r="M144" s="1245" t="s">
        <v>632</v>
      </c>
      <c r="N144" s="1246"/>
      <c r="O144" s="1246"/>
      <c r="P144" s="1247"/>
    </row>
    <row r="145" spans="2:17">
      <c r="B145" s="193"/>
      <c r="C145" s="2"/>
      <c r="E145" s="196" t="s">
        <v>297</v>
      </c>
      <c r="F145" s="102" t="s">
        <v>298</v>
      </c>
      <c r="G145" s="102" t="s">
        <v>602</v>
      </c>
      <c r="H145" s="102"/>
      <c r="I145" s="102" t="s">
        <v>297</v>
      </c>
      <c r="J145" s="102" t="s">
        <v>298</v>
      </c>
      <c r="K145" s="102" t="s">
        <v>602</v>
      </c>
      <c r="L145" s="102"/>
      <c r="M145" s="101" t="s">
        <v>297</v>
      </c>
      <c r="N145" s="101" t="s">
        <v>298</v>
      </c>
      <c r="O145" s="101" t="s">
        <v>602</v>
      </c>
      <c r="P145" s="789"/>
    </row>
    <row r="146" spans="2:17" ht="12" thickBot="1">
      <c r="B146" s="193"/>
      <c r="C146" s="2"/>
      <c r="D146" s="2"/>
      <c r="E146" s="196"/>
      <c r="F146" s="102"/>
      <c r="G146" s="102" t="s">
        <v>633</v>
      </c>
      <c r="H146" s="102" t="s">
        <v>606</v>
      </c>
      <c r="I146" s="102"/>
      <c r="J146" s="102"/>
      <c r="K146" s="102" t="s">
        <v>633</v>
      </c>
      <c r="L146" s="102" t="s">
        <v>606</v>
      </c>
      <c r="M146" s="101"/>
      <c r="N146" s="101"/>
      <c r="O146" s="101" t="s">
        <v>633</v>
      </c>
      <c r="P146" s="789" t="s">
        <v>606</v>
      </c>
    </row>
    <row r="147" spans="2:17">
      <c r="B147" s="193"/>
      <c r="C147" s="2"/>
      <c r="D147" s="186" t="s">
        <v>161</v>
      </c>
      <c r="E147" s="352">
        <f>SUM(INDEX(E$128:E$141,MATCH($D147,$D$128:$D$141,0)))</f>
        <v>314.29989152659925</v>
      </c>
      <c r="F147" s="352">
        <f>SUM(INDEX(F$128:F$141,MATCH($D147,$D$128:$D$141,0)))</f>
        <v>264.17710060360514</v>
      </c>
      <c r="G147" s="341">
        <f t="shared" ref="G147:G153" si="53">F147-E147</f>
        <v>-50.122790922994113</v>
      </c>
      <c r="H147" s="343">
        <f t="shared" ref="H147:H153" si="54">G147/E147</f>
        <v>-0.15947441368668819</v>
      </c>
      <c r="I147" s="352">
        <f>SUM(INDEX(I$128:I$141,MATCH($D147,$D$128:$D$141,0)))</f>
        <v>2085.0127522983307</v>
      </c>
      <c r="J147" s="352">
        <f>SUM(INDEX(J$128:J$141,MATCH($D147,$D$128:$D$141,0)))</f>
        <v>1916.9273903074281</v>
      </c>
      <c r="K147" s="341">
        <f t="shared" ref="K147:K153" si="55">J147-I147</f>
        <v>-168.08536199090258</v>
      </c>
      <c r="L147" s="353">
        <f t="shared" ref="L147:L153" si="56">K147/I147</f>
        <v>-8.0615987506848757E-2</v>
      </c>
      <c r="M147" s="346">
        <f>SUM(INDEX(M$128:M$141,MATCH($D147,$D$128:$D$141,0)))</f>
        <v>2380.9591413155226</v>
      </c>
      <c r="N147" s="346">
        <f>SUM(INDEX(N$128:N$141,MATCH($D147,$D$128:$D$141,0)))</f>
        <v>2211.177713376986</v>
      </c>
      <c r="O147" s="342">
        <f t="shared" ref="O147:O153" si="57">N147-M147</f>
        <v>-169.78142793853658</v>
      </c>
      <c r="P147" s="1126">
        <f t="shared" ref="P147:P153" si="58">O147/M147</f>
        <v>-7.1307997265643672E-2</v>
      </c>
    </row>
    <row r="148" spans="2:17">
      <c r="B148" s="193"/>
      <c r="C148" s="2"/>
      <c r="D148" s="187" t="s">
        <v>187</v>
      </c>
      <c r="E148" s="352" cm="1">
        <f t="array" ref="E148">SUM(INDEX(E$128:E$141,MATCH({"NPgN","Npgy"},$D$128:$D$141,0)))</f>
        <v>432.07672930791676</v>
      </c>
      <c r="F148" s="352" cm="1">
        <f t="array" ref="F148">SUM(INDEX(F$128:F$141,MATCH({"NPgN","Npgy"},$D$128:$D$141,0)))</f>
        <v>485.72113853747692</v>
      </c>
      <c r="G148" s="341">
        <f t="shared" si="53"/>
        <v>53.644409229560154</v>
      </c>
      <c r="H148" s="343">
        <f t="shared" si="54"/>
        <v>0.1241548215648772</v>
      </c>
      <c r="I148" s="352" cm="1">
        <f t="array" ref="I148">SUM(INDEX(I$128:I$141,MATCH({"NPgN","Npgy"},$D$128:$D$141,0)))</f>
        <v>3424.9132436462219</v>
      </c>
      <c r="J148" s="352" cm="1">
        <f t="array" ref="J148">SUM(INDEX(J$128:J$141,MATCH({"NPgN","Npgy"},$D$128:$D$141,0)))</f>
        <v>3435.2512486628143</v>
      </c>
      <c r="K148" s="341">
        <f t="shared" si="55"/>
        <v>10.338005016592433</v>
      </c>
      <c r="L148" s="353">
        <f t="shared" si="56"/>
        <v>3.0184720841531197E-3</v>
      </c>
      <c r="M148" s="346" cm="1">
        <f t="array" ref="M148">SUM(INDEX(M$128:M$141,MATCH({"NPgN","Npgy"},$D$128:$D$141,0)))</f>
        <v>3923.3553607727554</v>
      </c>
      <c r="N148" s="346" cm="1">
        <f t="array" ref="N148">SUM(INDEX(N$128:N$141,MATCH({"NPgN","Npgy"},$D$128:$D$141,0)))</f>
        <v>3938.4479908406583</v>
      </c>
      <c r="O148" s="342">
        <f t="shared" si="57"/>
        <v>15.092630067902974</v>
      </c>
      <c r="P148" s="1126">
        <f t="shared" si="58"/>
        <v>3.8468679688832179E-3</v>
      </c>
    </row>
    <row r="149" spans="2:17">
      <c r="B149" s="193"/>
      <c r="C149" s="2"/>
      <c r="D149" s="187" t="s">
        <v>1410</v>
      </c>
      <c r="E149" s="352" cm="1">
        <f t="array" ref="E149">SUM(INDEX(E$128:E$141,MATCH({"WMID","EMID","SWALES","SWEST"},$D$128:$D$141,0)))</f>
        <v>1100.3421232091232</v>
      </c>
      <c r="F149" s="352" cm="1">
        <f t="array" ref="F149">SUM(INDEX(F$128:F$141,MATCH({"WMID","EMID","SWALES","SWEST"},$D$128:$D$141,0)))</f>
        <v>1072.4499792729068</v>
      </c>
      <c r="G149" s="341">
        <f t="shared" si="53"/>
        <v>-27.892143936216371</v>
      </c>
      <c r="H149" s="343">
        <f t="shared" si="54"/>
        <v>-2.5348610534757642E-2</v>
      </c>
      <c r="I149" s="352" cm="1">
        <f t="array" ref="I149">SUM(INDEX(I$128:I$141,MATCH({"WMID","EMID","SWALES","SWEST"},$D$128:$D$141,0)))</f>
        <v>7782.0299888660547</v>
      </c>
      <c r="J149" s="352" cm="1">
        <f t="array" ref="J149">SUM(INDEX(J$128:J$141,MATCH({"WMID","EMID","SWALES","SWEST"},$D$128:$D$141,0)))</f>
        <v>7634.8434489127922</v>
      </c>
      <c r="K149" s="341">
        <f t="shared" si="55"/>
        <v>-147.18653995326258</v>
      </c>
      <c r="L149" s="353">
        <f t="shared" si="56"/>
        <v>-1.8913643376322894E-2</v>
      </c>
      <c r="M149" s="346" cm="1">
        <f t="array" ref="M149">SUM(INDEX(M$128:M$141,MATCH({"WMID","EMID","SWALES","SWEST"},$D$128:$D$141,0)))</f>
        <v>8897.1236105399366</v>
      </c>
      <c r="N149" s="346" cm="1">
        <f t="array" ref="N149">SUM(INDEX(N$128:N$141,MATCH({"WMID","EMID","SWALES","SWEST"},$D$128:$D$141,0)))</f>
        <v>8809.9345881728041</v>
      </c>
      <c r="O149" s="342">
        <f t="shared" si="57"/>
        <v>-87.189022367132566</v>
      </c>
      <c r="P149" s="1126">
        <f t="shared" si="58"/>
        <v>-9.7996865260863066E-3</v>
      </c>
    </row>
    <row r="150" spans="2:17">
      <c r="B150" s="193"/>
      <c r="C150" s="2"/>
      <c r="D150" s="187" t="s">
        <v>188</v>
      </c>
      <c r="E150" s="352" cm="1">
        <f t="array" ref="E150">SUM(INDEX(E$128:E$141,MATCH({"LPN","SPN","EPN"},$D$128:$D$141,0)))</f>
        <v>906.64288161383956</v>
      </c>
      <c r="F150" s="352" cm="1">
        <f t="array" ref="F150">SUM(INDEX(F$128:F$141,MATCH({"LPN","SPN","EPN"},$D$128:$D$141,0)))</f>
        <v>874.98850673031927</v>
      </c>
      <c r="G150" s="341">
        <f t="shared" si="53"/>
        <v>-31.65437488352029</v>
      </c>
      <c r="H150" s="343">
        <f t="shared" si="54"/>
        <v>-3.4913829386908075E-2</v>
      </c>
      <c r="I150" s="352" cm="1">
        <f t="array" ref="I150">SUM(INDEX(I$128:I$141,MATCH({"LPN","SPN","EPN"},$D$128:$D$141,0)))</f>
        <v>6838.0228510107863</v>
      </c>
      <c r="J150" s="352" cm="1">
        <f t="array" ref="J150">SUM(INDEX(J$128:J$141,MATCH({"LPN","SPN","EPN"},$D$128:$D$141,0)))</f>
        <v>6019.5136318210352</v>
      </c>
      <c r="K150" s="341">
        <f t="shared" si="55"/>
        <v>-818.50921918975109</v>
      </c>
      <c r="L150" s="353">
        <f t="shared" si="56"/>
        <v>-0.11969969054267789</v>
      </c>
      <c r="M150" s="346" cm="1">
        <f t="array" ref="M150">SUM(INDEX(M$128:M$141,MATCH({"LPN","SPN","EPN"},$D$128:$D$141,0)))</f>
        <v>7712.2256293216051</v>
      </c>
      <c r="N150" s="346" cm="1">
        <f t="array" ref="N150">SUM(INDEX(N$128:N$141,MATCH({"LPN","SPN","EPN"},$D$128:$D$141,0)))</f>
        <v>6861.1448725411037</v>
      </c>
      <c r="O150" s="342">
        <f t="shared" si="57"/>
        <v>-851.08075678050136</v>
      </c>
      <c r="P150" s="1126">
        <f t="shared" si="58"/>
        <v>-0.11035475330814011</v>
      </c>
    </row>
    <row r="151" spans="2:17">
      <c r="B151" s="193"/>
      <c r="C151" s="2"/>
      <c r="D151" s="187" t="s">
        <v>189</v>
      </c>
      <c r="E151" s="352" cm="1">
        <f t="array" ref="E151">SUM(INDEX(E$128:E$141,MATCH({"SPD","SPMW"},$D$128:$D$141,0)))</f>
        <v>494.66564914709028</v>
      </c>
      <c r="F151" s="352" cm="1">
        <f t="array" ref="F151">SUM(INDEX(F$128:F$141,MATCH({"SPD","SPMW"},$D$128:$D$141,0)))</f>
        <v>508.93146649446237</v>
      </c>
      <c r="G151" s="341">
        <f t="shared" si="53"/>
        <v>14.265817347372092</v>
      </c>
      <c r="H151" s="343">
        <f t="shared" si="54"/>
        <v>2.8839312719549908E-2</v>
      </c>
      <c r="I151" s="352" cm="1">
        <f t="array" ref="I151">SUM(INDEX(I$128:I$141,MATCH({"SPD","SPMW"},$D$128:$D$141,0)))</f>
        <v>3698.9809979943834</v>
      </c>
      <c r="J151" s="352" cm="1">
        <f t="array" ref="J151">SUM(INDEX(J$128:J$141,MATCH({"SPD","SPMW"},$D$128:$D$141,0)))</f>
        <v>3828.3192001093003</v>
      </c>
      <c r="K151" s="341">
        <f t="shared" si="55"/>
        <v>129.33820211491684</v>
      </c>
      <c r="L151" s="353">
        <f t="shared" si="56"/>
        <v>3.4965900658869301E-2</v>
      </c>
      <c r="M151" s="346" cm="1">
        <f t="array" ref="M151">SUM(INDEX(M$128:M$141,MATCH({"SPD","SPMW"},$D$128:$D$141,0)))</f>
        <v>4180.0124371637421</v>
      </c>
      <c r="N151" s="346" cm="1">
        <f t="array" ref="N151">SUM(INDEX(N$128:N$141,MATCH({"SPD","SPMW"},$D$128:$D$141,0)))</f>
        <v>4365.4395722416193</v>
      </c>
      <c r="O151" s="342">
        <f t="shared" si="57"/>
        <v>185.42713507787721</v>
      </c>
      <c r="P151" s="1126">
        <f t="shared" si="58"/>
        <v>4.4360426641145312E-2</v>
      </c>
    </row>
    <row r="152" spans="2:17" ht="12" thickBot="1">
      <c r="B152" s="193"/>
      <c r="C152" s="2"/>
      <c r="D152" s="187" t="s">
        <v>190</v>
      </c>
      <c r="E152" s="352" cm="1">
        <f t="array" ref="E152">SUM(INDEX(E$128:E$141,MATCH({"SSEH","SSES"},$D$128:$D$141,0)))</f>
        <v>584.17786546611433</v>
      </c>
      <c r="F152" s="352" cm="1">
        <f t="array" ref="F152">SUM(INDEX(F$128:F$141,MATCH({"SSEH","SSES"},$D$128:$D$141,0)))</f>
        <v>640.16243039543451</v>
      </c>
      <c r="G152" s="355">
        <f t="shared" si="53"/>
        <v>55.984564929320186</v>
      </c>
      <c r="H152" s="356">
        <f t="shared" si="54"/>
        <v>9.5834793200612306E-2</v>
      </c>
      <c r="I152" s="352" cm="1">
        <f t="array" ref="I152">SUM(INDEX(I$128:I$141,MATCH({"SSEH","SSES"},$D$128:$D$141,0)))</f>
        <v>4127.6370484446106</v>
      </c>
      <c r="J152" s="352" cm="1">
        <f t="array" ref="J152">SUM(INDEX(J$128:J$141,MATCH({"SSEH","SSES"},$D$128:$D$141,0)))</f>
        <v>4188.5460934626744</v>
      </c>
      <c r="K152" s="355">
        <f t="shared" si="55"/>
        <v>60.909045018063807</v>
      </c>
      <c r="L152" s="357">
        <f t="shared" si="56"/>
        <v>1.4756395560752065E-2</v>
      </c>
      <c r="M152" s="346" cm="1">
        <f t="array" ref="M152">SUM(INDEX(M$128:M$141,MATCH({"SSEH","SSES"},$D$128:$D$141,0)))</f>
        <v>4713.2282134633124</v>
      </c>
      <c r="N152" s="346" cm="1">
        <f t="array" ref="N152">SUM(INDEX(N$128:N$141,MATCH({"SSEH","SSES"},$D$128:$D$141,0)))</f>
        <v>4838.0816419900057</v>
      </c>
      <c r="O152" s="359">
        <f t="shared" si="57"/>
        <v>124.85342852669328</v>
      </c>
      <c r="P152" s="1127">
        <f t="shared" si="58"/>
        <v>2.6490002790454766E-2</v>
      </c>
    </row>
    <row r="153" spans="2:17" ht="12" thickBot="1">
      <c r="B153" s="193"/>
      <c r="D153" s="456" t="s">
        <v>174</v>
      </c>
      <c r="E153" s="360">
        <f>SUM(E147:E152)</f>
        <v>3832.2051402706834</v>
      </c>
      <c r="F153" s="361">
        <f>SUM(F147:F152)</f>
        <v>3846.430622034205</v>
      </c>
      <c r="G153" s="361">
        <f t="shared" si="53"/>
        <v>14.225481763521657</v>
      </c>
      <c r="H153" s="362">
        <f t="shared" si="54"/>
        <v>3.7120877517837826E-3</v>
      </c>
      <c r="I153" s="360">
        <f>SUM(I147:I152)</f>
        <v>27956.596882260383</v>
      </c>
      <c r="J153" s="361">
        <f>SUM(J147:J152)</f>
        <v>27023.401013276049</v>
      </c>
      <c r="K153" s="361">
        <f t="shared" si="55"/>
        <v>-933.19586898433408</v>
      </c>
      <c r="L153" s="363">
        <f t="shared" si="56"/>
        <v>-3.3380166867752255E-2</v>
      </c>
      <c r="M153" s="364">
        <f>SUM(M147:M152)</f>
        <v>31806.904392576878</v>
      </c>
      <c r="N153" s="365">
        <f>SUM(N147:N152)</f>
        <v>31024.226379163178</v>
      </c>
      <c r="O153" s="365">
        <f t="shared" si="57"/>
        <v>-782.67801341370068</v>
      </c>
      <c r="P153" s="1128">
        <f t="shared" si="58"/>
        <v>-2.4607173453709715E-2</v>
      </c>
    </row>
    <row r="154" spans="2:17">
      <c r="B154" s="225"/>
    </row>
    <row r="156" spans="2:17">
      <c r="D156" s="140" t="s">
        <v>634</v>
      </c>
    </row>
    <row r="157" spans="2:17" ht="12" thickBot="1">
      <c r="B157" s="1200" t="s">
        <v>635</v>
      </c>
      <c r="D157" s="2" t="s">
        <v>636</v>
      </c>
      <c r="E157" s="56"/>
      <c r="F157" s="2"/>
      <c r="G157" s="2"/>
      <c r="H157" s="2"/>
      <c r="I157" s="2"/>
      <c r="J157" s="2"/>
    </row>
    <row r="158" spans="2:17" ht="12" thickBot="1">
      <c r="B158" s="1200"/>
      <c r="D158" s="109"/>
      <c r="E158" s="109"/>
      <c r="F158" s="1047">
        <v>42095</v>
      </c>
      <c r="G158" s="1045">
        <v>42461</v>
      </c>
      <c r="H158" s="1045">
        <v>42826</v>
      </c>
      <c r="I158" s="1045">
        <v>43191</v>
      </c>
      <c r="J158" s="1045">
        <v>43556</v>
      </c>
      <c r="K158" s="1045">
        <v>43922</v>
      </c>
      <c r="L158" s="1048">
        <v>44287</v>
      </c>
      <c r="M158" s="1048">
        <v>44652</v>
      </c>
      <c r="N158" s="110"/>
      <c r="O158" s="110"/>
      <c r="P158" s="110"/>
      <c r="Q158" s="110"/>
    </row>
    <row r="159" spans="2:17">
      <c r="B159" s="1200"/>
      <c r="D159" s="790" t="s">
        <v>1413</v>
      </c>
      <c r="E159" s="910"/>
      <c r="F159" s="1046">
        <v>107.43414757050648</v>
      </c>
      <c r="G159" s="1046">
        <v>112.50165340621878</v>
      </c>
      <c r="H159" s="1046">
        <v>100.02356294379233</v>
      </c>
      <c r="I159" s="1046">
        <v>94.792518857292322</v>
      </c>
      <c r="J159" s="1046">
        <v>97.645960742597254</v>
      </c>
      <c r="K159" s="1046">
        <v>98.849704090822499</v>
      </c>
      <c r="L159" s="1046">
        <v>94.682579467497632</v>
      </c>
      <c r="M159" s="1046">
        <v>98.888305573385423</v>
      </c>
      <c r="N159" s="147"/>
      <c r="O159" s="147"/>
      <c r="P159" s="147"/>
      <c r="Q159" s="147"/>
    </row>
    <row r="160" spans="2:17">
      <c r="B160" s="1200"/>
      <c r="D160" s="791" t="s">
        <v>637</v>
      </c>
      <c r="E160" s="50" t="s">
        <v>437</v>
      </c>
      <c r="F160" s="148"/>
      <c r="G160" s="148"/>
      <c r="H160" s="148"/>
      <c r="I160" s="148"/>
      <c r="J160" s="984"/>
      <c r="K160" s="148"/>
      <c r="L160" s="148"/>
      <c r="M160" s="148"/>
      <c r="N160" s="111"/>
      <c r="O160" s="111"/>
      <c r="P160" s="111"/>
      <c r="Q160" s="111"/>
    </row>
    <row r="161" spans="2:20">
      <c r="B161" s="1200"/>
      <c r="D161" s="792" t="s">
        <v>638</v>
      </c>
      <c r="E161" s="911" t="s">
        <v>161</v>
      </c>
      <c r="F161" s="877">
        <v>104.84855963639788</v>
      </c>
      <c r="G161" s="877">
        <v>106.67327724810714</v>
      </c>
      <c r="H161" s="877">
        <v>87.997882123508958</v>
      </c>
      <c r="I161" s="877">
        <v>86.902389867175344</v>
      </c>
      <c r="J161" s="877">
        <v>91.902341767174889</v>
      </c>
      <c r="K161" s="877">
        <v>85.591797464901873</v>
      </c>
      <c r="L161" s="877">
        <v>78.776578049152718</v>
      </c>
      <c r="M161" s="877">
        <v>85.806277860816877</v>
      </c>
      <c r="N161" s="44"/>
      <c r="O161" s="44"/>
      <c r="P161" s="44"/>
      <c r="Q161" s="44"/>
    </row>
    <row r="162" spans="2:20">
      <c r="B162" s="1200"/>
      <c r="D162" s="792" t="s">
        <v>639</v>
      </c>
      <c r="E162" s="911" t="s">
        <v>162</v>
      </c>
      <c r="F162" s="877">
        <v>114.97664097183159</v>
      </c>
      <c r="G162" s="877">
        <v>112.22218658402376</v>
      </c>
      <c r="H162" s="877">
        <v>100.91439977082982</v>
      </c>
      <c r="I162" s="877">
        <v>94.964763098031924</v>
      </c>
      <c r="J162" s="877">
        <v>98.293744105815549</v>
      </c>
      <c r="K162" s="877">
        <v>103.62736057404214</v>
      </c>
      <c r="L162" s="877">
        <v>98.31468797851889</v>
      </c>
      <c r="M162" s="877">
        <v>97.956141715473805</v>
      </c>
      <c r="N162" s="44"/>
      <c r="O162" s="44"/>
      <c r="P162" s="44"/>
      <c r="Q162" s="44"/>
    </row>
    <row r="163" spans="2:20">
      <c r="B163" s="1200"/>
      <c r="D163" s="792" t="s">
        <v>640</v>
      </c>
      <c r="E163" s="911" t="s">
        <v>163</v>
      </c>
      <c r="F163" s="877">
        <v>98.541883792893785</v>
      </c>
      <c r="G163" s="877">
        <v>92.281804335773046</v>
      </c>
      <c r="H163" s="877">
        <v>84.17113691586809</v>
      </c>
      <c r="I163" s="877">
        <v>80.879783558912678</v>
      </c>
      <c r="J163" s="877">
        <v>82.026682609059435</v>
      </c>
      <c r="K163" s="877">
        <v>86.665076568780393</v>
      </c>
      <c r="L163" s="877">
        <v>82.866819881722748</v>
      </c>
      <c r="M163" s="877">
        <v>86.482232779641521</v>
      </c>
      <c r="N163" s="44"/>
      <c r="O163" s="44"/>
      <c r="P163" s="44"/>
      <c r="Q163" s="44"/>
    </row>
    <row r="164" spans="2:20">
      <c r="B164" s="1200"/>
      <c r="D164" s="792" t="s">
        <v>641</v>
      </c>
      <c r="E164" s="911" t="s">
        <v>164</v>
      </c>
      <c r="F164" s="877">
        <v>93.850368220600458</v>
      </c>
      <c r="G164" s="877">
        <v>107.19651953144816</v>
      </c>
      <c r="H164" s="877">
        <v>92.714788167201291</v>
      </c>
      <c r="I164" s="877">
        <v>88.790902886610823</v>
      </c>
      <c r="J164" s="877">
        <v>87.913639121335137</v>
      </c>
      <c r="K164" s="877">
        <v>83.231936090596065</v>
      </c>
      <c r="L164" s="877">
        <v>83.747619033776502</v>
      </c>
      <c r="M164" s="877">
        <v>89.978421551367703</v>
      </c>
      <c r="N164" s="44"/>
      <c r="O164" s="44"/>
      <c r="P164" s="44"/>
      <c r="Q164" s="44"/>
    </row>
    <row r="165" spans="2:20">
      <c r="B165" s="1200"/>
      <c r="D165" s="792" t="s">
        <v>642</v>
      </c>
      <c r="E165" s="911" t="s">
        <v>165</v>
      </c>
      <c r="F165" s="877">
        <v>89.252057660305411</v>
      </c>
      <c r="G165" s="877">
        <v>95.72908158661464</v>
      </c>
      <c r="H165" s="877">
        <v>84.091529036221218</v>
      </c>
      <c r="I165" s="877">
        <v>78.596389813731406</v>
      </c>
      <c r="J165" s="877">
        <v>79.206946283188557</v>
      </c>
      <c r="K165" s="877">
        <v>79.975681165159486</v>
      </c>
      <c r="L165" s="877">
        <v>79.215175745952564</v>
      </c>
      <c r="M165" s="877">
        <v>84.501469092186582</v>
      </c>
      <c r="N165" s="44"/>
      <c r="O165" s="44"/>
      <c r="P165" s="44"/>
      <c r="Q165" s="44"/>
    </row>
    <row r="166" spans="2:20">
      <c r="B166" s="1200"/>
      <c r="D166" s="792" t="s">
        <v>643</v>
      </c>
      <c r="E166" s="911" t="s">
        <v>166</v>
      </c>
      <c r="F166" s="877">
        <v>113.02995401237378</v>
      </c>
      <c r="G166" s="877">
        <v>129.39331193534269</v>
      </c>
      <c r="H166" s="877">
        <v>113.9962568604942</v>
      </c>
      <c r="I166" s="877">
        <v>109.72822443131908</v>
      </c>
      <c r="J166" s="877">
        <v>110.75534632580812</v>
      </c>
      <c r="K166" s="877">
        <v>109.60088974066019</v>
      </c>
      <c r="L166" s="877">
        <v>104.72040283073248</v>
      </c>
      <c r="M166" s="877">
        <v>106.5251034002962</v>
      </c>
      <c r="N166" s="44"/>
      <c r="O166" s="44"/>
      <c r="P166" s="44"/>
      <c r="Q166" s="44"/>
      <c r="R166" s="44"/>
      <c r="S166" s="44"/>
      <c r="T166" s="44"/>
    </row>
    <row r="167" spans="2:20">
      <c r="B167" s="1200"/>
      <c r="D167" s="792" t="s">
        <v>644</v>
      </c>
      <c r="E167" s="911" t="s">
        <v>167</v>
      </c>
      <c r="F167" s="877">
        <v>126.06744749448808</v>
      </c>
      <c r="G167" s="877">
        <v>140.46571928215715</v>
      </c>
      <c r="H167" s="877">
        <v>125.86618140476517</v>
      </c>
      <c r="I167" s="877">
        <v>110.99713664031621</v>
      </c>
      <c r="J167" s="877">
        <v>109.38260074195274</v>
      </c>
      <c r="K167" s="877">
        <v>108.38818320108636</v>
      </c>
      <c r="L167" s="877">
        <v>108.19542980934459</v>
      </c>
      <c r="M167" s="877">
        <v>115.59533115182776</v>
      </c>
      <c r="N167" s="44"/>
      <c r="O167" s="44"/>
      <c r="P167" s="44"/>
      <c r="Q167" s="44"/>
      <c r="R167" s="44"/>
      <c r="S167" s="44"/>
      <c r="T167" s="44"/>
    </row>
    <row r="168" spans="2:20">
      <c r="B168" s="1200"/>
      <c r="D168" s="792" t="s">
        <v>645</v>
      </c>
      <c r="E168" s="911" t="s">
        <v>168</v>
      </c>
      <c r="F168" s="877">
        <v>77.39968360290348</v>
      </c>
      <c r="G168" s="877">
        <v>87.441408943788829</v>
      </c>
      <c r="H168" s="877">
        <v>74.594810022961738</v>
      </c>
      <c r="I168" s="877">
        <v>71.942298459782222</v>
      </c>
      <c r="J168" s="877">
        <v>79.246438388592907</v>
      </c>
      <c r="K168" s="877">
        <v>85.958574861040702</v>
      </c>
      <c r="L168" s="877">
        <v>82.881798249949767</v>
      </c>
      <c r="M168" s="877">
        <v>80.345656129674978</v>
      </c>
      <c r="N168" s="44"/>
      <c r="O168" s="44"/>
      <c r="P168" s="44"/>
      <c r="Q168" s="44"/>
      <c r="R168" s="44"/>
      <c r="S168" s="44"/>
      <c r="T168" s="44"/>
    </row>
    <row r="169" spans="2:20">
      <c r="B169" s="1200"/>
      <c r="D169" s="792" t="s">
        <v>646</v>
      </c>
      <c r="E169" s="911" t="s">
        <v>169</v>
      </c>
      <c r="F169" s="877">
        <v>101.24482914084402</v>
      </c>
      <c r="G169" s="877">
        <v>118.7735726919308</v>
      </c>
      <c r="H169" s="877">
        <v>101.47555181757144</v>
      </c>
      <c r="I169" s="877">
        <v>90.716148996813359</v>
      </c>
      <c r="J169" s="877">
        <v>97.499689506485325</v>
      </c>
      <c r="K169" s="877">
        <v>101.40744688705735</v>
      </c>
      <c r="L169" s="877">
        <v>100.88415748238974</v>
      </c>
      <c r="M169" s="877">
        <v>105.21523416167038</v>
      </c>
      <c r="N169" s="44"/>
      <c r="O169" s="44"/>
      <c r="P169" s="44"/>
      <c r="Q169" s="44"/>
    </row>
    <row r="170" spans="2:20">
      <c r="B170" s="1200"/>
      <c r="D170" s="792" t="s">
        <v>647</v>
      </c>
      <c r="E170" s="911" t="s">
        <v>170</v>
      </c>
      <c r="F170" s="877">
        <v>89.870278246218078</v>
      </c>
      <c r="G170" s="877">
        <v>91.144070011069076</v>
      </c>
      <c r="H170" s="877">
        <v>88.021263458789861</v>
      </c>
      <c r="I170" s="877">
        <v>84.151729599736697</v>
      </c>
      <c r="J170" s="877">
        <v>87.963662454847309</v>
      </c>
      <c r="K170" s="877">
        <v>89.150318584886861</v>
      </c>
      <c r="L170" s="877">
        <v>84.625424947984598</v>
      </c>
      <c r="M170" s="877">
        <v>89.092718906205846</v>
      </c>
      <c r="N170" s="44"/>
      <c r="O170" s="44"/>
      <c r="P170" s="44"/>
      <c r="Q170" s="44"/>
    </row>
    <row r="171" spans="2:20">
      <c r="B171" s="1200"/>
      <c r="D171" s="792" t="s">
        <v>648</v>
      </c>
      <c r="E171" s="911" t="s">
        <v>171</v>
      </c>
      <c r="F171" s="877">
        <v>113.54553110406047</v>
      </c>
      <c r="G171" s="877">
        <v>110.29150341271138</v>
      </c>
      <c r="H171" s="877">
        <v>101.66037570598239</v>
      </c>
      <c r="I171" s="877">
        <v>101.02788384464058</v>
      </c>
      <c r="J171" s="877">
        <v>103.2665900183318</v>
      </c>
      <c r="K171" s="877">
        <v>105.01279065335794</v>
      </c>
      <c r="L171" s="877">
        <v>97.554145330870597</v>
      </c>
      <c r="M171" s="877">
        <v>107.34480133987412</v>
      </c>
      <c r="N171" s="44"/>
      <c r="O171" s="44"/>
      <c r="P171" s="44"/>
      <c r="Q171" s="44"/>
    </row>
    <row r="172" spans="2:20">
      <c r="B172" s="1200"/>
      <c r="D172" s="792" t="s">
        <v>649</v>
      </c>
      <c r="E172" s="911" t="s">
        <v>172</v>
      </c>
      <c r="F172" s="877">
        <v>142.61652828940856</v>
      </c>
      <c r="G172" s="877">
        <v>125.18196234359586</v>
      </c>
      <c r="H172" s="877">
        <v>115.68862017606422</v>
      </c>
      <c r="I172" s="877">
        <v>109.80223080536445</v>
      </c>
      <c r="J172" s="877">
        <v>123.7082303370308</v>
      </c>
      <c r="K172" s="877">
        <v>125.89933267149199</v>
      </c>
      <c r="L172" s="877">
        <v>115.05703471404195</v>
      </c>
      <c r="M172" s="877">
        <v>122.69740300867618</v>
      </c>
      <c r="N172" s="44"/>
      <c r="O172" s="44"/>
      <c r="P172" s="44"/>
      <c r="Q172" s="44"/>
    </row>
    <row r="173" spans="2:20">
      <c r="B173" s="1200"/>
      <c r="D173" s="792" t="s">
        <v>650</v>
      </c>
      <c r="E173" s="911" t="s">
        <v>28</v>
      </c>
      <c r="F173" s="877">
        <v>144.24891379068481</v>
      </c>
      <c r="G173" s="877">
        <v>158.34085384251884</v>
      </c>
      <c r="H173" s="877">
        <v>139.08888320457402</v>
      </c>
      <c r="I173" s="877">
        <v>136.52285337583825</v>
      </c>
      <c r="J173" s="877">
        <v>135.66433360784762</v>
      </c>
      <c r="K173" s="877">
        <v>143.67372946451636</v>
      </c>
      <c r="L173" s="877">
        <v>130.83013235960991</v>
      </c>
      <c r="M173" s="877">
        <v>125.49031096403185</v>
      </c>
      <c r="N173" s="44"/>
      <c r="O173" s="44"/>
      <c r="P173" s="44"/>
      <c r="Q173" s="44"/>
    </row>
    <row r="174" spans="2:20" ht="12" thickBot="1">
      <c r="B174" s="1200"/>
      <c r="D174" s="793" t="s">
        <v>651</v>
      </c>
      <c r="E174" s="912" t="s">
        <v>173</v>
      </c>
      <c r="F174" s="877">
        <v>94.585390024080596</v>
      </c>
      <c r="G174" s="877">
        <v>99.887875937981789</v>
      </c>
      <c r="H174" s="877">
        <v>90.048202548260392</v>
      </c>
      <c r="I174" s="877">
        <v>82.072528623819309</v>
      </c>
      <c r="J174" s="877">
        <v>80.213205128891488</v>
      </c>
      <c r="K174" s="877">
        <v>75.712739343937741</v>
      </c>
      <c r="L174" s="877">
        <v>77.886706130919947</v>
      </c>
      <c r="M174" s="877">
        <v>87.405175965652504</v>
      </c>
      <c r="N174" s="44"/>
      <c r="O174" s="44"/>
      <c r="P174" s="44"/>
      <c r="Q174" s="44"/>
    </row>
    <row r="175" spans="2:20">
      <c r="B175" s="1200"/>
      <c r="D175" s="40" t="s">
        <v>652</v>
      </c>
    </row>
    <row r="176" spans="2:20">
      <c r="B176" s="1200"/>
    </row>
    <row r="177" spans="2:18">
      <c r="B177" s="1200"/>
      <c r="E177" s="1120"/>
      <c r="M177" s="1120"/>
      <c r="N177" s="1"/>
      <c r="O177" s="1"/>
      <c r="P177" s="1"/>
      <c r="Q177" s="1"/>
      <c r="R177" s="1"/>
    </row>
    <row r="178" spans="2:18">
      <c r="E178" s="2"/>
      <c r="F178" s="2"/>
      <c r="G178" s="2"/>
      <c r="H178" s="2"/>
      <c r="I178" s="2"/>
      <c r="J178" s="2"/>
      <c r="K178" s="2"/>
      <c r="L178" s="2"/>
    </row>
    <row r="179" spans="2:18" ht="12" thickBot="1">
      <c r="B179" s="1239" t="s">
        <v>653</v>
      </c>
      <c r="D179" s="16" t="s">
        <v>137</v>
      </c>
      <c r="E179" s="380" t="s">
        <v>161</v>
      </c>
      <c r="F179" s="380" t="s">
        <v>162</v>
      </c>
      <c r="G179" s="380" t="s">
        <v>163</v>
      </c>
      <c r="H179" s="380" t="s">
        <v>164</v>
      </c>
      <c r="I179" s="380" t="s">
        <v>165</v>
      </c>
      <c r="J179" s="380" t="s">
        <v>166</v>
      </c>
      <c r="K179" s="380" t="s">
        <v>167</v>
      </c>
      <c r="L179" s="127" t="s">
        <v>168</v>
      </c>
      <c r="M179" s="127" t="s">
        <v>169</v>
      </c>
      <c r="N179" s="127" t="s">
        <v>170</v>
      </c>
      <c r="O179" s="127" t="s">
        <v>171</v>
      </c>
      <c r="P179" s="127" t="s">
        <v>172</v>
      </c>
      <c r="Q179" s="127" t="s">
        <v>28</v>
      </c>
      <c r="R179" s="127" t="s">
        <v>173</v>
      </c>
    </row>
    <row r="180" spans="2:18">
      <c r="B180" s="1239"/>
      <c r="D180" s="186" t="s">
        <v>654</v>
      </c>
      <c r="E180" s="28">
        <v>1940.9416511094648</v>
      </c>
      <c r="F180" s="28">
        <v>1436.0290345326769</v>
      </c>
      <c r="G180" s="28">
        <v>1892.8801145394998</v>
      </c>
      <c r="H180" s="28">
        <v>2497.1769965078047</v>
      </c>
      <c r="I180" s="28">
        <v>2453.115130298957</v>
      </c>
      <c r="J180" s="28">
        <v>1069.4602771061636</v>
      </c>
      <c r="K180" s="28">
        <v>1534.5951722130117</v>
      </c>
      <c r="L180" s="28">
        <v>1799.9612417702187</v>
      </c>
      <c r="M180" s="28">
        <v>1835.5435804299668</v>
      </c>
      <c r="N180" s="28">
        <v>2925.9211097214557</v>
      </c>
      <c r="O180" s="28">
        <v>1936.0867365410049</v>
      </c>
      <c r="P180" s="28">
        <v>1939.4401141093201</v>
      </c>
      <c r="Q180" s="28">
        <v>1212.1612579358546</v>
      </c>
      <c r="R180" s="28">
        <v>2562.5262991637933</v>
      </c>
    </row>
    <row r="181" spans="2:18">
      <c r="B181" s="1239"/>
      <c r="D181" s="187" t="s">
        <v>655</v>
      </c>
      <c r="E181" s="28">
        <v>202.79104151570269</v>
      </c>
      <c r="F181" s="28">
        <v>160.93632205065279</v>
      </c>
      <c r="G181" s="28">
        <v>218.73456417166128</v>
      </c>
      <c r="H181" s="28">
        <v>275.24300690100262</v>
      </c>
      <c r="I181" s="28">
        <v>291.68124098710086</v>
      </c>
      <c r="J181" s="28">
        <v>145.50842477571825</v>
      </c>
      <c r="K181" s="28">
        <v>217.11278270518903</v>
      </c>
      <c r="L181" s="28">
        <v>185.92525818383294</v>
      </c>
      <c r="M181" s="28">
        <v>168.60811078121182</v>
      </c>
      <c r="N181" s="28">
        <v>260.89254941390294</v>
      </c>
      <c r="O181" s="28">
        <v>197.72371630550674</v>
      </c>
      <c r="P181" s="28">
        <v>235.75756566742243</v>
      </c>
      <c r="Q181" s="28">
        <v>120.79848720592965</v>
      </c>
      <c r="R181" s="28">
        <v>257.22405339572356</v>
      </c>
    </row>
    <row r="182" spans="2:18">
      <c r="B182" s="1239"/>
      <c r="D182" s="187" t="s">
        <v>656</v>
      </c>
      <c r="E182" s="28">
        <v>-187.81385439285339</v>
      </c>
      <c r="F182" s="28">
        <v>-129.10896278116203</v>
      </c>
      <c r="G182" s="28">
        <v>-171.97337015078716</v>
      </c>
      <c r="H182" s="28">
        <v>-218.49205145422354</v>
      </c>
      <c r="I182" s="28">
        <v>-212.35112250118621</v>
      </c>
      <c r="J182" s="28">
        <v>-108.23855897411778</v>
      </c>
      <c r="K182" s="28">
        <v>-142.35415782959919</v>
      </c>
      <c r="L182" s="28">
        <v>-175.21536207865941</v>
      </c>
      <c r="M182" s="28">
        <v>-154.91908369876387</v>
      </c>
      <c r="N182" s="28">
        <v>-264.54780682680178</v>
      </c>
      <c r="O182" s="28">
        <v>-177.14224363508805</v>
      </c>
      <c r="P182" s="28">
        <v>-168.38051334741107</v>
      </c>
      <c r="Q182" s="28">
        <v>-115.90020473303495</v>
      </c>
      <c r="R182" s="28">
        <v>-250.33479235712721</v>
      </c>
    </row>
    <row r="183" spans="2:18">
      <c r="B183" s="1239"/>
      <c r="D183" s="187" t="s">
        <v>657</v>
      </c>
      <c r="E183" s="28">
        <v>1955.9188382323143</v>
      </c>
      <c r="F183" s="28">
        <v>1467.8563938021673</v>
      </c>
      <c r="G183" s="28">
        <v>1939.6413085603738</v>
      </c>
      <c r="H183" s="28">
        <v>2553.9279519545839</v>
      </c>
      <c r="I183" s="28">
        <v>2532.4452487848716</v>
      </c>
      <c r="J183" s="28">
        <v>1106.730142907764</v>
      </c>
      <c r="K183" s="28">
        <v>1609.3537970886018</v>
      </c>
      <c r="L183" s="28">
        <v>1810.6711378753919</v>
      </c>
      <c r="M183" s="28">
        <v>1849.2326075124147</v>
      </c>
      <c r="N183" s="28">
        <v>2922.265852308557</v>
      </c>
      <c r="O183" s="28">
        <v>1956.6682092114238</v>
      </c>
      <c r="P183" s="28">
        <v>2006.8171664293316</v>
      </c>
      <c r="Q183" s="28">
        <v>1217.0595404087492</v>
      </c>
      <c r="R183" s="28">
        <v>2569.4155602023898</v>
      </c>
    </row>
    <row r="184" spans="2:18">
      <c r="B184" s="1239"/>
      <c r="D184" s="2"/>
      <c r="E184" s="2"/>
      <c r="F184" s="2"/>
      <c r="G184" s="2"/>
      <c r="H184" s="2"/>
      <c r="I184" s="2"/>
      <c r="J184" s="2"/>
      <c r="K184" s="2"/>
    </row>
    <row r="185" spans="2:18" ht="12" thickBot="1">
      <c r="B185" s="1239"/>
      <c r="D185" s="16" t="s">
        <v>138</v>
      </c>
      <c r="E185" s="380" t="s">
        <v>161</v>
      </c>
      <c r="F185" s="380" t="s">
        <v>162</v>
      </c>
      <c r="G185" s="380" t="s">
        <v>163</v>
      </c>
      <c r="H185" s="380" t="s">
        <v>164</v>
      </c>
      <c r="I185" s="380" t="s">
        <v>165</v>
      </c>
      <c r="J185" s="380" t="s">
        <v>166</v>
      </c>
      <c r="K185" s="380" t="s">
        <v>167</v>
      </c>
      <c r="L185" s="127" t="s">
        <v>168</v>
      </c>
      <c r="M185" s="127" t="s">
        <v>169</v>
      </c>
      <c r="N185" s="127" t="s">
        <v>170</v>
      </c>
      <c r="O185" s="127" t="s">
        <v>171</v>
      </c>
      <c r="P185" s="127" t="s">
        <v>172</v>
      </c>
      <c r="Q185" s="127" t="s">
        <v>28</v>
      </c>
      <c r="R185" s="127" t="s">
        <v>173</v>
      </c>
    </row>
    <row r="186" spans="2:18">
      <c r="B186" s="1239"/>
      <c r="D186" s="186" t="s">
        <v>658</v>
      </c>
      <c r="E186" s="28">
        <f>E183</f>
        <v>1955.9188382323143</v>
      </c>
      <c r="F186" s="28">
        <f t="shared" ref="F186:R186" si="59">F183</f>
        <v>1467.8563938021673</v>
      </c>
      <c r="G186" s="28">
        <f t="shared" si="59"/>
        <v>1939.6413085603738</v>
      </c>
      <c r="H186" s="28">
        <f t="shared" si="59"/>
        <v>2553.9279519545839</v>
      </c>
      <c r="I186" s="28">
        <f t="shared" si="59"/>
        <v>2532.4452487848716</v>
      </c>
      <c r="J186" s="28">
        <f t="shared" si="59"/>
        <v>1106.730142907764</v>
      </c>
      <c r="K186" s="28">
        <f t="shared" si="59"/>
        <v>1609.3537970886018</v>
      </c>
      <c r="L186" s="28">
        <f t="shared" si="59"/>
        <v>1810.6711378753919</v>
      </c>
      <c r="M186" s="28">
        <f t="shared" si="59"/>
        <v>1849.2326075124147</v>
      </c>
      <c r="N186" s="28">
        <f t="shared" si="59"/>
        <v>2922.265852308557</v>
      </c>
      <c r="O186" s="28">
        <f t="shared" si="59"/>
        <v>1956.6682092114238</v>
      </c>
      <c r="P186" s="28">
        <f t="shared" si="59"/>
        <v>2006.8171664293316</v>
      </c>
      <c r="Q186" s="28">
        <f t="shared" si="59"/>
        <v>1217.0595404087492</v>
      </c>
      <c r="R186" s="28">
        <f t="shared" si="59"/>
        <v>2569.4155602023898</v>
      </c>
    </row>
    <row r="187" spans="2:18">
      <c r="B187" s="1239"/>
      <c r="D187" s="187" t="s">
        <v>655</v>
      </c>
      <c r="E187" s="28">
        <v>184.78749301938609</v>
      </c>
      <c r="F187" s="28">
        <v>157.81010803398246</v>
      </c>
      <c r="G187" s="28">
        <v>198.58221136359174</v>
      </c>
      <c r="H187" s="28">
        <v>276.52577807456237</v>
      </c>
      <c r="I187" s="28">
        <v>288.29494565858522</v>
      </c>
      <c r="J187" s="28">
        <v>148.0665514961014</v>
      </c>
      <c r="K187" s="28">
        <v>226.90141957198907</v>
      </c>
      <c r="L187" s="28">
        <v>189.36043922215001</v>
      </c>
      <c r="M187" s="28">
        <v>189.39530992396973</v>
      </c>
      <c r="N187" s="28">
        <v>274.9790391431913</v>
      </c>
      <c r="O187" s="28">
        <v>203.8216411156979</v>
      </c>
      <c r="P187" s="28">
        <v>245.78552616128081</v>
      </c>
      <c r="Q187" s="28">
        <v>129.70475912079252</v>
      </c>
      <c r="R187" s="28">
        <v>268.28302355159076</v>
      </c>
    </row>
    <row r="188" spans="2:18">
      <c r="B188" s="1239"/>
      <c r="D188" s="187" t="s">
        <v>656</v>
      </c>
      <c r="E188" s="28">
        <v>-189.58834213455509</v>
      </c>
      <c r="F188" s="28">
        <v>-131.96354766791131</v>
      </c>
      <c r="G188" s="28">
        <v>-175.38758888728171</v>
      </c>
      <c r="H188" s="28">
        <v>-223.5563446004177</v>
      </c>
      <c r="I188" s="28">
        <v>-219.27247387123811</v>
      </c>
      <c r="J188" s="28">
        <v>-109.49530361008375</v>
      </c>
      <c r="K188" s="28">
        <v>-147.01100530143751</v>
      </c>
      <c r="L188" s="28">
        <v>-176.32909565507785</v>
      </c>
      <c r="M188" s="28">
        <v>-159.08509312347985</v>
      </c>
      <c r="N188" s="28">
        <v>-267.68857653856151</v>
      </c>
      <c r="O188" s="28">
        <v>-179.5009344397927</v>
      </c>
      <c r="P188" s="28">
        <v>-173.89260527969176</v>
      </c>
      <c r="Q188" s="28">
        <v>-116.53906042356422</v>
      </c>
      <c r="R188" s="28">
        <v>-248.83002887928154</v>
      </c>
    </row>
    <row r="189" spans="2:18">
      <c r="B189" s="1239"/>
      <c r="D189" s="187" t="s">
        <v>659</v>
      </c>
      <c r="E189" s="28">
        <v>1951.1179891171453</v>
      </c>
      <c r="F189" s="28">
        <v>1493.7029541682384</v>
      </c>
      <c r="G189" s="28">
        <v>1962.8359310366839</v>
      </c>
      <c r="H189" s="28">
        <v>2606.8973854287283</v>
      </c>
      <c r="I189" s="28">
        <v>2601.4677205722192</v>
      </c>
      <c r="J189" s="28">
        <v>1145.3013907937818</v>
      </c>
      <c r="K189" s="28">
        <v>1689.2442113591535</v>
      </c>
      <c r="L189" s="28">
        <v>1823.7024814424642</v>
      </c>
      <c r="M189" s="28">
        <v>1879.5428243129049</v>
      </c>
      <c r="N189" s="28">
        <v>2929.5563149131867</v>
      </c>
      <c r="O189" s="28">
        <v>1980.9889158873289</v>
      </c>
      <c r="P189" s="28">
        <v>2078.7100873109207</v>
      </c>
      <c r="Q189" s="28">
        <v>1230.2252391059774</v>
      </c>
      <c r="R189" s="28">
        <v>2588.8685548746989</v>
      </c>
    </row>
    <row r="190" spans="2:18">
      <c r="B190" s="1239"/>
      <c r="D190" s="16"/>
      <c r="E190" s="2"/>
      <c r="F190" s="2"/>
      <c r="G190" s="2"/>
      <c r="H190" s="2"/>
      <c r="I190" s="2"/>
      <c r="J190" s="2"/>
      <c r="K190" s="2"/>
    </row>
    <row r="191" spans="2:18" ht="12" thickBot="1">
      <c r="B191" s="1239"/>
      <c r="D191" s="133" t="s">
        <v>139</v>
      </c>
      <c r="E191" s="380" t="s">
        <v>161</v>
      </c>
      <c r="F191" s="380" t="s">
        <v>162</v>
      </c>
      <c r="G191" s="380" t="s">
        <v>163</v>
      </c>
      <c r="H191" s="380" t="s">
        <v>164</v>
      </c>
      <c r="I191" s="380" t="s">
        <v>165</v>
      </c>
      <c r="J191" s="380" t="s">
        <v>166</v>
      </c>
      <c r="K191" s="380" t="s">
        <v>167</v>
      </c>
      <c r="L191" s="127" t="s">
        <v>168</v>
      </c>
      <c r="M191" s="127" t="s">
        <v>169</v>
      </c>
      <c r="N191" s="127" t="s">
        <v>170</v>
      </c>
      <c r="O191" s="127" t="s">
        <v>171</v>
      </c>
      <c r="P191" s="127" t="s">
        <v>172</v>
      </c>
      <c r="Q191" s="127" t="s">
        <v>28</v>
      </c>
      <c r="R191" s="127" t="s">
        <v>173</v>
      </c>
    </row>
    <row r="192" spans="2:18">
      <c r="B192" s="1239"/>
      <c r="D192" s="186" t="s">
        <v>660</v>
      </c>
      <c r="E192" s="28">
        <f>E189</f>
        <v>1951.1179891171453</v>
      </c>
      <c r="F192" s="28">
        <f>F189</f>
        <v>1493.7029541682384</v>
      </c>
      <c r="G192" s="28">
        <f t="shared" ref="G192:R192" si="60">G189</f>
        <v>1962.8359310366839</v>
      </c>
      <c r="H192" s="28">
        <f t="shared" si="60"/>
        <v>2606.8973854287283</v>
      </c>
      <c r="I192" s="28">
        <f t="shared" si="60"/>
        <v>2601.4677205722192</v>
      </c>
      <c r="J192" s="28">
        <f t="shared" si="60"/>
        <v>1145.3013907937818</v>
      </c>
      <c r="K192" s="28">
        <f t="shared" si="60"/>
        <v>1689.2442113591535</v>
      </c>
      <c r="L192" s="28">
        <f t="shared" si="60"/>
        <v>1823.7024814424642</v>
      </c>
      <c r="M192" s="28">
        <f t="shared" si="60"/>
        <v>1879.5428243129049</v>
      </c>
      <c r="N192" s="28">
        <f t="shared" si="60"/>
        <v>2929.5563149131867</v>
      </c>
      <c r="O192" s="28">
        <f t="shared" si="60"/>
        <v>1980.9889158873289</v>
      </c>
      <c r="P192" s="28">
        <f t="shared" si="60"/>
        <v>2078.7100873109207</v>
      </c>
      <c r="Q192" s="28">
        <f t="shared" si="60"/>
        <v>1230.2252391059774</v>
      </c>
      <c r="R192" s="28">
        <f t="shared" si="60"/>
        <v>2588.8685548746989</v>
      </c>
    </row>
    <row r="193" spans="2:18">
      <c r="B193" s="1239"/>
      <c r="D193" s="187" t="s">
        <v>655</v>
      </c>
      <c r="E193" s="28">
        <v>197.12021048794583</v>
      </c>
      <c r="F193" s="28">
        <v>145.29796285599505</v>
      </c>
      <c r="G193" s="28">
        <v>194.11581453502038</v>
      </c>
      <c r="H193" s="28">
        <v>256.60895651046116</v>
      </c>
      <c r="I193" s="28">
        <v>254.71851128761389</v>
      </c>
      <c r="J193" s="28">
        <v>137.29883378269906</v>
      </c>
      <c r="K193" s="28">
        <v>213.95489570253139</v>
      </c>
      <c r="L193" s="28">
        <v>190.43467811903076</v>
      </c>
      <c r="M193" s="28">
        <v>182.77192974512667</v>
      </c>
      <c r="N193" s="28">
        <v>275.3798694224958</v>
      </c>
      <c r="O193" s="28">
        <v>208.07334310134945</v>
      </c>
      <c r="P193" s="28">
        <v>236.41773394712629</v>
      </c>
      <c r="Q193" s="28">
        <v>126.13884071825423</v>
      </c>
      <c r="R193" s="28">
        <v>276.91323621899062</v>
      </c>
    </row>
    <row r="194" spans="2:18">
      <c r="B194" s="1239"/>
      <c r="D194" s="187" t="s">
        <v>656</v>
      </c>
      <c r="E194" s="28">
        <v>-178.85328235170215</v>
      </c>
      <c r="F194" s="28">
        <v>-133.57663621940688</v>
      </c>
      <c r="G194" s="28">
        <v>-176.13411178866474</v>
      </c>
      <c r="H194" s="28">
        <v>-226.19450757068876</v>
      </c>
      <c r="I194" s="28">
        <v>-224.10280137377444</v>
      </c>
      <c r="J194" s="28">
        <v>-101.42388666552166</v>
      </c>
      <c r="K194" s="28">
        <v>-150.26667558938752</v>
      </c>
      <c r="L194" s="28">
        <v>-175.47033341599368</v>
      </c>
      <c r="M194" s="28">
        <v>-162.30309278109067</v>
      </c>
      <c r="N194" s="28">
        <v>-269.59184277784232</v>
      </c>
      <c r="O194" s="28">
        <v>-182.46517797933319</v>
      </c>
      <c r="P194" s="28">
        <v>-178.36730257538468</v>
      </c>
      <c r="Q194" s="28">
        <v>-115.78830262091195</v>
      </c>
      <c r="R194" s="28">
        <v>-245.61903811187977</v>
      </c>
    </row>
    <row r="195" spans="2:18">
      <c r="B195" s="1239"/>
      <c r="D195" s="187" t="s">
        <v>661</v>
      </c>
      <c r="E195" s="28">
        <v>1969.3849172533889</v>
      </c>
      <c r="F195" s="28">
        <v>1505.4242808048266</v>
      </c>
      <c r="G195" s="28">
        <v>1980.8176337830394</v>
      </c>
      <c r="H195" s="28">
        <v>2637.3118343685005</v>
      </c>
      <c r="I195" s="28">
        <v>2632.0834304860587</v>
      </c>
      <c r="J195" s="28">
        <v>1181.1763379109591</v>
      </c>
      <c r="K195" s="28">
        <v>1752.9324314722974</v>
      </c>
      <c r="L195" s="28">
        <v>1838.6668261455011</v>
      </c>
      <c r="M195" s="28">
        <v>1900.0116612769409</v>
      </c>
      <c r="N195" s="28">
        <v>2935.3443415578404</v>
      </c>
      <c r="O195" s="28">
        <v>2006.5970810093454</v>
      </c>
      <c r="P195" s="28">
        <v>2136.7605186826622</v>
      </c>
      <c r="Q195" s="28">
        <v>1240.5757772033196</v>
      </c>
      <c r="R195" s="28">
        <v>2620.1627529818097</v>
      </c>
    </row>
    <row r="196" spans="2:18" ht="12" thickBot="1">
      <c r="B196" s="1239"/>
      <c r="D196" s="2"/>
      <c r="E196" s="2"/>
      <c r="F196" s="2"/>
      <c r="G196" s="2"/>
      <c r="H196" s="2"/>
      <c r="I196" s="2"/>
      <c r="J196" s="2"/>
      <c r="K196" s="2"/>
      <c r="L196" s="2"/>
    </row>
    <row r="197" spans="2:18" ht="12" thickBot="1">
      <c r="B197" s="1239"/>
      <c r="D197" s="133" t="s">
        <v>140</v>
      </c>
      <c r="E197" s="781" t="s">
        <v>161</v>
      </c>
      <c r="F197" s="782" t="s">
        <v>162</v>
      </c>
      <c r="G197" s="782" t="s">
        <v>163</v>
      </c>
      <c r="H197" s="782" t="s">
        <v>164</v>
      </c>
      <c r="I197" s="782" t="s">
        <v>165</v>
      </c>
      <c r="J197" s="782" t="s">
        <v>166</v>
      </c>
      <c r="K197" s="783" t="s">
        <v>167</v>
      </c>
      <c r="L197" s="848" t="s">
        <v>168</v>
      </c>
      <c r="M197" s="850" t="s">
        <v>169</v>
      </c>
      <c r="N197" s="850" t="s">
        <v>170</v>
      </c>
      <c r="O197" s="850" t="s">
        <v>171</v>
      </c>
      <c r="P197" s="850" t="s">
        <v>172</v>
      </c>
      <c r="Q197" s="850" t="s">
        <v>28</v>
      </c>
      <c r="R197" s="849" t="s">
        <v>173</v>
      </c>
    </row>
    <row r="198" spans="2:18">
      <c r="B198" s="1239"/>
      <c r="D198" s="406" t="s">
        <v>662</v>
      </c>
      <c r="E198" s="28">
        <f>E195</f>
        <v>1969.3849172533889</v>
      </c>
      <c r="F198" s="28">
        <f t="shared" ref="F198:R198" si="61">F195</f>
        <v>1505.4242808048266</v>
      </c>
      <c r="G198" s="28">
        <f t="shared" si="61"/>
        <v>1980.8176337830394</v>
      </c>
      <c r="H198" s="28">
        <f t="shared" si="61"/>
        <v>2637.3118343685005</v>
      </c>
      <c r="I198" s="28">
        <f t="shared" si="61"/>
        <v>2632.0834304860587</v>
      </c>
      <c r="J198" s="28">
        <f t="shared" si="61"/>
        <v>1181.1763379109591</v>
      </c>
      <c r="K198" s="28">
        <f t="shared" si="61"/>
        <v>1752.9324314722974</v>
      </c>
      <c r="L198" s="28">
        <f t="shared" si="61"/>
        <v>1838.6668261455011</v>
      </c>
      <c r="M198" s="28">
        <f t="shared" si="61"/>
        <v>1900.0116612769409</v>
      </c>
      <c r="N198" s="28">
        <f t="shared" si="61"/>
        <v>2935.3443415578404</v>
      </c>
      <c r="O198" s="28">
        <f t="shared" si="61"/>
        <v>2006.5970810093454</v>
      </c>
      <c r="P198" s="28">
        <f t="shared" si="61"/>
        <v>2136.7605186826622</v>
      </c>
      <c r="Q198" s="28">
        <f t="shared" si="61"/>
        <v>1240.5757772033196</v>
      </c>
      <c r="R198" s="28">
        <f t="shared" si="61"/>
        <v>2620.1627529818097</v>
      </c>
    </row>
    <row r="199" spans="2:18">
      <c r="B199" s="1239"/>
      <c r="D199" s="407" t="s">
        <v>655</v>
      </c>
      <c r="E199" s="944">
        <v>200.48901985306543</v>
      </c>
      <c r="F199" s="944">
        <v>145.63306651105262</v>
      </c>
      <c r="G199" s="944">
        <v>199.31703442086803</v>
      </c>
      <c r="H199" s="944">
        <v>252.51395287487247</v>
      </c>
      <c r="I199" s="944">
        <v>250.64200539098323</v>
      </c>
      <c r="J199" s="944">
        <v>145.36176589846849</v>
      </c>
      <c r="K199" s="944">
        <v>211.15614564713189</v>
      </c>
      <c r="L199" s="944">
        <v>181.40896253435517</v>
      </c>
      <c r="M199" s="944">
        <v>179.64752681692667</v>
      </c>
      <c r="N199" s="944">
        <v>269.43423629377673</v>
      </c>
      <c r="O199" s="944">
        <v>212.10941910294474</v>
      </c>
      <c r="P199" s="944">
        <v>231.70528910023671</v>
      </c>
      <c r="Q199" s="944">
        <v>131.91630909626625</v>
      </c>
      <c r="R199" s="944">
        <v>270.40043392737653</v>
      </c>
    </row>
    <row r="200" spans="2:18">
      <c r="B200" s="1239"/>
      <c r="D200" s="407" t="s">
        <v>656</v>
      </c>
      <c r="E200" s="944">
        <v>-176.65854356027134</v>
      </c>
      <c r="F200" s="944">
        <v>-134.48670322001172</v>
      </c>
      <c r="G200" s="944">
        <v>-173.98404641496526</v>
      </c>
      <c r="H200" s="944">
        <v>-228.19978833617702</v>
      </c>
      <c r="I200" s="944">
        <v>-225.41673678966885</v>
      </c>
      <c r="J200" s="944">
        <v>-100.29823416795844</v>
      </c>
      <c r="K200" s="944">
        <v>-151.9563221746541</v>
      </c>
      <c r="L200" s="944">
        <v>-174.22360784741721</v>
      </c>
      <c r="M200" s="944">
        <v>-165.70366196742256</v>
      </c>
      <c r="N200" s="944">
        <v>-267.79822139622593</v>
      </c>
      <c r="O200" s="944">
        <v>-184.2387062357418</v>
      </c>
      <c r="P200" s="944">
        <v>-182.29114879409542</v>
      </c>
      <c r="Q200" s="944">
        <v>-114.80196136707937</v>
      </c>
      <c r="R200" s="944">
        <v>-242.6628237763874</v>
      </c>
    </row>
    <row r="201" spans="2:18">
      <c r="B201" s="1239"/>
      <c r="D201" s="407" t="s">
        <v>663</v>
      </c>
      <c r="E201" s="944">
        <v>1993.2153935461831</v>
      </c>
      <c r="F201" s="944">
        <v>1516.5706440958675</v>
      </c>
      <c r="G201" s="944">
        <v>2006.1506217889421</v>
      </c>
      <c r="H201" s="944">
        <v>2661.6259989071964</v>
      </c>
      <c r="I201" s="944">
        <v>2657.3086990873735</v>
      </c>
      <c r="J201" s="944">
        <v>1226.2398696414691</v>
      </c>
      <c r="K201" s="944">
        <v>1812.1322549447752</v>
      </c>
      <c r="L201" s="944">
        <v>1845.8521808324392</v>
      </c>
      <c r="M201" s="944">
        <v>1913.9555261264454</v>
      </c>
      <c r="N201" s="944">
        <v>2936.9803564553908</v>
      </c>
      <c r="O201" s="944">
        <v>2034.4677938765483</v>
      </c>
      <c r="P201" s="944">
        <v>2186.1746589888035</v>
      </c>
      <c r="Q201" s="944">
        <v>1257.6901249325065</v>
      </c>
      <c r="R201" s="944">
        <v>2647.9003631327992</v>
      </c>
    </row>
    <row r="202" spans="2:18">
      <c r="B202" s="1239"/>
      <c r="D202" s="2"/>
      <c r="E202" s="2"/>
      <c r="F202" s="2"/>
      <c r="G202" s="2"/>
      <c r="H202" s="2"/>
      <c r="I202" s="2"/>
      <c r="J202" s="2"/>
      <c r="K202" s="2"/>
    </row>
    <row r="203" spans="2:18" ht="12" thickBot="1">
      <c r="B203" s="1239"/>
      <c r="D203" s="133" t="s">
        <v>141</v>
      </c>
      <c r="E203" s="380" t="s">
        <v>161</v>
      </c>
      <c r="F203" s="380" t="s">
        <v>162</v>
      </c>
      <c r="G203" s="380" t="s">
        <v>163</v>
      </c>
      <c r="H203" s="380" t="s">
        <v>164</v>
      </c>
      <c r="I203" s="380" t="s">
        <v>165</v>
      </c>
      <c r="J203" s="380" t="s">
        <v>166</v>
      </c>
      <c r="K203" s="380" t="s">
        <v>167</v>
      </c>
      <c r="L203" s="127" t="s">
        <v>168</v>
      </c>
      <c r="M203" s="127" t="s">
        <v>169</v>
      </c>
      <c r="N203" s="127" t="s">
        <v>170</v>
      </c>
      <c r="O203" s="127" t="s">
        <v>171</v>
      </c>
      <c r="P203" s="127" t="s">
        <v>172</v>
      </c>
      <c r="Q203" s="127" t="s">
        <v>28</v>
      </c>
      <c r="R203" s="127" t="s">
        <v>173</v>
      </c>
    </row>
    <row r="204" spans="2:18">
      <c r="B204" s="1239"/>
      <c r="D204" s="186" t="s">
        <v>664</v>
      </c>
      <c r="E204" s="28">
        <f>E201</f>
        <v>1993.2153935461831</v>
      </c>
      <c r="F204" s="28">
        <f t="shared" ref="F204:R204" si="62">F201</f>
        <v>1516.5706440958675</v>
      </c>
      <c r="G204" s="28">
        <f t="shared" si="62"/>
        <v>2006.1506217889421</v>
      </c>
      <c r="H204" s="28">
        <f t="shared" si="62"/>
        <v>2661.6259989071964</v>
      </c>
      <c r="I204" s="28">
        <f t="shared" si="62"/>
        <v>2657.3086990873735</v>
      </c>
      <c r="J204" s="28">
        <f t="shared" si="62"/>
        <v>1226.2398696414691</v>
      </c>
      <c r="K204" s="28">
        <f t="shared" si="62"/>
        <v>1812.1322549447752</v>
      </c>
      <c r="L204" s="28">
        <f t="shared" si="62"/>
        <v>1845.8521808324392</v>
      </c>
      <c r="M204" s="28">
        <f t="shared" si="62"/>
        <v>1913.9555261264454</v>
      </c>
      <c r="N204" s="28">
        <f t="shared" si="62"/>
        <v>2936.9803564553908</v>
      </c>
      <c r="O204" s="28">
        <f t="shared" si="62"/>
        <v>2034.4677938765483</v>
      </c>
      <c r="P204" s="28">
        <f t="shared" si="62"/>
        <v>2186.1746589888035</v>
      </c>
      <c r="Q204" s="28">
        <f t="shared" si="62"/>
        <v>1257.6901249325065</v>
      </c>
      <c r="R204" s="28">
        <f t="shared" si="62"/>
        <v>2647.9003631327992</v>
      </c>
    </row>
    <row r="205" spans="2:18">
      <c r="B205" s="1239"/>
      <c r="D205" s="187" t="s">
        <v>655</v>
      </c>
      <c r="E205" s="944">
        <v>193.35529241015348</v>
      </c>
      <c r="F205" s="944">
        <v>152.66602954288314</v>
      </c>
      <c r="G205" s="944">
        <v>201.57316942209206</v>
      </c>
      <c r="H205" s="944">
        <v>257.69203076007346</v>
      </c>
      <c r="I205" s="944">
        <v>253.02665920636747</v>
      </c>
      <c r="J205" s="944">
        <v>133.97885161419131</v>
      </c>
      <c r="K205" s="944">
        <v>212.00472836334947</v>
      </c>
      <c r="L205" s="944">
        <v>183.18049116098777</v>
      </c>
      <c r="M205" s="944">
        <v>173.09065176186732</v>
      </c>
      <c r="N205" s="944">
        <v>272.1381814764656</v>
      </c>
      <c r="O205" s="944">
        <v>204.35509174282038</v>
      </c>
      <c r="P205" s="944">
        <v>220.8276420364688</v>
      </c>
      <c r="Q205" s="944">
        <v>135.89722460468477</v>
      </c>
      <c r="R205" s="944">
        <v>264.49397101237071</v>
      </c>
    </row>
    <row r="206" spans="2:18">
      <c r="B206" s="1239"/>
      <c r="D206" s="187" t="s">
        <v>656</v>
      </c>
      <c r="E206" s="944">
        <v>-173.29195311667038</v>
      </c>
      <c r="F206" s="944">
        <v>-134.66395555010834</v>
      </c>
      <c r="G206" s="944">
        <v>-172.51828993908092</v>
      </c>
      <c r="H206" s="944">
        <v>-228.84400951567326</v>
      </c>
      <c r="I206" s="944">
        <v>-225.98595020342054</v>
      </c>
      <c r="J206" s="944">
        <v>-98.396011210693828</v>
      </c>
      <c r="K206" s="944">
        <v>-153.15983880544994</v>
      </c>
      <c r="L206" s="944">
        <v>-171.93514261305154</v>
      </c>
      <c r="M206" s="944">
        <v>-157.45796143929675</v>
      </c>
      <c r="N206" s="944">
        <v>-259.6906293301422</v>
      </c>
      <c r="O206" s="944">
        <v>-184.88428765425172</v>
      </c>
      <c r="P206" s="944">
        <v>-182.3828647866624</v>
      </c>
      <c r="Q206" s="944">
        <v>-113.10282493626154</v>
      </c>
      <c r="R206" s="944">
        <v>-239.79967833193996</v>
      </c>
    </row>
    <row r="207" spans="2:18">
      <c r="B207" s="1239"/>
      <c r="D207" s="187" t="s">
        <v>665</v>
      </c>
      <c r="E207" s="944">
        <v>2013.2787328396664</v>
      </c>
      <c r="F207" s="944">
        <v>1534.572718088642</v>
      </c>
      <c r="G207" s="944">
        <v>2035.2055012719532</v>
      </c>
      <c r="H207" s="944">
        <v>2690.4740201515965</v>
      </c>
      <c r="I207" s="944">
        <v>2684.3494080903206</v>
      </c>
      <c r="J207" s="944">
        <v>1261.8227100449667</v>
      </c>
      <c r="K207" s="944">
        <v>1870.9771445026749</v>
      </c>
      <c r="L207" s="944">
        <v>1857.0975293803756</v>
      </c>
      <c r="M207" s="944">
        <v>1929.588216449016</v>
      </c>
      <c r="N207" s="944">
        <v>2949.4279086017141</v>
      </c>
      <c r="O207" s="944">
        <v>2053.938597965117</v>
      </c>
      <c r="P207" s="944">
        <v>2224.61943623861</v>
      </c>
      <c r="Q207" s="944">
        <v>1280.4845246009295</v>
      </c>
      <c r="R207" s="944">
        <v>2672.5946558132296</v>
      </c>
    </row>
    <row r="208" spans="2:18">
      <c r="B208" s="1239"/>
      <c r="D208" s="2"/>
      <c r="E208" s="2"/>
      <c r="F208" s="2"/>
      <c r="G208" s="2"/>
      <c r="H208" s="2"/>
      <c r="I208" s="2"/>
      <c r="J208" s="2"/>
      <c r="K208" s="2"/>
    </row>
    <row r="209" spans="2:18" ht="12" thickBot="1">
      <c r="B209" s="1239"/>
      <c r="D209" s="133" t="s">
        <v>126</v>
      </c>
      <c r="E209" s="380" t="s">
        <v>161</v>
      </c>
      <c r="F209" s="380" t="s">
        <v>162</v>
      </c>
      <c r="G209" s="380" t="s">
        <v>163</v>
      </c>
      <c r="H209" s="380" t="s">
        <v>164</v>
      </c>
      <c r="I209" s="380" t="s">
        <v>165</v>
      </c>
      <c r="J209" s="380" t="s">
        <v>166</v>
      </c>
      <c r="K209" s="380" t="s">
        <v>167</v>
      </c>
      <c r="L209" s="127" t="s">
        <v>168</v>
      </c>
      <c r="M209" s="127" t="s">
        <v>169</v>
      </c>
      <c r="N209" s="127" t="s">
        <v>170</v>
      </c>
      <c r="O209" s="127" t="s">
        <v>171</v>
      </c>
      <c r="P209" s="127" t="s">
        <v>172</v>
      </c>
      <c r="Q209" s="127" t="s">
        <v>28</v>
      </c>
      <c r="R209" s="127" t="s">
        <v>173</v>
      </c>
    </row>
    <row r="210" spans="2:18">
      <c r="B210" s="1239"/>
      <c r="D210" s="186" t="s">
        <v>666</v>
      </c>
      <c r="E210" s="28">
        <f>E207</f>
        <v>2013.2787328396664</v>
      </c>
      <c r="F210" s="28">
        <f>F207</f>
        <v>1534.572718088642</v>
      </c>
      <c r="G210" s="28">
        <f t="shared" ref="G210:R210" si="63">G207</f>
        <v>2035.2055012719532</v>
      </c>
      <c r="H210" s="28">
        <f t="shared" si="63"/>
        <v>2690.4740201515965</v>
      </c>
      <c r="I210" s="28">
        <f t="shared" si="63"/>
        <v>2684.3494080903206</v>
      </c>
      <c r="J210" s="28">
        <f t="shared" si="63"/>
        <v>1261.8227100449667</v>
      </c>
      <c r="K210" s="28">
        <f t="shared" si="63"/>
        <v>1870.9771445026749</v>
      </c>
      <c r="L210" s="28">
        <f t="shared" si="63"/>
        <v>1857.0975293803756</v>
      </c>
      <c r="M210" s="28">
        <f t="shared" si="63"/>
        <v>1929.588216449016</v>
      </c>
      <c r="N210" s="28">
        <f t="shared" si="63"/>
        <v>2949.4279086017141</v>
      </c>
      <c r="O210" s="28">
        <f t="shared" si="63"/>
        <v>2053.938597965117</v>
      </c>
      <c r="P210" s="28">
        <f t="shared" si="63"/>
        <v>2224.61943623861</v>
      </c>
      <c r="Q210" s="28">
        <f t="shared" si="63"/>
        <v>1280.4845246009295</v>
      </c>
      <c r="R210" s="28">
        <f t="shared" si="63"/>
        <v>2672.5946558132296</v>
      </c>
    </row>
    <row r="211" spans="2:18">
      <c r="B211" s="1239"/>
      <c r="D211" s="187" t="s">
        <v>655</v>
      </c>
      <c r="E211" s="944">
        <v>191.95108012801037</v>
      </c>
      <c r="F211" s="944">
        <v>144.39643526037688</v>
      </c>
      <c r="G211" s="944">
        <v>193.92211173516475</v>
      </c>
      <c r="H211" s="944">
        <v>267.70273169437303</v>
      </c>
      <c r="I211" s="944">
        <v>260.53568817095237</v>
      </c>
      <c r="J211" s="944">
        <v>130.90293174252648</v>
      </c>
      <c r="K211" s="944">
        <v>209.29183301999987</v>
      </c>
      <c r="L211" s="944">
        <v>176.88995764673672</v>
      </c>
      <c r="M211" s="944">
        <v>167.00901679634734</v>
      </c>
      <c r="N211" s="944">
        <v>262.8688983240188</v>
      </c>
      <c r="O211" s="944">
        <v>197.26743947883836</v>
      </c>
      <c r="P211" s="944">
        <v>212.44134666981745</v>
      </c>
      <c r="Q211" s="944">
        <v>136.62435243764682</v>
      </c>
      <c r="R211" s="944">
        <v>262.75866785486465</v>
      </c>
    </row>
    <row r="212" spans="2:18">
      <c r="B212" s="1239"/>
      <c r="D212" s="187" t="s">
        <v>656</v>
      </c>
      <c r="E212" s="944">
        <v>-169.95523906521032</v>
      </c>
      <c r="F212" s="944">
        <v>-123.03578307821286</v>
      </c>
      <c r="G212" s="944">
        <v>-171.9188232120575</v>
      </c>
      <c r="H212" s="944">
        <v>-229.69710983738179</v>
      </c>
      <c r="I212" s="944">
        <v>-225.98049980707449</v>
      </c>
      <c r="J212" s="944">
        <v>-97.056038620294458</v>
      </c>
      <c r="K212" s="944">
        <v>-153.99253780208696</v>
      </c>
      <c r="L212" s="944">
        <v>-168.22517779516065</v>
      </c>
      <c r="M212" s="944">
        <v>-158.51015045874306</v>
      </c>
      <c r="N212" s="944">
        <v>-240.58440372444733</v>
      </c>
      <c r="O212" s="944">
        <v>-185.16802268958403</v>
      </c>
      <c r="P212" s="944">
        <v>-183.00748450435097</v>
      </c>
      <c r="Q212" s="944">
        <v>-112.86840913602931</v>
      </c>
      <c r="R212" s="944">
        <v>-237.87150061793102</v>
      </c>
    </row>
    <row r="213" spans="2:18">
      <c r="B213" s="1239"/>
      <c r="D213" s="187" t="s">
        <v>667</v>
      </c>
      <c r="E213" s="944">
        <v>2035.2745739024663</v>
      </c>
      <c r="F213" s="944">
        <v>1555.9333702708061</v>
      </c>
      <c r="G213" s="944">
        <v>2057.2087897950605</v>
      </c>
      <c r="H213" s="944">
        <v>2728.4796420085881</v>
      </c>
      <c r="I213" s="944">
        <v>2718.9045964541983</v>
      </c>
      <c r="J213" s="944">
        <v>1295.6696031671988</v>
      </c>
      <c r="K213" s="944">
        <v>1926.2764397205879</v>
      </c>
      <c r="L213" s="944">
        <v>1865.7623092319513</v>
      </c>
      <c r="M213" s="944">
        <v>1938.0870827866204</v>
      </c>
      <c r="N213" s="944">
        <v>2971.7124032012853</v>
      </c>
      <c r="O213" s="944">
        <v>2066.0380147543715</v>
      </c>
      <c r="P213" s="944">
        <v>2254.0532984040765</v>
      </c>
      <c r="Q213" s="944">
        <v>1304.2404679025469</v>
      </c>
      <c r="R213" s="944">
        <v>2697.4818230501633</v>
      </c>
    </row>
    <row r="214" spans="2:18">
      <c r="B214" s="1239"/>
      <c r="D214" s="2"/>
      <c r="E214" s="2"/>
      <c r="F214" s="2"/>
      <c r="G214" s="2"/>
      <c r="H214" s="2"/>
      <c r="I214" s="2"/>
      <c r="J214" s="2"/>
      <c r="K214" s="2"/>
    </row>
    <row r="215" spans="2:18" ht="12" thickBot="1">
      <c r="B215" s="1239"/>
      <c r="D215" s="133" t="s">
        <v>142</v>
      </c>
      <c r="E215" s="380" t="s">
        <v>161</v>
      </c>
      <c r="F215" s="380" t="s">
        <v>162</v>
      </c>
      <c r="G215" s="380" t="s">
        <v>163</v>
      </c>
      <c r="H215" s="380" t="s">
        <v>164</v>
      </c>
      <c r="I215" s="380" t="s">
        <v>165</v>
      </c>
      <c r="J215" s="380" t="s">
        <v>166</v>
      </c>
      <c r="K215" s="380" t="s">
        <v>167</v>
      </c>
      <c r="L215" s="127" t="s">
        <v>168</v>
      </c>
      <c r="M215" s="127" t="s">
        <v>169</v>
      </c>
      <c r="N215" s="127" t="s">
        <v>170</v>
      </c>
      <c r="O215" s="127" t="s">
        <v>171</v>
      </c>
      <c r="P215" s="127" t="s">
        <v>172</v>
      </c>
      <c r="Q215" s="127" t="s">
        <v>28</v>
      </c>
      <c r="R215" s="127" t="s">
        <v>173</v>
      </c>
    </row>
    <row r="216" spans="2:18">
      <c r="B216" s="1239"/>
      <c r="D216" s="186" t="s">
        <v>668</v>
      </c>
      <c r="E216" s="28">
        <f>E213</f>
        <v>2035.2745739024663</v>
      </c>
      <c r="F216" s="28">
        <f t="shared" ref="F216:R216" si="64">F213</f>
        <v>1555.9333702708061</v>
      </c>
      <c r="G216" s="28">
        <f t="shared" si="64"/>
        <v>2057.2087897950605</v>
      </c>
      <c r="H216" s="28">
        <f t="shared" si="64"/>
        <v>2728.4796420085881</v>
      </c>
      <c r="I216" s="28">
        <f t="shared" si="64"/>
        <v>2718.9045964541983</v>
      </c>
      <c r="J216" s="28">
        <f t="shared" si="64"/>
        <v>1295.6696031671988</v>
      </c>
      <c r="K216" s="28">
        <f t="shared" si="64"/>
        <v>1926.2764397205879</v>
      </c>
      <c r="L216" s="28">
        <f t="shared" si="64"/>
        <v>1865.7623092319513</v>
      </c>
      <c r="M216" s="28">
        <f t="shared" si="64"/>
        <v>1938.0870827866204</v>
      </c>
      <c r="N216" s="28">
        <f t="shared" si="64"/>
        <v>2971.7124032012853</v>
      </c>
      <c r="O216" s="28">
        <f t="shared" si="64"/>
        <v>2066.0380147543715</v>
      </c>
      <c r="P216" s="28">
        <f t="shared" si="64"/>
        <v>2254.0532984040765</v>
      </c>
      <c r="Q216" s="28">
        <f t="shared" si="64"/>
        <v>1304.2404679025469</v>
      </c>
      <c r="R216" s="28">
        <f t="shared" si="64"/>
        <v>2697.4818230501633</v>
      </c>
    </row>
    <row r="217" spans="2:18">
      <c r="B217" s="1239"/>
      <c r="D217" s="187" t="s">
        <v>655</v>
      </c>
      <c r="E217" s="944">
        <v>199.44899536524267</v>
      </c>
      <c r="F217" s="944">
        <v>134.76545624613925</v>
      </c>
      <c r="G217" s="944">
        <v>189.53600140464403</v>
      </c>
      <c r="H217" s="944">
        <v>270.75772696264369</v>
      </c>
      <c r="I217" s="944">
        <v>269.64903978964827</v>
      </c>
      <c r="J217" s="944">
        <v>125.95024388769117</v>
      </c>
      <c r="K217" s="944">
        <v>207.22719850799385</v>
      </c>
      <c r="L217" s="944">
        <v>173.08977449291277</v>
      </c>
      <c r="M217" s="944">
        <v>169.29807291474168</v>
      </c>
      <c r="N217" s="944">
        <v>264.07695566375952</v>
      </c>
      <c r="O217" s="944">
        <v>190.95641787628912</v>
      </c>
      <c r="P217" s="944">
        <v>210.08458669738829</v>
      </c>
      <c r="Q217" s="944">
        <v>151.38269407522557</v>
      </c>
      <c r="R217" s="944">
        <v>255.06933407129324</v>
      </c>
    </row>
    <row r="218" spans="2:18">
      <c r="B218" s="1239"/>
      <c r="D218" s="187" t="s">
        <v>656</v>
      </c>
      <c r="E218" s="944">
        <v>-167.29838895987064</v>
      </c>
      <c r="F218" s="944">
        <v>-122.12640893881846</v>
      </c>
      <c r="G218" s="944">
        <v>-156.13581483717945</v>
      </c>
      <c r="H218" s="944">
        <v>-209.79732048435488</v>
      </c>
      <c r="I218" s="944">
        <v>-202.47495718107157</v>
      </c>
      <c r="J218" s="944">
        <v>-96.10462896477884</v>
      </c>
      <c r="K218" s="944">
        <v>-138.89783443197604</v>
      </c>
      <c r="L218" s="944">
        <v>-147.14273208987925</v>
      </c>
      <c r="M218" s="944">
        <v>-158.02461260155235</v>
      </c>
      <c r="N218" s="944">
        <v>-238.177442047787</v>
      </c>
      <c r="O218" s="944">
        <v>-184.49151790407817</v>
      </c>
      <c r="P218" s="944">
        <v>-168.76664786352688</v>
      </c>
      <c r="Q218" s="944">
        <v>-111.93509081387141</v>
      </c>
      <c r="R218" s="944">
        <v>-205.18820027269211</v>
      </c>
    </row>
    <row r="219" spans="2:18">
      <c r="B219" s="1239"/>
      <c r="D219" s="187" t="s">
        <v>669</v>
      </c>
      <c r="E219" s="944">
        <v>2067.4228740503117</v>
      </c>
      <c r="F219" s="944">
        <v>1570.6512260346617</v>
      </c>
      <c r="G219" s="944">
        <v>2090.6066452503906</v>
      </c>
      <c r="H219" s="944">
        <v>2789.4452125544726</v>
      </c>
      <c r="I219" s="944">
        <v>2786.0826054518275</v>
      </c>
      <c r="J219" s="944">
        <v>1325.5166363755677</v>
      </c>
      <c r="K219" s="944">
        <v>1994.6117171544522</v>
      </c>
      <c r="L219" s="944">
        <v>1891.7072374591276</v>
      </c>
      <c r="M219" s="944">
        <v>1949.3476970178426</v>
      </c>
      <c r="N219" s="944">
        <v>2997.6085494415797</v>
      </c>
      <c r="O219" s="944">
        <v>2072.4865661371068</v>
      </c>
      <c r="P219" s="944">
        <v>2295.3686830727884</v>
      </c>
      <c r="Q219" s="944">
        <v>1343.6865932726946</v>
      </c>
      <c r="R219" s="944">
        <v>2747.359900215602</v>
      </c>
    </row>
    <row r="220" spans="2:18">
      <c r="B220" s="1239"/>
      <c r="D220" s="2"/>
      <c r="E220" s="44"/>
      <c r="F220" s="44"/>
      <c r="G220" s="44"/>
      <c r="H220" s="44"/>
      <c r="I220" s="44"/>
      <c r="J220" s="44"/>
      <c r="K220" s="44"/>
      <c r="L220" s="44"/>
      <c r="M220" s="44"/>
      <c r="N220" s="44"/>
      <c r="O220" s="44"/>
      <c r="P220" s="44"/>
      <c r="Q220" s="44"/>
      <c r="R220" s="44"/>
    </row>
    <row r="221" spans="2:18" ht="12" thickBot="1">
      <c r="B221" s="1239"/>
      <c r="D221" s="133" t="s">
        <v>143</v>
      </c>
      <c r="E221" s="380" t="s">
        <v>161</v>
      </c>
      <c r="F221" s="380" t="s">
        <v>162</v>
      </c>
      <c r="G221" s="380" t="s">
        <v>163</v>
      </c>
      <c r="H221" s="380" t="s">
        <v>164</v>
      </c>
      <c r="I221" s="380" t="s">
        <v>165</v>
      </c>
      <c r="J221" s="380" t="s">
        <v>166</v>
      </c>
      <c r="K221" s="380" t="s">
        <v>167</v>
      </c>
      <c r="L221" s="127" t="s">
        <v>168</v>
      </c>
      <c r="M221" s="127" t="s">
        <v>169</v>
      </c>
      <c r="N221" s="127" t="s">
        <v>170</v>
      </c>
      <c r="O221" s="127" t="s">
        <v>171</v>
      </c>
      <c r="P221" s="127" t="s">
        <v>172</v>
      </c>
      <c r="Q221" s="127" t="s">
        <v>28</v>
      </c>
      <c r="R221" s="127" t="s">
        <v>173</v>
      </c>
    </row>
    <row r="222" spans="2:18">
      <c r="B222" s="1239"/>
      <c r="D222" s="186" t="s">
        <v>670</v>
      </c>
      <c r="E222" s="146"/>
      <c r="F222" s="146"/>
      <c r="G222" s="146"/>
      <c r="H222" s="146"/>
      <c r="I222" s="146"/>
      <c r="J222" s="146"/>
      <c r="K222" s="146"/>
      <c r="L222" s="146"/>
      <c r="M222" s="146"/>
      <c r="N222" s="146"/>
      <c r="O222" s="146"/>
      <c r="P222" s="146"/>
      <c r="Q222" s="146"/>
      <c r="R222" s="146"/>
    </row>
    <row r="223" spans="2:18">
      <c r="B223" s="1239"/>
      <c r="D223" s="187" t="s">
        <v>655</v>
      </c>
      <c r="E223" s="146"/>
      <c r="F223" s="146"/>
      <c r="G223" s="146"/>
      <c r="H223" s="146"/>
      <c r="I223" s="146"/>
      <c r="J223" s="146"/>
      <c r="K223" s="146"/>
      <c r="L223" s="146"/>
      <c r="M223" s="146"/>
      <c r="N223" s="146"/>
      <c r="O223" s="146"/>
      <c r="P223" s="146"/>
      <c r="Q223" s="146"/>
      <c r="R223" s="146"/>
    </row>
    <row r="224" spans="2:18">
      <c r="B224" s="1239"/>
      <c r="D224" s="187" t="s">
        <v>656</v>
      </c>
      <c r="E224" s="146"/>
      <c r="F224" s="146"/>
      <c r="G224" s="146"/>
      <c r="H224" s="146"/>
      <c r="I224" s="146"/>
      <c r="J224" s="146"/>
      <c r="K224" s="146"/>
      <c r="L224" s="146"/>
      <c r="M224" s="146"/>
      <c r="N224" s="146"/>
      <c r="O224" s="146"/>
      <c r="P224" s="146"/>
      <c r="Q224" s="146"/>
      <c r="R224" s="146"/>
    </row>
    <row r="225" spans="2:18">
      <c r="B225" s="1239"/>
      <c r="D225" s="187" t="s">
        <v>671</v>
      </c>
      <c r="E225" s="146"/>
      <c r="F225" s="146"/>
      <c r="G225" s="146"/>
      <c r="H225" s="146"/>
      <c r="I225" s="146"/>
      <c r="J225" s="146"/>
      <c r="K225" s="146"/>
      <c r="L225" s="146"/>
      <c r="M225" s="146"/>
      <c r="N225" s="146"/>
      <c r="O225" s="146"/>
      <c r="P225" s="146"/>
      <c r="Q225" s="146"/>
      <c r="R225" s="146"/>
    </row>
    <row r="226" spans="2:18">
      <c r="B226" s="1239"/>
      <c r="D226" s="2"/>
      <c r="E226" s="2"/>
      <c r="F226" s="2"/>
      <c r="G226" s="2"/>
      <c r="H226" s="2"/>
      <c r="I226" s="2"/>
      <c r="J226" s="2"/>
      <c r="K226" s="2"/>
    </row>
    <row r="227" spans="2:18" ht="14.5">
      <c r="B227" s="1239"/>
      <c r="D227" s="2"/>
      <c r="E227" s="2"/>
      <c r="F227" s="2"/>
      <c r="G227" s="2"/>
      <c r="H227" s="2"/>
      <c r="I227" s="2"/>
      <c r="J227"/>
      <c r="K227"/>
      <c r="L227"/>
      <c r="M227"/>
      <c r="N227"/>
      <c r="O227"/>
      <c r="P227"/>
      <c r="Q227"/>
      <c r="R227"/>
    </row>
    <row r="228" spans="2:18">
      <c r="B228" s="1239"/>
      <c r="D228" s="2"/>
      <c r="E228" s="2"/>
      <c r="F228" s="2"/>
      <c r="G228" s="2"/>
      <c r="H228" s="2"/>
      <c r="I228" s="2"/>
      <c r="J228" s="2"/>
      <c r="K228" s="2"/>
      <c r="L228" s="2"/>
    </row>
    <row r="229" spans="2:18">
      <c r="B229" s="1239"/>
      <c r="D229" s="2"/>
      <c r="E229" s="2"/>
      <c r="F229" s="2"/>
      <c r="G229" s="2"/>
      <c r="H229" s="2"/>
      <c r="I229" s="2"/>
      <c r="J229" s="2"/>
      <c r="K229" s="2"/>
    </row>
    <row r="230" spans="2:18" ht="14.5">
      <c r="D230" s="2"/>
      <c r="E230" s="2"/>
      <c r="F230" s="2"/>
      <c r="G230"/>
      <c r="H230"/>
      <c r="I230"/>
      <c r="J230"/>
      <c r="K230"/>
      <c r="L230"/>
      <c r="M230"/>
      <c r="N230"/>
      <c r="O230"/>
      <c r="P230"/>
      <c r="Q230"/>
      <c r="R230"/>
    </row>
    <row r="231" spans="2:18">
      <c r="D231" s="2"/>
      <c r="E231" s="2"/>
      <c r="F231" s="2"/>
      <c r="G231" s="2"/>
      <c r="H231" s="2"/>
      <c r="I231" s="2"/>
      <c r="J231" s="2"/>
      <c r="K231" s="2"/>
      <c r="L231" s="2"/>
    </row>
    <row r="232" spans="2:18" customFormat="1" ht="14.5">
      <c r="F232" s="2"/>
    </row>
    <row r="233" spans="2:18" customFormat="1" ht="14.5">
      <c r="F233" s="2"/>
    </row>
    <row r="234" spans="2:18" customFormat="1" ht="14.5">
      <c r="F234" s="2"/>
    </row>
    <row r="235" spans="2:18" customFormat="1" ht="14.5">
      <c r="F235" s="2"/>
    </row>
    <row r="236" spans="2:18" customFormat="1" ht="14.5">
      <c r="F236" s="2"/>
    </row>
    <row r="237" spans="2:18" customFormat="1" ht="14.5">
      <c r="F237" s="2"/>
    </row>
    <row r="238" spans="2:18" customFormat="1" ht="14.5">
      <c r="F238" s="2"/>
    </row>
    <row r="239" spans="2:18" customFormat="1" ht="14.5">
      <c r="F239" s="2"/>
    </row>
    <row r="240" spans="2:18" customFormat="1" ht="14.5">
      <c r="F240" s="2"/>
    </row>
    <row r="241" spans="5:5" customFormat="1" ht="14.5"/>
    <row r="242" spans="5:5" customFormat="1" ht="14.5"/>
    <row r="243" spans="5:5" customFormat="1" ht="14.5"/>
    <row r="244" spans="5:5" customFormat="1" ht="14.5"/>
    <row r="245" spans="5:5" customFormat="1" ht="14.5"/>
    <row r="246" spans="5:5">
      <c r="E246" s="1120"/>
    </row>
    <row r="247" spans="5:5">
      <c r="E247" s="1120"/>
    </row>
    <row r="248" spans="5:5">
      <c r="E248" s="1120"/>
    </row>
  </sheetData>
  <mergeCells count="17">
    <mergeCell ref="I33:K33"/>
    <mergeCell ref="I125:L125"/>
    <mergeCell ref="M125:P125"/>
    <mergeCell ref="E125:H125"/>
    <mergeCell ref="B179:B229"/>
    <mergeCell ref="E2:H2"/>
    <mergeCell ref="I2:L2"/>
    <mergeCell ref="M2:P2"/>
    <mergeCell ref="B157:B177"/>
    <mergeCell ref="E21:H21"/>
    <mergeCell ref="I21:L21"/>
    <mergeCell ref="M21:P21"/>
    <mergeCell ref="I144:L144"/>
    <mergeCell ref="M144:P144"/>
    <mergeCell ref="E144:H144"/>
    <mergeCell ref="L33:N33"/>
    <mergeCell ref="F33:H3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978a1c12-3ab7-471e-b134-e7ba3975f64f">
      <Terms xmlns="http://schemas.microsoft.com/office/infopath/2007/PartnerControls"/>
    </lcf76f155ced4ddcb4097134ff3c332f>
    <TaxCatchAll xmlns="f35b5cbd-7b0b-4440-92cd-b510cab4ec67" xsi:nil="true"/>
    <Publish xmlns="978a1c12-3ab7-471e-b134-e7ba3975f64f">false</Publish>
    <Permission_x0020_to_x0020_publish xmlns="978a1c12-3ab7-471e-b134-e7ba3975f64f">false</Permission_x0020_to_x0020_publish>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6E278D99252B4B99C7589ABDD35CB5" ma:contentTypeVersion="19" ma:contentTypeDescription="Create a new document." ma:contentTypeScope="" ma:versionID="b445c28acef3f5369ebeedf3c983e75b">
  <xsd:schema xmlns:xsd="http://www.w3.org/2001/XMLSchema" xmlns:xs="http://www.w3.org/2001/XMLSchema" xmlns:p="http://schemas.microsoft.com/office/2006/metadata/properties" xmlns:ns1="http://schemas.microsoft.com/sharepoint/v3" xmlns:ns2="978a1c12-3ab7-471e-b134-e7ba3975f64f" xmlns:ns3="f35b5cbd-7b0b-4440-92cd-b510cab4ec67" targetNamespace="http://schemas.microsoft.com/office/2006/metadata/properties" ma:root="true" ma:fieldsID="622778d261ae0f56742412058e63467f" ns1:_="" ns2:_="" ns3:_="">
    <xsd:import namespace="http://schemas.microsoft.com/sharepoint/v3"/>
    <xsd:import namespace="978a1c12-3ab7-471e-b134-e7ba3975f64f"/>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Permission_x0020_to_x0020_publish" minOccurs="0"/>
                <xsd:element ref="ns2:Publi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8a1c12-3ab7-471e-b134-e7ba3975f6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Permission_x0020_to_x0020_publish" ma:index="24" nillable="true" ma:displayName="Permission to publish" ma:default="1" ma:internalName="Permission_x0020_to_x0020_publish">
      <xsd:simpleType>
        <xsd:restriction base="dms:Boolean"/>
      </xsd:simpleType>
    </xsd:element>
    <xsd:element name="Publish" ma:index="25" nillable="true" ma:displayName="Publish" ma:default="0" ma:internalName="Publish">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Props1.xml><?xml version="1.0" encoding="utf-8"?>
<ds:datastoreItem xmlns:ds="http://schemas.openxmlformats.org/officeDocument/2006/customXml" ds:itemID="{D32F28B0-067A-4C1C-9190-B6A15A4200C3}">
  <ds:schemaRefs>
    <ds:schemaRef ds:uri="f35b5cbd-7b0b-4440-92cd-b510cab4ec67"/>
    <ds:schemaRef ds:uri="http://schemas.microsoft.com/office/infopath/2007/PartnerControls"/>
    <ds:schemaRef ds:uri="http://www.w3.org/XML/1998/namespace"/>
    <ds:schemaRef ds:uri="http://schemas.microsoft.com/office/2006/documentManagement/types"/>
    <ds:schemaRef ds:uri="http://schemas.microsoft.com/sharepoint/v3"/>
    <ds:schemaRef ds:uri="http://schemas.microsoft.com/office/2006/metadata/properties"/>
    <ds:schemaRef ds:uri="978a1c12-3ab7-471e-b134-e7ba3975f64f"/>
    <ds:schemaRef ds:uri="http://schemas.openxmlformats.org/package/2006/metadata/core-properties"/>
    <ds:schemaRef ds:uri="http://purl.org/dc/dcmitype/"/>
    <ds:schemaRef ds:uri="http://purl.org/dc/terms/"/>
    <ds:schemaRef ds:uri="http://purl.org/dc/elements/1.1/"/>
  </ds:schemaRefs>
</ds:datastoreItem>
</file>

<file path=customXml/itemProps2.xml><?xml version="1.0" encoding="utf-8"?>
<ds:datastoreItem xmlns:ds="http://schemas.openxmlformats.org/officeDocument/2006/customXml" ds:itemID="{4576BB91-4750-4F81-95C7-45A4A3932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78a1c12-3ab7-471e-b134-e7ba3975f64f"/>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C3C4DB-1261-4AB1-9CFD-2371BBDD12ED}">
  <ds:schemaRefs>
    <ds:schemaRef ds:uri="http://schemas.microsoft.com/sharepoint/v3/contenttype/forms"/>
  </ds:schemaRefs>
</ds:datastoreItem>
</file>

<file path=customXml/itemProps4.xml><?xml version="1.0" encoding="utf-8"?>
<ds:datastoreItem xmlns:ds="http://schemas.openxmlformats.org/officeDocument/2006/customXml" ds:itemID="{2F867DDE-7CE5-4B35-B546-C3B5FB9B70E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Cover</vt:lpstr>
      <vt:lpstr>Contents</vt:lpstr>
      <vt:lpstr>One-pager</vt:lpstr>
      <vt:lpstr>Guide &amp; drivers</vt:lpstr>
      <vt:lpstr>RAG and Ranking</vt:lpstr>
      <vt:lpstr>Ch2 - Incentive payments</vt:lpstr>
      <vt:lpstr>Ch2 outputs - reliability</vt:lpstr>
      <vt:lpstr>Ch2 outputs - connections</vt:lpstr>
      <vt:lpstr>Ch3 financial performance </vt:lpstr>
      <vt:lpstr>Ch2 - Network Asset SDs</vt:lpstr>
      <vt:lpstr>Ch2 - innovation</vt:lpstr>
      <vt:lpstr>Ch2 outputs - environment</vt:lpstr>
      <vt:lpstr>Ch2 outputs - cust sat</vt:lpstr>
      <vt:lpstr>Ch4 expenditure drivers</vt:lpstr>
      <vt:lpstr>Ch4 expenditure drivers 2</vt:lpstr>
      <vt:lpstr>Calculations</vt:lpstr>
      <vt:lpstr>Dataset</vt:lpstr>
      <vt:lpstr>Sheet2</vt:lpstr>
      <vt:lpstr>'Ch3 financial performance '!_Ref470007842</vt:lpstr>
      <vt:lpstr>'Ch2 outputs - reliability'!_Toc469559255</vt:lpstr>
      <vt:lpstr>'One-pager'!Criteria</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RIIO-ED1 Annual Report Data 2018-19</dc:title>
  <dc:subject/>
  <dc:creator>Tessa Quinton</dc:creator>
  <cp:keywords/>
  <dc:description/>
  <cp:lastModifiedBy>Fernando Melgarejo</cp:lastModifiedBy>
  <cp:revision/>
  <cp:lastPrinted>2023-04-05T12:51:27Z</cp:lastPrinted>
  <dcterms:created xsi:type="dcterms:W3CDTF">2016-10-04T14:41:50Z</dcterms:created>
  <dcterms:modified xsi:type="dcterms:W3CDTF">2023-04-14T15:09:27Z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44a46a5d-7d89-414d-ad01-5a1ceba10875</vt:lpwstr>
  </property>
  <property fmtid="{D5CDD505-2E9C-101B-9397-08002B2CF9AE}" pid="3" name="bjSaver">
    <vt:lpwstr>bmhr3xLztmk6DQfcAhbjz8OIXSgTuyrs</vt:lpwstr>
  </property>
  <property fmtid="{D5CDD505-2E9C-101B-9397-08002B2CF9AE}" pid="4" name="ContentTypeId">
    <vt:lpwstr>0x0101003D6E278D99252B4B99C7589ABDD35CB5</vt:lpwstr>
  </property>
  <property fmtid="{D5CDD505-2E9C-101B-9397-08002B2CF9AE}" pid="5" name="BJSCc5a055b0-1bed-4579_x">
    <vt:lpwstr/>
  </property>
  <property fmtid="{D5CDD505-2E9C-101B-9397-08002B2CF9AE}" pid="6" name="BJSCdd9eba61-d6b9-469b_x">
    <vt:lpwstr>Internal Only</vt:lpwstr>
  </property>
  <property fmtid="{D5CDD505-2E9C-101B-9397-08002B2CF9AE}" pid="7" name="BJSCSummaryMarking">
    <vt:lpwstr>OFFICIAL Internal Only</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Organisation">
    <vt:lpwstr>Choose an Organisation</vt:lpwstr>
  </property>
  <property fmtid="{D5CDD505-2E9C-101B-9397-08002B2CF9AE}" pid="10" name="Order">
    <vt:r8>1076400</vt:r8>
  </property>
  <property fmtid="{D5CDD505-2E9C-101B-9397-08002B2CF9AE}" pid="11" name="::">
    <vt:lpwstr>-Main Document</vt:lpwstr>
  </property>
  <property fmtid="{D5CDD505-2E9C-101B-9397-08002B2CF9AE}" pid="12" name="Publication Date:">
    <vt:filetime>2017-02-23T00:00:00Z</vt:filetime>
  </property>
  <property fmtid="{D5CDD505-2E9C-101B-9397-08002B2CF9AE}" pid="13" name="bjDocumentSecurityLabel">
    <vt:lpwstr>OFFICIAL Internal Only</vt:lpwstr>
  </property>
  <property fmtid="{D5CDD505-2E9C-101B-9397-08002B2CF9AE}" pid="14" name="bjCentreHeaderLabel">
    <vt:lpwstr>&amp;"Verdana,Regular"&amp;10&amp;K000000Internal Only</vt:lpwstr>
  </property>
  <property fmtid="{D5CDD505-2E9C-101B-9397-08002B2CF9AE}" pid="15" name="bjCentreFooterLabel">
    <vt:lpwstr>&amp;"Verdana,Regular"&amp;10&amp;K000000Internal Only</vt:lpwstr>
  </property>
  <property fmtid="{D5CDD505-2E9C-101B-9397-08002B2CF9AE}" pid="1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7" name="bjDocumentLabelXML-0">
    <vt:lpwstr>ames.com/2008/01/sie/internal/label"&gt;&lt;element uid="id_classification_nonbusiness" value="" /&gt;&lt;element uid="eaadb568-f939-47e9-ab90-f00bdd47735e" value="" /&gt;&lt;/sisl&gt;</vt:lpwstr>
  </property>
  <property fmtid="{D5CDD505-2E9C-101B-9397-08002B2CF9AE}" pid="18" name="bjClsUserRVM">
    <vt:lpwstr>[]</vt:lpwstr>
  </property>
  <property fmtid="{D5CDD505-2E9C-101B-9397-08002B2CF9AE}" pid="19" name="MediaServiceImageTags">
    <vt:lpwstr/>
  </property>
  <property fmtid="{D5CDD505-2E9C-101B-9397-08002B2CF9AE}" pid="20" name="bjCentreHeaderLabel-first">
    <vt:lpwstr>&amp;"Verdana,Regular"&amp;10&amp;K000000Internal Only</vt:lpwstr>
  </property>
  <property fmtid="{D5CDD505-2E9C-101B-9397-08002B2CF9AE}" pid="21" name="bjCentreFooterLabel-first">
    <vt:lpwstr>&amp;"Verdana,Regular"&amp;10&amp;K000000Internal Only</vt:lpwstr>
  </property>
  <property fmtid="{D5CDD505-2E9C-101B-9397-08002B2CF9AE}" pid="22" name="bjCentreHeaderLabel-even">
    <vt:lpwstr>&amp;"Verdana,Regular"&amp;10&amp;K000000Internal Only</vt:lpwstr>
  </property>
  <property fmtid="{D5CDD505-2E9C-101B-9397-08002B2CF9AE}" pid="23" name="bjCentreFooterLabel-even">
    <vt:lpwstr>&amp;"Verdana,Regular"&amp;10&amp;K000000Internal Only</vt:lpwstr>
  </property>
</Properties>
</file>